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7.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never" codeName="ThisWorkbook" hidePivotFieldList="1" defaultThemeVersion="124226"/>
  <mc:AlternateContent xmlns:mc="http://schemas.openxmlformats.org/markup-compatibility/2006">
    <mc:Choice Requires="x15">
      <x15ac:absPath xmlns:x15ac="http://schemas.microsoft.com/office/spreadsheetml/2010/11/ac" url="https://escvic-my.sharepoint.com/personal/edward_hansford_esc_vic_gov_au/Documents/Documents/Drafts/Price review/"/>
    </mc:Choice>
  </mc:AlternateContent>
  <xr:revisionPtr revIDLastSave="0" documentId="8_{947D501A-0371-4335-97B0-D59D87898051}" xr6:coauthVersionLast="47" xr6:coauthVersionMax="47" xr10:uidLastSave="{00000000-0000-0000-0000-000000000000}"/>
  <bookViews>
    <workbookView xWindow="-110" yWindow="-110" windowWidth="19420" windowHeight="10420" tabRatio="915" activeTab="8" xr2:uid="{00000000-000D-0000-FFFF-FFFF00000000}"/>
  </bookViews>
  <sheets>
    <sheet name="Contents" sheetId="5" r:id="rId1"/>
    <sheet name="Adjustments log" sheetId="115" state="hidden" r:id="rId2"/>
    <sheet name="Model Quality Check" sheetId="114" r:id="rId3"/>
    <sheet name="KeyAssumptionsPriceControl_FO" sheetId="40" r:id="rId4"/>
    <sheet name="Expenditure_Detail" sheetId="89" r:id="rId5"/>
    <sheet name="Opex_FO" sheetId="86" r:id="rId6"/>
    <sheet name="Opex_Breakdown" sheetId="12" r:id="rId7"/>
    <sheet name="Capex_FO input" sheetId="90" r:id="rId8"/>
    <sheet name="Capex_FO_AC" sheetId="30" r:id="rId9"/>
    <sheet name="ExpSummary_FO" sheetId="42" r:id="rId10"/>
    <sheet name="RollForward_FO" sheetId="45" r:id="rId11"/>
    <sheet name="PrevPerAdj_FO" sheetId="62" r:id="rId12"/>
    <sheet name="RevenuePriceCap_FO" sheetId="36" r:id="rId13"/>
    <sheet name="RevenueTariffBasket_FO" sheetId="57" state="hidden" r:id="rId14"/>
    <sheet name="NotPres_FO" sheetId="34" r:id="rId15"/>
    <sheet name="Finance&amp;Tax_FO" sheetId="56" r:id="rId16"/>
    <sheet name="Rev&amp;RAV_FO" sheetId="41" r:id="rId17"/>
    <sheet name="Indicators_FO" sheetId="44" r:id="rId18"/>
    <sheet name="Outcomes" sheetId="92" r:id="rId19"/>
    <sheet name="GSL" sheetId="93" r:id="rId20"/>
    <sheet name="Household Bill" sheetId="112" r:id="rId21"/>
    <sheet name="Dashboard - Pricing" sheetId="99" r:id="rId22"/>
    <sheet name="Dashboard - Opex" sheetId="100" r:id="rId23"/>
    <sheet name="Dashboard - Capex" sheetId="101" r:id="rId24"/>
    <sheet name="Dashboard - Data" sheetId="98" r:id="rId25"/>
    <sheet name="Determination_Lookup" sheetId="91" r:id="rId26"/>
    <sheet name="General_BL" sheetId="81" state="hidden" r:id="rId27"/>
  </sheets>
  <externalReferences>
    <externalReference r:id="rId28"/>
  </externalReferences>
  <definedNames>
    <definedName name="_xlnm._FilterDatabase" localSheetId="26" hidden="1">General_BL!$F$9:$F$15</definedName>
    <definedName name="_xlnm._FilterDatabase" localSheetId="6" hidden="1">Opex_Breakdown!$C$137:$J$142</definedName>
    <definedName name="_xlnm._FilterDatabase" localSheetId="12" hidden="1">RevenuePriceCap_FO!$D$68:$CA$443</definedName>
    <definedName name="_xlnm._FilterDatabase" localSheetId="13" hidden="1">RevenueTariffBasket_FO!$E$68:$AG$443</definedName>
    <definedName name="Asset_category" localSheetId="20">[1]General_BL!$I$9:$I$13</definedName>
    <definedName name="Asset_category">General_BL!$I$9:$I$13</definedName>
    <definedName name="Asset_Class" localSheetId="20">[1]General_BL!$F$9:$F$14</definedName>
    <definedName name="Asset_Class">General_BL!$F$9:$F$14</definedName>
    <definedName name="Capital_type" localSheetId="20">[1]General_BL!$I$24:$I$28</definedName>
    <definedName name="Capital_type">General_BL!$I$24:$I$28</definedName>
    <definedName name="Cost_Driver" localSheetId="20">[1]General_BL!$C$24:$C$27</definedName>
    <definedName name="Cost_Driver">General_BL!$C$24:$C$27</definedName>
    <definedName name="CPIExp1920">KeyAssumptionsPriceControl_FO!$I$1</definedName>
    <definedName name="Depr_Deferral" localSheetId="20">[1]General_BL!$F$24:$F$35</definedName>
    <definedName name="Depr_Deferral">General_BL!$F$24:$F$35</definedName>
    <definedName name="Depreciation_Method" localSheetId="20">[1]General_BL!$C$10</definedName>
    <definedName name="Depreciation_Method">General_BL!$C$10</definedName>
    <definedName name="Fixed_or_Var" localSheetId="20">[1]General_BL!$F$40:$F$42</definedName>
    <definedName name="Fixed_or_Var">General_BL!$F$40:$F$42</definedName>
    <definedName name="HL_Home">Contents!$B$7</definedName>
    <definedName name="Hybrid_Price" localSheetId="20">[1]General_BL!$F$63:$F$67</definedName>
    <definedName name="Hybrid_Price">General_BL!$F$63:$F$67</definedName>
    <definedName name="Index1920">#REF!</definedName>
    <definedName name="Index2021">#REF!</definedName>
    <definedName name="Index2122">#REF!</definedName>
    <definedName name="Index2223">#REF!</definedName>
    <definedName name="Index2324">#REF!</definedName>
    <definedName name="Index2425">#REF!</definedName>
    <definedName name="Index2526">#REF!</definedName>
    <definedName name="Index2627">#REF!</definedName>
    <definedName name="Index2728">#REF!</definedName>
    <definedName name="kk">General_BL!$F$56:$G$58</definedName>
    <definedName name="Model_Name" localSheetId="20">[1]Contents!$H$7</definedName>
    <definedName name="Model_Name">Contents!$H$7</definedName>
    <definedName name="Price_Asset_Class" localSheetId="20">[1]General_BL!$C$40:$C$46</definedName>
    <definedName name="Price_Asset_Class">General_BL!$C$40:$C$46</definedName>
    <definedName name="Price_Control">General_BL!$F$56:$F$58</definedName>
    <definedName name="Pricing_Unit" localSheetId="20">[1]General_BL!$C$55:$C$65</definedName>
    <definedName name="Pricing_Unit">General_BL!$C$55:$C$65</definedName>
    <definedName name="RRR" comment="Regulatory Rate of Return (RRR)">KeyAssumptionsPriceControl_FO!$AC$42</definedName>
    <definedName name="Service">General_BL!$F$9:$F$17</definedName>
    <definedName name="wacc">KeyAssumptionsPriceControl_FO!$O$42</definedName>
    <definedName name="wacc_1stper">KeyAssumptionsPriceControl_FO!$K$42</definedName>
    <definedName name="wacc_2ndper">KeyAssumptionsPriceControl_FO!$M$42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3" i="30" l="1"/>
  <c r="AA49" i="12"/>
  <c r="AP443" i="57" l="1"/>
  <c r="BI443" i="57" s="1"/>
  <c r="BZ442" i="57"/>
  <c r="BY442" i="57"/>
  <c r="BX442" i="57"/>
  <c r="BW442" i="57"/>
  <c r="BV442" i="57"/>
  <c r="BU442" i="57"/>
  <c r="BT442" i="57"/>
  <c r="BS442" i="57"/>
  <c r="BR442" i="57"/>
  <c r="BQ442" i="57"/>
  <c r="BP442" i="57"/>
  <c r="BO442" i="57"/>
  <c r="BN442" i="57"/>
  <c r="BM442" i="57"/>
  <c r="BL442" i="57"/>
  <c r="BG442" i="57"/>
  <c r="BF442" i="57"/>
  <c r="BE442" i="57"/>
  <c r="BD442" i="57"/>
  <c r="BC442" i="57"/>
  <c r="BB442" i="57"/>
  <c r="BA442" i="57"/>
  <c r="AZ442" i="57"/>
  <c r="AY442" i="57"/>
  <c r="AX442" i="57"/>
  <c r="AW442" i="57"/>
  <c r="AV442" i="57"/>
  <c r="AU442" i="57"/>
  <c r="AT442" i="57"/>
  <c r="AS442" i="57"/>
  <c r="AP442" i="57"/>
  <c r="BI442" i="57" s="1"/>
  <c r="BZ441" i="57"/>
  <c r="BY441" i="57"/>
  <c r="BX441" i="57"/>
  <c r="BW441" i="57"/>
  <c r="BV441" i="57"/>
  <c r="BU441" i="57"/>
  <c r="BT441" i="57"/>
  <c r="BS441" i="57"/>
  <c r="BR441" i="57"/>
  <c r="BQ441" i="57"/>
  <c r="BP441" i="57"/>
  <c r="BO441" i="57"/>
  <c r="BN441" i="57"/>
  <c r="BM441" i="57"/>
  <c r="BL441" i="57"/>
  <c r="BG441" i="57"/>
  <c r="BF441" i="57"/>
  <c r="BE441" i="57"/>
  <c r="BD441" i="57"/>
  <c r="BC441" i="57"/>
  <c r="BB441" i="57"/>
  <c r="BA441" i="57"/>
  <c r="AZ441" i="57"/>
  <c r="AY441" i="57"/>
  <c r="AX441" i="57"/>
  <c r="AW441" i="57"/>
  <c r="AV441" i="57"/>
  <c r="AU441" i="57"/>
  <c r="AT441" i="57"/>
  <c r="AS441" i="57"/>
  <c r="AR441" i="57"/>
  <c r="BK441" i="57" s="1"/>
  <c r="AQ441" i="57"/>
  <c r="BJ441" i="57" s="1"/>
  <c r="AP441" i="57"/>
  <c r="BI441" i="57" s="1"/>
  <c r="AP440" i="57"/>
  <c r="BI440" i="57" s="1"/>
  <c r="BZ439" i="57"/>
  <c r="BY439" i="57"/>
  <c r="BX439" i="57"/>
  <c r="BW439" i="57"/>
  <c r="BV439" i="57"/>
  <c r="BU439" i="57"/>
  <c r="BT439" i="57"/>
  <c r="BS439" i="57"/>
  <c r="BR439" i="57"/>
  <c r="BQ439" i="57"/>
  <c r="BP439" i="57"/>
  <c r="BO439" i="57"/>
  <c r="BN439" i="57"/>
  <c r="BM439" i="57"/>
  <c r="BL439" i="57"/>
  <c r="BG439" i="57"/>
  <c r="BF439" i="57"/>
  <c r="BE439" i="57"/>
  <c r="BD439" i="57"/>
  <c r="BC439" i="57"/>
  <c r="BB439" i="57"/>
  <c r="BA439" i="57"/>
  <c r="AZ439" i="57"/>
  <c r="AY439" i="57"/>
  <c r="AX439" i="57"/>
  <c r="AW439" i="57"/>
  <c r="AV439" i="57"/>
  <c r="AU439" i="57"/>
  <c r="AT439" i="57"/>
  <c r="AS439" i="57"/>
  <c r="AP439" i="57"/>
  <c r="BI439" i="57" s="1"/>
  <c r="BZ438" i="57"/>
  <c r="BY438" i="57"/>
  <c r="BX438" i="57"/>
  <c r="BW438" i="57"/>
  <c r="BV438" i="57"/>
  <c r="BU438" i="57"/>
  <c r="BT438" i="57"/>
  <c r="BS438" i="57"/>
  <c r="BR438" i="57"/>
  <c r="BQ438" i="57"/>
  <c r="BP438" i="57"/>
  <c r="BO438" i="57"/>
  <c r="BN438" i="57"/>
  <c r="BM438" i="57"/>
  <c r="BL438" i="57"/>
  <c r="BG438" i="57"/>
  <c r="BF438" i="57"/>
  <c r="BE438" i="57"/>
  <c r="BD438" i="57"/>
  <c r="BC438" i="57"/>
  <c r="BB438" i="57"/>
  <c r="BA438" i="57"/>
  <c r="AZ438" i="57"/>
  <c r="AY438" i="57"/>
  <c r="AX438" i="57"/>
  <c r="AW438" i="57"/>
  <c r="AV438" i="57"/>
  <c r="AU438" i="57"/>
  <c r="AT438" i="57"/>
  <c r="AS438" i="57"/>
  <c r="AR438" i="57"/>
  <c r="BK438" i="57" s="1"/>
  <c r="AQ438" i="57"/>
  <c r="BJ438" i="57" s="1"/>
  <c r="AP438" i="57"/>
  <c r="BI438" i="57" s="1"/>
  <c r="AP437" i="57"/>
  <c r="BI437" i="57" s="1"/>
  <c r="BZ436" i="57"/>
  <c r="BY436" i="57"/>
  <c r="BX436" i="57"/>
  <c r="BW436" i="57"/>
  <c r="BV436" i="57"/>
  <c r="BU436" i="57"/>
  <c r="BT436" i="57"/>
  <c r="BS436" i="57"/>
  <c r="BR436" i="57"/>
  <c r="BQ436" i="57"/>
  <c r="BP436" i="57"/>
  <c r="BO436" i="57"/>
  <c r="BN436" i="57"/>
  <c r="BM436" i="57"/>
  <c r="BL436" i="57"/>
  <c r="BG436" i="57"/>
  <c r="BF436" i="57"/>
  <c r="BE436" i="57"/>
  <c r="BD436" i="57"/>
  <c r="BC436" i="57"/>
  <c r="BB436" i="57"/>
  <c r="BA436" i="57"/>
  <c r="AZ436" i="57"/>
  <c r="AY436" i="57"/>
  <c r="AX436" i="57"/>
  <c r="AW436" i="57"/>
  <c r="AV436" i="57"/>
  <c r="AU436" i="57"/>
  <c r="AT436" i="57"/>
  <c r="AS436" i="57"/>
  <c r="AP436" i="57"/>
  <c r="BI436" i="57" s="1"/>
  <c r="BZ435" i="57"/>
  <c r="BY435" i="57"/>
  <c r="BX435" i="57"/>
  <c r="BW435" i="57"/>
  <c r="BV435" i="57"/>
  <c r="BU435" i="57"/>
  <c r="BT435" i="57"/>
  <c r="BS435" i="57"/>
  <c r="BR435" i="57"/>
  <c r="BQ435" i="57"/>
  <c r="BP435" i="57"/>
  <c r="BO435" i="57"/>
  <c r="BN435" i="57"/>
  <c r="BM435" i="57"/>
  <c r="BL435" i="57"/>
  <c r="BG435" i="57"/>
  <c r="BF435" i="57"/>
  <c r="BE435" i="57"/>
  <c r="BD435" i="57"/>
  <c r="BC435" i="57"/>
  <c r="BB435" i="57"/>
  <c r="BA435" i="57"/>
  <c r="AZ435" i="57"/>
  <c r="AY435" i="57"/>
  <c r="AX435" i="57"/>
  <c r="AW435" i="57"/>
  <c r="AV435" i="57"/>
  <c r="AU435" i="57"/>
  <c r="AT435" i="57"/>
  <c r="AS435" i="57"/>
  <c r="AR435" i="57"/>
  <c r="BK435" i="57" s="1"/>
  <c r="AQ435" i="57"/>
  <c r="BJ435" i="57" s="1"/>
  <c r="AP435" i="57"/>
  <c r="BI435" i="57" s="1"/>
  <c r="AP434" i="57"/>
  <c r="BI434" i="57" s="1"/>
  <c r="BZ433" i="57"/>
  <c r="BY433" i="57"/>
  <c r="BX433" i="57"/>
  <c r="BW433" i="57"/>
  <c r="BV433" i="57"/>
  <c r="BU433" i="57"/>
  <c r="BT433" i="57"/>
  <c r="BS433" i="57"/>
  <c r="BR433" i="57"/>
  <c r="BQ433" i="57"/>
  <c r="BP433" i="57"/>
  <c r="BO433" i="57"/>
  <c r="BN433" i="57"/>
  <c r="BM433" i="57"/>
  <c r="BL433" i="57"/>
  <c r="BG433" i="57"/>
  <c r="BF433" i="57"/>
  <c r="BE433" i="57"/>
  <c r="BD433" i="57"/>
  <c r="BC433" i="57"/>
  <c r="BB433" i="57"/>
  <c r="BA433" i="57"/>
  <c r="AZ433" i="57"/>
  <c r="AY433" i="57"/>
  <c r="AX433" i="57"/>
  <c r="AW433" i="57"/>
  <c r="AV433" i="57"/>
  <c r="AU433" i="57"/>
  <c r="AT433" i="57"/>
  <c r="AS433" i="57"/>
  <c r="AP433" i="57"/>
  <c r="BI433" i="57" s="1"/>
  <c r="BZ432" i="57"/>
  <c r="BY432" i="57"/>
  <c r="BX432" i="57"/>
  <c r="BW432" i="57"/>
  <c r="BV432" i="57"/>
  <c r="BU432" i="57"/>
  <c r="BT432" i="57"/>
  <c r="BS432" i="57"/>
  <c r="BR432" i="57"/>
  <c r="BQ432" i="57"/>
  <c r="BP432" i="57"/>
  <c r="BO432" i="57"/>
  <c r="BN432" i="57"/>
  <c r="BM432" i="57"/>
  <c r="BL432" i="57"/>
  <c r="BG432" i="57"/>
  <c r="BF432" i="57"/>
  <c r="BE432" i="57"/>
  <c r="BD432" i="57"/>
  <c r="BC432" i="57"/>
  <c r="BB432" i="57"/>
  <c r="BA432" i="57"/>
  <c r="AZ432" i="57"/>
  <c r="AY432" i="57"/>
  <c r="AX432" i="57"/>
  <c r="AW432" i="57"/>
  <c r="AV432" i="57"/>
  <c r="AU432" i="57"/>
  <c r="AT432" i="57"/>
  <c r="AS432" i="57"/>
  <c r="AR432" i="57"/>
  <c r="BK432" i="57" s="1"/>
  <c r="AQ432" i="57"/>
  <c r="BJ432" i="57" s="1"/>
  <c r="AP432" i="57"/>
  <c r="BI432" i="57" s="1"/>
  <c r="AP431" i="57"/>
  <c r="BI431" i="57" s="1"/>
  <c r="BZ430" i="57"/>
  <c r="BY430" i="57"/>
  <c r="BX430" i="57"/>
  <c r="BW430" i="57"/>
  <c r="BV430" i="57"/>
  <c r="BU430" i="57"/>
  <c r="BT430" i="57"/>
  <c r="BS430" i="57"/>
  <c r="BR430" i="57"/>
  <c r="BQ430" i="57"/>
  <c r="BP430" i="57"/>
  <c r="BO430" i="57"/>
  <c r="BN430" i="57"/>
  <c r="BM430" i="57"/>
  <c r="BL430" i="57"/>
  <c r="BG430" i="57"/>
  <c r="BF430" i="57"/>
  <c r="BE430" i="57"/>
  <c r="BD430" i="57"/>
  <c r="BC430" i="57"/>
  <c r="BB430" i="57"/>
  <c r="BA430" i="57"/>
  <c r="AZ430" i="57"/>
  <c r="AY430" i="57"/>
  <c r="AX430" i="57"/>
  <c r="AW430" i="57"/>
  <c r="AV430" i="57"/>
  <c r="AU430" i="57"/>
  <c r="AT430" i="57"/>
  <c r="AS430" i="57"/>
  <c r="AP430" i="57"/>
  <c r="BI430" i="57" s="1"/>
  <c r="BZ429" i="57"/>
  <c r="BY429" i="57"/>
  <c r="BX429" i="57"/>
  <c r="BW429" i="57"/>
  <c r="BV429" i="57"/>
  <c r="BU429" i="57"/>
  <c r="BT429" i="57"/>
  <c r="BS429" i="57"/>
  <c r="BR429" i="57"/>
  <c r="BQ429" i="57"/>
  <c r="BP429" i="57"/>
  <c r="BO429" i="57"/>
  <c r="BN429" i="57"/>
  <c r="BM429" i="57"/>
  <c r="BL429" i="57"/>
  <c r="BG429" i="57"/>
  <c r="BF429" i="57"/>
  <c r="BE429" i="57"/>
  <c r="BD429" i="57"/>
  <c r="BC429" i="57"/>
  <c r="BB429" i="57"/>
  <c r="BA429" i="57"/>
  <c r="AZ429" i="57"/>
  <c r="AY429" i="57"/>
  <c r="AX429" i="57"/>
  <c r="AW429" i="57"/>
  <c r="AV429" i="57"/>
  <c r="AU429" i="57"/>
  <c r="AT429" i="57"/>
  <c r="AS429" i="57"/>
  <c r="AR429" i="57"/>
  <c r="BK429" i="57" s="1"/>
  <c r="AQ429" i="57"/>
  <c r="BJ429" i="57" s="1"/>
  <c r="AP429" i="57"/>
  <c r="BI429" i="57" s="1"/>
  <c r="AP428" i="57"/>
  <c r="BI428" i="57" s="1"/>
  <c r="BZ427" i="57"/>
  <c r="BY427" i="57"/>
  <c r="BX427" i="57"/>
  <c r="BW427" i="57"/>
  <c r="BV427" i="57"/>
  <c r="BU427" i="57"/>
  <c r="BT427" i="57"/>
  <c r="BS427" i="57"/>
  <c r="BR427" i="57"/>
  <c r="BQ427" i="57"/>
  <c r="BP427" i="57"/>
  <c r="BO427" i="57"/>
  <c r="BN427" i="57"/>
  <c r="BM427" i="57"/>
  <c r="BL427" i="57"/>
  <c r="BG427" i="57"/>
  <c r="BF427" i="57"/>
  <c r="BE427" i="57"/>
  <c r="BD427" i="57"/>
  <c r="BC427" i="57"/>
  <c r="BB427" i="57"/>
  <c r="BA427" i="57"/>
  <c r="AZ427" i="57"/>
  <c r="AY427" i="57"/>
  <c r="AX427" i="57"/>
  <c r="AW427" i="57"/>
  <c r="AV427" i="57"/>
  <c r="AU427" i="57"/>
  <c r="AT427" i="57"/>
  <c r="AS427" i="57"/>
  <c r="AP427" i="57"/>
  <c r="BI427" i="57" s="1"/>
  <c r="BZ426" i="57"/>
  <c r="BY426" i="57"/>
  <c r="BX426" i="57"/>
  <c r="BW426" i="57"/>
  <c r="BV426" i="57"/>
  <c r="BU426" i="57"/>
  <c r="BT426" i="57"/>
  <c r="BS426" i="57"/>
  <c r="BR426" i="57"/>
  <c r="BQ426" i="57"/>
  <c r="BP426" i="57"/>
  <c r="BO426" i="57"/>
  <c r="BN426" i="57"/>
  <c r="BM426" i="57"/>
  <c r="BL426" i="57"/>
  <c r="BI426" i="57"/>
  <c r="BG426" i="57"/>
  <c r="BF426" i="57"/>
  <c r="BE426" i="57"/>
  <c r="BD426" i="57"/>
  <c r="BC426" i="57"/>
  <c r="BB426" i="57"/>
  <c r="BA426" i="57"/>
  <c r="AZ426" i="57"/>
  <c r="AY426" i="57"/>
  <c r="AX426" i="57"/>
  <c r="AW426" i="57"/>
  <c r="AV426" i="57"/>
  <c r="AU426" i="57"/>
  <c r="AT426" i="57"/>
  <c r="AS426" i="57"/>
  <c r="AR426" i="57"/>
  <c r="BK426" i="57" s="1"/>
  <c r="AQ426" i="57"/>
  <c r="BJ426" i="57" s="1"/>
  <c r="AP426" i="57"/>
  <c r="AP425" i="57"/>
  <c r="BI425" i="57" s="1"/>
  <c r="BZ424" i="57"/>
  <c r="BY424" i="57"/>
  <c r="BX424" i="57"/>
  <c r="BW424" i="57"/>
  <c r="BV424" i="57"/>
  <c r="BU424" i="57"/>
  <c r="BT424" i="57"/>
  <c r="BS424" i="57"/>
  <c r="BR424" i="57"/>
  <c r="BQ424" i="57"/>
  <c r="BP424" i="57"/>
  <c r="BO424" i="57"/>
  <c r="BN424" i="57"/>
  <c r="BM424" i="57"/>
  <c r="BL424" i="57"/>
  <c r="BG424" i="57"/>
  <c r="BF424" i="57"/>
  <c r="BE424" i="57"/>
  <c r="BD424" i="57"/>
  <c r="BC424" i="57"/>
  <c r="BB424" i="57"/>
  <c r="BA424" i="57"/>
  <c r="AZ424" i="57"/>
  <c r="AY424" i="57"/>
  <c r="AX424" i="57"/>
  <c r="AW424" i="57"/>
  <c r="AV424" i="57"/>
  <c r="AU424" i="57"/>
  <c r="AT424" i="57"/>
  <c r="AS424" i="57"/>
  <c r="AP424" i="57"/>
  <c r="BI424" i="57" s="1"/>
  <c r="BZ423" i="57"/>
  <c r="BY423" i="57"/>
  <c r="BX423" i="57"/>
  <c r="BW423" i="57"/>
  <c r="BV423" i="57"/>
  <c r="BU423" i="57"/>
  <c r="BT423" i="57"/>
  <c r="BS423" i="57"/>
  <c r="BR423" i="57"/>
  <c r="BQ423" i="57"/>
  <c r="BP423" i="57"/>
  <c r="BO423" i="57"/>
  <c r="BN423" i="57"/>
  <c r="BM423" i="57"/>
  <c r="BL423" i="57"/>
  <c r="BG423" i="57"/>
  <c r="BF423" i="57"/>
  <c r="BE423" i="57"/>
  <c r="BD423" i="57"/>
  <c r="BC423" i="57"/>
  <c r="BB423" i="57"/>
  <c r="BA423" i="57"/>
  <c r="AZ423" i="57"/>
  <c r="AY423" i="57"/>
  <c r="AX423" i="57"/>
  <c r="AW423" i="57"/>
  <c r="AV423" i="57"/>
  <c r="AU423" i="57"/>
  <c r="AT423" i="57"/>
  <c r="AS423" i="57"/>
  <c r="AR423" i="57"/>
  <c r="BK423" i="57" s="1"/>
  <c r="AQ423" i="57"/>
  <c r="BJ423" i="57" s="1"/>
  <c r="AP423" i="57"/>
  <c r="BI423" i="57" s="1"/>
  <c r="AP422" i="57"/>
  <c r="BI422" i="57" s="1"/>
  <c r="BZ421" i="57"/>
  <c r="BY421" i="57"/>
  <c r="BX421" i="57"/>
  <c r="BW421" i="57"/>
  <c r="BV421" i="57"/>
  <c r="BU421" i="57"/>
  <c r="BT421" i="57"/>
  <c r="BS421" i="57"/>
  <c r="BR421" i="57"/>
  <c r="BQ421" i="57"/>
  <c r="BP421" i="57"/>
  <c r="BO421" i="57"/>
  <c r="BN421" i="57"/>
  <c r="BM421" i="57"/>
  <c r="BL421" i="57"/>
  <c r="BG421" i="57"/>
  <c r="BF421" i="57"/>
  <c r="BE421" i="57"/>
  <c r="BD421" i="57"/>
  <c r="BC421" i="57"/>
  <c r="BB421" i="57"/>
  <c r="BA421" i="57"/>
  <c r="AZ421" i="57"/>
  <c r="AY421" i="57"/>
  <c r="AX421" i="57"/>
  <c r="AW421" i="57"/>
  <c r="AV421" i="57"/>
  <c r="AU421" i="57"/>
  <c r="AT421" i="57"/>
  <c r="AS421" i="57"/>
  <c r="AP421" i="57"/>
  <c r="BI421" i="57" s="1"/>
  <c r="BZ420" i="57"/>
  <c r="BY420" i="57"/>
  <c r="BX420" i="57"/>
  <c r="BW420" i="57"/>
  <c r="BV420" i="57"/>
  <c r="BU420" i="57"/>
  <c r="BT420" i="57"/>
  <c r="BS420" i="57"/>
  <c r="BR420" i="57"/>
  <c r="BQ420" i="57"/>
  <c r="BP420" i="57"/>
  <c r="BO420" i="57"/>
  <c r="BN420" i="57"/>
  <c r="BM420" i="57"/>
  <c r="BL420" i="57"/>
  <c r="BG420" i="57"/>
  <c r="BF420" i="57"/>
  <c r="BE420" i="57"/>
  <c r="BD420" i="57"/>
  <c r="BC420" i="57"/>
  <c r="BB420" i="57"/>
  <c r="BA420" i="57"/>
  <c r="AZ420" i="57"/>
  <c r="AY420" i="57"/>
  <c r="AX420" i="57"/>
  <c r="AW420" i="57"/>
  <c r="AV420" i="57"/>
  <c r="AU420" i="57"/>
  <c r="AT420" i="57"/>
  <c r="AS420" i="57"/>
  <c r="AR420" i="57"/>
  <c r="BK420" i="57" s="1"/>
  <c r="AQ420" i="57"/>
  <c r="BJ420" i="57" s="1"/>
  <c r="AP420" i="57"/>
  <c r="BI420" i="57" s="1"/>
  <c r="AP419" i="57"/>
  <c r="BI419" i="57" s="1"/>
  <c r="BZ418" i="57"/>
  <c r="BY418" i="57"/>
  <c r="BX418" i="57"/>
  <c r="BW418" i="57"/>
  <c r="BV418" i="57"/>
  <c r="BU418" i="57"/>
  <c r="BT418" i="57"/>
  <c r="BS418" i="57"/>
  <c r="BR418" i="57"/>
  <c r="BQ418" i="57"/>
  <c r="BP418" i="57"/>
  <c r="BO418" i="57"/>
  <c r="BN418" i="57"/>
  <c r="BM418" i="57"/>
  <c r="BL418" i="57"/>
  <c r="BG418" i="57"/>
  <c r="BF418" i="57"/>
  <c r="BE418" i="57"/>
  <c r="BD418" i="57"/>
  <c r="BC418" i="57"/>
  <c r="BB418" i="57"/>
  <c r="BA418" i="57"/>
  <c r="AZ418" i="57"/>
  <c r="AY418" i="57"/>
  <c r="AX418" i="57"/>
  <c r="AW418" i="57"/>
  <c r="AV418" i="57"/>
  <c r="AU418" i="57"/>
  <c r="AT418" i="57"/>
  <c r="AS418" i="57"/>
  <c r="AP418" i="57"/>
  <c r="BI418" i="57" s="1"/>
  <c r="BZ417" i="57"/>
  <c r="BY417" i="57"/>
  <c r="BX417" i="57"/>
  <c r="BW417" i="57"/>
  <c r="BV417" i="57"/>
  <c r="BU417" i="57"/>
  <c r="BT417" i="57"/>
  <c r="BS417" i="57"/>
  <c r="BR417" i="57"/>
  <c r="BQ417" i="57"/>
  <c r="BP417" i="57"/>
  <c r="BO417" i="57"/>
  <c r="BN417" i="57"/>
  <c r="BM417" i="57"/>
  <c r="BL417" i="57"/>
  <c r="BG417" i="57"/>
  <c r="BF417" i="57"/>
  <c r="BE417" i="57"/>
  <c r="BD417" i="57"/>
  <c r="BC417" i="57"/>
  <c r="BB417" i="57"/>
  <c r="BA417" i="57"/>
  <c r="AZ417" i="57"/>
  <c r="AY417" i="57"/>
  <c r="AX417" i="57"/>
  <c r="AW417" i="57"/>
  <c r="AV417" i="57"/>
  <c r="AU417" i="57"/>
  <c r="AT417" i="57"/>
  <c r="AS417" i="57"/>
  <c r="AR417" i="57"/>
  <c r="BK417" i="57" s="1"/>
  <c r="AQ417" i="57"/>
  <c r="BJ417" i="57" s="1"/>
  <c r="AP417" i="57"/>
  <c r="BI417" i="57" s="1"/>
  <c r="AP416" i="57"/>
  <c r="BI416" i="57" s="1"/>
  <c r="BZ415" i="57"/>
  <c r="BY415" i="57"/>
  <c r="BX415" i="57"/>
  <c r="BW415" i="57"/>
  <c r="BV415" i="57"/>
  <c r="BU415" i="57"/>
  <c r="BT415" i="57"/>
  <c r="BS415" i="57"/>
  <c r="BR415" i="57"/>
  <c r="BQ415" i="57"/>
  <c r="BP415" i="57"/>
  <c r="BO415" i="57"/>
  <c r="BN415" i="57"/>
  <c r="BM415" i="57"/>
  <c r="BL415" i="57"/>
  <c r="BG415" i="57"/>
  <c r="BF415" i="57"/>
  <c r="BE415" i="57"/>
  <c r="BD415" i="57"/>
  <c r="BC415" i="57"/>
  <c r="BB415" i="57"/>
  <c r="BA415" i="57"/>
  <c r="AZ415" i="57"/>
  <c r="AY415" i="57"/>
  <c r="AX415" i="57"/>
  <c r="AW415" i="57"/>
  <c r="AV415" i="57"/>
  <c r="AU415" i="57"/>
  <c r="AT415" i="57"/>
  <c r="AS415" i="57"/>
  <c r="AP415" i="57"/>
  <c r="BI415" i="57" s="1"/>
  <c r="BZ414" i="57"/>
  <c r="BY414" i="57"/>
  <c r="BX414" i="57"/>
  <c r="BW414" i="57"/>
  <c r="BV414" i="57"/>
  <c r="BU414" i="57"/>
  <c r="BT414" i="57"/>
  <c r="BS414" i="57"/>
  <c r="BR414" i="57"/>
  <c r="BQ414" i="57"/>
  <c r="BP414" i="57"/>
  <c r="BO414" i="57"/>
  <c r="BN414" i="57"/>
  <c r="BM414" i="57"/>
  <c r="BL414" i="57"/>
  <c r="BG414" i="57"/>
  <c r="BF414" i="57"/>
  <c r="BE414" i="57"/>
  <c r="BD414" i="57"/>
  <c r="BC414" i="57"/>
  <c r="BB414" i="57"/>
  <c r="BA414" i="57"/>
  <c r="AZ414" i="57"/>
  <c r="AY414" i="57"/>
  <c r="AX414" i="57"/>
  <c r="AW414" i="57"/>
  <c r="AV414" i="57"/>
  <c r="AU414" i="57"/>
  <c r="AT414" i="57"/>
  <c r="AS414" i="57"/>
  <c r="AR414" i="57"/>
  <c r="BK414" i="57" s="1"/>
  <c r="AQ414" i="57"/>
  <c r="BJ414" i="57" s="1"/>
  <c r="AP414" i="57"/>
  <c r="BI414" i="57" s="1"/>
  <c r="AP413" i="57"/>
  <c r="BI413" i="57" s="1"/>
  <c r="BZ412" i="57"/>
  <c r="BY412" i="57"/>
  <c r="BX412" i="57"/>
  <c r="BW412" i="57"/>
  <c r="BV412" i="57"/>
  <c r="BU412" i="57"/>
  <c r="BT412" i="57"/>
  <c r="BS412" i="57"/>
  <c r="BR412" i="57"/>
  <c r="BQ412" i="57"/>
  <c r="BP412" i="57"/>
  <c r="BO412" i="57"/>
  <c r="BN412" i="57"/>
  <c r="BM412" i="57"/>
  <c r="BL412" i="57"/>
  <c r="BG412" i="57"/>
  <c r="BF412" i="57"/>
  <c r="BE412" i="57"/>
  <c r="BD412" i="57"/>
  <c r="BC412" i="57"/>
  <c r="BB412" i="57"/>
  <c r="BA412" i="57"/>
  <c r="AZ412" i="57"/>
  <c r="AY412" i="57"/>
  <c r="AX412" i="57"/>
  <c r="AW412" i="57"/>
  <c r="AV412" i="57"/>
  <c r="AU412" i="57"/>
  <c r="AT412" i="57"/>
  <c r="AS412" i="57"/>
  <c r="AP412" i="57"/>
  <c r="BI412" i="57" s="1"/>
  <c r="BZ411" i="57"/>
  <c r="BY411" i="57"/>
  <c r="BX411" i="57"/>
  <c r="BW411" i="57"/>
  <c r="BV411" i="57"/>
  <c r="BU411" i="57"/>
  <c r="BT411" i="57"/>
  <c r="BS411" i="57"/>
  <c r="BR411" i="57"/>
  <c r="BQ411" i="57"/>
  <c r="BP411" i="57"/>
  <c r="BO411" i="57"/>
  <c r="BN411" i="57"/>
  <c r="BM411" i="57"/>
  <c r="BL411" i="57"/>
  <c r="BG411" i="57"/>
  <c r="BF411" i="57"/>
  <c r="BE411" i="57"/>
  <c r="BD411" i="57"/>
  <c r="BC411" i="57"/>
  <c r="BB411" i="57"/>
  <c r="BA411" i="57"/>
  <c r="AZ411" i="57"/>
  <c r="AY411" i="57"/>
  <c r="AX411" i="57"/>
  <c r="AW411" i="57"/>
  <c r="AV411" i="57"/>
  <c r="AU411" i="57"/>
  <c r="AT411" i="57"/>
  <c r="AS411" i="57"/>
  <c r="AR411" i="57"/>
  <c r="BK411" i="57" s="1"/>
  <c r="AQ411" i="57"/>
  <c r="BJ411" i="57" s="1"/>
  <c r="AP411" i="57"/>
  <c r="BI411" i="57" s="1"/>
  <c r="AP410" i="57"/>
  <c r="BI410" i="57" s="1"/>
  <c r="BZ409" i="57"/>
  <c r="BY409" i="57"/>
  <c r="BX409" i="57"/>
  <c r="BW409" i="57"/>
  <c r="BV409" i="57"/>
  <c r="BU409" i="57"/>
  <c r="BT409" i="57"/>
  <c r="BS409" i="57"/>
  <c r="BR409" i="57"/>
  <c r="BQ409" i="57"/>
  <c r="BP409" i="57"/>
  <c r="BO409" i="57"/>
  <c r="BN409" i="57"/>
  <c r="BM409" i="57"/>
  <c r="BL409" i="57"/>
  <c r="BG409" i="57"/>
  <c r="BF409" i="57"/>
  <c r="BE409" i="57"/>
  <c r="BD409" i="57"/>
  <c r="BC409" i="57"/>
  <c r="BB409" i="57"/>
  <c r="BA409" i="57"/>
  <c r="AZ409" i="57"/>
  <c r="AY409" i="57"/>
  <c r="AX409" i="57"/>
  <c r="AW409" i="57"/>
  <c r="AV409" i="57"/>
  <c r="AU409" i="57"/>
  <c r="AT409" i="57"/>
  <c r="AS409" i="57"/>
  <c r="AP409" i="57"/>
  <c r="BI409" i="57" s="1"/>
  <c r="BZ408" i="57"/>
  <c r="BY408" i="57"/>
  <c r="BX408" i="57"/>
  <c r="BW408" i="57"/>
  <c r="BV408" i="57"/>
  <c r="BU408" i="57"/>
  <c r="BT408" i="57"/>
  <c r="BS408" i="57"/>
  <c r="BR408" i="57"/>
  <c r="BQ408" i="57"/>
  <c r="BP408" i="57"/>
  <c r="BO408" i="57"/>
  <c r="BN408" i="57"/>
  <c r="BM408" i="57"/>
  <c r="BL408" i="57"/>
  <c r="BG408" i="57"/>
  <c r="BF408" i="57"/>
  <c r="BE408" i="57"/>
  <c r="BD408" i="57"/>
  <c r="BC408" i="57"/>
  <c r="BB408" i="57"/>
  <c r="BA408" i="57"/>
  <c r="AZ408" i="57"/>
  <c r="AY408" i="57"/>
  <c r="AX408" i="57"/>
  <c r="AW408" i="57"/>
  <c r="AV408" i="57"/>
  <c r="AU408" i="57"/>
  <c r="AT408" i="57"/>
  <c r="AS408" i="57"/>
  <c r="AR408" i="57"/>
  <c r="BK408" i="57" s="1"/>
  <c r="AQ408" i="57"/>
  <c r="BJ408" i="57" s="1"/>
  <c r="AP408" i="57"/>
  <c r="BI408" i="57" s="1"/>
  <c r="AP407" i="57"/>
  <c r="BI407" i="57" s="1"/>
  <c r="BZ406" i="57"/>
  <c r="BY406" i="57"/>
  <c r="BX406" i="57"/>
  <c r="BW406" i="57"/>
  <c r="BV406" i="57"/>
  <c r="BU406" i="57"/>
  <c r="BT406" i="57"/>
  <c r="BS406" i="57"/>
  <c r="BR406" i="57"/>
  <c r="BQ406" i="57"/>
  <c r="BP406" i="57"/>
  <c r="BO406" i="57"/>
  <c r="BN406" i="57"/>
  <c r="BM406" i="57"/>
  <c r="BL406" i="57"/>
  <c r="BG406" i="57"/>
  <c r="BF406" i="57"/>
  <c r="BE406" i="57"/>
  <c r="BD406" i="57"/>
  <c r="BC406" i="57"/>
  <c r="BB406" i="57"/>
  <c r="BA406" i="57"/>
  <c r="AZ406" i="57"/>
  <c r="AY406" i="57"/>
  <c r="AX406" i="57"/>
  <c r="AW406" i="57"/>
  <c r="AV406" i="57"/>
  <c r="AU406" i="57"/>
  <c r="AT406" i="57"/>
  <c r="AS406" i="57"/>
  <c r="AP406" i="57"/>
  <c r="BI406" i="57" s="1"/>
  <c r="BZ405" i="57"/>
  <c r="BY405" i="57"/>
  <c r="BX405" i="57"/>
  <c r="BW405" i="57"/>
  <c r="BV405" i="57"/>
  <c r="BU405" i="57"/>
  <c r="BT405" i="57"/>
  <c r="BS405" i="57"/>
  <c r="BR405" i="57"/>
  <c r="BQ405" i="57"/>
  <c r="BP405" i="57"/>
  <c r="BO405" i="57"/>
  <c r="BN405" i="57"/>
  <c r="BM405" i="57"/>
  <c r="BL405" i="57"/>
  <c r="BG405" i="57"/>
  <c r="BF405" i="57"/>
  <c r="BE405" i="57"/>
  <c r="BD405" i="57"/>
  <c r="BC405" i="57"/>
  <c r="BB405" i="57"/>
  <c r="BA405" i="57"/>
  <c r="AZ405" i="57"/>
  <c r="AY405" i="57"/>
  <c r="AX405" i="57"/>
  <c r="AW405" i="57"/>
  <c r="AV405" i="57"/>
  <c r="AU405" i="57"/>
  <c r="AT405" i="57"/>
  <c r="AS405" i="57"/>
  <c r="AR405" i="57"/>
  <c r="BK405" i="57" s="1"/>
  <c r="AQ405" i="57"/>
  <c r="BJ405" i="57" s="1"/>
  <c r="AP405" i="57"/>
  <c r="BI405" i="57" s="1"/>
  <c r="AP404" i="57"/>
  <c r="BI404" i="57" s="1"/>
  <c r="BZ403" i="57"/>
  <c r="BY403" i="57"/>
  <c r="BX403" i="57"/>
  <c r="BW403" i="57"/>
  <c r="BV403" i="57"/>
  <c r="BU403" i="57"/>
  <c r="BT403" i="57"/>
  <c r="BS403" i="57"/>
  <c r="BR403" i="57"/>
  <c r="BQ403" i="57"/>
  <c r="BP403" i="57"/>
  <c r="BO403" i="57"/>
  <c r="BN403" i="57"/>
  <c r="BM403" i="57"/>
  <c r="BL403" i="57"/>
  <c r="BG403" i="57"/>
  <c r="BF403" i="57"/>
  <c r="BE403" i="57"/>
  <c r="BD403" i="57"/>
  <c r="BC403" i="57"/>
  <c r="BB403" i="57"/>
  <c r="BA403" i="57"/>
  <c r="AZ403" i="57"/>
  <c r="AY403" i="57"/>
  <c r="AX403" i="57"/>
  <c r="AW403" i="57"/>
  <c r="AV403" i="57"/>
  <c r="AU403" i="57"/>
  <c r="AT403" i="57"/>
  <c r="AS403" i="57"/>
  <c r="AP403" i="57"/>
  <c r="BI403" i="57" s="1"/>
  <c r="BZ402" i="57"/>
  <c r="BY402" i="57"/>
  <c r="BX402" i="57"/>
  <c r="BW402" i="57"/>
  <c r="BV402" i="57"/>
  <c r="BU402" i="57"/>
  <c r="BT402" i="57"/>
  <c r="BS402" i="57"/>
  <c r="BR402" i="57"/>
  <c r="BQ402" i="57"/>
  <c r="BP402" i="57"/>
  <c r="BO402" i="57"/>
  <c r="BN402" i="57"/>
  <c r="BM402" i="57"/>
  <c r="BL402" i="57"/>
  <c r="BG402" i="57"/>
  <c r="BF402" i="57"/>
  <c r="BE402" i="57"/>
  <c r="BD402" i="57"/>
  <c r="BC402" i="57"/>
  <c r="BB402" i="57"/>
  <c r="BA402" i="57"/>
  <c r="AZ402" i="57"/>
  <c r="AY402" i="57"/>
  <c r="AX402" i="57"/>
  <c r="AW402" i="57"/>
  <c r="AV402" i="57"/>
  <c r="AU402" i="57"/>
  <c r="AT402" i="57"/>
  <c r="AS402" i="57"/>
  <c r="AR402" i="57"/>
  <c r="BK402" i="57" s="1"/>
  <c r="AQ402" i="57"/>
  <c r="BJ402" i="57" s="1"/>
  <c r="AP402" i="57"/>
  <c r="BI402" i="57" s="1"/>
  <c r="BI401" i="57"/>
  <c r="AP401" i="57"/>
  <c r="BZ400" i="57"/>
  <c r="BY400" i="57"/>
  <c r="BX400" i="57"/>
  <c r="BW400" i="57"/>
  <c r="BV400" i="57"/>
  <c r="BU400" i="57"/>
  <c r="BT400" i="57"/>
  <c r="BS400" i="57"/>
  <c r="BR400" i="57"/>
  <c r="BQ400" i="57"/>
  <c r="BP400" i="57"/>
  <c r="BO400" i="57"/>
  <c r="BN400" i="57"/>
  <c r="BM400" i="57"/>
  <c r="BL400" i="57"/>
  <c r="BG400" i="57"/>
  <c r="BF400" i="57"/>
  <c r="BE400" i="57"/>
  <c r="BD400" i="57"/>
  <c r="BC400" i="57"/>
  <c r="BB400" i="57"/>
  <c r="BA400" i="57"/>
  <c r="AZ400" i="57"/>
  <c r="AY400" i="57"/>
  <c r="AX400" i="57"/>
  <c r="AW400" i="57"/>
  <c r="AV400" i="57"/>
  <c r="AU400" i="57"/>
  <c r="AT400" i="57"/>
  <c r="AS400" i="57"/>
  <c r="AP400" i="57"/>
  <c r="BI400" i="57" s="1"/>
  <c r="BZ399" i="57"/>
  <c r="BY399" i="57"/>
  <c r="BX399" i="57"/>
  <c r="BW399" i="57"/>
  <c r="BV399" i="57"/>
  <c r="BU399" i="57"/>
  <c r="BT399" i="57"/>
  <c r="BS399" i="57"/>
  <c r="BR399" i="57"/>
  <c r="BQ399" i="57"/>
  <c r="BP399" i="57"/>
  <c r="BO399" i="57"/>
  <c r="BN399" i="57"/>
  <c r="BM399" i="57"/>
  <c r="BL399" i="57"/>
  <c r="BG399" i="57"/>
  <c r="BF399" i="57"/>
  <c r="BE399" i="57"/>
  <c r="BD399" i="57"/>
  <c r="BC399" i="57"/>
  <c r="BB399" i="57"/>
  <c r="BA399" i="57"/>
  <c r="AZ399" i="57"/>
  <c r="AY399" i="57"/>
  <c r="AX399" i="57"/>
  <c r="AW399" i="57"/>
  <c r="AV399" i="57"/>
  <c r="AU399" i="57"/>
  <c r="AT399" i="57"/>
  <c r="AS399" i="57"/>
  <c r="AR399" i="57"/>
  <c r="BK399" i="57" s="1"/>
  <c r="AQ399" i="57"/>
  <c r="BJ399" i="57" s="1"/>
  <c r="AP399" i="57"/>
  <c r="BI399" i="57" s="1"/>
  <c r="AP398" i="57"/>
  <c r="BI398" i="57" s="1"/>
  <c r="BZ397" i="57"/>
  <c r="BY397" i="57"/>
  <c r="BX397" i="57"/>
  <c r="BW397" i="57"/>
  <c r="BV397" i="57"/>
  <c r="BU397" i="57"/>
  <c r="BT397" i="57"/>
  <c r="BS397" i="57"/>
  <c r="BR397" i="57"/>
  <c r="BQ397" i="57"/>
  <c r="BP397" i="57"/>
  <c r="BO397" i="57"/>
  <c r="BN397" i="57"/>
  <c r="BM397" i="57"/>
  <c r="BL397" i="57"/>
  <c r="BG397" i="57"/>
  <c r="BF397" i="57"/>
  <c r="BE397" i="57"/>
  <c r="BD397" i="57"/>
  <c r="BC397" i="57"/>
  <c r="BB397" i="57"/>
  <c r="BA397" i="57"/>
  <c r="AZ397" i="57"/>
  <c r="AY397" i="57"/>
  <c r="AX397" i="57"/>
  <c r="AW397" i="57"/>
  <c r="AV397" i="57"/>
  <c r="AU397" i="57"/>
  <c r="AT397" i="57"/>
  <c r="AS397" i="57"/>
  <c r="AP397" i="57"/>
  <c r="BI397" i="57" s="1"/>
  <c r="BZ396" i="57"/>
  <c r="BY396" i="57"/>
  <c r="BX396" i="57"/>
  <c r="BW396" i="57"/>
  <c r="BV396" i="57"/>
  <c r="BU396" i="57"/>
  <c r="BT396" i="57"/>
  <c r="BS396" i="57"/>
  <c r="BR396" i="57"/>
  <c r="BQ396" i="57"/>
  <c r="BP396" i="57"/>
  <c r="BO396" i="57"/>
  <c r="BN396" i="57"/>
  <c r="BM396" i="57"/>
  <c r="BL396" i="57"/>
  <c r="BG396" i="57"/>
  <c r="BF396" i="57"/>
  <c r="BE396" i="57"/>
  <c r="BD396" i="57"/>
  <c r="BC396" i="57"/>
  <c r="BB396" i="57"/>
  <c r="BA396" i="57"/>
  <c r="AZ396" i="57"/>
  <c r="AY396" i="57"/>
  <c r="AX396" i="57"/>
  <c r="AW396" i="57"/>
  <c r="AV396" i="57"/>
  <c r="AU396" i="57"/>
  <c r="AT396" i="57"/>
  <c r="AS396" i="57"/>
  <c r="AR396" i="57"/>
  <c r="BK396" i="57" s="1"/>
  <c r="AQ396" i="57"/>
  <c r="BJ396" i="57" s="1"/>
  <c r="AP396" i="57"/>
  <c r="BI396" i="57" s="1"/>
  <c r="AP395" i="57"/>
  <c r="BI395" i="57" s="1"/>
  <c r="BZ394" i="57"/>
  <c r="BY394" i="57"/>
  <c r="BX394" i="57"/>
  <c r="BW394" i="57"/>
  <c r="BV394" i="57"/>
  <c r="BU394" i="57"/>
  <c r="BT394" i="57"/>
  <c r="BS394" i="57"/>
  <c r="BR394" i="57"/>
  <c r="BQ394" i="57"/>
  <c r="BP394" i="57"/>
  <c r="BO394" i="57"/>
  <c r="BN394" i="57"/>
  <c r="BM394" i="57"/>
  <c r="BL394" i="57"/>
  <c r="BG394" i="57"/>
  <c r="BF394" i="57"/>
  <c r="BE394" i="57"/>
  <c r="BD394" i="57"/>
  <c r="BC394" i="57"/>
  <c r="BB394" i="57"/>
  <c r="BA394" i="57"/>
  <c r="AZ394" i="57"/>
  <c r="AY394" i="57"/>
  <c r="AX394" i="57"/>
  <c r="AW394" i="57"/>
  <c r="AV394" i="57"/>
  <c r="AU394" i="57"/>
  <c r="AT394" i="57"/>
  <c r="AS394" i="57"/>
  <c r="AP394" i="57"/>
  <c r="BI394" i="57" s="1"/>
  <c r="BZ393" i="57"/>
  <c r="BY393" i="57"/>
  <c r="BX393" i="57"/>
  <c r="BW393" i="57"/>
  <c r="BV393" i="57"/>
  <c r="BU393" i="57"/>
  <c r="BT393" i="57"/>
  <c r="BS393" i="57"/>
  <c r="BR393" i="57"/>
  <c r="BQ393" i="57"/>
  <c r="BP393" i="57"/>
  <c r="BO393" i="57"/>
  <c r="BN393" i="57"/>
  <c r="BM393" i="57"/>
  <c r="BL393" i="57"/>
  <c r="BG393" i="57"/>
  <c r="BF393" i="57"/>
  <c r="BE393" i="57"/>
  <c r="BD393" i="57"/>
  <c r="BC393" i="57"/>
  <c r="BB393" i="57"/>
  <c r="BA393" i="57"/>
  <c r="AZ393" i="57"/>
  <c r="AY393" i="57"/>
  <c r="AX393" i="57"/>
  <c r="AW393" i="57"/>
  <c r="AV393" i="57"/>
  <c r="AU393" i="57"/>
  <c r="AT393" i="57"/>
  <c r="AS393" i="57"/>
  <c r="AR393" i="57"/>
  <c r="BK393" i="57" s="1"/>
  <c r="AQ393" i="57"/>
  <c r="BJ393" i="57" s="1"/>
  <c r="AP393" i="57"/>
  <c r="BI393" i="57" s="1"/>
  <c r="AP392" i="57"/>
  <c r="BI392" i="57" s="1"/>
  <c r="BZ391" i="57"/>
  <c r="BY391" i="57"/>
  <c r="BX391" i="57"/>
  <c r="BW391" i="57"/>
  <c r="BV391" i="57"/>
  <c r="BU391" i="57"/>
  <c r="BT391" i="57"/>
  <c r="BS391" i="57"/>
  <c r="BR391" i="57"/>
  <c r="BQ391" i="57"/>
  <c r="BP391" i="57"/>
  <c r="BO391" i="57"/>
  <c r="BN391" i="57"/>
  <c r="BM391" i="57"/>
  <c r="BL391" i="57"/>
  <c r="BG391" i="57"/>
  <c r="BF391" i="57"/>
  <c r="BE391" i="57"/>
  <c r="BD391" i="57"/>
  <c r="BC391" i="57"/>
  <c r="BB391" i="57"/>
  <c r="BA391" i="57"/>
  <c r="AZ391" i="57"/>
  <c r="AY391" i="57"/>
  <c r="AX391" i="57"/>
  <c r="AW391" i="57"/>
  <c r="AV391" i="57"/>
  <c r="AU391" i="57"/>
  <c r="AT391" i="57"/>
  <c r="AS391" i="57"/>
  <c r="AP391" i="57"/>
  <c r="BI391" i="57" s="1"/>
  <c r="BZ390" i="57"/>
  <c r="BY390" i="57"/>
  <c r="BX390" i="57"/>
  <c r="BW390" i="57"/>
  <c r="BV390" i="57"/>
  <c r="BU390" i="57"/>
  <c r="BT390" i="57"/>
  <c r="BS390" i="57"/>
  <c r="BR390" i="57"/>
  <c r="BQ390" i="57"/>
  <c r="BP390" i="57"/>
  <c r="BO390" i="57"/>
  <c r="BN390" i="57"/>
  <c r="BM390" i="57"/>
  <c r="BL390" i="57"/>
  <c r="BG390" i="57"/>
  <c r="BF390" i="57"/>
  <c r="BE390" i="57"/>
  <c r="BD390" i="57"/>
  <c r="BC390" i="57"/>
  <c r="BB390" i="57"/>
  <c r="BA390" i="57"/>
  <c r="AZ390" i="57"/>
  <c r="AY390" i="57"/>
  <c r="AX390" i="57"/>
  <c r="AW390" i="57"/>
  <c r="AV390" i="57"/>
  <c r="AU390" i="57"/>
  <c r="AT390" i="57"/>
  <c r="AS390" i="57"/>
  <c r="AR390" i="57"/>
  <c r="BK390" i="57" s="1"/>
  <c r="AQ390" i="57"/>
  <c r="BJ390" i="57" s="1"/>
  <c r="AP390" i="57"/>
  <c r="BI390" i="57" s="1"/>
  <c r="BI389" i="57"/>
  <c r="AP389" i="57"/>
  <c r="BZ388" i="57"/>
  <c r="BY388" i="57"/>
  <c r="BX388" i="57"/>
  <c r="BW388" i="57"/>
  <c r="BV388" i="57"/>
  <c r="BU388" i="57"/>
  <c r="BT388" i="57"/>
  <c r="BS388" i="57"/>
  <c r="BR388" i="57"/>
  <c r="BQ388" i="57"/>
  <c r="BP388" i="57"/>
  <c r="BO388" i="57"/>
  <c r="BN388" i="57"/>
  <c r="BM388" i="57"/>
  <c r="BL388" i="57"/>
  <c r="BG388" i="57"/>
  <c r="BF388" i="57"/>
  <c r="BE388" i="57"/>
  <c r="BD388" i="57"/>
  <c r="BC388" i="57"/>
  <c r="BB388" i="57"/>
  <c r="BA388" i="57"/>
  <c r="AZ388" i="57"/>
  <c r="AY388" i="57"/>
  <c r="AX388" i="57"/>
  <c r="AW388" i="57"/>
  <c r="AV388" i="57"/>
  <c r="AU388" i="57"/>
  <c r="AT388" i="57"/>
  <c r="AS388" i="57"/>
  <c r="AP388" i="57"/>
  <c r="BI388" i="57" s="1"/>
  <c r="BZ387" i="57"/>
  <c r="BY387" i="57"/>
  <c r="BX387" i="57"/>
  <c r="BW387" i="57"/>
  <c r="BV387" i="57"/>
  <c r="BU387" i="57"/>
  <c r="BT387" i="57"/>
  <c r="BS387" i="57"/>
  <c r="BR387" i="57"/>
  <c r="BQ387" i="57"/>
  <c r="BP387" i="57"/>
  <c r="BO387" i="57"/>
  <c r="BN387" i="57"/>
  <c r="BM387" i="57"/>
  <c r="BL387" i="57"/>
  <c r="BG387" i="57"/>
  <c r="BF387" i="57"/>
  <c r="BE387" i="57"/>
  <c r="BD387" i="57"/>
  <c r="BC387" i="57"/>
  <c r="BB387" i="57"/>
  <c r="BA387" i="57"/>
  <c r="AZ387" i="57"/>
  <c r="AY387" i="57"/>
  <c r="AX387" i="57"/>
  <c r="AW387" i="57"/>
  <c r="AV387" i="57"/>
  <c r="AU387" i="57"/>
  <c r="AT387" i="57"/>
  <c r="AS387" i="57"/>
  <c r="AR387" i="57"/>
  <c r="BK387" i="57" s="1"/>
  <c r="AQ387" i="57"/>
  <c r="BJ387" i="57" s="1"/>
  <c r="AP387" i="57"/>
  <c r="BI387" i="57" s="1"/>
  <c r="BI386" i="57"/>
  <c r="AP386" i="57"/>
  <c r="BZ385" i="57"/>
  <c r="BY385" i="57"/>
  <c r="BX385" i="57"/>
  <c r="BW385" i="57"/>
  <c r="BV385" i="57"/>
  <c r="BU385" i="57"/>
  <c r="BT385" i="57"/>
  <c r="BS385" i="57"/>
  <c r="BR385" i="57"/>
  <c r="BQ385" i="57"/>
  <c r="BP385" i="57"/>
  <c r="BO385" i="57"/>
  <c r="BN385" i="57"/>
  <c r="BM385" i="57"/>
  <c r="BL385" i="57"/>
  <c r="BG385" i="57"/>
  <c r="BF385" i="57"/>
  <c r="BE385" i="57"/>
  <c r="BD385" i="57"/>
  <c r="BC385" i="57"/>
  <c r="BB385" i="57"/>
  <c r="BA385" i="57"/>
  <c r="AZ385" i="57"/>
  <c r="AY385" i="57"/>
  <c r="AX385" i="57"/>
  <c r="AW385" i="57"/>
  <c r="AV385" i="57"/>
  <c r="AU385" i="57"/>
  <c r="AT385" i="57"/>
  <c r="AS385" i="57"/>
  <c r="AP385" i="57"/>
  <c r="BI385" i="57" s="1"/>
  <c r="BZ384" i="57"/>
  <c r="BY384" i="57"/>
  <c r="BX384" i="57"/>
  <c r="BW384" i="57"/>
  <c r="BV384" i="57"/>
  <c r="BU384" i="57"/>
  <c r="BT384" i="57"/>
  <c r="BS384" i="57"/>
  <c r="BR384" i="57"/>
  <c r="BQ384" i="57"/>
  <c r="BP384" i="57"/>
  <c r="BO384" i="57"/>
  <c r="BN384" i="57"/>
  <c r="BM384" i="57"/>
  <c r="BL384" i="57"/>
  <c r="BG384" i="57"/>
  <c r="BF384" i="57"/>
  <c r="BE384" i="57"/>
  <c r="BD384" i="57"/>
  <c r="BC384" i="57"/>
  <c r="BB384" i="57"/>
  <c r="BA384" i="57"/>
  <c r="AZ384" i="57"/>
  <c r="AY384" i="57"/>
  <c r="AX384" i="57"/>
  <c r="AW384" i="57"/>
  <c r="AV384" i="57"/>
  <c r="AU384" i="57"/>
  <c r="AT384" i="57"/>
  <c r="AS384" i="57"/>
  <c r="AR384" i="57"/>
  <c r="BK384" i="57" s="1"/>
  <c r="AQ384" i="57"/>
  <c r="BJ384" i="57" s="1"/>
  <c r="AP384" i="57"/>
  <c r="BI384" i="57" s="1"/>
  <c r="AP383" i="57"/>
  <c r="BI383" i="57" s="1"/>
  <c r="BZ382" i="57"/>
  <c r="BY382" i="57"/>
  <c r="BX382" i="57"/>
  <c r="BW382" i="57"/>
  <c r="BV382" i="57"/>
  <c r="BU382" i="57"/>
  <c r="BT382" i="57"/>
  <c r="BS382" i="57"/>
  <c r="BR382" i="57"/>
  <c r="BQ382" i="57"/>
  <c r="BP382" i="57"/>
  <c r="BO382" i="57"/>
  <c r="BN382" i="57"/>
  <c r="BM382" i="57"/>
  <c r="BL382" i="57"/>
  <c r="BG382" i="57"/>
  <c r="BF382" i="57"/>
  <c r="BE382" i="57"/>
  <c r="BD382" i="57"/>
  <c r="BC382" i="57"/>
  <c r="BB382" i="57"/>
  <c r="BA382" i="57"/>
  <c r="AZ382" i="57"/>
  <c r="AY382" i="57"/>
  <c r="AX382" i="57"/>
  <c r="AW382" i="57"/>
  <c r="AV382" i="57"/>
  <c r="AU382" i="57"/>
  <c r="AT382" i="57"/>
  <c r="AS382" i="57"/>
  <c r="AP382" i="57"/>
  <c r="BI382" i="57" s="1"/>
  <c r="BZ381" i="57"/>
  <c r="BY381" i="57"/>
  <c r="BX381" i="57"/>
  <c r="BW381" i="57"/>
  <c r="BV381" i="57"/>
  <c r="BU381" i="57"/>
  <c r="BT381" i="57"/>
  <c r="BS381" i="57"/>
  <c r="BR381" i="57"/>
  <c r="BQ381" i="57"/>
  <c r="BP381" i="57"/>
  <c r="BO381" i="57"/>
  <c r="BN381" i="57"/>
  <c r="BM381" i="57"/>
  <c r="BL381" i="57"/>
  <c r="BG381" i="57"/>
  <c r="BF381" i="57"/>
  <c r="BE381" i="57"/>
  <c r="BD381" i="57"/>
  <c r="BC381" i="57"/>
  <c r="BB381" i="57"/>
  <c r="BA381" i="57"/>
  <c r="AZ381" i="57"/>
  <c r="AY381" i="57"/>
  <c r="AX381" i="57"/>
  <c r="AW381" i="57"/>
  <c r="AV381" i="57"/>
  <c r="AU381" i="57"/>
  <c r="AT381" i="57"/>
  <c r="AS381" i="57"/>
  <c r="AR381" i="57"/>
  <c r="BK381" i="57" s="1"/>
  <c r="AQ381" i="57"/>
  <c r="BJ381" i="57" s="1"/>
  <c r="AP381" i="57"/>
  <c r="BI381" i="57" s="1"/>
  <c r="AP380" i="57"/>
  <c r="BI380" i="57" s="1"/>
  <c r="BZ379" i="57"/>
  <c r="BY379" i="57"/>
  <c r="BX379" i="57"/>
  <c r="BW379" i="57"/>
  <c r="BV379" i="57"/>
  <c r="BU379" i="57"/>
  <c r="BT379" i="57"/>
  <c r="BS379" i="57"/>
  <c r="BR379" i="57"/>
  <c r="BQ379" i="57"/>
  <c r="BP379" i="57"/>
  <c r="BO379" i="57"/>
  <c r="BN379" i="57"/>
  <c r="BM379" i="57"/>
  <c r="BL379" i="57"/>
  <c r="BG379" i="57"/>
  <c r="BF379" i="57"/>
  <c r="BE379" i="57"/>
  <c r="BD379" i="57"/>
  <c r="BC379" i="57"/>
  <c r="BB379" i="57"/>
  <c r="BA379" i="57"/>
  <c r="AZ379" i="57"/>
  <c r="AY379" i="57"/>
  <c r="AX379" i="57"/>
  <c r="AW379" i="57"/>
  <c r="AV379" i="57"/>
  <c r="AU379" i="57"/>
  <c r="AT379" i="57"/>
  <c r="AS379" i="57"/>
  <c r="AP379" i="57"/>
  <c r="BI379" i="57" s="1"/>
  <c r="BZ378" i="57"/>
  <c r="BY378" i="57"/>
  <c r="BX378" i="57"/>
  <c r="BW378" i="57"/>
  <c r="BV378" i="57"/>
  <c r="BU378" i="57"/>
  <c r="BT378" i="57"/>
  <c r="BS378" i="57"/>
  <c r="BR378" i="57"/>
  <c r="BQ378" i="57"/>
  <c r="BP378" i="57"/>
  <c r="BO378" i="57"/>
  <c r="BN378" i="57"/>
  <c r="BM378" i="57"/>
  <c r="BL378" i="57"/>
  <c r="BG378" i="57"/>
  <c r="BF378" i="57"/>
  <c r="BE378" i="57"/>
  <c r="BD378" i="57"/>
  <c r="BC378" i="57"/>
  <c r="BB378" i="57"/>
  <c r="BA378" i="57"/>
  <c r="AZ378" i="57"/>
  <c r="AY378" i="57"/>
  <c r="AX378" i="57"/>
  <c r="AW378" i="57"/>
  <c r="AV378" i="57"/>
  <c r="AU378" i="57"/>
  <c r="AT378" i="57"/>
  <c r="AS378" i="57"/>
  <c r="AR378" i="57"/>
  <c r="BK378" i="57" s="1"/>
  <c r="AQ378" i="57"/>
  <c r="BJ378" i="57" s="1"/>
  <c r="AP378" i="57"/>
  <c r="BI378" i="57" s="1"/>
  <c r="AP377" i="57"/>
  <c r="BI377" i="57" s="1"/>
  <c r="BZ376" i="57"/>
  <c r="BY376" i="57"/>
  <c r="BX376" i="57"/>
  <c r="BW376" i="57"/>
  <c r="BV376" i="57"/>
  <c r="BU376" i="57"/>
  <c r="BT376" i="57"/>
  <c r="BS376" i="57"/>
  <c r="BR376" i="57"/>
  <c r="BQ376" i="57"/>
  <c r="BP376" i="57"/>
  <c r="BO376" i="57"/>
  <c r="BN376" i="57"/>
  <c r="BM376" i="57"/>
  <c r="BL376" i="57"/>
  <c r="BG376" i="57"/>
  <c r="BF376" i="57"/>
  <c r="BE376" i="57"/>
  <c r="BD376" i="57"/>
  <c r="BC376" i="57"/>
  <c r="BB376" i="57"/>
  <c r="BA376" i="57"/>
  <c r="AZ376" i="57"/>
  <c r="AY376" i="57"/>
  <c r="AX376" i="57"/>
  <c r="AW376" i="57"/>
  <c r="AV376" i="57"/>
  <c r="AU376" i="57"/>
  <c r="AT376" i="57"/>
  <c r="AS376" i="57"/>
  <c r="AP376" i="57"/>
  <c r="BI376" i="57" s="1"/>
  <c r="BZ375" i="57"/>
  <c r="BY375" i="57"/>
  <c r="BX375" i="57"/>
  <c r="BW375" i="57"/>
  <c r="BV375" i="57"/>
  <c r="BU375" i="57"/>
  <c r="BT375" i="57"/>
  <c r="BS375" i="57"/>
  <c r="BR375" i="57"/>
  <c r="BQ375" i="57"/>
  <c r="BP375" i="57"/>
  <c r="BO375" i="57"/>
  <c r="BN375" i="57"/>
  <c r="BM375" i="57"/>
  <c r="BL375" i="57"/>
  <c r="BG375" i="57"/>
  <c r="BF375" i="57"/>
  <c r="BE375" i="57"/>
  <c r="BD375" i="57"/>
  <c r="BC375" i="57"/>
  <c r="BB375" i="57"/>
  <c r="BA375" i="57"/>
  <c r="AZ375" i="57"/>
  <c r="AY375" i="57"/>
  <c r="AX375" i="57"/>
  <c r="AW375" i="57"/>
  <c r="AV375" i="57"/>
  <c r="AU375" i="57"/>
  <c r="AT375" i="57"/>
  <c r="AS375" i="57"/>
  <c r="AR375" i="57"/>
  <c r="BK375" i="57" s="1"/>
  <c r="AQ375" i="57"/>
  <c r="BJ375" i="57" s="1"/>
  <c r="AP375" i="57"/>
  <c r="BI375" i="57" s="1"/>
  <c r="AP374" i="57"/>
  <c r="BI374" i="57" s="1"/>
  <c r="BZ373" i="57"/>
  <c r="BY373" i="57"/>
  <c r="BX373" i="57"/>
  <c r="BW373" i="57"/>
  <c r="BV373" i="57"/>
  <c r="BU373" i="57"/>
  <c r="BT373" i="57"/>
  <c r="BS373" i="57"/>
  <c r="BR373" i="57"/>
  <c r="BQ373" i="57"/>
  <c r="BP373" i="57"/>
  <c r="BO373" i="57"/>
  <c r="BN373" i="57"/>
  <c r="BM373" i="57"/>
  <c r="BL373" i="57"/>
  <c r="BG373" i="57"/>
  <c r="BF373" i="57"/>
  <c r="BE373" i="57"/>
  <c r="BD373" i="57"/>
  <c r="BC373" i="57"/>
  <c r="BB373" i="57"/>
  <c r="BA373" i="57"/>
  <c r="AZ373" i="57"/>
  <c r="AY373" i="57"/>
  <c r="AX373" i="57"/>
  <c r="AW373" i="57"/>
  <c r="AV373" i="57"/>
  <c r="AU373" i="57"/>
  <c r="AT373" i="57"/>
  <c r="AS373" i="57"/>
  <c r="AP373" i="57"/>
  <c r="BI373" i="57" s="1"/>
  <c r="BZ372" i="57"/>
  <c r="BY372" i="57"/>
  <c r="BX372" i="57"/>
  <c r="BW372" i="57"/>
  <c r="BV372" i="57"/>
  <c r="BU372" i="57"/>
  <c r="BT372" i="57"/>
  <c r="BS372" i="57"/>
  <c r="BR372" i="57"/>
  <c r="BQ372" i="57"/>
  <c r="BP372" i="57"/>
  <c r="BO372" i="57"/>
  <c r="BN372" i="57"/>
  <c r="BM372" i="57"/>
  <c r="BL372" i="57"/>
  <c r="BG372" i="57"/>
  <c r="BF372" i="57"/>
  <c r="BE372" i="57"/>
  <c r="BD372" i="57"/>
  <c r="BC372" i="57"/>
  <c r="BB372" i="57"/>
  <c r="BA372" i="57"/>
  <c r="AZ372" i="57"/>
  <c r="AY372" i="57"/>
  <c r="AX372" i="57"/>
  <c r="AW372" i="57"/>
  <c r="AV372" i="57"/>
  <c r="AU372" i="57"/>
  <c r="AT372" i="57"/>
  <c r="AS372" i="57"/>
  <c r="AR372" i="57"/>
  <c r="BK372" i="57" s="1"/>
  <c r="AQ372" i="57"/>
  <c r="BJ372" i="57" s="1"/>
  <c r="AP372" i="57"/>
  <c r="BI372" i="57" s="1"/>
  <c r="AP371" i="57"/>
  <c r="BI371" i="57" s="1"/>
  <c r="BZ370" i="57"/>
  <c r="BY370" i="57"/>
  <c r="BX370" i="57"/>
  <c r="BW370" i="57"/>
  <c r="BV370" i="57"/>
  <c r="BU370" i="57"/>
  <c r="BT370" i="57"/>
  <c r="BS370" i="57"/>
  <c r="BR370" i="57"/>
  <c r="BQ370" i="57"/>
  <c r="BP370" i="57"/>
  <c r="BO370" i="57"/>
  <c r="BN370" i="57"/>
  <c r="BM370" i="57"/>
  <c r="BL370" i="57"/>
  <c r="BG370" i="57"/>
  <c r="BF370" i="57"/>
  <c r="BE370" i="57"/>
  <c r="BD370" i="57"/>
  <c r="BC370" i="57"/>
  <c r="BB370" i="57"/>
  <c r="BA370" i="57"/>
  <c r="AZ370" i="57"/>
  <c r="AY370" i="57"/>
  <c r="AX370" i="57"/>
  <c r="AW370" i="57"/>
  <c r="AV370" i="57"/>
  <c r="AU370" i="57"/>
  <c r="AT370" i="57"/>
  <c r="AS370" i="57"/>
  <c r="AP370" i="57"/>
  <c r="BI370" i="57" s="1"/>
  <c r="BZ369" i="57"/>
  <c r="BY369" i="57"/>
  <c r="BX369" i="57"/>
  <c r="BW369" i="57"/>
  <c r="BV369" i="57"/>
  <c r="BU369" i="57"/>
  <c r="BT369" i="57"/>
  <c r="BS369" i="57"/>
  <c r="BR369" i="57"/>
  <c r="BQ369" i="57"/>
  <c r="BP369" i="57"/>
  <c r="BO369" i="57"/>
  <c r="BN369" i="57"/>
  <c r="BM369" i="57"/>
  <c r="BL369" i="57"/>
  <c r="BG369" i="57"/>
  <c r="BF369" i="57"/>
  <c r="BE369" i="57"/>
  <c r="BD369" i="57"/>
  <c r="BC369" i="57"/>
  <c r="BB369" i="57"/>
  <c r="BA369" i="57"/>
  <c r="AZ369" i="57"/>
  <c r="AY369" i="57"/>
  <c r="AX369" i="57"/>
  <c r="AW369" i="57"/>
  <c r="AV369" i="57"/>
  <c r="AU369" i="57"/>
  <c r="AT369" i="57"/>
  <c r="AS369" i="57"/>
  <c r="AR369" i="57"/>
  <c r="BK369" i="57" s="1"/>
  <c r="AQ369" i="57"/>
  <c r="BJ369" i="57" s="1"/>
  <c r="AP369" i="57"/>
  <c r="BI369" i="57" s="1"/>
  <c r="AP368" i="57"/>
  <c r="BI368" i="57" s="1"/>
  <c r="BZ367" i="57"/>
  <c r="BY367" i="57"/>
  <c r="BX367" i="57"/>
  <c r="BW367" i="57"/>
  <c r="BV367" i="57"/>
  <c r="BU367" i="57"/>
  <c r="BT367" i="57"/>
  <c r="BS367" i="57"/>
  <c r="BR367" i="57"/>
  <c r="BQ367" i="57"/>
  <c r="BP367" i="57"/>
  <c r="BO367" i="57"/>
  <c r="BN367" i="57"/>
  <c r="BM367" i="57"/>
  <c r="BL367" i="57"/>
  <c r="BG367" i="57"/>
  <c r="BF367" i="57"/>
  <c r="BE367" i="57"/>
  <c r="BD367" i="57"/>
  <c r="BC367" i="57"/>
  <c r="BB367" i="57"/>
  <c r="BA367" i="57"/>
  <c r="AZ367" i="57"/>
  <c r="AY367" i="57"/>
  <c r="AX367" i="57"/>
  <c r="AW367" i="57"/>
  <c r="AV367" i="57"/>
  <c r="AU367" i="57"/>
  <c r="AT367" i="57"/>
  <c r="AS367" i="57"/>
  <c r="AP367" i="57"/>
  <c r="BI367" i="57" s="1"/>
  <c r="BZ366" i="57"/>
  <c r="BY366" i="57"/>
  <c r="BX366" i="57"/>
  <c r="BW366" i="57"/>
  <c r="BV366" i="57"/>
  <c r="BU366" i="57"/>
  <c r="BT366" i="57"/>
  <c r="BS366" i="57"/>
  <c r="BR366" i="57"/>
  <c r="BQ366" i="57"/>
  <c r="BP366" i="57"/>
  <c r="BO366" i="57"/>
  <c r="BN366" i="57"/>
  <c r="BM366" i="57"/>
  <c r="BL366" i="57"/>
  <c r="BG366" i="57"/>
  <c r="BF366" i="57"/>
  <c r="BE366" i="57"/>
  <c r="BD366" i="57"/>
  <c r="BC366" i="57"/>
  <c r="BB366" i="57"/>
  <c r="BA366" i="57"/>
  <c r="AZ366" i="57"/>
  <c r="AY366" i="57"/>
  <c r="AX366" i="57"/>
  <c r="AW366" i="57"/>
  <c r="AV366" i="57"/>
  <c r="AU366" i="57"/>
  <c r="AT366" i="57"/>
  <c r="AS366" i="57"/>
  <c r="AR366" i="57"/>
  <c r="BK366" i="57" s="1"/>
  <c r="AQ366" i="57"/>
  <c r="BJ366" i="57" s="1"/>
  <c r="AP366" i="57"/>
  <c r="BI366" i="57" s="1"/>
  <c r="AP365" i="57"/>
  <c r="BI365" i="57" s="1"/>
  <c r="BZ364" i="57"/>
  <c r="BY364" i="57"/>
  <c r="BX364" i="57"/>
  <c r="BW364" i="57"/>
  <c r="BV364" i="57"/>
  <c r="BU364" i="57"/>
  <c r="BT364" i="57"/>
  <c r="BS364" i="57"/>
  <c r="BR364" i="57"/>
  <c r="BQ364" i="57"/>
  <c r="BP364" i="57"/>
  <c r="BO364" i="57"/>
  <c r="BN364" i="57"/>
  <c r="BM364" i="57"/>
  <c r="BL364" i="57"/>
  <c r="BG364" i="57"/>
  <c r="BF364" i="57"/>
  <c r="BE364" i="57"/>
  <c r="BD364" i="57"/>
  <c r="BC364" i="57"/>
  <c r="BB364" i="57"/>
  <c r="BA364" i="57"/>
  <c r="AZ364" i="57"/>
  <c r="AY364" i="57"/>
  <c r="AX364" i="57"/>
  <c r="AW364" i="57"/>
  <c r="AV364" i="57"/>
  <c r="AU364" i="57"/>
  <c r="AT364" i="57"/>
  <c r="AS364" i="57"/>
  <c r="AP364" i="57"/>
  <c r="BI364" i="57" s="1"/>
  <c r="BZ363" i="57"/>
  <c r="BY363" i="57"/>
  <c r="BX363" i="57"/>
  <c r="BW363" i="57"/>
  <c r="BV363" i="57"/>
  <c r="BU363" i="57"/>
  <c r="BT363" i="57"/>
  <c r="BS363" i="57"/>
  <c r="BR363" i="57"/>
  <c r="BQ363" i="57"/>
  <c r="BP363" i="57"/>
  <c r="BO363" i="57"/>
  <c r="BN363" i="57"/>
  <c r="BM363" i="57"/>
  <c r="BL363" i="57"/>
  <c r="BG363" i="57"/>
  <c r="BF363" i="57"/>
  <c r="BE363" i="57"/>
  <c r="BD363" i="57"/>
  <c r="BC363" i="57"/>
  <c r="BB363" i="57"/>
  <c r="BA363" i="57"/>
  <c r="AZ363" i="57"/>
  <c r="AY363" i="57"/>
  <c r="AX363" i="57"/>
  <c r="AW363" i="57"/>
  <c r="AV363" i="57"/>
  <c r="AU363" i="57"/>
  <c r="AT363" i="57"/>
  <c r="AS363" i="57"/>
  <c r="AR363" i="57"/>
  <c r="BK363" i="57" s="1"/>
  <c r="AQ363" i="57"/>
  <c r="BJ363" i="57" s="1"/>
  <c r="AP363" i="57"/>
  <c r="BI363" i="57" s="1"/>
  <c r="AP362" i="57"/>
  <c r="BI362" i="57" s="1"/>
  <c r="BZ361" i="57"/>
  <c r="BY361" i="57"/>
  <c r="BX361" i="57"/>
  <c r="BW361" i="57"/>
  <c r="BV361" i="57"/>
  <c r="BU361" i="57"/>
  <c r="BT361" i="57"/>
  <c r="BS361" i="57"/>
  <c r="BR361" i="57"/>
  <c r="BQ361" i="57"/>
  <c r="BP361" i="57"/>
  <c r="BO361" i="57"/>
  <c r="BN361" i="57"/>
  <c r="BM361" i="57"/>
  <c r="BL361" i="57"/>
  <c r="BG361" i="57"/>
  <c r="BF361" i="57"/>
  <c r="BE361" i="57"/>
  <c r="BD361" i="57"/>
  <c r="BC361" i="57"/>
  <c r="BB361" i="57"/>
  <c r="BA361" i="57"/>
  <c r="AZ361" i="57"/>
  <c r="AY361" i="57"/>
  <c r="AX361" i="57"/>
  <c r="AW361" i="57"/>
  <c r="AV361" i="57"/>
  <c r="AU361" i="57"/>
  <c r="AT361" i="57"/>
  <c r="AS361" i="57"/>
  <c r="AP361" i="57"/>
  <c r="BI361" i="57" s="1"/>
  <c r="BZ360" i="57"/>
  <c r="BY360" i="57"/>
  <c r="BX360" i="57"/>
  <c r="BW360" i="57"/>
  <c r="BV360" i="57"/>
  <c r="BU360" i="57"/>
  <c r="BT360" i="57"/>
  <c r="BS360" i="57"/>
  <c r="BR360" i="57"/>
  <c r="BQ360" i="57"/>
  <c r="BP360" i="57"/>
  <c r="BO360" i="57"/>
  <c r="BN360" i="57"/>
  <c r="BM360" i="57"/>
  <c r="BL360" i="57"/>
  <c r="BG360" i="57"/>
  <c r="BF360" i="57"/>
  <c r="BE360" i="57"/>
  <c r="BD360" i="57"/>
  <c r="BC360" i="57"/>
  <c r="BB360" i="57"/>
  <c r="BA360" i="57"/>
  <c r="AZ360" i="57"/>
  <c r="AY360" i="57"/>
  <c r="AX360" i="57"/>
  <c r="AW360" i="57"/>
  <c r="AV360" i="57"/>
  <c r="AU360" i="57"/>
  <c r="AT360" i="57"/>
  <c r="AS360" i="57"/>
  <c r="AR360" i="57"/>
  <c r="BK360" i="57" s="1"/>
  <c r="AQ360" i="57"/>
  <c r="BJ360" i="57" s="1"/>
  <c r="AP360" i="57"/>
  <c r="BI360" i="57" s="1"/>
  <c r="AP359" i="57"/>
  <c r="BI359" i="57" s="1"/>
  <c r="BZ358" i="57"/>
  <c r="BY358" i="57"/>
  <c r="BX358" i="57"/>
  <c r="BW358" i="57"/>
  <c r="BV358" i="57"/>
  <c r="BU358" i="57"/>
  <c r="BT358" i="57"/>
  <c r="BS358" i="57"/>
  <c r="BR358" i="57"/>
  <c r="BQ358" i="57"/>
  <c r="BP358" i="57"/>
  <c r="BO358" i="57"/>
  <c r="BN358" i="57"/>
  <c r="BM358" i="57"/>
  <c r="BL358" i="57"/>
  <c r="BG358" i="57"/>
  <c r="BF358" i="57"/>
  <c r="BE358" i="57"/>
  <c r="BD358" i="57"/>
  <c r="BC358" i="57"/>
  <c r="BB358" i="57"/>
  <c r="BA358" i="57"/>
  <c r="AZ358" i="57"/>
  <c r="AY358" i="57"/>
  <c r="AX358" i="57"/>
  <c r="AW358" i="57"/>
  <c r="AV358" i="57"/>
  <c r="AU358" i="57"/>
  <c r="AT358" i="57"/>
  <c r="AS358" i="57"/>
  <c r="AP358" i="57"/>
  <c r="BI358" i="57" s="1"/>
  <c r="BZ357" i="57"/>
  <c r="BY357" i="57"/>
  <c r="BX357" i="57"/>
  <c r="BW357" i="57"/>
  <c r="BV357" i="57"/>
  <c r="BU357" i="57"/>
  <c r="BT357" i="57"/>
  <c r="BS357" i="57"/>
  <c r="BR357" i="57"/>
  <c r="BQ357" i="57"/>
  <c r="BP357" i="57"/>
  <c r="BO357" i="57"/>
  <c r="BN357" i="57"/>
  <c r="BM357" i="57"/>
  <c r="BL357" i="57"/>
  <c r="BJ357" i="57"/>
  <c r="BG357" i="57"/>
  <c r="BF357" i="57"/>
  <c r="BE357" i="57"/>
  <c r="BD357" i="57"/>
  <c r="BC357" i="57"/>
  <c r="BB357" i="57"/>
  <c r="BA357" i="57"/>
  <c r="AZ357" i="57"/>
  <c r="AY357" i="57"/>
  <c r="AX357" i="57"/>
  <c r="AW357" i="57"/>
  <c r="AV357" i="57"/>
  <c r="AU357" i="57"/>
  <c r="AT357" i="57"/>
  <c r="AS357" i="57"/>
  <c r="AR357" i="57"/>
  <c r="BK357" i="57" s="1"/>
  <c r="AQ357" i="57"/>
  <c r="AP357" i="57"/>
  <c r="BI357" i="57" s="1"/>
  <c r="AP356" i="57"/>
  <c r="BI356" i="57" s="1"/>
  <c r="BZ355" i="57"/>
  <c r="BY355" i="57"/>
  <c r="BX355" i="57"/>
  <c r="BW355" i="57"/>
  <c r="BV355" i="57"/>
  <c r="BU355" i="57"/>
  <c r="BT355" i="57"/>
  <c r="BS355" i="57"/>
  <c r="BR355" i="57"/>
  <c r="BQ355" i="57"/>
  <c r="BP355" i="57"/>
  <c r="BO355" i="57"/>
  <c r="BN355" i="57"/>
  <c r="BM355" i="57"/>
  <c r="BL355" i="57"/>
  <c r="BG355" i="57"/>
  <c r="BF355" i="57"/>
  <c r="BE355" i="57"/>
  <c r="BD355" i="57"/>
  <c r="BC355" i="57"/>
  <c r="BB355" i="57"/>
  <c r="BA355" i="57"/>
  <c r="AZ355" i="57"/>
  <c r="AY355" i="57"/>
  <c r="AX355" i="57"/>
  <c r="AW355" i="57"/>
  <c r="AV355" i="57"/>
  <c r="AU355" i="57"/>
  <c r="AT355" i="57"/>
  <c r="AS355" i="57"/>
  <c r="AP355" i="57"/>
  <c r="BI355" i="57" s="1"/>
  <c r="BZ354" i="57"/>
  <c r="BY354" i="57"/>
  <c r="BX354" i="57"/>
  <c r="BW354" i="57"/>
  <c r="BV354" i="57"/>
  <c r="BU354" i="57"/>
  <c r="BT354" i="57"/>
  <c r="BS354" i="57"/>
  <c r="BR354" i="57"/>
  <c r="BQ354" i="57"/>
  <c r="BP354" i="57"/>
  <c r="BO354" i="57"/>
  <c r="BN354" i="57"/>
  <c r="BM354" i="57"/>
  <c r="BL354" i="57"/>
  <c r="BG354" i="57"/>
  <c r="BF354" i="57"/>
  <c r="BE354" i="57"/>
  <c r="BD354" i="57"/>
  <c r="BC354" i="57"/>
  <c r="BB354" i="57"/>
  <c r="BA354" i="57"/>
  <c r="AZ354" i="57"/>
  <c r="AY354" i="57"/>
  <c r="AX354" i="57"/>
  <c r="AW354" i="57"/>
  <c r="AV354" i="57"/>
  <c r="AU354" i="57"/>
  <c r="AT354" i="57"/>
  <c r="AS354" i="57"/>
  <c r="AR354" i="57"/>
  <c r="BK354" i="57" s="1"/>
  <c r="AQ354" i="57"/>
  <c r="BJ354" i="57" s="1"/>
  <c r="AP354" i="57"/>
  <c r="BI354" i="57" s="1"/>
  <c r="AP353" i="57"/>
  <c r="BI353" i="57" s="1"/>
  <c r="BZ352" i="57"/>
  <c r="BY352" i="57"/>
  <c r="BX352" i="57"/>
  <c r="BW352" i="57"/>
  <c r="BV352" i="57"/>
  <c r="BU352" i="57"/>
  <c r="BT352" i="57"/>
  <c r="BS352" i="57"/>
  <c r="BR352" i="57"/>
  <c r="BQ352" i="57"/>
  <c r="BP352" i="57"/>
  <c r="BO352" i="57"/>
  <c r="BN352" i="57"/>
  <c r="BM352" i="57"/>
  <c r="BL352" i="57"/>
  <c r="BG352" i="57"/>
  <c r="BF352" i="57"/>
  <c r="BE352" i="57"/>
  <c r="BD352" i="57"/>
  <c r="BC352" i="57"/>
  <c r="BB352" i="57"/>
  <c r="BA352" i="57"/>
  <c r="AZ352" i="57"/>
  <c r="AY352" i="57"/>
  <c r="AX352" i="57"/>
  <c r="AW352" i="57"/>
  <c r="AV352" i="57"/>
  <c r="AU352" i="57"/>
  <c r="AT352" i="57"/>
  <c r="AS352" i="57"/>
  <c r="AP352" i="57"/>
  <c r="BI352" i="57" s="1"/>
  <c r="BZ351" i="57"/>
  <c r="BY351" i="57"/>
  <c r="BX351" i="57"/>
  <c r="BW351" i="57"/>
  <c r="BV351" i="57"/>
  <c r="BU351" i="57"/>
  <c r="BT351" i="57"/>
  <c r="BS351" i="57"/>
  <c r="BR351" i="57"/>
  <c r="BQ351" i="57"/>
  <c r="BP351" i="57"/>
  <c r="BO351" i="57"/>
  <c r="BN351" i="57"/>
  <c r="BM351" i="57"/>
  <c r="BL351" i="57"/>
  <c r="BG351" i="57"/>
  <c r="BF351" i="57"/>
  <c r="BE351" i="57"/>
  <c r="BD351" i="57"/>
  <c r="BC351" i="57"/>
  <c r="BB351" i="57"/>
  <c r="BA351" i="57"/>
  <c r="AZ351" i="57"/>
  <c r="AY351" i="57"/>
  <c r="AX351" i="57"/>
  <c r="AW351" i="57"/>
  <c r="AV351" i="57"/>
  <c r="AU351" i="57"/>
  <c r="AT351" i="57"/>
  <c r="AS351" i="57"/>
  <c r="AR351" i="57"/>
  <c r="BK351" i="57" s="1"/>
  <c r="AQ351" i="57"/>
  <c r="BJ351" i="57" s="1"/>
  <c r="AP351" i="57"/>
  <c r="BI351" i="57" s="1"/>
  <c r="AP350" i="57"/>
  <c r="BI350" i="57" s="1"/>
  <c r="BZ349" i="57"/>
  <c r="BY349" i="57"/>
  <c r="BX349" i="57"/>
  <c r="BW349" i="57"/>
  <c r="BV349" i="57"/>
  <c r="BU349" i="57"/>
  <c r="BT349" i="57"/>
  <c r="BS349" i="57"/>
  <c r="BR349" i="57"/>
  <c r="BQ349" i="57"/>
  <c r="BP349" i="57"/>
  <c r="BO349" i="57"/>
  <c r="BN349" i="57"/>
  <c r="BM349" i="57"/>
  <c r="BL349" i="57"/>
  <c r="BG349" i="57"/>
  <c r="BF349" i="57"/>
  <c r="BE349" i="57"/>
  <c r="BD349" i="57"/>
  <c r="BC349" i="57"/>
  <c r="BB349" i="57"/>
  <c r="BA349" i="57"/>
  <c r="AZ349" i="57"/>
  <c r="AY349" i="57"/>
  <c r="AX349" i="57"/>
  <c r="AW349" i="57"/>
  <c r="AV349" i="57"/>
  <c r="AU349" i="57"/>
  <c r="AT349" i="57"/>
  <c r="AS349" i="57"/>
  <c r="AP349" i="57"/>
  <c r="BI349" i="57" s="1"/>
  <c r="BZ348" i="57"/>
  <c r="BY348" i="57"/>
  <c r="BX348" i="57"/>
  <c r="BW348" i="57"/>
  <c r="BV348" i="57"/>
  <c r="BU348" i="57"/>
  <c r="BT348" i="57"/>
  <c r="BS348" i="57"/>
  <c r="BR348" i="57"/>
  <c r="BQ348" i="57"/>
  <c r="BP348" i="57"/>
  <c r="BO348" i="57"/>
  <c r="BN348" i="57"/>
  <c r="BM348" i="57"/>
  <c r="BL348" i="57"/>
  <c r="BG348" i="57"/>
  <c r="BF348" i="57"/>
  <c r="BE348" i="57"/>
  <c r="BD348" i="57"/>
  <c r="BC348" i="57"/>
  <c r="BB348" i="57"/>
  <c r="BA348" i="57"/>
  <c r="AZ348" i="57"/>
  <c r="AY348" i="57"/>
  <c r="AX348" i="57"/>
  <c r="AW348" i="57"/>
  <c r="AV348" i="57"/>
  <c r="AU348" i="57"/>
  <c r="AT348" i="57"/>
  <c r="AS348" i="57"/>
  <c r="AR348" i="57"/>
  <c r="BK348" i="57" s="1"/>
  <c r="AQ348" i="57"/>
  <c r="BJ348" i="57" s="1"/>
  <c r="AP348" i="57"/>
  <c r="BI348" i="57" s="1"/>
  <c r="AP347" i="57"/>
  <c r="BI347" i="57" s="1"/>
  <c r="BZ346" i="57"/>
  <c r="BY346" i="57"/>
  <c r="BX346" i="57"/>
  <c r="BW346" i="57"/>
  <c r="BV346" i="57"/>
  <c r="BU346" i="57"/>
  <c r="BT346" i="57"/>
  <c r="BS346" i="57"/>
  <c r="BR346" i="57"/>
  <c r="BQ346" i="57"/>
  <c r="BP346" i="57"/>
  <c r="BO346" i="57"/>
  <c r="BN346" i="57"/>
  <c r="BM346" i="57"/>
  <c r="BL346" i="57"/>
  <c r="BG346" i="57"/>
  <c r="BF346" i="57"/>
  <c r="BE346" i="57"/>
  <c r="BD346" i="57"/>
  <c r="BC346" i="57"/>
  <c r="BB346" i="57"/>
  <c r="BA346" i="57"/>
  <c r="AZ346" i="57"/>
  <c r="AY346" i="57"/>
  <c r="AX346" i="57"/>
  <c r="AW346" i="57"/>
  <c r="AV346" i="57"/>
  <c r="AU346" i="57"/>
  <c r="AT346" i="57"/>
  <c r="AS346" i="57"/>
  <c r="AP346" i="57"/>
  <c r="BI346" i="57" s="1"/>
  <c r="BZ345" i="57"/>
  <c r="BY345" i="57"/>
  <c r="BX345" i="57"/>
  <c r="BW345" i="57"/>
  <c r="BV345" i="57"/>
  <c r="BU345" i="57"/>
  <c r="BT345" i="57"/>
  <c r="BS345" i="57"/>
  <c r="BR345" i="57"/>
  <c r="BQ345" i="57"/>
  <c r="BP345" i="57"/>
  <c r="BO345" i="57"/>
  <c r="BN345" i="57"/>
  <c r="BM345" i="57"/>
  <c r="BL345" i="57"/>
  <c r="BK345" i="57"/>
  <c r="BG345" i="57"/>
  <c r="BF345" i="57"/>
  <c r="BE345" i="57"/>
  <c r="BD345" i="57"/>
  <c r="BC345" i="57"/>
  <c r="BB345" i="57"/>
  <c r="BA345" i="57"/>
  <c r="AZ345" i="57"/>
  <c r="AY345" i="57"/>
  <c r="AX345" i="57"/>
  <c r="AW345" i="57"/>
  <c r="AV345" i="57"/>
  <c r="AU345" i="57"/>
  <c r="AT345" i="57"/>
  <c r="AS345" i="57"/>
  <c r="AR345" i="57"/>
  <c r="AQ345" i="57"/>
  <c r="BJ345" i="57" s="1"/>
  <c r="AP345" i="57"/>
  <c r="BI345" i="57" s="1"/>
  <c r="AP344" i="57"/>
  <c r="BI344" i="57" s="1"/>
  <c r="BZ343" i="57"/>
  <c r="BY343" i="57"/>
  <c r="BX343" i="57"/>
  <c r="BW343" i="57"/>
  <c r="BV343" i="57"/>
  <c r="BU343" i="57"/>
  <c r="BT343" i="57"/>
  <c r="BS343" i="57"/>
  <c r="BR343" i="57"/>
  <c r="BQ343" i="57"/>
  <c r="BP343" i="57"/>
  <c r="BO343" i="57"/>
  <c r="BN343" i="57"/>
  <c r="BM343" i="57"/>
  <c r="BL343" i="57"/>
  <c r="BG343" i="57"/>
  <c r="BF343" i="57"/>
  <c r="BE343" i="57"/>
  <c r="BD343" i="57"/>
  <c r="BC343" i="57"/>
  <c r="BB343" i="57"/>
  <c r="BA343" i="57"/>
  <c r="AZ343" i="57"/>
  <c r="AY343" i="57"/>
  <c r="AX343" i="57"/>
  <c r="AW343" i="57"/>
  <c r="AV343" i="57"/>
  <c r="AU343" i="57"/>
  <c r="AT343" i="57"/>
  <c r="AS343" i="57"/>
  <c r="AP343" i="57"/>
  <c r="BI343" i="57" s="1"/>
  <c r="BZ342" i="57"/>
  <c r="BY342" i="57"/>
  <c r="BX342" i="57"/>
  <c r="BW342" i="57"/>
  <c r="BV342" i="57"/>
  <c r="BU342" i="57"/>
  <c r="BT342" i="57"/>
  <c r="BS342" i="57"/>
  <c r="BR342" i="57"/>
  <c r="BQ342" i="57"/>
  <c r="BP342" i="57"/>
  <c r="BO342" i="57"/>
  <c r="BN342" i="57"/>
  <c r="BM342" i="57"/>
  <c r="BL342" i="57"/>
  <c r="BG342" i="57"/>
  <c r="BF342" i="57"/>
  <c r="BE342" i="57"/>
  <c r="BD342" i="57"/>
  <c r="BC342" i="57"/>
  <c r="BB342" i="57"/>
  <c r="BA342" i="57"/>
  <c r="AZ342" i="57"/>
  <c r="AY342" i="57"/>
  <c r="AX342" i="57"/>
  <c r="AW342" i="57"/>
  <c r="AV342" i="57"/>
  <c r="AU342" i="57"/>
  <c r="AT342" i="57"/>
  <c r="AS342" i="57"/>
  <c r="AR342" i="57"/>
  <c r="BK342" i="57" s="1"/>
  <c r="AQ342" i="57"/>
  <c r="BJ342" i="57" s="1"/>
  <c r="AP342" i="57"/>
  <c r="BI342" i="57" s="1"/>
  <c r="AP341" i="57"/>
  <c r="BI341" i="57" s="1"/>
  <c r="BZ340" i="57"/>
  <c r="BY340" i="57"/>
  <c r="BX340" i="57"/>
  <c r="BW340" i="57"/>
  <c r="BV340" i="57"/>
  <c r="BU340" i="57"/>
  <c r="BT340" i="57"/>
  <c r="BS340" i="57"/>
  <c r="BR340" i="57"/>
  <c r="BQ340" i="57"/>
  <c r="BP340" i="57"/>
  <c r="BO340" i="57"/>
  <c r="BN340" i="57"/>
  <c r="BM340" i="57"/>
  <c r="BL340" i="57"/>
  <c r="BG340" i="57"/>
  <c r="BF340" i="57"/>
  <c r="BE340" i="57"/>
  <c r="BD340" i="57"/>
  <c r="BC340" i="57"/>
  <c r="BB340" i="57"/>
  <c r="BA340" i="57"/>
  <c r="AZ340" i="57"/>
  <c r="AY340" i="57"/>
  <c r="AX340" i="57"/>
  <c r="AW340" i="57"/>
  <c r="AV340" i="57"/>
  <c r="AU340" i="57"/>
  <c r="AT340" i="57"/>
  <c r="AS340" i="57"/>
  <c r="AP340" i="57"/>
  <c r="BI340" i="57" s="1"/>
  <c r="BZ339" i="57"/>
  <c r="BY339" i="57"/>
  <c r="BX339" i="57"/>
  <c r="BW339" i="57"/>
  <c r="BV339" i="57"/>
  <c r="BU339" i="57"/>
  <c r="BT339" i="57"/>
  <c r="BS339" i="57"/>
  <c r="BR339" i="57"/>
  <c r="BQ339" i="57"/>
  <c r="BP339" i="57"/>
  <c r="BO339" i="57"/>
  <c r="BN339" i="57"/>
  <c r="BM339" i="57"/>
  <c r="BL339" i="57"/>
  <c r="BG339" i="57"/>
  <c r="BF339" i="57"/>
  <c r="BE339" i="57"/>
  <c r="BD339" i="57"/>
  <c r="BC339" i="57"/>
  <c r="BB339" i="57"/>
  <c r="BA339" i="57"/>
  <c r="AZ339" i="57"/>
  <c r="AY339" i="57"/>
  <c r="AX339" i="57"/>
  <c r="AW339" i="57"/>
  <c r="AV339" i="57"/>
  <c r="AU339" i="57"/>
  <c r="AT339" i="57"/>
  <c r="AS339" i="57"/>
  <c r="AR339" i="57"/>
  <c r="BK339" i="57" s="1"/>
  <c r="AQ339" i="57"/>
  <c r="BJ339" i="57" s="1"/>
  <c r="AP339" i="57"/>
  <c r="BI339" i="57" s="1"/>
  <c r="AP338" i="57"/>
  <c r="BI338" i="57" s="1"/>
  <c r="BZ337" i="57"/>
  <c r="BY337" i="57"/>
  <c r="BX337" i="57"/>
  <c r="BW337" i="57"/>
  <c r="BV337" i="57"/>
  <c r="BU337" i="57"/>
  <c r="BT337" i="57"/>
  <c r="BS337" i="57"/>
  <c r="BR337" i="57"/>
  <c r="BQ337" i="57"/>
  <c r="BP337" i="57"/>
  <c r="BO337" i="57"/>
  <c r="BN337" i="57"/>
  <c r="BM337" i="57"/>
  <c r="BL337" i="57"/>
  <c r="BG337" i="57"/>
  <c r="BF337" i="57"/>
  <c r="BE337" i="57"/>
  <c r="BD337" i="57"/>
  <c r="BC337" i="57"/>
  <c r="BB337" i="57"/>
  <c r="BA337" i="57"/>
  <c r="AZ337" i="57"/>
  <c r="AY337" i="57"/>
  <c r="AX337" i="57"/>
  <c r="AW337" i="57"/>
  <c r="AV337" i="57"/>
  <c r="AU337" i="57"/>
  <c r="AT337" i="57"/>
  <c r="AS337" i="57"/>
  <c r="AP337" i="57"/>
  <c r="BI337" i="57" s="1"/>
  <c r="BZ336" i="57"/>
  <c r="BY336" i="57"/>
  <c r="BX336" i="57"/>
  <c r="BW336" i="57"/>
  <c r="BV336" i="57"/>
  <c r="BU336" i="57"/>
  <c r="BT336" i="57"/>
  <c r="BS336" i="57"/>
  <c r="BR336" i="57"/>
  <c r="BQ336" i="57"/>
  <c r="BP336" i="57"/>
  <c r="BO336" i="57"/>
  <c r="BN336" i="57"/>
  <c r="BM336" i="57"/>
  <c r="BL336" i="57"/>
  <c r="BG336" i="57"/>
  <c r="BF336" i="57"/>
  <c r="BE336" i="57"/>
  <c r="BD336" i="57"/>
  <c r="BC336" i="57"/>
  <c r="BB336" i="57"/>
  <c r="BA336" i="57"/>
  <c r="AZ336" i="57"/>
  <c r="AY336" i="57"/>
  <c r="AX336" i="57"/>
  <c r="AW336" i="57"/>
  <c r="AV336" i="57"/>
  <c r="AU336" i="57"/>
  <c r="AT336" i="57"/>
  <c r="AS336" i="57"/>
  <c r="AR336" i="57"/>
  <c r="BK336" i="57" s="1"/>
  <c r="AQ336" i="57"/>
  <c r="BJ336" i="57" s="1"/>
  <c r="AP336" i="57"/>
  <c r="BI336" i="57" s="1"/>
  <c r="AP335" i="57"/>
  <c r="BI335" i="57" s="1"/>
  <c r="BZ334" i="57"/>
  <c r="BY334" i="57"/>
  <c r="BX334" i="57"/>
  <c r="BW334" i="57"/>
  <c r="BV334" i="57"/>
  <c r="BU334" i="57"/>
  <c r="BT334" i="57"/>
  <c r="BS334" i="57"/>
  <c r="BR334" i="57"/>
  <c r="BQ334" i="57"/>
  <c r="BP334" i="57"/>
  <c r="BO334" i="57"/>
  <c r="BN334" i="57"/>
  <c r="BM334" i="57"/>
  <c r="BL334" i="57"/>
  <c r="BG334" i="57"/>
  <c r="BF334" i="57"/>
  <c r="BE334" i="57"/>
  <c r="BD334" i="57"/>
  <c r="BC334" i="57"/>
  <c r="BB334" i="57"/>
  <c r="BA334" i="57"/>
  <c r="AZ334" i="57"/>
  <c r="AY334" i="57"/>
  <c r="AX334" i="57"/>
  <c r="AW334" i="57"/>
  <c r="AV334" i="57"/>
  <c r="AU334" i="57"/>
  <c r="AT334" i="57"/>
  <c r="AS334" i="57"/>
  <c r="AP334" i="57"/>
  <c r="BI334" i="57" s="1"/>
  <c r="BZ333" i="57"/>
  <c r="BY333" i="57"/>
  <c r="BX333" i="57"/>
  <c r="BW333" i="57"/>
  <c r="BV333" i="57"/>
  <c r="BU333" i="57"/>
  <c r="BT333" i="57"/>
  <c r="BS333" i="57"/>
  <c r="BR333" i="57"/>
  <c r="BQ333" i="57"/>
  <c r="BP333" i="57"/>
  <c r="BO333" i="57"/>
  <c r="BN333" i="57"/>
  <c r="BM333" i="57"/>
  <c r="BL333" i="57"/>
  <c r="BG333" i="57"/>
  <c r="BF333" i="57"/>
  <c r="BE333" i="57"/>
  <c r="BD333" i="57"/>
  <c r="BC333" i="57"/>
  <c r="BB333" i="57"/>
  <c r="BA333" i="57"/>
  <c r="AZ333" i="57"/>
  <c r="AY333" i="57"/>
  <c r="AX333" i="57"/>
  <c r="AW333" i="57"/>
  <c r="AV333" i="57"/>
  <c r="AU333" i="57"/>
  <c r="AT333" i="57"/>
  <c r="AS333" i="57"/>
  <c r="AR333" i="57"/>
  <c r="BK333" i="57" s="1"/>
  <c r="AQ333" i="57"/>
  <c r="BJ333" i="57" s="1"/>
  <c r="AP333" i="57"/>
  <c r="BI333" i="57" s="1"/>
  <c r="AP332" i="57"/>
  <c r="BI332" i="57" s="1"/>
  <c r="BZ331" i="57"/>
  <c r="BY331" i="57"/>
  <c r="BX331" i="57"/>
  <c r="BW331" i="57"/>
  <c r="BV331" i="57"/>
  <c r="BU331" i="57"/>
  <c r="BT331" i="57"/>
  <c r="BS331" i="57"/>
  <c r="BR331" i="57"/>
  <c r="BQ331" i="57"/>
  <c r="BP331" i="57"/>
  <c r="BO331" i="57"/>
  <c r="BN331" i="57"/>
  <c r="BM331" i="57"/>
  <c r="BL331" i="57"/>
  <c r="BG331" i="57"/>
  <c r="BF331" i="57"/>
  <c r="BE331" i="57"/>
  <c r="BD331" i="57"/>
  <c r="BC331" i="57"/>
  <c r="BB331" i="57"/>
  <c r="BA331" i="57"/>
  <c r="AZ331" i="57"/>
  <c r="AY331" i="57"/>
  <c r="AX331" i="57"/>
  <c r="AW331" i="57"/>
  <c r="AV331" i="57"/>
  <c r="AU331" i="57"/>
  <c r="AT331" i="57"/>
  <c r="AS331" i="57"/>
  <c r="AP331" i="57"/>
  <c r="BI331" i="57" s="1"/>
  <c r="BZ330" i="57"/>
  <c r="BY330" i="57"/>
  <c r="BX330" i="57"/>
  <c r="BW330" i="57"/>
  <c r="BV330" i="57"/>
  <c r="BU330" i="57"/>
  <c r="BT330" i="57"/>
  <c r="BS330" i="57"/>
  <c r="BR330" i="57"/>
  <c r="BQ330" i="57"/>
  <c r="BP330" i="57"/>
  <c r="BO330" i="57"/>
  <c r="BN330" i="57"/>
  <c r="BM330" i="57"/>
  <c r="BL330" i="57"/>
  <c r="BG330" i="57"/>
  <c r="BF330" i="57"/>
  <c r="BE330" i="57"/>
  <c r="BD330" i="57"/>
  <c r="BC330" i="57"/>
  <c r="BB330" i="57"/>
  <c r="BA330" i="57"/>
  <c r="AZ330" i="57"/>
  <c r="AY330" i="57"/>
  <c r="AX330" i="57"/>
  <c r="AW330" i="57"/>
  <c r="AV330" i="57"/>
  <c r="AU330" i="57"/>
  <c r="AT330" i="57"/>
  <c r="AS330" i="57"/>
  <c r="AR330" i="57"/>
  <c r="BK330" i="57" s="1"/>
  <c r="AQ330" i="57"/>
  <c r="BJ330" i="57" s="1"/>
  <c r="AP330" i="57"/>
  <c r="BI330" i="57" s="1"/>
  <c r="AP329" i="57"/>
  <c r="BI329" i="57" s="1"/>
  <c r="BZ328" i="57"/>
  <c r="BY328" i="57"/>
  <c r="BX328" i="57"/>
  <c r="BW328" i="57"/>
  <c r="BV328" i="57"/>
  <c r="BU328" i="57"/>
  <c r="BT328" i="57"/>
  <c r="BS328" i="57"/>
  <c r="BR328" i="57"/>
  <c r="BQ328" i="57"/>
  <c r="BP328" i="57"/>
  <c r="BO328" i="57"/>
  <c r="BN328" i="57"/>
  <c r="BM328" i="57"/>
  <c r="BL328" i="57"/>
  <c r="BG328" i="57"/>
  <c r="BF328" i="57"/>
  <c r="BE328" i="57"/>
  <c r="BD328" i="57"/>
  <c r="BC328" i="57"/>
  <c r="BB328" i="57"/>
  <c r="BA328" i="57"/>
  <c r="AZ328" i="57"/>
  <c r="AY328" i="57"/>
  <c r="AX328" i="57"/>
  <c r="AW328" i="57"/>
  <c r="AV328" i="57"/>
  <c r="AU328" i="57"/>
  <c r="AT328" i="57"/>
  <c r="AS328" i="57"/>
  <c r="AP328" i="57"/>
  <c r="BI328" i="57" s="1"/>
  <c r="BZ327" i="57"/>
  <c r="BY327" i="57"/>
  <c r="BX327" i="57"/>
  <c r="BW327" i="57"/>
  <c r="BV327" i="57"/>
  <c r="BU327" i="57"/>
  <c r="BT327" i="57"/>
  <c r="BS327" i="57"/>
  <c r="BR327" i="57"/>
  <c r="BQ327" i="57"/>
  <c r="BP327" i="57"/>
  <c r="BO327" i="57"/>
  <c r="BN327" i="57"/>
  <c r="BM327" i="57"/>
  <c r="BL327" i="57"/>
  <c r="BG327" i="57"/>
  <c r="BF327" i="57"/>
  <c r="BE327" i="57"/>
  <c r="BD327" i="57"/>
  <c r="BC327" i="57"/>
  <c r="BB327" i="57"/>
  <c r="BA327" i="57"/>
  <c r="AZ327" i="57"/>
  <c r="AY327" i="57"/>
  <c r="AX327" i="57"/>
  <c r="AW327" i="57"/>
  <c r="AV327" i="57"/>
  <c r="AU327" i="57"/>
  <c r="AT327" i="57"/>
  <c r="AS327" i="57"/>
  <c r="AR327" i="57"/>
  <c r="BK327" i="57" s="1"/>
  <c r="AQ327" i="57"/>
  <c r="BJ327" i="57" s="1"/>
  <c r="AP327" i="57"/>
  <c r="BI327" i="57" s="1"/>
  <c r="AP326" i="57"/>
  <c r="BI326" i="57" s="1"/>
  <c r="BZ325" i="57"/>
  <c r="BY325" i="57"/>
  <c r="BX325" i="57"/>
  <c r="BW325" i="57"/>
  <c r="BV325" i="57"/>
  <c r="BU325" i="57"/>
  <c r="BT325" i="57"/>
  <c r="BS325" i="57"/>
  <c r="BR325" i="57"/>
  <c r="BQ325" i="57"/>
  <c r="BP325" i="57"/>
  <c r="BO325" i="57"/>
  <c r="BN325" i="57"/>
  <c r="BM325" i="57"/>
  <c r="BL325" i="57"/>
  <c r="BG325" i="57"/>
  <c r="BF325" i="57"/>
  <c r="BE325" i="57"/>
  <c r="BD325" i="57"/>
  <c r="BC325" i="57"/>
  <c r="BB325" i="57"/>
  <c r="BA325" i="57"/>
  <c r="AZ325" i="57"/>
  <c r="AY325" i="57"/>
  <c r="AX325" i="57"/>
  <c r="AW325" i="57"/>
  <c r="AV325" i="57"/>
  <c r="AU325" i="57"/>
  <c r="AT325" i="57"/>
  <c r="AS325" i="57"/>
  <c r="AP325" i="57"/>
  <c r="BI325" i="57" s="1"/>
  <c r="BZ324" i="57"/>
  <c r="BY324" i="57"/>
  <c r="BX324" i="57"/>
  <c r="BW324" i="57"/>
  <c r="BV324" i="57"/>
  <c r="BU324" i="57"/>
  <c r="BT324" i="57"/>
  <c r="BS324" i="57"/>
  <c r="BR324" i="57"/>
  <c r="BQ324" i="57"/>
  <c r="BP324" i="57"/>
  <c r="BO324" i="57"/>
  <c r="BN324" i="57"/>
  <c r="BM324" i="57"/>
  <c r="BL324" i="57"/>
  <c r="BG324" i="57"/>
  <c r="BF324" i="57"/>
  <c r="BE324" i="57"/>
  <c r="BD324" i="57"/>
  <c r="BC324" i="57"/>
  <c r="BB324" i="57"/>
  <c r="BA324" i="57"/>
  <c r="AZ324" i="57"/>
  <c r="AY324" i="57"/>
  <c r="AX324" i="57"/>
  <c r="AW324" i="57"/>
  <c r="AV324" i="57"/>
  <c r="AU324" i="57"/>
  <c r="AT324" i="57"/>
  <c r="AS324" i="57"/>
  <c r="AR324" i="57"/>
  <c r="BK324" i="57" s="1"/>
  <c r="AQ324" i="57"/>
  <c r="BJ324" i="57" s="1"/>
  <c r="AP324" i="57"/>
  <c r="BI324" i="57" s="1"/>
  <c r="AP323" i="57"/>
  <c r="BI323" i="57" s="1"/>
  <c r="BZ322" i="57"/>
  <c r="BY322" i="57"/>
  <c r="BX322" i="57"/>
  <c r="BW322" i="57"/>
  <c r="BV322" i="57"/>
  <c r="BU322" i="57"/>
  <c r="BT322" i="57"/>
  <c r="BS322" i="57"/>
  <c r="BR322" i="57"/>
  <c r="BQ322" i="57"/>
  <c r="BP322" i="57"/>
  <c r="BO322" i="57"/>
  <c r="BN322" i="57"/>
  <c r="BM322" i="57"/>
  <c r="BL322" i="57"/>
  <c r="BG322" i="57"/>
  <c r="BF322" i="57"/>
  <c r="BE322" i="57"/>
  <c r="BD322" i="57"/>
  <c r="BC322" i="57"/>
  <c r="BB322" i="57"/>
  <c r="BA322" i="57"/>
  <c r="AZ322" i="57"/>
  <c r="AY322" i="57"/>
  <c r="AX322" i="57"/>
  <c r="AW322" i="57"/>
  <c r="AV322" i="57"/>
  <c r="AU322" i="57"/>
  <c r="AT322" i="57"/>
  <c r="AS322" i="57"/>
  <c r="AP322" i="57"/>
  <c r="BI322" i="57" s="1"/>
  <c r="BZ321" i="57"/>
  <c r="BY321" i="57"/>
  <c r="BX321" i="57"/>
  <c r="BW321" i="57"/>
  <c r="BV321" i="57"/>
  <c r="BU321" i="57"/>
  <c r="BT321" i="57"/>
  <c r="BS321" i="57"/>
  <c r="BR321" i="57"/>
  <c r="BQ321" i="57"/>
  <c r="BP321" i="57"/>
  <c r="BO321" i="57"/>
  <c r="BN321" i="57"/>
  <c r="BM321" i="57"/>
  <c r="BL321" i="57"/>
  <c r="BG321" i="57"/>
  <c r="BF321" i="57"/>
  <c r="BE321" i="57"/>
  <c r="BD321" i="57"/>
  <c r="BC321" i="57"/>
  <c r="BB321" i="57"/>
  <c r="BA321" i="57"/>
  <c r="AZ321" i="57"/>
  <c r="AY321" i="57"/>
  <c r="AX321" i="57"/>
  <c r="AW321" i="57"/>
  <c r="AV321" i="57"/>
  <c r="AU321" i="57"/>
  <c r="AT321" i="57"/>
  <c r="AS321" i="57"/>
  <c r="AR321" i="57"/>
  <c r="BK321" i="57" s="1"/>
  <c r="AQ321" i="57"/>
  <c r="BJ321" i="57" s="1"/>
  <c r="AP321" i="57"/>
  <c r="BI321" i="57" s="1"/>
  <c r="AP320" i="57"/>
  <c r="BI320" i="57" s="1"/>
  <c r="BZ319" i="57"/>
  <c r="BY319" i="57"/>
  <c r="BX319" i="57"/>
  <c r="BW319" i="57"/>
  <c r="BV319" i="57"/>
  <c r="BU319" i="57"/>
  <c r="BT319" i="57"/>
  <c r="BS319" i="57"/>
  <c r="BR319" i="57"/>
  <c r="BQ319" i="57"/>
  <c r="BP319" i="57"/>
  <c r="BO319" i="57"/>
  <c r="BN319" i="57"/>
  <c r="BM319" i="57"/>
  <c r="BL319" i="57"/>
  <c r="BG319" i="57"/>
  <c r="BF319" i="57"/>
  <c r="BE319" i="57"/>
  <c r="BD319" i="57"/>
  <c r="BC319" i="57"/>
  <c r="BB319" i="57"/>
  <c r="BA319" i="57"/>
  <c r="AZ319" i="57"/>
  <c r="AY319" i="57"/>
  <c r="AX319" i="57"/>
  <c r="AW319" i="57"/>
  <c r="AV319" i="57"/>
  <c r="AU319" i="57"/>
  <c r="AT319" i="57"/>
  <c r="AS319" i="57"/>
  <c r="AP319" i="57"/>
  <c r="BI319" i="57" s="1"/>
  <c r="BZ318" i="57"/>
  <c r="BY318" i="57"/>
  <c r="BX318" i="57"/>
  <c r="BW318" i="57"/>
  <c r="BV318" i="57"/>
  <c r="BU318" i="57"/>
  <c r="BT318" i="57"/>
  <c r="BS318" i="57"/>
  <c r="BR318" i="57"/>
  <c r="BQ318" i="57"/>
  <c r="BP318" i="57"/>
  <c r="BO318" i="57"/>
  <c r="BN318" i="57"/>
  <c r="BM318" i="57"/>
  <c r="BL318" i="57"/>
  <c r="BG318" i="57"/>
  <c r="BF318" i="57"/>
  <c r="BE318" i="57"/>
  <c r="BD318" i="57"/>
  <c r="BC318" i="57"/>
  <c r="BB318" i="57"/>
  <c r="BA318" i="57"/>
  <c r="AZ318" i="57"/>
  <c r="AY318" i="57"/>
  <c r="AX318" i="57"/>
  <c r="AW318" i="57"/>
  <c r="AV318" i="57"/>
  <c r="AU318" i="57"/>
  <c r="AT318" i="57"/>
  <c r="AS318" i="57"/>
  <c r="AR318" i="57"/>
  <c r="BK318" i="57" s="1"/>
  <c r="AQ318" i="57"/>
  <c r="BJ318" i="57" s="1"/>
  <c r="AP318" i="57"/>
  <c r="BI318" i="57" s="1"/>
  <c r="AP317" i="57"/>
  <c r="BI317" i="57" s="1"/>
  <c r="BZ316" i="57"/>
  <c r="BY316" i="57"/>
  <c r="BX316" i="57"/>
  <c r="BW316" i="57"/>
  <c r="BV316" i="57"/>
  <c r="BU316" i="57"/>
  <c r="BT316" i="57"/>
  <c r="BS316" i="57"/>
  <c r="BR316" i="57"/>
  <c r="BQ316" i="57"/>
  <c r="BP316" i="57"/>
  <c r="BO316" i="57"/>
  <c r="BN316" i="57"/>
  <c r="BM316" i="57"/>
  <c r="BL316" i="57"/>
  <c r="BG316" i="57"/>
  <c r="BF316" i="57"/>
  <c r="BE316" i="57"/>
  <c r="BD316" i="57"/>
  <c r="BC316" i="57"/>
  <c r="BB316" i="57"/>
  <c r="BA316" i="57"/>
  <c r="AZ316" i="57"/>
  <c r="AY316" i="57"/>
  <c r="AX316" i="57"/>
  <c r="AW316" i="57"/>
  <c r="AV316" i="57"/>
  <c r="AU316" i="57"/>
  <c r="AT316" i="57"/>
  <c r="AS316" i="57"/>
  <c r="AP316" i="57"/>
  <c r="BI316" i="57" s="1"/>
  <c r="BZ315" i="57"/>
  <c r="BY315" i="57"/>
  <c r="BX315" i="57"/>
  <c r="BW315" i="57"/>
  <c r="BV315" i="57"/>
  <c r="BU315" i="57"/>
  <c r="BT315" i="57"/>
  <c r="BS315" i="57"/>
  <c r="BR315" i="57"/>
  <c r="BQ315" i="57"/>
  <c r="BP315" i="57"/>
  <c r="BO315" i="57"/>
  <c r="BN315" i="57"/>
  <c r="BM315" i="57"/>
  <c r="BL315" i="57"/>
  <c r="BG315" i="57"/>
  <c r="BF315" i="57"/>
  <c r="BE315" i="57"/>
  <c r="BD315" i="57"/>
  <c r="BC315" i="57"/>
  <c r="BB315" i="57"/>
  <c r="BA315" i="57"/>
  <c r="AZ315" i="57"/>
  <c r="AY315" i="57"/>
  <c r="AX315" i="57"/>
  <c r="AW315" i="57"/>
  <c r="AV315" i="57"/>
  <c r="AU315" i="57"/>
  <c r="AT315" i="57"/>
  <c r="AS315" i="57"/>
  <c r="AR315" i="57"/>
  <c r="BK315" i="57" s="1"/>
  <c r="AQ315" i="57"/>
  <c r="BJ315" i="57" s="1"/>
  <c r="AP315" i="57"/>
  <c r="BI315" i="57" s="1"/>
  <c r="AP314" i="57"/>
  <c r="BI314" i="57" s="1"/>
  <c r="BZ313" i="57"/>
  <c r="BY313" i="57"/>
  <c r="BX313" i="57"/>
  <c r="BW313" i="57"/>
  <c r="BV313" i="57"/>
  <c r="BU313" i="57"/>
  <c r="BT313" i="57"/>
  <c r="BS313" i="57"/>
  <c r="BR313" i="57"/>
  <c r="BQ313" i="57"/>
  <c r="BP313" i="57"/>
  <c r="BO313" i="57"/>
  <c r="BN313" i="57"/>
  <c r="BM313" i="57"/>
  <c r="BL313" i="57"/>
  <c r="BG313" i="57"/>
  <c r="BF313" i="57"/>
  <c r="BE313" i="57"/>
  <c r="BD313" i="57"/>
  <c r="BC313" i="57"/>
  <c r="BB313" i="57"/>
  <c r="BA313" i="57"/>
  <c r="AZ313" i="57"/>
  <c r="AY313" i="57"/>
  <c r="AX313" i="57"/>
  <c r="AW313" i="57"/>
  <c r="AV313" i="57"/>
  <c r="AU313" i="57"/>
  <c r="AT313" i="57"/>
  <c r="AS313" i="57"/>
  <c r="AP313" i="57"/>
  <c r="BI313" i="57" s="1"/>
  <c r="BZ312" i="57"/>
  <c r="BY312" i="57"/>
  <c r="BX312" i="57"/>
  <c r="BW312" i="57"/>
  <c r="BV312" i="57"/>
  <c r="BU312" i="57"/>
  <c r="BT312" i="57"/>
  <c r="BS312" i="57"/>
  <c r="BR312" i="57"/>
  <c r="BQ312" i="57"/>
  <c r="BP312" i="57"/>
  <c r="BO312" i="57"/>
  <c r="BN312" i="57"/>
  <c r="BM312" i="57"/>
  <c r="BL312" i="57"/>
  <c r="BG312" i="57"/>
  <c r="BF312" i="57"/>
  <c r="BE312" i="57"/>
  <c r="BD312" i="57"/>
  <c r="BC312" i="57"/>
  <c r="BB312" i="57"/>
  <c r="BA312" i="57"/>
  <c r="AZ312" i="57"/>
  <c r="AY312" i="57"/>
  <c r="AX312" i="57"/>
  <c r="AW312" i="57"/>
  <c r="AV312" i="57"/>
  <c r="AU312" i="57"/>
  <c r="AT312" i="57"/>
  <c r="AS312" i="57"/>
  <c r="AR312" i="57"/>
  <c r="BK312" i="57" s="1"/>
  <c r="AQ312" i="57"/>
  <c r="BJ312" i="57" s="1"/>
  <c r="AP312" i="57"/>
  <c r="BI312" i="57" s="1"/>
  <c r="AP311" i="57"/>
  <c r="BI311" i="57" s="1"/>
  <c r="BZ310" i="57"/>
  <c r="BY310" i="57"/>
  <c r="BX310" i="57"/>
  <c r="BW310" i="57"/>
  <c r="BV310" i="57"/>
  <c r="BU310" i="57"/>
  <c r="BT310" i="57"/>
  <c r="BS310" i="57"/>
  <c r="BR310" i="57"/>
  <c r="BQ310" i="57"/>
  <c r="BP310" i="57"/>
  <c r="BO310" i="57"/>
  <c r="BN310" i="57"/>
  <c r="BM310" i="57"/>
  <c r="BL310" i="57"/>
  <c r="BG310" i="57"/>
  <c r="BF310" i="57"/>
  <c r="BE310" i="57"/>
  <c r="BD310" i="57"/>
  <c r="BC310" i="57"/>
  <c r="BB310" i="57"/>
  <c r="BA310" i="57"/>
  <c r="AZ310" i="57"/>
  <c r="AY310" i="57"/>
  <c r="AX310" i="57"/>
  <c r="AW310" i="57"/>
  <c r="AV310" i="57"/>
  <c r="AU310" i="57"/>
  <c r="AT310" i="57"/>
  <c r="AS310" i="57"/>
  <c r="AP310" i="57"/>
  <c r="BI310" i="57" s="1"/>
  <c r="BZ309" i="57"/>
  <c r="BY309" i="57"/>
  <c r="BX309" i="57"/>
  <c r="BW309" i="57"/>
  <c r="BV309" i="57"/>
  <c r="BU309" i="57"/>
  <c r="BT309" i="57"/>
  <c r="BS309" i="57"/>
  <c r="BR309" i="57"/>
  <c r="BQ309" i="57"/>
  <c r="BP309" i="57"/>
  <c r="BO309" i="57"/>
  <c r="BN309" i="57"/>
  <c r="BM309" i="57"/>
  <c r="BL309" i="57"/>
  <c r="BG309" i="57"/>
  <c r="BF309" i="57"/>
  <c r="BE309" i="57"/>
  <c r="BD309" i="57"/>
  <c r="BC309" i="57"/>
  <c r="BB309" i="57"/>
  <c r="BA309" i="57"/>
  <c r="AZ309" i="57"/>
  <c r="AY309" i="57"/>
  <c r="AX309" i="57"/>
  <c r="AW309" i="57"/>
  <c r="AV309" i="57"/>
  <c r="AU309" i="57"/>
  <c r="AT309" i="57"/>
  <c r="AS309" i="57"/>
  <c r="AR309" i="57"/>
  <c r="BK309" i="57" s="1"/>
  <c r="AQ309" i="57"/>
  <c r="BJ309" i="57" s="1"/>
  <c r="AP309" i="57"/>
  <c r="BI309" i="57" s="1"/>
  <c r="AP308" i="57"/>
  <c r="BI308" i="57" s="1"/>
  <c r="BZ307" i="57"/>
  <c r="BY307" i="57"/>
  <c r="BX307" i="57"/>
  <c r="BW307" i="57"/>
  <c r="BV307" i="57"/>
  <c r="BU307" i="57"/>
  <c r="BT307" i="57"/>
  <c r="BS307" i="57"/>
  <c r="BR307" i="57"/>
  <c r="BQ307" i="57"/>
  <c r="BP307" i="57"/>
  <c r="BO307" i="57"/>
  <c r="BN307" i="57"/>
  <c r="BM307" i="57"/>
  <c r="BL307" i="57"/>
  <c r="BG307" i="57"/>
  <c r="BF307" i="57"/>
  <c r="BE307" i="57"/>
  <c r="BD307" i="57"/>
  <c r="BC307" i="57"/>
  <c r="BB307" i="57"/>
  <c r="BA307" i="57"/>
  <c r="AZ307" i="57"/>
  <c r="AY307" i="57"/>
  <c r="AX307" i="57"/>
  <c r="AW307" i="57"/>
  <c r="AV307" i="57"/>
  <c r="AU307" i="57"/>
  <c r="AT307" i="57"/>
  <c r="AS307" i="57"/>
  <c r="AP307" i="57"/>
  <c r="BI307" i="57" s="1"/>
  <c r="BZ306" i="57"/>
  <c r="BY306" i="57"/>
  <c r="BX306" i="57"/>
  <c r="BW306" i="57"/>
  <c r="BV306" i="57"/>
  <c r="BU306" i="57"/>
  <c r="BT306" i="57"/>
  <c r="BS306" i="57"/>
  <c r="BR306" i="57"/>
  <c r="BQ306" i="57"/>
  <c r="BP306" i="57"/>
  <c r="BO306" i="57"/>
  <c r="BN306" i="57"/>
  <c r="BM306" i="57"/>
  <c r="BL306" i="57"/>
  <c r="BG306" i="57"/>
  <c r="BF306" i="57"/>
  <c r="BE306" i="57"/>
  <c r="BD306" i="57"/>
  <c r="BC306" i="57"/>
  <c r="BB306" i="57"/>
  <c r="BA306" i="57"/>
  <c r="AZ306" i="57"/>
  <c r="AY306" i="57"/>
  <c r="AX306" i="57"/>
  <c r="AW306" i="57"/>
  <c r="AV306" i="57"/>
  <c r="AU306" i="57"/>
  <c r="AT306" i="57"/>
  <c r="AS306" i="57"/>
  <c r="AR306" i="57"/>
  <c r="BK306" i="57" s="1"/>
  <c r="AQ306" i="57"/>
  <c r="BJ306" i="57" s="1"/>
  <c r="AP306" i="57"/>
  <c r="BI306" i="57" s="1"/>
  <c r="AP305" i="57"/>
  <c r="BI305" i="57" s="1"/>
  <c r="BZ304" i="57"/>
  <c r="BY304" i="57"/>
  <c r="BX304" i="57"/>
  <c r="BW304" i="57"/>
  <c r="BV304" i="57"/>
  <c r="BU304" i="57"/>
  <c r="BT304" i="57"/>
  <c r="BS304" i="57"/>
  <c r="BR304" i="57"/>
  <c r="BQ304" i="57"/>
  <c r="BP304" i="57"/>
  <c r="BO304" i="57"/>
  <c r="BN304" i="57"/>
  <c r="BM304" i="57"/>
  <c r="BL304" i="57"/>
  <c r="BG304" i="57"/>
  <c r="BF304" i="57"/>
  <c r="BE304" i="57"/>
  <c r="BD304" i="57"/>
  <c r="BC304" i="57"/>
  <c r="BB304" i="57"/>
  <c r="BA304" i="57"/>
  <c r="AZ304" i="57"/>
  <c r="AY304" i="57"/>
  <c r="AX304" i="57"/>
  <c r="AW304" i="57"/>
  <c r="AV304" i="57"/>
  <c r="AU304" i="57"/>
  <c r="AT304" i="57"/>
  <c r="AS304" i="57"/>
  <c r="AP304" i="57"/>
  <c r="BI304" i="57" s="1"/>
  <c r="BZ303" i="57"/>
  <c r="BY303" i="57"/>
  <c r="BX303" i="57"/>
  <c r="BW303" i="57"/>
  <c r="BV303" i="57"/>
  <c r="BU303" i="57"/>
  <c r="BT303" i="57"/>
  <c r="BS303" i="57"/>
  <c r="BR303" i="57"/>
  <c r="BQ303" i="57"/>
  <c r="BP303" i="57"/>
  <c r="BO303" i="57"/>
  <c r="BN303" i="57"/>
  <c r="BM303" i="57"/>
  <c r="BL303" i="57"/>
  <c r="BG303" i="57"/>
  <c r="BF303" i="57"/>
  <c r="BE303" i="57"/>
  <c r="BD303" i="57"/>
  <c r="BC303" i="57"/>
  <c r="BB303" i="57"/>
  <c r="BA303" i="57"/>
  <c r="AZ303" i="57"/>
  <c r="AY303" i="57"/>
  <c r="AX303" i="57"/>
  <c r="AW303" i="57"/>
  <c r="AV303" i="57"/>
  <c r="AU303" i="57"/>
  <c r="AT303" i="57"/>
  <c r="AS303" i="57"/>
  <c r="AR303" i="57"/>
  <c r="BK303" i="57" s="1"/>
  <c r="AQ303" i="57"/>
  <c r="BJ303" i="57" s="1"/>
  <c r="AP303" i="57"/>
  <c r="BI303" i="57" s="1"/>
  <c r="AP302" i="57"/>
  <c r="BI302" i="57" s="1"/>
  <c r="BZ301" i="57"/>
  <c r="BY301" i="57"/>
  <c r="BX301" i="57"/>
  <c r="BW301" i="57"/>
  <c r="BV301" i="57"/>
  <c r="BU301" i="57"/>
  <c r="BT301" i="57"/>
  <c r="BS301" i="57"/>
  <c r="BR301" i="57"/>
  <c r="BQ301" i="57"/>
  <c r="BP301" i="57"/>
  <c r="BO301" i="57"/>
  <c r="BN301" i="57"/>
  <c r="BM301" i="57"/>
  <c r="BL301" i="57"/>
  <c r="BG301" i="57"/>
  <c r="BF301" i="57"/>
  <c r="BE301" i="57"/>
  <c r="BD301" i="57"/>
  <c r="BC301" i="57"/>
  <c r="BB301" i="57"/>
  <c r="BA301" i="57"/>
  <c r="AZ301" i="57"/>
  <c r="AY301" i="57"/>
  <c r="AX301" i="57"/>
  <c r="AW301" i="57"/>
  <c r="AV301" i="57"/>
  <c r="AU301" i="57"/>
  <c r="AT301" i="57"/>
  <c r="AS301" i="57"/>
  <c r="AP301" i="57"/>
  <c r="BI301" i="57" s="1"/>
  <c r="BZ300" i="57"/>
  <c r="BY300" i="57"/>
  <c r="BX300" i="57"/>
  <c r="BW300" i="57"/>
  <c r="BV300" i="57"/>
  <c r="BU300" i="57"/>
  <c r="BT300" i="57"/>
  <c r="BS300" i="57"/>
  <c r="BR300" i="57"/>
  <c r="BQ300" i="57"/>
  <c r="BP300" i="57"/>
  <c r="BO300" i="57"/>
  <c r="BN300" i="57"/>
  <c r="BM300" i="57"/>
  <c r="BL300" i="57"/>
  <c r="BG300" i="57"/>
  <c r="BF300" i="57"/>
  <c r="BE300" i="57"/>
  <c r="BD300" i="57"/>
  <c r="BC300" i="57"/>
  <c r="BB300" i="57"/>
  <c r="BA300" i="57"/>
  <c r="AZ300" i="57"/>
  <c r="AY300" i="57"/>
  <c r="AX300" i="57"/>
  <c r="AW300" i="57"/>
  <c r="AV300" i="57"/>
  <c r="AU300" i="57"/>
  <c r="AT300" i="57"/>
  <c r="AS300" i="57"/>
  <c r="AR300" i="57"/>
  <c r="BK300" i="57" s="1"/>
  <c r="AQ300" i="57"/>
  <c r="BJ300" i="57" s="1"/>
  <c r="AP300" i="57"/>
  <c r="BI300" i="57" s="1"/>
  <c r="AP299" i="57"/>
  <c r="BI299" i="57" s="1"/>
  <c r="BZ298" i="57"/>
  <c r="BY298" i="57"/>
  <c r="BX298" i="57"/>
  <c r="BW298" i="57"/>
  <c r="BV298" i="57"/>
  <c r="BU298" i="57"/>
  <c r="BT298" i="57"/>
  <c r="BS298" i="57"/>
  <c r="BR298" i="57"/>
  <c r="BQ298" i="57"/>
  <c r="BP298" i="57"/>
  <c r="BO298" i="57"/>
  <c r="BN298" i="57"/>
  <c r="BM298" i="57"/>
  <c r="BL298" i="57"/>
  <c r="BG298" i="57"/>
  <c r="BF298" i="57"/>
  <c r="BE298" i="57"/>
  <c r="BD298" i="57"/>
  <c r="BC298" i="57"/>
  <c r="BB298" i="57"/>
  <c r="BA298" i="57"/>
  <c r="AZ298" i="57"/>
  <c r="AY298" i="57"/>
  <c r="AX298" i="57"/>
  <c r="AW298" i="57"/>
  <c r="AV298" i="57"/>
  <c r="AU298" i="57"/>
  <c r="AT298" i="57"/>
  <c r="AS298" i="57"/>
  <c r="AP298" i="57"/>
  <c r="BI298" i="57" s="1"/>
  <c r="BZ297" i="57"/>
  <c r="BY297" i="57"/>
  <c r="BX297" i="57"/>
  <c r="BW297" i="57"/>
  <c r="BV297" i="57"/>
  <c r="BU297" i="57"/>
  <c r="BT297" i="57"/>
  <c r="BS297" i="57"/>
  <c r="BR297" i="57"/>
  <c r="BQ297" i="57"/>
  <c r="BP297" i="57"/>
  <c r="BO297" i="57"/>
  <c r="BN297" i="57"/>
  <c r="BM297" i="57"/>
  <c r="BL297" i="57"/>
  <c r="BJ297" i="57"/>
  <c r="BG297" i="57"/>
  <c r="BF297" i="57"/>
  <c r="BE297" i="57"/>
  <c r="BD297" i="57"/>
  <c r="BC297" i="57"/>
  <c r="BB297" i="57"/>
  <c r="BA297" i="57"/>
  <c r="AZ297" i="57"/>
  <c r="AY297" i="57"/>
  <c r="AX297" i="57"/>
  <c r="AW297" i="57"/>
  <c r="AV297" i="57"/>
  <c r="AU297" i="57"/>
  <c r="AT297" i="57"/>
  <c r="AS297" i="57"/>
  <c r="AR297" i="57"/>
  <c r="BK297" i="57" s="1"/>
  <c r="AQ297" i="57"/>
  <c r="AP297" i="57"/>
  <c r="BI297" i="57" s="1"/>
  <c r="AP296" i="57"/>
  <c r="BI296" i="57" s="1"/>
  <c r="BZ295" i="57"/>
  <c r="BY295" i="57"/>
  <c r="BX295" i="57"/>
  <c r="BW295" i="57"/>
  <c r="BV295" i="57"/>
  <c r="BU295" i="57"/>
  <c r="BT295" i="57"/>
  <c r="BS295" i="57"/>
  <c r="BR295" i="57"/>
  <c r="BQ295" i="57"/>
  <c r="BP295" i="57"/>
  <c r="BO295" i="57"/>
  <c r="BN295" i="57"/>
  <c r="BM295" i="57"/>
  <c r="BL295" i="57"/>
  <c r="BG295" i="57"/>
  <c r="BF295" i="57"/>
  <c r="BE295" i="57"/>
  <c r="BD295" i="57"/>
  <c r="BC295" i="57"/>
  <c r="BB295" i="57"/>
  <c r="BA295" i="57"/>
  <c r="AZ295" i="57"/>
  <c r="AY295" i="57"/>
  <c r="AX295" i="57"/>
  <c r="AW295" i="57"/>
  <c r="AV295" i="57"/>
  <c r="AU295" i="57"/>
  <c r="AT295" i="57"/>
  <c r="AS295" i="57"/>
  <c r="AP295" i="57"/>
  <c r="BI295" i="57" s="1"/>
  <c r="BZ294" i="57"/>
  <c r="BY294" i="57"/>
  <c r="BX294" i="57"/>
  <c r="BW294" i="57"/>
  <c r="BV294" i="57"/>
  <c r="BU294" i="57"/>
  <c r="BT294" i="57"/>
  <c r="BS294" i="57"/>
  <c r="BR294" i="57"/>
  <c r="BQ294" i="57"/>
  <c r="BP294" i="57"/>
  <c r="BO294" i="57"/>
  <c r="BN294" i="57"/>
  <c r="BM294" i="57"/>
  <c r="BL294" i="57"/>
  <c r="BG294" i="57"/>
  <c r="BF294" i="57"/>
  <c r="BE294" i="57"/>
  <c r="BD294" i="57"/>
  <c r="BC294" i="57"/>
  <c r="BB294" i="57"/>
  <c r="BA294" i="57"/>
  <c r="AZ294" i="57"/>
  <c r="AY294" i="57"/>
  <c r="AX294" i="57"/>
  <c r="AW294" i="57"/>
  <c r="AV294" i="57"/>
  <c r="AU294" i="57"/>
  <c r="AT294" i="57"/>
  <c r="AS294" i="57"/>
  <c r="AR294" i="57"/>
  <c r="BK294" i="57" s="1"/>
  <c r="AQ294" i="57"/>
  <c r="BJ294" i="57" s="1"/>
  <c r="AP294" i="57"/>
  <c r="BI294" i="57" s="1"/>
  <c r="AP293" i="57"/>
  <c r="BI293" i="57" s="1"/>
  <c r="BZ292" i="57"/>
  <c r="BY292" i="57"/>
  <c r="BX292" i="57"/>
  <c r="BW292" i="57"/>
  <c r="BV292" i="57"/>
  <c r="BU292" i="57"/>
  <c r="BT292" i="57"/>
  <c r="BS292" i="57"/>
  <c r="BR292" i="57"/>
  <c r="BQ292" i="57"/>
  <c r="BP292" i="57"/>
  <c r="BO292" i="57"/>
  <c r="BN292" i="57"/>
  <c r="BM292" i="57"/>
  <c r="BL292" i="57"/>
  <c r="BG292" i="57"/>
  <c r="BF292" i="57"/>
  <c r="BE292" i="57"/>
  <c r="BD292" i="57"/>
  <c r="BC292" i="57"/>
  <c r="BB292" i="57"/>
  <c r="BA292" i="57"/>
  <c r="AZ292" i="57"/>
  <c r="AY292" i="57"/>
  <c r="AX292" i="57"/>
  <c r="AW292" i="57"/>
  <c r="AV292" i="57"/>
  <c r="AU292" i="57"/>
  <c r="AT292" i="57"/>
  <c r="AS292" i="57"/>
  <c r="AP292" i="57"/>
  <c r="BI292" i="57" s="1"/>
  <c r="BZ291" i="57"/>
  <c r="BY291" i="57"/>
  <c r="BX291" i="57"/>
  <c r="BW291" i="57"/>
  <c r="BV291" i="57"/>
  <c r="BU291" i="57"/>
  <c r="BT291" i="57"/>
  <c r="BS291" i="57"/>
  <c r="BR291" i="57"/>
  <c r="BQ291" i="57"/>
  <c r="BP291" i="57"/>
  <c r="BO291" i="57"/>
  <c r="BN291" i="57"/>
  <c r="BM291" i="57"/>
  <c r="BL291" i="57"/>
  <c r="BG291" i="57"/>
  <c r="BF291" i="57"/>
  <c r="BE291" i="57"/>
  <c r="BD291" i="57"/>
  <c r="BC291" i="57"/>
  <c r="BB291" i="57"/>
  <c r="BA291" i="57"/>
  <c r="AZ291" i="57"/>
  <c r="AY291" i="57"/>
  <c r="AX291" i="57"/>
  <c r="AW291" i="57"/>
  <c r="AV291" i="57"/>
  <c r="AU291" i="57"/>
  <c r="AT291" i="57"/>
  <c r="AS291" i="57"/>
  <c r="AR291" i="57"/>
  <c r="BK291" i="57" s="1"/>
  <c r="AQ291" i="57"/>
  <c r="BJ291" i="57" s="1"/>
  <c r="AP291" i="57"/>
  <c r="BI291" i="57" s="1"/>
  <c r="AP290" i="57"/>
  <c r="BI290" i="57" s="1"/>
  <c r="BZ289" i="57"/>
  <c r="BY289" i="57"/>
  <c r="BX289" i="57"/>
  <c r="BW289" i="57"/>
  <c r="BV289" i="57"/>
  <c r="BU289" i="57"/>
  <c r="BT289" i="57"/>
  <c r="BS289" i="57"/>
  <c r="BR289" i="57"/>
  <c r="BQ289" i="57"/>
  <c r="BP289" i="57"/>
  <c r="BO289" i="57"/>
  <c r="BN289" i="57"/>
  <c r="BM289" i="57"/>
  <c r="BL289" i="57"/>
  <c r="BG289" i="57"/>
  <c r="BF289" i="57"/>
  <c r="BE289" i="57"/>
  <c r="BD289" i="57"/>
  <c r="BC289" i="57"/>
  <c r="BB289" i="57"/>
  <c r="BA289" i="57"/>
  <c r="AZ289" i="57"/>
  <c r="AY289" i="57"/>
  <c r="AX289" i="57"/>
  <c r="AW289" i="57"/>
  <c r="AV289" i="57"/>
  <c r="AU289" i="57"/>
  <c r="AT289" i="57"/>
  <c r="AS289" i="57"/>
  <c r="AP289" i="57"/>
  <c r="BI289" i="57" s="1"/>
  <c r="BZ288" i="57"/>
  <c r="BY288" i="57"/>
  <c r="BX288" i="57"/>
  <c r="BW288" i="57"/>
  <c r="BV288" i="57"/>
  <c r="BU288" i="57"/>
  <c r="BT288" i="57"/>
  <c r="BS288" i="57"/>
  <c r="BR288" i="57"/>
  <c r="BQ288" i="57"/>
  <c r="BP288" i="57"/>
  <c r="BO288" i="57"/>
  <c r="BN288" i="57"/>
  <c r="BM288" i="57"/>
  <c r="BL288" i="57"/>
  <c r="BG288" i="57"/>
  <c r="BF288" i="57"/>
  <c r="BE288" i="57"/>
  <c r="BD288" i="57"/>
  <c r="BC288" i="57"/>
  <c r="BB288" i="57"/>
  <c r="BA288" i="57"/>
  <c r="AZ288" i="57"/>
  <c r="AY288" i="57"/>
  <c r="AX288" i="57"/>
  <c r="AW288" i="57"/>
  <c r="AV288" i="57"/>
  <c r="AU288" i="57"/>
  <c r="AT288" i="57"/>
  <c r="AS288" i="57"/>
  <c r="AR288" i="57"/>
  <c r="BK288" i="57" s="1"/>
  <c r="AQ288" i="57"/>
  <c r="BJ288" i="57" s="1"/>
  <c r="AP288" i="57"/>
  <c r="BI288" i="57" s="1"/>
  <c r="AP287" i="57"/>
  <c r="BI287" i="57" s="1"/>
  <c r="BZ286" i="57"/>
  <c r="BY286" i="57"/>
  <c r="BX286" i="57"/>
  <c r="BW286" i="57"/>
  <c r="BV286" i="57"/>
  <c r="BU286" i="57"/>
  <c r="BT286" i="57"/>
  <c r="BS286" i="57"/>
  <c r="BR286" i="57"/>
  <c r="BQ286" i="57"/>
  <c r="BP286" i="57"/>
  <c r="BO286" i="57"/>
  <c r="BN286" i="57"/>
  <c r="BM286" i="57"/>
  <c r="BL286" i="57"/>
  <c r="BG286" i="57"/>
  <c r="BF286" i="57"/>
  <c r="BE286" i="57"/>
  <c r="BD286" i="57"/>
  <c r="BC286" i="57"/>
  <c r="BB286" i="57"/>
  <c r="BA286" i="57"/>
  <c r="AZ286" i="57"/>
  <c r="AY286" i="57"/>
  <c r="AX286" i="57"/>
  <c r="AW286" i="57"/>
  <c r="AV286" i="57"/>
  <c r="AU286" i="57"/>
  <c r="AT286" i="57"/>
  <c r="AS286" i="57"/>
  <c r="AP286" i="57"/>
  <c r="BI286" i="57" s="1"/>
  <c r="BZ285" i="57"/>
  <c r="BY285" i="57"/>
  <c r="BX285" i="57"/>
  <c r="BW285" i="57"/>
  <c r="BV285" i="57"/>
  <c r="BU285" i="57"/>
  <c r="BT285" i="57"/>
  <c r="BS285" i="57"/>
  <c r="BR285" i="57"/>
  <c r="BQ285" i="57"/>
  <c r="BP285" i="57"/>
  <c r="BO285" i="57"/>
  <c r="BN285" i="57"/>
  <c r="BM285" i="57"/>
  <c r="BL285" i="57"/>
  <c r="BG285" i="57"/>
  <c r="BF285" i="57"/>
  <c r="BE285" i="57"/>
  <c r="BD285" i="57"/>
  <c r="BC285" i="57"/>
  <c r="BB285" i="57"/>
  <c r="BA285" i="57"/>
  <c r="AZ285" i="57"/>
  <c r="AY285" i="57"/>
  <c r="AX285" i="57"/>
  <c r="AW285" i="57"/>
  <c r="AV285" i="57"/>
  <c r="AU285" i="57"/>
  <c r="AT285" i="57"/>
  <c r="AS285" i="57"/>
  <c r="AR285" i="57"/>
  <c r="BK285" i="57" s="1"/>
  <c r="AQ285" i="57"/>
  <c r="BJ285" i="57" s="1"/>
  <c r="AP285" i="57"/>
  <c r="BI285" i="57" s="1"/>
  <c r="AP284" i="57"/>
  <c r="BI284" i="57" s="1"/>
  <c r="BZ283" i="57"/>
  <c r="BY283" i="57"/>
  <c r="BX283" i="57"/>
  <c r="BW283" i="57"/>
  <c r="BV283" i="57"/>
  <c r="BU283" i="57"/>
  <c r="BT283" i="57"/>
  <c r="BS283" i="57"/>
  <c r="BR283" i="57"/>
  <c r="BQ283" i="57"/>
  <c r="BP283" i="57"/>
  <c r="BO283" i="57"/>
  <c r="BN283" i="57"/>
  <c r="BM283" i="57"/>
  <c r="BL283" i="57"/>
  <c r="BG283" i="57"/>
  <c r="BF283" i="57"/>
  <c r="BE283" i="57"/>
  <c r="BD283" i="57"/>
  <c r="BC283" i="57"/>
  <c r="BB283" i="57"/>
  <c r="BA283" i="57"/>
  <c r="AZ283" i="57"/>
  <c r="AY283" i="57"/>
  <c r="AX283" i="57"/>
  <c r="AW283" i="57"/>
  <c r="AV283" i="57"/>
  <c r="AU283" i="57"/>
  <c r="AT283" i="57"/>
  <c r="AS283" i="57"/>
  <c r="AP283" i="57"/>
  <c r="BI283" i="57" s="1"/>
  <c r="BZ282" i="57"/>
  <c r="BY282" i="57"/>
  <c r="BX282" i="57"/>
  <c r="BW282" i="57"/>
  <c r="BV282" i="57"/>
  <c r="BU282" i="57"/>
  <c r="BT282" i="57"/>
  <c r="BS282" i="57"/>
  <c r="BR282" i="57"/>
  <c r="BQ282" i="57"/>
  <c r="BP282" i="57"/>
  <c r="BO282" i="57"/>
  <c r="BN282" i="57"/>
  <c r="BM282" i="57"/>
  <c r="BL282" i="57"/>
  <c r="BG282" i="57"/>
  <c r="BF282" i="57"/>
  <c r="BE282" i="57"/>
  <c r="BD282" i="57"/>
  <c r="BC282" i="57"/>
  <c r="BB282" i="57"/>
  <c r="BA282" i="57"/>
  <c r="AZ282" i="57"/>
  <c r="AY282" i="57"/>
  <c r="AX282" i="57"/>
  <c r="AW282" i="57"/>
  <c r="AV282" i="57"/>
  <c r="AU282" i="57"/>
  <c r="AT282" i="57"/>
  <c r="AS282" i="57"/>
  <c r="AR282" i="57"/>
  <c r="BK282" i="57" s="1"/>
  <c r="AQ282" i="57"/>
  <c r="BJ282" i="57" s="1"/>
  <c r="AP282" i="57"/>
  <c r="BI282" i="57" s="1"/>
  <c r="AP281" i="57"/>
  <c r="BI281" i="57" s="1"/>
  <c r="BZ280" i="57"/>
  <c r="BY280" i="57"/>
  <c r="BX280" i="57"/>
  <c r="BW280" i="57"/>
  <c r="BV280" i="57"/>
  <c r="BU280" i="57"/>
  <c r="BT280" i="57"/>
  <c r="BS280" i="57"/>
  <c r="BR280" i="57"/>
  <c r="BQ280" i="57"/>
  <c r="BP280" i="57"/>
  <c r="BO280" i="57"/>
  <c r="BN280" i="57"/>
  <c r="BM280" i="57"/>
  <c r="BL280" i="57"/>
  <c r="BG280" i="57"/>
  <c r="BF280" i="57"/>
  <c r="BE280" i="57"/>
  <c r="BD280" i="57"/>
  <c r="BC280" i="57"/>
  <c r="BB280" i="57"/>
  <c r="BA280" i="57"/>
  <c r="AZ280" i="57"/>
  <c r="AY280" i="57"/>
  <c r="AX280" i="57"/>
  <c r="AW280" i="57"/>
  <c r="AV280" i="57"/>
  <c r="AU280" i="57"/>
  <c r="AT280" i="57"/>
  <c r="AS280" i="57"/>
  <c r="AP280" i="57"/>
  <c r="BI280" i="57" s="1"/>
  <c r="BZ279" i="57"/>
  <c r="BY279" i="57"/>
  <c r="BX279" i="57"/>
  <c r="BW279" i="57"/>
  <c r="BV279" i="57"/>
  <c r="BU279" i="57"/>
  <c r="BT279" i="57"/>
  <c r="BS279" i="57"/>
  <c r="BR279" i="57"/>
  <c r="BQ279" i="57"/>
  <c r="BP279" i="57"/>
  <c r="BO279" i="57"/>
  <c r="BN279" i="57"/>
  <c r="BM279" i="57"/>
  <c r="BL279" i="57"/>
  <c r="BG279" i="57"/>
  <c r="BF279" i="57"/>
  <c r="BE279" i="57"/>
  <c r="BD279" i="57"/>
  <c r="BC279" i="57"/>
  <c r="BB279" i="57"/>
  <c r="BA279" i="57"/>
  <c r="AZ279" i="57"/>
  <c r="AY279" i="57"/>
  <c r="AX279" i="57"/>
  <c r="AW279" i="57"/>
  <c r="AV279" i="57"/>
  <c r="AU279" i="57"/>
  <c r="AT279" i="57"/>
  <c r="AS279" i="57"/>
  <c r="AR279" i="57"/>
  <c r="BK279" i="57" s="1"/>
  <c r="AQ279" i="57"/>
  <c r="BJ279" i="57" s="1"/>
  <c r="AP279" i="57"/>
  <c r="BI279" i="57" s="1"/>
  <c r="AP278" i="57"/>
  <c r="BI278" i="57" s="1"/>
  <c r="BZ277" i="57"/>
  <c r="BY277" i="57"/>
  <c r="BX277" i="57"/>
  <c r="BW277" i="57"/>
  <c r="BV277" i="57"/>
  <c r="BU277" i="57"/>
  <c r="BT277" i="57"/>
  <c r="BS277" i="57"/>
  <c r="BR277" i="57"/>
  <c r="BQ277" i="57"/>
  <c r="BP277" i="57"/>
  <c r="BO277" i="57"/>
  <c r="BN277" i="57"/>
  <c r="BM277" i="57"/>
  <c r="BL277" i="57"/>
  <c r="BG277" i="57"/>
  <c r="BF277" i="57"/>
  <c r="BE277" i="57"/>
  <c r="BD277" i="57"/>
  <c r="BC277" i="57"/>
  <c r="BB277" i="57"/>
  <c r="BA277" i="57"/>
  <c r="AZ277" i="57"/>
  <c r="AY277" i="57"/>
  <c r="AX277" i="57"/>
  <c r="AW277" i="57"/>
  <c r="AV277" i="57"/>
  <c r="AU277" i="57"/>
  <c r="AT277" i="57"/>
  <c r="AS277" i="57"/>
  <c r="AP277" i="57"/>
  <c r="BI277" i="57" s="1"/>
  <c r="BZ276" i="57"/>
  <c r="BY276" i="57"/>
  <c r="BX276" i="57"/>
  <c r="BW276" i="57"/>
  <c r="BV276" i="57"/>
  <c r="BU276" i="57"/>
  <c r="BT276" i="57"/>
  <c r="BS276" i="57"/>
  <c r="BR276" i="57"/>
  <c r="BQ276" i="57"/>
  <c r="BP276" i="57"/>
  <c r="BO276" i="57"/>
  <c r="BN276" i="57"/>
  <c r="BM276" i="57"/>
  <c r="BL276" i="57"/>
  <c r="BG276" i="57"/>
  <c r="BF276" i="57"/>
  <c r="BE276" i="57"/>
  <c r="BD276" i="57"/>
  <c r="BC276" i="57"/>
  <c r="BB276" i="57"/>
  <c r="BA276" i="57"/>
  <c r="AZ276" i="57"/>
  <c r="AY276" i="57"/>
  <c r="AX276" i="57"/>
  <c r="AW276" i="57"/>
  <c r="AV276" i="57"/>
  <c r="AU276" i="57"/>
  <c r="AT276" i="57"/>
  <c r="AS276" i="57"/>
  <c r="AR276" i="57"/>
  <c r="BK276" i="57" s="1"/>
  <c r="AQ276" i="57"/>
  <c r="BJ276" i="57" s="1"/>
  <c r="AP276" i="57"/>
  <c r="BI276" i="57" s="1"/>
  <c r="AP275" i="57"/>
  <c r="BI275" i="57" s="1"/>
  <c r="BZ274" i="57"/>
  <c r="BY274" i="57"/>
  <c r="BX274" i="57"/>
  <c r="BW274" i="57"/>
  <c r="BV274" i="57"/>
  <c r="BU274" i="57"/>
  <c r="BT274" i="57"/>
  <c r="BS274" i="57"/>
  <c r="BR274" i="57"/>
  <c r="BQ274" i="57"/>
  <c r="BP274" i="57"/>
  <c r="BO274" i="57"/>
  <c r="BN274" i="57"/>
  <c r="BM274" i="57"/>
  <c r="BL274" i="57"/>
  <c r="BG274" i="57"/>
  <c r="BF274" i="57"/>
  <c r="BE274" i="57"/>
  <c r="BD274" i="57"/>
  <c r="BC274" i="57"/>
  <c r="BB274" i="57"/>
  <c r="BA274" i="57"/>
  <c r="AZ274" i="57"/>
  <c r="AY274" i="57"/>
  <c r="AX274" i="57"/>
  <c r="AW274" i="57"/>
  <c r="AV274" i="57"/>
  <c r="AU274" i="57"/>
  <c r="AT274" i="57"/>
  <c r="AS274" i="57"/>
  <c r="AP274" i="57"/>
  <c r="BI274" i="57" s="1"/>
  <c r="BZ273" i="57"/>
  <c r="BY273" i="57"/>
  <c r="BX273" i="57"/>
  <c r="BW273" i="57"/>
  <c r="BV273" i="57"/>
  <c r="BU273" i="57"/>
  <c r="BT273" i="57"/>
  <c r="BS273" i="57"/>
  <c r="BR273" i="57"/>
  <c r="BQ273" i="57"/>
  <c r="BP273" i="57"/>
  <c r="BO273" i="57"/>
  <c r="BN273" i="57"/>
  <c r="BM273" i="57"/>
  <c r="BL273" i="57"/>
  <c r="BG273" i="57"/>
  <c r="BF273" i="57"/>
  <c r="BE273" i="57"/>
  <c r="BD273" i="57"/>
  <c r="BC273" i="57"/>
  <c r="BB273" i="57"/>
  <c r="BA273" i="57"/>
  <c r="AZ273" i="57"/>
  <c r="AY273" i="57"/>
  <c r="AX273" i="57"/>
  <c r="AW273" i="57"/>
  <c r="AV273" i="57"/>
  <c r="AU273" i="57"/>
  <c r="AT273" i="57"/>
  <c r="AS273" i="57"/>
  <c r="AR273" i="57"/>
  <c r="BK273" i="57" s="1"/>
  <c r="AQ273" i="57"/>
  <c r="BJ273" i="57" s="1"/>
  <c r="AP273" i="57"/>
  <c r="BI273" i="57" s="1"/>
  <c r="AP272" i="57"/>
  <c r="BI272" i="57" s="1"/>
  <c r="BZ271" i="57"/>
  <c r="BY271" i="57"/>
  <c r="BX271" i="57"/>
  <c r="BW271" i="57"/>
  <c r="BV271" i="57"/>
  <c r="BU271" i="57"/>
  <c r="BT271" i="57"/>
  <c r="BS271" i="57"/>
  <c r="BR271" i="57"/>
  <c r="BQ271" i="57"/>
  <c r="BP271" i="57"/>
  <c r="BO271" i="57"/>
  <c r="BN271" i="57"/>
  <c r="BM271" i="57"/>
  <c r="BL271" i="57"/>
  <c r="BG271" i="57"/>
  <c r="BF271" i="57"/>
  <c r="BE271" i="57"/>
  <c r="BD271" i="57"/>
  <c r="BC271" i="57"/>
  <c r="BB271" i="57"/>
  <c r="BA271" i="57"/>
  <c r="AZ271" i="57"/>
  <c r="AY271" i="57"/>
  <c r="AX271" i="57"/>
  <c r="AW271" i="57"/>
  <c r="AV271" i="57"/>
  <c r="AU271" i="57"/>
  <c r="AT271" i="57"/>
  <c r="AS271" i="57"/>
  <c r="AP271" i="57"/>
  <c r="BI271" i="57" s="1"/>
  <c r="BZ270" i="57"/>
  <c r="BY270" i="57"/>
  <c r="BX270" i="57"/>
  <c r="BW270" i="57"/>
  <c r="BV270" i="57"/>
  <c r="BU270" i="57"/>
  <c r="BT270" i="57"/>
  <c r="BS270" i="57"/>
  <c r="BR270" i="57"/>
  <c r="BQ270" i="57"/>
  <c r="BP270" i="57"/>
  <c r="BO270" i="57"/>
  <c r="BN270" i="57"/>
  <c r="BM270" i="57"/>
  <c r="BL270" i="57"/>
  <c r="BJ270" i="57"/>
  <c r="BG270" i="57"/>
  <c r="BF270" i="57"/>
  <c r="BE270" i="57"/>
  <c r="BD270" i="57"/>
  <c r="BC270" i="57"/>
  <c r="BB270" i="57"/>
  <c r="BA270" i="57"/>
  <c r="AZ270" i="57"/>
  <c r="AY270" i="57"/>
  <c r="AX270" i="57"/>
  <c r="AW270" i="57"/>
  <c r="AV270" i="57"/>
  <c r="AU270" i="57"/>
  <c r="AT270" i="57"/>
  <c r="AS270" i="57"/>
  <c r="AR270" i="57"/>
  <c r="BK270" i="57" s="1"/>
  <c r="AQ270" i="57"/>
  <c r="AP270" i="57"/>
  <c r="BI270" i="57" s="1"/>
  <c r="AP269" i="57"/>
  <c r="BI269" i="57" s="1"/>
  <c r="BZ268" i="57"/>
  <c r="BY268" i="57"/>
  <c r="BX268" i="57"/>
  <c r="BW268" i="57"/>
  <c r="BV268" i="57"/>
  <c r="BU268" i="57"/>
  <c r="BT268" i="57"/>
  <c r="BS268" i="57"/>
  <c r="BR268" i="57"/>
  <c r="BQ268" i="57"/>
  <c r="BP268" i="57"/>
  <c r="BO268" i="57"/>
  <c r="BN268" i="57"/>
  <c r="BM268" i="57"/>
  <c r="BL268" i="57"/>
  <c r="BG268" i="57"/>
  <c r="BF268" i="57"/>
  <c r="BE268" i="57"/>
  <c r="BD268" i="57"/>
  <c r="BC268" i="57"/>
  <c r="BB268" i="57"/>
  <c r="BA268" i="57"/>
  <c r="AZ268" i="57"/>
  <c r="AY268" i="57"/>
  <c r="AX268" i="57"/>
  <c r="AW268" i="57"/>
  <c r="AV268" i="57"/>
  <c r="AU268" i="57"/>
  <c r="AT268" i="57"/>
  <c r="AS268" i="57"/>
  <c r="AP268" i="57"/>
  <c r="BI268" i="57" s="1"/>
  <c r="BZ267" i="57"/>
  <c r="BY267" i="57"/>
  <c r="BX267" i="57"/>
  <c r="BW267" i="57"/>
  <c r="BV267" i="57"/>
  <c r="BU267" i="57"/>
  <c r="BT267" i="57"/>
  <c r="BS267" i="57"/>
  <c r="BR267" i="57"/>
  <c r="BQ267" i="57"/>
  <c r="BP267" i="57"/>
  <c r="BO267" i="57"/>
  <c r="BN267" i="57"/>
  <c r="BM267" i="57"/>
  <c r="BL267" i="57"/>
  <c r="BG267" i="57"/>
  <c r="BF267" i="57"/>
  <c r="BE267" i="57"/>
  <c r="BD267" i="57"/>
  <c r="BC267" i="57"/>
  <c r="BB267" i="57"/>
  <c r="BA267" i="57"/>
  <c r="AZ267" i="57"/>
  <c r="AY267" i="57"/>
  <c r="AX267" i="57"/>
  <c r="AW267" i="57"/>
  <c r="AV267" i="57"/>
  <c r="AU267" i="57"/>
  <c r="AT267" i="57"/>
  <c r="AS267" i="57"/>
  <c r="AR267" i="57"/>
  <c r="BK267" i="57" s="1"/>
  <c r="AQ267" i="57"/>
  <c r="BJ267" i="57" s="1"/>
  <c r="AP267" i="57"/>
  <c r="BI267" i="57" s="1"/>
  <c r="AP266" i="57"/>
  <c r="BI266" i="57" s="1"/>
  <c r="BZ265" i="57"/>
  <c r="BY265" i="57"/>
  <c r="BX265" i="57"/>
  <c r="BW265" i="57"/>
  <c r="BV265" i="57"/>
  <c r="BU265" i="57"/>
  <c r="BT265" i="57"/>
  <c r="BS265" i="57"/>
  <c r="BR265" i="57"/>
  <c r="BQ265" i="57"/>
  <c r="BP265" i="57"/>
  <c r="BO265" i="57"/>
  <c r="BN265" i="57"/>
  <c r="BM265" i="57"/>
  <c r="BL265" i="57"/>
  <c r="BG265" i="57"/>
  <c r="BF265" i="57"/>
  <c r="BE265" i="57"/>
  <c r="BD265" i="57"/>
  <c r="BC265" i="57"/>
  <c r="BB265" i="57"/>
  <c r="BA265" i="57"/>
  <c r="AZ265" i="57"/>
  <c r="AY265" i="57"/>
  <c r="AX265" i="57"/>
  <c r="AW265" i="57"/>
  <c r="AV265" i="57"/>
  <c r="AU265" i="57"/>
  <c r="AT265" i="57"/>
  <c r="AS265" i="57"/>
  <c r="AP265" i="57"/>
  <c r="BI265" i="57" s="1"/>
  <c r="BZ264" i="57"/>
  <c r="BY264" i="57"/>
  <c r="BX264" i="57"/>
  <c r="BW264" i="57"/>
  <c r="BV264" i="57"/>
  <c r="BU264" i="57"/>
  <c r="BT264" i="57"/>
  <c r="BS264" i="57"/>
  <c r="BR264" i="57"/>
  <c r="BQ264" i="57"/>
  <c r="BP264" i="57"/>
  <c r="BO264" i="57"/>
  <c r="BN264" i="57"/>
  <c r="BM264" i="57"/>
  <c r="BL264" i="57"/>
  <c r="BG264" i="57"/>
  <c r="BF264" i="57"/>
  <c r="BE264" i="57"/>
  <c r="BD264" i="57"/>
  <c r="BC264" i="57"/>
  <c r="BB264" i="57"/>
  <c r="BA264" i="57"/>
  <c r="AZ264" i="57"/>
  <c r="AY264" i="57"/>
  <c r="AX264" i="57"/>
  <c r="AW264" i="57"/>
  <c r="AV264" i="57"/>
  <c r="AU264" i="57"/>
  <c r="AT264" i="57"/>
  <c r="AS264" i="57"/>
  <c r="AR264" i="57"/>
  <c r="BK264" i="57" s="1"/>
  <c r="AQ264" i="57"/>
  <c r="BJ264" i="57" s="1"/>
  <c r="AP264" i="57"/>
  <c r="BI264" i="57" s="1"/>
  <c r="AP263" i="57"/>
  <c r="BI263" i="57" s="1"/>
  <c r="BZ262" i="57"/>
  <c r="BY262" i="57"/>
  <c r="BX262" i="57"/>
  <c r="BW262" i="57"/>
  <c r="BV262" i="57"/>
  <c r="BU262" i="57"/>
  <c r="BT262" i="57"/>
  <c r="BS262" i="57"/>
  <c r="BR262" i="57"/>
  <c r="BQ262" i="57"/>
  <c r="BP262" i="57"/>
  <c r="BO262" i="57"/>
  <c r="BN262" i="57"/>
  <c r="BM262" i="57"/>
  <c r="BL262" i="57"/>
  <c r="BG262" i="57"/>
  <c r="BF262" i="57"/>
  <c r="BE262" i="57"/>
  <c r="BD262" i="57"/>
  <c r="BC262" i="57"/>
  <c r="BB262" i="57"/>
  <c r="BA262" i="57"/>
  <c r="AZ262" i="57"/>
  <c r="AY262" i="57"/>
  <c r="AX262" i="57"/>
  <c r="AW262" i="57"/>
  <c r="AV262" i="57"/>
  <c r="AU262" i="57"/>
  <c r="AT262" i="57"/>
  <c r="AS262" i="57"/>
  <c r="AP262" i="57"/>
  <c r="BI262" i="57" s="1"/>
  <c r="BZ261" i="57"/>
  <c r="BY261" i="57"/>
  <c r="BX261" i="57"/>
  <c r="BW261" i="57"/>
  <c r="BV261" i="57"/>
  <c r="BU261" i="57"/>
  <c r="BT261" i="57"/>
  <c r="BS261" i="57"/>
  <c r="BR261" i="57"/>
  <c r="BQ261" i="57"/>
  <c r="BP261" i="57"/>
  <c r="BO261" i="57"/>
  <c r="BN261" i="57"/>
  <c r="BM261" i="57"/>
  <c r="BL261" i="57"/>
  <c r="BG261" i="57"/>
  <c r="BF261" i="57"/>
  <c r="BE261" i="57"/>
  <c r="BD261" i="57"/>
  <c r="BC261" i="57"/>
  <c r="BB261" i="57"/>
  <c r="BA261" i="57"/>
  <c r="AZ261" i="57"/>
  <c r="AY261" i="57"/>
  <c r="AX261" i="57"/>
  <c r="AW261" i="57"/>
  <c r="AV261" i="57"/>
  <c r="AU261" i="57"/>
  <c r="AT261" i="57"/>
  <c r="AS261" i="57"/>
  <c r="AR261" i="57"/>
  <c r="BK261" i="57" s="1"/>
  <c r="AQ261" i="57"/>
  <c r="BJ261" i="57" s="1"/>
  <c r="AP261" i="57"/>
  <c r="BI261" i="57" s="1"/>
  <c r="AP260" i="57"/>
  <c r="BI260" i="57" s="1"/>
  <c r="BZ259" i="57"/>
  <c r="BY259" i="57"/>
  <c r="BX259" i="57"/>
  <c r="BW259" i="57"/>
  <c r="BV259" i="57"/>
  <c r="BU259" i="57"/>
  <c r="BT259" i="57"/>
  <c r="BS259" i="57"/>
  <c r="BR259" i="57"/>
  <c r="BQ259" i="57"/>
  <c r="BP259" i="57"/>
  <c r="BO259" i="57"/>
  <c r="BN259" i="57"/>
  <c r="BM259" i="57"/>
  <c r="BL259" i="57"/>
  <c r="BG259" i="57"/>
  <c r="BF259" i="57"/>
  <c r="BE259" i="57"/>
  <c r="BD259" i="57"/>
  <c r="BC259" i="57"/>
  <c r="BB259" i="57"/>
  <c r="BA259" i="57"/>
  <c r="AZ259" i="57"/>
  <c r="AY259" i="57"/>
  <c r="AX259" i="57"/>
  <c r="AW259" i="57"/>
  <c r="AV259" i="57"/>
  <c r="AU259" i="57"/>
  <c r="AT259" i="57"/>
  <c r="AS259" i="57"/>
  <c r="AP259" i="57"/>
  <c r="BI259" i="57" s="1"/>
  <c r="BZ258" i="57"/>
  <c r="BY258" i="57"/>
  <c r="BX258" i="57"/>
  <c r="BW258" i="57"/>
  <c r="BV258" i="57"/>
  <c r="BU258" i="57"/>
  <c r="BT258" i="57"/>
  <c r="BS258" i="57"/>
  <c r="BR258" i="57"/>
  <c r="BQ258" i="57"/>
  <c r="BP258" i="57"/>
  <c r="BO258" i="57"/>
  <c r="BN258" i="57"/>
  <c r="BM258" i="57"/>
  <c r="BL258" i="57"/>
  <c r="BG258" i="57"/>
  <c r="BF258" i="57"/>
  <c r="BE258" i="57"/>
  <c r="BD258" i="57"/>
  <c r="BC258" i="57"/>
  <c r="BB258" i="57"/>
  <c r="BA258" i="57"/>
  <c r="AZ258" i="57"/>
  <c r="AY258" i="57"/>
  <c r="AX258" i="57"/>
  <c r="AW258" i="57"/>
  <c r="AV258" i="57"/>
  <c r="AU258" i="57"/>
  <c r="AT258" i="57"/>
  <c r="AS258" i="57"/>
  <c r="AR258" i="57"/>
  <c r="BK258" i="57" s="1"/>
  <c r="AQ258" i="57"/>
  <c r="BJ258" i="57" s="1"/>
  <c r="AP258" i="57"/>
  <c r="BI258" i="57" s="1"/>
  <c r="AP257" i="57"/>
  <c r="BI257" i="57" s="1"/>
  <c r="BZ256" i="57"/>
  <c r="BY256" i="57"/>
  <c r="BX256" i="57"/>
  <c r="BW256" i="57"/>
  <c r="BV256" i="57"/>
  <c r="BU256" i="57"/>
  <c r="BT256" i="57"/>
  <c r="BS256" i="57"/>
  <c r="BR256" i="57"/>
  <c r="BQ256" i="57"/>
  <c r="BP256" i="57"/>
  <c r="BO256" i="57"/>
  <c r="BN256" i="57"/>
  <c r="BM256" i="57"/>
  <c r="BL256" i="57"/>
  <c r="BG256" i="57"/>
  <c r="BF256" i="57"/>
  <c r="BE256" i="57"/>
  <c r="BD256" i="57"/>
  <c r="BC256" i="57"/>
  <c r="BB256" i="57"/>
  <c r="BA256" i="57"/>
  <c r="AZ256" i="57"/>
  <c r="AY256" i="57"/>
  <c r="AX256" i="57"/>
  <c r="AW256" i="57"/>
  <c r="AV256" i="57"/>
  <c r="AU256" i="57"/>
  <c r="AT256" i="57"/>
  <c r="AS256" i="57"/>
  <c r="AP256" i="57"/>
  <c r="BI256" i="57" s="1"/>
  <c r="BZ255" i="57"/>
  <c r="BY255" i="57"/>
  <c r="BX255" i="57"/>
  <c r="BW255" i="57"/>
  <c r="BV255" i="57"/>
  <c r="BU255" i="57"/>
  <c r="BT255" i="57"/>
  <c r="BS255" i="57"/>
  <c r="BR255" i="57"/>
  <c r="BQ255" i="57"/>
  <c r="BP255" i="57"/>
  <c r="BO255" i="57"/>
  <c r="BN255" i="57"/>
  <c r="BM255" i="57"/>
  <c r="BL255" i="57"/>
  <c r="BG255" i="57"/>
  <c r="BF255" i="57"/>
  <c r="BE255" i="57"/>
  <c r="BD255" i="57"/>
  <c r="BC255" i="57"/>
  <c r="BB255" i="57"/>
  <c r="BA255" i="57"/>
  <c r="AZ255" i="57"/>
  <c r="AY255" i="57"/>
  <c r="AX255" i="57"/>
  <c r="AW255" i="57"/>
  <c r="AV255" i="57"/>
  <c r="AU255" i="57"/>
  <c r="AT255" i="57"/>
  <c r="AS255" i="57"/>
  <c r="AR255" i="57"/>
  <c r="BK255" i="57" s="1"/>
  <c r="AQ255" i="57"/>
  <c r="BJ255" i="57" s="1"/>
  <c r="AP255" i="57"/>
  <c r="BI255" i="57" s="1"/>
  <c r="AP254" i="57"/>
  <c r="BI254" i="57" s="1"/>
  <c r="BZ253" i="57"/>
  <c r="BY253" i="57"/>
  <c r="BX253" i="57"/>
  <c r="BW253" i="57"/>
  <c r="BV253" i="57"/>
  <c r="BU253" i="57"/>
  <c r="BT253" i="57"/>
  <c r="BS253" i="57"/>
  <c r="BR253" i="57"/>
  <c r="BQ253" i="57"/>
  <c r="BP253" i="57"/>
  <c r="BO253" i="57"/>
  <c r="BN253" i="57"/>
  <c r="BM253" i="57"/>
  <c r="BL253" i="57"/>
  <c r="BG253" i="57"/>
  <c r="BF253" i="57"/>
  <c r="BE253" i="57"/>
  <c r="BD253" i="57"/>
  <c r="BC253" i="57"/>
  <c r="BB253" i="57"/>
  <c r="BA253" i="57"/>
  <c r="AZ253" i="57"/>
  <c r="AY253" i="57"/>
  <c r="AX253" i="57"/>
  <c r="AW253" i="57"/>
  <c r="AV253" i="57"/>
  <c r="AU253" i="57"/>
  <c r="AT253" i="57"/>
  <c r="AS253" i="57"/>
  <c r="AP253" i="57"/>
  <c r="BI253" i="57" s="1"/>
  <c r="BZ252" i="57"/>
  <c r="BY252" i="57"/>
  <c r="BX252" i="57"/>
  <c r="BW252" i="57"/>
  <c r="BV252" i="57"/>
  <c r="BU252" i="57"/>
  <c r="BT252" i="57"/>
  <c r="BS252" i="57"/>
  <c r="BR252" i="57"/>
  <c r="BQ252" i="57"/>
  <c r="BP252" i="57"/>
  <c r="BO252" i="57"/>
  <c r="BN252" i="57"/>
  <c r="BM252" i="57"/>
  <c r="BL252" i="57"/>
  <c r="BG252" i="57"/>
  <c r="BF252" i="57"/>
  <c r="BE252" i="57"/>
  <c r="BD252" i="57"/>
  <c r="BC252" i="57"/>
  <c r="BB252" i="57"/>
  <c r="BA252" i="57"/>
  <c r="AZ252" i="57"/>
  <c r="AY252" i="57"/>
  <c r="AX252" i="57"/>
  <c r="AW252" i="57"/>
  <c r="AV252" i="57"/>
  <c r="AU252" i="57"/>
  <c r="AT252" i="57"/>
  <c r="AS252" i="57"/>
  <c r="AR252" i="57"/>
  <c r="BK252" i="57" s="1"/>
  <c r="AQ252" i="57"/>
  <c r="BJ252" i="57" s="1"/>
  <c r="AP252" i="57"/>
  <c r="BI252" i="57" s="1"/>
  <c r="AP251" i="57"/>
  <c r="BI251" i="57" s="1"/>
  <c r="BZ250" i="57"/>
  <c r="BY250" i="57"/>
  <c r="BX250" i="57"/>
  <c r="BW250" i="57"/>
  <c r="BV250" i="57"/>
  <c r="BU250" i="57"/>
  <c r="BT250" i="57"/>
  <c r="BS250" i="57"/>
  <c r="BR250" i="57"/>
  <c r="BQ250" i="57"/>
  <c r="BP250" i="57"/>
  <c r="BO250" i="57"/>
  <c r="BN250" i="57"/>
  <c r="BM250" i="57"/>
  <c r="BL250" i="57"/>
  <c r="BG250" i="57"/>
  <c r="BF250" i="57"/>
  <c r="BE250" i="57"/>
  <c r="BD250" i="57"/>
  <c r="BC250" i="57"/>
  <c r="BB250" i="57"/>
  <c r="BA250" i="57"/>
  <c r="AZ250" i="57"/>
  <c r="AY250" i="57"/>
  <c r="AX250" i="57"/>
  <c r="AW250" i="57"/>
  <c r="AV250" i="57"/>
  <c r="AU250" i="57"/>
  <c r="AT250" i="57"/>
  <c r="AS250" i="57"/>
  <c r="AP250" i="57"/>
  <c r="BI250" i="57" s="1"/>
  <c r="BZ249" i="57"/>
  <c r="BY249" i="57"/>
  <c r="BX249" i="57"/>
  <c r="BW249" i="57"/>
  <c r="BV249" i="57"/>
  <c r="BU249" i="57"/>
  <c r="BT249" i="57"/>
  <c r="BS249" i="57"/>
  <c r="BR249" i="57"/>
  <c r="BQ249" i="57"/>
  <c r="BP249" i="57"/>
  <c r="BO249" i="57"/>
  <c r="BN249" i="57"/>
  <c r="BM249" i="57"/>
  <c r="BL249" i="57"/>
  <c r="BG249" i="57"/>
  <c r="BF249" i="57"/>
  <c r="BE249" i="57"/>
  <c r="BD249" i="57"/>
  <c r="BC249" i="57"/>
  <c r="BB249" i="57"/>
  <c r="BA249" i="57"/>
  <c r="AZ249" i="57"/>
  <c r="AY249" i="57"/>
  <c r="AX249" i="57"/>
  <c r="AW249" i="57"/>
  <c r="AV249" i="57"/>
  <c r="AU249" i="57"/>
  <c r="AT249" i="57"/>
  <c r="AS249" i="57"/>
  <c r="AR249" i="57"/>
  <c r="BK249" i="57" s="1"/>
  <c r="AQ249" i="57"/>
  <c r="BJ249" i="57" s="1"/>
  <c r="AP249" i="57"/>
  <c r="BI249" i="57" s="1"/>
  <c r="AP248" i="57"/>
  <c r="BI248" i="57" s="1"/>
  <c r="BZ247" i="57"/>
  <c r="BY247" i="57"/>
  <c r="BX247" i="57"/>
  <c r="BW247" i="57"/>
  <c r="BV247" i="57"/>
  <c r="BU247" i="57"/>
  <c r="BT247" i="57"/>
  <c r="BS247" i="57"/>
  <c r="BR247" i="57"/>
  <c r="BQ247" i="57"/>
  <c r="BP247" i="57"/>
  <c r="BO247" i="57"/>
  <c r="BN247" i="57"/>
  <c r="BM247" i="57"/>
  <c r="BL247" i="57"/>
  <c r="BG247" i="57"/>
  <c r="BF247" i="57"/>
  <c r="BE247" i="57"/>
  <c r="BD247" i="57"/>
  <c r="BC247" i="57"/>
  <c r="BB247" i="57"/>
  <c r="BA247" i="57"/>
  <c r="AZ247" i="57"/>
  <c r="AY247" i="57"/>
  <c r="AX247" i="57"/>
  <c r="AW247" i="57"/>
  <c r="AV247" i="57"/>
  <c r="AU247" i="57"/>
  <c r="AT247" i="57"/>
  <c r="AS247" i="57"/>
  <c r="AP247" i="57"/>
  <c r="BI247" i="57" s="1"/>
  <c r="BZ246" i="57"/>
  <c r="BY246" i="57"/>
  <c r="BX246" i="57"/>
  <c r="BW246" i="57"/>
  <c r="BV246" i="57"/>
  <c r="BU246" i="57"/>
  <c r="BT246" i="57"/>
  <c r="BS246" i="57"/>
  <c r="BR246" i="57"/>
  <c r="BQ246" i="57"/>
  <c r="BP246" i="57"/>
  <c r="BO246" i="57"/>
  <c r="BN246" i="57"/>
  <c r="BM246" i="57"/>
  <c r="BL246" i="57"/>
  <c r="BG246" i="57"/>
  <c r="BF246" i="57"/>
  <c r="BE246" i="57"/>
  <c r="BD246" i="57"/>
  <c r="BC246" i="57"/>
  <c r="BB246" i="57"/>
  <c r="BA246" i="57"/>
  <c r="AZ246" i="57"/>
  <c r="AY246" i="57"/>
  <c r="AX246" i="57"/>
  <c r="AW246" i="57"/>
  <c r="AV246" i="57"/>
  <c r="AU246" i="57"/>
  <c r="AT246" i="57"/>
  <c r="AS246" i="57"/>
  <c r="AR246" i="57"/>
  <c r="BK246" i="57" s="1"/>
  <c r="AQ246" i="57"/>
  <c r="BJ246" i="57" s="1"/>
  <c r="AP246" i="57"/>
  <c r="BI246" i="57" s="1"/>
  <c r="AP245" i="57"/>
  <c r="BI245" i="57" s="1"/>
  <c r="BZ244" i="57"/>
  <c r="BY244" i="57"/>
  <c r="BX244" i="57"/>
  <c r="BW244" i="57"/>
  <c r="BV244" i="57"/>
  <c r="BU244" i="57"/>
  <c r="BT244" i="57"/>
  <c r="BS244" i="57"/>
  <c r="BR244" i="57"/>
  <c r="BQ244" i="57"/>
  <c r="BP244" i="57"/>
  <c r="BO244" i="57"/>
  <c r="BN244" i="57"/>
  <c r="BM244" i="57"/>
  <c r="BL244" i="57"/>
  <c r="BG244" i="57"/>
  <c r="BF244" i="57"/>
  <c r="BE244" i="57"/>
  <c r="BD244" i="57"/>
  <c r="BC244" i="57"/>
  <c r="BB244" i="57"/>
  <c r="BA244" i="57"/>
  <c r="AZ244" i="57"/>
  <c r="AY244" i="57"/>
  <c r="AX244" i="57"/>
  <c r="AW244" i="57"/>
  <c r="AV244" i="57"/>
  <c r="AU244" i="57"/>
  <c r="AT244" i="57"/>
  <c r="AS244" i="57"/>
  <c r="AP244" i="57"/>
  <c r="BI244" i="57" s="1"/>
  <c r="BZ243" i="57"/>
  <c r="BY243" i="57"/>
  <c r="BX243" i="57"/>
  <c r="BW243" i="57"/>
  <c r="BV243" i="57"/>
  <c r="BU243" i="57"/>
  <c r="BT243" i="57"/>
  <c r="BS243" i="57"/>
  <c r="BR243" i="57"/>
  <c r="BQ243" i="57"/>
  <c r="BP243" i="57"/>
  <c r="BO243" i="57"/>
  <c r="BN243" i="57"/>
  <c r="BM243" i="57"/>
  <c r="BL243" i="57"/>
  <c r="BG243" i="57"/>
  <c r="BF243" i="57"/>
  <c r="BE243" i="57"/>
  <c r="BD243" i="57"/>
  <c r="BC243" i="57"/>
  <c r="BB243" i="57"/>
  <c r="BA243" i="57"/>
  <c r="AZ243" i="57"/>
  <c r="AY243" i="57"/>
  <c r="AX243" i="57"/>
  <c r="AW243" i="57"/>
  <c r="AV243" i="57"/>
  <c r="AU243" i="57"/>
  <c r="AT243" i="57"/>
  <c r="AS243" i="57"/>
  <c r="AR243" i="57"/>
  <c r="BK243" i="57" s="1"/>
  <c r="AQ243" i="57"/>
  <c r="BJ243" i="57" s="1"/>
  <c r="AP243" i="57"/>
  <c r="BI243" i="57" s="1"/>
  <c r="AP242" i="57"/>
  <c r="BI242" i="57" s="1"/>
  <c r="BZ241" i="57"/>
  <c r="BY241" i="57"/>
  <c r="BX241" i="57"/>
  <c r="BW241" i="57"/>
  <c r="BV241" i="57"/>
  <c r="BU241" i="57"/>
  <c r="BT241" i="57"/>
  <c r="BS241" i="57"/>
  <c r="BR241" i="57"/>
  <c r="BQ241" i="57"/>
  <c r="BP241" i="57"/>
  <c r="BO241" i="57"/>
  <c r="BN241" i="57"/>
  <c r="BM241" i="57"/>
  <c r="BL241" i="57"/>
  <c r="BG241" i="57"/>
  <c r="BF241" i="57"/>
  <c r="BE241" i="57"/>
  <c r="BD241" i="57"/>
  <c r="BC241" i="57"/>
  <c r="BB241" i="57"/>
  <c r="BA241" i="57"/>
  <c r="AZ241" i="57"/>
  <c r="AY241" i="57"/>
  <c r="AX241" i="57"/>
  <c r="AW241" i="57"/>
  <c r="AV241" i="57"/>
  <c r="AU241" i="57"/>
  <c r="AT241" i="57"/>
  <c r="AS241" i="57"/>
  <c r="AP241" i="57"/>
  <c r="BI241" i="57" s="1"/>
  <c r="BZ240" i="57"/>
  <c r="BY240" i="57"/>
  <c r="BX240" i="57"/>
  <c r="BW240" i="57"/>
  <c r="BV240" i="57"/>
  <c r="BU240" i="57"/>
  <c r="BT240" i="57"/>
  <c r="BS240" i="57"/>
  <c r="BR240" i="57"/>
  <c r="BQ240" i="57"/>
  <c r="BP240" i="57"/>
  <c r="BO240" i="57"/>
  <c r="BN240" i="57"/>
  <c r="BM240" i="57"/>
  <c r="BL240" i="57"/>
  <c r="BG240" i="57"/>
  <c r="BF240" i="57"/>
  <c r="BE240" i="57"/>
  <c r="BD240" i="57"/>
  <c r="BC240" i="57"/>
  <c r="BB240" i="57"/>
  <c r="BA240" i="57"/>
  <c r="AZ240" i="57"/>
  <c r="AY240" i="57"/>
  <c r="AX240" i="57"/>
  <c r="AW240" i="57"/>
  <c r="AV240" i="57"/>
  <c r="AU240" i="57"/>
  <c r="AT240" i="57"/>
  <c r="AS240" i="57"/>
  <c r="AR240" i="57"/>
  <c r="BK240" i="57" s="1"/>
  <c r="AQ240" i="57"/>
  <c r="BJ240" i="57" s="1"/>
  <c r="AP240" i="57"/>
  <c r="BI240" i="57" s="1"/>
  <c r="AP239" i="57"/>
  <c r="BI239" i="57" s="1"/>
  <c r="BZ238" i="57"/>
  <c r="BY238" i="57"/>
  <c r="BX238" i="57"/>
  <c r="BW238" i="57"/>
  <c r="BV238" i="57"/>
  <c r="BU238" i="57"/>
  <c r="BT238" i="57"/>
  <c r="BS238" i="57"/>
  <c r="BR238" i="57"/>
  <c r="BQ238" i="57"/>
  <c r="BP238" i="57"/>
  <c r="BO238" i="57"/>
  <c r="BN238" i="57"/>
  <c r="BM238" i="57"/>
  <c r="BL238" i="57"/>
  <c r="BG238" i="57"/>
  <c r="BF238" i="57"/>
  <c r="BE238" i="57"/>
  <c r="BD238" i="57"/>
  <c r="BC238" i="57"/>
  <c r="BB238" i="57"/>
  <c r="BA238" i="57"/>
  <c r="AZ238" i="57"/>
  <c r="AY238" i="57"/>
  <c r="AX238" i="57"/>
  <c r="AW238" i="57"/>
  <c r="AV238" i="57"/>
  <c r="AU238" i="57"/>
  <c r="AT238" i="57"/>
  <c r="AS238" i="57"/>
  <c r="AP238" i="57"/>
  <c r="BI238" i="57" s="1"/>
  <c r="BZ237" i="57"/>
  <c r="BY237" i="57"/>
  <c r="BX237" i="57"/>
  <c r="BW237" i="57"/>
  <c r="BV237" i="57"/>
  <c r="BU237" i="57"/>
  <c r="BT237" i="57"/>
  <c r="BS237" i="57"/>
  <c r="BR237" i="57"/>
  <c r="BQ237" i="57"/>
  <c r="BP237" i="57"/>
  <c r="BO237" i="57"/>
  <c r="BN237" i="57"/>
  <c r="BM237" i="57"/>
  <c r="BL237" i="57"/>
  <c r="BK237" i="57"/>
  <c r="BG237" i="57"/>
  <c r="BF237" i="57"/>
  <c r="BE237" i="57"/>
  <c r="BD237" i="57"/>
  <c r="BC237" i="57"/>
  <c r="BB237" i="57"/>
  <c r="BA237" i="57"/>
  <c r="AZ237" i="57"/>
  <c r="AY237" i="57"/>
  <c r="AX237" i="57"/>
  <c r="AW237" i="57"/>
  <c r="AV237" i="57"/>
  <c r="AU237" i="57"/>
  <c r="AT237" i="57"/>
  <c r="AS237" i="57"/>
  <c r="AR237" i="57"/>
  <c r="AQ237" i="57"/>
  <c r="BJ237" i="57" s="1"/>
  <c r="AP237" i="57"/>
  <c r="BI237" i="57" s="1"/>
  <c r="AP236" i="57"/>
  <c r="BI236" i="57" s="1"/>
  <c r="BZ235" i="57"/>
  <c r="BY235" i="57"/>
  <c r="BX235" i="57"/>
  <c r="BW235" i="57"/>
  <c r="BV235" i="57"/>
  <c r="BU235" i="57"/>
  <c r="BT235" i="57"/>
  <c r="BS235" i="57"/>
  <c r="BR235" i="57"/>
  <c r="BQ235" i="57"/>
  <c r="BP235" i="57"/>
  <c r="BO235" i="57"/>
  <c r="BN235" i="57"/>
  <c r="BM235" i="57"/>
  <c r="BL235" i="57"/>
  <c r="BG235" i="57"/>
  <c r="BF235" i="57"/>
  <c r="BE235" i="57"/>
  <c r="BD235" i="57"/>
  <c r="BC235" i="57"/>
  <c r="BB235" i="57"/>
  <c r="BA235" i="57"/>
  <c r="AZ235" i="57"/>
  <c r="AY235" i="57"/>
  <c r="AX235" i="57"/>
  <c r="AW235" i="57"/>
  <c r="AV235" i="57"/>
  <c r="AU235" i="57"/>
  <c r="AT235" i="57"/>
  <c r="AS235" i="57"/>
  <c r="AP235" i="57"/>
  <c r="BI235" i="57" s="1"/>
  <c r="BZ234" i="57"/>
  <c r="BY234" i="57"/>
  <c r="BX234" i="57"/>
  <c r="BW234" i="57"/>
  <c r="BV234" i="57"/>
  <c r="BU234" i="57"/>
  <c r="BT234" i="57"/>
  <c r="BS234" i="57"/>
  <c r="BR234" i="57"/>
  <c r="BQ234" i="57"/>
  <c r="BP234" i="57"/>
  <c r="BO234" i="57"/>
  <c r="BN234" i="57"/>
  <c r="BM234" i="57"/>
  <c r="BL234" i="57"/>
  <c r="BJ234" i="57"/>
  <c r="BG234" i="57"/>
  <c r="BF234" i="57"/>
  <c r="BE234" i="57"/>
  <c r="BD234" i="57"/>
  <c r="BC234" i="57"/>
  <c r="BB234" i="57"/>
  <c r="BA234" i="57"/>
  <c r="AZ234" i="57"/>
  <c r="AY234" i="57"/>
  <c r="AX234" i="57"/>
  <c r="AW234" i="57"/>
  <c r="AV234" i="57"/>
  <c r="AU234" i="57"/>
  <c r="AT234" i="57"/>
  <c r="AS234" i="57"/>
  <c r="AR234" i="57"/>
  <c r="BK234" i="57" s="1"/>
  <c r="AQ234" i="57"/>
  <c r="AP234" i="57"/>
  <c r="BI234" i="57" s="1"/>
  <c r="AP233" i="57"/>
  <c r="BI233" i="57" s="1"/>
  <c r="BZ232" i="57"/>
  <c r="BY232" i="57"/>
  <c r="BX232" i="57"/>
  <c r="BW232" i="57"/>
  <c r="BV232" i="57"/>
  <c r="BU232" i="57"/>
  <c r="BT232" i="57"/>
  <c r="BS232" i="57"/>
  <c r="BR232" i="57"/>
  <c r="BQ232" i="57"/>
  <c r="BP232" i="57"/>
  <c r="BO232" i="57"/>
  <c r="BN232" i="57"/>
  <c r="BM232" i="57"/>
  <c r="BL232" i="57"/>
  <c r="BG232" i="57"/>
  <c r="BF232" i="57"/>
  <c r="BE232" i="57"/>
  <c r="BD232" i="57"/>
  <c r="BC232" i="57"/>
  <c r="BB232" i="57"/>
  <c r="BA232" i="57"/>
  <c r="AZ232" i="57"/>
  <c r="AY232" i="57"/>
  <c r="AX232" i="57"/>
  <c r="AW232" i="57"/>
  <c r="AV232" i="57"/>
  <c r="AU232" i="57"/>
  <c r="AT232" i="57"/>
  <c r="AS232" i="57"/>
  <c r="AP232" i="57"/>
  <c r="BI232" i="57" s="1"/>
  <c r="BZ231" i="57"/>
  <c r="BY231" i="57"/>
  <c r="BX231" i="57"/>
  <c r="BW231" i="57"/>
  <c r="BV231" i="57"/>
  <c r="BU231" i="57"/>
  <c r="BT231" i="57"/>
  <c r="BS231" i="57"/>
  <c r="BR231" i="57"/>
  <c r="BQ231" i="57"/>
  <c r="BP231" i="57"/>
  <c r="BO231" i="57"/>
  <c r="BN231" i="57"/>
  <c r="BM231" i="57"/>
  <c r="BL231" i="57"/>
  <c r="BG231" i="57"/>
  <c r="BF231" i="57"/>
  <c r="BE231" i="57"/>
  <c r="BD231" i="57"/>
  <c r="BC231" i="57"/>
  <c r="BB231" i="57"/>
  <c r="BA231" i="57"/>
  <c r="AZ231" i="57"/>
  <c r="AY231" i="57"/>
  <c r="AX231" i="57"/>
  <c r="AW231" i="57"/>
  <c r="AV231" i="57"/>
  <c r="AU231" i="57"/>
  <c r="AT231" i="57"/>
  <c r="AS231" i="57"/>
  <c r="AR231" i="57"/>
  <c r="BK231" i="57" s="1"/>
  <c r="AQ231" i="57"/>
  <c r="BJ231" i="57" s="1"/>
  <c r="AP231" i="57"/>
  <c r="BI231" i="57" s="1"/>
  <c r="AP230" i="57"/>
  <c r="BI230" i="57" s="1"/>
  <c r="BZ229" i="57"/>
  <c r="BY229" i="57"/>
  <c r="BX229" i="57"/>
  <c r="BW229" i="57"/>
  <c r="BV229" i="57"/>
  <c r="BU229" i="57"/>
  <c r="BT229" i="57"/>
  <c r="BS229" i="57"/>
  <c r="BR229" i="57"/>
  <c r="BQ229" i="57"/>
  <c r="BP229" i="57"/>
  <c r="BO229" i="57"/>
  <c r="BN229" i="57"/>
  <c r="BM229" i="57"/>
  <c r="BL229" i="57"/>
  <c r="BG229" i="57"/>
  <c r="BF229" i="57"/>
  <c r="BE229" i="57"/>
  <c r="BD229" i="57"/>
  <c r="BC229" i="57"/>
  <c r="BB229" i="57"/>
  <c r="BA229" i="57"/>
  <c r="AZ229" i="57"/>
  <c r="AY229" i="57"/>
  <c r="AX229" i="57"/>
  <c r="AW229" i="57"/>
  <c r="AV229" i="57"/>
  <c r="AU229" i="57"/>
  <c r="AT229" i="57"/>
  <c r="AS229" i="57"/>
  <c r="AP229" i="57"/>
  <c r="BI229" i="57" s="1"/>
  <c r="BZ228" i="57"/>
  <c r="BY228" i="57"/>
  <c r="BX228" i="57"/>
  <c r="BW228" i="57"/>
  <c r="BV228" i="57"/>
  <c r="BU228" i="57"/>
  <c r="BT228" i="57"/>
  <c r="BS228" i="57"/>
  <c r="BR228" i="57"/>
  <c r="BQ228" i="57"/>
  <c r="BP228" i="57"/>
  <c r="BO228" i="57"/>
  <c r="BN228" i="57"/>
  <c r="BM228" i="57"/>
  <c r="BL228" i="57"/>
  <c r="BG228" i="57"/>
  <c r="BF228" i="57"/>
  <c r="BE228" i="57"/>
  <c r="BD228" i="57"/>
  <c r="BC228" i="57"/>
  <c r="BB228" i="57"/>
  <c r="BA228" i="57"/>
  <c r="AZ228" i="57"/>
  <c r="AY228" i="57"/>
  <c r="AX228" i="57"/>
  <c r="AW228" i="57"/>
  <c r="AV228" i="57"/>
  <c r="AU228" i="57"/>
  <c r="AT228" i="57"/>
  <c r="AS228" i="57"/>
  <c r="AR228" i="57"/>
  <c r="BK228" i="57" s="1"/>
  <c r="AQ228" i="57"/>
  <c r="BJ228" i="57" s="1"/>
  <c r="AP228" i="57"/>
  <c r="BI228" i="57" s="1"/>
  <c r="AP227" i="57"/>
  <c r="BI227" i="57" s="1"/>
  <c r="BZ226" i="57"/>
  <c r="BY226" i="57"/>
  <c r="BX226" i="57"/>
  <c r="BW226" i="57"/>
  <c r="BV226" i="57"/>
  <c r="BU226" i="57"/>
  <c r="BT226" i="57"/>
  <c r="BS226" i="57"/>
  <c r="BR226" i="57"/>
  <c r="BQ226" i="57"/>
  <c r="BP226" i="57"/>
  <c r="BO226" i="57"/>
  <c r="BN226" i="57"/>
  <c r="BM226" i="57"/>
  <c r="BL226" i="57"/>
  <c r="BG226" i="57"/>
  <c r="BF226" i="57"/>
  <c r="BE226" i="57"/>
  <c r="BD226" i="57"/>
  <c r="BC226" i="57"/>
  <c r="BB226" i="57"/>
  <c r="BA226" i="57"/>
  <c r="AZ226" i="57"/>
  <c r="AY226" i="57"/>
  <c r="AX226" i="57"/>
  <c r="AW226" i="57"/>
  <c r="AV226" i="57"/>
  <c r="AU226" i="57"/>
  <c r="AT226" i="57"/>
  <c r="AS226" i="57"/>
  <c r="AP226" i="57"/>
  <c r="BI226" i="57" s="1"/>
  <c r="BZ225" i="57"/>
  <c r="BY225" i="57"/>
  <c r="BX225" i="57"/>
  <c r="BW225" i="57"/>
  <c r="BV225" i="57"/>
  <c r="BU225" i="57"/>
  <c r="BT225" i="57"/>
  <c r="BS225" i="57"/>
  <c r="BR225" i="57"/>
  <c r="BQ225" i="57"/>
  <c r="BP225" i="57"/>
  <c r="BO225" i="57"/>
  <c r="BN225" i="57"/>
  <c r="BM225" i="57"/>
  <c r="BL225" i="57"/>
  <c r="BG225" i="57"/>
  <c r="BF225" i="57"/>
  <c r="BE225" i="57"/>
  <c r="BD225" i="57"/>
  <c r="BC225" i="57"/>
  <c r="BB225" i="57"/>
  <c r="BA225" i="57"/>
  <c r="AZ225" i="57"/>
  <c r="AY225" i="57"/>
  <c r="AX225" i="57"/>
  <c r="AW225" i="57"/>
  <c r="AV225" i="57"/>
  <c r="AU225" i="57"/>
  <c r="AT225" i="57"/>
  <c r="AS225" i="57"/>
  <c r="AR225" i="57"/>
  <c r="BK225" i="57" s="1"/>
  <c r="AQ225" i="57"/>
  <c r="BJ225" i="57" s="1"/>
  <c r="AP225" i="57"/>
  <c r="BI225" i="57" s="1"/>
  <c r="AP224" i="57"/>
  <c r="BI224" i="57" s="1"/>
  <c r="BZ223" i="57"/>
  <c r="BY223" i="57"/>
  <c r="BX223" i="57"/>
  <c r="BW223" i="57"/>
  <c r="BV223" i="57"/>
  <c r="BU223" i="57"/>
  <c r="BT223" i="57"/>
  <c r="BS223" i="57"/>
  <c r="BR223" i="57"/>
  <c r="BQ223" i="57"/>
  <c r="BP223" i="57"/>
  <c r="BO223" i="57"/>
  <c r="BN223" i="57"/>
  <c r="BM223" i="57"/>
  <c r="BL223" i="57"/>
  <c r="BG223" i="57"/>
  <c r="BF223" i="57"/>
  <c r="BE223" i="57"/>
  <c r="BD223" i="57"/>
  <c r="BC223" i="57"/>
  <c r="BB223" i="57"/>
  <c r="BA223" i="57"/>
  <c r="AZ223" i="57"/>
  <c r="AY223" i="57"/>
  <c r="AX223" i="57"/>
  <c r="AW223" i="57"/>
  <c r="AV223" i="57"/>
  <c r="AU223" i="57"/>
  <c r="AT223" i="57"/>
  <c r="AS223" i="57"/>
  <c r="AP223" i="57"/>
  <c r="BI223" i="57" s="1"/>
  <c r="BZ222" i="57"/>
  <c r="BY222" i="57"/>
  <c r="BX222" i="57"/>
  <c r="BW222" i="57"/>
  <c r="BV222" i="57"/>
  <c r="BU222" i="57"/>
  <c r="BT222" i="57"/>
  <c r="BS222" i="57"/>
  <c r="BR222" i="57"/>
  <c r="BQ222" i="57"/>
  <c r="BP222" i="57"/>
  <c r="BO222" i="57"/>
  <c r="BN222" i="57"/>
  <c r="BM222" i="57"/>
  <c r="BL222" i="57"/>
  <c r="BG222" i="57"/>
  <c r="BF222" i="57"/>
  <c r="BE222" i="57"/>
  <c r="BD222" i="57"/>
  <c r="BC222" i="57"/>
  <c r="BB222" i="57"/>
  <c r="BA222" i="57"/>
  <c r="AZ222" i="57"/>
  <c r="AY222" i="57"/>
  <c r="AX222" i="57"/>
  <c r="AW222" i="57"/>
  <c r="AV222" i="57"/>
  <c r="AU222" i="57"/>
  <c r="AT222" i="57"/>
  <c r="AS222" i="57"/>
  <c r="AR222" i="57"/>
  <c r="BK222" i="57" s="1"/>
  <c r="AQ222" i="57"/>
  <c r="BJ222" i="57" s="1"/>
  <c r="AP222" i="57"/>
  <c r="BI222" i="57" s="1"/>
  <c r="AP221" i="57"/>
  <c r="BI221" i="57" s="1"/>
  <c r="BZ220" i="57"/>
  <c r="BY220" i="57"/>
  <c r="BX220" i="57"/>
  <c r="BW220" i="57"/>
  <c r="BV220" i="57"/>
  <c r="BU220" i="57"/>
  <c r="BT220" i="57"/>
  <c r="BS220" i="57"/>
  <c r="BR220" i="57"/>
  <c r="BQ220" i="57"/>
  <c r="BP220" i="57"/>
  <c r="BO220" i="57"/>
  <c r="BN220" i="57"/>
  <c r="BM220" i="57"/>
  <c r="BL220" i="57"/>
  <c r="BG220" i="57"/>
  <c r="BF220" i="57"/>
  <c r="BE220" i="57"/>
  <c r="BD220" i="57"/>
  <c r="BC220" i="57"/>
  <c r="BB220" i="57"/>
  <c r="BA220" i="57"/>
  <c r="AZ220" i="57"/>
  <c r="AY220" i="57"/>
  <c r="AX220" i="57"/>
  <c r="AW220" i="57"/>
  <c r="AV220" i="57"/>
  <c r="AU220" i="57"/>
  <c r="AT220" i="57"/>
  <c r="AS220" i="57"/>
  <c r="AP220" i="57"/>
  <c r="BI220" i="57" s="1"/>
  <c r="BZ219" i="57"/>
  <c r="BY219" i="57"/>
  <c r="BX219" i="57"/>
  <c r="BW219" i="57"/>
  <c r="BV219" i="57"/>
  <c r="BU219" i="57"/>
  <c r="BT219" i="57"/>
  <c r="BS219" i="57"/>
  <c r="BR219" i="57"/>
  <c r="BQ219" i="57"/>
  <c r="BP219" i="57"/>
  <c r="BO219" i="57"/>
  <c r="BN219" i="57"/>
  <c r="BM219" i="57"/>
  <c r="BL219" i="57"/>
  <c r="BG219" i="57"/>
  <c r="BF219" i="57"/>
  <c r="BE219" i="57"/>
  <c r="BD219" i="57"/>
  <c r="BC219" i="57"/>
  <c r="BB219" i="57"/>
  <c r="BA219" i="57"/>
  <c r="AZ219" i="57"/>
  <c r="AY219" i="57"/>
  <c r="AX219" i="57"/>
  <c r="AW219" i="57"/>
  <c r="AV219" i="57"/>
  <c r="AU219" i="57"/>
  <c r="AT219" i="57"/>
  <c r="AS219" i="57"/>
  <c r="AR219" i="57"/>
  <c r="BK219" i="57" s="1"/>
  <c r="AQ219" i="57"/>
  <c r="BJ219" i="57" s="1"/>
  <c r="AP219" i="57"/>
  <c r="BI219" i="57" s="1"/>
  <c r="AP218" i="57"/>
  <c r="BI218" i="57" s="1"/>
  <c r="BZ217" i="57"/>
  <c r="BY217" i="57"/>
  <c r="BX217" i="57"/>
  <c r="BW217" i="57"/>
  <c r="BV217" i="57"/>
  <c r="BU217" i="57"/>
  <c r="BT217" i="57"/>
  <c r="BS217" i="57"/>
  <c r="BR217" i="57"/>
  <c r="BQ217" i="57"/>
  <c r="BP217" i="57"/>
  <c r="BO217" i="57"/>
  <c r="BN217" i="57"/>
  <c r="BM217" i="57"/>
  <c r="BL217" i="57"/>
  <c r="BG217" i="57"/>
  <c r="BF217" i="57"/>
  <c r="BE217" i="57"/>
  <c r="BD217" i="57"/>
  <c r="BC217" i="57"/>
  <c r="BB217" i="57"/>
  <c r="BA217" i="57"/>
  <c r="AZ217" i="57"/>
  <c r="AY217" i="57"/>
  <c r="AX217" i="57"/>
  <c r="AW217" i="57"/>
  <c r="AV217" i="57"/>
  <c r="AU217" i="57"/>
  <c r="AT217" i="57"/>
  <c r="AS217" i="57"/>
  <c r="AP217" i="57"/>
  <c r="BI217" i="57" s="1"/>
  <c r="BZ216" i="57"/>
  <c r="BY216" i="57"/>
  <c r="BX216" i="57"/>
  <c r="BW216" i="57"/>
  <c r="BV216" i="57"/>
  <c r="BU216" i="57"/>
  <c r="BT216" i="57"/>
  <c r="BS216" i="57"/>
  <c r="BR216" i="57"/>
  <c r="BQ216" i="57"/>
  <c r="BP216" i="57"/>
  <c r="BO216" i="57"/>
  <c r="BN216" i="57"/>
  <c r="BM216" i="57"/>
  <c r="BL216" i="57"/>
  <c r="BG216" i="57"/>
  <c r="BF216" i="57"/>
  <c r="BE216" i="57"/>
  <c r="BD216" i="57"/>
  <c r="BC216" i="57"/>
  <c r="BB216" i="57"/>
  <c r="BA216" i="57"/>
  <c r="AZ216" i="57"/>
  <c r="AY216" i="57"/>
  <c r="AX216" i="57"/>
  <c r="AW216" i="57"/>
  <c r="AV216" i="57"/>
  <c r="AU216" i="57"/>
  <c r="AT216" i="57"/>
  <c r="AS216" i="57"/>
  <c r="AR216" i="57"/>
  <c r="BK216" i="57" s="1"/>
  <c r="AQ216" i="57"/>
  <c r="BJ216" i="57" s="1"/>
  <c r="AP216" i="57"/>
  <c r="BI216" i="57" s="1"/>
  <c r="AP215" i="57"/>
  <c r="BI215" i="57" s="1"/>
  <c r="BZ214" i="57"/>
  <c r="BY214" i="57"/>
  <c r="BX214" i="57"/>
  <c r="BW214" i="57"/>
  <c r="BV214" i="57"/>
  <c r="BU214" i="57"/>
  <c r="BT214" i="57"/>
  <c r="BS214" i="57"/>
  <c r="BR214" i="57"/>
  <c r="BQ214" i="57"/>
  <c r="BP214" i="57"/>
  <c r="BO214" i="57"/>
  <c r="BN214" i="57"/>
  <c r="BM214" i="57"/>
  <c r="BL214" i="57"/>
  <c r="BG214" i="57"/>
  <c r="BF214" i="57"/>
  <c r="BE214" i="57"/>
  <c r="BD214" i="57"/>
  <c r="BC214" i="57"/>
  <c r="BB214" i="57"/>
  <c r="BA214" i="57"/>
  <c r="AZ214" i="57"/>
  <c r="AY214" i="57"/>
  <c r="AX214" i="57"/>
  <c r="AW214" i="57"/>
  <c r="AV214" i="57"/>
  <c r="AU214" i="57"/>
  <c r="AT214" i="57"/>
  <c r="AS214" i="57"/>
  <c r="AP214" i="57"/>
  <c r="BI214" i="57" s="1"/>
  <c r="BZ213" i="57"/>
  <c r="BY213" i="57"/>
  <c r="BX213" i="57"/>
  <c r="BW213" i="57"/>
  <c r="BV213" i="57"/>
  <c r="BU213" i="57"/>
  <c r="BT213" i="57"/>
  <c r="BS213" i="57"/>
  <c r="BR213" i="57"/>
  <c r="BQ213" i="57"/>
  <c r="BP213" i="57"/>
  <c r="BO213" i="57"/>
  <c r="BN213" i="57"/>
  <c r="BM213" i="57"/>
  <c r="BL213" i="57"/>
  <c r="BG213" i="57"/>
  <c r="BF213" i="57"/>
  <c r="BE213" i="57"/>
  <c r="BD213" i="57"/>
  <c r="BC213" i="57"/>
  <c r="BB213" i="57"/>
  <c r="BA213" i="57"/>
  <c r="AZ213" i="57"/>
  <c r="AY213" i="57"/>
  <c r="AX213" i="57"/>
  <c r="AW213" i="57"/>
  <c r="AV213" i="57"/>
  <c r="AU213" i="57"/>
  <c r="AT213" i="57"/>
  <c r="AS213" i="57"/>
  <c r="AR213" i="57"/>
  <c r="BK213" i="57" s="1"/>
  <c r="AQ213" i="57"/>
  <c r="BJ213" i="57" s="1"/>
  <c r="AP213" i="57"/>
  <c r="BI213" i="57" s="1"/>
  <c r="AP212" i="57"/>
  <c r="BI212" i="57" s="1"/>
  <c r="BZ211" i="57"/>
  <c r="BY211" i="57"/>
  <c r="BX211" i="57"/>
  <c r="BW211" i="57"/>
  <c r="BV211" i="57"/>
  <c r="BU211" i="57"/>
  <c r="BT211" i="57"/>
  <c r="BS211" i="57"/>
  <c r="BR211" i="57"/>
  <c r="BQ211" i="57"/>
  <c r="BP211" i="57"/>
  <c r="BO211" i="57"/>
  <c r="BN211" i="57"/>
  <c r="BM211" i="57"/>
  <c r="BL211" i="57"/>
  <c r="BG211" i="57"/>
  <c r="BF211" i="57"/>
  <c r="BE211" i="57"/>
  <c r="BD211" i="57"/>
  <c r="BC211" i="57"/>
  <c r="BB211" i="57"/>
  <c r="BA211" i="57"/>
  <c r="AZ211" i="57"/>
  <c r="AY211" i="57"/>
  <c r="AX211" i="57"/>
  <c r="AW211" i="57"/>
  <c r="AV211" i="57"/>
  <c r="AU211" i="57"/>
  <c r="AT211" i="57"/>
  <c r="AS211" i="57"/>
  <c r="AP211" i="57"/>
  <c r="BI211" i="57" s="1"/>
  <c r="BZ210" i="57"/>
  <c r="BY210" i="57"/>
  <c r="BX210" i="57"/>
  <c r="BW210" i="57"/>
  <c r="BV210" i="57"/>
  <c r="BU210" i="57"/>
  <c r="BT210" i="57"/>
  <c r="BS210" i="57"/>
  <c r="BR210" i="57"/>
  <c r="BQ210" i="57"/>
  <c r="BP210" i="57"/>
  <c r="BO210" i="57"/>
  <c r="BN210" i="57"/>
  <c r="BM210" i="57"/>
  <c r="BL210" i="57"/>
  <c r="BG210" i="57"/>
  <c r="BF210" i="57"/>
  <c r="BE210" i="57"/>
  <c r="BD210" i="57"/>
  <c r="BC210" i="57"/>
  <c r="BB210" i="57"/>
  <c r="BA210" i="57"/>
  <c r="AZ210" i="57"/>
  <c r="AY210" i="57"/>
  <c r="AX210" i="57"/>
  <c r="AW210" i="57"/>
  <c r="AV210" i="57"/>
  <c r="AU210" i="57"/>
  <c r="AT210" i="57"/>
  <c r="AS210" i="57"/>
  <c r="AR210" i="57"/>
  <c r="BK210" i="57" s="1"/>
  <c r="AQ210" i="57"/>
  <c r="BJ210" i="57" s="1"/>
  <c r="AP210" i="57"/>
  <c r="BI210" i="57" s="1"/>
  <c r="AP209" i="57"/>
  <c r="BI209" i="57" s="1"/>
  <c r="BZ208" i="57"/>
  <c r="BY208" i="57"/>
  <c r="BX208" i="57"/>
  <c r="BW208" i="57"/>
  <c r="BV208" i="57"/>
  <c r="BU208" i="57"/>
  <c r="BT208" i="57"/>
  <c r="BS208" i="57"/>
  <c r="BR208" i="57"/>
  <c r="BQ208" i="57"/>
  <c r="BP208" i="57"/>
  <c r="BO208" i="57"/>
  <c r="BN208" i="57"/>
  <c r="BM208" i="57"/>
  <c r="BL208" i="57"/>
  <c r="BG208" i="57"/>
  <c r="BF208" i="57"/>
  <c r="BE208" i="57"/>
  <c r="BD208" i="57"/>
  <c r="BC208" i="57"/>
  <c r="BB208" i="57"/>
  <c r="BA208" i="57"/>
  <c r="AZ208" i="57"/>
  <c r="AY208" i="57"/>
  <c r="AX208" i="57"/>
  <c r="AW208" i="57"/>
  <c r="AV208" i="57"/>
  <c r="AU208" i="57"/>
  <c r="AT208" i="57"/>
  <c r="AS208" i="57"/>
  <c r="AP208" i="57"/>
  <c r="BI208" i="57" s="1"/>
  <c r="BZ207" i="57"/>
  <c r="BY207" i="57"/>
  <c r="BX207" i="57"/>
  <c r="BW207" i="57"/>
  <c r="BV207" i="57"/>
  <c r="BU207" i="57"/>
  <c r="BT207" i="57"/>
  <c r="BS207" i="57"/>
  <c r="BR207" i="57"/>
  <c r="BQ207" i="57"/>
  <c r="BP207" i="57"/>
  <c r="BO207" i="57"/>
  <c r="BN207" i="57"/>
  <c r="BM207" i="57"/>
  <c r="BL207" i="57"/>
  <c r="BG207" i="57"/>
  <c r="BF207" i="57"/>
  <c r="BE207" i="57"/>
  <c r="BD207" i="57"/>
  <c r="BC207" i="57"/>
  <c r="BB207" i="57"/>
  <c r="BA207" i="57"/>
  <c r="AZ207" i="57"/>
  <c r="AY207" i="57"/>
  <c r="AX207" i="57"/>
  <c r="AW207" i="57"/>
  <c r="AV207" i="57"/>
  <c r="AU207" i="57"/>
  <c r="AT207" i="57"/>
  <c r="AS207" i="57"/>
  <c r="AR207" i="57"/>
  <c r="BK207" i="57" s="1"/>
  <c r="AQ207" i="57"/>
  <c r="BJ207" i="57" s="1"/>
  <c r="AP207" i="57"/>
  <c r="BI207" i="57" s="1"/>
  <c r="AP206" i="57"/>
  <c r="BI206" i="57" s="1"/>
  <c r="BZ205" i="57"/>
  <c r="BY205" i="57"/>
  <c r="BX205" i="57"/>
  <c r="BW205" i="57"/>
  <c r="BV205" i="57"/>
  <c r="BU205" i="57"/>
  <c r="BT205" i="57"/>
  <c r="BS205" i="57"/>
  <c r="BR205" i="57"/>
  <c r="BQ205" i="57"/>
  <c r="BP205" i="57"/>
  <c r="BO205" i="57"/>
  <c r="BN205" i="57"/>
  <c r="BM205" i="57"/>
  <c r="BL205" i="57"/>
  <c r="BG205" i="57"/>
  <c r="BF205" i="57"/>
  <c r="BE205" i="57"/>
  <c r="BD205" i="57"/>
  <c r="BC205" i="57"/>
  <c r="BB205" i="57"/>
  <c r="BA205" i="57"/>
  <c r="AZ205" i="57"/>
  <c r="AY205" i="57"/>
  <c r="AX205" i="57"/>
  <c r="AW205" i="57"/>
  <c r="AV205" i="57"/>
  <c r="AU205" i="57"/>
  <c r="AT205" i="57"/>
  <c r="AS205" i="57"/>
  <c r="AP205" i="57"/>
  <c r="BI205" i="57" s="1"/>
  <c r="BZ204" i="57"/>
  <c r="BY204" i="57"/>
  <c r="BX204" i="57"/>
  <c r="BW204" i="57"/>
  <c r="BV204" i="57"/>
  <c r="BU204" i="57"/>
  <c r="BT204" i="57"/>
  <c r="BS204" i="57"/>
  <c r="BR204" i="57"/>
  <c r="BQ204" i="57"/>
  <c r="BP204" i="57"/>
  <c r="BO204" i="57"/>
  <c r="BN204" i="57"/>
  <c r="BM204" i="57"/>
  <c r="BL204" i="57"/>
  <c r="BI204" i="57"/>
  <c r="BG204" i="57"/>
  <c r="BF204" i="57"/>
  <c r="BE204" i="57"/>
  <c r="BD204" i="57"/>
  <c r="BC204" i="57"/>
  <c r="BB204" i="57"/>
  <c r="BA204" i="57"/>
  <c r="AZ204" i="57"/>
  <c r="AY204" i="57"/>
  <c r="AX204" i="57"/>
  <c r="AW204" i="57"/>
  <c r="AV204" i="57"/>
  <c r="AU204" i="57"/>
  <c r="AT204" i="57"/>
  <c r="AS204" i="57"/>
  <c r="AR204" i="57"/>
  <c r="BK204" i="57" s="1"/>
  <c r="AQ204" i="57"/>
  <c r="BJ204" i="57" s="1"/>
  <c r="AP204" i="57"/>
  <c r="AP203" i="57"/>
  <c r="BI203" i="57" s="1"/>
  <c r="BZ202" i="57"/>
  <c r="BY202" i="57"/>
  <c r="BX202" i="57"/>
  <c r="BW202" i="57"/>
  <c r="BV202" i="57"/>
  <c r="BU202" i="57"/>
  <c r="BT202" i="57"/>
  <c r="BS202" i="57"/>
  <c r="BR202" i="57"/>
  <c r="BQ202" i="57"/>
  <c r="BP202" i="57"/>
  <c r="BO202" i="57"/>
  <c r="BN202" i="57"/>
  <c r="BM202" i="57"/>
  <c r="BL202" i="57"/>
  <c r="BG202" i="57"/>
  <c r="BF202" i="57"/>
  <c r="BE202" i="57"/>
  <c r="BD202" i="57"/>
  <c r="BC202" i="57"/>
  <c r="BB202" i="57"/>
  <c r="BA202" i="57"/>
  <c r="AZ202" i="57"/>
  <c r="AY202" i="57"/>
  <c r="AX202" i="57"/>
  <c r="AW202" i="57"/>
  <c r="AV202" i="57"/>
  <c r="AU202" i="57"/>
  <c r="AT202" i="57"/>
  <c r="AS202" i="57"/>
  <c r="AP202" i="57"/>
  <c r="BI202" i="57" s="1"/>
  <c r="BZ201" i="57"/>
  <c r="BY201" i="57"/>
  <c r="BX201" i="57"/>
  <c r="BW201" i="57"/>
  <c r="BV201" i="57"/>
  <c r="BU201" i="57"/>
  <c r="BT201" i="57"/>
  <c r="BS201" i="57"/>
  <c r="BR201" i="57"/>
  <c r="BQ201" i="57"/>
  <c r="BP201" i="57"/>
  <c r="BO201" i="57"/>
  <c r="BN201" i="57"/>
  <c r="BM201" i="57"/>
  <c r="BL201" i="57"/>
  <c r="BG201" i="57"/>
  <c r="BF201" i="57"/>
  <c r="BE201" i="57"/>
  <c r="BD201" i="57"/>
  <c r="BC201" i="57"/>
  <c r="BB201" i="57"/>
  <c r="BA201" i="57"/>
  <c r="AZ201" i="57"/>
  <c r="AY201" i="57"/>
  <c r="AX201" i="57"/>
  <c r="AW201" i="57"/>
  <c r="AV201" i="57"/>
  <c r="AU201" i="57"/>
  <c r="AT201" i="57"/>
  <c r="AS201" i="57"/>
  <c r="AR201" i="57"/>
  <c r="BK201" i="57" s="1"/>
  <c r="AQ201" i="57"/>
  <c r="BJ201" i="57" s="1"/>
  <c r="AP201" i="57"/>
  <c r="BI201" i="57" s="1"/>
  <c r="AP200" i="57"/>
  <c r="BI200" i="57" s="1"/>
  <c r="BZ199" i="57"/>
  <c r="BY199" i="57"/>
  <c r="BX199" i="57"/>
  <c r="BW199" i="57"/>
  <c r="BV199" i="57"/>
  <c r="BU199" i="57"/>
  <c r="BT199" i="57"/>
  <c r="BS199" i="57"/>
  <c r="BR199" i="57"/>
  <c r="BQ199" i="57"/>
  <c r="BP199" i="57"/>
  <c r="BO199" i="57"/>
  <c r="BN199" i="57"/>
  <c r="BM199" i="57"/>
  <c r="BL199" i="57"/>
  <c r="BG199" i="57"/>
  <c r="BF199" i="57"/>
  <c r="BE199" i="57"/>
  <c r="BD199" i="57"/>
  <c r="BC199" i="57"/>
  <c r="BB199" i="57"/>
  <c r="BA199" i="57"/>
  <c r="AZ199" i="57"/>
  <c r="AY199" i="57"/>
  <c r="AX199" i="57"/>
  <c r="AW199" i="57"/>
  <c r="AV199" i="57"/>
  <c r="AU199" i="57"/>
  <c r="AT199" i="57"/>
  <c r="AS199" i="57"/>
  <c r="AP199" i="57"/>
  <c r="BI199" i="57" s="1"/>
  <c r="BZ198" i="57"/>
  <c r="BY198" i="57"/>
  <c r="BX198" i="57"/>
  <c r="BW198" i="57"/>
  <c r="BV198" i="57"/>
  <c r="BU198" i="57"/>
  <c r="BT198" i="57"/>
  <c r="BS198" i="57"/>
  <c r="BR198" i="57"/>
  <c r="BQ198" i="57"/>
  <c r="BP198" i="57"/>
  <c r="BO198" i="57"/>
  <c r="BN198" i="57"/>
  <c r="BM198" i="57"/>
  <c r="BL198" i="57"/>
  <c r="BG198" i="57"/>
  <c r="BF198" i="57"/>
  <c r="BE198" i="57"/>
  <c r="BD198" i="57"/>
  <c r="BC198" i="57"/>
  <c r="BB198" i="57"/>
  <c r="BA198" i="57"/>
  <c r="AZ198" i="57"/>
  <c r="AY198" i="57"/>
  <c r="AX198" i="57"/>
  <c r="AW198" i="57"/>
  <c r="AV198" i="57"/>
  <c r="AU198" i="57"/>
  <c r="AT198" i="57"/>
  <c r="AS198" i="57"/>
  <c r="AR198" i="57"/>
  <c r="BK198" i="57" s="1"/>
  <c r="AQ198" i="57"/>
  <c r="BJ198" i="57" s="1"/>
  <c r="AP198" i="57"/>
  <c r="BI198" i="57" s="1"/>
  <c r="BI197" i="57"/>
  <c r="AP197" i="57"/>
  <c r="BZ196" i="57"/>
  <c r="BY196" i="57"/>
  <c r="BX196" i="57"/>
  <c r="BW196" i="57"/>
  <c r="BV196" i="57"/>
  <c r="BU196" i="57"/>
  <c r="BT196" i="57"/>
  <c r="BS196" i="57"/>
  <c r="BR196" i="57"/>
  <c r="BQ196" i="57"/>
  <c r="BP196" i="57"/>
  <c r="BO196" i="57"/>
  <c r="BN196" i="57"/>
  <c r="BM196" i="57"/>
  <c r="BL196" i="57"/>
  <c r="BG196" i="57"/>
  <c r="BF196" i="57"/>
  <c r="BE196" i="57"/>
  <c r="BD196" i="57"/>
  <c r="BC196" i="57"/>
  <c r="BB196" i="57"/>
  <c r="BA196" i="57"/>
  <c r="AZ196" i="57"/>
  <c r="AY196" i="57"/>
  <c r="AX196" i="57"/>
  <c r="AW196" i="57"/>
  <c r="AV196" i="57"/>
  <c r="AU196" i="57"/>
  <c r="AT196" i="57"/>
  <c r="AS196" i="57"/>
  <c r="AP196" i="57"/>
  <c r="BI196" i="57" s="1"/>
  <c r="BZ195" i="57"/>
  <c r="BY195" i="57"/>
  <c r="BX195" i="57"/>
  <c r="BW195" i="57"/>
  <c r="BV195" i="57"/>
  <c r="BU195" i="57"/>
  <c r="BT195" i="57"/>
  <c r="BS195" i="57"/>
  <c r="BR195" i="57"/>
  <c r="BQ195" i="57"/>
  <c r="BP195" i="57"/>
  <c r="BO195" i="57"/>
  <c r="BN195" i="57"/>
  <c r="BM195" i="57"/>
  <c r="BL195" i="57"/>
  <c r="BG195" i="57"/>
  <c r="BF195" i="57"/>
  <c r="BE195" i="57"/>
  <c r="BD195" i="57"/>
  <c r="BC195" i="57"/>
  <c r="BB195" i="57"/>
  <c r="BA195" i="57"/>
  <c r="AZ195" i="57"/>
  <c r="AY195" i="57"/>
  <c r="AX195" i="57"/>
  <c r="AW195" i="57"/>
  <c r="AV195" i="57"/>
  <c r="AU195" i="57"/>
  <c r="AT195" i="57"/>
  <c r="AS195" i="57"/>
  <c r="AR195" i="57"/>
  <c r="BK195" i="57" s="1"/>
  <c r="AQ195" i="57"/>
  <c r="BJ195" i="57" s="1"/>
  <c r="AP195" i="57"/>
  <c r="BI195" i="57" s="1"/>
  <c r="AP194" i="57"/>
  <c r="BI194" i="57" s="1"/>
  <c r="BZ193" i="57"/>
  <c r="BY193" i="57"/>
  <c r="BX193" i="57"/>
  <c r="BW193" i="57"/>
  <c r="BV193" i="57"/>
  <c r="BU193" i="57"/>
  <c r="BT193" i="57"/>
  <c r="BS193" i="57"/>
  <c r="BR193" i="57"/>
  <c r="BQ193" i="57"/>
  <c r="BP193" i="57"/>
  <c r="BO193" i="57"/>
  <c r="BN193" i="57"/>
  <c r="BM193" i="57"/>
  <c r="BL193" i="57"/>
  <c r="BG193" i="57"/>
  <c r="BF193" i="57"/>
  <c r="BE193" i="57"/>
  <c r="BD193" i="57"/>
  <c r="BC193" i="57"/>
  <c r="BB193" i="57"/>
  <c r="BA193" i="57"/>
  <c r="AZ193" i="57"/>
  <c r="AY193" i="57"/>
  <c r="AX193" i="57"/>
  <c r="AW193" i="57"/>
  <c r="AV193" i="57"/>
  <c r="AU193" i="57"/>
  <c r="AT193" i="57"/>
  <c r="AS193" i="57"/>
  <c r="AP193" i="57"/>
  <c r="BI193" i="57" s="1"/>
  <c r="BZ192" i="57"/>
  <c r="BY192" i="57"/>
  <c r="BX192" i="57"/>
  <c r="BW192" i="57"/>
  <c r="BV192" i="57"/>
  <c r="BU192" i="57"/>
  <c r="BT192" i="57"/>
  <c r="BS192" i="57"/>
  <c r="BR192" i="57"/>
  <c r="BQ192" i="57"/>
  <c r="BP192" i="57"/>
  <c r="BO192" i="57"/>
  <c r="BN192" i="57"/>
  <c r="BM192" i="57"/>
  <c r="BL192" i="57"/>
  <c r="BJ192" i="57"/>
  <c r="BG192" i="57"/>
  <c r="BF192" i="57"/>
  <c r="BE192" i="57"/>
  <c r="BD192" i="57"/>
  <c r="BC192" i="57"/>
  <c r="BB192" i="57"/>
  <c r="BA192" i="57"/>
  <c r="AZ192" i="57"/>
  <c r="AY192" i="57"/>
  <c r="AX192" i="57"/>
  <c r="AW192" i="57"/>
  <c r="AV192" i="57"/>
  <c r="AU192" i="57"/>
  <c r="AT192" i="57"/>
  <c r="AS192" i="57"/>
  <c r="AR192" i="57"/>
  <c r="BK192" i="57" s="1"/>
  <c r="AQ192" i="57"/>
  <c r="AP192" i="57"/>
  <c r="BI192" i="57" s="1"/>
  <c r="AP191" i="57"/>
  <c r="BI191" i="57" s="1"/>
  <c r="BZ190" i="57"/>
  <c r="BY190" i="57"/>
  <c r="BX190" i="57"/>
  <c r="BW190" i="57"/>
  <c r="BV190" i="57"/>
  <c r="BU190" i="57"/>
  <c r="BT190" i="57"/>
  <c r="BS190" i="57"/>
  <c r="BR190" i="57"/>
  <c r="BQ190" i="57"/>
  <c r="BP190" i="57"/>
  <c r="BO190" i="57"/>
  <c r="BN190" i="57"/>
  <c r="BM190" i="57"/>
  <c r="BL190" i="57"/>
  <c r="BG190" i="57"/>
  <c r="BF190" i="57"/>
  <c r="BE190" i="57"/>
  <c r="BD190" i="57"/>
  <c r="BC190" i="57"/>
  <c r="BB190" i="57"/>
  <c r="BA190" i="57"/>
  <c r="AZ190" i="57"/>
  <c r="AY190" i="57"/>
  <c r="AX190" i="57"/>
  <c r="AW190" i="57"/>
  <c r="AV190" i="57"/>
  <c r="AU190" i="57"/>
  <c r="AT190" i="57"/>
  <c r="AS190" i="57"/>
  <c r="AP190" i="57"/>
  <c r="BI190" i="57" s="1"/>
  <c r="BZ189" i="57"/>
  <c r="BY189" i="57"/>
  <c r="BX189" i="57"/>
  <c r="BW189" i="57"/>
  <c r="BV189" i="57"/>
  <c r="BU189" i="57"/>
  <c r="BT189" i="57"/>
  <c r="BS189" i="57"/>
  <c r="BR189" i="57"/>
  <c r="BQ189" i="57"/>
  <c r="BP189" i="57"/>
  <c r="BO189" i="57"/>
  <c r="BN189" i="57"/>
  <c r="BM189" i="57"/>
  <c r="BL189" i="57"/>
  <c r="BG189" i="57"/>
  <c r="BF189" i="57"/>
  <c r="BE189" i="57"/>
  <c r="BD189" i="57"/>
  <c r="BC189" i="57"/>
  <c r="BB189" i="57"/>
  <c r="BA189" i="57"/>
  <c r="AZ189" i="57"/>
  <c r="AY189" i="57"/>
  <c r="AX189" i="57"/>
  <c r="AW189" i="57"/>
  <c r="AV189" i="57"/>
  <c r="AU189" i="57"/>
  <c r="AT189" i="57"/>
  <c r="AS189" i="57"/>
  <c r="AR189" i="57"/>
  <c r="BK189" i="57" s="1"/>
  <c r="AQ189" i="57"/>
  <c r="BJ189" i="57" s="1"/>
  <c r="AP189" i="57"/>
  <c r="BI189" i="57" s="1"/>
  <c r="AP188" i="57"/>
  <c r="BI188" i="57" s="1"/>
  <c r="BZ187" i="57"/>
  <c r="BY187" i="57"/>
  <c r="BX187" i="57"/>
  <c r="BW187" i="57"/>
  <c r="BV187" i="57"/>
  <c r="BU187" i="57"/>
  <c r="BT187" i="57"/>
  <c r="BS187" i="57"/>
  <c r="BR187" i="57"/>
  <c r="BQ187" i="57"/>
  <c r="BP187" i="57"/>
  <c r="BO187" i="57"/>
  <c r="BN187" i="57"/>
  <c r="BM187" i="57"/>
  <c r="BL187" i="57"/>
  <c r="BG187" i="57"/>
  <c r="BF187" i="57"/>
  <c r="BE187" i="57"/>
  <c r="BD187" i="57"/>
  <c r="BC187" i="57"/>
  <c r="BB187" i="57"/>
  <c r="BA187" i="57"/>
  <c r="AZ187" i="57"/>
  <c r="AY187" i="57"/>
  <c r="AX187" i="57"/>
  <c r="AW187" i="57"/>
  <c r="AV187" i="57"/>
  <c r="AU187" i="57"/>
  <c r="AT187" i="57"/>
  <c r="AS187" i="57"/>
  <c r="AP187" i="57"/>
  <c r="BI187" i="57" s="1"/>
  <c r="BZ186" i="57"/>
  <c r="BY186" i="57"/>
  <c r="BX186" i="57"/>
  <c r="BW186" i="57"/>
  <c r="BV186" i="57"/>
  <c r="BU186" i="57"/>
  <c r="BT186" i="57"/>
  <c r="BS186" i="57"/>
  <c r="BR186" i="57"/>
  <c r="BQ186" i="57"/>
  <c r="BP186" i="57"/>
  <c r="BO186" i="57"/>
  <c r="BN186" i="57"/>
  <c r="BM186" i="57"/>
  <c r="BL186" i="57"/>
  <c r="BG186" i="57"/>
  <c r="BF186" i="57"/>
  <c r="BE186" i="57"/>
  <c r="BD186" i="57"/>
  <c r="BC186" i="57"/>
  <c r="BB186" i="57"/>
  <c r="BA186" i="57"/>
  <c r="AZ186" i="57"/>
  <c r="AY186" i="57"/>
  <c r="AX186" i="57"/>
  <c r="AW186" i="57"/>
  <c r="AV186" i="57"/>
  <c r="AU186" i="57"/>
  <c r="AT186" i="57"/>
  <c r="AS186" i="57"/>
  <c r="AR186" i="57"/>
  <c r="BK186" i="57" s="1"/>
  <c r="AQ186" i="57"/>
  <c r="BJ186" i="57" s="1"/>
  <c r="AP186" i="57"/>
  <c r="BI186" i="57" s="1"/>
  <c r="AP185" i="57"/>
  <c r="BI185" i="57" s="1"/>
  <c r="BZ184" i="57"/>
  <c r="BY184" i="57"/>
  <c r="BX184" i="57"/>
  <c r="BW184" i="57"/>
  <c r="BV184" i="57"/>
  <c r="BU184" i="57"/>
  <c r="BT184" i="57"/>
  <c r="BS184" i="57"/>
  <c r="BR184" i="57"/>
  <c r="BQ184" i="57"/>
  <c r="BP184" i="57"/>
  <c r="BO184" i="57"/>
  <c r="BN184" i="57"/>
  <c r="BM184" i="57"/>
  <c r="BL184" i="57"/>
  <c r="BG184" i="57"/>
  <c r="BF184" i="57"/>
  <c r="BE184" i="57"/>
  <c r="BD184" i="57"/>
  <c r="BC184" i="57"/>
  <c r="BB184" i="57"/>
  <c r="BA184" i="57"/>
  <c r="AZ184" i="57"/>
  <c r="AY184" i="57"/>
  <c r="AX184" i="57"/>
  <c r="AW184" i="57"/>
  <c r="AV184" i="57"/>
  <c r="AU184" i="57"/>
  <c r="AT184" i="57"/>
  <c r="AS184" i="57"/>
  <c r="AP184" i="57"/>
  <c r="BI184" i="57" s="1"/>
  <c r="BZ183" i="57"/>
  <c r="BY183" i="57"/>
  <c r="BX183" i="57"/>
  <c r="BW183" i="57"/>
  <c r="BV183" i="57"/>
  <c r="BU183" i="57"/>
  <c r="BT183" i="57"/>
  <c r="BS183" i="57"/>
  <c r="BR183" i="57"/>
  <c r="BQ183" i="57"/>
  <c r="BP183" i="57"/>
  <c r="BO183" i="57"/>
  <c r="BN183" i="57"/>
  <c r="BM183" i="57"/>
  <c r="BL183" i="57"/>
  <c r="BG183" i="57"/>
  <c r="BF183" i="57"/>
  <c r="BE183" i="57"/>
  <c r="BD183" i="57"/>
  <c r="BC183" i="57"/>
  <c r="BB183" i="57"/>
  <c r="BA183" i="57"/>
  <c r="AZ183" i="57"/>
  <c r="AY183" i="57"/>
  <c r="AX183" i="57"/>
  <c r="AW183" i="57"/>
  <c r="AV183" i="57"/>
  <c r="AU183" i="57"/>
  <c r="AT183" i="57"/>
  <c r="AS183" i="57"/>
  <c r="AR183" i="57"/>
  <c r="BK183" i="57" s="1"/>
  <c r="AQ183" i="57"/>
  <c r="BJ183" i="57" s="1"/>
  <c r="AP183" i="57"/>
  <c r="BI183" i="57" s="1"/>
  <c r="AP182" i="57"/>
  <c r="BI182" i="57" s="1"/>
  <c r="BZ181" i="57"/>
  <c r="BY181" i="57"/>
  <c r="BX181" i="57"/>
  <c r="BW181" i="57"/>
  <c r="BV181" i="57"/>
  <c r="BU181" i="57"/>
  <c r="BT181" i="57"/>
  <c r="BS181" i="57"/>
  <c r="BR181" i="57"/>
  <c r="BQ181" i="57"/>
  <c r="BP181" i="57"/>
  <c r="BO181" i="57"/>
  <c r="BN181" i="57"/>
  <c r="BM181" i="57"/>
  <c r="BL181" i="57"/>
  <c r="BG181" i="57"/>
  <c r="BF181" i="57"/>
  <c r="BE181" i="57"/>
  <c r="BD181" i="57"/>
  <c r="BC181" i="57"/>
  <c r="BB181" i="57"/>
  <c r="BA181" i="57"/>
  <c r="AZ181" i="57"/>
  <c r="AY181" i="57"/>
  <c r="AX181" i="57"/>
  <c r="AW181" i="57"/>
  <c r="AV181" i="57"/>
  <c r="AU181" i="57"/>
  <c r="AT181" i="57"/>
  <c r="AS181" i="57"/>
  <c r="AP181" i="57"/>
  <c r="BI181" i="57" s="1"/>
  <c r="BZ180" i="57"/>
  <c r="BY180" i="57"/>
  <c r="BX180" i="57"/>
  <c r="BW180" i="57"/>
  <c r="BV180" i="57"/>
  <c r="BU180" i="57"/>
  <c r="BT180" i="57"/>
  <c r="BS180" i="57"/>
  <c r="BR180" i="57"/>
  <c r="BQ180" i="57"/>
  <c r="BP180" i="57"/>
  <c r="BO180" i="57"/>
  <c r="BN180" i="57"/>
  <c r="BM180" i="57"/>
  <c r="BL180" i="57"/>
  <c r="BG180" i="57"/>
  <c r="BF180" i="57"/>
  <c r="BE180" i="57"/>
  <c r="BD180" i="57"/>
  <c r="BC180" i="57"/>
  <c r="BB180" i="57"/>
  <c r="BA180" i="57"/>
  <c r="AZ180" i="57"/>
  <c r="AY180" i="57"/>
  <c r="AX180" i="57"/>
  <c r="AW180" i="57"/>
  <c r="AV180" i="57"/>
  <c r="AU180" i="57"/>
  <c r="AT180" i="57"/>
  <c r="AS180" i="57"/>
  <c r="AR180" i="57"/>
  <c r="BK180" i="57" s="1"/>
  <c r="AQ180" i="57"/>
  <c r="BJ180" i="57" s="1"/>
  <c r="AP180" i="57"/>
  <c r="BI180" i="57" s="1"/>
  <c r="AP179" i="57"/>
  <c r="BI179" i="57" s="1"/>
  <c r="BZ178" i="57"/>
  <c r="BY178" i="57"/>
  <c r="BX178" i="57"/>
  <c r="BW178" i="57"/>
  <c r="BV178" i="57"/>
  <c r="BU178" i="57"/>
  <c r="BT178" i="57"/>
  <c r="BS178" i="57"/>
  <c r="BR178" i="57"/>
  <c r="BQ178" i="57"/>
  <c r="BP178" i="57"/>
  <c r="BO178" i="57"/>
  <c r="BN178" i="57"/>
  <c r="BM178" i="57"/>
  <c r="BL178" i="57"/>
  <c r="BG178" i="57"/>
  <c r="BF178" i="57"/>
  <c r="BE178" i="57"/>
  <c r="BD178" i="57"/>
  <c r="BC178" i="57"/>
  <c r="BB178" i="57"/>
  <c r="BA178" i="57"/>
  <c r="AZ178" i="57"/>
  <c r="AY178" i="57"/>
  <c r="AX178" i="57"/>
  <c r="AW178" i="57"/>
  <c r="AV178" i="57"/>
  <c r="AU178" i="57"/>
  <c r="AT178" i="57"/>
  <c r="AS178" i="57"/>
  <c r="AP178" i="57"/>
  <c r="BI178" i="57" s="1"/>
  <c r="BZ177" i="57"/>
  <c r="BY177" i="57"/>
  <c r="BX177" i="57"/>
  <c r="BW177" i="57"/>
  <c r="BV177" i="57"/>
  <c r="BU177" i="57"/>
  <c r="BT177" i="57"/>
  <c r="BS177" i="57"/>
  <c r="BR177" i="57"/>
  <c r="BQ177" i="57"/>
  <c r="BP177" i="57"/>
  <c r="BO177" i="57"/>
  <c r="BN177" i="57"/>
  <c r="BM177" i="57"/>
  <c r="BL177" i="57"/>
  <c r="BJ177" i="57"/>
  <c r="BG177" i="57"/>
  <c r="BF177" i="57"/>
  <c r="BE177" i="57"/>
  <c r="BD177" i="57"/>
  <c r="BC177" i="57"/>
  <c r="BB177" i="57"/>
  <c r="BA177" i="57"/>
  <c r="AZ177" i="57"/>
  <c r="AY177" i="57"/>
  <c r="AX177" i="57"/>
  <c r="AW177" i="57"/>
  <c r="AV177" i="57"/>
  <c r="AU177" i="57"/>
  <c r="AT177" i="57"/>
  <c r="AS177" i="57"/>
  <c r="AR177" i="57"/>
  <c r="BK177" i="57" s="1"/>
  <c r="AQ177" i="57"/>
  <c r="AP177" i="57"/>
  <c r="BI177" i="57" s="1"/>
  <c r="AP176" i="57"/>
  <c r="BI176" i="57" s="1"/>
  <c r="BZ175" i="57"/>
  <c r="BY175" i="57"/>
  <c r="BX175" i="57"/>
  <c r="BW175" i="57"/>
  <c r="BV175" i="57"/>
  <c r="BU175" i="57"/>
  <c r="BT175" i="57"/>
  <c r="BS175" i="57"/>
  <c r="BR175" i="57"/>
  <c r="BQ175" i="57"/>
  <c r="BP175" i="57"/>
  <c r="BO175" i="57"/>
  <c r="BN175" i="57"/>
  <c r="BM175" i="57"/>
  <c r="BL175" i="57"/>
  <c r="BG175" i="57"/>
  <c r="BF175" i="57"/>
  <c r="BE175" i="57"/>
  <c r="BD175" i="57"/>
  <c r="BC175" i="57"/>
  <c r="BB175" i="57"/>
  <c r="BA175" i="57"/>
  <c r="AZ175" i="57"/>
  <c r="AY175" i="57"/>
  <c r="AX175" i="57"/>
  <c r="AW175" i="57"/>
  <c r="AV175" i="57"/>
  <c r="AU175" i="57"/>
  <c r="AT175" i="57"/>
  <c r="AS175" i="57"/>
  <c r="AP175" i="57"/>
  <c r="BI175" i="57" s="1"/>
  <c r="BZ174" i="57"/>
  <c r="BY174" i="57"/>
  <c r="BX174" i="57"/>
  <c r="BW174" i="57"/>
  <c r="BV174" i="57"/>
  <c r="BU174" i="57"/>
  <c r="BT174" i="57"/>
  <c r="BS174" i="57"/>
  <c r="BR174" i="57"/>
  <c r="BQ174" i="57"/>
  <c r="BP174" i="57"/>
  <c r="BO174" i="57"/>
  <c r="BN174" i="57"/>
  <c r="BM174" i="57"/>
  <c r="BL174" i="57"/>
  <c r="BG174" i="57"/>
  <c r="BF174" i="57"/>
  <c r="BE174" i="57"/>
  <c r="BD174" i="57"/>
  <c r="BC174" i="57"/>
  <c r="BB174" i="57"/>
  <c r="BA174" i="57"/>
  <c r="AZ174" i="57"/>
  <c r="AY174" i="57"/>
  <c r="AX174" i="57"/>
  <c r="AW174" i="57"/>
  <c r="AV174" i="57"/>
  <c r="AU174" i="57"/>
  <c r="AT174" i="57"/>
  <c r="AS174" i="57"/>
  <c r="AR174" i="57"/>
  <c r="BK174" i="57" s="1"/>
  <c r="AQ174" i="57"/>
  <c r="BJ174" i="57" s="1"/>
  <c r="AP174" i="57"/>
  <c r="BI174" i="57" s="1"/>
  <c r="AP173" i="57"/>
  <c r="BI173" i="57" s="1"/>
  <c r="BZ172" i="57"/>
  <c r="BY172" i="57"/>
  <c r="BX172" i="57"/>
  <c r="BW172" i="57"/>
  <c r="BV172" i="57"/>
  <c r="BU172" i="57"/>
  <c r="BT172" i="57"/>
  <c r="BS172" i="57"/>
  <c r="BR172" i="57"/>
  <c r="BQ172" i="57"/>
  <c r="BP172" i="57"/>
  <c r="BO172" i="57"/>
  <c r="BN172" i="57"/>
  <c r="BM172" i="57"/>
  <c r="BL172" i="57"/>
  <c r="BG172" i="57"/>
  <c r="BF172" i="57"/>
  <c r="BE172" i="57"/>
  <c r="BD172" i="57"/>
  <c r="BC172" i="57"/>
  <c r="BB172" i="57"/>
  <c r="BA172" i="57"/>
  <c r="AZ172" i="57"/>
  <c r="AY172" i="57"/>
  <c r="AX172" i="57"/>
  <c r="AW172" i="57"/>
  <c r="AV172" i="57"/>
  <c r="AU172" i="57"/>
  <c r="AT172" i="57"/>
  <c r="AS172" i="57"/>
  <c r="AP172" i="57"/>
  <c r="BI172" i="57" s="1"/>
  <c r="BZ171" i="57"/>
  <c r="BY171" i="57"/>
  <c r="BX171" i="57"/>
  <c r="BW171" i="57"/>
  <c r="BV171" i="57"/>
  <c r="BU171" i="57"/>
  <c r="BT171" i="57"/>
  <c r="BS171" i="57"/>
  <c r="BR171" i="57"/>
  <c r="BQ171" i="57"/>
  <c r="BP171" i="57"/>
  <c r="BO171" i="57"/>
  <c r="BN171" i="57"/>
  <c r="BM171" i="57"/>
  <c r="BL171" i="57"/>
  <c r="BG171" i="57"/>
  <c r="BF171" i="57"/>
  <c r="BE171" i="57"/>
  <c r="BD171" i="57"/>
  <c r="BC171" i="57"/>
  <c r="BB171" i="57"/>
  <c r="BA171" i="57"/>
  <c r="AZ171" i="57"/>
  <c r="AY171" i="57"/>
  <c r="AX171" i="57"/>
  <c r="AW171" i="57"/>
  <c r="AV171" i="57"/>
  <c r="AU171" i="57"/>
  <c r="AT171" i="57"/>
  <c r="AS171" i="57"/>
  <c r="AR171" i="57"/>
  <c r="BK171" i="57" s="1"/>
  <c r="AQ171" i="57"/>
  <c r="BJ171" i="57" s="1"/>
  <c r="AP171" i="57"/>
  <c r="BI171" i="57" s="1"/>
  <c r="AP170" i="57"/>
  <c r="BI170" i="57" s="1"/>
  <c r="BZ169" i="57"/>
  <c r="BY169" i="57"/>
  <c r="BX169" i="57"/>
  <c r="BW169" i="57"/>
  <c r="BV169" i="57"/>
  <c r="BU169" i="57"/>
  <c r="BT169" i="57"/>
  <c r="BS169" i="57"/>
  <c r="BR169" i="57"/>
  <c r="BQ169" i="57"/>
  <c r="BP169" i="57"/>
  <c r="BO169" i="57"/>
  <c r="BN169" i="57"/>
  <c r="BM169" i="57"/>
  <c r="BL169" i="57"/>
  <c r="BG169" i="57"/>
  <c r="BF169" i="57"/>
  <c r="BE169" i="57"/>
  <c r="BD169" i="57"/>
  <c r="BC169" i="57"/>
  <c r="BB169" i="57"/>
  <c r="BA169" i="57"/>
  <c r="AZ169" i="57"/>
  <c r="AY169" i="57"/>
  <c r="AX169" i="57"/>
  <c r="AW169" i="57"/>
  <c r="AV169" i="57"/>
  <c r="AU169" i="57"/>
  <c r="AT169" i="57"/>
  <c r="AS169" i="57"/>
  <c r="AP169" i="57"/>
  <c r="BI169" i="57" s="1"/>
  <c r="BZ168" i="57"/>
  <c r="BY168" i="57"/>
  <c r="BX168" i="57"/>
  <c r="BW168" i="57"/>
  <c r="BV168" i="57"/>
  <c r="BU168" i="57"/>
  <c r="BT168" i="57"/>
  <c r="BS168" i="57"/>
  <c r="BR168" i="57"/>
  <c r="BQ168" i="57"/>
  <c r="BP168" i="57"/>
  <c r="BO168" i="57"/>
  <c r="BN168" i="57"/>
  <c r="BM168" i="57"/>
  <c r="BL168" i="57"/>
  <c r="BG168" i="57"/>
  <c r="BF168" i="57"/>
  <c r="BE168" i="57"/>
  <c r="BD168" i="57"/>
  <c r="BC168" i="57"/>
  <c r="BB168" i="57"/>
  <c r="BA168" i="57"/>
  <c r="AZ168" i="57"/>
  <c r="AY168" i="57"/>
  <c r="AX168" i="57"/>
  <c r="AW168" i="57"/>
  <c r="AV168" i="57"/>
  <c r="AU168" i="57"/>
  <c r="AT168" i="57"/>
  <c r="AS168" i="57"/>
  <c r="AR168" i="57"/>
  <c r="BK168" i="57" s="1"/>
  <c r="AQ168" i="57"/>
  <c r="BJ168" i="57" s="1"/>
  <c r="AP168" i="57"/>
  <c r="BI168" i="57" s="1"/>
  <c r="AP167" i="57"/>
  <c r="BI167" i="57" s="1"/>
  <c r="BZ166" i="57"/>
  <c r="BY166" i="57"/>
  <c r="BX166" i="57"/>
  <c r="BW166" i="57"/>
  <c r="BV166" i="57"/>
  <c r="BU166" i="57"/>
  <c r="BT166" i="57"/>
  <c r="BS166" i="57"/>
  <c r="BR166" i="57"/>
  <c r="BQ166" i="57"/>
  <c r="BP166" i="57"/>
  <c r="BO166" i="57"/>
  <c r="BN166" i="57"/>
  <c r="BM166" i="57"/>
  <c r="BL166" i="57"/>
  <c r="BG166" i="57"/>
  <c r="BF166" i="57"/>
  <c r="BE166" i="57"/>
  <c r="BD166" i="57"/>
  <c r="BC166" i="57"/>
  <c r="BB166" i="57"/>
  <c r="BA166" i="57"/>
  <c r="AZ166" i="57"/>
  <c r="AY166" i="57"/>
  <c r="AX166" i="57"/>
  <c r="AW166" i="57"/>
  <c r="AV166" i="57"/>
  <c r="AU166" i="57"/>
  <c r="AT166" i="57"/>
  <c r="AS166" i="57"/>
  <c r="AP166" i="57"/>
  <c r="BI166" i="57" s="1"/>
  <c r="BZ165" i="57"/>
  <c r="BY165" i="57"/>
  <c r="BX165" i="57"/>
  <c r="BW165" i="57"/>
  <c r="BV165" i="57"/>
  <c r="BU165" i="57"/>
  <c r="BT165" i="57"/>
  <c r="BS165" i="57"/>
  <c r="BR165" i="57"/>
  <c r="BQ165" i="57"/>
  <c r="BP165" i="57"/>
  <c r="BO165" i="57"/>
  <c r="BN165" i="57"/>
  <c r="BM165" i="57"/>
  <c r="BL165" i="57"/>
  <c r="BG165" i="57"/>
  <c r="BF165" i="57"/>
  <c r="BE165" i="57"/>
  <c r="BD165" i="57"/>
  <c r="BC165" i="57"/>
  <c r="BB165" i="57"/>
  <c r="BA165" i="57"/>
  <c r="AZ165" i="57"/>
  <c r="AY165" i="57"/>
  <c r="AX165" i="57"/>
  <c r="AW165" i="57"/>
  <c r="AV165" i="57"/>
  <c r="AU165" i="57"/>
  <c r="AT165" i="57"/>
  <c r="AS165" i="57"/>
  <c r="AR165" i="57"/>
  <c r="BK165" i="57" s="1"/>
  <c r="AQ165" i="57"/>
  <c r="BJ165" i="57" s="1"/>
  <c r="AP165" i="57"/>
  <c r="BI165" i="57" s="1"/>
  <c r="AP164" i="57"/>
  <c r="BI164" i="57" s="1"/>
  <c r="BZ163" i="57"/>
  <c r="BY163" i="57"/>
  <c r="BX163" i="57"/>
  <c r="BW163" i="57"/>
  <c r="BV163" i="57"/>
  <c r="BU163" i="57"/>
  <c r="BT163" i="57"/>
  <c r="BS163" i="57"/>
  <c r="BR163" i="57"/>
  <c r="BQ163" i="57"/>
  <c r="BP163" i="57"/>
  <c r="BO163" i="57"/>
  <c r="BN163" i="57"/>
  <c r="BM163" i="57"/>
  <c r="BL163" i="57"/>
  <c r="BG163" i="57"/>
  <c r="BF163" i="57"/>
  <c r="BE163" i="57"/>
  <c r="BD163" i="57"/>
  <c r="BC163" i="57"/>
  <c r="BB163" i="57"/>
  <c r="BA163" i="57"/>
  <c r="AZ163" i="57"/>
  <c r="AY163" i="57"/>
  <c r="AX163" i="57"/>
  <c r="AW163" i="57"/>
  <c r="AV163" i="57"/>
  <c r="AU163" i="57"/>
  <c r="AT163" i="57"/>
  <c r="AS163" i="57"/>
  <c r="AP163" i="57"/>
  <c r="BI163" i="57" s="1"/>
  <c r="BZ162" i="57"/>
  <c r="BY162" i="57"/>
  <c r="BX162" i="57"/>
  <c r="BW162" i="57"/>
  <c r="BV162" i="57"/>
  <c r="BU162" i="57"/>
  <c r="BT162" i="57"/>
  <c r="BS162" i="57"/>
  <c r="BR162" i="57"/>
  <c r="BQ162" i="57"/>
  <c r="BP162" i="57"/>
  <c r="BO162" i="57"/>
  <c r="BN162" i="57"/>
  <c r="BM162" i="57"/>
  <c r="BL162" i="57"/>
  <c r="BJ162" i="57"/>
  <c r="BG162" i="57"/>
  <c r="BF162" i="57"/>
  <c r="BE162" i="57"/>
  <c r="BD162" i="57"/>
  <c r="BC162" i="57"/>
  <c r="BB162" i="57"/>
  <c r="BA162" i="57"/>
  <c r="AZ162" i="57"/>
  <c r="AY162" i="57"/>
  <c r="AX162" i="57"/>
  <c r="AW162" i="57"/>
  <c r="AV162" i="57"/>
  <c r="AU162" i="57"/>
  <c r="AT162" i="57"/>
  <c r="AS162" i="57"/>
  <c r="AR162" i="57"/>
  <c r="BK162" i="57" s="1"/>
  <c r="AQ162" i="57"/>
  <c r="AP162" i="57"/>
  <c r="BI162" i="57" s="1"/>
  <c r="AP161" i="57"/>
  <c r="BI161" i="57" s="1"/>
  <c r="BZ160" i="57"/>
  <c r="BY160" i="57"/>
  <c r="BX160" i="57"/>
  <c r="BW160" i="57"/>
  <c r="BV160" i="57"/>
  <c r="BU160" i="57"/>
  <c r="BT160" i="57"/>
  <c r="BS160" i="57"/>
  <c r="BR160" i="57"/>
  <c r="BQ160" i="57"/>
  <c r="BP160" i="57"/>
  <c r="BO160" i="57"/>
  <c r="BN160" i="57"/>
  <c r="BM160" i="57"/>
  <c r="BL160" i="57"/>
  <c r="BG160" i="57"/>
  <c r="BF160" i="57"/>
  <c r="BE160" i="57"/>
  <c r="BD160" i="57"/>
  <c r="BC160" i="57"/>
  <c r="BB160" i="57"/>
  <c r="BA160" i="57"/>
  <c r="AZ160" i="57"/>
  <c r="AY160" i="57"/>
  <c r="AX160" i="57"/>
  <c r="AW160" i="57"/>
  <c r="AV160" i="57"/>
  <c r="AU160" i="57"/>
  <c r="AT160" i="57"/>
  <c r="AS160" i="57"/>
  <c r="AP160" i="57"/>
  <c r="BI160" i="57" s="1"/>
  <c r="BZ159" i="57"/>
  <c r="BY159" i="57"/>
  <c r="BX159" i="57"/>
  <c r="BW159" i="57"/>
  <c r="BV159" i="57"/>
  <c r="BU159" i="57"/>
  <c r="BT159" i="57"/>
  <c r="BS159" i="57"/>
  <c r="BR159" i="57"/>
  <c r="BQ159" i="57"/>
  <c r="BP159" i="57"/>
  <c r="BO159" i="57"/>
  <c r="BN159" i="57"/>
  <c r="BM159" i="57"/>
  <c r="BL159" i="57"/>
  <c r="BG159" i="57"/>
  <c r="BF159" i="57"/>
  <c r="BE159" i="57"/>
  <c r="BD159" i="57"/>
  <c r="BC159" i="57"/>
  <c r="BB159" i="57"/>
  <c r="BA159" i="57"/>
  <c r="AZ159" i="57"/>
  <c r="AY159" i="57"/>
  <c r="AX159" i="57"/>
  <c r="AW159" i="57"/>
  <c r="AV159" i="57"/>
  <c r="AU159" i="57"/>
  <c r="AT159" i="57"/>
  <c r="AS159" i="57"/>
  <c r="AR159" i="57"/>
  <c r="BK159" i="57" s="1"/>
  <c r="AQ159" i="57"/>
  <c r="BJ159" i="57" s="1"/>
  <c r="AP159" i="57"/>
  <c r="BI159" i="57" s="1"/>
  <c r="AP158" i="57"/>
  <c r="BI158" i="57" s="1"/>
  <c r="BZ157" i="57"/>
  <c r="BY157" i="57"/>
  <c r="BX157" i="57"/>
  <c r="BW157" i="57"/>
  <c r="BV157" i="57"/>
  <c r="BU157" i="57"/>
  <c r="BT157" i="57"/>
  <c r="BS157" i="57"/>
  <c r="BR157" i="57"/>
  <c r="BQ157" i="57"/>
  <c r="BP157" i="57"/>
  <c r="BO157" i="57"/>
  <c r="BN157" i="57"/>
  <c r="BM157" i="57"/>
  <c r="BL157" i="57"/>
  <c r="BG157" i="57"/>
  <c r="BF157" i="57"/>
  <c r="BE157" i="57"/>
  <c r="BD157" i="57"/>
  <c r="BC157" i="57"/>
  <c r="BB157" i="57"/>
  <c r="BA157" i="57"/>
  <c r="AZ157" i="57"/>
  <c r="AY157" i="57"/>
  <c r="AX157" i="57"/>
  <c r="AW157" i="57"/>
  <c r="AV157" i="57"/>
  <c r="AU157" i="57"/>
  <c r="AT157" i="57"/>
  <c r="AS157" i="57"/>
  <c r="AP157" i="57"/>
  <c r="BI157" i="57" s="1"/>
  <c r="BZ156" i="57"/>
  <c r="BY156" i="57"/>
  <c r="BX156" i="57"/>
  <c r="BW156" i="57"/>
  <c r="BV156" i="57"/>
  <c r="BU156" i="57"/>
  <c r="BT156" i="57"/>
  <c r="BS156" i="57"/>
  <c r="BR156" i="57"/>
  <c r="BQ156" i="57"/>
  <c r="BP156" i="57"/>
  <c r="BO156" i="57"/>
  <c r="BN156" i="57"/>
  <c r="BM156" i="57"/>
  <c r="BL156" i="57"/>
  <c r="BG156" i="57"/>
  <c r="BF156" i="57"/>
  <c r="BE156" i="57"/>
  <c r="BD156" i="57"/>
  <c r="BC156" i="57"/>
  <c r="BB156" i="57"/>
  <c r="BA156" i="57"/>
  <c r="AZ156" i="57"/>
  <c r="AY156" i="57"/>
  <c r="AX156" i="57"/>
  <c r="AW156" i="57"/>
  <c r="AV156" i="57"/>
  <c r="AU156" i="57"/>
  <c r="AT156" i="57"/>
  <c r="AS156" i="57"/>
  <c r="AR156" i="57"/>
  <c r="BK156" i="57" s="1"/>
  <c r="AQ156" i="57"/>
  <c r="BJ156" i="57" s="1"/>
  <c r="AP156" i="57"/>
  <c r="BI156" i="57" s="1"/>
  <c r="AP155" i="57"/>
  <c r="BI155" i="57" s="1"/>
  <c r="BZ154" i="57"/>
  <c r="BY154" i="57"/>
  <c r="BX154" i="57"/>
  <c r="BW154" i="57"/>
  <c r="BV154" i="57"/>
  <c r="BU154" i="57"/>
  <c r="BT154" i="57"/>
  <c r="BS154" i="57"/>
  <c r="BR154" i="57"/>
  <c r="BQ154" i="57"/>
  <c r="BP154" i="57"/>
  <c r="BO154" i="57"/>
  <c r="BN154" i="57"/>
  <c r="BM154" i="57"/>
  <c r="BL154" i="57"/>
  <c r="BG154" i="57"/>
  <c r="BF154" i="57"/>
  <c r="BE154" i="57"/>
  <c r="BD154" i="57"/>
  <c r="BC154" i="57"/>
  <c r="BB154" i="57"/>
  <c r="BA154" i="57"/>
  <c r="AZ154" i="57"/>
  <c r="AY154" i="57"/>
  <c r="AX154" i="57"/>
  <c r="AW154" i="57"/>
  <c r="AV154" i="57"/>
  <c r="AU154" i="57"/>
  <c r="AT154" i="57"/>
  <c r="AS154" i="57"/>
  <c r="AP154" i="57"/>
  <c r="BI154" i="57" s="1"/>
  <c r="BZ153" i="57"/>
  <c r="BY153" i="57"/>
  <c r="BX153" i="57"/>
  <c r="BW153" i="57"/>
  <c r="BV153" i="57"/>
  <c r="BU153" i="57"/>
  <c r="BT153" i="57"/>
  <c r="BS153" i="57"/>
  <c r="BR153" i="57"/>
  <c r="BQ153" i="57"/>
  <c r="BP153" i="57"/>
  <c r="BO153" i="57"/>
  <c r="BN153" i="57"/>
  <c r="BM153" i="57"/>
  <c r="BL153" i="57"/>
  <c r="BG153" i="57"/>
  <c r="BF153" i="57"/>
  <c r="BE153" i="57"/>
  <c r="BD153" i="57"/>
  <c r="BC153" i="57"/>
  <c r="BB153" i="57"/>
  <c r="BA153" i="57"/>
  <c r="AZ153" i="57"/>
  <c r="AY153" i="57"/>
  <c r="AX153" i="57"/>
  <c r="AW153" i="57"/>
  <c r="AV153" i="57"/>
  <c r="AU153" i="57"/>
  <c r="AT153" i="57"/>
  <c r="AS153" i="57"/>
  <c r="AR153" i="57"/>
  <c r="BK153" i="57" s="1"/>
  <c r="AQ153" i="57"/>
  <c r="BJ153" i="57" s="1"/>
  <c r="AP153" i="57"/>
  <c r="BI153" i="57" s="1"/>
  <c r="AP152" i="57"/>
  <c r="BI152" i="57" s="1"/>
  <c r="BZ151" i="57"/>
  <c r="BY151" i="57"/>
  <c r="BX151" i="57"/>
  <c r="BW151" i="57"/>
  <c r="BV151" i="57"/>
  <c r="BU151" i="57"/>
  <c r="BT151" i="57"/>
  <c r="BS151" i="57"/>
  <c r="BR151" i="57"/>
  <c r="BQ151" i="57"/>
  <c r="BP151" i="57"/>
  <c r="BO151" i="57"/>
  <c r="BN151" i="57"/>
  <c r="BM151" i="57"/>
  <c r="BL151" i="57"/>
  <c r="BG151" i="57"/>
  <c r="BF151" i="57"/>
  <c r="BE151" i="57"/>
  <c r="BD151" i="57"/>
  <c r="BC151" i="57"/>
  <c r="BB151" i="57"/>
  <c r="BA151" i="57"/>
  <c r="AZ151" i="57"/>
  <c r="AY151" i="57"/>
  <c r="AX151" i="57"/>
  <c r="AW151" i="57"/>
  <c r="AV151" i="57"/>
  <c r="AU151" i="57"/>
  <c r="AT151" i="57"/>
  <c r="AS151" i="57"/>
  <c r="AP151" i="57"/>
  <c r="BI151" i="57" s="1"/>
  <c r="BZ150" i="57"/>
  <c r="BY150" i="57"/>
  <c r="BX150" i="57"/>
  <c r="BW150" i="57"/>
  <c r="BV150" i="57"/>
  <c r="BU150" i="57"/>
  <c r="BT150" i="57"/>
  <c r="BS150" i="57"/>
  <c r="BR150" i="57"/>
  <c r="BQ150" i="57"/>
  <c r="BP150" i="57"/>
  <c r="BO150" i="57"/>
  <c r="BN150" i="57"/>
  <c r="BM150" i="57"/>
  <c r="BL150" i="57"/>
  <c r="BG150" i="57"/>
  <c r="BF150" i="57"/>
  <c r="BE150" i="57"/>
  <c r="BD150" i="57"/>
  <c r="BC150" i="57"/>
  <c r="BB150" i="57"/>
  <c r="BA150" i="57"/>
  <c r="AZ150" i="57"/>
  <c r="AY150" i="57"/>
  <c r="AX150" i="57"/>
  <c r="AW150" i="57"/>
  <c r="AV150" i="57"/>
  <c r="AU150" i="57"/>
  <c r="AT150" i="57"/>
  <c r="AS150" i="57"/>
  <c r="AR150" i="57"/>
  <c r="BK150" i="57" s="1"/>
  <c r="AQ150" i="57"/>
  <c r="BJ150" i="57" s="1"/>
  <c r="AP150" i="57"/>
  <c r="BI150" i="57" s="1"/>
  <c r="AP149" i="57"/>
  <c r="BI149" i="57" s="1"/>
  <c r="BZ148" i="57"/>
  <c r="BY148" i="57"/>
  <c r="BX148" i="57"/>
  <c r="BW148" i="57"/>
  <c r="BV148" i="57"/>
  <c r="BU148" i="57"/>
  <c r="BT148" i="57"/>
  <c r="BS148" i="57"/>
  <c r="BR148" i="57"/>
  <c r="BQ148" i="57"/>
  <c r="BP148" i="57"/>
  <c r="BO148" i="57"/>
  <c r="BN148" i="57"/>
  <c r="BM148" i="57"/>
  <c r="BL148" i="57"/>
  <c r="BG148" i="57"/>
  <c r="BF148" i="57"/>
  <c r="BE148" i="57"/>
  <c r="BD148" i="57"/>
  <c r="BC148" i="57"/>
  <c r="BB148" i="57"/>
  <c r="BA148" i="57"/>
  <c r="AZ148" i="57"/>
  <c r="AY148" i="57"/>
  <c r="AX148" i="57"/>
  <c r="AW148" i="57"/>
  <c r="AV148" i="57"/>
  <c r="AU148" i="57"/>
  <c r="AT148" i="57"/>
  <c r="AS148" i="57"/>
  <c r="AP148" i="57"/>
  <c r="BI148" i="57" s="1"/>
  <c r="BZ147" i="57"/>
  <c r="BY147" i="57"/>
  <c r="BX147" i="57"/>
  <c r="BW147" i="57"/>
  <c r="BV147" i="57"/>
  <c r="BU147" i="57"/>
  <c r="BT147" i="57"/>
  <c r="BS147" i="57"/>
  <c r="BR147" i="57"/>
  <c r="BQ147" i="57"/>
  <c r="BP147" i="57"/>
  <c r="BO147" i="57"/>
  <c r="BN147" i="57"/>
  <c r="BM147" i="57"/>
  <c r="BL147" i="57"/>
  <c r="BG147" i="57"/>
  <c r="BF147" i="57"/>
  <c r="BE147" i="57"/>
  <c r="BD147" i="57"/>
  <c r="BC147" i="57"/>
  <c r="BB147" i="57"/>
  <c r="BA147" i="57"/>
  <c r="AZ147" i="57"/>
  <c r="AY147" i="57"/>
  <c r="AX147" i="57"/>
  <c r="AW147" i="57"/>
  <c r="AV147" i="57"/>
  <c r="AU147" i="57"/>
  <c r="AT147" i="57"/>
  <c r="AS147" i="57"/>
  <c r="AR147" i="57"/>
  <c r="BK147" i="57" s="1"/>
  <c r="AQ147" i="57"/>
  <c r="BJ147" i="57" s="1"/>
  <c r="AP147" i="57"/>
  <c r="BI147" i="57" s="1"/>
  <c r="AP146" i="57"/>
  <c r="BI146" i="57" s="1"/>
  <c r="BZ145" i="57"/>
  <c r="BY145" i="57"/>
  <c r="BX145" i="57"/>
  <c r="BW145" i="57"/>
  <c r="BV145" i="57"/>
  <c r="BU145" i="57"/>
  <c r="BT145" i="57"/>
  <c r="BS145" i="57"/>
  <c r="BR145" i="57"/>
  <c r="BQ145" i="57"/>
  <c r="BP145" i="57"/>
  <c r="BO145" i="57"/>
  <c r="BN145" i="57"/>
  <c r="BM145" i="57"/>
  <c r="BL145" i="57"/>
  <c r="BG145" i="57"/>
  <c r="BF145" i="57"/>
  <c r="BE145" i="57"/>
  <c r="BD145" i="57"/>
  <c r="BC145" i="57"/>
  <c r="BB145" i="57"/>
  <c r="BA145" i="57"/>
  <c r="AZ145" i="57"/>
  <c r="AY145" i="57"/>
  <c r="AX145" i="57"/>
  <c r="AW145" i="57"/>
  <c r="AV145" i="57"/>
  <c r="AU145" i="57"/>
  <c r="AT145" i="57"/>
  <c r="AS145" i="57"/>
  <c r="AP145" i="57"/>
  <c r="BI145" i="57" s="1"/>
  <c r="BZ144" i="57"/>
  <c r="BY144" i="57"/>
  <c r="BX144" i="57"/>
  <c r="BW144" i="57"/>
  <c r="BV144" i="57"/>
  <c r="BU144" i="57"/>
  <c r="BT144" i="57"/>
  <c r="BS144" i="57"/>
  <c r="BR144" i="57"/>
  <c r="BQ144" i="57"/>
  <c r="BP144" i="57"/>
  <c r="BO144" i="57"/>
  <c r="BN144" i="57"/>
  <c r="BM144" i="57"/>
  <c r="BL144" i="57"/>
  <c r="BG144" i="57"/>
  <c r="BF144" i="57"/>
  <c r="BE144" i="57"/>
  <c r="BD144" i="57"/>
  <c r="BC144" i="57"/>
  <c r="BB144" i="57"/>
  <c r="BA144" i="57"/>
  <c r="AZ144" i="57"/>
  <c r="AY144" i="57"/>
  <c r="AX144" i="57"/>
  <c r="AW144" i="57"/>
  <c r="AV144" i="57"/>
  <c r="AU144" i="57"/>
  <c r="AT144" i="57"/>
  <c r="AS144" i="57"/>
  <c r="AR144" i="57"/>
  <c r="BK144" i="57" s="1"/>
  <c r="AQ144" i="57"/>
  <c r="BJ144" i="57" s="1"/>
  <c r="AP144" i="57"/>
  <c r="BI144" i="57" s="1"/>
  <c r="AP143" i="57"/>
  <c r="BI143" i="57" s="1"/>
  <c r="BZ142" i="57"/>
  <c r="BY142" i="57"/>
  <c r="BX142" i="57"/>
  <c r="BW142" i="57"/>
  <c r="BV142" i="57"/>
  <c r="BU142" i="57"/>
  <c r="BT142" i="57"/>
  <c r="BS142" i="57"/>
  <c r="BR142" i="57"/>
  <c r="BQ142" i="57"/>
  <c r="BP142" i="57"/>
  <c r="BO142" i="57"/>
  <c r="BN142" i="57"/>
  <c r="BM142" i="57"/>
  <c r="BL142" i="57"/>
  <c r="BG142" i="57"/>
  <c r="BF142" i="57"/>
  <c r="BE142" i="57"/>
  <c r="BD142" i="57"/>
  <c r="BC142" i="57"/>
  <c r="BB142" i="57"/>
  <c r="BA142" i="57"/>
  <c r="AZ142" i="57"/>
  <c r="AY142" i="57"/>
  <c r="AX142" i="57"/>
  <c r="AW142" i="57"/>
  <c r="AV142" i="57"/>
  <c r="AU142" i="57"/>
  <c r="AT142" i="57"/>
  <c r="AS142" i="57"/>
  <c r="AP142" i="57"/>
  <c r="BI142" i="57" s="1"/>
  <c r="BZ141" i="57"/>
  <c r="BY141" i="57"/>
  <c r="BX141" i="57"/>
  <c r="BW141" i="57"/>
  <c r="BV141" i="57"/>
  <c r="BU141" i="57"/>
  <c r="BT141" i="57"/>
  <c r="BS141" i="57"/>
  <c r="BR141" i="57"/>
  <c r="BQ141" i="57"/>
  <c r="BP141" i="57"/>
  <c r="BO141" i="57"/>
  <c r="BN141" i="57"/>
  <c r="BM141" i="57"/>
  <c r="BL141" i="57"/>
  <c r="BG141" i="57"/>
  <c r="BF141" i="57"/>
  <c r="BE141" i="57"/>
  <c r="BD141" i="57"/>
  <c r="BC141" i="57"/>
  <c r="BB141" i="57"/>
  <c r="BA141" i="57"/>
  <c r="AZ141" i="57"/>
  <c r="AY141" i="57"/>
  <c r="AX141" i="57"/>
  <c r="AW141" i="57"/>
  <c r="AV141" i="57"/>
  <c r="AU141" i="57"/>
  <c r="AT141" i="57"/>
  <c r="AS141" i="57"/>
  <c r="AR141" i="57"/>
  <c r="BK141" i="57" s="1"/>
  <c r="AQ141" i="57"/>
  <c r="BJ141" i="57" s="1"/>
  <c r="AP141" i="57"/>
  <c r="BI141" i="57" s="1"/>
  <c r="AP140" i="57"/>
  <c r="BI140" i="57" s="1"/>
  <c r="BZ139" i="57"/>
  <c r="BY139" i="57"/>
  <c r="BX139" i="57"/>
  <c r="BW139" i="57"/>
  <c r="BV139" i="57"/>
  <c r="BU139" i="57"/>
  <c r="BT139" i="57"/>
  <c r="BS139" i="57"/>
  <c r="BR139" i="57"/>
  <c r="BQ139" i="57"/>
  <c r="BP139" i="57"/>
  <c r="BO139" i="57"/>
  <c r="BN139" i="57"/>
  <c r="BM139" i="57"/>
  <c r="BL139" i="57"/>
  <c r="BG139" i="57"/>
  <c r="BF139" i="57"/>
  <c r="BE139" i="57"/>
  <c r="BD139" i="57"/>
  <c r="BC139" i="57"/>
  <c r="BB139" i="57"/>
  <c r="BA139" i="57"/>
  <c r="AZ139" i="57"/>
  <c r="AY139" i="57"/>
  <c r="AX139" i="57"/>
  <c r="AW139" i="57"/>
  <c r="AV139" i="57"/>
  <c r="AU139" i="57"/>
  <c r="AT139" i="57"/>
  <c r="AS139" i="57"/>
  <c r="AP139" i="57"/>
  <c r="BI139" i="57" s="1"/>
  <c r="BZ138" i="57"/>
  <c r="BY138" i="57"/>
  <c r="BX138" i="57"/>
  <c r="BW138" i="57"/>
  <c r="BV138" i="57"/>
  <c r="BU138" i="57"/>
  <c r="BT138" i="57"/>
  <c r="BS138" i="57"/>
  <c r="BR138" i="57"/>
  <c r="BQ138" i="57"/>
  <c r="BP138" i="57"/>
  <c r="BO138" i="57"/>
  <c r="BN138" i="57"/>
  <c r="BM138" i="57"/>
  <c r="BL138" i="57"/>
  <c r="BI138" i="57"/>
  <c r="BG138" i="57"/>
  <c r="BF138" i="57"/>
  <c r="BE138" i="57"/>
  <c r="BD138" i="57"/>
  <c r="BC138" i="57"/>
  <c r="BB138" i="57"/>
  <c r="BA138" i="57"/>
  <c r="AZ138" i="57"/>
  <c r="AY138" i="57"/>
  <c r="AX138" i="57"/>
  <c r="AW138" i="57"/>
  <c r="AV138" i="57"/>
  <c r="AU138" i="57"/>
  <c r="AT138" i="57"/>
  <c r="AS138" i="57"/>
  <c r="AR138" i="57"/>
  <c r="BK138" i="57" s="1"/>
  <c r="AQ138" i="57"/>
  <c r="BJ138" i="57" s="1"/>
  <c r="AP138" i="57"/>
  <c r="AP137" i="57"/>
  <c r="BI137" i="57" s="1"/>
  <c r="BZ136" i="57"/>
  <c r="BY136" i="57"/>
  <c r="BX136" i="57"/>
  <c r="BW136" i="57"/>
  <c r="BV136" i="57"/>
  <c r="BU136" i="57"/>
  <c r="BT136" i="57"/>
  <c r="BS136" i="57"/>
  <c r="BR136" i="57"/>
  <c r="BQ136" i="57"/>
  <c r="BP136" i="57"/>
  <c r="BO136" i="57"/>
  <c r="BN136" i="57"/>
  <c r="BM136" i="57"/>
  <c r="BL136" i="57"/>
  <c r="BG136" i="57"/>
  <c r="BF136" i="57"/>
  <c r="BE136" i="57"/>
  <c r="BD136" i="57"/>
  <c r="BC136" i="57"/>
  <c r="BB136" i="57"/>
  <c r="BA136" i="57"/>
  <c r="AZ136" i="57"/>
  <c r="AY136" i="57"/>
  <c r="AX136" i="57"/>
  <c r="AW136" i="57"/>
  <c r="AV136" i="57"/>
  <c r="AU136" i="57"/>
  <c r="AT136" i="57"/>
  <c r="AS136" i="57"/>
  <c r="AP136" i="57"/>
  <c r="BI136" i="57" s="1"/>
  <c r="BZ135" i="57"/>
  <c r="BY135" i="57"/>
  <c r="BX135" i="57"/>
  <c r="BW135" i="57"/>
  <c r="BV135" i="57"/>
  <c r="BU135" i="57"/>
  <c r="BT135" i="57"/>
  <c r="BS135" i="57"/>
  <c r="BR135" i="57"/>
  <c r="BQ135" i="57"/>
  <c r="BP135" i="57"/>
  <c r="BO135" i="57"/>
  <c r="BN135" i="57"/>
  <c r="BM135" i="57"/>
  <c r="BL135" i="57"/>
  <c r="BG135" i="57"/>
  <c r="BF135" i="57"/>
  <c r="BE135" i="57"/>
  <c r="BD135" i="57"/>
  <c r="BC135" i="57"/>
  <c r="BB135" i="57"/>
  <c r="BA135" i="57"/>
  <c r="AZ135" i="57"/>
  <c r="AY135" i="57"/>
  <c r="AX135" i="57"/>
  <c r="AW135" i="57"/>
  <c r="AV135" i="57"/>
  <c r="AU135" i="57"/>
  <c r="AT135" i="57"/>
  <c r="AS135" i="57"/>
  <c r="AR135" i="57"/>
  <c r="BK135" i="57" s="1"/>
  <c r="AQ135" i="57"/>
  <c r="BJ135" i="57" s="1"/>
  <c r="AP135" i="57"/>
  <c r="BI135" i="57" s="1"/>
  <c r="BI134" i="57"/>
  <c r="AP134" i="57"/>
  <c r="BZ133" i="57"/>
  <c r="BY133" i="57"/>
  <c r="BX133" i="57"/>
  <c r="BW133" i="57"/>
  <c r="BV133" i="57"/>
  <c r="BU133" i="57"/>
  <c r="BT133" i="57"/>
  <c r="BS133" i="57"/>
  <c r="BR133" i="57"/>
  <c r="BQ133" i="57"/>
  <c r="BP133" i="57"/>
  <c r="BO133" i="57"/>
  <c r="BN133" i="57"/>
  <c r="BM133" i="57"/>
  <c r="BL133" i="57"/>
  <c r="BG133" i="57"/>
  <c r="BF133" i="57"/>
  <c r="BE133" i="57"/>
  <c r="BD133" i="57"/>
  <c r="BC133" i="57"/>
  <c r="BB133" i="57"/>
  <c r="BA133" i="57"/>
  <c r="AZ133" i="57"/>
  <c r="AY133" i="57"/>
  <c r="AX133" i="57"/>
  <c r="AW133" i="57"/>
  <c r="AV133" i="57"/>
  <c r="AU133" i="57"/>
  <c r="AT133" i="57"/>
  <c r="AS133" i="57"/>
  <c r="AP133" i="57"/>
  <c r="BI133" i="57" s="1"/>
  <c r="BZ132" i="57"/>
  <c r="BY132" i="57"/>
  <c r="BX132" i="57"/>
  <c r="BW132" i="57"/>
  <c r="BV132" i="57"/>
  <c r="BU132" i="57"/>
  <c r="BT132" i="57"/>
  <c r="BS132" i="57"/>
  <c r="BR132" i="57"/>
  <c r="BQ132" i="57"/>
  <c r="BP132" i="57"/>
  <c r="BO132" i="57"/>
  <c r="BN132" i="57"/>
  <c r="BM132" i="57"/>
  <c r="BL132" i="57"/>
  <c r="BG132" i="57"/>
  <c r="BF132" i="57"/>
  <c r="BE132" i="57"/>
  <c r="BD132" i="57"/>
  <c r="BC132" i="57"/>
  <c r="BB132" i="57"/>
  <c r="BA132" i="57"/>
  <c r="AZ132" i="57"/>
  <c r="AY132" i="57"/>
  <c r="AX132" i="57"/>
  <c r="AW132" i="57"/>
  <c r="AV132" i="57"/>
  <c r="AU132" i="57"/>
  <c r="AT132" i="57"/>
  <c r="AS132" i="57"/>
  <c r="AR132" i="57"/>
  <c r="BK132" i="57" s="1"/>
  <c r="AQ132" i="57"/>
  <c r="BJ132" i="57" s="1"/>
  <c r="AP132" i="57"/>
  <c r="BI132" i="57" s="1"/>
  <c r="BI131" i="57"/>
  <c r="AP131" i="57"/>
  <c r="BZ130" i="57"/>
  <c r="BY130" i="57"/>
  <c r="BX130" i="57"/>
  <c r="BW130" i="57"/>
  <c r="BV130" i="57"/>
  <c r="BU130" i="57"/>
  <c r="BT130" i="57"/>
  <c r="BS130" i="57"/>
  <c r="BR130" i="57"/>
  <c r="BQ130" i="57"/>
  <c r="BP130" i="57"/>
  <c r="BO130" i="57"/>
  <c r="BN130" i="57"/>
  <c r="BM130" i="57"/>
  <c r="BL130" i="57"/>
  <c r="BG130" i="57"/>
  <c r="BF130" i="57"/>
  <c r="BE130" i="57"/>
  <c r="BD130" i="57"/>
  <c r="BC130" i="57"/>
  <c r="BB130" i="57"/>
  <c r="BA130" i="57"/>
  <c r="AZ130" i="57"/>
  <c r="AY130" i="57"/>
  <c r="AX130" i="57"/>
  <c r="AW130" i="57"/>
  <c r="AV130" i="57"/>
  <c r="AU130" i="57"/>
  <c r="AT130" i="57"/>
  <c r="AS130" i="57"/>
  <c r="AP130" i="57"/>
  <c r="BI130" i="57" s="1"/>
  <c r="BZ129" i="57"/>
  <c r="BY129" i="57"/>
  <c r="BX129" i="57"/>
  <c r="BW129" i="57"/>
  <c r="BV129" i="57"/>
  <c r="BU129" i="57"/>
  <c r="BT129" i="57"/>
  <c r="BS129" i="57"/>
  <c r="BR129" i="57"/>
  <c r="BQ129" i="57"/>
  <c r="BP129" i="57"/>
  <c r="BO129" i="57"/>
  <c r="BN129" i="57"/>
  <c r="BM129" i="57"/>
  <c r="BL129" i="57"/>
  <c r="BG129" i="57"/>
  <c r="BF129" i="57"/>
  <c r="BE129" i="57"/>
  <c r="BD129" i="57"/>
  <c r="BC129" i="57"/>
  <c r="BB129" i="57"/>
  <c r="BA129" i="57"/>
  <c r="AZ129" i="57"/>
  <c r="AY129" i="57"/>
  <c r="AX129" i="57"/>
  <c r="AW129" i="57"/>
  <c r="AV129" i="57"/>
  <c r="AU129" i="57"/>
  <c r="AT129" i="57"/>
  <c r="AS129" i="57"/>
  <c r="AR129" i="57"/>
  <c r="BK129" i="57" s="1"/>
  <c r="AQ129" i="57"/>
  <c r="BJ129" i="57" s="1"/>
  <c r="AP129" i="57"/>
  <c r="BI129" i="57" s="1"/>
  <c r="AP128" i="57"/>
  <c r="BI128" i="57" s="1"/>
  <c r="BZ127" i="57"/>
  <c r="BY127" i="57"/>
  <c r="BX127" i="57"/>
  <c r="BW127" i="57"/>
  <c r="BV127" i="57"/>
  <c r="BU127" i="57"/>
  <c r="BT127" i="57"/>
  <c r="BS127" i="57"/>
  <c r="BR127" i="57"/>
  <c r="BQ127" i="57"/>
  <c r="BP127" i="57"/>
  <c r="BO127" i="57"/>
  <c r="BN127" i="57"/>
  <c r="BM127" i="57"/>
  <c r="BL127" i="57"/>
  <c r="BG127" i="57"/>
  <c r="BF127" i="57"/>
  <c r="BE127" i="57"/>
  <c r="BD127" i="57"/>
  <c r="BC127" i="57"/>
  <c r="BB127" i="57"/>
  <c r="BA127" i="57"/>
  <c r="AZ127" i="57"/>
  <c r="AY127" i="57"/>
  <c r="AX127" i="57"/>
  <c r="AW127" i="57"/>
  <c r="AV127" i="57"/>
  <c r="AU127" i="57"/>
  <c r="AT127" i="57"/>
  <c r="AS127" i="57"/>
  <c r="AP127" i="57"/>
  <c r="BI127" i="57" s="1"/>
  <c r="BZ126" i="57"/>
  <c r="BY126" i="57"/>
  <c r="BX126" i="57"/>
  <c r="BW126" i="57"/>
  <c r="BV126" i="57"/>
  <c r="BU126" i="57"/>
  <c r="BT126" i="57"/>
  <c r="BS126" i="57"/>
  <c r="BR126" i="57"/>
  <c r="BQ126" i="57"/>
  <c r="BP126" i="57"/>
  <c r="BO126" i="57"/>
  <c r="BN126" i="57"/>
  <c r="BM126" i="57"/>
  <c r="BL126" i="57"/>
  <c r="BG126" i="57"/>
  <c r="BF126" i="57"/>
  <c r="BE126" i="57"/>
  <c r="BD126" i="57"/>
  <c r="BC126" i="57"/>
  <c r="BB126" i="57"/>
  <c r="BA126" i="57"/>
  <c r="AZ126" i="57"/>
  <c r="AY126" i="57"/>
  <c r="AX126" i="57"/>
  <c r="AW126" i="57"/>
  <c r="AV126" i="57"/>
  <c r="AU126" i="57"/>
  <c r="AT126" i="57"/>
  <c r="AS126" i="57"/>
  <c r="AR126" i="57"/>
  <c r="BK126" i="57" s="1"/>
  <c r="AQ126" i="57"/>
  <c r="BJ126" i="57" s="1"/>
  <c r="AP126" i="57"/>
  <c r="BI126" i="57" s="1"/>
  <c r="AP125" i="57"/>
  <c r="BI125" i="57" s="1"/>
  <c r="BZ124" i="57"/>
  <c r="BY124" i="57"/>
  <c r="BX124" i="57"/>
  <c r="BW124" i="57"/>
  <c r="BV124" i="57"/>
  <c r="BU124" i="57"/>
  <c r="BT124" i="57"/>
  <c r="BS124" i="57"/>
  <c r="BR124" i="57"/>
  <c r="BQ124" i="57"/>
  <c r="BP124" i="57"/>
  <c r="BO124" i="57"/>
  <c r="BN124" i="57"/>
  <c r="BM124" i="57"/>
  <c r="BL124" i="57"/>
  <c r="BG124" i="57"/>
  <c r="BF124" i="57"/>
  <c r="BE124" i="57"/>
  <c r="BD124" i="57"/>
  <c r="BC124" i="57"/>
  <c r="BB124" i="57"/>
  <c r="BA124" i="57"/>
  <c r="AZ124" i="57"/>
  <c r="AY124" i="57"/>
  <c r="AX124" i="57"/>
  <c r="AW124" i="57"/>
  <c r="AV124" i="57"/>
  <c r="AU124" i="57"/>
  <c r="AT124" i="57"/>
  <c r="AS124" i="57"/>
  <c r="AP124" i="57"/>
  <c r="BI124" i="57" s="1"/>
  <c r="BZ123" i="57"/>
  <c r="BY123" i="57"/>
  <c r="BX123" i="57"/>
  <c r="BW123" i="57"/>
  <c r="BV123" i="57"/>
  <c r="BU123" i="57"/>
  <c r="BT123" i="57"/>
  <c r="BS123" i="57"/>
  <c r="BR123" i="57"/>
  <c r="BQ123" i="57"/>
  <c r="BP123" i="57"/>
  <c r="BO123" i="57"/>
  <c r="BN123" i="57"/>
  <c r="BM123" i="57"/>
  <c r="BL123" i="57"/>
  <c r="BG123" i="57"/>
  <c r="BF123" i="57"/>
  <c r="BE123" i="57"/>
  <c r="BD123" i="57"/>
  <c r="BC123" i="57"/>
  <c r="BB123" i="57"/>
  <c r="BA123" i="57"/>
  <c r="AZ123" i="57"/>
  <c r="AY123" i="57"/>
  <c r="AX123" i="57"/>
  <c r="AW123" i="57"/>
  <c r="AV123" i="57"/>
  <c r="AU123" i="57"/>
  <c r="AT123" i="57"/>
  <c r="AS123" i="57"/>
  <c r="AR123" i="57"/>
  <c r="BK123" i="57" s="1"/>
  <c r="AQ123" i="57"/>
  <c r="BJ123" i="57" s="1"/>
  <c r="AP123" i="57"/>
  <c r="BI123" i="57" s="1"/>
  <c r="BI122" i="57"/>
  <c r="AP122" i="57"/>
  <c r="BZ121" i="57"/>
  <c r="BY121" i="57"/>
  <c r="BX121" i="57"/>
  <c r="BW121" i="57"/>
  <c r="BV121" i="57"/>
  <c r="BU121" i="57"/>
  <c r="BT121" i="57"/>
  <c r="BS121" i="57"/>
  <c r="BR121" i="57"/>
  <c r="BQ121" i="57"/>
  <c r="BP121" i="57"/>
  <c r="BO121" i="57"/>
  <c r="BN121" i="57"/>
  <c r="BM121" i="57"/>
  <c r="BL121" i="57"/>
  <c r="BG121" i="57"/>
  <c r="BF121" i="57"/>
  <c r="BE121" i="57"/>
  <c r="BD121" i="57"/>
  <c r="BC121" i="57"/>
  <c r="BB121" i="57"/>
  <c r="BA121" i="57"/>
  <c r="AZ121" i="57"/>
  <c r="AY121" i="57"/>
  <c r="AX121" i="57"/>
  <c r="AW121" i="57"/>
  <c r="AV121" i="57"/>
  <c r="AU121" i="57"/>
  <c r="AT121" i="57"/>
  <c r="AS121" i="57"/>
  <c r="AP121" i="57"/>
  <c r="BI121" i="57" s="1"/>
  <c r="BZ120" i="57"/>
  <c r="BY120" i="57"/>
  <c r="BX120" i="57"/>
  <c r="BW120" i="57"/>
  <c r="BV120" i="57"/>
  <c r="BU120" i="57"/>
  <c r="BT120" i="57"/>
  <c r="BS120" i="57"/>
  <c r="BR120" i="57"/>
  <c r="BQ120" i="57"/>
  <c r="BP120" i="57"/>
  <c r="BO120" i="57"/>
  <c r="BN120" i="57"/>
  <c r="BM120" i="57"/>
  <c r="BL120" i="57"/>
  <c r="BJ120" i="57"/>
  <c r="BG120" i="57"/>
  <c r="BF120" i="57"/>
  <c r="BE120" i="57"/>
  <c r="BD120" i="57"/>
  <c r="BC120" i="57"/>
  <c r="BB120" i="57"/>
  <c r="BA120" i="57"/>
  <c r="AZ120" i="57"/>
  <c r="AY120" i="57"/>
  <c r="AX120" i="57"/>
  <c r="AW120" i="57"/>
  <c r="AV120" i="57"/>
  <c r="AU120" i="57"/>
  <c r="AT120" i="57"/>
  <c r="AS120" i="57"/>
  <c r="AR120" i="57"/>
  <c r="BK120" i="57" s="1"/>
  <c r="AQ120" i="57"/>
  <c r="AP120" i="57"/>
  <c r="BI120" i="57" s="1"/>
  <c r="BI119" i="57"/>
  <c r="AP119" i="57"/>
  <c r="BZ118" i="57"/>
  <c r="BY118" i="57"/>
  <c r="BX118" i="57"/>
  <c r="BW118" i="57"/>
  <c r="BV118" i="57"/>
  <c r="BU118" i="57"/>
  <c r="BT118" i="57"/>
  <c r="BS118" i="57"/>
  <c r="BR118" i="57"/>
  <c r="BQ118" i="57"/>
  <c r="BP118" i="57"/>
  <c r="BO118" i="57"/>
  <c r="BN118" i="57"/>
  <c r="BM118" i="57"/>
  <c r="BL118" i="57"/>
  <c r="BG118" i="57"/>
  <c r="BF118" i="57"/>
  <c r="BE118" i="57"/>
  <c r="BD118" i="57"/>
  <c r="BC118" i="57"/>
  <c r="BB118" i="57"/>
  <c r="BA118" i="57"/>
  <c r="AZ118" i="57"/>
  <c r="AY118" i="57"/>
  <c r="AX118" i="57"/>
  <c r="AW118" i="57"/>
  <c r="AV118" i="57"/>
  <c r="AU118" i="57"/>
  <c r="AT118" i="57"/>
  <c r="AS118" i="57"/>
  <c r="AP118" i="57"/>
  <c r="BI118" i="57" s="1"/>
  <c r="BZ117" i="57"/>
  <c r="BY117" i="57"/>
  <c r="BX117" i="57"/>
  <c r="BW117" i="57"/>
  <c r="BV117" i="57"/>
  <c r="BU117" i="57"/>
  <c r="BT117" i="57"/>
  <c r="BS117" i="57"/>
  <c r="BR117" i="57"/>
  <c r="BQ117" i="57"/>
  <c r="BP117" i="57"/>
  <c r="BO117" i="57"/>
  <c r="BN117" i="57"/>
  <c r="BM117" i="57"/>
  <c r="BL117" i="57"/>
  <c r="BG117" i="57"/>
  <c r="BF117" i="57"/>
  <c r="BE117" i="57"/>
  <c r="BD117" i="57"/>
  <c r="BC117" i="57"/>
  <c r="BB117" i="57"/>
  <c r="BA117" i="57"/>
  <c r="AZ117" i="57"/>
  <c r="AY117" i="57"/>
  <c r="AX117" i="57"/>
  <c r="AW117" i="57"/>
  <c r="AV117" i="57"/>
  <c r="AU117" i="57"/>
  <c r="AT117" i="57"/>
  <c r="AS117" i="57"/>
  <c r="AR117" i="57"/>
  <c r="BK117" i="57" s="1"/>
  <c r="AQ117" i="57"/>
  <c r="BJ117" i="57" s="1"/>
  <c r="AP117" i="57"/>
  <c r="BI117" i="57" s="1"/>
  <c r="AP116" i="57"/>
  <c r="BI116" i="57" s="1"/>
  <c r="BZ115" i="57"/>
  <c r="BY115" i="57"/>
  <c r="BX115" i="57"/>
  <c r="BW115" i="57"/>
  <c r="BV115" i="57"/>
  <c r="BU115" i="57"/>
  <c r="BT115" i="57"/>
  <c r="BS115" i="57"/>
  <c r="BR115" i="57"/>
  <c r="BQ115" i="57"/>
  <c r="BP115" i="57"/>
  <c r="BO115" i="57"/>
  <c r="BN115" i="57"/>
  <c r="BM115" i="57"/>
  <c r="BL115" i="57"/>
  <c r="BG115" i="57"/>
  <c r="BF115" i="57"/>
  <c r="BE115" i="57"/>
  <c r="BD115" i="57"/>
  <c r="BC115" i="57"/>
  <c r="BB115" i="57"/>
  <c r="BA115" i="57"/>
  <c r="AZ115" i="57"/>
  <c r="AY115" i="57"/>
  <c r="AX115" i="57"/>
  <c r="AW115" i="57"/>
  <c r="AV115" i="57"/>
  <c r="AU115" i="57"/>
  <c r="AT115" i="57"/>
  <c r="AS115" i="57"/>
  <c r="AP115" i="57"/>
  <c r="BI115" i="57" s="1"/>
  <c r="BZ114" i="57"/>
  <c r="BY114" i="57"/>
  <c r="BX114" i="57"/>
  <c r="BW114" i="57"/>
  <c r="BV114" i="57"/>
  <c r="BU114" i="57"/>
  <c r="BT114" i="57"/>
  <c r="BS114" i="57"/>
  <c r="BR114" i="57"/>
  <c r="BQ114" i="57"/>
  <c r="BP114" i="57"/>
  <c r="BO114" i="57"/>
  <c r="BN114" i="57"/>
  <c r="BM114" i="57"/>
  <c r="BL114" i="57"/>
  <c r="BI114" i="57"/>
  <c r="BG114" i="57"/>
  <c r="BF114" i="57"/>
  <c r="BE114" i="57"/>
  <c r="BD114" i="57"/>
  <c r="BC114" i="57"/>
  <c r="BB114" i="57"/>
  <c r="BA114" i="57"/>
  <c r="AZ114" i="57"/>
  <c r="AY114" i="57"/>
  <c r="AX114" i="57"/>
  <c r="AW114" i="57"/>
  <c r="AV114" i="57"/>
  <c r="AU114" i="57"/>
  <c r="AT114" i="57"/>
  <c r="AS114" i="57"/>
  <c r="AR114" i="57"/>
  <c r="BK114" i="57" s="1"/>
  <c r="AQ114" i="57"/>
  <c r="BJ114" i="57" s="1"/>
  <c r="AP114" i="57"/>
  <c r="AP113" i="57"/>
  <c r="BI113" i="57" s="1"/>
  <c r="BZ112" i="57"/>
  <c r="BY112" i="57"/>
  <c r="BX112" i="57"/>
  <c r="BW112" i="57"/>
  <c r="BV112" i="57"/>
  <c r="BU112" i="57"/>
  <c r="BT112" i="57"/>
  <c r="BS112" i="57"/>
  <c r="BR112" i="57"/>
  <c r="BQ112" i="57"/>
  <c r="BP112" i="57"/>
  <c r="BO112" i="57"/>
  <c r="BN112" i="57"/>
  <c r="BM112" i="57"/>
  <c r="BL112" i="57"/>
  <c r="BG112" i="57"/>
  <c r="BF112" i="57"/>
  <c r="BE112" i="57"/>
  <c r="BD112" i="57"/>
  <c r="BC112" i="57"/>
  <c r="BB112" i="57"/>
  <c r="BA112" i="57"/>
  <c r="AZ112" i="57"/>
  <c r="AY112" i="57"/>
  <c r="AX112" i="57"/>
  <c r="AW112" i="57"/>
  <c r="AV112" i="57"/>
  <c r="AU112" i="57"/>
  <c r="AT112" i="57"/>
  <c r="AS112" i="57"/>
  <c r="AP112" i="57"/>
  <c r="BI112" i="57" s="1"/>
  <c r="BZ111" i="57"/>
  <c r="BY111" i="57"/>
  <c r="BX111" i="57"/>
  <c r="BW111" i="57"/>
  <c r="BV111" i="57"/>
  <c r="BU111" i="57"/>
  <c r="BT111" i="57"/>
  <c r="BS111" i="57"/>
  <c r="BR111" i="57"/>
  <c r="BQ111" i="57"/>
  <c r="BP111" i="57"/>
  <c r="BO111" i="57"/>
  <c r="BN111" i="57"/>
  <c r="BM111" i="57"/>
  <c r="BL111" i="57"/>
  <c r="BJ111" i="57"/>
  <c r="BG111" i="57"/>
  <c r="BF111" i="57"/>
  <c r="BE111" i="57"/>
  <c r="BD111" i="57"/>
  <c r="BC111" i="57"/>
  <c r="BB111" i="57"/>
  <c r="BA111" i="57"/>
  <c r="AZ111" i="57"/>
  <c r="AY111" i="57"/>
  <c r="AX111" i="57"/>
  <c r="AW111" i="57"/>
  <c r="AV111" i="57"/>
  <c r="AU111" i="57"/>
  <c r="AT111" i="57"/>
  <c r="AS111" i="57"/>
  <c r="AR111" i="57"/>
  <c r="BK111" i="57" s="1"/>
  <c r="AQ111" i="57"/>
  <c r="AP111" i="57"/>
  <c r="BI111" i="57" s="1"/>
  <c r="BI110" i="57"/>
  <c r="AP110" i="57"/>
  <c r="BZ109" i="57"/>
  <c r="BY109" i="57"/>
  <c r="BX109" i="57"/>
  <c r="BW109" i="57"/>
  <c r="BV109" i="57"/>
  <c r="BU109" i="57"/>
  <c r="BT109" i="57"/>
  <c r="BS109" i="57"/>
  <c r="BR109" i="57"/>
  <c r="BQ109" i="57"/>
  <c r="BP109" i="57"/>
  <c r="BO109" i="57"/>
  <c r="BN109" i="57"/>
  <c r="BM109" i="57"/>
  <c r="BL109" i="57"/>
  <c r="BG109" i="57"/>
  <c r="BF109" i="57"/>
  <c r="BE109" i="57"/>
  <c r="BD109" i="57"/>
  <c r="BC109" i="57"/>
  <c r="BB109" i="57"/>
  <c r="BA109" i="57"/>
  <c r="AZ109" i="57"/>
  <c r="AY109" i="57"/>
  <c r="AX109" i="57"/>
  <c r="AW109" i="57"/>
  <c r="AV109" i="57"/>
  <c r="AU109" i="57"/>
  <c r="AT109" i="57"/>
  <c r="AS109" i="57"/>
  <c r="AP109" i="57"/>
  <c r="BI109" i="57" s="1"/>
  <c r="BZ108" i="57"/>
  <c r="BY108" i="57"/>
  <c r="BX108" i="57"/>
  <c r="BW108" i="57"/>
  <c r="BV108" i="57"/>
  <c r="BU108" i="57"/>
  <c r="BT108" i="57"/>
  <c r="BS108" i="57"/>
  <c r="BR108" i="57"/>
  <c r="BQ108" i="57"/>
  <c r="BP108" i="57"/>
  <c r="BO108" i="57"/>
  <c r="BN108" i="57"/>
  <c r="BM108" i="57"/>
  <c r="BL108" i="57"/>
  <c r="BG108" i="57"/>
  <c r="BF108" i="57"/>
  <c r="BE108" i="57"/>
  <c r="BD108" i="57"/>
  <c r="BC108" i="57"/>
  <c r="BB108" i="57"/>
  <c r="BA108" i="57"/>
  <c r="AZ108" i="57"/>
  <c r="AY108" i="57"/>
  <c r="AX108" i="57"/>
  <c r="AW108" i="57"/>
  <c r="AV108" i="57"/>
  <c r="AU108" i="57"/>
  <c r="AT108" i="57"/>
  <c r="AS108" i="57"/>
  <c r="AR108" i="57"/>
  <c r="BK108" i="57" s="1"/>
  <c r="AQ108" i="57"/>
  <c r="BJ108" i="57" s="1"/>
  <c r="AP108" i="57"/>
  <c r="BI108" i="57" s="1"/>
  <c r="AP107" i="57"/>
  <c r="BI107" i="57" s="1"/>
  <c r="BZ106" i="57"/>
  <c r="BY106" i="57"/>
  <c r="BX106" i="57"/>
  <c r="BW106" i="57"/>
  <c r="BV106" i="57"/>
  <c r="BU106" i="57"/>
  <c r="BT106" i="57"/>
  <c r="BS106" i="57"/>
  <c r="BR106" i="57"/>
  <c r="BQ106" i="57"/>
  <c r="BP106" i="57"/>
  <c r="BO106" i="57"/>
  <c r="BN106" i="57"/>
  <c r="BM106" i="57"/>
  <c r="BL106" i="57"/>
  <c r="BG106" i="57"/>
  <c r="BF106" i="57"/>
  <c r="BE106" i="57"/>
  <c r="BD106" i="57"/>
  <c r="BC106" i="57"/>
  <c r="BB106" i="57"/>
  <c r="BA106" i="57"/>
  <c r="AZ106" i="57"/>
  <c r="AY106" i="57"/>
  <c r="AX106" i="57"/>
  <c r="AW106" i="57"/>
  <c r="AV106" i="57"/>
  <c r="AU106" i="57"/>
  <c r="AT106" i="57"/>
  <c r="AS106" i="57"/>
  <c r="AP106" i="57"/>
  <c r="BI106" i="57" s="1"/>
  <c r="BZ105" i="57"/>
  <c r="BY105" i="57"/>
  <c r="BX105" i="57"/>
  <c r="BW105" i="57"/>
  <c r="BV105" i="57"/>
  <c r="BU105" i="57"/>
  <c r="BT105" i="57"/>
  <c r="BS105" i="57"/>
  <c r="BR105" i="57"/>
  <c r="BQ105" i="57"/>
  <c r="BP105" i="57"/>
  <c r="BO105" i="57"/>
  <c r="BN105" i="57"/>
  <c r="BM105" i="57"/>
  <c r="BL105" i="57"/>
  <c r="BG105" i="57"/>
  <c r="BF105" i="57"/>
  <c r="BE105" i="57"/>
  <c r="BD105" i="57"/>
  <c r="BC105" i="57"/>
  <c r="BB105" i="57"/>
  <c r="BA105" i="57"/>
  <c r="AZ105" i="57"/>
  <c r="AY105" i="57"/>
  <c r="AX105" i="57"/>
  <c r="AW105" i="57"/>
  <c r="AV105" i="57"/>
  <c r="AU105" i="57"/>
  <c r="AT105" i="57"/>
  <c r="AS105" i="57"/>
  <c r="AR105" i="57"/>
  <c r="BK105" i="57" s="1"/>
  <c r="AQ105" i="57"/>
  <c r="BJ105" i="57" s="1"/>
  <c r="AP105" i="57"/>
  <c r="BI105" i="57" s="1"/>
  <c r="AP104" i="57"/>
  <c r="BI104" i="57" s="1"/>
  <c r="BZ103" i="57"/>
  <c r="BY103" i="57"/>
  <c r="BX103" i="57"/>
  <c r="BW103" i="57"/>
  <c r="BV103" i="57"/>
  <c r="BU103" i="57"/>
  <c r="BT103" i="57"/>
  <c r="BS103" i="57"/>
  <c r="BR103" i="57"/>
  <c r="BQ103" i="57"/>
  <c r="BP103" i="57"/>
  <c r="BO103" i="57"/>
  <c r="BN103" i="57"/>
  <c r="BM103" i="57"/>
  <c r="BL103" i="57"/>
  <c r="BG103" i="57"/>
  <c r="BF103" i="57"/>
  <c r="BE103" i="57"/>
  <c r="BD103" i="57"/>
  <c r="BC103" i="57"/>
  <c r="BB103" i="57"/>
  <c r="BA103" i="57"/>
  <c r="AZ103" i="57"/>
  <c r="AY103" i="57"/>
  <c r="AX103" i="57"/>
  <c r="AW103" i="57"/>
  <c r="AV103" i="57"/>
  <c r="AU103" i="57"/>
  <c r="AT103" i="57"/>
  <c r="AS103" i="57"/>
  <c r="AP103" i="57"/>
  <c r="BI103" i="57" s="1"/>
  <c r="BZ102" i="57"/>
  <c r="BY102" i="57"/>
  <c r="BX102" i="57"/>
  <c r="BW102" i="57"/>
  <c r="BV102" i="57"/>
  <c r="BU102" i="57"/>
  <c r="BT102" i="57"/>
  <c r="BS102" i="57"/>
  <c r="BR102" i="57"/>
  <c r="BQ102" i="57"/>
  <c r="BP102" i="57"/>
  <c r="BO102" i="57"/>
  <c r="BN102" i="57"/>
  <c r="BM102" i="57"/>
  <c r="BL102" i="57"/>
  <c r="BI102" i="57"/>
  <c r="BG102" i="57"/>
  <c r="BF102" i="57"/>
  <c r="BE102" i="57"/>
  <c r="BD102" i="57"/>
  <c r="BC102" i="57"/>
  <c r="BB102" i="57"/>
  <c r="BA102" i="57"/>
  <c r="AZ102" i="57"/>
  <c r="AY102" i="57"/>
  <c r="AX102" i="57"/>
  <c r="AW102" i="57"/>
  <c r="AV102" i="57"/>
  <c r="AU102" i="57"/>
  <c r="AT102" i="57"/>
  <c r="AS102" i="57"/>
  <c r="AR102" i="57"/>
  <c r="BK102" i="57" s="1"/>
  <c r="AQ102" i="57"/>
  <c r="BJ102" i="57" s="1"/>
  <c r="AP102" i="57"/>
  <c r="AP101" i="57"/>
  <c r="BI101" i="57" s="1"/>
  <c r="BZ100" i="57"/>
  <c r="BY100" i="57"/>
  <c r="BX100" i="57"/>
  <c r="BW100" i="57"/>
  <c r="BV100" i="57"/>
  <c r="BU100" i="57"/>
  <c r="BT100" i="57"/>
  <c r="BS100" i="57"/>
  <c r="BR100" i="57"/>
  <c r="BQ100" i="57"/>
  <c r="BP100" i="57"/>
  <c r="BO100" i="57"/>
  <c r="BN100" i="57"/>
  <c r="BM100" i="57"/>
  <c r="BL100" i="57"/>
  <c r="BG100" i="57"/>
  <c r="BF100" i="57"/>
  <c r="BE100" i="57"/>
  <c r="BD100" i="57"/>
  <c r="BC100" i="57"/>
  <c r="BB100" i="57"/>
  <c r="BA100" i="57"/>
  <c r="AZ100" i="57"/>
  <c r="AY100" i="57"/>
  <c r="AX100" i="57"/>
  <c r="AW100" i="57"/>
  <c r="AV100" i="57"/>
  <c r="AU100" i="57"/>
  <c r="AT100" i="57"/>
  <c r="AS100" i="57"/>
  <c r="AP100" i="57"/>
  <c r="BI100" i="57" s="1"/>
  <c r="BZ99" i="57"/>
  <c r="BY99" i="57"/>
  <c r="BX99" i="57"/>
  <c r="BW99" i="57"/>
  <c r="BV99" i="57"/>
  <c r="BU99" i="57"/>
  <c r="BT99" i="57"/>
  <c r="BS99" i="57"/>
  <c r="BR99" i="57"/>
  <c r="BQ99" i="57"/>
  <c r="BP99" i="57"/>
  <c r="BO99" i="57"/>
  <c r="BN99" i="57"/>
  <c r="BM99" i="57"/>
  <c r="BL99" i="57"/>
  <c r="BG99" i="57"/>
  <c r="BF99" i="57"/>
  <c r="BE99" i="57"/>
  <c r="BD99" i="57"/>
  <c r="BC99" i="57"/>
  <c r="BB99" i="57"/>
  <c r="BA99" i="57"/>
  <c r="AZ99" i="57"/>
  <c r="AY99" i="57"/>
  <c r="AX99" i="57"/>
  <c r="AW99" i="57"/>
  <c r="AV99" i="57"/>
  <c r="AU99" i="57"/>
  <c r="AT99" i="57"/>
  <c r="AS99" i="57"/>
  <c r="AR99" i="57"/>
  <c r="BK99" i="57" s="1"/>
  <c r="AQ99" i="57"/>
  <c r="BJ99" i="57" s="1"/>
  <c r="AP99" i="57"/>
  <c r="BI99" i="57" s="1"/>
  <c r="AP98" i="57"/>
  <c r="BI98" i="57" s="1"/>
  <c r="BZ97" i="57"/>
  <c r="BY97" i="57"/>
  <c r="BX97" i="57"/>
  <c r="BW97" i="57"/>
  <c r="BV97" i="57"/>
  <c r="BU97" i="57"/>
  <c r="BT97" i="57"/>
  <c r="BS97" i="57"/>
  <c r="BR97" i="57"/>
  <c r="BQ97" i="57"/>
  <c r="BP97" i="57"/>
  <c r="BO97" i="57"/>
  <c r="BN97" i="57"/>
  <c r="BM97" i="57"/>
  <c r="BL97" i="57"/>
  <c r="BG97" i="57"/>
  <c r="BF97" i="57"/>
  <c r="BE97" i="57"/>
  <c r="BD97" i="57"/>
  <c r="BC97" i="57"/>
  <c r="BB97" i="57"/>
  <c r="BA97" i="57"/>
  <c r="AZ97" i="57"/>
  <c r="AY97" i="57"/>
  <c r="AX97" i="57"/>
  <c r="AW97" i="57"/>
  <c r="AV97" i="57"/>
  <c r="AU97" i="57"/>
  <c r="AT97" i="57"/>
  <c r="AS97" i="57"/>
  <c r="AP97" i="57"/>
  <c r="BI97" i="57" s="1"/>
  <c r="BZ96" i="57"/>
  <c r="BY96" i="57"/>
  <c r="BX96" i="57"/>
  <c r="BW96" i="57"/>
  <c r="BV96" i="57"/>
  <c r="BU96" i="57"/>
  <c r="BT96" i="57"/>
  <c r="BS96" i="57"/>
  <c r="BR96" i="57"/>
  <c r="BQ96" i="57"/>
  <c r="BP96" i="57"/>
  <c r="BO96" i="57"/>
  <c r="BN96" i="57"/>
  <c r="BM96" i="57"/>
  <c r="BL96" i="57"/>
  <c r="BG96" i="57"/>
  <c r="BF96" i="57"/>
  <c r="BE96" i="57"/>
  <c r="BD96" i="57"/>
  <c r="BC96" i="57"/>
  <c r="BB96" i="57"/>
  <c r="BA96" i="57"/>
  <c r="AZ96" i="57"/>
  <c r="AY96" i="57"/>
  <c r="AX96" i="57"/>
  <c r="AW96" i="57"/>
  <c r="AV96" i="57"/>
  <c r="AU96" i="57"/>
  <c r="AT96" i="57"/>
  <c r="AS96" i="57"/>
  <c r="AR96" i="57"/>
  <c r="BK96" i="57" s="1"/>
  <c r="AQ96" i="57"/>
  <c r="BJ96" i="57" s="1"/>
  <c r="AP96" i="57"/>
  <c r="BI96" i="57" s="1"/>
  <c r="AP95" i="57"/>
  <c r="BI95" i="57" s="1"/>
  <c r="BZ94" i="57"/>
  <c r="BY94" i="57"/>
  <c r="BX94" i="57"/>
  <c r="BW94" i="57"/>
  <c r="BV94" i="57"/>
  <c r="BU94" i="57"/>
  <c r="BT94" i="57"/>
  <c r="BS94" i="57"/>
  <c r="BR94" i="57"/>
  <c r="BQ94" i="57"/>
  <c r="BP94" i="57"/>
  <c r="BO94" i="57"/>
  <c r="BN94" i="57"/>
  <c r="BM94" i="57"/>
  <c r="BL94" i="57"/>
  <c r="BG94" i="57"/>
  <c r="BF94" i="57"/>
  <c r="BE94" i="57"/>
  <c r="BD94" i="57"/>
  <c r="BC94" i="57"/>
  <c r="BB94" i="57"/>
  <c r="BA94" i="57"/>
  <c r="AZ94" i="57"/>
  <c r="AY94" i="57"/>
  <c r="AX94" i="57"/>
  <c r="AW94" i="57"/>
  <c r="AV94" i="57"/>
  <c r="AU94" i="57"/>
  <c r="AT94" i="57"/>
  <c r="AS94" i="57"/>
  <c r="AP94" i="57"/>
  <c r="BI94" i="57" s="1"/>
  <c r="BZ93" i="57"/>
  <c r="BY93" i="57"/>
  <c r="BX93" i="57"/>
  <c r="BW93" i="57"/>
  <c r="BV93" i="57"/>
  <c r="BU93" i="57"/>
  <c r="BT93" i="57"/>
  <c r="BS93" i="57"/>
  <c r="BR93" i="57"/>
  <c r="BQ93" i="57"/>
  <c r="BP93" i="57"/>
  <c r="BO93" i="57"/>
  <c r="BN93" i="57"/>
  <c r="BM93" i="57"/>
  <c r="BL93" i="57"/>
  <c r="BG93" i="57"/>
  <c r="BF93" i="57"/>
  <c r="BE93" i="57"/>
  <c r="BD93" i="57"/>
  <c r="BC93" i="57"/>
  <c r="BB93" i="57"/>
  <c r="BA93" i="57"/>
  <c r="AZ93" i="57"/>
  <c r="AY93" i="57"/>
  <c r="AX93" i="57"/>
  <c r="AW93" i="57"/>
  <c r="AV93" i="57"/>
  <c r="AU93" i="57"/>
  <c r="AT93" i="57"/>
  <c r="AS93" i="57"/>
  <c r="AR93" i="57"/>
  <c r="BK93" i="57" s="1"/>
  <c r="AQ93" i="57"/>
  <c r="BJ93" i="57" s="1"/>
  <c r="AP93" i="57"/>
  <c r="BI93" i="57" s="1"/>
  <c r="AP92" i="57"/>
  <c r="BI92" i="57" s="1"/>
  <c r="BZ91" i="57"/>
  <c r="BY91" i="57"/>
  <c r="BX91" i="57"/>
  <c r="BW91" i="57"/>
  <c r="BV91" i="57"/>
  <c r="BU91" i="57"/>
  <c r="BT91" i="57"/>
  <c r="BS91" i="57"/>
  <c r="BR91" i="57"/>
  <c r="BQ91" i="57"/>
  <c r="BP91" i="57"/>
  <c r="BO91" i="57"/>
  <c r="BN91" i="57"/>
  <c r="BM91" i="57"/>
  <c r="BL91" i="57"/>
  <c r="BG91" i="57"/>
  <c r="BF91" i="57"/>
  <c r="BE91" i="57"/>
  <c r="BD91" i="57"/>
  <c r="BC91" i="57"/>
  <c r="BB91" i="57"/>
  <c r="BA91" i="57"/>
  <c r="AZ91" i="57"/>
  <c r="AY91" i="57"/>
  <c r="AX91" i="57"/>
  <c r="AW91" i="57"/>
  <c r="AV91" i="57"/>
  <c r="AU91" i="57"/>
  <c r="AT91" i="57"/>
  <c r="AS91" i="57"/>
  <c r="AP91" i="57"/>
  <c r="BI91" i="57" s="1"/>
  <c r="BZ90" i="57"/>
  <c r="BY90" i="57"/>
  <c r="BX90" i="57"/>
  <c r="BW90" i="57"/>
  <c r="BV90" i="57"/>
  <c r="BU90" i="57"/>
  <c r="BT90" i="57"/>
  <c r="BS90" i="57"/>
  <c r="BR90" i="57"/>
  <c r="BQ90" i="57"/>
  <c r="BP90" i="57"/>
  <c r="BO90" i="57"/>
  <c r="BN90" i="57"/>
  <c r="BM90" i="57"/>
  <c r="BL90" i="57"/>
  <c r="BG90" i="57"/>
  <c r="BF90" i="57"/>
  <c r="BE90" i="57"/>
  <c r="BD90" i="57"/>
  <c r="BC90" i="57"/>
  <c r="BB90" i="57"/>
  <c r="BA90" i="57"/>
  <c r="AZ90" i="57"/>
  <c r="AY90" i="57"/>
  <c r="AX90" i="57"/>
  <c r="AW90" i="57"/>
  <c r="AV90" i="57"/>
  <c r="AU90" i="57"/>
  <c r="AT90" i="57"/>
  <c r="AS90" i="57"/>
  <c r="AR90" i="57"/>
  <c r="BK90" i="57" s="1"/>
  <c r="AQ90" i="57"/>
  <c r="BJ90" i="57" s="1"/>
  <c r="AP90" i="57"/>
  <c r="BI90" i="57" s="1"/>
  <c r="AP89" i="57"/>
  <c r="BI89" i="57" s="1"/>
  <c r="BZ88" i="57"/>
  <c r="BY88" i="57"/>
  <c r="BX88" i="57"/>
  <c r="BW88" i="57"/>
  <c r="BV88" i="57"/>
  <c r="BU88" i="57"/>
  <c r="BT88" i="57"/>
  <c r="BS88" i="57"/>
  <c r="BR88" i="57"/>
  <c r="BQ88" i="57"/>
  <c r="BP88" i="57"/>
  <c r="BO88" i="57"/>
  <c r="BN88" i="57"/>
  <c r="BM88" i="57"/>
  <c r="BL88" i="57"/>
  <c r="BG88" i="57"/>
  <c r="BF88" i="57"/>
  <c r="BE88" i="57"/>
  <c r="BD88" i="57"/>
  <c r="BC88" i="57"/>
  <c r="BB88" i="57"/>
  <c r="BA88" i="57"/>
  <c r="AZ88" i="57"/>
  <c r="AY88" i="57"/>
  <c r="AX88" i="57"/>
  <c r="AW88" i="57"/>
  <c r="AV88" i="57"/>
  <c r="AU88" i="57"/>
  <c r="AT88" i="57"/>
  <c r="AS88" i="57"/>
  <c r="AP88" i="57"/>
  <c r="BI88" i="57" s="1"/>
  <c r="BZ87" i="57"/>
  <c r="BY87" i="57"/>
  <c r="BX87" i="57"/>
  <c r="BW87" i="57"/>
  <c r="BV87" i="57"/>
  <c r="BU87" i="57"/>
  <c r="BT87" i="57"/>
  <c r="BS87" i="57"/>
  <c r="BR87" i="57"/>
  <c r="BQ87" i="57"/>
  <c r="BP87" i="57"/>
  <c r="BO87" i="57"/>
  <c r="BN87" i="57"/>
  <c r="BM87" i="57"/>
  <c r="BL87" i="57"/>
  <c r="BG87" i="57"/>
  <c r="BF87" i="57"/>
  <c r="BE87" i="57"/>
  <c r="BD87" i="57"/>
  <c r="BC87" i="57"/>
  <c r="BB87" i="57"/>
  <c r="BA87" i="57"/>
  <c r="AZ87" i="57"/>
  <c r="AY87" i="57"/>
  <c r="AX87" i="57"/>
  <c r="AW87" i="57"/>
  <c r="AV87" i="57"/>
  <c r="AU87" i="57"/>
  <c r="AT87" i="57"/>
  <c r="AS87" i="57"/>
  <c r="AR87" i="57"/>
  <c r="BK87" i="57" s="1"/>
  <c r="AQ87" i="57"/>
  <c r="BJ87" i="57" s="1"/>
  <c r="AP87" i="57"/>
  <c r="BI87" i="57" s="1"/>
  <c r="AP86" i="57"/>
  <c r="BI86" i="57" s="1"/>
  <c r="BZ85" i="57"/>
  <c r="BY85" i="57"/>
  <c r="BX85" i="57"/>
  <c r="BW85" i="57"/>
  <c r="BV85" i="57"/>
  <c r="BU85" i="57"/>
  <c r="BT85" i="57"/>
  <c r="BS85" i="57"/>
  <c r="BR85" i="57"/>
  <c r="BQ85" i="57"/>
  <c r="BP85" i="57"/>
  <c r="BO85" i="57"/>
  <c r="BN85" i="57"/>
  <c r="BM85" i="57"/>
  <c r="BL85" i="57"/>
  <c r="BG85" i="57"/>
  <c r="BF85" i="57"/>
  <c r="BE85" i="57"/>
  <c r="BD85" i="57"/>
  <c r="BC85" i="57"/>
  <c r="BB85" i="57"/>
  <c r="BA85" i="57"/>
  <c r="AZ85" i="57"/>
  <c r="AY85" i="57"/>
  <c r="AX85" i="57"/>
  <c r="AW85" i="57"/>
  <c r="AV85" i="57"/>
  <c r="AU85" i="57"/>
  <c r="AT85" i="57"/>
  <c r="AS85" i="57"/>
  <c r="AP85" i="57"/>
  <c r="BI85" i="57" s="1"/>
  <c r="BZ84" i="57"/>
  <c r="BY84" i="57"/>
  <c r="BX84" i="57"/>
  <c r="BW84" i="57"/>
  <c r="BV84" i="57"/>
  <c r="BU84" i="57"/>
  <c r="BT84" i="57"/>
  <c r="BS84" i="57"/>
  <c r="BR84" i="57"/>
  <c r="BQ84" i="57"/>
  <c r="BP84" i="57"/>
  <c r="BO84" i="57"/>
  <c r="BN84" i="57"/>
  <c r="BM84" i="57"/>
  <c r="BL84" i="57"/>
  <c r="BG84" i="57"/>
  <c r="BF84" i="57"/>
  <c r="BE84" i="57"/>
  <c r="BD84" i="57"/>
  <c r="BC84" i="57"/>
  <c r="BB84" i="57"/>
  <c r="BA84" i="57"/>
  <c r="AZ84" i="57"/>
  <c r="AY84" i="57"/>
  <c r="AX84" i="57"/>
  <c r="AW84" i="57"/>
  <c r="AV84" i="57"/>
  <c r="AU84" i="57"/>
  <c r="AT84" i="57"/>
  <c r="AS84" i="57"/>
  <c r="AR84" i="57"/>
  <c r="BK84" i="57" s="1"/>
  <c r="AQ84" i="57"/>
  <c r="BJ84" i="57" s="1"/>
  <c r="AP84" i="57"/>
  <c r="BI84" i="57" s="1"/>
  <c r="AP83" i="57"/>
  <c r="BI83" i="57" s="1"/>
  <c r="BZ82" i="57"/>
  <c r="BY82" i="57"/>
  <c r="BX82" i="57"/>
  <c r="BW82" i="57"/>
  <c r="BV82" i="57"/>
  <c r="BU82" i="57"/>
  <c r="BT82" i="57"/>
  <c r="BS82" i="57"/>
  <c r="BR82" i="57"/>
  <c r="BQ82" i="57"/>
  <c r="BP82" i="57"/>
  <c r="BO82" i="57"/>
  <c r="BN82" i="57"/>
  <c r="BM82" i="57"/>
  <c r="BL82" i="57"/>
  <c r="BG82" i="57"/>
  <c r="BF82" i="57"/>
  <c r="BE82" i="57"/>
  <c r="BD82" i="57"/>
  <c r="BC82" i="57"/>
  <c r="BB82" i="57"/>
  <c r="BA82" i="57"/>
  <c r="AZ82" i="57"/>
  <c r="AY82" i="57"/>
  <c r="AX82" i="57"/>
  <c r="AW82" i="57"/>
  <c r="AV82" i="57"/>
  <c r="AU82" i="57"/>
  <c r="AT82" i="57"/>
  <c r="AS82" i="57"/>
  <c r="AP82" i="57"/>
  <c r="BI82" i="57" s="1"/>
  <c r="BZ81" i="57"/>
  <c r="BY81" i="57"/>
  <c r="BX81" i="57"/>
  <c r="BW81" i="57"/>
  <c r="BV81" i="57"/>
  <c r="BU81" i="57"/>
  <c r="BT81" i="57"/>
  <c r="BS81" i="57"/>
  <c r="BR81" i="57"/>
  <c r="BQ81" i="57"/>
  <c r="BP81" i="57"/>
  <c r="BO81" i="57"/>
  <c r="BN81" i="57"/>
  <c r="BM81" i="57"/>
  <c r="BL81" i="57"/>
  <c r="BG81" i="57"/>
  <c r="BF81" i="57"/>
  <c r="BE81" i="57"/>
  <c r="BD81" i="57"/>
  <c r="BC81" i="57"/>
  <c r="BB81" i="57"/>
  <c r="BA81" i="57"/>
  <c r="AZ81" i="57"/>
  <c r="AY81" i="57"/>
  <c r="AX81" i="57"/>
  <c r="AW81" i="57"/>
  <c r="AV81" i="57"/>
  <c r="AU81" i="57"/>
  <c r="AT81" i="57"/>
  <c r="AS81" i="57"/>
  <c r="AR81" i="57"/>
  <c r="BK81" i="57" s="1"/>
  <c r="AQ81" i="57"/>
  <c r="BJ81" i="57" s="1"/>
  <c r="AP81" i="57"/>
  <c r="BI81" i="57" s="1"/>
  <c r="AP80" i="57"/>
  <c r="BI80" i="57" s="1"/>
  <c r="BZ79" i="57"/>
  <c r="BY79" i="57"/>
  <c r="BX79" i="57"/>
  <c r="BW79" i="57"/>
  <c r="BV79" i="57"/>
  <c r="BU79" i="57"/>
  <c r="BT79" i="57"/>
  <c r="BS79" i="57"/>
  <c r="BR79" i="57"/>
  <c r="BQ79" i="57"/>
  <c r="BP79" i="57"/>
  <c r="BO79" i="57"/>
  <c r="BN79" i="57"/>
  <c r="BM79" i="57"/>
  <c r="BL79" i="57"/>
  <c r="BG79" i="57"/>
  <c r="BF79" i="57"/>
  <c r="BE79" i="57"/>
  <c r="BD79" i="57"/>
  <c r="BC79" i="57"/>
  <c r="BB79" i="57"/>
  <c r="BA79" i="57"/>
  <c r="AZ79" i="57"/>
  <c r="AY79" i="57"/>
  <c r="AX79" i="57"/>
  <c r="AW79" i="57"/>
  <c r="AV79" i="57"/>
  <c r="AU79" i="57"/>
  <c r="AT79" i="57"/>
  <c r="AS79" i="57"/>
  <c r="AP79" i="57"/>
  <c r="BI79" i="57" s="1"/>
  <c r="BZ78" i="57"/>
  <c r="BY78" i="57"/>
  <c r="BX78" i="57"/>
  <c r="BW78" i="57"/>
  <c r="BV78" i="57"/>
  <c r="BU78" i="57"/>
  <c r="BT78" i="57"/>
  <c r="BS78" i="57"/>
  <c r="BR78" i="57"/>
  <c r="BQ78" i="57"/>
  <c r="BP78" i="57"/>
  <c r="BO78" i="57"/>
  <c r="BN78" i="57"/>
  <c r="BM78" i="57"/>
  <c r="BL78" i="57"/>
  <c r="BG78" i="57"/>
  <c r="BF78" i="57"/>
  <c r="BE78" i="57"/>
  <c r="BD78" i="57"/>
  <c r="BC78" i="57"/>
  <c r="BB78" i="57"/>
  <c r="BA78" i="57"/>
  <c r="AZ78" i="57"/>
  <c r="AY78" i="57"/>
  <c r="AX78" i="57"/>
  <c r="AW78" i="57"/>
  <c r="AV78" i="57"/>
  <c r="AU78" i="57"/>
  <c r="AT78" i="57"/>
  <c r="AS78" i="57"/>
  <c r="AR78" i="57"/>
  <c r="BK78" i="57" s="1"/>
  <c r="AQ78" i="57"/>
  <c r="BJ78" i="57" s="1"/>
  <c r="AP78" i="57"/>
  <c r="BI78" i="57" s="1"/>
  <c r="AP77" i="57"/>
  <c r="BI77" i="57" s="1"/>
  <c r="BZ76" i="57"/>
  <c r="BY76" i="57"/>
  <c r="BX76" i="57"/>
  <c r="BW76" i="57"/>
  <c r="BV76" i="57"/>
  <c r="BU76" i="57"/>
  <c r="BT76" i="57"/>
  <c r="BS76" i="57"/>
  <c r="BR76" i="57"/>
  <c r="BQ76" i="57"/>
  <c r="BP76" i="57"/>
  <c r="BO76" i="57"/>
  <c r="BN76" i="57"/>
  <c r="BM76" i="57"/>
  <c r="BL76" i="57"/>
  <c r="BG76" i="57"/>
  <c r="BF76" i="57"/>
  <c r="BE76" i="57"/>
  <c r="BD76" i="57"/>
  <c r="BC76" i="57"/>
  <c r="BB76" i="57"/>
  <c r="BA76" i="57"/>
  <c r="AZ76" i="57"/>
  <c r="AY76" i="57"/>
  <c r="AX76" i="57"/>
  <c r="AW76" i="57"/>
  <c r="AV76" i="57"/>
  <c r="AU76" i="57"/>
  <c r="AT76" i="57"/>
  <c r="AS76" i="57"/>
  <c r="AP76" i="57"/>
  <c r="BI76" i="57" s="1"/>
  <c r="BZ75" i="57"/>
  <c r="BY75" i="57"/>
  <c r="BX75" i="57"/>
  <c r="BW75" i="57"/>
  <c r="BV75" i="57"/>
  <c r="BU75" i="57"/>
  <c r="BT75" i="57"/>
  <c r="BS75" i="57"/>
  <c r="BR75" i="57"/>
  <c r="BQ75" i="57"/>
  <c r="BP75" i="57"/>
  <c r="BO75" i="57"/>
  <c r="BN75" i="57"/>
  <c r="BM75" i="57"/>
  <c r="BL75" i="57"/>
  <c r="BG75" i="57"/>
  <c r="BF75" i="57"/>
  <c r="BE75" i="57"/>
  <c r="BD75" i="57"/>
  <c r="BC75" i="57"/>
  <c r="BB75" i="57"/>
  <c r="BA75" i="57"/>
  <c r="AZ75" i="57"/>
  <c r="AY75" i="57"/>
  <c r="AX75" i="57"/>
  <c r="AW75" i="57"/>
  <c r="AV75" i="57"/>
  <c r="AU75" i="57"/>
  <c r="AT75" i="57"/>
  <c r="AS75" i="57"/>
  <c r="AR75" i="57"/>
  <c r="BK75" i="57" s="1"/>
  <c r="AQ75" i="57"/>
  <c r="BJ75" i="57" s="1"/>
  <c r="AP75" i="57"/>
  <c r="BI75" i="57" s="1"/>
  <c r="BI74" i="57"/>
  <c r="AP74" i="57"/>
  <c r="BZ73" i="57"/>
  <c r="BY73" i="57"/>
  <c r="BX73" i="57"/>
  <c r="BW73" i="57"/>
  <c r="BV73" i="57"/>
  <c r="BU73" i="57"/>
  <c r="BT73" i="57"/>
  <c r="BS73" i="57"/>
  <c r="BR73" i="57"/>
  <c r="BQ73" i="57"/>
  <c r="BP73" i="57"/>
  <c r="BO73" i="57"/>
  <c r="BN73" i="57"/>
  <c r="BM73" i="57"/>
  <c r="BL73" i="57"/>
  <c r="BG73" i="57"/>
  <c r="BF73" i="57"/>
  <c r="BE73" i="57"/>
  <c r="BD73" i="57"/>
  <c r="BC73" i="57"/>
  <c r="BB73" i="57"/>
  <c r="BA73" i="57"/>
  <c r="AZ73" i="57"/>
  <c r="AY73" i="57"/>
  <c r="AX73" i="57"/>
  <c r="AW73" i="57"/>
  <c r="AV73" i="57"/>
  <c r="AU73" i="57"/>
  <c r="AT73" i="57"/>
  <c r="AS73" i="57"/>
  <c r="AP73" i="57"/>
  <c r="BI73" i="57" s="1"/>
  <c r="BZ72" i="57"/>
  <c r="BY72" i="57"/>
  <c r="BX72" i="57"/>
  <c r="BW72" i="57"/>
  <c r="BV72" i="57"/>
  <c r="BU72" i="57"/>
  <c r="BT72" i="57"/>
  <c r="BS72" i="57"/>
  <c r="BR72" i="57"/>
  <c r="BQ72" i="57"/>
  <c r="BP72" i="57"/>
  <c r="BO72" i="57"/>
  <c r="BN72" i="57"/>
  <c r="BM72" i="57"/>
  <c r="BL72" i="57"/>
  <c r="BI72" i="57"/>
  <c r="BG72" i="57"/>
  <c r="BF72" i="57"/>
  <c r="BE72" i="57"/>
  <c r="BD72" i="57"/>
  <c r="BC72" i="57"/>
  <c r="BB72" i="57"/>
  <c r="BA72" i="57"/>
  <c r="AZ72" i="57"/>
  <c r="AY72" i="57"/>
  <c r="AX72" i="57"/>
  <c r="AW72" i="57"/>
  <c r="AV72" i="57"/>
  <c r="AU72" i="57"/>
  <c r="AT72" i="57"/>
  <c r="AS72" i="57"/>
  <c r="AR72" i="57"/>
  <c r="BK72" i="57" s="1"/>
  <c r="AQ72" i="57"/>
  <c r="BJ72" i="57" s="1"/>
  <c r="AP72" i="57"/>
  <c r="AP71" i="57"/>
  <c r="BZ70" i="57"/>
  <c r="BY70" i="57"/>
  <c r="BX70" i="57"/>
  <c r="BW70" i="57"/>
  <c r="BV70" i="57"/>
  <c r="BU70" i="57"/>
  <c r="BT70" i="57"/>
  <c r="BS70" i="57"/>
  <c r="BR70" i="57"/>
  <c r="BQ70" i="57"/>
  <c r="BP70" i="57"/>
  <c r="BO70" i="57"/>
  <c r="BN70" i="57"/>
  <c r="BM70" i="57"/>
  <c r="BL70" i="57"/>
  <c r="BG70" i="57"/>
  <c r="BF70" i="57"/>
  <c r="BE70" i="57"/>
  <c r="BD70" i="57"/>
  <c r="BC70" i="57"/>
  <c r="BB70" i="57"/>
  <c r="BA70" i="57"/>
  <c r="AZ70" i="57"/>
  <c r="AY70" i="57"/>
  <c r="AX70" i="57"/>
  <c r="AW70" i="57"/>
  <c r="AV70" i="57"/>
  <c r="AU70" i="57"/>
  <c r="AT70" i="57"/>
  <c r="AS70" i="57"/>
  <c r="AP70" i="57"/>
  <c r="BI70" i="57" s="1"/>
  <c r="BZ69" i="57"/>
  <c r="BY69" i="57"/>
  <c r="BX69" i="57"/>
  <c r="BW69" i="57"/>
  <c r="BV69" i="57"/>
  <c r="BU69" i="57"/>
  <c r="BT69" i="57"/>
  <c r="BS69" i="57"/>
  <c r="BR69" i="57"/>
  <c r="BQ69" i="57"/>
  <c r="BP69" i="57"/>
  <c r="BO69" i="57"/>
  <c r="BN69" i="57"/>
  <c r="BM69" i="57"/>
  <c r="BL69" i="57"/>
  <c r="BG69" i="57"/>
  <c r="BF69" i="57"/>
  <c r="BE69" i="57"/>
  <c r="BD69" i="57"/>
  <c r="BC69" i="57"/>
  <c r="BB69" i="57"/>
  <c r="BA69" i="57"/>
  <c r="AZ69" i="57"/>
  <c r="AY69" i="57"/>
  <c r="AX69" i="57"/>
  <c r="AW69" i="57"/>
  <c r="AV69" i="57"/>
  <c r="AU69" i="57"/>
  <c r="AT69" i="57"/>
  <c r="AS69" i="57"/>
  <c r="AR69" i="57"/>
  <c r="BK69" i="57" s="1"/>
  <c r="AQ69" i="57"/>
  <c r="BJ69" i="57" s="1"/>
  <c r="AP69" i="57"/>
  <c r="BK68" i="57"/>
  <c r="BJ68" i="57"/>
  <c r="BI68" i="57"/>
  <c r="BV66" i="57"/>
  <c r="BQ66" i="57"/>
  <c r="BL66" i="57"/>
  <c r="BC66" i="57"/>
  <c r="AX66" i="57"/>
  <c r="AS66" i="57"/>
  <c r="AX57" i="57"/>
  <c r="BI56" i="57"/>
  <c r="AP56" i="57"/>
  <c r="AP443" i="36"/>
  <c r="BI443" i="36" s="1"/>
  <c r="BZ442" i="36"/>
  <c r="BY442" i="36"/>
  <c r="BX442" i="36"/>
  <c r="BW442" i="36"/>
  <c r="BV442" i="36"/>
  <c r="BU442" i="36"/>
  <c r="BT442" i="36"/>
  <c r="BS442" i="36"/>
  <c r="BR442" i="36"/>
  <c r="BQ442" i="36"/>
  <c r="BP442" i="36"/>
  <c r="BO442" i="36"/>
  <c r="BN442" i="36"/>
  <c r="BM442" i="36"/>
  <c r="BL442" i="36"/>
  <c r="BG442" i="36"/>
  <c r="BF442" i="36"/>
  <c r="BE442" i="36"/>
  <c r="BD442" i="36"/>
  <c r="BC442" i="36"/>
  <c r="BB442" i="36"/>
  <c r="BA442" i="36"/>
  <c r="AZ442" i="36"/>
  <c r="AY442" i="36"/>
  <c r="AX442" i="36"/>
  <c r="AW442" i="36"/>
  <c r="AV442" i="36"/>
  <c r="AU442" i="36"/>
  <c r="AT442" i="36"/>
  <c r="AS442" i="36"/>
  <c r="AP442" i="36"/>
  <c r="BI442" i="36" s="1"/>
  <c r="BZ441" i="36"/>
  <c r="BY441" i="36"/>
  <c r="BX441" i="36"/>
  <c r="BW441" i="36"/>
  <c r="BV441" i="36"/>
  <c r="BU441" i="36"/>
  <c r="BT441" i="36"/>
  <c r="BS441" i="36"/>
  <c r="BR441" i="36"/>
  <c r="BQ441" i="36"/>
  <c r="BP441" i="36"/>
  <c r="BO441" i="36"/>
  <c r="BN441" i="36"/>
  <c r="BM441" i="36"/>
  <c r="BL441" i="36"/>
  <c r="BG441" i="36"/>
  <c r="BF441" i="36"/>
  <c r="BE441" i="36"/>
  <c r="BD441" i="36"/>
  <c r="BC441" i="36"/>
  <c r="BB441" i="36"/>
  <c r="BA441" i="36"/>
  <c r="AZ441" i="36"/>
  <c r="AY441" i="36"/>
  <c r="AX441" i="36"/>
  <c r="AW441" i="36"/>
  <c r="AV441" i="36"/>
  <c r="AU441" i="36"/>
  <c r="AT441" i="36"/>
  <c r="AS441" i="36"/>
  <c r="AR441" i="36"/>
  <c r="BK441" i="36" s="1"/>
  <c r="AQ441" i="36"/>
  <c r="BJ441" i="36" s="1"/>
  <c r="AP441" i="36"/>
  <c r="BI441" i="36" s="1"/>
  <c r="AP440" i="36"/>
  <c r="BI440" i="36" s="1"/>
  <c r="BZ439" i="36"/>
  <c r="BY439" i="36"/>
  <c r="BX439" i="36"/>
  <c r="BW439" i="36"/>
  <c r="BV439" i="36"/>
  <c r="BU439" i="36"/>
  <c r="BT439" i="36"/>
  <c r="BS439" i="36"/>
  <c r="BR439" i="36"/>
  <c r="BQ439" i="36"/>
  <c r="BP439" i="36"/>
  <c r="BO439" i="36"/>
  <c r="BN439" i="36"/>
  <c r="BM439" i="36"/>
  <c r="BL439" i="36"/>
  <c r="BG439" i="36"/>
  <c r="BF439" i="36"/>
  <c r="BE439" i="36"/>
  <c r="BD439" i="36"/>
  <c r="BC439" i="36"/>
  <c r="BB439" i="36"/>
  <c r="BA439" i="36"/>
  <c r="AZ439" i="36"/>
  <c r="AY439" i="36"/>
  <c r="AX439" i="36"/>
  <c r="AW439" i="36"/>
  <c r="AV439" i="36"/>
  <c r="AU439" i="36"/>
  <c r="AT439" i="36"/>
  <c r="AS439" i="36"/>
  <c r="AP439" i="36"/>
  <c r="BI439" i="36" s="1"/>
  <c r="BZ438" i="36"/>
  <c r="BY438" i="36"/>
  <c r="BX438" i="36"/>
  <c r="BW438" i="36"/>
  <c r="BV438" i="36"/>
  <c r="BU438" i="36"/>
  <c r="BT438" i="36"/>
  <c r="BS438" i="36"/>
  <c r="BR438" i="36"/>
  <c r="BQ438" i="36"/>
  <c r="BP438" i="36"/>
  <c r="BO438" i="36"/>
  <c r="BN438" i="36"/>
  <c r="BM438" i="36"/>
  <c r="BL438" i="36"/>
  <c r="BG438" i="36"/>
  <c r="BF438" i="36"/>
  <c r="BE438" i="36"/>
  <c r="BD438" i="36"/>
  <c r="BC438" i="36"/>
  <c r="BB438" i="36"/>
  <c r="BA438" i="36"/>
  <c r="AZ438" i="36"/>
  <c r="AY438" i="36"/>
  <c r="AX438" i="36"/>
  <c r="AW438" i="36"/>
  <c r="AV438" i="36"/>
  <c r="AU438" i="36"/>
  <c r="AT438" i="36"/>
  <c r="AS438" i="36"/>
  <c r="AR438" i="36"/>
  <c r="BK438" i="36" s="1"/>
  <c r="AQ438" i="36"/>
  <c r="BJ438" i="36" s="1"/>
  <c r="AP438" i="36"/>
  <c r="BI438" i="36" s="1"/>
  <c r="AP437" i="36"/>
  <c r="BI437" i="36" s="1"/>
  <c r="BZ436" i="36"/>
  <c r="BY436" i="36"/>
  <c r="BX436" i="36"/>
  <c r="BW436" i="36"/>
  <c r="BV436" i="36"/>
  <c r="BU436" i="36"/>
  <c r="BT436" i="36"/>
  <c r="BS436" i="36"/>
  <c r="BR436" i="36"/>
  <c r="BQ436" i="36"/>
  <c r="BP436" i="36"/>
  <c r="BO436" i="36"/>
  <c r="BN436" i="36"/>
  <c r="BM436" i="36"/>
  <c r="BL436" i="36"/>
  <c r="BG436" i="36"/>
  <c r="BF436" i="36"/>
  <c r="BE436" i="36"/>
  <c r="BD436" i="36"/>
  <c r="BC436" i="36"/>
  <c r="BB436" i="36"/>
  <c r="BA436" i="36"/>
  <c r="AZ436" i="36"/>
  <c r="AY436" i="36"/>
  <c r="AX436" i="36"/>
  <c r="AW436" i="36"/>
  <c r="AV436" i="36"/>
  <c r="AU436" i="36"/>
  <c r="AT436" i="36"/>
  <c r="AS436" i="36"/>
  <c r="AP436" i="36"/>
  <c r="BI436" i="36" s="1"/>
  <c r="BZ435" i="36"/>
  <c r="BY435" i="36"/>
  <c r="BX435" i="36"/>
  <c r="BW435" i="36"/>
  <c r="BV435" i="36"/>
  <c r="BU435" i="36"/>
  <c r="BT435" i="36"/>
  <c r="BS435" i="36"/>
  <c r="BR435" i="36"/>
  <c r="BQ435" i="36"/>
  <c r="BP435" i="36"/>
  <c r="BO435" i="36"/>
  <c r="BN435" i="36"/>
  <c r="BM435" i="36"/>
  <c r="BL435" i="36"/>
  <c r="BG435" i="36"/>
  <c r="BF435" i="36"/>
  <c r="BE435" i="36"/>
  <c r="BD435" i="36"/>
  <c r="BC435" i="36"/>
  <c r="BB435" i="36"/>
  <c r="BA435" i="36"/>
  <c r="AZ435" i="36"/>
  <c r="AY435" i="36"/>
  <c r="AX435" i="36"/>
  <c r="AW435" i="36"/>
  <c r="AV435" i="36"/>
  <c r="AU435" i="36"/>
  <c r="AT435" i="36"/>
  <c r="AS435" i="36"/>
  <c r="AR435" i="36"/>
  <c r="BK435" i="36" s="1"/>
  <c r="AQ435" i="36"/>
  <c r="BJ435" i="36" s="1"/>
  <c r="AP435" i="36"/>
  <c r="BI435" i="36" s="1"/>
  <c r="AP434" i="36"/>
  <c r="BI434" i="36" s="1"/>
  <c r="BZ433" i="36"/>
  <c r="BY433" i="36"/>
  <c r="BX433" i="36"/>
  <c r="BW433" i="36"/>
  <c r="BV433" i="36"/>
  <c r="BU433" i="36"/>
  <c r="BT433" i="36"/>
  <c r="BS433" i="36"/>
  <c r="BR433" i="36"/>
  <c r="BQ433" i="36"/>
  <c r="BP433" i="36"/>
  <c r="BO433" i="36"/>
  <c r="BN433" i="36"/>
  <c r="BM433" i="36"/>
  <c r="BL433" i="36"/>
  <c r="BG433" i="36"/>
  <c r="BF433" i="36"/>
  <c r="BE433" i="36"/>
  <c r="BD433" i="36"/>
  <c r="BC433" i="36"/>
  <c r="BB433" i="36"/>
  <c r="BA433" i="36"/>
  <c r="AZ433" i="36"/>
  <c r="AY433" i="36"/>
  <c r="AX433" i="36"/>
  <c r="AW433" i="36"/>
  <c r="AV433" i="36"/>
  <c r="AU433" i="36"/>
  <c r="AT433" i="36"/>
  <c r="AS433" i="36"/>
  <c r="AP433" i="36"/>
  <c r="BI433" i="36" s="1"/>
  <c r="BZ432" i="36"/>
  <c r="BY432" i="36"/>
  <c r="BX432" i="36"/>
  <c r="BW432" i="36"/>
  <c r="BV432" i="36"/>
  <c r="BU432" i="36"/>
  <c r="BT432" i="36"/>
  <c r="BS432" i="36"/>
  <c r="BR432" i="36"/>
  <c r="BQ432" i="36"/>
  <c r="BP432" i="36"/>
  <c r="BO432" i="36"/>
  <c r="BN432" i="36"/>
  <c r="BM432" i="36"/>
  <c r="BL432" i="36"/>
  <c r="BG432" i="36"/>
  <c r="BF432" i="36"/>
  <c r="BE432" i="36"/>
  <c r="BD432" i="36"/>
  <c r="BC432" i="36"/>
  <c r="BB432" i="36"/>
  <c r="BA432" i="36"/>
  <c r="AZ432" i="36"/>
  <c r="AY432" i="36"/>
  <c r="AX432" i="36"/>
  <c r="AW432" i="36"/>
  <c r="AV432" i="36"/>
  <c r="AU432" i="36"/>
  <c r="AT432" i="36"/>
  <c r="AS432" i="36"/>
  <c r="AR432" i="36"/>
  <c r="BK432" i="36" s="1"/>
  <c r="AQ432" i="36"/>
  <c r="BJ432" i="36" s="1"/>
  <c r="AP432" i="36"/>
  <c r="BI432" i="36" s="1"/>
  <c r="AP431" i="36"/>
  <c r="BI431" i="36" s="1"/>
  <c r="BZ430" i="36"/>
  <c r="BY430" i="36"/>
  <c r="BX430" i="36"/>
  <c r="BW430" i="36"/>
  <c r="BV430" i="36"/>
  <c r="BU430" i="36"/>
  <c r="BT430" i="36"/>
  <c r="BS430" i="36"/>
  <c r="BR430" i="36"/>
  <c r="BQ430" i="36"/>
  <c r="BP430" i="36"/>
  <c r="BO430" i="36"/>
  <c r="BN430" i="36"/>
  <c r="BM430" i="36"/>
  <c r="BL430" i="36"/>
  <c r="BG430" i="36"/>
  <c r="BF430" i="36"/>
  <c r="BE430" i="36"/>
  <c r="BD430" i="36"/>
  <c r="BC430" i="36"/>
  <c r="BB430" i="36"/>
  <c r="BA430" i="36"/>
  <c r="AZ430" i="36"/>
  <c r="AY430" i="36"/>
  <c r="AX430" i="36"/>
  <c r="AW430" i="36"/>
  <c r="AV430" i="36"/>
  <c r="AU430" i="36"/>
  <c r="AT430" i="36"/>
  <c r="AS430" i="36"/>
  <c r="AP430" i="36"/>
  <c r="BI430" i="36" s="1"/>
  <c r="BZ429" i="36"/>
  <c r="BY429" i="36"/>
  <c r="BX429" i="36"/>
  <c r="BW429" i="36"/>
  <c r="BV429" i="36"/>
  <c r="BU429" i="36"/>
  <c r="BT429" i="36"/>
  <c r="BS429" i="36"/>
  <c r="BR429" i="36"/>
  <c r="BQ429" i="36"/>
  <c r="BP429" i="36"/>
  <c r="BO429" i="36"/>
  <c r="BN429" i="36"/>
  <c r="BM429" i="36"/>
  <c r="BL429" i="36"/>
  <c r="BG429" i="36"/>
  <c r="BF429" i="36"/>
  <c r="BE429" i="36"/>
  <c r="BD429" i="36"/>
  <c r="BC429" i="36"/>
  <c r="BB429" i="36"/>
  <c r="BA429" i="36"/>
  <c r="AZ429" i="36"/>
  <c r="AY429" i="36"/>
  <c r="AX429" i="36"/>
  <c r="AW429" i="36"/>
  <c r="AV429" i="36"/>
  <c r="AU429" i="36"/>
  <c r="AT429" i="36"/>
  <c r="AS429" i="36"/>
  <c r="AR429" i="36"/>
  <c r="BK429" i="36" s="1"/>
  <c r="AQ429" i="36"/>
  <c r="BJ429" i="36" s="1"/>
  <c r="AP429" i="36"/>
  <c r="BI429" i="36" s="1"/>
  <c r="AP428" i="36"/>
  <c r="BI428" i="36" s="1"/>
  <c r="BZ427" i="36"/>
  <c r="BY427" i="36"/>
  <c r="BX427" i="36"/>
  <c r="BW427" i="36"/>
  <c r="BV427" i="36"/>
  <c r="BU427" i="36"/>
  <c r="BT427" i="36"/>
  <c r="BS427" i="36"/>
  <c r="BR427" i="36"/>
  <c r="BQ427" i="36"/>
  <c r="BP427" i="36"/>
  <c r="BO427" i="36"/>
  <c r="BN427" i="36"/>
  <c r="BM427" i="36"/>
  <c r="BL427" i="36"/>
  <c r="BG427" i="36"/>
  <c r="BF427" i="36"/>
  <c r="BE427" i="36"/>
  <c r="BD427" i="36"/>
  <c r="BC427" i="36"/>
  <c r="BB427" i="36"/>
  <c r="BA427" i="36"/>
  <c r="AZ427" i="36"/>
  <c r="AY427" i="36"/>
  <c r="AX427" i="36"/>
  <c r="AW427" i="36"/>
  <c r="AV427" i="36"/>
  <c r="AU427" i="36"/>
  <c r="AT427" i="36"/>
  <c r="AS427" i="36"/>
  <c r="AP427" i="36"/>
  <c r="BI427" i="36" s="1"/>
  <c r="BZ426" i="36"/>
  <c r="BY426" i="36"/>
  <c r="BX426" i="36"/>
  <c r="BW426" i="36"/>
  <c r="BV426" i="36"/>
  <c r="BU426" i="36"/>
  <c r="BT426" i="36"/>
  <c r="BS426" i="36"/>
  <c r="BR426" i="36"/>
  <c r="BQ426" i="36"/>
  <c r="BP426" i="36"/>
  <c r="BO426" i="36"/>
  <c r="BN426" i="36"/>
  <c r="BM426" i="36"/>
  <c r="BL426" i="36"/>
  <c r="BG426" i="36"/>
  <c r="BF426" i="36"/>
  <c r="BE426" i="36"/>
  <c r="BD426" i="36"/>
  <c r="BC426" i="36"/>
  <c r="BB426" i="36"/>
  <c r="BA426" i="36"/>
  <c r="AZ426" i="36"/>
  <c r="AY426" i="36"/>
  <c r="AX426" i="36"/>
  <c r="AW426" i="36"/>
  <c r="AV426" i="36"/>
  <c r="AU426" i="36"/>
  <c r="AT426" i="36"/>
  <c r="AS426" i="36"/>
  <c r="AR426" i="36"/>
  <c r="BK426" i="36" s="1"/>
  <c r="AQ426" i="36"/>
  <c r="BJ426" i="36" s="1"/>
  <c r="AP426" i="36"/>
  <c r="BI426" i="36" s="1"/>
  <c r="AP425" i="36"/>
  <c r="BI425" i="36" s="1"/>
  <c r="BZ424" i="36"/>
  <c r="BY424" i="36"/>
  <c r="BX424" i="36"/>
  <c r="BW424" i="36"/>
  <c r="BV424" i="36"/>
  <c r="BU424" i="36"/>
  <c r="BT424" i="36"/>
  <c r="BS424" i="36"/>
  <c r="BR424" i="36"/>
  <c r="BQ424" i="36"/>
  <c r="BP424" i="36"/>
  <c r="BO424" i="36"/>
  <c r="BN424" i="36"/>
  <c r="BM424" i="36"/>
  <c r="BL424" i="36"/>
  <c r="BG424" i="36"/>
  <c r="BF424" i="36"/>
  <c r="BE424" i="36"/>
  <c r="BD424" i="36"/>
  <c r="BC424" i="36"/>
  <c r="BB424" i="36"/>
  <c r="BA424" i="36"/>
  <c r="AZ424" i="36"/>
  <c r="AY424" i="36"/>
  <c r="AX424" i="36"/>
  <c r="AW424" i="36"/>
  <c r="AV424" i="36"/>
  <c r="AU424" i="36"/>
  <c r="AT424" i="36"/>
  <c r="AS424" i="36"/>
  <c r="AP424" i="36"/>
  <c r="BI424" i="36" s="1"/>
  <c r="BZ423" i="36"/>
  <c r="BY423" i="36"/>
  <c r="BX423" i="36"/>
  <c r="BW423" i="36"/>
  <c r="BV423" i="36"/>
  <c r="BU423" i="36"/>
  <c r="BT423" i="36"/>
  <c r="BS423" i="36"/>
  <c r="BR423" i="36"/>
  <c r="BQ423" i="36"/>
  <c r="BP423" i="36"/>
  <c r="BO423" i="36"/>
  <c r="BN423" i="36"/>
  <c r="BM423" i="36"/>
  <c r="BL423" i="36"/>
  <c r="BG423" i="36"/>
  <c r="BF423" i="36"/>
  <c r="BE423" i="36"/>
  <c r="BD423" i="36"/>
  <c r="BC423" i="36"/>
  <c r="BB423" i="36"/>
  <c r="BA423" i="36"/>
  <c r="AZ423" i="36"/>
  <c r="AY423" i="36"/>
  <c r="AX423" i="36"/>
  <c r="AW423" i="36"/>
  <c r="AV423" i="36"/>
  <c r="AU423" i="36"/>
  <c r="AT423" i="36"/>
  <c r="AS423" i="36"/>
  <c r="AR423" i="36"/>
  <c r="BK423" i="36" s="1"/>
  <c r="AQ423" i="36"/>
  <c r="BJ423" i="36" s="1"/>
  <c r="AP423" i="36"/>
  <c r="BI423" i="36" s="1"/>
  <c r="AP422" i="36"/>
  <c r="BI422" i="36" s="1"/>
  <c r="BZ421" i="36"/>
  <c r="BY421" i="36"/>
  <c r="BX421" i="36"/>
  <c r="BW421" i="36"/>
  <c r="BV421" i="36"/>
  <c r="BU421" i="36"/>
  <c r="BT421" i="36"/>
  <c r="BS421" i="36"/>
  <c r="BR421" i="36"/>
  <c r="BQ421" i="36"/>
  <c r="BP421" i="36"/>
  <c r="BO421" i="36"/>
  <c r="BN421" i="36"/>
  <c r="BM421" i="36"/>
  <c r="BL421" i="36"/>
  <c r="BG421" i="36"/>
  <c r="BF421" i="36"/>
  <c r="BE421" i="36"/>
  <c r="BD421" i="36"/>
  <c r="BC421" i="36"/>
  <c r="BB421" i="36"/>
  <c r="BA421" i="36"/>
  <c r="AZ421" i="36"/>
  <c r="AY421" i="36"/>
  <c r="AX421" i="36"/>
  <c r="AW421" i="36"/>
  <c r="AV421" i="36"/>
  <c r="AU421" i="36"/>
  <c r="AT421" i="36"/>
  <c r="AS421" i="36"/>
  <c r="AP421" i="36"/>
  <c r="BI421" i="36" s="1"/>
  <c r="BZ420" i="36"/>
  <c r="BY420" i="36"/>
  <c r="BX420" i="36"/>
  <c r="BW420" i="36"/>
  <c r="BV420" i="36"/>
  <c r="BU420" i="36"/>
  <c r="BT420" i="36"/>
  <c r="BS420" i="36"/>
  <c r="BR420" i="36"/>
  <c r="BQ420" i="36"/>
  <c r="BP420" i="36"/>
  <c r="BO420" i="36"/>
  <c r="BN420" i="36"/>
  <c r="BM420" i="36"/>
  <c r="BL420" i="36"/>
  <c r="BG420" i="36"/>
  <c r="BF420" i="36"/>
  <c r="BE420" i="36"/>
  <c r="BD420" i="36"/>
  <c r="BC420" i="36"/>
  <c r="BB420" i="36"/>
  <c r="BA420" i="36"/>
  <c r="AZ420" i="36"/>
  <c r="AY420" i="36"/>
  <c r="AX420" i="36"/>
  <c r="AW420" i="36"/>
  <c r="AV420" i="36"/>
  <c r="AU420" i="36"/>
  <c r="AT420" i="36"/>
  <c r="AS420" i="36"/>
  <c r="AR420" i="36"/>
  <c r="BK420" i="36" s="1"/>
  <c r="AQ420" i="36"/>
  <c r="BJ420" i="36" s="1"/>
  <c r="AP420" i="36"/>
  <c r="BI420" i="36" s="1"/>
  <c r="AP419" i="36"/>
  <c r="BI419" i="36" s="1"/>
  <c r="BZ418" i="36"/>
  <c r="BY418" i="36"/>
  <c r="BX418" i="36"/>
  <c r="BW418" i="36"/>
  <c r="BV418" i="36"/>
  <c r="BU418" i="36"/>
  <c r="BT418" i="36"/>
  <c r="BS418" i="36"/>
  <c r="BR418" i="36"/>
  <c r="BQ418" i="36"/>
  <c r="BP418" i="36"/>
  <c r="BO418" i="36"/>
  <c r="BN418" i="36"/>
  <c r="BM418" i="36"/>
  <c r="BL418" i="36"/>
  <c r="BG418" i="36"/>
  <c r="BF418" i="36"/>
  <c r="BE418" i="36"/>
  <c r="BD418" i="36"/>
  <c r="BC418" i="36"/>
  <c r="BB418" i="36"/>
  <c r="BA418" i="36"/>
  <c r="AZ418" i="36"/>
  <c r="AY418" i="36"/>
  <c r="AX418" i="36"/>
  <c r="AW418" i="36"/>
  <c r="AV418" i="36"/>
  <c r="AU418" i="36"/>
  <c r="AT418" i="36"/>
  <c r="AS418" i="36"/>
  <c r="AP418" i="36"/>
  <c r="BI418" i="36" s="1"/>
  <c r="BZ417" i="36"/>
  <c r="BY417" i="36"/>
  <c r="BX417" i="36"/>
  <c r="BW417" i="36"/>
  <c r="BV417" i="36"/>
  <c r="BU417" i="36"/>
  <c r="BT417" i="36"/>
  <c r="BS417" i="36"/>
  <c r="BR417" i="36"/>
  <c r="BQ417" i="36"/>
  <c r="BP417" i="36"/>
  <c r="BO417" i="36"/>
  <c r="BN417" i="36"/>
  <c r="BM417" i="36"/>
  <c r="BL417" i="36"/>
  <c r="BG417" i="36"/>
  <c r="BF417" i="36"/>
  <c r="BE417" i="36"/>
  <c r="BD417" i="36"/>
  <c r="BC417" i="36"/>
  <c r="BB417" i="36"/>
  <c r="BA417" i="36"/>
  <c r="AZ417" i="36"/>
  <c r="AY417" i="36"/>
  <c r="AX417" i="36"/>
  <c r="AW417" i="36"/>
  <c r="AV417" i="36"/>
  <c r="AU417" i="36"/>
  <c r="AT417" i="36"/>
  <c r="AS417" i="36"/>
  <c r="AR417" i="36"/>
  <c r="BK417" i="36" s="1"/>
  <c r="AQ417" i="36"/>
  <c r="BJ417" i="36" s="1"/>
  <c r="AP417" i="36"/>
  <c r="BI417" i="36" s="1"/>
  <c r="AP416" i="36"/>
  <c r="BI416" i="36" s="1"/>
  <c r="BZ415" i="36"/>
  <c r="BY415" i="36"/>
  <c r="BX415" i="36"/>
  <c r="BW415" i="36"/>
  <c r="BV415" i="36"/>
  <c r="BU415" i="36"/>
  <c r="BT415" i="36"/>
  <c r="BS415" i="36"/>
  <c r="BR415" i="36"/>
  <c r="BQ415" i="36"/>
  <c r="BP415" i="36"/>
  <c r="BO415" i="36"/>
  <c r="BN415" i="36"/>
  <c r="BM415" i="36"/>
  <c r="BL415" i="36"/>
  <c r="BG415" i="36"/>
  <c r="BF415" i="36"/>
  <c r="BE415" i="36"/>
  <c r="BD415" i="36"/>
  <c r="BC415" i="36"/>
  <c r="BB415" i="36"/>
  <c r="BA415" i="36"/>
  <c r="AZ415" i="36"/>
  <c r="AY415" i="36"/>
  <c r="AX415" i="36"/>
  <c r="AW415" i="36"/>
  <c r="AV415" i="36"/>
  <c r="AU415" i="36"/>
  <c r="AT415" i="36"/>
  <c r="AS415" i="36"/>
  <c r="AP415" i="36"/>
  <c r="BI415" i="36" s="1"/>
  <c r="BZ414" i="36"/>
  <c r="BY414" i="36"/>
  <c r="BX414" i="36"/>
  <c r="BW414" i="36"/>
  <c r="BV414" i="36"/>
  <c r="BU414" i="36"/>
  <c r="BT414" i="36"/>
  <c r="BS414" i="36"/>
  <c r="BR414" i="36"/>
  <c r="BQ414" i="36"/>
  <c r="BP414" i="36"/>
  <c r="BO414" i="36"/>
  <c r="BN414" i="36"/>
  <c r="BM414" i="36"/>
  <c r="BL414" i="36"/>
  <c r="BG414" i="36"/>
  <c r="BF414" i="36"/>
  <c r="BE414" i="36"/>
  <c r="BD414" i="36"/>
  <c r="BC414" i="36"/>
  <c r="BB414" i="36"/>
  <c r="BA414" i="36"/>
  <c r="AZ414" i="36"/>
  <c r="AY414" i="36"/>
  <c r="AX414" i="36"/>
  <c r="AW414" i="36"/>
  <c r="AV414" i="36"/>
  <c r="AU414" i="36"/>
  <c r="AT414" i="36"/>
  <c r="AS414" i="36"/>
  <c r="AR414" i="36"/>
  <c r="BK414" i="36" s="1"/>
  <c r="AQ414" i="36"/>
  <c r="BJ414" i="36" s="1"/>
  <c r="AP414" i="36"/>
  <c r="BI414" i="36" s="1"/>
  <c r="AP413" i="36"/>
  <c r="BI413" i="36" s="1"/>
  <c r="BZ412" i="36"/>
  <c r="BY412" i="36"/>
  <c r="BX412" i="36"/>
  <c r="BW412" i="36"/>
  <c r="BV412" i="36"/>
  <c r="BU412" i="36"/>
  <c r="BT412" i="36"/>
  <c r="BS412" i="36"/>
  <c r="BR412" i="36"/>
  <c r="BQ412" i="36"/>
  <c r="BP412" i="36"/>
  <c r="BO412" i="36"/>
  <c r="BN412" i="36"/>
  <c r="BM412" i="36"/>
  <c r="BL412" i="36"/>
  <c r="BG412" i="36"/>
  <c r="BF412" i="36"/>
  <c r="BE412" i="36"/>
  <c r="BD412" i="36"/>
  <c r="BC412" i="36"/>
  <c r="BB412" i="36"/>
  <c r="BA412" i="36"/>
  <c r="AZ412" i="36"/>
  <c r="AY412" i="36"/>
  <c r="AX412" i="36"/>
  <c r="AW412" i="36"/>
  <c r="AV412" i="36"/>
  <c r="AU412" i="36"/>
  <c r="AT412" i="36"/>
  <c r="AS412" i="36"/>
  <c r="AP412" i="36"/>
  <c r="BI412" i="36" s="1"/>
  <c r="BZ411" i="36"/>
  <c r="BY411" i="36"/>
  <c r="BX411" i="36"/>
  <c r="BW411" i="36"/>
  <c r="BV411" i="36"/>
  <c r="BU411" i="36"/>
  <c r="BT411" i="36"/>
  <c r="BS411" i="36"/>
  <c r="BR411" i="36"/>
  <c r="BQ411" i="36"/>
  <c r="BP411" i="36"/>
  <c r="BO411" i="36"/>
  <c r="BN411" i="36"/>
  <c r="BM411" i="36"/>
  <c r="BL411" i="36"/>
  <c r="BG411" i="36"/>
  <c r="BF411" i="36"/>
  <c r="BE411" i="36"/>
  <c r="BD411" i="36"/>
  <c r="BC411" i="36"/>
  <c r="BB411" i="36"/>
  <c r="BA411" i="36"/>
  <c r="AZ411" i="36"/>
  <c r="AY411" i="36"/>
  <c r="AX411" i="36"/>
  <c r="AW411" i="36"/>
  <c r="AV411" i="36"/>
  <c r="AU411" i="36"/>
  <c r="AT411" i="36"/>
  <c r="AS411" i="36"/>
  <c r="AR411" i="36"/>
  <c r="BK411" i="36" s="1"/>
  <c r="AQ411" i="36"/>
  <c r="BJ411" i="36" s="1"/>
  <c r="AP411" i="36"/>
  <c r="BI411" i="36" s="1"/>
  <c r="AP410" i="36"/>
  <c r="BI410" i="36" s="1"/>
  <c r="BZ409" i="36"/>
  <c r="BY409" i="36"/>
  <c r="BX409" i="36"/>
  <c r="BW409" i="36"/>
  <c r="BV409" i="36"/>
  <c r="BU409" i="36"/>
  <c r="BT409" i="36"/>
  <c r="BS409" i="36"/>
  <c r="BR409" i="36"/>
  <c r="BQ409" i="36"/>
  <c r="BP409" i="36"/>
  <c r="BO409" i="36"/>
  <c r="BN409" i="36"/>
  <c r="BM409" i="36"/>
  <c r="BL409" i="36"/>
  <c r="BG409" i="36"/>
  <c r="BF409" i="36"/>
  <c r="BE409" i="36"/>
  <c r="BD409" i="36"/>
  <c r="BC409" i="36"/>
  <c r="BB409" i="36"/>
  <c r="BA409" i="36"/>
  <c r="AZ409" i="36"/>
  <c r="AY409" i="36"/>
  <c r="AX409" i="36"/>
  <c r="AW409" i="36"/>
  <c r="AV409" i="36"/>
  <c r="AU409" i="36"/>
  <c r="AT409" i="36"/>
  <c r="AS409" i="36"/>
  <c r="AP409" i="36"/>
  <c r="BI409" i="36" s="1"/>
  <c r="BZ408" i="36"/>
  <c r="BY408" i="36"/>
  <c r="BX408" i="36"/>
  <c r="BW408" i="36"/>
  <c r="BV408" i="36"/>
  <c r="BU408" i="36"/>
  <c r="BT408" i="36"/>
  <c r="BS408" i="36"/>
  <c r="BR408" i="36"/>
  <c r="BQ408" i="36"/>
  <c r="BP408" i="36"/>
  <c r="BO408" i="36"/>
  <c r="BN408" i="36"/>
  <c r="BM408" i="36"/>
  <c r="BL408" i="36"/>
  <c r="BG408" i="36"/>
  <c r="BF408" i="36"/>
  <c r="BE408" i="36"/>
  <c r="BD408" i="36"/>
  <c r="BC408" i="36"/>
  <c r="BB408" i="36"/>
  <c r="BA408" i="36"/>
  <c r="AZ408" i="36"/>
  <c r="AY408" i="36"/>
  <c r="AX408" i="36"/>
  <c r="AW408" i="36"/>
  <c r="AV408" i="36"/>
  <c r="AU408" i="36"/>
  <c r="AT408" i="36"/>
  <c r="AS408" i="36"/>
  <c r="AR408" i="36"/>
  <c r="BK408" i="36" s="1"/>
  <c r="AQ408" i="36"/>
  <c r="BJ408" i="36" s="1"/>
  <c r="AP408" i="36"/>
  <c r="BI408" i="36" s="1"/>
  <c r="AP407" i="36"/>
  <c r="BI407" i="36" s="1"/>
  <c r="BZ406" i="36"/>
  <c r="BY406" i="36"/>
  <c r="BX406" i="36"/>
  <c r="BW406" i="36"/>
  <c r="BV406" i="36"/>
  <c r="BU406" i="36"/>
  <c r="BT406" i="36"/>
  <c r="BS406" i="36"/>
  <c r="BR406" i="36"/>
  <c r="BQ406" i="36"/>
  <c r="BP406" i="36"/>
  <c r="BO406" i="36"/>
  <c r="BN406" i="36"/>
  <c r="BM406" i="36"/>
  <c r="BL406" i="36"/>
  <c r="BG406" i="36"/>
  <c r="BF406" i="36"/>
  <c r="BE406" i="36"/>
  <c r="BD406" i="36"/>
  <c r="BC406" i="36"/>
  <c r="BB406" i="36"/>
  <c r="BA406" i="36"/>
  <c r="AZ406" i="36"/>
  <c r="AY406" i="36"/>
  <c r="AX406" i="36"/>
  <c r="AW406" i="36"/>
  <c r="AV406" i="36"/>
  <c r="AU406" i="36"/>
  <c r="AT406" i="36"/>
  <c r="AS406" i="36"/>
  <c r="AP406" i="36"/>
  <c r="BI406" i="36" s="1"/>
  <c r="BZ405" i="36"/>
  <c r="BY405" i="36"/>
  <c r="BX405" i="36"/>
  <c r="BW405" i="36"/>
  <c r="BV405" i="36"/>
  <c r="BU405" i="36"/>
  <c r="BT405" i="36"/>
  <c r="BS405" i="36"/>
  <c r="BR405" i="36"/>
  <c r="BQ405" i="36"/>
  <c r="BP405" i="36"/>
  <c r="BO405" i="36"/>
  <c r="BN405" i="36"/>
  <c r="BM405" i="36"/>
  <c r="BL405" i="36"/>
  <c r="BG405" i="36"/>
  <c r="BF405" i="36"/>
  <c r="BE405" i="36"/>
  <c r="BD405" i="36"/>
  <c r="BC405" i="36"/>
  <c r="BB405" i="36"/>
  <c r="BA405" i="36"/>
  <c r="AZ405" i="36"/>
  <c r="AY405" i="36"/>
  <c r="AX405" i="36"/>
  <c r="AW405" i="36"/>
  <c r="AV405" i="36"/>
  <c r="AU405" i="36"/>
  <c r="AT405" i="36"/>
  <c r="AS405" i="36"/>
  <c r="AR405" i="36"/>
  <c r="BK405" i="36" s="1"/>
  <c r="AQ405" i="36"/>
  <c r="BJ405" i="36" s="1"/>
  <c r="AP405" i="36"/>
  <c r="BI405" i="36" s="1"/>
  <c r="AP404" i="36"/>
  <c r="BI404" i="36" s="1"/>
  <c r="BZ403" i="36"/>
  <c r="BY403" i="36"/>
  <c r="BX403" i="36"/>
  <c r="BW403" i="36"/>
  <c r="BV403" i="36"/>
  <c r="BU403" i="36"/>
  <c r="BT403" i="36"/>
  <c r="BS403" i="36"/>
  <c r="BR403" i="36"/>
  <c r="BQ403" i="36"/>
  <c r="BP403" i="36"/>
  <c r="BO403" i="36"/>
  <c r="BN403" i="36"/>
  <c r="BM403" i="36"/>
  <c r="BL403" i="36"/>
  <c r="BG403" i="36"/>
  <c r="BF403" i="36"/>
  <c r="BE403" i="36"/>
  <c r="BD403" i="36"/>
  <c r="BC403" i="36"/>
  <c r="BB403" i="36"/>
  <c r="BA403" i="36"/>
  <c r="AZ403" i="36"/>
  <c r="AY403" i="36"/>
  <c r="AX403" i="36"/>
  <c r="AW403" i="36"/>
  <c r="AV403" i="36"/>
  <c r="AU403" i="36"/>
  <c r="AT403" i="36"/>
  <c r="AS403" i="36"/>
  <c r="AP403" i="36"/>
  <c r="BI403" i="36" s="1"/>
  <c r="BZ402" i="36"/>
  <c r="BY402" i="36"/>
  <c r="BX402" i="36"/>
  <c r="BW402" i="36"/>
  <c r="BV402" i="36"/>
  <c r="BU402" i="36"/>
  <c r="BT402" i="36"/>
  <c r="BS402" i="36"/>
  <c r="BR402" i="36"/>
  <c r="BQ402" i="36"/>
  <c r="BP402" i="36"/>
  <c r="BO402" i="36"/>
  <c r="BN402" i="36"/>
  <c r="BM402" i="36"/>
  <c r="BL402" i="36"/>
  <c r="BG402" i="36"/>
  <c r="BF402" i="36"/>
  <c r="BE402" i="36"/>
  <c r="BD402" i="36"/>
  <c r="BC402" i="36"/>
  <c r="BB402" i="36"/>
  <c r="BA402" i="36"/>
  <c r="AZ402" i="36"/>
  <c r="AY402" i="36"/>
  <c r="AX402" i="36"/>
  <c r="AW402" i="36"/>
  <c r="AV402" i="36"/>
  <c r="AU402" i="36"/>
  <c r="AT402" i="36"/>
  <c r="AS402" i="36"/>
  <c r="AR402" i="36"/>
  <c r="BK402" i="36" s="1"/>
  <c r="AQ402" i="36"/>
  <c r="BJ402" i="36" s="1"/>
  <c r="AP402" i="36"/>
  <c r="BI402" i="36" s="1"/>
  <c r="AP401" i="36"/>
  <c r="BI401" i="36" s="1"/>
  <c r="BZ400" i="36"/>
  <c r="BY400" i="36"/>
  <c r="BX400" i="36"/>
  <c r="BW400" i="36"/>
  <c r="BV400" i="36"/>
  <c r="BU400" i="36"/>
  <c r="BT400" i="36"/>
  <c r="BS400" i="36"/>
  <c r="BR400" i="36"/>
  <c r="BQ400" i="36"/>
  <c r="BP400" i="36"/>
  <c r="BO400" i="36"/>
  <c r="BN400" i="36"/>
  <c r="BM400" i="36"/>
  <c r="BL400" i="36"/>
  <c r="BG400" i="36"/>
  <c r="BF400" i="36"/>
  <c r="BE400" i="36"/>
  <c r="BD400" i="36"/>
  <c r="BC400" i="36"/>
  <c r="BB400" i="36"/>
  <c r="BA400" i="36"/>
  <c r="AZ400" i="36"/>
  <c r="AY400" i="36"/>
  <c r="AX400" i="36"/>
  <c r="AW400" i="36"/>
  <c r="AV400" i="36"/>
  <c r="AU400" i="36"/>
  <c r="AT400" i="36"/>
  <c r="AS400" i="36"/>
  <c r="AP400" i="36"/>
  <c r="BI400" i="36" s="1"/>
  <c r="BZ399" i="36"/>
  <c r="BY399" i="36"/>
  <c r="BX399" i="36"/>
  <c r="BW399" i="36"/>
  <c r="BV399" i="36"/>
  <c r="BU399" i="36"/>
  <c r="BT399" i="36"/>
  <c r="BS399" i="36"/>
  <c r="BR399" i="36"/>
  <c r="BQ399" i="36"/>
  <c r="BP399" i="36"/>
  <c r="BO399" i="36"/>
  <c r="BN399" i="36"/>
  <c r="BM399" i="36"/>
  <c r="BL399" i="36"/>
  <c r="BG399" i="36"/>
  <c r="BF399" i="36"/>
  <c r="BE399" i="36"/>
  <c r="BD399" i="36"/>
  <c r="BC399" i="36"/>
  <c r="BB399" i="36"/>
  <c r="BA399" i="36"/>
  <c r="AZ399" i="36"/>
  <c r="AY399" i="36"/>
  <c r="AX399" i="36"/>
  <c r="AW399" i="36"/>
  <c r="AV399" i="36"/>
  <c r="AU399" i="36"/>
  <c r="AT399" i="36"/>
  <c r="AS399" i="36"/>
  <c r="AR399" i="36"/>
  <c r="BK399" i="36" s="1"/>
  <c r="AQ399" i="36"/>
  <c r="BJ399" i="36" s="1"/>
  <c r="AP399" i="36"/>
  <c r="BI399" i="36" s="1"/>
  <c r="AP398" i="36"/>
  <c r="BI398" i="36" s="1"/>
  <c r="BZ397" i="36"/>
  <c r="BY397" i="36"/>
  <c r="BX397" i="36"/>
  <c r="BW397" i="36"/>
  <c r="BV397" i="36"/>
  <c r="BU397" i="36"/>
  <c r="BT397" i="36"/>
  <c r="BS397" i="36"/>
  <c r="BR397" i="36"/>
  <c r="BQ397" i="36"/>
  <c r="BP397" i="36"/>
  <c r="BO397" i="36"/>
  <c r="BN397" i="36"/>
  <c r="BM397" i="36"/>
  <c r="BL397" i="36"/>
  <c r="BG397" i="36"/>
  <c r="BF397" i="36"/>
  <c r="BE397" i="36"/>
  <c r="BD397" i="36"/>
  <c r="BC397" i="36"/>
  <c r="BB397" i="36"/>
  <c r="BA397" i="36"/>
  <c r="AZ397" i="36"/>
  <c r="AY397" i="36"/>
  <c r="AX397" i="36"/>
  <c r="AW397" i="36"/>
  <c r="AV397" i="36"/>
  <c r="AU397" i="36"/>
  <c r="AT397" i="36"/>
  <c r="AS397" i="36"/>
  <c r="AP397" i="36"/>
  <c r="BI397" i="36" s="1"/>
  <c r="BZ396" i="36"/>
  <c r="BY396" i="36"/>
  <c r="BX396" i="36"/>
  <c r="BW396" i="36"/>
  <c r="BV396" i="36"/>
  <c r="BU396" i="36"/>
  <c r="BT396" i="36"/>
  <c r="BS396" i="36"/>
  <c r="BR396" i="36"/>
  <c r="BQ396" i="36"/>
  <c r="BP396" i="36"/>
  <c r="BO396" i="36"/>
  <c r="BN396" i="36"/>
  <c r="BM396" i="36"/>
  <c r="BL396" i="36"/>
  <c r="BG396" i="36"/>
  <c r="BF396" i="36"/>
  <c r="BE396" i="36"/>
  <c r="BD396" i="36"/>
  <c r="BC396" i="36"/>
  <c r="BB396" i="36"/>
  <c r="BA396" i="36"/>
  <c r="AZ396" i="36"/>
  <c r="AY396" i="36"/>
  <c r="AX396" i="36"/>
  <c r="AW396" i="36"/>
  <c r="AV396" i="36"/>
  <c r="AU396" i="36"/>
  <c r="AT396" i="36"/>
  <c r="AS396" i="36"/>
  <c r="AR396" i="36"/>
  <c r="BK396" i="36" s="1"/>
  <c r="AQ396" i="36"/>
  <c r="BJ396" i="36" s="1"/>
  <c r="AP396" i="36"/>
  <c r="BI396" i="36" s="1"/>
  <c r="AP395" i="36"/>
  <c r="BI395" i="36" s="1"/>
  <c r="BZ394" i="36"/>
  <c r="BY394" i="36"/>
  <c r="BX394" i="36"/>
  <c r="BW394" i="36"/>
  <c r="BV394" i="36"/>
  <c r="BU394" i="36"/>
  <c r="BT394" i="36"/>
  <c r="BS394" i="36"/>
  <c r="BR394" i="36"/>
  <c r="BQ394" i="36"/>
  <c r="BP394" i="36"/>
  <c r="BO394" i="36"/>
  <c r="BN394" i="36"/>
  <c r="BM394" i="36"/>
  <c r="BL394" i="36"/>
  <c r="BG394" i="36"/>
  <c r="BF394" i="36"/>
  <c r="BE394" i="36"/>
  <c r="BD394" i="36"/>
  <c r="BC394" i="36"/>
  <c r="BB394" i="36"/>
  <c r="BA394" i="36"/>
  <c r="AZ394" i="36"/>
  <c r="AY394" i="36"/>
  <c r="AX394" i="36"/>
  <c r="AW394" i="36"/>
  <c r="AV394" i="36"/>
  <c r="AU394" i="36"/>
  <c r="AT394" i="36"/>
  <c r="AS394" i="36"/>
  <c r="AP394" i="36"/>
  <c r="BI394" i="36" s="1"/>
  <c r="BZ393" i="36"/>
  <c r="BY393" i="36"/>
  <c r="BX393" i="36"/>
  <c r="BW393" i="36"/>
  <c r="BV393" i="36"/>
  <c r="BU393" i="36"/>
  <c r="BT393" i="36"/>
  <c r="BS393" i="36"/>
  <c r="BR393" i="36"/>
  <c r="BQ393" i="36"/>
  <c r="BP393" i="36"/>
  <c r="BO393" i="36"/>
  <c r="BN393" i="36"/>
  <c r="BM393" i="36"/>
  <c r="BL393" i="36"/>
  <c r="BG393" i="36"/>
  <c r="BF393" i="36"/>
  <c r="BE393" i="36"/>
  <c r="BD393" i="36"/>
  <c r="BC393" i="36"/>
  <c r="BB393" i="36"/>
  <c r="BA393" i="36"/>
  <c r="AZ393" i="36"/>
  <c r="AY393" i="36"/>
  <c r="AX393" i="36"/>
  <c r="AW393" i="36"/>
  <c r="AV393" i="36"/>
  <c r="AU393" i="36"/>
  <c r="AT393" i="36"/>
  <c r="AS393" i="36"/>
  <c r="AR393" i="36"/>
  <c r="BK393" i="36" s="1"/>
  <c r="AQ393" i="36"/>
  <c r="BJ393" i="36" s="1"/>
  <c r="AP393" i="36"/>
  <c r="BI393" i="36" s="1"/>
  <c r="AP392" i="36"/>
  <c r="BI392" i="36" s="1"/>
  <c r="BZ391" i="36"/>
  <c r="BY391" i="36"/>
  <c r="BX391" i="36"/>
  <c r="BW391" i="36"/>
  <c r="BV391" i="36"/>
  <c r="BU391" i="36"/>
  <c r="BT391" i="36"/>
  <c r="BS391" i="36"/>
  <c r="BR391" i="36"/>
  <c r="BQ391" i="36"/>
  <c r="BP391" i="36"/>
  <c r="BO391" i="36"/>
  <c r="BN391" i="36"/>
  <c r="BM391" i="36"/>
  <c r="BL391" i="36"/>
  <c r="BG391" i="36"/>
  <c r="BF391" i="36"/>
  <c r="BE391" i="36"/>
  <c r="BD391" i="36"/>
  <c r="BC391" i="36"/>
  <c r="BB391" i="36"/>
  <c r="BA391" i="36"/>
  <c r="AZ391" i="36"/>
  <c r="AY391" i="36"/>
  <c r="AX391" i="36"/>
  <c r="AW391" i="36"/>
  <c r="AV391" i="36"/>
  <c r="AU391" i="36"/>
  <c r="AT391" i="36"/>
  <c r="AS391" i="36"/>
  <c r="AP391" i="36"/>
  <c r="BI391" i="36" s="1"/>
  <c r="BZ390" i="36"/>
  <c r="BY390" i="36"/>
  <c r="BX390" i="36"/>
  <c r="BW390" i="36"/>
  <c r="BV390" i="36"/>
  <c r="BU390" i="36"/>
  <c r="BT390" i="36"/>
  <c r="BS390" i="36"/>
  <c r="BR390" i="36"/>
  <c r="BQ390" i="36"/>
  <c r="BP390" i="36"/>
  <c r="BO390" i="36"/>
  <c r="BN390" i="36"/>
  <c r="BM390" i="36"/>
  <c r="BL390" i="36"/>
  <c r="BG390" i="36"/>
  <c r="BF390" i="36"/>
  <c r="BE390" i="36"/>
  <c r="BD390" i="36"/>
  <c r="BC390" i="36"/>
  <c r="BB390" i="36"/>
  <c r="BA390" i="36"/>
  <c r="AZ390" i="36"/>
  <c r="AY390" i="36"/>
  <c r="AX390" i="36"/>
  <c r="AW390" i="36"/>
  <c r="AV390" i="36"/>
  <c r="AU390" i="36"/>
  <c r="AT390" i="36"/>
  <c r="AS390" i="36"/>
  <c r="AR390" i="36"/>
  <c r="BK390" i="36" s="1"/>
  <c r="AQ390" i="36"/>
  <c r="BJ390" i="36" s="1"/>
  <c r="AP390" i="36"/>
  <c r="BI390" i="36" s="1"/>
  <c r="AP389" i="36"/>
  <c r="BI389" i="36" s="1"/>
  <c r="BZ388" i="36"/>
  <c r="BY388" i="36"/>
  <c r="BX388" i="36"/>
  <c r="BW388" i="36"/>
  <c r="BV388" i="36"/>
  <c r="BU388" i="36"/>
  <c r="BT388" i="36"/>
  <c r="BS388" i="36"/>
  <c r="BR388" i="36"/>
  <c r="BQ388" i="36"/>
  <c r="BP388" i="36"/>
  <c r="BO388" i="36"/>
  <c r="BN388" i="36"/>
  <c r="BM388" i="36"/>
  <c r="BL388" i="36"/>
  <c r="BG388" i="36"/>
  <c r="BF388" i="36"/>
  <c r="BE388" i="36"/>
  <c r="BD388" i="36"/>
  <c r="BC388" i="36"/>
  <c r="BB388" i="36"/>
  <c r="BA388" i="36"/>
  <c r="AZ388" i="36"/>
  <c r="AY388" i="36"/>
  <c r="AX388" i="36"/>
  <c r="AW388" i="36"/>
  <c r="AV388" i="36"/>
  <c r="AU388" i="36"/>
  <c r="AT388" i="36"/>
  <c r="AS388" i="36"/>
  <c r="AP388" i="36"/>
  <c r="BI388" i="36" s="1"/>
  <c r="BZ387" i="36"/>
  <c r="BY387" i="36"/>
  <c r="BX387" i="36"/>
  <c r="BW387" i="36"/>
  <c r="BV387" i="36"/>
  <c r="BU387" i="36"/>
  <c r="BT387" i="36"/>
  <c r="BS387" i="36"/>
  <c r="BR387" i="36"/>
  <c r="BQ387" i="36"/>
  <c r="BP387" i="36"/>
  <c r="BO387" i="36"/>
  <c r="BN387" i="36"/>
  <c r="BM387" i="36"/>
  <c r="BL387" i="36"/>
  <c r="BG387" i="36"/>
  <c r="BF387" i="36"/>
  <c r="BE387" i="36"/>
  <c r="BD387" i="36"/>
  <c r="BC387" i="36"/>
  <c r="BB387" i="36"/>
  <c r="BA387" i="36"/>
  <c r="AZ387" i="36"/>
  <c r="AY387" i="36"/>
  <c r="AX387" i="36"/>
  <c r="AW387" i="36"/>
  <c r="AV387" i="36"/>
  <c r="AU387" i="36"/>
  <c r="AT387" i="36"/>
  <c r="AS387" i="36"/>
  <c r="AR387" i="36"/>
  <c r="BK387" i="36" s="1"/>
  <c r="AQ387" i="36"/>
  <c r="BJ387" i="36" s="1"/>
  <c r="AP387" i="36"/>
  <c r="BI387" i="36" s="1"/>
  <c r="AP386" i="36"/>
  <c r="BI386" i="36" s="1"/>
  <c r="BZ385" i="36"/>
  <c r="BY385" i="36"/>
  <c r="BX385" i="36"/>
  <c r="BW385" i="36"/>
  <c r="BV385" i="36"/>
  <c r="BU385" i="36"/>
  <c r="BT385" i="36"/>
  <c r="BS385" i="36"/>
  <c r="BR385" i="36"/>
  <c r="BQ385" i="36"/>
  <c r="BP385" i="36"/>
  <c r="BO385" i="36"/>
  <c r="BN385" i="36"/>
  <c r="BM385" i="36"/>
  <c r="BL385" i="36"/>
  <c r="BG385" i="36"/>
  <c r="BF385" i="36"/>
  <c r="BE385" i="36"/>
  <c r="BD385" i="36"/>
  <c r="BC385" i="36"/>
  <c r="BB385" i="36"/>
  <c r="BA385" i="36"/>
  <c r="AZ385" i="36"/>
  <c r="AY385" i="36"/>
  <c r="AX385" i="36"/>
  <c r="AW385" i="36"/>
  <c r="AV385" i="36"/>
  <c r="AU385" i="36"/>
  <c r="AT385" i="36"/>
  <c r="AS385" i="36"/>
  <c r="AP385" i="36"/>
  <c r="BI385" i="36" s="1"/>
  <c r="BZ384" i="36"/>
  <c r="BY384" i="36"/>
  <c r="BX384" i="36"/>
  <c r="BW384" i="36"/>
  <c r="BV384" i="36"/>
  <c r="BU384" i="36"/>
  <c r="BT384" i="36"/>
  <c r="BS384" i="36"/>
  <c r="BR384" i="36"/>
  <c r="BQ384" i="36"/>
  <c r="BP384" i="36"/>
  <c r="BO384" i="36"/>
  <c r="BN384" i="36"/>
  <c r="BM384" i="36"/>
  <c r="BL384" i="36"/>
  <c r="BG384" i="36"/>
  <c r="BF384" i="36"/>
  <c r="BE384" i="36"/>
  <c r="BD384" i="36"/>
  <c r="BC384" i="36"/>
  <c r="BB384" i="36"/>
  <c r="BA384" i="36"/>
  <c r="AZ384" i="36"/>
  <c r="AY384" i="36"/>
  <c r="AX384" i="36"/>
  <c r="AW384" i="36"/>
  <c r="AV384" i="36"/>
  <c r="AU384" i="36"/>
  <c r="AT384" i="36"/>
  <c r="AS384" i="36"/>
  <c r="AR384" i="36"/>
  <c r="BK384" i="36" s="1"/>
  <c r="AQ384" i="36"/>
  <c r="BJ384" i="36" s="1"/>
  <c r="AP384" i="36"/>
  <c r="BI384" i="36" s="1"/>
  <c r="AP383" i="36"/>
  <c r="BI383" i="36" s="1"/>
  <c r="BZ382" i="36"/>
  <c r="BY382" i="36"/>
  <c r="BX382" i="36"/>
  <c r="BW382" i="36"/>
  <c r="BV382" i="36"/>
  <c r="BU382" i="36"/>
  <c r="BT382" i="36"/>
  <c r="BS382" i="36"/>
  <c r="BR382" i="36"/>
  <c r="BQ382" i="36"/>
  <c r="BP382" i="36"/>
  <c r="BO382" i="36"/>
  <c r="BN382" i="36"/>
  <c r="BM382" i="36"/>
  <c r="BL382" i="36"/>
  <c r="BG382" i="36"/>
  <c r="BF382" i="36"/>
  <c r="BE382" i="36"/>
  <c r="BD382" i="36"/>
  <c r="BC382" i="36"/>
  <c r="BB382" i="36"/>
  <c r="BA382" i="36"/>
  <c r="AZ382" i="36"/>
  <c r="AY382" i="36"/>
  <c r="AX382" i="36"/>
  <c r="AW382" i="36"/>
  <c r="AV382" i="36"/>
  <c r="AU382" i="36"/>
  <c r="AT382" i="36"/>
  <c r="AS382" i="36"/>
  <c r="AP382" i="36"/>
  <c r="BI382" i="36" s="1"/>
  <c r="BZ381" i="36"/>
  <c r="BY381" i="36"/>
  <c r="BX381" i="36"/>
  <c r="BW381" i="36"/>
  <c r="BV381" i="36"/>
  <c r="BU381" i="36"/>
  <c r="BT381" i="36"/>
  <c r="BS381" i="36"/>
  <c r="BR381" i="36"/>
  <c r="BQ381" i="36"/>
  <c r="BP381" i="36"/>
  <c r="BO381" i="36"/>
  <c r="BN381" i="36"/>
  <c r="BM381" i="36"/>
  <c r="BL381" i="36"/>
  <c r="BG381" i="36"/>
  <c r="BF381" i="36"/>
  <c r="BE381" i="36"/>
  <c r="BD381" i="36"/>
  <c r="BC381" i="36"/>
  <c r="BB381" i="36"/>
  <c r="BA381" i="36"/>
  <c r="AZ381" i="36"/>
  <c r="AY381" i="36"/>
  <c r="AX381" i="36"/>
  <c r="AW381" i="36"/>
  <c r="AV381" i="36"/>
  <c r="AU381" i="36"/>
  <c r="AT381" i="36"/>
  <c r="AS381" i="36"/>
  <c r="AR381" i="36"/>
  <c r="BK381" i="36" s="1"/>
  <c r="AQ381" i="36"/>
  <c r="BJ381" i="36" s="1"/>
  <c r="AP381" i="36"/>
  <c r="BI381" i="36" s="1"/>
  <c r="AP380" i="36"/>
  <c r="BI380" i="36" s="1"/>
  <c r="BZ379" i="36"/>
  <c r="BY379" i="36"/>
  <c r="BX379" i="36"/>
  <c r="BW379" i="36"/>
  <c r="BV379" i="36"/>
  <c r="BU379" i="36"/>
  <c r="BT379" i="36"/>
  <c r="BS379" i="36"/>
  <c r="BR379" i="36"/>
  <c r="BQ379" i="36"/>
  <c r="BP379" i="36"/>
  <c r="BO379" i="36"/>
  <c r="BN379" i="36"/>
  <c r="BM379" i="36"/>
  <c r="BL379" i="36"/>
  <c r="BG379" i="36"/>
  <c r="BF379" i="36"/>
  <c r="BE379" i="36"/>
  <c r="BD379" i="36"/>
  <c r="BC379" i="36"/>
  <c r="BB379" i="36"/>
  <c r="BA379" i="36"/>
  <c r="AZ379" i="36"/>
  <c r="AY379" i="36"/>
  <c r="AX379" i="36"/>
  <c r="AW379" i="36"/>
  <c r="AV379" i="36"/>
  <c r="AU379" i="36"/>
  <c r="AT379" i="36"/>
  <c r="AS379" i="36"/>
  <c r="AP379" i="36"/>
  <c r="BI379" i="36" s="1"/>
  <c r="BZ378" i="36"/>
  <c r="BY378" i="36"/>
  <c r="BX378" i="36"/>
  <c r="BW378" i="36"/>
  <c r="BV378" i="36"/>
  <c r="BU378" i="36"/>
  <c r="BT378" i="36"/>
  <c r="BS378" i="36"/>
  <c r="BR378" i="36"/>
  <c r="BQ378" i="36"/>
  <c r="BP378" i="36"/>
  <c r="BO378" i="36"/>
  <c r="BN378" i="36"/>
  <c r="BM378" i="36"/>
  <c r="BL378" i="36"/>
  <c r="BG378" i="36"/>
  <c r="BF378" i="36"/>
  <c r="BE378" i="36"/>
  <c r="BD378" i="36"/>
  <c r="BC378" i="36"/>
  <c r="BB378" i="36"/>
  <c r="BA378" i="36"/>
  <c r="AZ378" i="36"/>
  <c r="AY378" i="36"/>
  <c r="AX378" i="36"/>
  <c r="AW378" i="36"/>
  <c r="AV378" i="36"/>
  <c r="AU378" i="36"/>
  <c r="AT378" i="36"/>
  <c r="AS378" i="36"/>
  <c r="AR378" i="36"/>
  <c r="BK378" i="36" s="1"/>
  <c r="AQ378" i="36"/>
  <c r="BJ378" i="36" s="1"/>
  <c r="AP378" i="36"/>
  <c r="BI378" i="36" s="1"/>
  <c r="AP377" i="36"/>
  <c r="BI377" i="36" s="1"/>
  <c r="BZ376" i="36"/>
  <c r="BY376" i="36"/>
  <c r="BX376" i="36"/>
  <c r="BW376" i="36"/>
  <c r="BV376" i="36"/>
  <c r="BU376" i="36"/>
  <c r="BT376" i="36"/>
  <c r="BS376" i="36"/>
  <c r="BR376" i="36"/>
  <c r="BQ376" i="36"/>
  <c r="BP376" i="36"/>
  <c r="BO376" i="36"/>
  <c r="BN376" i="36"/>
  <c r="BM376" i="36"/>
  <c r="BL376" i="36"/>
  <c r="BG376" i="36"/>
  <c r="BF376" i="36"/>
  <c r="BE376" i="36"/>
  <c r="BD376" i="36"/>
  <c r="BC376" i="36"/>
  <c r="BB376" i="36"/>
  <c r="BA376" i="36"/>
  <c r="AZ376" i="36"/>
  <c r="AY376" i="36"/>
  <c r="AX376" i="36"/>
  <c r="AW376" i="36"/>
  <c r="AV376" i="36"/>
  <c r="AU376" i="36"/>
  <c r="AT376" i="36"/>
  <c r="AS376" i="36"/>
  <c r="AP376" i="36"/>
  <c r="BI376" i="36" s="1"/>
  <c r="BZ375" i="36"/>
  <c r="BY375" i="36"/>
  <c r="BX375" i="36"/>
  <c r="BW375" i="36"/>
  <c r="BV375" i="36"/>
  <c r="BU375" i="36"/>
  <c r="BT375" i="36"/>
  <c r="BS375" i="36"/>
  <c r="BR375" i="36"/>
  <c r="BQ375" i="36"/>
  <c r="BP375" i="36"/>
  <c r="BO375" i="36"/>
  <c r="BN375" i="36"/>
  <c r="BM375" i="36"/>
  <c r="BL375" i="36"/>
  <c r="BG375" i="36"/>
  <c r="BF375" i="36"/>
  <c r="BE375" i="36"/>
  <c r="BD375" i="36"/>
  <c r="BC375" i="36"/>
  <c r="BB375" i="36"/>
  <c r="BA375" i="36"/>
  <c r="AZ375" i="36"/>
  <c r="AY375" i="36"/>
  <c r="AX375" i="36"/>
  <c r="AW375" i="36"/>
  <c r="AV375" i="36"/>
  <c r="AU375" i="36"/>
  <c r="AT375" i="36"/>
  <c r="AS375" i="36"/>
  <c r="AR375" i="36"/>
  <c r="BK375" i="36" s="1"/>
  <c r="AQ375" i="36"/>
  <c r="BJ375" i="36" s="1"/>
  <c r="AP375" i="36"/>
  <c r="BI375" i="36" s="1"/>
  <c r="AP374" i="36"/>
  <c r="BI374" i="36" s="1"/>
  <c r="BZ373" i="36"/>
  <c r="BY373" i="36"/>
  <c r="BX373" i="36"/>
  <c r="BW373" i="36"/>
  <c r="BV373" i="36"/>
  <c r="BU373" i="36"/>
  <c r="BT373" i="36"/>
  <c r="BS373" i="36"/>
  <c r="BR373" i="36"/>
  <c r="BQ373" i="36"/>
  <c r="BP373" i="36"/>
  <c r="BO373" i="36"/>
  <c r="BN373" i="36"/>
  <c r="BM373" i="36"/>
  <c r="BL373" i="36"/>
  <c r="BG373" i="36"/>
  <c r="BF373" i="36"/>
  <c r="BE373" i="36"/>
  <c r="BD373" i="36"/>
  <c r="BC373" i="36"/>
  <c r="BB373" i="36"/>
  <c r="BA373" i="36"/>
  <c r="AZ373" i="36"/>
  <c r="AY373" i="36"/>
  <c r="AX373" i="36"/>
  <c r="AW373" i="36"/>
  <c r="AV373" i="36"/>
  <c r="AU373" i="36"/>
  <c r="AT373" i="36"/>
  <c r="AS373" i="36"/>
  <c r="AP373" i="36"/>
  <c r="BI373" i="36" s="1"/>
  <c r="BZ372" i="36"/>
  <c r="BY372" i="36"/>
  <c r="BX372" i="36"/>
  <c r="BW372" i="36"/>
  <c r="BV372" i="36"/>
  <c r="BU372" i="36"/>
  <c r="BT372" i="36"/>
  <c r="BS372" i="36"/>
  <c r="BR372" i="36"/>
  <c r="BQ372" i="36"/>
  <c r="BP372" i="36"/>
  <c r="BO372" i="36"/>
  <c r="BN372" i="36"/>
  <c r="BM372" i="36"/>
  <c r="BL372" i="36"/>
  <c r="BG372" i="36"/>
  <c r="BF372" i="36"/>
  <c r="BE372" i="36"/>
  <c r="BD372" i="36"/>
  <c r="BC372" i="36"/>
  <c r="BB372" i="36"/>
  <c r="BA372" i="36"/>
  <c r="AZ372" i="36"/>
  <c r="AY372" i="36"/>
  <c r="AX372" i="36"/>
  <c r="AW372" i="36"/>
  <c r="AV372" i="36"/>
  <c r="AU372" i="36"/>
  <c r="AT372" i="36"/>
  <c r="AS372" i="36"/>
  <c r="AR372" i="36"/>
  <c r="BK372" i="36" s="1"/>
  <c r="AQ372" i="36"/>
  <c r="BJ372" i="36" s="1"/>
  <c r="AP372" i="36"/>
  <c r="BI372" i="36" s="1"/>
  <c r="AP371" i="36"/>
  <c r="BI371" i="36" s="1"/>
  <c r="BZ370" i="36"/>
  <c r="BY370" i="36"/>
  <c r="BX370" i="36"/>
  <c r="BW370" i="36"/>
  <c r="BV370" i="36"/>
  <c r="BU370" i="36"/>
  <c r="BT370" i="36"/>
  <c r="BS370" i="36"/>
  <c r="BR370" i="36"/>
  <c r="BQ370" i="36"/>
  <c r="BP370" i="36"/>
  <c r="BO370" i="36"/>
  <c r="BN370" i="36"/>
  <c r="BM370" i="36"/>
  <c r="BL370" i="36"/>
  <c r="BG370" i="36"/>
  <c r="BF370" i="36"/>
  <c r="BE370" i="36"/>
  <c r="BD370" i="36"/>
  <c r="BC370" i="36"/>
  <c r="BB370" i="36"/>
  <c r="BA370" i="36"/>
  <c r="AZ370" i="36"/>
  <c r="AY370" i="36"/>
  <c r="AX370" i="36"/>
  <c r="AW370" i="36"/>
  <c r="AV370" i="36"/>
  <c r="AU370" i="36"/>
  <c r="AT370" i="36"/>
  <c r="AS370" i="36"/>
  <c r="AP370" i="36"/>
  <c r="BI370" i="36" s="1"/>
  <c r="BZ369" i="36"/>
  <c r="BY369" i="36"/>
  <c r="BX369" i="36"/>
  <c r="BW369" i="36"/>
  <c r="BV369" i="36"/>
  <c r="BU369" i="36"/>
  <c r="BT369" i="36"/>
  <c r="BS369" i="36"/>
  <c r="BR369" i="36"/>
  <c r="BQ369" i="36"/>
  <c r="BP369" i="36"/>
  <c r="BO369" i="36"/>
  <c r="BN369" i="36"/>
  <c r="BM369" i="36"/>
  <c r="BL369" i="36"/>
  <c r="BG369" i="36"/>
  <c r="BF369" i="36"/>
  <c r="BE369" i="36"/>
  <c r="BD369" i="36"/>
  <c r="BC369" i="36"/>
  <c r="BB369" i="36"/>
  <c r="BA369" i="36"/>
  <c r="AZ369" i="36"/>
  <c r="AY369" i="36"/>
  <c r="AX369" i="36"/>
  <c r="AW369" i="36"/>
  <c r="AV369" i="36"/>
  <c r="AU369" i="36"/>
  <c r="AT369" i="36"/>
  <c r="AS369" i="36"/>
  <c r="AR369" i="36"/>
  <c r="BK369" i="36" s="1"/>
  <c r="AQ369" i="36"/>
  <c r="BJ369" i="36" s="1"/>
  <c r="AP369" i="36"/>
  <c r="BI369" i="36" s="1"/>
  <c r="AP368" i="36"/>
  <c r="BI368" i="36" s="1"/>
  <c r="BZ367" i="36"/>
  <c r="BY367" i="36"/>
  <c r="BX367" i="36"/>
  <c r="BW367" i="36"/>
  <c r="BV367" i="36"/>
  <c r="BU367" i="36"/>
  <c r="BT367" i="36"/>
  <c r="BS367" i="36"/>
  <c r="BR367" i="36"/>
  <c r="BQ367" i="36"/>
  <c r="BP367" i="36"/>
  <c r="BO367" i="36"/>
  <c r="BN367" i="36"/>
  <c r="BM367" i="36"/>
  <c r="BL367" i="36"/>
  <c r="BG367" i="36"/>
  <c r="BF367" i="36"/>
  <c r="BE367" i="36"/>
  <c r="BD367" i="36"/>
  <c r="BC367" i="36"/>
  <c r="BB367" i="36"/>
  <c r="BA367" i="36"/>
  <c r="AZ367" i="36"/>
  <c r="AY367" i="36"/>
  <c r="AX367" i="36"/>
  <c r="AW367" i="36"/>
  <c r="AV367" i="36"/>
  <c r="AU367" i="36"/>
  <c r="AT367" i="36"/>
  <c r="AS367" i="36"/>
  <c r="AP367" i="36"/>
  <c r="BI367" i="36" s="1"/>
  <c r="BZ366" i="36"/>
  <c r="BY366" i="36"/>
  <c r="BX366" i="36"/>
  <c r="BW366" i="36"/>
  <c r="BV366" i="36"/>
  <c r="BU366" i="36"/>
  <c r="BT366" i="36"/>
  <c r="BS366" i="36"/>
  <c r="BR366" i="36"/>
  <c r="BQ366" i="36"/>
  <c r="BP366" i="36"/>
  <c r="BO366" i="36"/>
  <c r="BN366" i="36"/>
  <c r="BM366" i="36"/>
  <c r="BL366" i="36"/>
  <c r="BG366" i="36"/>
  <c r="BF366" i="36"/>
  <c r="BE366" i="36"/>
  <c r="BD366" i="36"/>
  <c r="BC366" i="36"/>
  <c r="BB366" i="36"/>
  <c r="BA366" i="36"/>
  <c r="AZ366" i="36"/>
  <c r="AY366" i="36"/>
  <c r="AX366" i="36"/>
  <c r="AW366" i="36"/>
  <c r="AV366" i="36"/>
  <c r="AU366" i="36"/>
  <c r="AT366" i="36"/>
  <c r="AS366" i="36"/>
  <c r="AR366" i="36"/>
  <c r="BK366" i="36" s="1"/>
  <c r="AQ366" i="36"/>
  <c r="BJ366" i="36" s="1"/>
  <c r="AP366" i="36"/>
  <c r="BI366" i="36" s="1"/>
  <c r="AP365" i="36"/>
  <c r="BI365" i="36" s="1"/>
  <c r="BZ364" i="36"/>
  <c r="BY364" i="36"/>
  <c r="BX364" i="36"/>
  <c r="BW364" i="36"/>
  <c r="BV364" i="36"/>
  <c r="BU364" i="36"/>
  <c r="BT364" i="36"/>
  <c r="BS364" i="36"/>
  <c r="BR364" i="36"/>
  <c r="BQ364" i="36"/>
  <c r="BP364" i="36"/>
  <c r="BO364" i="36"/>
  <c r="BN364" i="36"/>
  <c r="BM364" i="36"/>
  <c r="BL364" i="36"/>
  <c r="BG364" i="36"/>
  <c r="BF364" i="36"/>
  <c r="BE364" i="36"/>
  <c r="BD364" i="36"/>
  <c r="BC364" i="36"/>
  <c r="BB364" i="36"/>
  <c r="BA364" i="36"/>
  <c r="AZ364" i="36"/>
  <c r="AY364" i="36"/>
  <c r="AX364" i="36"/>
  <c r="AW364" i="36"/>
  <c r="AV364" i="36"/>
  <c r="AU364" i="36"/>
  <c r="AT364" i="36"/>
  <c r="AS364" i="36"/>
  <c r="AP364" i="36"/>
  <c r="BI364" i="36" s="1"/>
  <c r="BZ363" i="36"/>
  <c r="BY363" i="36"/>
  <c r="BX363" i="36"/>
  <c r="BW363" i="36"/>
  <c r="BV363" i="36"/>
  <c r="BU363" i="36"/>
  <c r="BT363" i="36"/>
  <c r="BS363" i="36"/>
  <c r="BR363" i="36"/>
  <c r="BQ363" i="36"/>
  <c r="BP363" i="36"/>
  <c r="BO363" i="36"/>
  <c r="BN363" i="36"/>
  <c r="BM363" i="36"/>
  <c r="BL363" i="36"/>
  <c r="BG363" i="36"/>
  <c r="BF363" i="36"/>
  <c r="BE363" i="36"/>
  <c r="BD363" i="36"/>
  <c r="BC363" i="36"/>
  <c r="BB363" i="36"/>
  <c r="BA363" i="36"/>
  <c r="AZ363" i="36"/>
  <c r="AY363" i="36"/>
  <c r="AX363" i="36"/>
  <c r="AW363" i="36"/>
  <c r="AV363" i="36"/>
  <c r="AU363" i="36"/>
  <c r="AT363" i="36"/>
  <c r="AS363" i="36"/>
  <c r="AR363" i="36"/>
  <c r="BK363" i="36" s="1"/>
  <c r="AQ363" i="36"/>
  <c r="BJ363" i="36" s="1"/>
  <c r="AP363" i="36"/>
  <c r="BI363" i="36" s="1"/>
  <c r="AP362" i="36"/>
  <c r="BI362" i="36" s="1"/>
  <c r="BZ361" i="36"/>
  <c r="BY361" i="36"/>
  <c r="BX361" i="36"/>
  <c r="BW361" i="36"/>
  <c r="BV361" i="36"/>
  <c r="BU361" i="36"/>
  <c r="BT361" i="36"/>
  <c r="BS361" i="36"/>
  <c r="BR361" i="36"/>
  <c r="BQ361" i="36"/>
  <c r="BP361" i="36"/>
  <c r="BO361" i="36"/>
  <c r="BN361" i="36"/>
  <c r="BM361" i="36"/>
  <c r="BL361" i="36"/>
  <c r="BG361" i="36"/>
  <c r="BF361" i="36"/>
  <c r="BE361" i="36"/>
  <c r="BD361" i="36"/>
  <c r="BC361" i="36"/>
  <c r="BB361" i="36"/>
  <c r="BA361" i="36"/>
  <c r="AZ361" i="36"/>
  <c r="AY361" i="36"/>
  <c r="AX361" i="36"/>
  <c r="AW361" i="36"/>
  <c r="AV361" i="36"/>
  <c r="AU361" i="36"/>
  <c r="AT361" i="36"/>
  <c r="AS361" i="36"/>
  <c r="AP361" i="36"/>
  <c r="BI361" i="36" s="1"/>
  <c r="BZ360" i="36"/>
  <c r="BY360" i="36"/>
  <c r="BX360" i="36"/>
  <c r="BW360" i="36"/>
  <c r="BV360" i="36"/>
  <c r="BU360" i="36"/>
  <c r="BT360" i="36"/>
  <c r="BS360" i="36"/>
  <c r="BR360" i="36"/>
  <c r="BQ360" i="36"/>
  <c r="BP360" i="36"/>
  <c r="BO360" i="36"/>
  <c r="BN360" i="36"/>
  <c r="BM360" i="36"/>
  <c r="BL360" i="36"/>
  <c r="BG360" i="36"/>
  <c r="BF360" i="36"/>
  <c r="BE360" i="36"/>
  <c r="BD360" i="36"/>
  <c r="BC360" i="36"/>
  <c r="BB360" i="36"/>
  <c r="BA360" i="36"/>
  <c r="AZ360" i="36"/>
  <c r="AY360" i="36"/>
  <c r="AX360" i="36"/>
  <c r="AW360" i="36"/>
  <c r="AV360" i="36"/>
  <c r="AU360" i="36"/>
  <c r="AT360" i="36"/>
  <c r="AS360" i="36"/>
  <c r="AR360" i="36"/>
  <c r="BK360" i="36" s="1"/>
  <c r="AQ360" i="36"/>
  <c r="BJ360" i="36" s="1"/>
  <c r="AP360" i="36"/>
  <c r="BI360" i="36" s="1"/>
  <c r="AP359" i="36"/>
  <c r="BI359" i="36" s="1"/>
  <c r="BZ358" i="36"/>
  <c r="BY358" i="36"/>
  <c r="BX358" i="36"/>
  <c r="BW358" i="36"/>
  <c r="BV358" i="36"/>
  <c r="BU358" i="36"/>
  <c r="BT358" i="36"/>
  <c r="BS358" i="36"/>
  <c r="BR358" i="36"/>
  <c r="BQ358" i="36"/>
  <c r="BP358" i="36"/>
  <c r="BO358" i="36"/>
  <c r="BN358" i="36"/>
  <c r="BM358" i="36"/>
  <c r="BL358" i="36"/>
  <c r="BG358" i="36"/>
  <c r="BF358" i="36"/>
  <c r="BE358" i="36"/>
  <c r="BD358" i="36"/>
  <c r="BC358" i="36"/>
  <c r="BB358" i="36"/>
  <c r="BA358" i="36"/>
  <c r="AZ358" i="36"/>
  <c r="AY358" i="36"/>
  <c r="AX358" i="36"/>
  <c r="AW358" i="36"/>
  <c r="AV358" i="36"/>
  <c r="AU358" i="36"/>
  <c r="AT358" i="36"/>
  <c r="AS358" i="36"/>
  <c r="AP358" i="36"/>
  <c r="BI358" i="36" s="1"/>
  <c r="BZ357" i="36"/>
  <c r="BY357" i="36"/>
  <c r="BX357" i="36"/>
  <c r="BW357" i="36"/>
  <c r="BV357" i="36"/>
  <c r="BU357" i="36"/>
  <c r="BT357" i="36"/>
  <c r="BS357" i="36"/>
  <c r="BR357" i="36"/>
  <c r="BQ357" i="36"/>
  <c r="BP357" i="36"/>
  <c r="BO357" i="36"/>
  <c r="BN357" i="36"/>
  <c r="BM357" i="36"/>
  <c r="BL357" i="36"/>
  <c r="BG357" i="36"/>
  <c r="BF357" i="36"/>
  <c r="BE357" i="36"/>
  <c r="BD357" i="36"/>
  <c r="BC357" i="36"/>
  <c r="BB357" i="36"/>
  <c r="BA357" i="36"/>
  <c r="AZ357" i="36"/>
  <c r="AY357" i="36"/>
  <c r="AX357" i="36"/>
  <c r="AW357" i="36"/>
  <c r="AV357" i="36"/>
  <c r="AU357" i="36"/>
  <c r="AT357" i="36"/>
  <c r="AS357" i="36"/>
  <c r="AR357" i="36"/>
  <c r="BK357" i="36" s="1"/>
  <c r="AQ357" i="36"/>
  <c r="BJ357" i="36" s="1"/>
  <c r="AP357" i="36"/>
  <c r="BI357" i="36" s="1"/>
  <c r="AP356" i="36"/>
  <c r="BI356" i="36" s="1"/>
  <c r="BZ355" i="36"/>
  <c r="BY355" i="36"/>
  <c r="BX355" i="36"/>
  <c r="BW355" i="36"/>
  <c r="BV355" i="36"/>
  <c r="BU355" i="36"/>
  <c r="BT355" i="36"/>
  <c r="BS355" i="36"/>
  <c r="BR355" i="36"/>
  <c r="BQ355" i="36"/>
  <c r="BP355" i="36"/>
  <c r="BO355" i="36"/>
  <c r="BN355" i="36"/>
  <c r="BM355" i="36"/>
  <c r="BL355" i="36"/>
  <c r="BG355" i="36"/>
  <c r="BF355" i="36"/>
  <c r="BE355" i="36"/>
  <c r="BD355" i="36"/>
  <c r="BC355" i="36"/>
  <c r="BB355" i="36"/>
  <c r="BA355" i="36"/>
  <c r="AZ355" i="36"/>
  <c r="AY355" i="36"/>
  <c r="AX355" i="36"/>
  <c r="AW355" i="36"/>
  <c r="AV355" i="36"/>
  <c r="AU355" i="36"/>
  <c r="AT355" i="36"/>
  <c r="AS355" i="36"/>
  <c r="AP355" i="36"/>
  <c r="BI355" i="36" s="1"/>
  <c r="BZ354" i="36"/>
  <c r="BY354" i="36"/>
  <c r="BX354" i="36"/>
  <c r="BW354" i="36"/>
  <c r="BV354" i="36"/>
  <c r="BU354" i="36"/>
  <c r="BT354" i="36"/>
  <c r="BS354" i="36"/>
  <c r="BR354" i="36"/>
  <c r="BQ354" i="36"/>
  <c r="BP354" i="36"/>
  <c r="BO354" i="36"/>
  <c r="BN354" i="36"/>
  <c r="BM354" i="36"/>
  <c r="BL354" i="36"/>
  <c r="BG354" i="36"/>
  <c r="BF354" i="36"/>
  <c r="BE354" i="36"/>
  <c r="BD354" i="36"/>
  <c r="BC354" i="36"/>
  <c r="BB354" i="36"/>
  <c r="BA354" i="36"/>
  <c r="AZ354" i="36"/>
  <c r="AY354" i="36"/>
  <c r="AX354" i="36"/>
  <c r="AW354" i="36"/>
  <c r="AV354" i="36"/>
  <c r="AU354" i="36"/>
  <c r="AT354" i="36"/>
  <c r="AS354" i="36"/>
  <c r="AR354" i="36"/>
  <c r="BK354" i="36" s="1"/>
  <c r="AQ354" i="36"/>
  <c r="BJ354" i="36" s="1"/>
  <c r="AP354" i="36"/>
  <c r="BI354" i="36" s="1"/>
  <c r="AP353" i="36"/>
  <c r="BI353" i="36" s="1"/>
  <c r="BZ352" i="36"/>
  <c r="BY352" i="36"/>
  <c r="BX352" i="36"/>
  <c r="BW352" i="36"/>
  <c r="BV352" i="36"/>
  <c r="BU352" i="36"/>
  <c r="BT352" i="36"/>
  <c r="BS352" i="36"/>
  <c r="BR352" i="36"/>
  <c r="BQ352" i="36"/>
  <c r="BP352" i="36"/>
  <c r="BO352" i="36"/>
  <c r="BN352" i="36"/>
  <c r="BM352" i="36"/>
  <c r="BL352" i="36"/>
  <c r="BG352" i="36"/>
  <c r="BF352" i="36"/>
  <c r="BE352" i="36"/>
  <c r="BD352" i="36"/>
  <c r="BC352" i="36"/>
  <c r="BB352" i="36"/>
  <c r="BA352" i="36"/>
  <c r="AZ352" i="36"/>
  <c r="AY352" i="36"/>
  <c r="AX352" i="36"/>
  <c r="AW352" i="36"/>
  <c r="AV352" i="36"/>
  <c r="AU352" i="36"/>
  <c r="AT352" i="36"/>
  <c r="AS352" i="36"/>
  <c r="AP352" i="36"/>
  <c r="BI352" i="36" s="1"/>
  <c r="BZ351" i="36"/>
  <c r="BY351" i="36"/>
  <c r="BX351" i="36"/>
  <c r="BW351" i="36"/>
  <c r="BV351" i="36"/>
  <c r="BU351" i="36"/>
  <c r="BT351" i="36"/>
  <c r="BS351" i="36"/>
  <c r="BR351" i="36"/>
  <c r="BQ351" i="36"/>
  <c r="BP351" i="36"/>
  <c r="BO351" i="36"/>
  <c r="BN351" i="36"/>
  <c r="BM351" i="36"/>
  <c r="BL351" i="36"/>
  <c r="BJ351" i="36"/>
  <c r="BG351" i="36"/>
  <c r="BF351" i="36"/>
  <c r="BE351" i="36"/>
  <c r="BD351" i="36"/>
  <c r="BC351" i="36"/>
  <c r="BB351" i="36"/>
  <c r="BA351" i="36"/>
  <c r="AZ351" i="36"/>
  <c r="AY351" i="36"/>
  <c r="AX351" i="36"/>
  <c r="AW351" i="36"/>
  <c r="AV351" i="36"/>
  <c r="AU351" i="36"/>
  <c r="AT351" i="36"/>
  <c r="AS351" i="36"/>
  <c r="AR351" i="36"/>
  <c r="BK351" i="36" s="1"/>
  <c r="AQ351" i="36"/>
  <c r="AP351" i="36"/>
  <c r="BI351" i="36" s="1"/>
  <c r="AP350" i="36"/>
  <c r="BI350" i="36" s="1"/>
  <c r="BZ349" i="36"/>
  <c r="BY349" i="36"/>
  <c r="BX349" i="36"/>
  <c r="BW349" i="36"/>
  <c r="BV349" i="36"/>
  <c r="BU349" i="36"/>
  <c r="BT349" i="36"/>
  <c r="BS349" i="36"/>
  <c r="BR349" i="36"/>
  <c r="BQ349" i="36"/>
  <c r="BP349" i="36"/>
  <c r="BO349" i="36"/>
  <c r="BN349" i="36"/>
  <c r="BM349" i="36"/>
  <c r="BL349" i="36"/>
  <c r="BG349" i="36"/>
  <c r="BF349" i="36"/>
  <c r="BE349" i="36"/>
  <c r="BD349" i="36"/>
  <c r="BC349" i="36"/>
  <c r="BB349" i="36"/>
  <c r="BA349" i="36"/>
  <c r="AZ349" i="36"/>
  <c r="AY349" i="36"/>
  <c r="AX349" i="36"/>
  <c r="AW349" i="36"/>
  <c r="AV349" i="36"/>
  <c r="AU349" i="36"/>
  <c r="AT349" i="36"/>
  <c r="AS349" i="36"/>
  <c r="AP349" i="36"/>
  <c r="BI349" i="36" s="1"/>
  <c r="BZ348" i="36"/>
  <c r="BY348" i="36"/>
  <c r="BX348" i="36"/>
  <c r="BW348" i="36"/>
  <c r="BV348" i="36"/>
  <c r="BU348" i="36"/>
  <c r="BT348" i="36"/>
  <c r="BS348" i="36"/>
  <c r="BR348" i="36"/>
  <c r="BQ348" i="36"/>
  <c r="BP348" i="36"/>
  <c r="BO348" i="36"/>
  <c r="BN348" i="36"/>
  <c r="BM348" i="36"/>
  <c r="BL348" i="36"/>
  <c r="BG348" i="36"/>
  <c r="BF348" i="36"/>
  <c r="BE348" i="36"/>
  <c r="BD348" i="36"/>
  <c r="BC348" i="36"/>
  <c r="BB348" i="36"/>
  <c r="BA348" i="36"/>
  <c r="AZ348" i="36"/>
  <c r="AY348" i="36"/>
  <c r="AX348" i="36"/>
  <c r="AW348" i="36"/>
  <c r="AV348" i="36"/>
  <c r="AU348" i="36"/>
  <c r="AT348" i="36"/>
  <c r="AS348" i="36"/>
  <c r="AR348" i="36"/>
  <c r="BK348" i="36" s="1"/>
  <c r="AQ348" i="36"/>
  <c r="BJ348" i="36" s="1"/>
  <c r="AP348" i="36"/>
  <c r="BI348" i="36" s="1"/>
  <c r="AP347" i="36"/>
  <c r="BI347" i="36" s="1"/>
  <c r="BZ346" i="36"/>
  <c r="BY346" i="36"/>
  <c r="BX346" i="36"/>
  <c r="BW346" i="36"/>
  <c r="BV346" i="36"/>
  <c r="BU346" i="36"/>
  <c r="BT346" i="36"/>
  <c r="BS346" i="36"/>
  <c r="BR346" i="36"/>
  <c r="BQ346" i="36"/>
  <c r="BP346" i="36"/>
  <c r="BO346" i="36"/>
  <c r="BN346" i="36"/>
  <c r="BM346" i="36"/>
  <c r="BL346" i="36"/>
  <c r="BG346" i="36"/>
  <c r="BF346" i="36"/>
  <c r="BE346" i="36"/>
  <c r="BD346" i="36"/>
  <c r="BC346" i="36"/>
  <c r="BB346" i="36"/>
  <c r="BA346" i="36"/>
  <c r="AZ346" i="36"/>
  <c r="AY346" i="36"/>
  <c r="AX346" i="36"/>
  <c r="AW346" i="36"/>
  <c r="AV346" i="36"/>
  <c r="AU346" i="36"/>
  <c r="AT346" i="36"/>
  <c r="AS346" i="36"/>
  <c r="AP346" i="36"/>
  <c r="BI346" i="36" s="1"/>
  <c r="BZ345" i="36"/>
  <c r="BY345" i="36"/>
  <c r="BX345" i="36"/>
  <c r="BW345" i="36"/>
  <c r="BV345" i="36"/>
  <c r="BU345" i="36"/>
  <c r="BT345" i="36"/>
  <c r="BS345" i="36"/>
  <c r="BR345" i="36"/>
  <c r="BQ345" i="36"/>
  <c r="BP345" i="36"/>
  <c r="BO345" i="36"/>
  <c r="BN345" i="36"/>
  <c r="BM345" i="36"/>
  <c r="BL345" i="36"/>
  <c r="BG345" i="36"/>
  <c r="BF345" i="36"/>
  <c r="BE345" i="36"/>
  <c r="BD345" i="36"/>
  <c r="BC345" i="36"/>
  <c r="BB345" i="36"/>
  <c r="BA345" i="36"/>
  <c r="AZ345" i="36"/>
  <c r="AY345" i="36"/>
  <c r="AX345" i="36"/>
  <c r="AW345" i="36"/>
  <c r="AV345" i="36"/>
  <c r="AU345" i="36"/>
  <c r="AT345" i="36"/>
  <c r="AS345" i="36"/>
  <c r="AR345" i="36"/>
  <c r="BK345" i="36" s="1"/>
  <c r="AQ345" i="36"/>
  <c r="BJ345" i="36" s="1"/>
  <c r="AP345" i="36"/>
  <c r="BI345" i="36" s="1"/>
  <c r="AP344" i="36"/>
  <c r="BI344" i="36" s="1"/>
  <c r="BZ343" i="36"/>
  <c r="BY343" i="36"/>
  <c r="BX343" i="36"/>
  <c r="BW343" i="36"/>
  <c r="BV343" i="36"/>
  <c r="BU343" i="36"/>
  <c r="BT343" i="36"/>
  <c r="BS343" i="36"/>
  <c r="BR343" i="36"/>
  <c r="BQ343" i="36"/>
  <c r="BP343" i="36"/>
  <c r="BO343" i="36"/>
  <c r="BN343" i="36"/>
  <c r="BM343" i="36"/>
  <c r="BL343" i="36"/>
  <c r="BG343" i="36"/>
  <c r="BF343" i="36"/>
  <c r="BE343" i="36"/>
  <c r="BD343" i="36"/>
  <c r="BC343" i="36"/>
  <c r="BB343" i="36"/>
  <c r="BA343" i="36"/>
  <c r="AZ343" i="36"/>
  <c r="AY343" i="36"/>
  <c r="AX343" i="36"/>
  <c r="AW343" i="36"/>
  <c r="AV343" i="36"/>
  <c r="AU343" i="36"/>
  <c r="AT343" i="36"/>
  <c r="AS343" i="36"/>
  <c r="AP343" i="36"/>
  <c r="BI343" i="36" s="1"/>
  <c r="BZ342" i="36"/>
  <c r="BY342" i="36"/>
  <c r="BX342" i="36"/>
  <c r="BW342" i="36"/>
  <c r="BV342" i="36"/>
  <c r="BU342" i="36"/>
  <c r="BT342" i="36"/>
  <c r="BS342" i="36"/>
  <c r="BR342" i="36"/>
  <c r="BQ342" i="36"/>
  <c r="BP342" i="36"/>
  <c r="BO342" i="36"/>
  <c r="BN342" i="36"/>
  <c r="BM342" i="36"/>
  <c r="BL342" i="36"/>
  <c r="BG342" i="36"/>
  <c r="BF342" i="36"/>
  <c r="BE342" i="36"/>
  <c r="BD342" i="36"/>
  <c r="BC342" i="36"/>
  <c r="BB342" i="36"/>
  <c r="BA342" i="36"/>
  <c r="AZ342" i="36"/>
  <c r="AY342" i="36"/>
  <c r="AX342" i="36"/>
  <c r="AW342" i="36"/>
  <c r="AV342" i="36"/>
  <c r="AU342" i="36"/>
  <c r="AT342" i="36"/>
  <c r="AS342" i="36"/>
  <c r="AR342" i="36"/>
  <c r="BK342" i="36" s="1"/>
  <c r="AQ342" i="36"/>
  <c r="BJ342" i="36" s="1"/>
  <c r="AP342" i="36"/>
  <c r="BI342" i="36" s="1"/>
  <c r="AP341" i="36"/>
  <c r="BI341" i="36" s="1"/>
  <c r="BZ340" i="36"/>
  <c r="BY340" i="36"/>
  <c r="BX340" i="36"/>
  <c r="BW340" i="36"/>
  <c r="BV340" i="36"/>
  <c r="BU340" i="36"/>
  <c r="BT340" i="36"/>
  <c r="BS340" i="36"/>
  <c r="BR340" i="36"/>
  <c r="BQ340" i="36"/>
  <c r="BP340" i="36"/>
  <c r="BO340" i="36"/>
  <c r="BN340" i="36"/>
  <c r="BM340" i="36"/>
  <c r="BL340" i="36"/>
  <c r="BG340" i="36"/>
  <c r="BF340" i="36"/>
  <c r="BE340" i="36"/>
  <c r="BD340" i="36"/>
  <c r="BC340" i="36"/>
  <c r="BB340" i="36"/>
  <c r="BA340" i="36"/>
  <c r="AZ340" i="36"/>
  <c r="AY340" i="36"/>
  <c r="AX340" i="36"/>
  <c r="AW340" i="36"/>
  <c r="AV340" i="36"/>
  <c r="AU340" i="36"/>
  <c r="AT340" i="36"/>
  <c r="AS340" i="36"/>
  <c r="AP340" i="36"/>
  <c r="BI340" i="36" s="1"/>
  <c r="BZ339" i="36"/>
  <c r="BY339" i="36"/>
  <c r="BX339" i="36"/>
  <c r="BW339" i="36"/>
  <c r="BV339" i="36"/>
  <c r="BU339" i="36"/>
  <c r="BT339" i="36"/>
  <c r="BS339" i="36"/>
  <c r="BR339" i="36"/>
  <c r="BQ339" i="36"/>
  <c r="BP339" i="36"/>
  <c r="BO339" i="36"/>
  <c r="BN339" i="36"/>
  <c r="BM339" i="36"/>
  <c r="BL339" i="36"/>
  <c r="BJ339" i="36"/>
  <c r="BG339" i="36"/>
  <c r="BF339" i="36"/>
  <c r="BE339" i="36"/>
  <c r="BD339" i="36"/>
  <c r="BC339" i="36"/>
  <c r="BB339" i="36"/>
  <c r="BA339" i="36"/>
  <c r="AZ339" i="36"/>
  <c r="AY339" i="36"/>
  <c r="AX339" i="36"/>
  <c r="AW339" i="36"/>
  <c r="AV339" i="36"/>
  <c r="AU339" i="36"/>
  <c r="AT339" i="36"/>
  <c r="AS339" i="36"/>
  <c r="AR339" i="36"/>
  <c r="BK339" i="36" s="1"/>
  <c r="AQ339" i="36"/>
  <c r="AP339" i="36"/>
  <c r="BI339" i="36" s="1"/>
  <c r="AP338" i="36"/>
  <c r="BI338" i="36" s="1"/>
  <c r="BZ337" i="36"/>
  <c r="BY337" i="36"/>
  <c r="BX337" i="36"/>
  <c r="BW337" i="36"/>
  <c r="BV337" i="36"/>
  <c r="BU337" i="36"/>
  <c r="BT337" i="36"/>
  <c r="BS337" i="36"/>
  <c r="BR337" i="36"/>
  <c r="BQ337" i="36"/>
  <c r="BP337" i="36"/>
  <c r="BO337" i="36"/>
  <c r="BN337" i="36"/>
  <c r="BM337" i="36"/>
  <c r="BL337" i="36"/>
  <c r="BG337" i="36"/>
  <c r="BF337" i="36"/>
  <c r="BE337" i="36"/>
  <c r="BD337" i="36"/>
  <c r="BC337" i="36"/>
  <c r="BB337" i="36"/>
  <c r="BA337" i="36"/>
  <c r="AZ337" i="36"/>
  <c r="AY337" i="36"/>
  <c r="AX337" i="36"/>
  <c r="AW337" i="36"/>
  <c r="AV337" i="36"/>
  <c r="AU337" i="36"/>
  <c r="AT337" i="36"/>
  <c r="AS337" i="36"/>
  <c r="AP337" i="36"/>
  <c r="BI337" i="36" s="1"/>
  <c r="BZ336" i="36"/>
  <c r="BY336" i="36"/>
  <c r="BX336" i="36"/>
  <c r="BW336" i="36"/>
  <c r="BV336" i="36"/>
  <c r="BU336" i="36"/>
  <c r="BT336" i="36"/>
  <c r="BS336" i="36"/>
  <c r="BR336" i="36"/>
  <c r="BQ336" i="36"/>
  <c r="BP336" i="36"/>
  <c r="BO336" i="36"/>
  <c r="BN336" i="36"/>
  <c r="BM336" i="36"/>
  <c r="BL336" i="36"/>
  <c r="BG336" i="36"/>
  <c r="BF336" i="36"/>
  <c r="BE336" i="36"/>
  <c r="BD336" i="36"/>
  <c r="BC336" i="36"/>
  <c r="BB336" i="36"/>
  <c r="BA336" i="36"/>
  <c r="AZ336" i="36"/>
  <c r="AY336" i="36"/>
  <c r="AX336" i="36"/>
  <c r="AW336" i="36"/>
  <c r="AV336" i="36"/>
  <c r="AU336" i="36"/>
  <c r="AT336" i="36"/>
  <c r="AS336" i="36"/>
  <c r="AR336" i="36"/>
  <c r="BK336" i="36" s="1"/>
  <c r="AQ336" i="36"/>
  <c r="BJ336" i="36" s="1"/>
  <c r="AP336" i="36"/>
  <c r="BI336" i="36" s="1"/>
  <c r="AP335" i="36"/>
  <c r="BI335" i="36" s="1"/>
  <c r="BZ334" i="36"/>
  <c r="BY334" i="36"/>
  <c r="BX334" i="36"/>
  <c r="BW334" i="36"/>
  <c r="BV334" i="36"/>
  <c r="BU334" i="36"/>
  <c r="BT334" i="36"/>
  <c r="BS334" i="36"/>
  <c r="BR334" i="36"/>
  <c r="BQ334" i="36"/>
  <c r="BP334" i="36"/>
  <c r="BO334" i="36"/>
  <c r="BN334" i="36"/>
  <c r="BM334" i="36"/>
  <c r="BL334" i="36"/>
  <c r="BG334" i="36"/>
  <c r="BF334" i="36"/>
  <c r="BE334" i="36"/>
  <c r="BD334" i="36"/>
  <c r="BC334" i="36"/>
  <c r="BB334" i="36"/>
  <c r="BA334" i="36"/>
  <c r="AZ334" i="36"/>
  <c r="AY334" i="36"/>
  <c r="AX334" i="36"/>
  <c r="AW334" i="36"/>
  <c r="AV334" i="36"/>
  <c r="AU334" i="36"/>
  <c r="AT334" i="36"/>
  <c r="AS334" i="36"/>
  <c r="AP334" i="36"/>
  <c r="BI334" i="36" s="1"/>
  <c r="BZ333" i="36"/>
  <c r="BY333" i="36"/>
  <c r="BX333" i="36"/>
  <c r="BW333" i="36"/>
  <c r="BV333" i="36"/>
  <c r="BU333" i="36"/>
  <c r="BT333" i="36"/>
  <c r="BS333" i="36"/>
  <c r="BR333" i="36"/>
  <c r="BQ333" i="36"/>
  <c r="BP333" i="36"/>
  <c r="BO333" i="36"/>
  <c r="BN333" i="36"/>
  <c r="BM333" i="36"/>
  <c r="BL333" i="36"/>
  <c r="BG333" i="36"/>
  <c r="BF333" i="36"/>
  <c r="BE333" i="36"/>
  <c r="BD333" i="36"/>
  <c r="BC333" i="36"/>
  <c r="BB333" i="36"/>
  <c r="BA333" i="36"/>
  <c r="AZ333" i="36"/>
  <c r="AY333" i="36"/>
  <c r="AX333" i="36"/>
  <c r="AW333" i="36"/>
  <c r="AV333" i="36"/>
  <c r="AU333" i="36"/>
  <c r="AT333" i="36"/>
  <c r="AS333" i="36"/>
  <c r="AR333" i="36"/>
  <c r="BK333" i="36" s="1"/>
  <c r="AQ333" i="36"/>
  <c r="BJ333" i="36" s="1"/>
  <c r="AP333" i="36"/>
  <c r="BI333" i="36" s="1"/>
  <c r="AP332" i="36"/>
  <c r="BI332" i="36" s="1"/>
  <c r="BZ331" i="36"/>
  <c r="BY331" i="36"/>
  <c r="BX331" i="36"/>
  <c r="BW331" i="36"/>
  <c r="BV331" i="36"/>
  <c r="BU331" i="36"/>
  <c r="BT331" i="36"/>
  <c r="BS331" i="36"/>
  <c r="BR331" i="36"/>
  <c r="BQ331" i="36"/>
  <c r="BP331" i="36"/>
  <c r="BO331" i="36"/>
  <c r="BN331" i="36"/>
  <c r="BM331" i="36"/>
  <c r="BL331" i="36"/>
  <c r="BG331" i="36"/>
  <c r="BF331" i="36"/>
  <c r="BE331" i="36"/>
  <c r="BD331" i="36"/>
  <c r="BC331" i="36"/>
  <c r="BB331" i="36"/>
  <c r="BA331" i="36"/>
  <c r="AZ331" i="36"/>
  <c r="AY331" i="36"/>
  <c r="AX331" i="36"/>
  <c r="AW331" i="36"/>
  <c r="AV331" i="36"/>
  <c r="AU331" i="36"/>
  <c r="AT331" i="36"/>
  <c r="AS331" i="36"/>
  <c r="AP331" i="36"/>
  <c r="BI331" i="36" s="1"/>
  <c r="BZ330" i="36"/>
  <c r="BY330" i="36"/>
  <c r="BX330" i="36"/>
  <c r="BW330" i="36"/>
  <c r="BV330" i="36"/>
  <c r="BU330" i="36"/>
  <c r="BT330" i="36"/>
  <c r="BS330" i="36"/>
  <c r="BR330" i="36"/>
  <c r="BQ330" i="36"/>
  <c r="BP330" i="36"/>
  <c r="BO330" i="36"/>
  <c r="BN330" i="36"/>
  <c r="BM330" i="36"/>
  <c r="BL330" i="36"/>
  <c r="BG330" i="36"/>
  <c r="BF330" i="36"/>
  <c r="BE330" i="36"/>
  <c r="BD330" i="36"/>
  <c r="BC330" i="36"/>
  <c r="BB330" i="36"/>
  <c r="BA330" i="36"/>
  <c r="AZ330" i="36"/>
  <c r="AY330" i="36"/>
  <c r="AX330" i="36"/>
  <c r="AW330" i="36"/>
  <c r="AV330" i="36"/>
  <c r="AU330" i="36"/>
  <c r="AT330" i="36"/>
  <c r="AS330" i="36"/>
  <c r="AR330" i="36"/>
  <c r="BK330" i="36" s="1"/>
  <c r="AQ330" i="36"/>
  <c r="BJ330" i="36" s="1"/>
  <c r="AP330" i="36"/>
  <c r="BI330" i="36" s="1"/>
  <c r="AP329" i="36"/>
  <c r="BI329" i="36" s="1"/>
  <c r="BZ328" i="36"/>
  <c r="BY328" i="36"/>
  <c r="BX328" i="36"/>
  <c r="BW328" i="36"/>
  <c r="BV328" i="36"/>
  <c r="BU328" i="36"/>
  <c r="BT328" i="36"/>
  <c r="BS328" i="36"/>
  <c r="BR328" i="36"/>
  <c r="BQ328" i="36"/>
  <c r="BP328" i="36"/>
  <c r="BO328" i="36"/>
  <c r="BN328" i="36"/>
  <c r="BM328" i="36"/>
  <c r="BL328" i="36"/>
  <c r="BG328" i="36"/>
  <c r="BF328" i="36"/>
  <c r="BE328" i="36"/>
  <c r="BD328" i="36"/>
  <c r="BC328" i="36"/>
  <c r="BB328" i="36"/>
  <c r="BA328" i="36"/>
  <c r="AZ328" i="36"/>
  <c r="AY328" i="36"/>
  <c r="AX328" i="36"/>
  <c r="AW328" i="36"/>
  <c r="AV328" i="36"/>
  <c r="AU328" i="36"/>
  <c r="AT328" i="36"/>
  <c r="AS328" i="36"/>
  <c r="AP328" i="36"/>
  <c r="BI328" i="36" s="1"/>
  <c r="BZ327" i="36"/>
  <c r="BY327" i="36"/>
  <c r="BX327" i="36"/>
  <c r="BW327" i="36"/>
  <c r="BV327" i="36"/>
  <c r="BU327" i="36"/>
  <c r="BT327" i="36"/>
  <c r="BS327" i="36"/>
  <c r="BR327" i="36"/>
  <c r="BQ327" i="36"/>
  <c r="BP327" i="36"/>
  <c r="BO327" i="36"/>
  <c r="BN327" i="36"/>
  <c r="BM327" i="36"/>
  <c r="BL327" i="36"/>
  <c r="BJ327" i="36"/>
  <c r="BG327" i="36"/>
  <c r="BF327" i="36"/>
  <c r="BE327" i="36"/>
  <c r="BD327" i="36"/>
  <c r="BC327" i="36"/>
  <c r="BB327" i="36"/>
  <c r="BA327" i="36"/>
  <c r="AZ327" i="36"/>
  <c r="AY327" i="36"/>
  <c r="AX327" i="36"/>
  <c r="AW327" i="36"/>
  <c r="AV327" i="36"/>
  <c r="AU327" i="36"/>
  <c r="AT327" i="36"/>
  <c r="AS327" i="36"/>
  <c r="AR327" i="36"/>
  <c r="BK327" i="36" s="1"/>
  <c r="AQ327" i="36"/>
  <c r="AP327" i="36"/>
  <c r="BI327" i="36" s="1"/>
  <c r="AP326" i="36"/>
  <c r="BI326" i="36" s="1"/>
  <c r="BZ325" i="36"/>
  <c r="BY325" i="36"/>
  <c r="BX325" i="36"/>
  <c r="BW325" i="36"/>
  <c r="BV325" i="36"/>
  <c r="BU325" i="36"/>
  <c r="BT325" i="36"/>
  <c r="BS325" i="36"/>
  <c r="BR325" i="36"/>
  <c r="BQ325" i="36"/>
  <c r="BP325" i="36"/>
  <c r="BO325" i="36"/>
  <c r="BN325" i="36"/>
  <c r="BM325" i="36"/>
  <c r="BL325" i="36"/>
  <c r="BG325" i="36"/>
  <c r="BF325" i="36"/>
  <c r="BE325" i="36"/>
  <c r="BD325" i="36"/>
  <c r="BC325" i="36"/>
  <c r="BB325" i="36"/>
  <c r="BA325" i="36"/>
  <c r="AZ325" i="36"/>
  <c r="AY325" i="36"/>
  <c r="AX325" i="36"/>
  <c r="AW325" i="36"/>
  <c r="AV325" i="36"/>
  <c r="AU325" i="36"/>
  <c r="AT325" i="36"/>
  <c r="AS325" i="36"/>
  <c r="AP325" i="36"/>
  <c r="BI325" i="36" s="1"/>
  <c r="BZ324" i="36"/>
  <c r="BY324" i="36"/>
  <c r="BX324" i="36"/>
  <c r="BW324" i="36"/>
  <c r="BV324" i="36"/>
  <c r="BU324" i="36"/>
  <c r="BT324" i="36"/>
  <c r="BS324" i="36"/>
  <c r="BR324" i="36"/>
  <c r="BQ324" i="36"/>
  <c r="BP324" i="36"/>
  <c r="BO324" i="36"/>
  <c r="BN324" i="36"/>
  <c r="BM324" i="36"/>
  <c r="BL324" i="36"/>
  <c r="BG324" i="36"/>
  <c r="BF324" i="36"/>
  <c r="BE324" i="36"/>
  <c r="BD324" i="36"/>
  <c r="BC324" i="36"/>
  <c r="BB324" i="36"/>
  <c r="BA324" i="36"/>
  <c r="AZ324" i="36"/>
  <c r="AY324" i="36"/>
  <c r="AX324" i="36"/>
  <c r="AW324" i="36"/>
  <c r="AV324" i="36"/>
  <c r="AU324" i="36"/>
  <c r="AT324" i="36"/>
  <c r="AS324" i="36"/>
  <c r="AR324" i="36"/>
  <c r="BK324" i="36" s="1"/>
  <c r="AQ324" i="36"/>
  <c r="BJ324" i="36" s="1"/>
  <c r="AP324" i="36"/>
  <c r="BI324" i="36" s="1"/>
  <c r="AP323" i="36"/>
  <c r="BI323" i="36" s="1"/>
  <c r="BZ322" i="36"/>
  <c r="BY322" i="36"/>
  <c r="BX322" i="36"/>
  <c r="BW322" i="36"/>
  <c r="BV322" i="36"/>
  <c r="BU322" i="36"/>
  <c r="BT322" i="36"/>
  <c r="BS322" i="36"/>
  <c r="BR322" i="36"/>
  <c r="BQ322" i="36"/>
  <c r="BP322" i="36"/>
  <c r="BO322" i="36"/>
  <c r="BN322" i="36"/>
  <c r="BM322" i="36"/>
  <c r="BL322" i="36"/>
  <c r="BG322" i="36"/>
  <c r="BF322" i="36"/>
  <c r="BE322" i="36"/>
  <c r="BD322" i="36"/>
  <c r="BC322" i="36"/>
  <c r="BB322" i="36"/>
  <c r="BA322" i="36"/>
  <c r="AZ322" i="36"/>
  <c r="AY322" i="36"/>
  <c r="AX322" i="36"/>
  <c r="AW322" i="36"/>
  <c r="AV322" i="36"/>
  <c r="AU322" i="36"/>
  <c r="AT322" i="36"/>
  <c r="AS322" i="36"/>
  <c r="AP322" i="36"/>
  <c r="BI322" i="36" s="1"/>
  <c r="BZ321" i="36"/>
  <c r="BY321" i="36"/>
  <c r="BX321" i="36"/>
  <c r="BW321" i="36"/>
  <c r="BV321" i="36"/>
  <c r="BU321" i="36"/>
  <c r="BT321" i="36"/>
  <c r="BS321" i="36"/>
  <c r="BR321" i="36"/>
  <c r="BQ321" i="36"/>
  <c r="BP321" i="36"/>
  <c r="BO321" i="36"/>
  <c r="BN321" i="36"/>
  <c r="BM321" i="36"/>
  <c r="BL321" i="36"/>
  <c r="BG321" i="36"/>
  <c r="BF321" i="36"/>
  <c r="BE321" i="36"/>
  <c r="BD321" i="36"/>
  <c r="BC321" i="36"/>
  <c r="BB321" i="36"/>
  <c r="BA321" i="36"/>
  <c r="AZ321" i="36"/>
  <c r="AY321" i="36"/>
  <c r="AX321" i="36"/>
  <c r="AW321" i="36"/>
  <c r="AV321" i="36"/>
  <c r="AU321" i="36"/>
  <c r="AT321" i="36"/>
  <c r="AS321" i="36"/>
  <c r="AR321" i="36"/>
  <c r="BK321" i="36" s="1"/>
  <c r="AQ321" i="36"/>
  <c r="BJ321" i="36" s="1"/>
  <c r="AP321" i="36"/>
  <c r="BI321" i="36" s="1"/>
  <c r="AP320" i="36"/>
  <c r="BI320" i="36" s="1"/>
  <c r="BZ319" i="36"/>
  <c r="BY319" i="36"/>
  <c r="BX319" i="36"/>
  <c r="BW319" i="36"/>
  <c r="BV319" i="36"/>
  <c r="BU319" i="36"/>
  <c r="BT319" i="36"/>
  <c r="BS319" i="36"/>
  <c r="BR319" i="36"/>
  <c r="BQ319" i="36"/>
  <c r="BP319" i="36"/>
  <c r="BO319" i="36"/>
  <c r="BN319" i="36"/>
  <c r="BM319" i="36"/>
  <c r="BL319" i="36"/>
  <c r="BG319" i="36"/>
  <c r="BF319" i="36"/>
  <c r="BE319" i="36"/>
  <c r="BD319" i="36"/>
  <c r="BC319" i="36"/>
  <c r="BB319" i="36"/>
  <c r="BA319" i="36"/>
  <c r="AZ319" i="36"/>
  <c r="AY319" i="36"/>
  <c r="AX319" i="36"/>
  <c r="AW319" i="36"/>
  <c r="AV319" i="36"/>
  <c r="AU319" i="36"/>
  <c r="AT319" i="36"/>
  <c r="AS319" i="36"/>
  <c r="AP319" i="36"/>
  <c r="BI319" i="36" s="1"/>
  <c r="BZ318" i="36"/>
  <c r="BY318" i="36"/>
  <c r="BX318" i="36"/>
  <c r="BW318" i="36"/>
  <c r="BV318" i="36"/>
  <c r="BU318" i="36"/>
  <c r="BT318" i="36"/>
  <c r="BS318" i="36"/>
  <c r="BR318" i="36"/>
  <c r="BQ318" i="36"/>
  <c r="BP318" i="36"/>
  <c r="BO318" i="36"/>
  <c r="BN318" i="36"/>
  <c r="BM318" i="36"/>
  <c r="BL318" i="36"/>
  <c r="BG318" i="36"/>
  <c r="BF318" i="36"/>
  <c r="BE318" i="36"/>
  <c r="BD318" i="36"/>
  <c r="BC318" i="36"/>
  <c r="BB318" i="36"/>
  <c r="BA318" i="36"/>
  <c r="AZ318" i="36"/>
  <c r="AY318" i="36"/>
  <c r="AX318" i="36"/>
  <c r="AW318" i="36"/>
  <c r="AV318" i="36"/>
  <c r="AU318" i="36"/>
  <c r="AT318" i="36"/>
  <c r="AS318" i="36"/>
  <c r="AR318" i="36"/>
  <c r="BK318" i="36" s="1"/>
  <c r="AQ318" i="36"/>
  <c r="BJ318" i="36" s="1"/>
  <c r="AP318" i="36"/>
  <c r="BI318" i="36" s="1"/>
  <c r="AP317" i="36"/>
  <c r="BI317" i="36" s="1"/>
  <c r="BZ316" i="36"/>
  <c r="BY316" i="36"/>
  <c r="BX316" i="36"/>
  <c r="BW316" i="36"/>
  <c r="BV316" i="36"/>
  <c r="BU316" i="36"/>
  <c r="BT316" i="36"/>
  <c r="BS316" i="36"/>
  <c r="BR316" i="36"/>
  <c r="BQ316" i="36"/>
  <c r="BP316" i="36"/>
  <c r="BO316" i="36"/>
  <c r="BN316" i="36"/>
  <c r="BM316" i="36"/>
  <c r="BL316" i="36"/>
  <c r="BG316" i="36"/>
  <c r="BF316" i="36"/>
  <c r="BE316" i="36"/>
  <c r="BD316" i="36"/>
  <c r="BC316" i="36"/>
  <c r="BB316" i="36"/>
  <c r="BA316" i="36"/>
  <c r="AZ316" i="36"/>
  <c r="AY316" i="36"/>
  <c r="AX316" i="36"/>
  <c r="AW316" i="36"/>
  <c r="AV316" i="36"/>
  <c r="AU316" i="36"/>
  <c r="AT316" i="36"/>
  <c r="AS316" i="36"/>
  <c r="AP316" i="36"/>
  <c r="BI316" i="36" s="1"/>
  <c r="BZ315" i="36"/>
  <c r="BY315" i="36"/>
  <c r="BX315" i="36"/>
  <c r="BW315" i="36"/>
  <c r="BV315" i="36"/>
  <c r="BU315" i="36"/>
  <c r="BT315" i="36"/>
  <c r="BS315" i="36"/>
  <c r="BR315" i="36"/>
  <c r="BQ315" i="36"/>
  <c r="BP315" i="36"/>
  <c r="BO315" i="36"/>
  <c r="BN315" i="36"/>
  <c r="BM315" i="36"/>
  <c r="BL315" i="36"/>
  <c r="BG315" i="36"/>
  <c r="BF315" i="36"/>
  <c r="BE315" i="36"/>
  <c r="BD315" i="36"/>
  <c r="BC315" i="36"/>
  <c r="BB315" i="36"/>
  <c r="BA315" i="36"/>
  <c r="AZ315" i="36"/>
  <c r="AY315" i="36"/>
  <c r="AX315" i="36"/>
  <c r="AW315" i="36"/>
  <c r="AV315" i="36"/>
  <c r="AU315" i="36"/>
  <c r="AT315" i="36"/>
  <c r="AS315" i="36"/>
  <c r="AR315" i="36"/>
  <c r="BK315" i="36" s="1"/>
  <c r="AQ315" i="36"/>
  <c r="BJ315" i="36" s="1"/>
  <c r="AP315" i="36"/>
  <c r="BI315" i="36" s="1"/>
  <c r="AP314" i="36"/>
  <c r="BI314" i="36" s="1"/>
  <c r="BZ313" i="36"/>
  <c r="BY313" i="36"/>
  <c r="BX313" i="36"/>
  <c r="BW313" i="36"/>
  <c r="BV313" i="36"/>
  <c r="BU313" i="36"/>
  <c r="BT313" i="36"/>
  <c r="BS313" i="36"/>
  <c r="BR313" i="36"/>
  <c r="BQ313" i="36"/>
  <c r="BP313" i="36"/>
  <c r="BO313" i="36"/>
  <c r="BN313" i="36"/>
  <c r="BM313" i="36"/>
  <c r="BL313" i="36"/>
  <c r="BG313" i="36"/>
  <c r="BF313" i="36"/>
  <c r="BE313" i="36"/>
  <c r="BD313" i="36"/>
  <c r="BC313" i="36"/>
  <c r="BB313" i="36"/>
  <c r="BA313" i="36"/>
  <c r="AZ313" i="36"/>
  <c r="AY313" i="36"/>
  <c r="AX313" i="36"/>
  <c r="AW313" i="36"/>
  <c r="AV313" i="36"/>
  <c r="AU313" i="36"/>
  <c r="AT313" i="36"/>
  <c r="AS313" i="36"/>
  <c r="AP313" i="36"/>
  <c r="BI313" i="36" s="1"/>
  <c r="BZ312" i="36"/>
  <c r="BY312" i="36"/>
  <c r="BX312" i="36"/>
  <c r="BW312" i="36"/>
  <c r="BV312" i="36"/>
  <c r="BU312" i="36"/>
  <c r="BT312" i="36"/>
  <c r="BS312" i="36"/>
  <c r="BR312" i="36"/>
  <c r="BQ312" i="36"/>
  <c r="BP312" i="36"/>
  <c r="BO312" i="36"/>
  <c r="BN312" i="36"/>
  <c r="BM312" i="36"/>
  <c r="BL312" i="36"/>
  <c r="BG312" i="36"/>
  <c r="BF312" i="36"/>
  <c r="BE312" i="36"/>
  <c r="BD312" i="36"/>
  <c r="BC312" i="36"/>
  <c r="BB312" i="36"/>
  <c r="BA312" i="36"/>
  <c r="AZ312" i="36"/>
  <c r="AY312" i="36"/>
  <c r="AX312" i="36"/>
  <c r="AW312" i="36"/>
  <c r="AV312" i="36"/>
  <c r="AU312" i="36"/>
  <c r="AT312" i="36"/>
  <c r="AS312" i="36"/>
  <c r="AR312" i="36"/>
  <c r="BK312" i="36" s="1"/>
  <c r="AQ312" i="36"/>
  <c r="BJ312" i="36" s="1"/>
  <c r="AP312" i="36"/>
  <c r="BI312" i="36" s="1"/>
  <c r="AP311" i="36"/>
  <c r="BI311" i="36" s="1"/>
  <c r="BZ310" i="36"/>
  <c r="BY310" i="36"/>
  <c r="BX310" i="36"/>
  <c r="BW310" i="36"/>
  <c r="BV310" i="36"/>
  <c r="BU310" i="36"/>
  <c r="BT310" i="36"/>
  <c r="BS310" i="36"/>
  <c r="BR310" i="36"/>
  <c r="BQ310" i="36"/>
  <c r="BP310" i="36"/>
  <c r="BO310" i="36"/>
  <c r="BN310" i="36"/>
  <c r="BM310" i="36"/>
  <c r="BL310" i="36"/>
  <c r="BG310" i="36"/>
  <c r="BF310" i="36"/>
  <c r="BE310" i="36"/>
  <c r="BD310" i="36"/>
  <c r="BC310" i="36"/>
  <c r="BB310" i="36"/>
  <c r="BA310" i="36"/>
  <c r="AZ310" i="36"/>
  <c r="AY310" i="36"/>
  <c r="AX310" i="36"/>
  <c r="AW310" i="36"/>
  <c r="AV310" i="36"/>
  <c r="AU310" i="36"/>
  <c r="AT310" i="36"/>
  <c r="AS310" i="36"/>
  <c r="AP310" i="36"/>
  <c r="BI310" i="36" s="1"/>
  <c r="BZ309" i="36"/>
  <c r="BY309" i="36"/>
  <c r="BX309" i="36"/>
  <c r="BW309" i="36"/>
  <c r="BV309" i="36"/>
  <c r="BU309" i="36"/>
  <c r="BT309" i="36"/>
  <c r="BS309" i="36"/>
  <c r="BR309" i="36"/>
  <c r="BQ309" i="36"/>
  <c r="BP309" i="36"/>
  <c r="BO309" i="36"/>
  <c r="BN309" i="36"/>
  <c r="BM309" i="36"/>
  <c r="BL309" i="36"/>
  <c r="BG309" i="36"/>
  <c r="BF309" i="36"/>
  <c r="BE309" i="36"/>
  <c r="BD309" i="36"/>
  <c r="BC309" i="36"/>
  <c r="BB309" i="36"/>
  <c r="BA309" i="36"/>
  <c r="AZ309" i="36"/>
  <c r="AY309" i="36"/>
  <c r="AX309" i="36"/>
  <c r="AW309" i="36"/>
  <c r="AV309" i="36"/>
  <c r="AU309" i="36"/>
  <c r="AT309" i="36"/>
  <c r="AS309" i="36"/>
  <c r="AR309" i="36"/>
  <c r="BK309" i="36" s="1"/>
  <c r="AQ309" i="36"/>
  <c r="BJ309" i="36" s="1"/>
  <c r="AP309" i="36"/>
  <c r="BI309" i="36" s="1"/>
  <c r="AP308" i="36"/>
  <c r="BI308" i="36" s="1"/>
  <c r="BZ307" i="36"/>
  <c r="BY307" i="36"/>
  <c r="BX307" i="36"/>
  <c r="BW307" i="36"/>
  <c r="BV307" i="36"/>
  <c r="BU307" i="36"/>
  <c r="BT307" i="36"/>
  <c r="BS307" i="36"/>
  <c r="BR307" i="36"/>
  <c r="BQ307" i="36"/>
  <c r="BP307" i="36"/>
  <c r="BO307" i="36"/>
  <c r="BN307" i="36"/>
  <c r="BM307" i="36"/>
  <c r="BL307" i="36"/>
  <c r="BG307" i="36"/>
  <c r="BF307" i="36"/>
  <c r="BE307" i="36"/>
  <c r="BD307" i="36"/>
  <c r="BC307" i="36"/>
  <c r="BB307" i="36"/>
  <c r="BA307" i="36"/>
  <c r="AZ307" i="36"/>
  <c r="AY307" i="36"/>
  <c r="AX307" i="36"/>
  <c r="AW307" i="36"/>
  <c r="AV307" i="36"/>
  <c r="AU307" i="36"/>
  <c r="AT307" i="36"/>
  <c r="AS307" i="36"/>
  <c r="AP307" i="36"/>
  <c r="BI307" i="36" s="1"/>
  <c r="BZ306" i="36"/>
  <c r="BY306" i="36"/>
  <c r="BX306" i="36"/>
  <c r="BW306" i="36"/>
  <c r="BV306" i="36"/>
  <c r="BU306" i="36"/>
  <c r="BT306" i="36"/>
  <c r="BS306" i="36"/>
  <c r="BR306" i="36"/>
  <c r="BQ306" i="36"/>
  <c r="BP306" i="36"/>
  <c r="BO306" i="36"/>
  <c r="BN306" i="36"/>
  <c r="BM306" i="36"/>
  <c r="BL306" i="36"/>
  <c r="BG306" i="36"/>
  <c r="BF306" i="36"/>
  <c r="BE306" i="36"/>
  <c r="BD306" i="36"/>
  <c r="BC306" i="36"/>
  <c r="BB306" i="36"/>
  <c r="BA306" i="36"/>
  <c r="AZ306" i="36"/>
  <c r="AY306" i="36"/>
  <c r="AX306" i="36"/>
  <c r="AW306" i="36"/>
  <c r="AV306" i="36"/>
  <c r="AU306" i="36"/>
  <c r="AT306" i="36"/>
  <c r="AS306" i="36"/>
  <c r="AR306" i="36"/>
  <c r="BK306" i="36" s="1"/>
  <c r="AQ306" i="36"/>
  <c r="BJ306" i="36" s="1"/>
  <c r="AP306" i="36"/>
  <c r="BI306" i="36" s="1"/>
  <c r="AP305" i="36"/>
  <c r="BI305" i="36" s="1"/>
  <c r="BZ304" i="36"/>
  <c r="BY304" i="36"/>
  <c r="BX304" i="36"/>
  <c r="BW304" i="36"/>
  <c r="BV304" i="36"/>
  <c r="BU304" i="36"/>
  <c r="BT304" i="36"/>
  <c r="BS304" i="36"/>
  <c r="BR304" i="36"/>
  <c r="BQ304" i="36"/>
  <c r="BP304" i="36"/>
  <c r="BO304" i="36"/>
  <c r="BN304" i="36"/>
  <c r="BM304" i="36"/>
  <c r="BL304" i="36"/>
  <c r="BG304" i="36"/>
  <c r="BF304" i="36"/>
  <c r="BE304" i="36"/>
  <c r="BD304" i="36"/>
  <c r="BC304" i="36"/>
  <c r="BB304" i="36"/>
  <c r="BA304" i="36"/>
  <c r="AZ304" i="36"/>
  <c r="AY304" i="36"/>
  <c r="AX304" i="36"/>
  <c r="AW304" i="36"/>
  <c r="AV304" i="36"/>
  <c r="AU304" i="36"/>
  <c r="AT304" i="36"/>
  <c r="AS304" i="36"/>
  <c r="AP304" i="36"/>
  <c r="BI304" i="36" s="1"/>
  <c r="BZ303" i="36"/>
  <c r="BY303" i="36"/>
  <c r="BX303" i="36"/>
  <c r="BW303" i="36"/>
  <c r="BV303" i="36"/>
  <c r="BU303" i="36"/>
  <c r="BT303" i="36"/>
  <c r="BS303" i="36"/>
  <c r="BR303" i="36"/>
  <c r="BQ303" i="36"/>
  <c r="BP303" i="36"/>
  <c r="BO303" i="36"/>
  <c r="BN303" i="36"/>
  <c r="BM303" i="36"/>
  <c r="BL303" i="36"/>
  <c r="BG303" i="36"/>
  <c r="BF303" i="36"/>
  <c r="BE303" i="36"/>
  <c r="BD303" i="36"/>
  <c r="BC303" i="36"/>
  <c r="BB303" i="36"/>
  <c r="BA303" i="36"/>
  <c r="AZ303" i="36"/>
  <c r="AY303" i="36"/>
  <c r="AX303" i="36"/>
  <c r="AW303" i="36"/>
  <c r="AV303" i="36"/>
  <c r="AU303" i="36"/>
  <c r="AT303" i="36"/>
  <c r="AS303" i="36"/>
  <c r="AR303" i="36"/>
  <c r="BK303" i="36" s="1"/>
  <c r="AQ303" i="36"/>
  <c r="BJ303" i="36" s="1"/>
  <c r="AP303" i="36"/>
  <c r="BI303" i="36" s="1"/>
  <c r="AP302" i="36"/>
  <c r="BI302" i="36" s="1"/>
  <c r="BZ301" i="36"/>
  <c r="BY301" i="36"/>
  <c r="BX301" i="36"/>
  <c r="BW301" i="36"/>
  <c r="BV301" i="36"/>
  <c r="BU301" i="36"/>
  <c r="BT301" i="36"/>
  <c r="BS301" i="36"/>
  <c r="BR301" i="36"/>
  <c r="BQ301" i="36"/>
  <c r="BP301" i="36"/>
  <c r="BO301" i="36"/>
  <c r="BN301" i="36"/>
  <c r="BM301" i="36"/>
  <c r="BL301" i="36"/>
  <c r="BG301" i="36"/>
  <c r="BF301" i="36"/>
  <c r="BE301" i="36"/>
  <c r="BD301" i="36"/>
  <c r="BC301" i="36"/>
  <c r="BB301" i="36"/>
  <c r="BA301" i="36"/>
  <c r="AZ301" i="36"/>
  <c r="AY301" i="36"/>
  <c r="AX301" i="36"/>
  <c r="AW301" i="36"/>
  <c r="AV301" i="36"/>
  <c r="AU301" i="36"/>
  <c r="AT301" i="36"/>
  <c r="AS301" i="36"/>
  <c r="AP301" i="36"/>
  <c r="BI301" i="36" s="1"/>
  <c r="BZ300" i="36"/>
  <c r="BY300" i="36"/>
  <c r="BX300" i="36"/>
  <c r="BW300" i="36"/>
  <c r="BV300" i="36"/>
  <c r="BU300" i="36"/>
  <c r="BT300" i="36"/>
  <c r="BS300" i="36"/>
  <c r="BR300" i="36"/>
  <c r="BQ300" i="36"/>
  <c r="BP300" i="36"/>
  <c r="BO300" i="36"/>
  <c r="BN300" i="36"/>
  <c r="BM300" i="36"/>
  <c r="BL300" i="36"/>
  <c r="BG300" i="36"/>
  <c r="BF300" i="36"/>
  <c r="BE300" i="36"/>
  <c r="BD300" i="36"/>
  <c r="BC300" i="36"/>
  <c r="BB300" i="36"/>
  <c r="BA300" i="36"/>
  <c r="AZ300" i="36"/>
  <c r="AY300" i="36"/>
  <c r="AX300" i="36"/>
  <c r="AW300" i="36"/>
  <c r="AV300" i="36"/>
  <c r="AU300" i="36"/>
  <c r="AT300" i="36"/>
  <c r="AS300" i="36"/>
  <c r="AR300" i="36"/>
  <c r="BK300" i="36" s="1"/>
  <c r="AQ300" i="36"/>
  <c r="BJ300" i="36" s="1"/>
  <c r="AP300" i="36"/>
  <c r="BI300" i="36" s="1"/>
  <c r="AP299" i="36"/>
  <c r="BI299" i="36" s="1"/>
  <c r="BZ298" i="36"/>
  <c r="BY298" i="36"/>
  <c r="BX298" i="36"/>
  <c r="BW298" i="36"/>
  <c r="BV298" i="36"/>
  <c r="BU298" i="36"/>
  <c r="BT298" i="36"/>
  <c r="BS298" i="36"/>
  <c r="BR298" i="36"/>
  <c r="BQ298" i="36"/>
  <c r="BP298" i="36"/>
  <c r="BO298" i="36"/>
  <c r="BN298" i="36"/>
  <c r="BM298" i="36"/>
  <c r="BL298" i="36"/>
  <c r="BG298" i="36"/>
  <c r="BF298" i="36"/>
  <c r="BE298" i="36"/>
  <c r="BD298" i="36"/>
  <c r="BC298" i="36"/>
  <c r="BB298" i="36"/>
  <c r="BA298" i="36"/>
  <c r="AZ298" i="36"/>
  <c r="AY298" i="36"/>
  <c r="AX298" i="36"/>
  <c r="AW298" i="36"/>
  <c r="AV298" i="36"/>
  <c r="AU298" i="36"/>
  <c r="AT298" i="36"/>
  <c r="AS298" i="36"/>
  <c r="AP298" i="36"/>
  <c r="BI298" i="36" s="1"/>
  <c r="BZ297" i="36"/>
  <c r="BY297" i="36"/>
  <c r="BX297" i="36"/>
  <c r="BW297" i="36"/>
  <c r="BV297" i="36"/>
  <c r="BU297" i="36"/>
  <c r="BT297" i="36"/>
  <c r="BS297" i="36"/>
  <c r="BR297" i="36"/>
  <c r="BQ297" i="36"/>
  <c r="BP297" i="36"/>
  <c r="BO297" i="36"/>
  <c r="BN297" i="36"/>
  <c r="BM297" i="36"/>
  <c r="BL297" i="36"/>
  <c r="BG297" i="36"/>
  <c r="BF297" i="36"/>
  <c r="BE297" i="36"/>
  <c r="BD297" i="36"/>
  <c r="BC297" i="36"/>
  <c r="BB297" i="36"/>
  <c r="BA297" i="36"/>
  <c r="AZ297" i="36"/>
  <c r="AY297" i="36"/>
  <c r="AX297" i="36"/>
  <c r="AW297" i="36"/>
  <c r="AV297" i="36"/>
  <c r="AU297" i="36"/>
  <c r="AT297" i="36"/>
  <c r="AS297" i="36"/>
  <c r="AR297" i="36"/>
  <c r="BK297" i="36" s="1"/>
  <c r="AQ297" i="36"/>
  <c r="BJ297" i="36" s="1"/>
  <c r="AP297" i="36"/>
  <c r="BI297" i="36" s="1"/>
  <c r="AP296" i="36"/>
  <c r="BI296" i="36" s="1"/>
  <c r="BZ295" i="36"/>
  <c r="BY295" i="36"/>
  <c r="BX295" i="36"/>
  <c r="BW295" i="36"/>
  <c r="BV295" i="36"/>
  <c r="BU295" i="36"/>
  <c r="BT295" i="36"/>
  <c r="BS295" i="36"/>
  <c r="BR295" i="36"/>
  <c r="BQ295" i="36"/>
  <c r="BP295" i="36"/>
  <c r="BO295" i="36"/>
  <c r="BN295" i="36"/>
  <c r="BM295" i="36"/>
  <c r="BL295" i="36"/>
  <c r="BG295" i="36"/>
  <c r="BF295" i="36"/>
  <c r="BE295" i="36"/>
  <c r="BD295" i="36"/>
  <c r="BC295" i="36"/>
  <c r="BB295" i="36"/>
  <c r="BA295" i="36"/>
  <c r="AZ295" i="36"/>
  <c r="AY295" i="36"/>
  <c r="AX295" i="36"/>
  <c r="AW295" i="36"/>
  <c r="AV295" i="36"/>
  <c r="AU295" i="36"/>
  <c r="AT295" i="36"/>
  <c r="AS295" i="36"/>
  <c r="AP295" i="36"/>
  <c r="BI295" i="36" s="1"/>
  <c r="BZ294" i="36"/>
  <c r="BY294" i="36"/>
  <c r="BX294" i="36"/>
  <c r="BW294" i="36"/>
  <c r="BV294" i="36"/>
  <c r="BU294" i="36"/>
  <c r="BT294" i="36"/>
  <c r="BS294" i="36"/>
  <c r="BR294" i="36"/>
  <c r="BQ294" i="36"/>
  <c r="BP294" i="36"/>
  <c r="BO294" i="36"/>
  <c r="BN294" i="36"/>
  <c r="BM294" i="36"/>
  <c r="BL294" i="36"/>
  <c r="BG294" i="36"/>
  <c r="BF294" i="36"/>
  <c r="BE294" i="36"/>
  <c r="BD294" i="36"/>
  <c r="BC294" i="36"/>
  <c r="BB294" i="36"/>
  <c r="BA294" i="36"/>
  <c r="AZ294" i="36"/>
  <c r="AY294" i="36"/>
  <c r="AX294" i="36"/>
  <c r="AW294" i="36"/>
  <c r="AV294" i="36"/>
  <c r="AU294" i="36"/>
  <c r="AT294" i="36"/>
  <c r="AS294" i="36"/>
  <c r="AR294" i="36"/>
  <c r="BK294" i="36" s="1"/>
  <c r="AQ294" i="36"/>
  <c r="BJ294" i="36" s="1"/>
  <c r="AP294" i="36"/>
  <c r="BI294" i="36" s="1"/>
  <c r="AP293" i="36"/>
  <c r="BI293" i="36" s="1"/>
  <c r="BZ292" i="36"/>
  <c r="BY292" i="36"/>
  <c r="BX292" i="36"/>
  <c r="BW292" i="36"/>
  <c r="BV292" i="36"/>
  <c r="BU292" i="36"/>
  <c r="BT292" i="36"/>
  <c r="BS292" i="36"/>
  <c r="BR292" i="36"/>
  <c r="BQ292" i="36"/>
  <c r="BP292" i="36"/>
  <c r="BO292" i="36"/>
  <c r="BN292" i="36"/>
  <c r="BM292" i="36"/>
  <c r="BL292" i="36"/>
  <c r="BG292" i="36"/>
  <c r="BF292" i="36"/>
  <c r="BE292" i="36"/>
  <c r="BD292" i="36"/>
  <c r="BC292" i="36"/>
  <c r="BB292" i="36"/>
  <c r="BA292" i="36"/>
  <c r="AZ292" i="36"/>
  <c r="AY292" i="36"/>
  <c r="AX292" i="36"/>
  <c r="AW292" i="36"/>
  <c r="AV292" i="36"/>
  <c r="AU292" i="36"/>
  <c r="AT292" i="36"/>
  <c r="AS292" i="36"/>
  <c r="AP292" i="36"/>
  <c r="BI292" i="36" s="1"/>
  <c r="BZ291" i="36"/>
  <c r="BY291" i="36"/>
  <c r="BX291" i="36"/>
  <c r="BW291" i="36"/>
  <c r="BV291" i="36"/>
  <c r="BU291" i="36"/>
  <c r="BT291" i="36"/>
  <c r="BS291" i="36"/>
  <c r="BR291" i="36"/>
  <c r="BQ291" i="36"/>
  <c r="BP291" i="36"/>
  <c r="BO291" i="36"/>
  <c r="BN291" i="36"/>
  <c r="BM291" i="36"/>
  <c r="BL291" i="36"/>
  <c r="BG291" i="36"/>
  <c r="BF291" i="36"/>
  <c r="BE291" i="36"/>
  <c r="BD291" i="36"/>
  <c r="BC291" i="36"/>
  <c r="BB291" i="36"/>
  <c r="BA291" i="36"/>
  <c r="AZ291" i="36"/>
  <c r="AY291" i="36"/>
  <c r="AX291" i="36"/>
  <c r="AW291" i="36"/>
  <c r="AV291" i="36"/>
  <c r="AU291" i="36"/>
  <c r="AT291" i="36"/>
  <c r="AS291" i="36"/>
  <c r="AR291" i="36"/>
  <c r="BK291" i="36" s="1"/>
  <c r="AQ291" i="36"/>
  <c r="BJ291" i="36" s="1"/>
  <c r="AP291" i="36"/>
  <c r="BI291" i="36" s="1"/>
  <c r="AP290" i="36"/>
  <c r="BI290" i="36" s="1"/>
  <c r="BZ289" i="36"/>
  <c r="BY289" i="36"/>
  <c r="BX289" i="36"/>
  <c r="BW289" i="36"/>
  <c r="BV289" i="36"/>
  <c r="BU289" i="36"/>
  <c r="BT289" i="36"/>
  <c r="BS289" i="36"/>
  <c r="BR289" i="36"/>
  <c r="BQ289" i="36"/>
  <c r="BP289" i="36"/>
  <c r="BO289" i="36"/>
  <c r="BN289" i="36"/>
  <c r="BM289" i="36"/>
  <c r="BL289" i="36"/>
  <c r="BG289" i="36"/>
  <c r="BF289" i="36"/>
  <c r="BE289" i="36"/>
  <c r="BD289" i="36"/>
  <c r="BC289" i="36"/>
  <c r="BB289" i="36"/>
  <c r="BA289" i="36"/>
  <c r="AZ289" i="36"/>
  <c r="AY289" i="36"/>
  <c r="AX289" i="36"/>
  <c r="AW289" i="36"/>
  <c r="AV289" i="36"/>
  <c r="AU289" i="36"/>
  <c r="AT289" i="36"/>
  <c r="AS289" i="36"/>
  <c r="AP289" i="36"/>
  <c r="BI289" i="36" s="1"/>
  <c r="BZ288" i="36"/>
  <c r="BY288" i="36"/>
  <c r="BX288" i="36"/>
  <c r="BW288" i="36"/>
  <c r="BV288" i="36"/>
  <c r="BU288" i="36"/>
  <c r="BT288" i="36"/>
  <c r="BS288" i="36"/>
  <c r="BR288" i="36"/>
  <c r="BQ288" i="36"/>
  <c r="BP288" i="36"/>
  <c r="BO288" i="36"/>
  <c r="BN288" i="36"/>
  <c r="BM288" i="36"/>
  <c r="BL288" i="36"/>
  <c r="BG288" i="36"/>
  <c r="BF288" i="36"/>
  <c r="BE288" i="36"/>
  <c r="BD288" i="36"/>
  <c r="BC288" i="36"/>
  <c r="BB288" i="36"/>
  <c r="BA288" i="36"/>
  <c r="AZ288" i="36"/>
  <c r="AY288" i="36"/>
  <c r="AX288" i="36"/>
  <c r="AW288" i="36"/>
  <c r="AV288" i="36"/>
  <c r="AU288" i="36"/>
  <c r="AT288" i="36"/>
  <c r="AS288" i="36"/>
  <c r="AR288" i="36"/>
  <c r="BK288" i="36" s="1"/>
  <c r="AQ288" i="36"/>
  <c r="BJ288" i="36" s="1"/>
  <c r="AP288" i="36"/>
  <c r="BI288" i="36" s="1"/>
  <c r="AP287" i="36"/>
  <c r="BI287" i="36" s="1"/>
  <c r="BZ286" i="36"/>
  <c r="BY286" i="36"/>
  <c r="BX286" i="36"/>
  <c r="BW286" i="36"/>
  <c r="BV286" i="36"/>
  <c r="BU286" i="36"/>
  <c r="BT286" i="36"/>
  <c r="BS286" i="36"/>
  <c r="BR286" i="36"/>
  <c r="BQ286" i="36"/>
  <c r="BP286" i="36"/>
  <c r="BO286" i="36"/>
  <c r="BN286" i="36"/>
  <c r="BM286" i="36"/>
  <c r="BL286" i="36"/>
  <c r="BG286" i="36"/>
  <c r="BF286" i="36"/>
  <c r="BE286" i="36"/>
  <c r="BD286" i="36"/>
  <c r="BC286" i="36"/>
  <c r="BB286" i="36"/>
  <c r="BA286" i="36"/>
  <c r="AZ286" i="36"/>
  <c r="AY286" i="36"/>
  <c r="AX286" i="36"/>
  <c r="AW286" i="36"/>
  <c r="AV286" i="36"/>
  <c r="AU286" i="36"/>
  <c r="AT286" i="36"/>
  <c r="AS286" i="36"/>
  <c r="AP286" i="36"/>
  <c r="BI286" i="36" s="1"/>
  <c r="BZ285" i="36"/>
  <c r="BY285" i="36"/>
  <c r="BX285" i="36"/>
  <c r="BW285" i="36"/>
  <c r="BV285" i="36"/>
  <c r="BU285" i="36"/>
  <c r="BT285" i="36"/>
  <c r="BS285" i="36"/>
  <c r="BR285" i="36"/>
  <c r="BQ285" i="36"/>
  <c r="BP285" i="36"/>
  <c r="BO285" i="36"/>
  <c r="BN285" i="36"/>
  <c r="BM285" i="36"/>
  <c r="BL285" i="36"/>
  <c r="BG285" i="36"/>
  <c r="BF285" i="36"/>
  <c r="BE285" i="36"/>
  <c r="BD285" i="36"/>
  <c r="BC285" i="36"/>
  <c r="BB285" i="36"/>
  <c r="BA285" i="36"/>
  <c r="AZ285" i="36"/>
  <c r="AY285" i="36"/>
  <c r="AX285" i="36"/>
  <c r="AW285" i="36"/>
  <c r="AV285" i="36"/>
  <c r="AU285" i="36"/>
  <c r="AT285" i="36"/>
  <c r="AS285" i="36"/>
  <c r="AR285" i="36"/>
  <c r="BK285" i="36" s="1"/>
  <c r="AQ285" i="36"/>
  <c r="BJ285" i="36" s="1"/>
  <c r="AP285" i="36"/>
  <c r="BI285" i="36" s="1"/>
  <c r="AP284" i="36"/>
  <c r="BI284" i="36" s="1"/>
  <c r="BZ283" i="36"/>
  <c r="BY283" i="36"/>
  <c r="BX283" i="36"/>
  <c r="BW283" i="36"/>
  <c r="BV283" i="36"/>
  <c r="BU283" i="36"/>
  <c r="BT283" i="36"/>
  <c r="BS283" i="36"/>
  <c r="BR283" i="36"/>
  <c r="BQ283" i="36"/>
  <c r="BP283" i="36"/>
  <c r="BO283" i="36"/>
  <c r="BN283" i="36"/>
  <c r="BM283" i="36"/>
  <c r="BL283" i="36"/>
  <c r="BG283" i="36"/>
  <c r="BF283" i="36"/>
  <c r="BE283" i="36"/>
  <c r="BD283" i="36"/>
  <c r="BC283" i="36"/>
  <c r="BB283" i="36"/>
  <c r="BA283" i="36"/>
  <c r="AZ283" i="36"/>
  <c r="AY283" i="36"/>
  <c r="AX283" i="36"/>
  <c r="AW283" i="36"/>
  <c r="AV283" i="36"/>
  <c r="AU283" i="36"/>
  <c r="AT283" i="36"/>
  <c r="AS283" i="36"/>
  <c r="AP283" i="36"/>
  <c r="BI283" i="36" s="1"/>
  <c r="BZ282" i="36"/>
  <c r="BY282" i="36"/>
  <c r="BX282" i="36"/>
  <c r="BW282" i="36"/>
  <c r="BV282" i="36"/>
  <c r="BU282" i="36"/>
  <c r="BT282" i="36"/>
  <c r="BS282" i="36"/>
  <c r="BR282" i="36"/>
  <c r="BQ282" i="36"/>
  <c r="BP282" i="36"/>
  <c r="BO282" i="36"/>
  <c r="BN282" i="36"/>
  <c r="BM282" i="36"/>
  <c r="BL282" i="36"/>
  <c r="BG282" i="36"/>
  <c r="BF282" i="36"/>
  <c r="BE282" i="36"/>
  <c r="BD282" i="36"/>
  <c r="BC282" i="36"/>
  <c r="BB282" i="36"/>
  <c r="BA282" i="36"/>
  <c r="AZ282" i="36"/>
  <c r="AY282" i="36"/>
  <c r="AX282" i="36"/>
  <c r="AW282" i="36"/>
  <c r="AV282" i="36"/>
  <c r="AU282" i="36"/>
  <c r="AT282" i="36"/>
  <c r="AS282" i="36"/>
  <c r="AR282" i="36"/>
  <c r="BK282" i="36" s="1"/>
  <c r="AQ282" i="36"/>
  <c r="BJ282" i="36" s="1"/>
  <c r="AP282" i="36"/>
  <c r="BI282" i="36" s="1"/>
  <c r="AP281" i="36"/>
  <c r="BI281" i="36" s="1"/>
  <c r="BZ280" i="36"/>
  <c r="BY280" i="36"/>
  <c r="BX280" i="36"/>
  <c r="BW280" i="36"/>
  <c r="BV280" i="36"/>
  <c r="BU280" i="36"/>
  <c r="BT280" i="36"/>
  <c r="BS280" i="36"/>
  <c r="BR280" i="36"/>
  <c r="BQ280" i="36"/>
  <c r="BP280" i="36"/>
  <c r="BO280" i="36"/>
  <c r="BN280" i="36"/>
  <c r="BM280" i="36"/>
  <c r="BL280" i="36"/>
  <c r="BG280" i="36"/>
  <c r="BF280" i="36"/>
  <c r="BE280" i="36"/>
  <c r="BD280" i="36"/>
  <c r="BC280" i="36"/>
  <c r="BB280" i="36"/>
  <c r="BA280" i="36"/>
  <c r="AZ280" i="36"/>
  <c r="AY280" i="36"/>
  <c r="AX280" i="36"/>
  <c r="AW280" i="36"/>
  <c r="AV280" i="36"/>
  <c r="AU280" i="36"/>
  <c r="AT280" i="36"/>
  <c r="AS280" i="36"/>
  <c r="AP280" i="36"/>
  <c r="BI280" i="36" s="1"/>
  <c r="BZ279" i="36"/>
  <c r="BY279" i="36"/>
  <c r="BX279" i="36"/>
  <c r="BW279" i="36"/>
  <c r="BV279" i="36"/>
  <c r="BU279" i="36"/>
  <c r="BT279" i="36"/>
  <c r="BS279" i="36"/>
  <c r="BR279" i="36"/>
  <c r="BQ279" i="36"/>
  <c r="BP279" i="36"/>
  <c r="BO279" i="36"/>
  <c r="BN279" i="36"/>
  <c r="BM279" i="36"/>
  <c r="BL279" i="36"/>
  <c r="BG279" i="36"/>
  <c r="BF279" i="36"/>
  <c r="BE279" i="36"/>
  <c r="BD279" i="36"/>
  <c r="BC279" i="36"/>
  <c r="BB279" i="36"/>
  <c r="BA279" i="36"/>
  <c r="AZ279" i="36"/>
  <c r="AY279" i="36"/>
  <c r="AX279" i="36"/>
  <c r="AW279" i="36"/>
  <c r="AV279" i="36"/>
  <c r="AU279" i="36"/>
  <c r="AT279" i="36"/>
  <c r="AS279" i="36"/>
  <c r="AR279" i="36"/>
  <c r="BK279" i="36" s="1"/>
  <c r="AQ279" i="36"/>
  <c r="BJ279" i="36" s="1"/>
  <c r="AP279" i="36"/>
  <c r="BI279" i="36" s="1"/>
  <c r="AP278" i="36"/>
  <c r="BI278" i="36" s="1"/>
  <c r="BZ277" i="36"/>
  <c r="BY277" i="36"/>
  <c r="BX277" i="36"/>
  <c r="BW277" i="36"/>
  <c r="BV277" i="36"/>
  <c r="BU277" i="36"/>
  <c r="BT277" i="36"/>
  <c r="BS277" i="36"/>
  <c r="BR277" i="36"/>
  <c r="BQ277" i="36"/>
  <c r="BP277" i="36"/>
  <c r="BO277" i="36"/>
  <c r="BN277" i="36"/>
  <c r="BM277" i="36"/>
  <c r="BL277" i="36"/>
  <c r="BG277" i="36"/>
  <c r="BF277" i="36"/>
  <c r="BE277" i="36"/>
  <c r="BD277" i="36"/>
  <c r="BC277" i="36"/>
  <c r="BB277" i="36"/>
  <c r="BA277" i="36"/>
  <c r="AZ277" i="36"/>
  <c r="AY277" i="36"/>
  <c r="AX277" i="36"/>
  <c r="AW277" i="36"/>
  <c r="AV277" i="36"/>
  <c r="AU277" i="36"/>
  <c r="AT277" i="36"/>
  <c r="AS277" i="36"/>
  <c r="AP277" i="36"/>
  <c r="BI277" i="36" s="1"/>
  <c r="BZ276" i="36"/>
  <c r="BY276" i="36"/>
  <c r="BX276" i="36"/>
  <c r="BW276" i="36"/>
  <c r="BV276" i="36"/>
  <c r="BU276" i="36"/>
  <c r="BT276" i="36"/>
  <c r="BS276" i="36"/>
  <c r="BR276" i="36"/>
  <c r="BQ276" i="36"/>
  <c r="BP276" i="36"/>
  <c r="BO276" i="36"/>
  <c r="BN276" i="36"/>
  <c r="BM276" i="36"/>
  <c r="BL276" i="36"/>
  <c r="BG276" i="36"/>
  <c r="BF276" i="36"/>
  <c r="BE276" i="36"/>
  <c r="BD276" i="36"/>
  <c r="BC276" i="36"/>
  <c r="BB276" i="36"/>
  <c r="BA276" i="36"/>
  <c r="AZ276" i="36"/>
  <c r="AY276" i="36"/>
  <c r="AX276" i="36"/>
  <c r="AW276" i="36"/>
  <c r="AV276" i="36"/>
  <c r="AU276" i="36"/>
  <c r="AT276" i="36"/>
  <c r="AS276" i="36"/>
  <c r="AR276" i="36"/>
  <c r="BK276" i="36" s="1"/>
  <c r="AQ276" i="36"/>
  <c r="BJ276" i="36" s="1"/>
  <c r="AP276" i="36"/>
  <c r="BI276" i="36" s="1"/>
  <c r="AP275" i="36"/>
  <c r="BI275" i="36" s="1"/>
  <c r="BZ274" i="36"/>
  <c r="BY274" i="36"/>
  <c r="BX274" i="36"/>
  <c r="BW274" i="36"/>
  <c r="BV274" i="36"/>
  <c r="BU274" i="36"/>
  <c r="BT274" i="36"/>
  <c r="BS274" i="36"/>
  <c r="BR274" i="36"/>
  <c r="BQ274" i="36"/>
  <c r="BP274" i="36"/>
  <c r="BO274" i="36"/>
  <c r="BN274" i="36"/>
  <c r="BM274" i="36"/>
  <c r="BL274" i="36"/>
  <c r="BG274" i="36"/>
  <c r="BF274" i="36"/>
  <c r="BE274" i="36"/>
  <c r="BD274" i="36"/>
  <c r="BC274" i="36"/>
  <c r="BB274" i="36"/>
  <c r="BA274" i="36"/>
  <c r="AZ274" i="36"/>
  <c r="AY274" i="36"/>
  <c r="AX274" i="36"/>
  <c r="AW274" i="36"/>
  <c r="AV274" i="36"/>
  <c r="AU274" i="36"/>
  <c r="AT274" i="36"/>
  <c r="AS274" i="36"/>
  <c r="AP274" i="36"/>
  <c r="BI274" i="36" s="1"/>
  <c r="BZ273" i="36"/>
  <c r="BY273" i="36"/>
  <c r="BX273" i="36"/>
  <c r="BW273" i="36"/>
  <c r="BV273" i="36"/>
  <c r="BU273" i="36"/>
  <c r="BT273" i="36"/>
  <c r="BS273" i="36"/>
  <c r="BR273" i="36"/>
  <c r="BQ273" i="36"/>
  <c r="BP273" i="36"/>
  <c r="BO273" i="36"/>
  <c r="BN273" i="36"/>
  <c r="BM273" i="36"/>
  <c r="BL273" i="36"/>
  <c r="BG273" i="36"/>
  <c r="BF273" i="36"/>
  <c r="BE273" i="36"/>
  <c r="BD273" i="36"/>
  <c r="BC273" i="36"/>
  <c r="BB273" i="36"/>
  <c r="BA273" i="36"/>
  <c r="AZ273" i="36"/>
  <c r="AY273" i="36"/>
  <c r="AX273" i="36"/>
  <c r="AW273" i="36"/>
  <c r="AV273" i="36"/>
  <c r="AU273" i="36"/>
  <c r="AT273" i="36"/>
  <c r="AS273" i="36"/>
  <c r="AR273" i="36"/>
  <c r="BK273" i="36" s="1"/>
  <c r="AQ273" i="36"/>
  <c r="BJ273" i="36" s="1"/>
  <c r="AP273" i="36"/>
  <c r="BI273" i="36" s="1"/>
  <c r="AP272" i="36"/>
  <c r="BI272" i="36" s="1"/>
  <c r="BZ271" i="36"/>
  <c r="BY271" i="36"/>
  <c r="BX271" i="36"/>
  <c r="BW271" i="36"/>
  <c r="BV271" i="36"/>
  <c r="BU271" i="36"/>
  <c r="BT271" i="36"/>
  <c r="BS271" i="36"/>
  <c r="BR271" i="36"/>
  <c r="BQ271" i="36"/>
  <c r="BP271" i="36"/>
  <c r="BO271" i="36"/>
  <c r="BN271" i="36"/>
  <c r="BM271" i="36"/>
  <c r="BL271" i="36"/>
  <c r="BG271" i="36"/>
  <c r="BF271" i="36"/>
  <c r="BE271" i="36"/>
  <c r="BD271" i="36"/>
  <c r="BC271" i="36"/>
  <c r="BB271" i="36"/>
  <c r="BA271" i="36"/>
  <c r="AZ271" i="36"/>
  <c r="AY271" i="36"/>
  <c r="AX271" i="36"/>
  <c r="AW271" i="36"/>
  <c r="AV271" i="36"/>
  <c r="AU271" i="36"/>
  <c r="AT271" i="36"/>
  <c r="AS271" i="36"/>
  <c r="AP271" i="36"/>
  <c r="BI271" i="36" s="1"/>
  <c r="BZ270" i="36"/>
  <c r="BY270" i="36"/>
  <c r="BX270" i="36"/>
  <c r="BW270" i="36"/>
  <c r="BV270" i="36"/>
  <c r="BU270" i="36"/>
  <c r="BT270" i="36"/>
  <c r="BS270" i="36"/>
  <c r="BR270" i="36"/>
  <c r="BQ270" i="36"/>
  <c r="BP270" i="36"/>
  <c r="BO270" i="36"/>
  <c r="BN270" i="36"/>
  <c r="BM270" i="36"/>
  <c r="BL270" i="36"/>
  <c r="BG270" i="36"/>
  <c r="BF270" i="36"/>
  <c r="BE270" i="36"/>
  <c r="BD270" i="36"/>
  <c r="BC270" i="36"/>
  <c r="BB270" i="36"/>
  <c r="BA270" i="36"/>
  <c r="AZ270" i="36"/>
  <c r="AY270" i="36"/>
  <c r="AX270" i="36"/>
  <c r="AW270" i="36"/>
  <c r="AV270" i="36"/>
  <c r="AU270" i="36"/>
  <c r="AT270" i="36"/>
  <c r="AS270" i="36"/>
  <c r="AR270" i="36"/>
  <c r="BK270" i="36" s="1"/>
  <c r="AQ270" i="36"/>
  <c r="BJ270" i="36" s="1"/>
  <c r="AP270" i="36"/>
  <c r="BI270" i="36" s="1"/>
  <c r="AP269" i="36"/>
  <c r="BI269" i="36" s="1"/>
  <c r="BZ268" i="36"/>
  <c r="BY268" i="36"/>
  <c r="BX268" i="36"/>
  <c r="BW268" i="36"/>
  <c r="BV268" i="36"/>
  <c r="BU268" i="36"/>
  <c r="BT268" i="36"/>
  <c r="BS268" i="36"/>
  <c r="BR268" i="36"/>
  <c r="BQ268" i="36"/>
  <c r="BP268" i="36"/>
  <c r="BO268" i="36"/>
  <c r="BN268" i="36"/>
  <c r="BM268" i="36"/>
  <c r="BL268" i="36"/>
  <c r="BG268" i="36"/>
  <c r="BF268" i="36"/>
  <c r="BE268" i="36"/>
  <c r="BD268" i="36"/>
  <c r="BC268" i="36"/>
  <c r="BB268" i="36"/>
  <c r="BA268" i="36"/>
  <c r="AZ268" i="36"/>
  <c r="AY268" i="36"/>
  <c r="AX268" i="36"/>
  <c r="AW268" i="36"/>
  <c r="AV268" i="36"/>
  <c r="AU268" i="36"/>
  <c r="AT268" i="36"/>
  <c r="AS268" i="36"/>
  <c r="AP268" i="36"/>
  <c r="BI268" i="36" s="1"/>
  <c r="BZ267" i="36"/>
  <c r="BY267" i="36"/>
  <c r="BX267" i="36"/>
  <c r="BW267" i="36"/>
  <c r="BV267" i="36"/>
  <c r="BU267" i="36"/>
  <c r="BT267" i="36"/>
  <c r="BS267" i="36"/>
  <c r="BR267" i="36"/>
  <c r="BQ267" i="36"/>
  <c r="BP267" i="36"/>
  <c r="BO267" i="36"/>
  <c r="BN267" i="36"/>
  <c r="BM267" i="36"/>
  <c r="BL267" i="36"/>
  <c r="BG267" i="36"/>
  <c r="BF267" i="36"/>
  <c r="BE267" i="36"/>
  <c r="BD267" i="36"/>
  <c r="BC267" i="36"/>
  <c r="BB267" i="36"/>
  <c r="BA267" i="36"/>
  <c r="AZ267" i="36"/>
  <c r="AY267" i="36"/>
  <c r="AX267" i="36"/>
  <c r="AW267" i="36"/>
  <c r="AV267" i="36"/>
  <c r="AU267" i="36"/>
  <c r="AT267" i="36"/>
  <c r="AS267" i="36"/>
  <c r="AR267" i="36"/>
  <c r="BK267" i="36" s="1"/>
  <c r="AQ267" i="36"/>
  <c r="BJ267" i="36" s="1"/>
  <c r="AP267" i="36"/>
  <c r="BI267" i="36" s="1"/>
  <c r="AP266" i="36"/>
  <c r="BI266" i="36" s="1"/>
  <c r="BZ265" i="36"/>
  <c r="BY265" i="36"/>
  <c r="BX265" i="36"/>
  <c r="BW265" i="36"/>
  <c r="BV265" i="36"/>
  <c r="BU265" i="36"/>
  <c r="BT265" i="36"/>
  <c r="BS265" i="36"/>
  <c r="BR265" i="36"/>
  <c r="BQ265" i="36"/>
  <c r="BP265" i="36"/>
  <c r="BO265" i="36"/>
  <c r="BN265" i="36"/>
  <c r="BM265" i="36"/>
  <c r="BL265" i="36"/>
  <c r="BG265" i="36"/>
  <c r="BF265" i="36"/>
  <c r="BE265" i="36"/>
  <c r="BD265" i="36"/>
  <c r="BC265" i="36"/>
  <c r="BB265" i="36"/>
  <c r="BA265" i="36"/>
  <c r="AZ265" i="36"/>
  <c r="AY265" i="36"/>
  <c r="AX265" i="36"/>
  <c r="AW265" i="36"/>
  <c r="AV265" i="36"/>
  <c r="AU265" i="36"/>
  <c r="AT265" i="36"/>
  <c r="AS265" i="36"/>
  <c r="AP265" i="36"/>
  <c r="BI265" i="36" s="1"/>
  <c r="BZ264" i="36"/>
  <c r="BY264" i="36"/>
  <c r="BX264" i="36"/>
  <c r="BW264" i="36"/>
  <c r="BV264" i="36"/>
  <c r="BU264" i="36"/>
  <c r="BT264" i="36"/>
  <c r="BS264" i="36"/>
  <c r="BR264" i="36"/>
  <c r="BQ264" i="36"/>
  <c r="BP264" i="36"/>
  <c r="BO264" i="36"/>
  <c r="BN264" i="36"/>
  <c r="BM264" i="36"/>
  <c r="BL264" i="36"/>
  <c r="BG264" i="36"/>
  <c r="BF264" i="36"/>
  <c r="BE264" i="36"/>
  <c r="BD264" i="36"/>
  <c r="BC264" i="36"/>
  <c r="BB264" i="36"/>
  <c r="BA264" i="36"/>
  <c r="AZ264" i="36"/>
  <c r="AY264" i="36"/>
  <c r="AX264" i="36"/>
  <c r="AW264" i="36"/>
  <c r="AV264" i="36"/>
  <c r="AU264" i="36"/>
  <c r="AT264" i="36"/>
  <c r="AS264" i="36"/>
  <c r="AR264" i="36"/>
  <c r="BK264" i="36" s="1"/>
  <c r="AQ264" i="36"/>
  <c r="BJ264" i="36" s="1"/>
  <c r="AP264" i="36"/>
  <c r="BI264" i="36" s="1"/>
  <c r="AP263" i="36"/>
  <c r="BI263" i="36" s="1"/>
  <c r="BZ262" i="36"/>
  <c r="BY262" i="36"/>
  <c r="BX262" i="36"/>
  <c r="BW262" i="36"/>
  <c r="BV262" i="36"/>
  <c r="BU262" i="36"/>
  <c r="BT262" i="36"/>
  <c r="BS262" i="36"/>
  <c r="BR262" i="36"/>
  <c r="BQ262" i="36"/>
  <c r="BP262" i="36"/>
  <c r="BO262" i="36"/>
  <c r="BN262" i="36"/>
  <c r="BM262" i="36"/>
  <c r="BL262" i="36"/>
  <c r="BG262" i="36"/>
  <c r="BF262" i="36"/>
  <c r="BE262" i="36"/>
  <c r="BD262" i="36"/>
  <c r="BC262" i="36"/>
  <c r="BB262" i="36"/>
  <c r="BA262" i="36"/>
  <c r="AZ262" i="36"/>
  <c r="AY262" i="36"/>
  <c r="AX262" i="36"/>
  <c r="AW262" i="36"/>
  <c r="AV262" i="36"/>
  <c r="AU262" i="36"/>
  <c r="AT262" i="36"/>
  <c r="AS262" i="36"/>
  <c r="AP262" i="36"/>
  <c r="BI262" i="36" s="1"/>
  <c r="BZ261" i="36"/>
  <c r="BY261" i="36"/>
  <c r="BX261" i="36"/>
  <c r="BW261" i="36"/>
  <c r="BV261" i="36"/>
  <c r="BU261" i="36"/>
  <c r="BT261" i="36"/>
  <c r="BS261" i="36"/>
  <c r="BR261" i="36"/>
  <c r="BQ261" i="36"/>
  <c r="BP261" i="36"/>
  <c r="BO261" i="36"/>
  <c r="BN261" i="36"/>
  <c r="BM261" i="36"/>
  <c r="BL261" i="36"/>
  <c r="BG261" i="36"/>
  <c r="BF261" i="36"/>
  <c r="BE261" i="36"/>
  <c r="BD261" i="36"/>
  <c r="BC261" i="36"/>
  <c r="BB261" i="36"/>
  <c r="BA261" i="36"/>
  <c r="AZ261" i="36"/>
  <c r="AY261" i="36"/>
  <c r="AX261" i="36"/>
  <c r="AW261" i="36"/>
  <c r="AV261" i="36"/>
  <c r="AU261" i="36"/>
  <c r="AT261" i="36"/>
  <c r="AS261" i="36"/>
  <c r="AR261" i="36"/>
  <c r="BK261" i="36" s="1"/>
  <c r="AQ261" i="36"/>
  <c r="BJ261" i="36" s="1"/>
  <c r="AP261" i="36"/>
  <c r="BI261" i="36" s="1"/>
  <c r="AP260" i="36"/>
  <c r="BI260" i="36" s="1"/>
  <c r="BZ259" i="36"/>
  <c r="BY259" i="36"/>
  <c r="BX259" i="36"/>
  <c r="BW259" i="36"/>
  <c r="BV259" i="36"/>
  <c r="BU259" i="36"/>
  <c r="BT259" i="36"/>
  <c r="BS259" i="36"/>
  <c r="BR259" i="36"/>
  <c r="BQ259" i="36"/>
  <c r="BP259" i="36"/>
  <c r="BO259" i="36"/>
  <c r="BN259" i="36"/>
  <c r="BM259" i="36"/>
  <c r="BL259" i="36"/>
  <c r="BG259" i="36"/>
  <c r="BF259" i="36"/>
  <c r="BE259" i="36"/>
  <c r="BD259" i="36"/>
  <c r="BC259" i="36"/>
  <c r="BB259" i="36"/>
  <c r="BA259" i="36"/>
  <c r="AZ259" i="36"/>
  <c r="AY259" i="36"/>
  <c r="AX259" i="36"/>
  <c r="AW259" i="36"/>
  <c r="AV259" i="36"/>
  <c r="AU259" i="36"/>
  <c r="AT259" i="36"/>
  <c r="AS259" i="36"/>
  <c r="AP259" i="36"/>
  <c r="BI259" i="36" s="1"/>
  <c r="BZ258" i="36"/>
  <c r="BY258" i="36"/>
  <c r="BX258" i="36"/>
  <c r="BW258" i="36"/>
  <c r="BV258" i="36"/>
  <c r="BU258" i="36"/>
  <c r="BT258" i="36"/>
  <c r="BS258" i="36"/>
  <c r="BR258" i="36"/>
  <c r="BQ258" i="36"/>
  <c r="BP258" i="36"/>
  <c r="BO258" i="36"/>
  <c r="BN258" i="36"/>
  <c r="BM258" i="36"/>
  <c r="BL258" i="36"/>
  <c r="BG258" i="36"/>
  <c r="BF258" i="36"/>
  <c r="BE258" i="36"/>
  <c r="BD258" i="36"/>
  <c r="BC258" i="36"/>
  <c r="BB258" i="36"/>
  <c r="BA258" i="36"/>
  <c r="AZ258" i="36"/>
  <c r="AY258" i="36"/>
  <c r="AX258" i="36"/>
  <c r="AW258" i="36"/>
  <c r="AV258" i="36"/>
  <c r="AU258" i="36"/>
  <c r="AT258" i="36"/>
  <c r="AS258" i="36"/>
  <c r="AR258" i="36"/>
  <c r="BK258" i="36" s="1"/>
  <c r="AQ258" i="36"/>
  <c r="BJ258" i="36" s="1"/>
  <c r="AP258" i="36"/>
  <c r="BI258" i="36" s="1"/>
  <c r="AP257" i="36"/>
  <c r="BI257" i="36" s="1"/>
  <c r="BZ256" i="36"/>
  <c r="BY256" i="36"/>
  <c r="BX256" i="36"/>
  <c r="BW256" i="36"/>
  <c r="BV256" i="36"/>
  <c r="BU256" i="36"/>
  <c r="BT256" i="36"/>
  <c r="BS256" i="36"/>
  <c r="BR256" i="36"/>
  <c r="BQ256" i="36"/>
  <c r="BP256" i="36"/>
  <c r="BO256" i="36"/>
  <c r="BN256" i="36"/>
  <c r="BM256" i="36"/>
  <c r="BL256" i="36"/>
  <c r="BG256" i="36"/>
  <c r="BF256" i="36"/>
  <c r="BE256" i="36"/>
  <c r="BD256" i="36"/>
  <c r="BC256" i="36"/>
  <c r="BB256" i="36"/>
  <c r="BA256" i="36"/>
  <c r="AZ256" i="36"/>
  <c r="AY256" i="36"/>
  <c r="AX256" i="36"/>
  <c r="AW256" i="36"/>
  <c r="AV256" i="36"/>
  <c r="AU256" i="36"/>
  <c r="AT256" i="36"/>
  <c r="AS256" i="36"/>
  <c r="AP256" i="36"/>
  <c r="BI256" i="36" s="1"/>
  <c r="BZ255" i="36"/>
  <c r="BY255" i="36"/>
  <c r="BX255" i="36"/>
  <c r="BW255" i="36"/>
  <c r="BV255" i="36"/>
  <c r="BU255" i="36"/>
  <c r="BT255" i="36"/>
  <c r="BS255" i="36"/>
  <c r="BR255" i="36"/>
  <c r="BQ255" i="36"/>
  <c r="BP255" i="36"/>
  <c r="BO255" i="36"/>
  <c r="BN255" i="36"/>
  <c r="BM255" i="36"/>
  <c r="BL255" i="36"/>
  <c r="BG255" i="36"/>
  <c r="BF255" i="36"/>
  <c r="BE255" i="36"/>
  <c r="BD255" i="36"/>
  <c r="BC255" i="36"/>
  <c r="BB255" i="36"/>
  <c r="BA255" i="36"/>
  <c r="AZ255" i="36"/>
  <c r="AY255" i="36"/>
  <c r="AX255" i="36"/>
  <c r="AW255" i="36"/>
  <c r="AV255" i="36"/>
  <c r="AU255" i="36"/>
  <c r="AT255" i="36"/>
  <c r="AS255" i="36"/>
  <c r="AR255" i="36"/>
  <c r="BK255" i="36" s="1"/>
  <c r="AQ255" i="36"/>
  <c r="BJ255" i="36" s="1"/>
  <c r="AP255" i="36"/>
  <c r="BI255" i="36" s="1"/>
  <c r="AP254" i="36"/>
  <c r="BI254" i="36" s="1"/>
  <c r="BZ253" i="36"/>
  <c r="BY253" i="36"/>
  <c r="BX253" i="36"/>
  <c r="BW253" i="36"/>
  <c r="BV253" i="36"/>
  <c r="BU253" i="36"/>
  <c r="BT253" i="36"/>
  <c r="BS253" i="36"/>
  <c r="BR253" i="36"/>
  <c r="BQ253" i="36"/>
  <c r="BP253" i="36"/>
  <c r="BO253" i="36"/>
  <c r="BN253" i="36"/>
  <c r="BM253" i="36"/>
  <c r="BL253" i="36"/>
  <c r="BG253" i="36"/>
  <c r="BF253" i="36"/>
  <c r="BE253" i="36"/>
  <c r="BD253" i="36"/>
  <c r="BC253" i="36"/>
  <c r="BB253" i="36"/>
  <c r="BA253" i="36"/>
  <c r="AZ253" i="36"/>
  <c r="AY253" i="36"/>
  <c r="AX253" i="36"/>
  <c r="AW253" i="36"/>
  <c r="AV253" i="36"/>
  <c r="AU253" i="36"/>
  <c r="AT253" i="36"/>
  <c r="AS253" i="36"/>
  <c r="AP253" i="36"/>
  <c r="BI253" i="36" s="1"/>
  <c r="BZ252" i="36"/>
  <c r="BY252" i="36"/>
  <c r="BX252" i="36"/>
  <c r="BW252" i="36"/>
  <c r="BV252" i="36"/>
  <c r="BU252" i="36"/>
  <c r="BT252" i="36"/>
  <c r="BS252" i="36"/>
  <c r="BR252" i="36"/>
  <c r="BQ252" i="36"/>
  <c r="BP252" i="36"/>
  <c r="BO252" i="36"/>
  <c r="BN252" i="36"/>
  <c r="BM252" i="36"/>
  <c r="BL252" i="36"/>
  <c r="BG252" i="36"/>
  <c r="BF252" i="36"/>
  <c r="BE252" i="36"/>
  <c r="BD252" i="36"/>
  <c r="BC252" i="36"/>
  <c r="BB252" i="36"/>
  <c r="BA252" i="36"/>
  <c r="AZ252" i="36"/>
  <c r="AY252" i="36"/>
  <c r="AX252" i="36"/>
  <c r="AW252" i="36"/>
  <c r="AV252" i="36"/>
  <c r="AU252" i="36"/>
  <c r="AT252" i="36"/>
  <c r="AS252" i="36"/>
  <c r="AR252" i="36"/>
  <c r="BK252" i="36" s="1"/>
  <c r="AQ252" i="36"/>
  <c r="BJ252" i="36" s="1"/>
  <c r="AP252" i="36"/>
  <c r="BI252" i="36" s="1"/>
  <c r="AP251" i="36"/>
  <c r="BI251" i="36" s="1"/>
  <c r="BZ250" i="36"/>
  <c r="BY250" i="36"/>
  <c r="BX250" i="36"/>
  <c r="BW250" i="36"/>
  <c r="BV250" i="36"/>
  <c r="BU250" i="36"/>
  <c r="BT250" i="36"/>
  <c r="BS250" i="36"/>
  <c r="BR250" i="36"/>
  <c r="BQ250" i="36"/>
  <c r="BP250" i="36"/>
  <c r="BO250" i="36"/>
  <c r="BN250" i="36"/>
  <c r="BM250" i="36"/>
  <c r="BL250" i="36"/>
  <c r="BG250" i="36"/>
  <c r="BF250" i="36"/>
  <c r="BE250" i="36"/>
  <c r="BD250" i="36"/>
  <c r="BC250" i="36"/>
  <c r="BB250" i="36"/>
  <c r="BA250" i="36"/>
  <c r="AZ250" i="36"/>
  <c r="AY250" i="36"/>
  <c r="AX250" i="36"/>
  <c r="AW250" i="36"/>
  <c r="AV250" i="36"/>
  <c r="AU250" i="36"/>
  <c r="AT250" i="36"/>
  <c r="AS250" i="36"/>
  <c r="AP250" i="36"/>
  <c r="BI250" i="36" s="1"/>
  <c r="BZ249" i="36"/>
  <c r="BY249" i="36"/>
  <c r="BX249" i="36"/>
  <c r="BW249" i="36"/>
  <c r="BV249" i="36"/>
  <c r="BU249" i="36"/>
  <c r="BT249" i="36"/>
  <c r="BS249" i="36"/>
  <c r="BR249" i="36"/>
  <c r="BQ249" i="36"/>
  <c r="BP249" i="36"/>
  <c r="BO249" i="36"/>
  <c r="BN249" i="36"/>
  <c r="BM249" i="36"/>
  <c r="BL249" i="36"/>
  <c r="BG249" i="36"/>
  <c r="BF249" i="36"/>
  <c r="BE249" i="36"/>
  <c r="BD249" i="36"/>
  <c r="BC249" i="36"/>
  <c r="BB249" i="36"/>
  <c r="BA249" i="36"/>
  <c r="AZ249" i="36"/>
  <c r="AY249" i="36"/>
  <c r="AX249" i="36"/>
  <c r="AW249" i="36"/>
  <c r="AV249" i="36"/>
  <c r="AU249" i="36"/>
  <c r="AT249" i="36"/>
  <c r="AS249" i="36"/>
  <c r="AR249" i="36"/>
  <c r="BK249" i="36" s="1"/>
  <c r="AQ249" i="36"/>
  <c r="BJ249" i="36" s="1"/>
  <c r="AP249" i="36"/>
  <c r="BI249" i="36" s="1"/>
  <c r="AP248" i="36"/>
  <c r="BI248" i="36" s="1"/>
  <c r="BZ247" i="36"/>
  <c r="BY247" i="36"/>
  <c r="BX247" i="36"/>
  <c r="BW247" i="36"/>
  <c r="BV247" i="36"/>
  <c r="BU247" i="36"/>
  <c r="BT247" i="36"/>
  <c r="BS247" i="36"/>
  <c r="BR247" i="36"/>
  <c r="BQ247" i="36"/>
  <c r="BP247" i="36"/>
  <c r="BO247" i="36"/>
  <c r="BN247" i="36"/>
  <c r="BM247" i="36"/>
  <c r="BL247" i="36"/>
  <c r="BG247" i="36"/>
  <c r="BF247" i="36"/>
  <c r="BE247" i="36"/>
  <c r="BD247" i="36"/>
  <c r="BC247" i="36"/>
  <c r="BB247" i="36"/>
  <c r="BA247" i="36"/>
  <c r="AZ247" i="36"/>
  <c r="AY247" i="36"/>
  <c r="AX247" i="36"/>
  <c r="AW247" i="36"/>
  <c r="AV247" i="36"/>
  <c r="AU247" i="36"/>
  <c r="AT247" i="36"/>
  <c r="AS247" i="36"/>
  <c r="AP247" i="36"/>
  <c r="BI247" i="36" s="1"/>
  <c r="BZ246" i="36"/>
  <c r="BY246" i="36"/>
  <c r="BX246" i="36"/>
  <c r="BW246" i="36"/>
  <c r="BV246" i="36"/>
  <c r="BU246" i="36"/>
  <c r="BT246" i="36"/>
  <c r="BS246" i="36"/>
  <c r="BR246" i="36"/>
  <c r="BQ246" i="36"/>
  <c r="BP246" i="36"/>
  <c r="BO246" i="36"/>
  <c r="BN246" i="36"/>
  <c r="BM246" i="36"/>
  <c r="BL246" i="36"/>
  <c r="BG246" i="36"/>
  <c r="BF246" i="36"/>
  <c r="BE246" i="36"/>
  <c r="BD246" i="36"/>
  <c r="BC246" i="36"/>
  <c r="BB246" i="36"/>
  <c r="BA246" i="36"/>
  <c r="AZ246" i="36"/>
  <c r="AY246" i="36"/>
  <c r="AX246" i="36"/>
  <c r="AW246" i="36"/>
  <c r="AV246" i="36"/>
  <c r="AU246" i="36"/>
  <c r="AT246" i="36"/>
  <c r="AS246" i="36"/>
  <c r="AR246" i="36"/>
  <c r="BK246" i="36" s="1"/>
  <c r="AQ246" i="36"/>
  <c r="BJ246" i="36" s="1"/>
  <c r="AP246" i="36"/>
  <c r="BI246" i="36" s="1"/>
  <c r="AP245" i="36"/>
  <c r="BI245" i="36" s="1"/>
  <c r="BZ244" i="36"/>
  <c r="BY244" i="36"/>
  <c r="BX244" i="36"/>
  <c r="BW244" i="36"/>
  <c r="BV244" i="36"/>
  <c r="BU244" i="36"/>
  <c r="BT244" i="36"/>
  <c r="BS244" i="36"/>
  <c r="BR244" i="36"/>
  <c r="BQ244" i="36"/>
  <c r="BP244" i="36"/>
  <c r="BO244" i="36"/>
  <c r="BN244" i="36"/>
  <c r="BM244" i="36"/>
  <c r="BL244" i="36"/>
  <c r="BG244" i="36"/>
  <c r="BF244" i="36"/>
  <c r="BE244" i="36"/>
  <c r="BD244" i="36"/>
  <c r="BC244" i="36"/>
  <c r="BB244" i="36"/>
  <c r="BA244" i="36"/>
  <c r="AZ244" i="36"/>
  <c r="AY244" i="36"/>
  <c r="AX244" i="36"/>
  <c r="AW244" i="36"/>
  <c r="AV244" i="36"/>
  <c r="AU244" i="36"/>
  <c r="AT244" i="36"/>
  <c r="AS244" i="36"/>
  <c r="AP244" i="36"/>
  <c r="BI244" i="36" s="1"/>
  <c r="BZ243" i="36"/>
  <c r="BY243" i="36"/>
  <c r="BX243" i="36"/>
  <c r="BW243" i="36"/>
  <c r="BV243" i="36"/>
  <c r="BU243" i="36"/>
  <c r="BT243" i="36"/>
  <c r="BS243" i="36"/>
  <c r="BR243" i="36"/>
  <c r="BQ243" i="36"/>
  <c r="BP243" i="36"/>
  <c r="BO243" i="36"/>
  <c r="BN243" i="36"/>
  <c r="BM243" i="36"/>
  <c r="BL243" i="36"/>
  <c r="BG243" i="36"/>
  <c r="BF243" i="36"/>
  <c r="BE243" i="36"/>
  <c r="BD243" i="36"/>
  <c r="BC243" i="36"/>
  <c r="BB243" i="36"/>
  <c r="BA243" i="36"/>
  <c r="AZ243" i="36"/>
  <c r="AY243" i="36"/>
  <c r="AX243" i="36"/>
  <c r="AW243" i="36"/>
  <c r="AV243" i="36"/>
  <c r="AU243" i="36"/>
  <c r="AT243" i="36"/>
  <c r="AS243" i="36"/>
  <c r="AR243" i="36"/>
  <c r="BK243" i="36" s="1"/>
  <c r="AQ243" i="36"/>
  <c r="BJ243" i="36" s="1"/>
  <c r="AP243" i="36"/>
  <c r="BI243" i="36" s="1"/>
  <c r="AP242" i="36"/>
  <c r="BI242" i="36" s="1"/>
  <c r="BZ241" i="36"/>
  <c r="BY241" i="36"/>
  <c r="BX241" i="36"/>
  <c r="BW241" i="36"/>
  <c r="BV241" i="36"/>
  <c r="BU241" i="36"/>
  <c r="BT241" i="36"/>
  <c r="BS241" i="36"/>
  <c r="BR241" i="36"/>
  <c r="BQ241" i="36"/>
  <c r="BP241" i="36"/>
  <c r="BO241" i="36"/>
  <c r="BN241" i="36"/>
  <c r="BM241" i="36"/>
  <c r="BL241" i="36"/>
  <c r="BG241" i="36"/>
  <c r="BF241" i="36"/>
  <c r="BE241" i="36"/>
  <c r="BD241" i="36"/>
  <c r="BC241" i="36"/>
  <c r="BB241" i="36"/>
  <c r="BA241" i="36"/>
  <c r="AZ241" i="36"/>
  <c r="AY241" i="36"/>
  <c r="AX241" i="36"/>
  <c r="AW241" i="36"/>
  <c r="AV241" i="36"/>
  <c r="AU241" i="36"/>
  <c r="AT241" i="36"/>
  <c r="AS241" i="36"/>
  <c r="AP241" i="36"/>
  <c r="BI241" i="36" s="1"/>
  <c r="BZ240" i="36"/>
  <c r="BY240" i="36"/>
  <c r="BX240" i="36"/>
  <c r="BW240" i="36"/>
  <c r="BV240" i="36"/>
  <c r="BU240" i="36"/>
  <c r="BT240" i="36"/>
  <c r="BS240" i="36"/>
  <c r="BR240" i="36"/>
  <c r="BQ240" i="36"/>
  <c r="BP240" i="36"/>
  <c r="BO240" i="36"/>
  <c r="BN240" i="36"/>
  <c r="BM240" i="36"/>
  <c r="BL240" i="36"/>
  <c r="BG240" i="36"/>
  <c r="BF240" i="36"/>
  <c r="BE240" i="36"/>
  <c r="BD240" i="36"/>
  <c r="BC240" i="36"/>
  <c r="BB240" i="36"/>
  <c r="BA240" i="36"/>
  <c r="AZ240" i="36"/>
  <c r="AY240" i="36"/>
  <c r="AX240" i="36"/>
  <c r="AW240" i="36"/>
  <c r="AV240" i="36"/>
  <c r="AU240" i="36"/>
  <c r="AT240" i="36"/>
  <c r="AS240" i="36"/>
  <c r="AR240" i="36"/>
  <c r="BK240" i="36" s="1"/>
  <c r="AQ240" i="36"/>
  <c r="BJ240" i="36" s="1"/>
  <c r="AP240" i="36"/>
  <c r="BI240" i="36" s="1"/>
  <c r="AP239" i="36"/>
  <c r="BI239" i="36" s="1"/>
  <c r="BZ238" i="36"/>
  <c r="BY238" i="36"/>
  <c r="BX238" i="36"/>
  <c r="BW238" i="36"/>
  <c r="BV238" i="36"/>
  <c r="BU238" i="36"/>
  <c r="BT238" i="36"/>
  <c r="BS238" i="36"/>
  <c r="BR238" i="36"/>
  <c r="BQ238" i="36"/>
  <c r="BP238" i="36"/>
  <c r="BO238" i="36"/>
  <c r="BN238" i="36"/>
  <c r="BM238" i="36"/>
  <c r="BL238" i="36"/>
  <c r="BG238" i="36"/>
  <c r="BF238" i="36"/>
  <c r="BE238" i="36"/>
  <c r="BD238" i="36"/>
  <c r="BC238" i="36"/>
  <c r="BB238" i="36"/>
  <c r="BA238" i="36"/>
  <c r="AZ238" i="36"/>
  <c r="AY238" i="36"/>
  <c r="AX238" i="36"/>
  <c r="AW238" i="36"/>
  <c r="AV238" i="36"/>
  <c r="AU238" i="36"/>
  <c r="AT238" i="36"/>
  <c r="AS238" i="36"/>
  <c r="AP238" i="36"/>
  <c r="BI238" i="36" s="1"/>
  <c r="BZ237" i="36"/>
  <c r="BY237" i="36"/>
  <c r="BX237" i="36"/>
  <c r="BW237" i="36"/>
  <c r="BV237" i="36"/>
  <c r="BU237" i="36"/>
  <c r="BT237" i="36"/>
  <c r="BS237" i="36"/>
  <c r="BR237" i="36"/>
  <c r="BQ237" i="36"/>
  <c r="BP237" i="36"/>
  <c r="BO237" i="36"/>
  <c r="BN237" i="36"/>
  <c r="BM237" i="36"/>
  <c r="BL237" i="36"/>
  <c r="BG237" i="36"/>
  <c r="BF237" i="36"/>
  <c r="BE237" i="36"/>
  <c r="BD237" i="36"/>
  <c r="BC237" i="36"/>
  <c r="BB237" i="36"/>
  <c r="BA237" i="36"/>
  <c r="AZ237" i="36"/>
  <c r="AY237" i="36"/>
  <c r="AX237" i="36"/>
  <c r="AW237" i="36"/>
  <c r="AV237" i="36"/>
  <c r="AU237" i="36"/>
  <c r="AT237" i="36"/>
  <c r="AS237" i="36"/>
  <c r="AR237" i="36"/>
  <c r="BK237" i="36" s="1"/>
  <c r="AQ237" i="36"/>
  <c r="BJ237" i="36" s="1"/>
  <c r="AP237" i="36"/>
  <c r="BI237" i="36" s="1"/>
  <c r="AP236" i="36"/>
  <c r="BI236" i="36" s="1"/>
  <c r="BZ235" i="36"/>
  <c r="BY235" i="36"/>
  <c r="BX235" i="36"/>
  <c r="BW235" i="36"/>
  <c r="BV235" i="36"/>
  <c r="BU235" i="36"/>
  <c r="BT235" i="36"/>
  <c r="BS235" i="36"/>
  <c r="BR235" i="36"/>
  <c r="BQ235" i="36"/>
  <c r="BP235" i="36"/>
  <c r="BO235" i="36"/>
  <c r="BN235" i="36"/>
  <c r="BM235" i="36"/>
  <c r="BL235" i="36"/>
  <c r="BG235" i="36"/>
  <c r="BF235" i="36"/>
  <c r="BE235" i="36"/>
  <c r="BD235" i="36"/>
  <c r="BC235" i="36"/>
  <c r="BB235" i="36"/>
  <c r="BA235" i="36"/>
  <c r="AZ235" i="36"/>
  <c r="AY235" i="36"/>
  <c r="AX235" i="36"/>
  <c r="AW235" i="36"/>
  <c r="AV235" i="36"/>
  <c r="AU235" i="36"/>
  <c r="AT235" i="36"/>
  <c r="AS235" i="36"/>
  <c r="AP235" i="36"/>
  <c r="BI235" i="36" s="1"/>
  <c r="BZ234" i="36"/>
  <c r="BY234" i="36"/>
  <c r="BX234" i="36"/>
  <c r="BW234" i="36"/>
  <c r="BV234" i="36"/>
  <c r="BU234" i="36"/>
  <c r="BT234" i="36"/>
  <c r="BS234" i="36"/>
  <c r="BR234" i="36"/>
  <c r="BQ234" i="36"/>
  <c r="BP234" i="36"/>
  <c r="BO234" i="36"/>
  <c r="BN234" i="36"/>
  <c r="BM234" i="36"/>
  <c r="BL234" i="36"/>
  <c r="BG234" i="36"/>
  <c r="BF234" i="36"/>
  <c r="BE234" i="36"/>
  <c r="BD234" i="36"/>
  <c r="BC234" i="36"/>
  <c r="BB234" i="36"/>
  <c r="BA234" i="36"/>
  <c r="AZ234" i="36"/>
  <c r="AY234" i="36"/>
  <c r="AX234" i="36"/>
  <c r="AW234" i="36"/>
  <c r="AV234" i="36"/>
  <c r="AU234" i="36"/>
  <c r="AT234" i="36"/>
  <c r="AS234" i="36"/>
  <c r="AR234" i="36"/>
  <c r="BK234" i="36" s="1"/>
  <c r="AQ234" i="36"/>
  <c r="BJ234" i="36" s="1"/>
  <c r="AP234" i="36"/>
  <c r="BI234" i="36" s="1"/>
  <c r="AP233" i="36"/>
  <c r="BI233" i="36" s="1"/>
  <c r="BZ232" i="36"/>
  <c r="BY232" i="36"/>
  <c r="BX232" i="36"/>
  <c r="BW232" i="36"/>
  <c r="BV232" i="36"/>
  <c r="BU232" i="36"/>
  <c r="BT232" i="36"/>
  <c r="BS232" i="36"/>
  <c r="BR232" i="36"/>
  <c r="BQ232" i="36"/>
  <c r="BP232" i="36"/>
  <c r="BO232" i="36"/>
  <c r="BN232" i="36"/>
  <c r="BM232" i="36"/>
  <c r="BL232" i="36"/>
  <c r="BG232" i="36"/>
  <c r="BF232" i="36"/>
  <c r="BE232" i="36"/>
  <c r="BD232" i="36"/>
  <c r="BC232" i="36"/>
  <c r="BB232" i="36"/>
  <c r="BA232" i="36"/>
  <c r="AZ232" i="36"/>
  <c r="AY232" i="36"/>
  <c r="AX232" i="36"/>
  <c r="AW232" i="36"/>
  <c r="AV232" i="36"/>
  <c r="AU232" i="36"/>
  <c r="AT232" i="36"/>
  <c r="AS232" i="36"/>
  <c r="AP232" i="36"/>
  <c r="BI232" i="36" s="1"/>
  <c r="BZ231" i="36"/>
  <c r="BY231" i="36"/>
  <c r="BX231" i="36"/>
  <c r="BW231" i="36"/>
  <c r="BV231" i="36"/>
  <c r="BU231" i="36"/>
  <c r="BT231" i="36"/>
  <c r="BS231" i="36"/>
  <c r="BR231" i="36"/>
  <c r="BQ231" i="36"/>
  <c r="BP231" i="36"/>
  <c r="BO231" i="36"/>
  <c r="BN231" i="36"/>
  <c r="BM231" i="36"/>
  <c r="BL231" i="36"/>
  <c r="BG231" i="36"/>
  <c r="BF231" i="36"/>
  <c r="BE231" i="36"/>
  <c r="BD231" i="36"/>
  <c r="BC231" i="36"/>
  <c r="BB231" i="36"/>
  <c r="BA231" i="36"/>
  <c r="AZ231" i="36"/>
  <c r="AY231" i="36"/>
  <c r="AX231" i="36"/>
  <c r="AW231" i="36"/>
  <c r="AV231" i="36"/>
  <c r="AU231" i="36"/>
  <c r="AT231" i="36"/>
  <c r="AS231" i="36"/>
  <c r="AR231" i="36"/>
  <c r="BK231" i="36" s="1"/>
  <c r="AQ231" i="36"/>
  <c r="BJ231" i="36" s="1"/>
  <c r="AP231" i="36"/>
  <c r="BI231" i="36" s="1"/>
  <c r="AP230" i="36"/>
  <c r="BI230" i="36" s="1"/>
  <c r="BZ229" i="36"/>
  <c r="BY229" i="36"/>
  <c r="BX229" i="36"/>
  <c r="BW229" i="36"/>
  <c r="BV229" i="36"/>
  <c r="BU229" i="36"/>
  <c r="BT229" i="36"/>
  <c r="BS229" i="36"/>
  <c r="BR229" i="36"/>
  <c r="BQ229" i="36"/>
  <c r="BP229" i="36"/>
  <c r="BO229" i="36"/>
  <c r="BN229" i="36"/>
  <c r="BM229" i="36"/>
  <c r="BL229" i="36"/>
  <c r="BG229" i="36"/>
  <c r="BF229" i="36"/>
  <c r="BE229" i="36"/>
  <c r="BD229" i="36"/>
  <c r="BC229" i="36"/>
  <c r="BB229" i="36"/>
  <c r="BA229" i="36"/>
  <c r="AZ229" i="36"/>
  <c r="AY229" i="36"/>
  <c r="AX229" i="36"/>
  <c r="AW229" i="36"/>
  <c r="AV229" i="36"/>
  <c r="AU229" i="36"/>
  <c r="AT229" i="36"/>
  <c r="AS229" i="36"/>
  <c r="AP229" i="36"/>
  <c r="BI229" i="36" s="1"/>
  <c r="BZ228" i="36"/>
  <c r="BY228" i="36"/>
  <c r="BX228" i="36"/>
  <c r="BW228" i="36"/>
  <c r="BV228" i="36"/>
  <c r="BU228" i="36"/>
  <c r="BT228" i="36"/>
  <c r="BS228" i="36"/>
  <c r="BR228" i="36"/>
  <c r="BQ228" i="36"/>
  <c r="BP228" i="36"/>
  <c r="BO228" i="36"/>
  <c r="BN228" i="36"/>
  <c r="BM228" i="36"/>
  <c r="BL228" i="36"/>
  <c r="BG228" i="36"/>
  <c r="BF228" i="36"/>
  <c r="BE228" i="36"/>
  <c r="BD228" i="36"/>
  <c r="BC228" i="36"/>
  <c r="BB228" i="36"/>
  <c r="BA228" i="36"/>
  <c r="AZ228" i="36"/>
  <c r="AY228" i="36"/>
  <c r="AX228" i="36"/>
  <c r="AW228" i="36"/>
  <c r="AV228" i="36"/>
  <c r="AU228" i="36"/>
  <c r="AT228" i="36"/>
  <c r="AS228" i="36"/>
  <c r="AR228" i="36"/>
  <c r="BK228" i="36" s="1"/>
  <c r="AQ228" i="36"/>
  <c r="BJ228" i="36" s="1"/>
  <c r="AP228" i="36"/>
  <c r="BI228" i="36" s="1"/>
  <c r="AP227" i="36"/>
  <c r="BI227" i="36" s="1"/>
  <c r="BZ226" i="36"/>
  <c r="BY226" i="36"/>
  <c r="BX226" i="36"/>
  <c r="BW226" i="36"/>
  <c r="BV226" i="36"/>
  <c r="BU226" i="36"/>
  <c r="BT226" i="36"/>
  <c r="BS226" i="36"/>
  <c r="BR226" i="36"/>
  <c r="BQ226" i="36"/>
  <c r="BP226" i="36"/>
  <c r="BO226" i="36"/>
  <c r="BN226" i="36"/>
  <c r="BM226" i="36"/>
  <c r="BL226" i="36"/>
  <c r="BG226" i="36"/>
  <c r="BF226" i="36"/>
  <c r="BE226" i="36"/>
  <c r="BD226" i="36"/>
  <c r="BC226" i="36"/>
  <c r="BB226" i="36"/>
  <c r="BA226" i="36"/>
  <c r="AZ226" i="36"/>
  <c r="AY226" i="36"/>
  <c r="AX226" i="36"/>
  <c r="AW226" i="36"/>
  <c r="AV226" i="36"/>
  <c r="AU226" i="36"/>
  <c r="AT226" i="36"/>
  <c r="AS226" i="36"/>
  <c r="AP226" i="36"/>
  <c r="BI226" i="36" s="1"/>
  <c r="BZ225" i="36"/>
  <c r="BY225" i="36"/>
  <c r="BX225" i="36"/>
  <c r="BW225" i="36"/>
  <c r="BV225" i="36"/>
  <c r="BU225" i="36"/>
  <c r="BT225" i="36"/>
  <c r="BS225" i="36"/>
  <c r="BR225" i="36"/>
  <c r="BQ225" i="36"/>
  <c r="BP225" i="36"/>
  <c r="BO225" i="36"/>
  <c r="BN225" i="36"/>
  <c r="BM225" i="36"/>
  <c r="BL225" i="36"/>
  <c r="BG225" i="36"/>
  <c r="BF225" i="36"/>
  <c r="BE225" i="36"/>
  <c r="BD225" i="36"/>
  <c r="BC225" i="36"/>
  <c r="BB225" i="36"/>
  <c r="BA225" i="36"/>
  <c r="AZ225" i="36"/>
  <c r="AY225" i="36"/>
  <c r="AX225" i="36"/>
  <c r="AW225" i="36"/>
  <c r="AV225" i="36"/>
  <c r="AU225" i="36"/>
  <c r="AT225" i="36"/>
  <c r="AS225" i="36"/>
  <c r="AR225" i="36"/>
  <c r="BK225" i="36" s="1"/>
  <c r="AQ225" i="36"/>
  <c r="BJ225" i="36" s="1"/>
  <c r="AP225" i="36"/>
  <c r="BI225" i="36" s="1"/>
  <c r="AP224" i="36"/>
  <c r="BI224" i="36" s="1"/>
  <c r="BZ223" i="36"/>
  <c r="BY223" i="36"/>
  <c r="BX223" i="36"/>
  <c r="BW223" i="36"/>
  <c r="BV223" i="36"/>
  <c r="BU223" i="36"/>
  <c r="BT223" i="36"/>
  <c r="BS223" i="36"/>
  <c r="BR223" i="36"/>
  <c r="BQ223" i="36"/>
  <c r="BP223" i="36"/>
  <c r="BO223" i="36"/>
  <c r="BN223" i="36"/>
  <c r="BM223" i="36"/>
  <c r="BL223" i="36"/>
  <c r="BG223" i="36"/>
  <c r="BF223" i="36"/>
  <c r="BE223" i="36"/>
  <c r="BD223" i="36"/>
  <c r="BC223" i="36"/>
  <c r="BB223" i="36"/>
  <c r="BA223" i="36"/>
  <c r="AZ223" i="36"/>
  <c r="AY223" i="36"/>
  <c r="AX223" i="36"/>
  <c r="AW223" i="36"/>
  <c r="AV223" i="36"/>
  <c r="AU223" i="36"/>
  <c r="AT223" i="36"/>
  <c r="AS223" i="36"/>
  <c r="AP223" i="36"/>
  <c r="BI223" i="36" s="1"/>
  <c r="BZ222" i="36"/>
  <c r="BY222" i="36"/>
  <c r="BX222" i="36"/>
  <c r="BW222" i="36"/>
  <c r="BV222" i="36"/>
  <c r="BU222" i="36"/>
  <c r="BT222" i="36"/>
  <c r="BS222" i="36"/>
  <c r="BR222" i="36"/>
  <c r="BQ222" i="36"/>
  <c r="BP222" i="36"/>
  <c r="BO222" i="36"/>
  <c r="BN222" i="36"/>
  <c r="BM222" i="36"/>
  <c r="BL222" i="36"/>
  <c r="BG222" i="36"/>
  <c r="BF222" i="36"/>
  <c r="BE222" i="36"/>
  <c r="BD222" i="36"/>
  <c r="BC222" i="36"/>
  <c r="BB222" i="36"/>
  <c r="BA222" i="36"/>
  <c r="AZ222" i="36"/>
  <c r="AY222" i="36"/>
  <c r="AX222" i="36"/>
  <c r="AW222" i="36"/>
  <c r="AV222" i="36"/>
  <c r="AU222" i="36"/>
  <c r="AT222" i="36"/>
  <c r="AS222" i="36"/>
  <c r="AR222" i="36"/>
  <c r="BK222" i="36" s="1"/>
  <c r="AQ222" i="36"/>
  <c r="BJ222" i="36" s="1"/>
  <c r="AP222" i="36"/>
  <c r="BI222" i="36" s="1"/>
  <c r="AP221" i="36"/>
  <c r="BI221" i="36" s="1"/>
  <c r="BZ220" i="36"/>
  <c r="BY220" i="36"/>
  <c r="BX220" i="36"/>
  <c r="BW220" i="36"/>
  <c r="BV220" i="36"/>
  <c r="BU220" i="36"/>
  <c r="BT220" i="36"/>
  <c r="BS220" i="36"/>
  <c r="BR220" i="36"/>
  <c r="BQ220" i="36"/>
  <c r="BP220" i="36"/>
  <c r="BO220" i="36"/>
  <c r="BN220" i="36"/>
  <c r="BM220" i="36"/>
  <c r="BL220" i="36"/>
  <c r="BG220" i="36"/>
  <c r="BF220" i="36"/>
  <c r="BE220" i="36"/>
  <c r="BD220" i="36"/>
  <c r="BC220" i="36"/>
  <c r="BB220" i="36"/>
  <c r="BA220" i="36"/>
  <c r="AZ220" i="36"/>
  <c r="AY220" i="36"/>
  <c r="AX220" i="36"/>
  <c r="AW220" i="36"/>
  <c r="AV220" i="36"/>
  <c r="AU220" i="36"/>
  <c r="AT220" i="36"/>
  <c r="AS220" i="36"/>
  <c r="AP220" i="36"/>
  <c r="BI220" i="36" s="1"/>
  <c r="BZ219" i="36"/>
  <c r="BY219" i="36"/>
  <c r="BX219" i="36"/>
  <c r="BW219" i="36"/>
  <c r="BV219" i="36"/>
  <c r="BU219" i="36"/>
  <c r="BT219" i="36"/>
  <c r="BS219" i="36"/>
  <c r="BR219" i="36"/>
  <c r="BQ219" i="36"/>
  <c r="BP219" i="36"/>
  <c r="BO219" i="36"/>
  <c r="BN219" i="36"/>
  <c r="BM219" i="36"/>
  <c r="BL219" i="36"/>
  <c r="BG219" i="36"/>
  <c r="BF219" i="36"/>
  <c r="BE219" i="36"/>
  <c r="BD219" i="36"/>
  <c r="BC219" i="36"/>
  <c r="BB219" i="36"/>
  <c r="BA219" i="36"/>
  <c r="AZ219" i="36"/>
  <c r="AY219" i="36"/>
  <c r="AX219" i="36"/>
  <c r="AW219" i="36"/>
  <c r="AV219" i="36"/>
  <c r="AU219" i="36"/>
  <c r="AT219" i="36"/>
  <c r="AS219" i="36"/>
  <c r="AR219" i="36"/>
  <c r="BK219" i="36" s="1"/>
  <c r="AQ219" i="36"/>
  <c r="BJ219" i="36" s="1"/>
  <c r="AP219" i="36"/>
  <c r="BI219" i="36" s="1"/>
  <c r="AP218" i="36"/>
  <c r="BI218" i="36" s="1"/>
  <c r="BZ217" i="36"/>
  <c r="BY217" i="36"/>
  <c r="BX217" i="36"/>
  <c r="BW217" i="36"/>
  <c r="BV217" i="36"/>
  <c r="BU217" i="36"/>
  <c r="BT217" i="36"/>
  <c r="BS217" i="36"/>
  <c r="BR217" i="36"/>
  <c r="BQ217" i="36"/>
  <c r="BP217" i="36"/>
  <c r="BO217" i="36"/>
  <c r="BN217" i="36"/>
  <c r="BM217" i="36"/>
  <c r="BL217" i="36"/>
  <c r="BG217" i="36"/>
  <c r="BF217" i="36"/>
  <c r="BE217" i="36"/>
  <c r="BD217" i="36"/>
  <c r="BC217" i="36"/>
  <c r="BB217" i="36"/>
  <c r="BA217" i="36"/>
  <c r="AZ217" i="36"/>
  <c r="AY217" i="36"/>
  <c r="AX217" i="36"/>
  <c r="AW217" i="36"/>
  <c r="AV217" i="36"/>
  <c r="AU217" i="36"/>
  <c r="AT217" i="36"/>
  <c r="AS217" i="36"/>
  <c r="AP217" i="36"/>
  <c r="BI217" i="36" s="1"/>
  <c r="BZ216" i="36"/>
  <c r="BY216" i="36"/>
  <c r="BX216" i="36"/>
  <c r="BW216" i="36"/>
  <c r="BV216" i="36"/>
  <c r="BU216" i="36"/>
  <c r="BT216" i="36"/>
  <c r="BS216" i="36"/>
  <c r="BR216" i="36"/>
  <c r="BQ216" i="36"/>
  <c r="BP216" i="36"/>
  <c r="BO216" i="36"/>
  <c r="BN216" i="36"/>
  <c r="BM216" i="36"/>
  <c r="BL216" i="36"/>
  <c r="BK216" i="36"/>
  <c r="BG216" i="36"/>
  <c r="BF216" i="36"/>
  <c r="BE216" i="36"/>
  <c r="BD216" i="36"/>
  <c r="BC216" i="36"/>
  <c r="BB216" i="36"/>
  <c r="BA216" i="36"/>
  <c r="AZ216" i="36"/>
  <c r="AY216" i="36"/>
  <c r="AX216" i="36"/>
  <c r="AW216" i="36"/>
  <c r="AV216" i="36"/>
  <c r="AU216" i="36"/>
  <c r="AT216" i="36"/>
  <c r="AS216" i="36"/>
  <c r="AR216" i="36"/>
  <c r="AQ216" i="36"/>
  <c r="BJ216" i="36" s="1"/>
  <c r="AP216" i="36"/>
  <c r="BI216" i="36" s="1"/>
  <c r="AP215" i="36"/>
  <c r="BI215" i="36" s="1"/>
  <c r="BZ214" i="36"/>
  <c r="BY214" i="36"/>
  <c r="BX214" i="36"/>
  <c r="BW214" i="36"/>
  <c r="BV214" i="36"/>
  <c r="BU214" i="36"/>
  <c r="BT214" i="36"/>
  <c r="BS214" i="36"/>
  <c r="BR214" i="36"/>
  <c r="BQ214" i="36"/>
  <c r="BP214" i="36"/>
  <c r="BO214" i="36"/>
  <c r="BN214" i="36"/>
  <c r="BM214" i="36"/>
  <c r="BL214" i="36"/>
  <c r="BG214" i="36"/>
  <c r="BF214" i="36"/>
  <c r="BE214" i="36"/>
  <c r="BD214" i="36"/>
  <c r="BC214" i="36"/>
  <c r="BB214" i="36"/>
  <c r="BA214" i="36"/>
  <c r="AZ214" i="36"/>
  <c r="AY214" i="36"/>
  <c r="AX214" i="36"/>
  <c r="AW214" i="36"/>
  <c r="AV214" i="36"/>
  <c r="AU214" i="36"/>
  <c r="AT214" i="36"/>
  <c r="AS214" i="36"/>
  <c r="AP214" i="36"/>
  <c r="BI214" i="36" s="1"/>
  <c r="BZ213" i="36"/>
  <c r="BY213" i="36"/>
  <c r="BX213" i="36"/>
  <c r="BW213" i="36"/>
  <c r="BV213" i="36"/>
  <c r="BU213" i="36"/>
  <c r="BT213" i="36"/>
  <c r="BS213" i="36"/>
  <c r="BR213" i="36"/>
  <c r="BQ213" i="36"/>
  <c r="BP213" i="36"/>
  <c r="BO213" i="36"/>
  <c r="BN213" i="36"/>
  <c r="BM213" i="36"/>
  <c r="BL213" i="36"/>
  <c r="BG213" i="36"/>
  <c r="BF213" i="36"/>
  <c r="BE213" i="36"/>
  <c r="BD213" i="36"/>
  <c r="BC213" i="36"/>
  <c r="BB213" i="36"/>
  <c r="BA213" i="36"/>
  <c r="AZ213" i="36"/>
  <c r="AY213" i="36"/>
  <c r="AX213" i="36"/>
  <c r="AW213" i="36"/>
  <c r="AV213" i="36"/>
  <c r="AU213" i="36"/>
  <c r="AT213" i="36"/>
  <c r="AS213" i="36"/>
  <c r="AR213" i="36"/>
  <c r="BK213" i="36" s="1"/>
  <c r="AQ213" i="36"/>
  <c r="BJ213" i="36" s="1"/>
  <c r="AP213" i="36"/>
  <c r="BI213" i="36" s="1"/>
  <c r="AP212" i="36"/>
  <c r="BI212" i="36" s="1"/>
  <c r="BZ211" i="36"/>
  <c r="BY211" i="36"/>
  <c r="BX211" i="36"/>
  <c r="BW211" i="36"/>
  <c r="BV211" i="36"/>
  <c r="BU211" i="36"/>
  <c r="BT211" i="36"/>
  <c r="BS211" i="36"/>
  <c r="BR211" i="36"/>
  <c r="BQ211" i="36"/>
  <c r="BP211" i="36"/>
  <c r="BO211" i="36"/>
  <c r="BN211" i="36"/>
  <c r="BM211" i="36"/>
  <c r="BL211" i="36"/>
  <c r="BG211" i="36"/>
  <c r="BF211" i="36"/>
  <c r="BE211" i="36"/>
  <c r="BD211" i="36"/>
  <c r="BC211" i="36"/>
  <c r="BB211" i="36"/>
  <c r="BA211" i="36"/>
  <c r="AZ211" i="36"/>
  <c r="AY211" i="36"/>
  <c r="AX211" i="36"/>
  <c r="AW211" i="36"/>
  <c r="AV211" i="36"/>
  <c r="AU211" i="36"/>
  <c r="AT211" i="36"/>
  <c r="AS211" i="36"/>
  <c r="AP211" i="36"/>
  <c r="BI211" i="36" s="1"/>
  <c r="BZ210" i="36"/>
  <c r="BY210" i="36"/>
  <c r="BX210" i="36"/>
  <c r="BW210" i="36"/>
  <c r="BV210" i="36"/>
  <c r="BU210" i="36"/>
  <c r="BT210" i="36"/>
  <c r="BS210" i="36"/>
  <c r="BR210" i="36"/>
  <c r="BQ210" i="36"/>
  <c r="BP210" i="36"/>
  <c r="BO210" i="36"/>
  <c r="BN210" i="36"/>
  <c r="BM210" i="36"/>
  <c r="BL210" i="36"/>
  <c r="BG210" i="36"/>
  <c r="BF210" i="36"/>
  <c r="BE210" i="36"/>
  <c r="BD210" i="36"/>
  <c r="BC210" i="36"/>
  <c r="BB210" i="36"/>
  <c r="BA210" i="36"/>
  <c r="AZ210" i="36"/>
  <c r="AY210" i="36"/>
  <c r="AX210" i="36"/>
  <c r="AW210" i="36"/>
  <c r="AV210" i="36"/>
  <c r="AU210" i="36"/>
  <c r="AT210" i="36"/>
  <c r="AS210" i="36"/>
  <c r="AR210" i="36"/>
  <c r="BK210" i="36" s="1"/>
  <c r="AQ210" i="36"/>
  <c r="BJ210" i="36" s="1"/>
  <c r="AP210" i="36"/>
  <c r="BI210" i="36" s="1"/>
  <c r="AP209" i="36"/>
  <c r="BI209" i="36" s="1"/>
  <c r="BZ208" i="36"/>
  <c r="BY208" i="36"/>
  <c r="BX208" i="36"/>
  <c r="BW208" i="36"/>
  <c r="BV208" i="36"/>
  <c r="BU208" i="36"/>
  <c r="BT208" i="36"/>
  <c r="BS208" i="36"/>
  <c r="BR208" i="36"/>
  <c r="BQ208" i="36"/>
  <c r="BP208" i="36"/>
  <c r="BO208" i="36"/>
  <c r="BN208" i="36"/>
  <c r="BM208" i="36"/>
  <c r="BL208" i="36"/>
  <c r="BG208" i="36"/>
  <c r="BF208" i="36"/>
  <c r="BE208" i="36"/>
  <c r="BD208" i="36"/>
  <c r="BC208" i="36"/>
  <c r="BB208" i="36"/>
  <c r="BA208" i="36"/>
  <c r="AZ208" i="36"/>
  <c r="AY208" i="36"/>
  <c r="AX208" i="36"/>
  <c r="AW208" i="36"/>
  <c r="AV208" i="36"/>
  <c r="AU208" i="36"/>
  <c r="AT208" i="36"/>
  <c r="AS208" i="36"/>
  <c r="AP208" i="36"/>
  <c r="BI208" i="36" s="1"/>
  <c r="BZ207" i="36"/>
  <c r="BY207" i="36"/>
  <c r="BX207" i="36"/>
  <c r="BW207" i="36"/>
  <c r="BV207" i="36"/>
  <c r="BU207" i="36"/>
  <c r="BT207" i="36"/>
  <c r="BS207" i="36"/>
  <c r="BR207" i="36"/>
  <c r="BQ207" i="36"/>
  <c r="BP207" i="36"/>
  <c r="BO207" i="36"/>
  <c r="BN207" i="36"/>
  <c r="BM207" i="36"/>
  <c r="BL207" i="36"/>
  <c r="BG207" i="36"/>
  <c r="BF207" i="36"/>
  <c r="BE207" i="36"/>
  <c r="BD207" i="36"/>
  <c r="BC207" i="36"/>
  <c r="BB207" i="36"/>
  <c r="BA207" i="36"/>
  <c r="AZ207" i="36"/>
  <c r="AY207" i="36"/>
  <c r="AX207" i="36"/>
  <c r="AW207" i="36"/>
  <c r="AV207" i="36"/>
  <c r="AU207" i="36"/>
  <c r="AT207" i="36"/>
  <c r="AS207" i="36"/>
  <c r="AR207" i="36"/>
  <c r="BK207" i="36" s="1"/>
  <c r="AQ207" i="36"/>
  <c r="BJ207" i="36" s="1"/>
  <c r="AP207" i="36"/>
  <c r="BI207" i="36" s="1"/>
  <c r="AP206" i="36"/>
  <c r="BI206" i="36" s="1"/>
  <c r="BZ205" i="36"/>
  <c r="BY205" i="36"/>
  <c r="BX205" i="36"/>
  <c r="BW205" i="36"/>
  <c r="BV205" i="36"/>
  <c r="BU205" i="36"/>
  <c r="BT205" i="36"/>
  <c r="BS205" i="36"/>
  <c r="BR205" i="36"/>
  <c r="BQ205" i="36"/>
  <c r="BP205" i="36"/>
  <c r="BO205" i="36"/>
  <c r="BN205" i="36"/>
  <c r="BM205" i="36"/>
  <c r="BL205" i="36"/>
  <c r="BG205" i="36"/>
  <c r="BF205" i="36"/>
  <c r="BE205" i="36"/>
  <c r="BD205" i="36"/>
  <c r="BC205" i="36"/>
  <c r="BB205" i="36"/>
  <c r="BA205" i="36"/>
  <c r="AZ205" i="36"/>
  <c r="AY205" i="36"/>
  <c r="AX205" i="36"/>
  <c r="AW205" i="36"/>
  <c r="AV205" i="36"/>
  <c r="AU205" i="36"/>
  <c r="AT205" i="36"/>
  <c r="AS205" i="36"/>
  <c r="AP205" i="36"/>
  <c r="BI205" i="36" s="1"/>
  <c r="BZ204" i="36"/>
  <c r="BY204" i="36"/>
  <c r="BX204" i="36"/>
  <c r="BW204" i="36"/>
  <c r="BV204" i="36"/>
  <c r="BU204" i="36"/>
  <c r="BT204" i="36"/>
  <c r="BS204" i="36"/>
  <c r="BR204" i="36"/>
  <c r="BQ204" i="36"/>
  <c r="BP204" i="36"/>
  <c r="BO204" i="36"/>
  <c r="BN204" i="36"/>
  <c r="BM204" i="36"/>
  <c r="BL204" i="36"/>
  <c r="BG204" i="36"/>
  <c r="BF204" i="36"/>
  <c r="BE204" i="36"/>
  <c r="BD204" i="36"/>
  <c r="BC204" i="36"/>
  <c r="BB204" i="36"/>
  <c r="BA204" i="36"/>
  <c r="AZ204" i="36"/>
  <c r="AY204" i="36"/>
  <c r="AX204" i="36"/>
  <c r="AW204" i="36"/>
  <c r="AV204" i="36"/>
  <c r="AU204" i="36"/>
  <c r="AT204" i="36"/>
  <c r="AS204" i="36"/>
  <c r="AR204" i="36"/>
  <c r="BK204" i="36" s="1"/>
  <c r="AQ204" i="36"/>
  <c r="BJ204" i="36" s="1"/>
  <c r="AP204" i="36"/>
  <c r="BI204" i="36" s="1"/>
  <c r="AP203" i="36"/>
  <c r="BI203" i="36" s="1"/>
  <c r="BZ202" i="36"/>
  <c r="BY202" i="36"/>
  <c r="BX202" i="36"/>
  <c r="BW202" i="36"/>
  <c r="BV202" i="36"/>
  <c r="BU202" i="36"/>
  <c r="BT202" i="36"/>
  <c r="BS202" i="36"/>
  <c r="BR202" i="36"/>
  <c r="BQ202" i="36"/>
  <c r="BP202" i="36"/>
  <c r="BO202" i="36"/>
  <c r="BN202" i="36"/>
  <c r="BM202" i="36"/>
  <c r="BL202" i="36"/>
  <c r="BG202" i="36"/>
  <c r="BF202" i="36"/>
  <c r="BE202" i="36"/>
  <c r="BD202" i="36"/>
  <c r="BC202" i="36"/>
  <c r="BB202" i="36"/>
  <c r="BA202" i="36"/>
  <c r="AZ202" i="36"/>
  <c r="AY202" i="36"/>
  <c r="AX202" i="36"/>
  <c r="AW202" i="36"/>
  <c r="AV202" i="36"/>
  <c r="AU202" i="36"/>
  <c r="AT202" i="36"/>
  <c r="AS202" i="36"/>
  <c r="AP202" i="36"/>
  <c r="BI202" i="36" s="1"/>
  <c r="BZ201" i="36"/>
  <c r="BY201" i="36"/>
  <c r="BX201" i="36"/>
  <c r="BW201" i="36"/>
  <c r="BV201" i="36"/>
  <c r="BU201" i="36"/>
  <c r="BT201" i="36"/>
  <c r="BS201" i="36"/>
  <c r="BR201" i="36"/>
  <c r="BQ201" i="36"/>
  <c r="BP201" i="36"/>
  <c r="BO201" i="36"/>
  <c r="BN201" i="36"/>
  <c r="BM201" i="36"/>
  <c r="BL201" i="36"/>
  <c r="BG201" i="36"/>
  <c r="BF201" i="36"/>
  <c r="BE201" i="36"/>
  <c r="BD201" i="36"/>
  <c r="BC201" i="36"/>
  <c r="BB201" i="36"/>
  <c r="BA201" i="36"/>
  <c r="AZ201" i="36"/>
  <c r="AY201" i="36"/>
  <c r="AX201" i="36"/>
  <c r="AW201" i="36"/>
  <c r="AV201" i="36"/>
  <c r="AU201" i="36"/>
  <c r="AT201" i="36"/>
  <c r="AS201" i="36"/>
  <c r="AR201" i="36"/>
  <c r="BK201" i="36" s="1"/>
  <c r="AQ201" i="36"/>
  <c r="BJ201" i="36" s="1"/>
  <c r="AP201" i="36"/>
  <c r="BI201" i="36" s="1"/>
  <c r="AP200" i="36"/>
  <c r="BI200" i="36" s="1"/>
  <c r="BZ199" i="36"/>
  <c r="BY199" i="36"/>
  <c r="BX199" i="36"/>
  <c r="BW199" i="36"/>
  <c r="BV199" i="36"/>
  <c r="BU199" i="36"/>
  <c r="BT199" i="36"/>
  <c r="BS199" i="36"/>
  <c r="BR199" i="36"/>
  <c r="BQ199" i="36"/>
  <c r="BP199" i="36"/>
  <c r="BO199" i="36"/>
  <c r="BN199" i="36"/>
  <c r="BM199" i="36"/>
  <c r="BL199" i="36"/>
  <c r="BG199" i="36"/>
  <c r="BF199" i="36"/>
  <c r="BE199" i="36"/>
  <c r="BD199" i="36"/>
  <c r="BC199" i="36"/>
  <c r="BB199" i="36"/>
  <c r="BA199" i="36"/>
  <c r="AZ199" i="36"/>
  <c r="AY199" i="36"/>
  <c r="AX199" i="36"/>
  <c r="AW199" i="36"/>
  <c r="AV199" i="36"/>
  <c r="AU199" i="36"/>
  <c r="AT199" i="36"/>
  <c r="AS199" i="36"/>
  <c r="AP199" i="36"/>
  <c r="BI199" i="36" s="1"/>
  <c r="BZ198" i="36"/>
  <c r="BY198" i="36"/>
  <c r="BX198" i="36"/>
  <c r="BW198" i="36"/>
  <c r="BV198" i="36"/>
  <c r="BU198" i="36"/>
  <c r="BT198" i="36"/>
  <c r="BS198" i="36"/>
  <c r="BR198" i="36"/>
  <c r="BQ198" i="36"/>
  <c r="BP198" i="36"/>
  <c r="BO198" i="36"/>
  <c r="BN198" i="36"/>
  <c r="BM198" i="36"/>
  <c r="BL198" i="36"/>
  <c r="BG198" i="36"/>
  <c r="BF198" i="36"/>
  <c r="BE198" i="36"/>
  <c r="BD198" i="36"/>
  <c r="BC198" i="36"/>
  <c r="BB198" i="36"/>
  <c r="BA198" i="36"/>
  <c r="AZ198" i="36"/>
  <c r="AY198" i="36"/>
  <c r="AX198" i="36"/>
  <c r="AW198" i="36"/>
  <c r="AV198" i="36"/>
  <c r="AU198" i="36"/>
  <c r="AT198" i="36"/>
  <c r="AS198" i="36"/>
  <c r="AR198" i="36"/>
  <c r="BK198" i="36" s="1"/>
  <c r="AQ198" i="36"/>
  <c r="BJ198" i="36" s="1"/>
  <c r="AP198" i="36"/>
  <c r="BI198" i="36" s="1"/>
  <c r="AP197" i="36"/>
  <c r="BI197" i="36" s="1"/>
  <c r="BZ196" i="36"/>
  <c r="BY196" i="36"/>
  <c r="BX196" i="36"/>
  <c r="BW196" i="36"/>
  <c r="BV196" i="36"/>
  <c r="BU196" i="36"/>
  <c r="BT196" i="36"/>
  <c r="BS196" i="36"/>
  <c r="BR196" i="36"/>
  <c r="BQ196" i="36"/>
  <c r="BP196" i="36"/>
  <c r="BO196" i="36"/>
  <c r="BN196" i="36"/>
  <c r="BM196" i="36"/>
  <c r="BL196" i="36"/>
  <c r="BG196" i="36"/>
  <c r="BF196" i="36"/>
  <c r="BE196" i="36"/>
  <c r="BD196" i="36"/>
  <c r="BC196" i="36"/>
  <c r="BB196" i="36"/>
  <c r="BA196" i="36"/>
  <c r="AZ196" i="36"/>
  <c r="AY196" i="36"/>
  <c r="AX196" i="36"/>
  <c r="AW196" i="36"/>
  <c r="AV196" i="36"/>
  <c r="AU196" i="36"/>
  <c r="AT196" i="36"/>
  <c r="AS196" i="36"/>
  <c r="AP196" i="36"/>
  <c r="BI196" i="36" s="1"/>
  <c r="BZ195" i="36"/>
  <c r="BY195" i="36"/>
  <c r="BX195" i="36"/>
  <c r="BW195" i="36"/>
  <c r="BV195" i="36"/>
  <c r="BU195" i="36"/>
  <c r="BT195" i="36"/>
  <c r="BS195" i="36"/>
  <c r="BR195" i="36"/>
  <c r="BQ195" i="36"/>
  <c r="BP195" i="36"/>
  <c r="BO195" i="36"/>
  <c r="BN195" i="36"/>
  <c r="BM195" i="36"/>
  <c r="BL195" i="36"/>
  <c r="BG195" i="36"/>
  <c r="BF195" i="36"/>
  <c r="BE195" i="36"/>
  <c r="BD195" i="36"/>
  <c r="BC195" i="36"/>
  <c r="BB195" i="36"/>
  <c r="BA195" i="36"/>
  <c r="AZ195" i="36"/>
  <c r="AY195" i="36"/>
  <c r="AX195" i="36"/>
  <c r="AW195" i="36"/>
  <c r="AV195" i="36"/>
  <c r="AU195" i="36"/>
  <c r="AT195" i="36"/>
  <c r="AS195" i="36"/>
  <c r="AR195" i="36"/>
  <c r="BK195" i="36" s="1"/>
  <c r="AQ195" i="36"/>
  <c r="BJ195" i="36" s="1"/>
  <c r="AP195" i="36"/>
  <c r="BI195" i="36" s="1"/>
  <c r="AP194" i="36"/>
  <c r="BI194" i="36" s="1"/>
  <c r="BZ193" i="36"/>
  <c r="BY193" i="36"/>
  <c r="BX193" i="36"/>
  <c r="BW193" i="36"/>
  <c r="BV193" i="36"/>
  <c r="BU193" i="36"/>
  <c r="BT193" i="36"/>
  <c r="BS193" i="36"/>
  <c r="BR193" i="36"/>
  <c r="BQ193" i="36"/>
  <c r="BP193" i="36"/>
  <c r="BO193" i="36"/>
  <c r="BN193" i="36"/>
  <c r="BM193" i="36"/>
  <c r="BL193" i="36"/>
  <c r="BG193" i="36"/>
  <c r="BF193" i="36"/>
  <c r="BE193" i="36"/>
  <c r="BD193" i="36"/>
  <c r="BC193" i="36"/>
  <c r="BB193" i="36"/>
  <c r="BA193" i="36"/>
  <c r="AZ193" i="36"/>
  <c r="AY193" i="36"/>
  <c r="AX193" i="36"/>
  <c r="AW193" i="36"/>
  <c r="AV193" i="36"/>
  <c r="AU193" i="36"/>
  <c r="AT193" i="36"/>
  <c r="AS193" i="36"/>
  <c r="AP193" i="36"/>
  <c r="BI193" i="36" s="1"/>
  <c r="BZ192" i="36"/>
  <c r="BY192" i="36"/>
  <c r="BX192" i="36"/>
  <c r="BW192" i="36"/>
  <c r="BV192" i="36"/>
  <c r="BU192" i="36"/>
  <c r="BT192" i="36"/>
  <c r="BS192" i="36"/>
  <c r="BR192" i="36"/>
  <c r="BQ192" i="36"/>
  <c r="BP192" i="36"/>
  <c r="BO192" i="36"/>
  <c r="BN192" i="36"/>
  <c r="BM192" i="36"/>
  <c r="BL192" i="36"/>
  <c r="BG192" i="36"/>
  <c r="BF192" i="36"/>
  <c r="BE192" i="36"/>
  <c r="BD192" i="36"/>
  <c r="BC192" i="36"/>
  <c r="BB192" i="36"/>
  <c r="BA192" i="36"/>
  <c r="AZ192" i="36"/>
  <c r="AY192" i="36"/>
  <c r="AX192" i="36"/>
  <c r="AW192" i="36"/>
  <c r="AV192" i="36"/>
  <c r="AU192" i="36"/>
  <c r="AT192" i="36"/>
  <c r="AS192" i="36"/>
  <c r="AR192" i="36"/>
  <c r="BK192" i="36" s="1"/>
  <c r="AQ192" i="36"/>
  <c r="BJ192" i="36" s="1"/>
  <c r="AP192" i="36"/>
  <c r="BI192" i="36" s="1"/>
  <c r="AP191" i="36"/>
  <c r="BI191" i="36" s="1"/>
  <c r="BZ190" i="36"/>
  <c r="BY190" i="36"/>
  <c r="BX190" i="36"/>
  <c r="BW190" i="36"/>
  <c r="BV190" i="36"/>
  <c r="BU190" i="36"/>
  <c r="BT190" i="36"/>
  <c r="BS190" i="36"/>
  <c r="BR190" i="36"/>
  <c r="BQ190" i="36"/>
  <c r="BP190" i="36"/>
  <c r="BO190" i="36"/>
  <c r="BN190" i="36"/>
  <c r="BM190" i="36"/>
  <c r="BL190" i="36"/>
  <c r="BG190" i="36"/>
  <c r="BF190" i="36"/>
  <c r="BE190" i="36"/>
  <c r="BD190" i="36"/>
  <c r="BC190" i="36"/>
  <c r="BB190" i="36"/>
  <c r="BA190" i="36"/>
  <c r="AZ190" i="36"/>
  <c r="AY190" i="36"/>
  <c r="AX190" i="36"/>
  <c r="AW190" i="36"/>
  <c r="AV190" i="36"/>
  <c r="AU190" i="36"/>
  <c r="AT190" i="36"/>
  <c r="AS190" i="36"/>
  <c r="AP190" i="36"/>
  <c r="BI190" i="36" s="1"/>
  <c r="BZ189" i="36"/>
  <c r="BY189" i="36"/>
  <c r="BX189" i="36"/>
  <c r="BW189" i="36"/>
  <c r="BV189" i="36"/>
  <c r="BU189" i="36"/>
  <c r="BT189" i="36"/>
  <c r="BS189" i="36"/>
  <c r="BR189" i="36"/>
  <c r="BQ189" i="36"/>
  <c r="BP189" i="36"/>
  <c r="BO189" i="36"/>
  <c r="BN189" i="36"/>
  <c r="BM189" i="36"/>
  <c r="BL189" i="36"/>
  <c r="BG189" i="36"/>
  <c r="BF189" i="36"/>
  <c r="BE189" i="36"/>
  <c r="BD189" i="36"/>
  <c r="BC189" i="36"/>
  <c r="BB189" i="36"/>
  <c r="BA189" i="36"/>
  <c r="AZ189" i="36"/>
  <c r="AY189" i="36"/>
  <c r="AX189" i="36"/>
  <c r="AW189" i="36"/>
  <c r="AV189" i="36"/>
  <c r="AU189" i="36"/>
  <c r="AT189" i="36"/>
  <c r="AS189" i="36"/>
  <c r="AR189" i="36"/>
  <c r="BK189" i="36" s="1"/>
  <c r="AQ189" i="36"/>
  <c r="BJ189" i="36" s="1"/>
  <c r="AP189" i="36"/>
  <c r="BI189" i="36" s="1"/>
  <c r="AP188" i="36"/>
  <c r="BI188" i="36" s="1"/>
  <c r="BZ187" i="36"/>
  <c r="BY187" i="36"/>
  <c r="BX187" i="36"/>
  <c r="BW187" i="36"/>
  <c r="BV187" i="36"/>
  <c r="BU187" i="36"/>
  <c r="BT187" i="36"/>
  <c r="BS187" i="36"/>
  <c r="BR187" i="36"/>
  <c r="BQ187" i="36"/>
  <c r="BP187" i="36"/>
  <c r="BO187" i="36"/>
  <c r="BN187" i="36"/>
  <c r="BM187" i="36"/>
  <c r="BL187" i="36"/>
  <c r="BG187" i="36"/>
  <c r="BF187" i="36"/>
  <c r="BE187" i="36"/>
  <c r="BD187" i="36"/>
  <c r="BC187" i="36"/>
  <c r="BB187" i="36"/>
  <c r="BA187" i="36"/>
  <c r="AZ187" i="36"/>
  <c r="AY187" i="36"/>
  <c r="AX187" i="36"/>
  <c r="AW187" i="36"/>
  <c r="AV187" i="36"/>
  <c r="AU187" i="36"/>
  <c r="AT187" i="36"/>
  <c r="AS187" i="36"/>
  <c r="AP187" i="36"/>
  <c r="BI187" i="36" s="1"/>
  <c r="BZ186" i="36"/>
  <c r="BY186" i="36"/>
  <c r="BX186" i="36"/>
  <c r="BW186" i="36"/>
  <c r="BV186" i="36"/>
  <c r="BU186" i="36"/>
  <c r="BT186" i="36"/>
  <c r="BS186" i="36"/>
  <c r="BR186" i="36"/>
  <c r="BQ186" i="36"/>
  <c r="BP186" i="36"/>
  <c r="BO186" i="36"/>
  <c r="BN186" i="36"/>
  <c r="BM186" i="36"/>
  <c r="BL186" i="36"/>
  <c r="BG186" i="36"/>
  <c r="BF186" i="36"/>
  <c r="BE186" i="36"/>
  <c r="BD186" i="36"/>
  <c r="BC186" i="36"/>
  <c r="BB186" i="36"/>
  <c r="BA186" i="36"/>
  <c r="AZ186" i="36"/>
  <c r="AY186" i="36"/>
  <c r="AX186" i="36"/>
  <c r="AW186" i="36"/>
  <c r="AV186" i="36"/>
  <c r="AU186" i="36"/>
  <c r="AT186" i="36"/>
  <c r="AS186" i="36"/>
  <c r="AR186" i="36"/>
  <c r="BK186" i="36" s="1"/>
  <c r="AQ186" i="36"/>
  <c r="BJ186" i="36" s="1"/>
  <c r="AP186" i="36"/>
  <c r="BI186" i="36" s="1"/>
  <c r="AP185" i="36"/>
  <c r="BI185" i="36" s="1"/>
  <c r="BZ184" i="36"/>
  <c r="BY184" i="36"/>
  <c r="BX184" i="36"/>
  <c r="BW184" i="36"/>
  <c r="BV184" i="36"/>
  <c r="BU184" i="36"/>
  <c r="BT184" i="36"/>
  <c r="BS184" i="36"/>
  <c r="BR184" i="36"/>
  <c r="BQ184" i="36"/>
  <c r="BP184" i="36"/>
  <c r="BO184" i="36"/>
  <c r="BN184" i="36"/>
  <c r="BM184" i="36"/>
  <c r="BL184" i="36"/>
  <c r="BG184" i="36"/>
  <c r="BF184" i="36"/>
  <c r="BE184" i="36"/>
  <c r="BD184" i="36"/>
  <c r="BC184" i="36"/>
  <c r="BB184" i="36"/>
  <c r="BA184" i="36"/>
  <c r="AZ184" i="36"/>
  <c r="AY184" i="36"/>
  <c r="AX184" i="36"/>
  <c r="AW184" i="36"/>
  <c r="AV184" i="36"/>
  <c r="AU184" i="36"/>
  <c r="AT184" i="36"/>
  <c r="AS184" i="36"/>
  <c r="AP184" i="36"/>
  <c r="BI184" i="36" s="1"/>
  <c r="BZ183" i="36"/>
  <c r="BY183" i="36"/>
  <c r="BX183" i="36"/>
  <c r="BW183" i="36"/>
  <c r="BV183" i="36"/>
  <c r="BU183" i="36"/>
  <c r="BT183" i="36"/>
  <c r="BS183" i="36"/>
  <c r="BR183" i="36"/>
  <c r="BQ183" i="36"/>
  <c r="BP183" i="36"/>
  <c r="BO183" i="36"/>
  <c r="BN183" i="36"/>
  <c r="BM183" i="36"/>
  <c r="BL183" i="36"/>
  <c r="BG183" i="36"/>
  <c r="BF183" i="36"/>
  <c r="BE183" i="36"/>
  <c r="BD183" i="36"/>
  <c r="BC183" i="36"/>
  <c r="BB183" i="36"/>
  <c r="BA183" i="36"/>
  <c r="AZ183" i="36"/>
  <c r="AY183" i="36"/>
  <c r="AX183" i="36"/>
  <c r="AW183" i="36"/>
  <c r="AV183" i="36"/>
  <c r="AU183" i="36"/>
  <c r="AT183" i="36"/>
  <c r="AS183" i="36"/>
  <c r="AR183" i="36"/>
  <c r="BK183" i="36" s="1"/>
  <c r="AQ183" i="36"/>
  <c r="BJ183" i="36" s="1"/>
  <c r="AP183" i="36"/>
  <c r="BI183" i="36" s="1"/>
  <c r="AP182" i="36"/>
  <c r="BI182" i="36" s="1"/>
  <c r="BZ181" i="36"/>
  <c r="BY181" i="36"/>
  <c r="BX181" i="36"/>
  <c r="BW181" i="36"/>
  <c r="BV181" i="36"/>
  <c r="BU181" i="36"/>
  <c r="BT181" i="36"/>
  <c r="BS181" i="36"/>
  <c r="BR181" i="36"/>
  <c r="BQ181" i="36"/>
  <c r="BP181" i="36"/>
  <c r="BO181" i="36"/>
  <c r="BN181" i="36"/>
  <c r="BM181" i="36"/>
  <c r="BL181" i="36"/>
  <c r="BG181" i="36"/>
  <c r="BF181" i="36"/>
  <c r="BE181" i="36"/>
  <c r="BD181" i="36"/>
  <c r="BC181" i="36"/>
  <c r="BB181" i="36"/>
  <c r="BA181" i="36"/>
  <c r="AZ181" i="36"/>
  <c r="AY181" i="36"/>
  <c r="AX181" i="36"/>
  <c r="AW181" i="36"/>
  <c r="AV181" i="36"/>
  <c r="AU181" i="36"/>
  <c r="AT181" i="36"/>
  <c r="AS181" i="36"/>
  <c r="AP181" i="36"/>
  <c r="BI181" i="36" s="1"/>
  <c r="BZ180" i="36"/>
  <c r="BY180" i="36"/>
  <c r="BX180" i="36"/>
  <c r="BW180" i="36"/>
  <c r="BV180" i="36"/>
  <c r="BU180" i="36"/>
  <c r="BT180" i="36"/>
  <c r="BS180" i="36"/>
  <c r="BR180" i="36"/>
  <c r="BQ180" i="36"/>
  <c r="BP180" i="36"/>
  <c r="BO180" i="36"/>
  <c r="BN180" i="36"/>
  <c r="BM180" i="36"/>
  <c r="BL180" i="36"/>
  <c r="BG180" i="36"/>
  <c r="BF180" i="36"/>
  <c r="BE180" i="36"/>
  <c r="BD180" i="36"/>
  <c r="BC180" i="36"/>
  <c r="BB180" i="36"/>
  <c r="BA180" i="36"/>
  <c r="AZ180" i="36"/>
  <c r="AY180" i="36"/>
  <c r="AX180" i="36"/>
  <c r="AW180" i="36"/>
  <c r="AV180" i="36"/>
  <c r="AU180" i="36"/>
  <c r="AT180" i="36"/>
  <c r="AS180" i="36"/>
  <c r="AR180" i="36"/>
  <c r="BK180" i="36" s="1"/>
  <c r="AQ180" i="36"/>
  <c r="BJ180" i="36" s="1"/>
  <c r="AP180" i="36"/>
  <c r="BI180" i="36" s="1"/>
  <c r="AP179" i="36"/>
  <c r="BI179" i="36" s="1"/>
  <c r="BZ178" i="36"/>
  <c r="BY178" i="36"/>
  <c r="BX178" i="36"/>
  <c r="BW178" i="36"/>
  <c r="BV178" i="36"/>
  <c r="BU178" i="36"/>
  <c r="BT178" i="36"/>
  <c r="BS178" i="36"/>
  <c r="BR178" i="36"/>
  <c r="BQ178" i="36"/>
  <c r="BP178" i="36"/>
  <c r="BO178" i="36"/>
  <c r="BN178" i="36"/>
  <c r="BM178" i="36"/>
  <c r="BL178" i="36"/>
  <c r="BG178" i="36"/>
  <c r="BF178" i="36"/>
  <c r="BE178" i="36"/>
  <c r="BD178" i="36"/>
  <c r="BC178" i="36"/>
  <c r="BB178" i="36"/>
  <c r="BA178" i="36"/>
  <c r="AZ178" i="36"/>
  <c r="AY178" i="36"/>
  <c r="AX178" i="36"/>
  <c r="AW178" i="36"/>
  <c r="AV178" i="36"/>
  <c r="AU178" i="36"/>
  <c r="AT178" i="36"/>
  <c r="AS178" i="36"/>
  <c r="AP178" i="36"/>
  <c r="BI178" i="36" s="1"/>
  <c r="BZ177" i="36"/>
  <c r="BY177" i="36"/>
  <c r="BX177" i="36"/>
  <c r="BW177" i="36"/>
  <c r="BV177" i="36"/>
  <c r="BU177" i="36"/>
  <c r="BT177" i="36"/>
  <c r="BS177" i="36"/>
  <c r="BR177" i="36"/>
  <c r="BQ177" i="36"/>
  <c r="BP177" i="36"/>
  <c r="BO177" i="36"/>
  <c r="BN177" i="36"/>
  <c r="BM177" i="36"/>
  <c r="BL177" i="36"/>
  <c r="BG177" i="36"/>
  <c r="BF177" i="36"/>
  <c r="BE177" i="36"/>
  <c r="BD177" i="36"/>
  <c r="BC177" i="36"/>
  <c r="BB177" i="36"/>
  <c r="BA177" i="36"/>
  <c r="AZ177" i="36"/>
  <c r="AY177" i="36"/>
  <c r="AX177" i="36"/>
  <c r="AW177" i="36"/>
  <c r="AV177" i="36"/>
  <c r="AU177" i="36"/>
  <c r="AT177" i="36"/>
  <c r="AS177" i="36"/>
  <c r="AR177" i="36"/>
  <c r="BK177" i="36" s="1"/>
  <c r="AQ177" i="36"/>
  <c r="BJ177" i="36" s="1"/>
  <c r="AP177" i="36"/>
  <c r="BI177" i="36" s="1"/>
  <c r="AP176" i="36"/>
  <c r="BI176" i="36" s="1"/>
  <c r="BZ175" i="36"/>
  <c r="BY175" i="36"/>
  <c r="BX175" i="36"/>
  <c r="BW175" i="36"/>
  <c r="BV175" i="36"/>
  <c r="BU175" i="36"/>
  <c r="BT175" i="36"/>
  <c r="BS175" i="36"/>
  <c r="BR175" i="36"/>
  <c r="BQ175" i="36"/>
  <c r="BP175" i="36"/>
  <c r="BO175" i="36"/>
  <c r="BN175" i="36"/>
  <c r="BM175" i="36"/>
  <c r="BL175" i="36"/>
  <c r="BG175" i="36"/>
  <c r="BF175" i="36"/>
  <c r="BE175" i="36"/>
  <c r="BD175" i="36"/>
  <c r="BC175" i="36"/>
  <c r="BB175" i="36"/>
  <c r="BA175" i="36"/>
  <c r="AZ175" i="36"/>
  <c r="AY175" i="36"/>
  <c r="AX175" i="36"/>
  <c r="AW175" i="36"/>
  <c r="AV175" i="36"/>
  <c r="AU175" i="36"/>
  <c r="AT175" i="36"/>
  <c r="AS175" i="36"/>
  <c r="AP175" i="36"/>
  <c r="BI175" i="36" s="1"/>
  <c r="BZ174" i="36"/>
  <c r="BY174" i="36"/>
  <c r="BX174" i="36"/>
  <c r="BW174" i="36"/>
  <c r="BV174" i="36"/>
  <c r="BU174" i="36"/>
  <c r="BT174" i="36"/>
  <c r="BS174" i="36"/>
  <c r="BR174" i="36"/>
  <c r="BQ174" i="36"/>
  <c r="BP174" i="36"/>
  <c r="BO174" i="36"/>
  <c r="BN174" i="36"/>
  <c r="BM174" i="36"/>
  <c r="BL174" i="36"/>
  <c r="BG174" i="36"/>
  <c r="BF174" i="36"/>
  <c r="BE174" i="36"/>
  <c r="BD174" i="36"/>
  <c r="BC174" i="36"/>
  <c r="BB174" i="36"/>
  <c r="BA174" i="36"/>
  <c r="AZ174" i="36"/>
  <c r="AY174" i="36"/>
  <c r="AX174" i="36"/>
  <c r="AW174" i="36"/>
  <c r="AV174" i="36"/>
  <c r="AU174" i="36"/>
  <c r="AT174" i="36"/>
  <c r="AS174" i="36"/>
  <c r="AR174" i="36"/>
  <c r="BK174" i="36" s="1"/>
  <c r="AQ174" i="36"/>
  <c r="BJ174" i="36" s="1"/>
  <c r="AP174" i="36"/>
  <c r="BI174" i="36" s="1"/>
  <c r="AP173" i="36"/>
  <c r="BI173" i="36" s="1"/>
  <c r="BZ172" i="36"/>
  <c r="BY172" i="36"/>
  <c r="BX172" i="36"/>
  <c r="BW172" i="36"/>
  <c r="BV172" i="36"/>
  <c r="BU172" i="36"/>
  <c r="BT172" i="36"/>
  <c r="BS172" i="36"/>
  <c r="BR172" i="36"/>
  <c r="BQ172" i="36"/>
  <c r="BP172" i="36"/>
  <c r="BO172" i="36"/>
  <c r="BN172" i="36"/>
  <c r="BM172" i="36"/>
  <c r="BL172" i="36"/>
  <c r="BG172" i="36"/>
  <c r="BF172" i="36"/>
  <c r="BE172" i="36"/>
  <c r="BD172" i="36"/>
  <c r="BC172" i="36"/>
  <c r="BB172" i="36"/>
  <c r="BA172" i="36"/>
  <c r="AZ172" i="36"/>
  <c r="AY172" i="36"/>
  <c r="AX172" i="36"/>
  <c r="AW172" i="36"/>
  <c r="AV172" i="36"/>
  <c r="AU172" i="36"/>
  <c r="AT172" i="36"/>
  <c r="AS172" i="36"/>
  <c r="AP172" i="36"/>
  <c r="BI172" i="36" s="1"/>
  <c r="BZ171" i="36"/>
  <c r="BY171" i="36"/>
  <c r="BX171" i="36"/>
  <c r="BW171" i="36"/>
  <c r="BV171" i="36"/>
  <c r="BU171" i="36"/>
  <c r="BT171" i="36"/>
  <c r="BS171" i="36"/>
  <c r="BR171" i="36"/>
  <c r="BQ171" i="36"/>
  <c r="BP171" i="36"/>
  <c r="BO171" i="36"/>
  <c r="BN171" i="36"/>
  <c r="BM171" i="36"/>
  <c r="BL171" i="36"/>
  <c r="BG171" i="36"/>
  <c r="BF171" i="36"/>
  <c r="BE171" i="36"/>
  <c r="BD171" i="36"/>
  <c r="BC171" i="36"/>
  <c r="BB171" i="36"/>
  <c r="BA171" i="36"/>
  <c r="AZ171" i="36"/>
  <c r="AY171" i="36"/>
  <c r="AX171" i="36"/>
  <c r="AW171" i="36"/>
  <c r="AV171" i="36"/>
  <c r="AU171" i="36"/>
  <c r="AT171" i="36"/>
  <c r="AS171" i="36"/>
  <c r="AR171" i="36"/>
  <c r="BK171" i="36" s="1"/>
  <c r="AQ171" i="36"/>
  <c r="BJ171" i="36" s="1"/>
  <c r="AP171" i="36"/>
  <c r="BI171" i="36" s="1"/>
  <c r="AP170" i="36"/>
  <c r="BI170" i="36" s="1"/>
  <c r="BZ169" i="36"/>
  <c r="BY169" i="36"/>
  <c r="BX169" i="36"/>
  <c r="BW169" i="36"/>
  <c r="BV169" i="36"/>
  <c r="BU169" i="36"/>
  <c r="BT169" i="36"/>
  <c r="BS169" i="36"/>
  <c r="BR169" i="36"/>
  <c r="BQ169" i="36"/>
  <c r="BP169" i="36"/>
  <c r="BO169" i="36"/>
  <c r="BN169" i="36"/>
  <c r="BM169" i="36"/>
  <c r="BL169" i="36"/>
  <c r="BG169" i="36"/>
  <c r="BF169" i="36"/>
  <c r="BE169" i="36"/>
  <c r="BD169" i="36"/>
  <c r="BC169" i="36"/>
  <c r="BB169" i="36"/>
  <c r="BA169" i="36"/>
  <c r="AZ169" i="36"/>
  <c r="AY169" i="36"/>
  <c r="AX169" i="36"/>
  <c r="AW169" i="36"/>
  <c r="AV169" i="36"/>
  <c r="AU169" i="36"/>
  <c r="AT169" i="36"/>
  <c r="AS169" i="36"/>
  <c r="AP169" i="36"/>
  <c r="BI169" i="36" s="1"/>
  <c r="BZ168" i="36"/>
  <c r="BY168" i="36"/>
  <c r="BX168" i="36"/>
  <c r="BW168" i="36"/>
  <c r="BV168" i="36"/>
  <c r="BU168" i="36"/>
  <c r="BT168" i="36"/>
  <c r="BS168" i="36"/>
  <c r="BR168" i="36"/>
  <c r="BQ168" i="36"/>
  <c r="BP168" i="36"/>
  <c r="BO168" i="36"/>
  <c r="BN168" i="36"/>
  <c r="BM168" i="36"/>
  <c r="BL168" i="36"/>
  <c r="BG168" i="36"/>
  <c r="BF168" i="36"/>
  <c r="BE168" i="36"/>
  <c r="BD168" i="36"/>
  <c r="BC168" i="36"/>
  <c r="BB168" i="36"/>
  <c r="BA168" i="36"/>
  <c r="AZ168" i="36"/>
  <c r="AY168" i="36"/>
  <c r="AX168" i="36"/>
  <c r="AW168" i="36"/>
  <c r="AV168" i="36"/>
  <c r="AU168" i="36"/>
  <c r="AT168" i="36"/>
  <c r="AS168" i="36"/>
  <c r="AR168" i="36"/>
  <c r="BK168" i="36" s="1"/>
  <c r="AQ168" i="36"/>
  <c r="BJ168" i="36" s="1"/>
  <c r="AP168" i="36"/>
  <c r="BI168" i="36" s="1"/>
  <c r="AP167" i="36"/>
  <c r="BI167" i="36" s="1"/>
  <c r="BZ166" i="36"/>
  <c r="BY166" i="36"/>
  <c r="BX166" i="36"/>
  <c r="BW166" i="36"/>
  <c r="BV166" i="36"/>
  <c r="BU166" i="36"/>
  <c r="BT166" i="36"/>
  <c r="BS166" i="36"/>
  <c r="BR166" i="36"/>
  <c r="BQ166" i="36"/>
  <c r="BP166" i="36"/>
  <c r="BO166" i="36"/>
  <c r="BN166" i="36"/>
  <c r="BM166" i="36"/>
  <c r="BL166" i="36"/>
  <c r="BG166" i="36"/>
  <c r="BF166" i="36"/>
  <c r="BE166" i="36"/>
  <c r="BD166" i="36"/>
  <c r="BC166" i="36"/>
  <c r="BB166" i="36"/>
  <c r="BA166" i="36"/>
  <c r="AZ166" i="36"/>
  <c r="AY166" i="36"/>
  <c r="AX166" i="36"/>
  <c r="AW166" i="36"/>
  <c r="AV166" i="36"/>
  <c r="AU166" i="36"/>
  <c r="AT166" i="36"/>
  <c r="AS166" i="36"/>
  <c r="AP166" i="36"/>
  <c r="BI166" i="36" s="1"/>
  <c r="BZ165" i="36"/>
  <c r="BY165" i="36"/>
  <c r="BX165" i="36"/>
  <c r="BW165" i="36"/>
  <c r="BV165" i="36"/>
  <c r="BU165" i="36"/>
  <c r="BT165" i="36"/>
  <c r="BS165" i="36"/>
  <c r="BR165" i="36"/>
  <c r="BQ165" i="36"/>
  <c r="BP165" i="36"/>
  <c r="BO165" i="36"/>
  <c r="BN165" i="36"/>
  <c r="BM165" i="36"/>
  <c r="BL165" i="36"/>
  <c r="BG165" i="36"/>
  <c r="BF165" i="36"/>
  <c r="BE165" i="36"/>
  <c r="BD165" i="36"/>
  <c r="BC165" i="36"/>
  <c r="BB165" i="36"/>
  <c r="BA165" i="36"/>
  <c r="AZ165" i="36"/>
  <c r="AY165" i="36"/>
  <c r="AX165" i="36"/>
  <c r="AW165" i="36"/>
  <c r="AV165" i="36"/>
  <c r="AU165" i="36"/>
  <c r="AT165" i="36"/>
  <c r="AS165" i="36"/>
  <c r="AR165" i="36"/>
  <c r="BK165" i="36" s="1"/>
  <c r="AQ165" i="36"/>
  <c r="BJ165" i="36" s="1"/>
  <c r="AP165" i="36"/>
  <c r="BI165" i="36" s="1"/>
  <c r="AP164" i="36"/>
  <c r="BI164" i="36" s="1"/>
  <c r="BZ163" i="36"/>
  <c r="BY163" i="36"/>
  <c r="BX163" i="36"/>
  <c r="BW163" i="36"/>
  <c r="BV163" i="36"/>
  <c r="BU163" i="36"/>
  <c r="BT163" i="36"/>
  <c r="BS163" i="36"/>
  <c r="BR163" i="36"/>
  <c r="BQ163" i="36"/>
  <c r="BP163" i="36"/>
  <c r="BO163" i="36"/>
  <c r="BN163" i="36"/>
  <c r="BM163" i="36"/>
  <c r="BL163" i="36"/>
  <c r="BG163" i="36"/>
  <c r="BF163" i="36"/>
  <c r="BE163" i="36"/>
  <c r="BD163" i="36"/>
  <c r="BC163" i="36"/>
  <c r="BB163" i="36"/>
  <c r="BA163" i="36"/>
  <c r="AZ163" i="36"/>
  <c r="AY163" i="36"/>
  <c r="AX163" i="36"/>
  <c r="AW163" i="36"/>
  <c r="AV163" i="36"/>
  <c r="AU163" i="36"/>
  <c r="AT163" i="36"/>
  <c r="AS163" i="36"/>
  <c r="AP163" i="36"/>
  <c r="BI163" i="36" s="1"/>
  <c r="BZ162" i="36"/>
  <c r="BY162" i="36"/>
  <c r="BX162" i="36"/>
  <c r="BW162" i="36"/>
  <c r="BV162" i="36"/>
  <c r="BU162" i="36"/>
  <c r="BT162" i="36"/>
  <c r="BS162" i="36"/>
  <c r="BR162" i="36"/>
  <c r="BQ162" i="36"/>
  <c r="BP162" i="36"/>
  <c r="BO162" i="36"/>
  <c r="BN162" i="36"/>
  <c r="BM162" i="36"/>
  <c r="BL162" i="36"/>
  <c r="BG162" i="36"/>
  <c r="BF162" i="36"/>
  <c r="BE162" i="36"/>
  <c r="BD162" i="36"/>
  <c r="BC162" i="36"/>
  <c r="BB162" i="36"/>
  <c r="BA162" i="36"/>
  <c r="AZ162" i="36"/>
  <c r="AY162" i="36"/>
  <c r="AX162" i="36"/>
  <c r="AW162" i="36"/>
  <c r="AV162" i="36"/>
  <c r="AU162" i="36"/>
  <c r="AT162" i="36"/>
  <c r="AS162" i="36"/>
  <c r="AR162" i="36"/>
  <c r="BK162" i="36" s="1"/>
  <c r="AQ162" i="36"/>
  <c r="BJ162" i="36" s="1"/>
  <c r="AP162" i="36"/>
  <c r="BI162" i="36" s="1"/>
  <c r="AP161" i="36"/>
  <c r="BI161" i="36" s="1"/>
  <c r="BZ160" i="36"/>
  <c r="BY160" i="36"/>
  <c r="BX160" i="36"/>
  <c r="BW160" i="36"/>
  <c r="BV160" i="36"/>
  <c r="BU160" i="36"/>
  <c r="BT160" i="36"/>
  <c r="BS160" i="36"/>
  <c r="BR160" i="36"/>
  <c r="BQ160" i="36"/>
  <c r="BP160" i="36"/>
  <c r="BO160" i="36"/>
  <c r="BN160" i="36"/>
  <c r="BM160" i="36"/>
  <c r="BL160" i="36"/>
  <c r="BG160" i="36"/>
  <c r="BF160" i="36"/>
  <c r="BE160" i="36"/>
  <c r="BD160" i="36"/>
  <c r="BC160" i="36"/>
  <c r="BB160" i="36"/>
  <c r="BA160" i="36"/>
  <c r="AZ160" i="36"/>
  <c r="AY160" i="36"/>
  <c r="AX160" i="36"/>
  <c r="AW160" i="36"/>
  <c r="AV160" i="36"/>
  <c r="AU160" i="36"/>
  <c r="AT160" i="36"/>
  <c r="AS160" i="36"/>
  <c r="AP160" i="36"/>
  <c r="BI160" i="36" s="1"/>
  <c r="BZ159" i="36"/>
  <c r="BY159" i="36"/>
  <c r="BX159" i="36"/>
  <c r="BW159" i="36"/>
  <c r="BV159" i="36"/>
  <c r="BU159" i="36"/>
  <c r="BT159" i="36"/>
  <c r="BS159" i="36"/>
  <c r="BR159" i="36"/>
  <c r="BQ159" i="36"/>
  <c r="BP159" i="36"/>
  <c r="BO159" i="36"/>
  <c r="BN159" i="36"/>
  <c r="BM159" i="36"/>
  <c r="BL159" i="36"/>
  <c r="BG159" i="36"/>
  <c r="BF159" i="36"/>
  <c r="BE159" i="36"/>
  <c r="BD159" i="36"/>
  <c r="BC159" i="36"/>
  <c r="BB159" i="36"/>
  <c r="BA159" i="36"/>
  <c r="AZ159" i="36"/>
  <c r="AY159" i="36"/>
  <c r="AX159" i="36"/>
  <c r="AW159" i="36"/>
  <c r="AV159" i="36"/>
  <c r="AU159" i="36"/>
  <c r="AT159" i="36"/>
  <c r="AS159" i="36"/>
  <c r="AR159" i="36"/>
  <c r="BK159" i="36" s="1"/>
  <c r="AQ159" i="36"/>
  <c r="BJ159" i="36" s="1"/>
  <c r="AP159" i="36"/>
  <c r="BI159" i="36" s="1"/>
  <c r="AP158" i="36"/>
  <c r="BI158" i="36" s="1"/>
  <c r="BZ157" i="36"/>
  <c r="BY157" i="36"/>
  <c r="BX157" i="36"/>
  <c r="BW157" i="36"/>
  <c r="BV157" i="36"/>
  <c r="BU157" i="36"/>
  <c r="BT157" i="36"/>
  <c r="BS157" i="36"/>
  <c r="BR157" i="36"/>
  <c r="BQ157" i="36"/>
  <c r="BP157" i="36"/>
  <c r="BO157" i="36"/>
  <c r="BN157" i="36"/>
  <c r="BM157" i="36"/>
  <c r="BL157" i="36"/>
  <c r="BG157" i="36"/>
  <c r="BF157" i="36"/>
  <c r="BE157" i="36"/>
  <c r="BD157" i="36"/>
  <c r="BC157" i="36"/>
  <c r="BB157" i="36"/>
  <c r="BA157" i="36"/>
  <c r="AZ157" i="36"/>
  <c r="AY157" i="36"/>
  <c r="AX157" i="36"/>
  <c r="AW157" i="36"/>
  <c r="AV157" i="36"/>
  <c r="AU157" i="36"/>
  <c r="AT157" i="36"/>
  <c r="AS157" i="36"/>
  <c r="AP157" i="36"/>
  <c r="BI157" i="36" s="1"/>
  <c r="BZ156" i="36"/>
  <c r="BY156" i="36"/>
  <c r="BX156" i="36"/>
  <c r="BW156" i="36"/>
  <c r="BV156" i="36"/>
  <c r="BU156" i="36"/>
  <c r="BT156" i="36"/>
  <c r="BS156" i="36"/>
  <c r="BR156" i="36"/>
  <c r="BQ156" i="36"/>
  <c r="BP156" i="36"/>
  <c r="BO156" i="36"/>
  <c r="BN156" i="36"/>
  <c r="BM156" i="36"/>
  <c r="BL156" i="36"/>
  <c r="BG156" i="36"/>
  <c r="BF156" i="36"/>
  <c r="BE156" i="36"/>
  <c r="BD156" i="36"/>
  <c r="BC156" i="36"/>
  <c r="BB156" i="36"/>
  <c r="BA156" i="36"/>
  <c r="AZ156" i="36"/>
  <c r="AY156" i="36"/>
  <c r="AX156" i="36"/>
  <c r="AW156" i="36"/>
  <c r="AV156" i="36"/>
  <c r="AU156" i="36"/>
  <c r="AT156" i="36"/>
  <c r="AS156" i="36"/>
  <c r="AR156" i="36"/>
  <c r="BK156" i="36" s="1"/>
  <c r="AQ156" i="36"/>
  <c r="BJ156" i="36" s="1"/>
  <c r="AP156" i="36"/>
  <c r="BI156" i="36" s="1"/>
  <c r="AP155" i="36"/>
  <c r="BI155" i="36" s="1"/>
  <c r="BZ154" i="36"/>
  <c r="BY154" i="36"/>
  <c r="BX154" i="36"/>
  <c r="BW154" i="36"/>
  <c r="BV154" i="36"/>
  <c r="BU154" i="36"/>
  <c r="BT154" i="36"/>
  <c r="BS154" i="36"/>
  <c r="BR154" i="36"/>
  <c r="BQ154" i="36"/>
  <c r="BP154" i="36"/>
  <c r="BO154" i="36"/>
  <c r="BN154" i="36"/>
  <c r="BM154" i="36"/>
  <c r="BL154" i="36"/>
  <c r="BG154" i="36"/>
  <c r="BF154" i="36"/>
  <c r="BE154" i="36"/>
  <c r="BD154" i="36"/>
  <c r="BC154" i="36"/>
  <c r="BB154" i="36"/>
  <c r="BA154" i="36"/>
  <c r="AZ154" i="36"/>
  <c r="AY154" i="36"/>
  <c r="AX154" i="36"/>
  <c r="AW154" i="36"/>
  <c r="AV154" i="36"/>
  <c r="AU154" i="36"/>
  <c r="AT154" i="36"/>
  <c r="AS154" i="36"/>
  <c r="AP154" i="36"/>
  <c r="BI154" i="36" s="1"/>
  <c r="BZ153" i="36"/>
  <c r="BY153" i="36"/>
  <c r="BX153" i="36"/>
  <c r="BW153" i="36"/>
  <c r="BV153" i="36"/>
  <c r="BU153" i="36"/>
  <c r="BT153" i="36"/>
  <c r="BS153" i="36"/>
  <c r="BR153" i="36"/>
  <c r="BQ153" i="36"/>
  <c r="BP153" i="36"/>
  <c r="BO153" i="36"/>
  <c r="BN153" i="36"/>
  <c r="BM153" i="36"/>
  <c r="BL153" i="36"/>
  <c r="BG153" i="36"/>
  <c r="BF153" i="36"/>
  <c r="BE153" i="36"/>
  <c r="BD153" i="36"/>
  <c r="BC153" i="36"/>
  <c r="BB153" i="36"/>
  <c r="BA153" i="36"/>
  <c r="AZ153" i="36"/>
  <c r="AY153" i="36"/>
  <c r="AX153" i="36"/>
  <c r="AW153" i="36"/>
  <c r="AV153" i="36"/>
  <c r="AU153" i="36"/>
  <c r="AT153" i="36"/>
  <c r="AS153" i="36"/>
  <c r="AR153" i="36"/>
  <c r="BK153" i="36" s="1"/>
  <c r="AQ153" i="36"/>
  <c r="BJ153" i="36" s="1"/>
  <c r="AP153" i="36"/>
  <c r="BI153" i="36" s="1"/>
  <c r="AP152" i="36"/>
  <c r="BI152" i="36" s="1"/>
  <c r="BZ151" i="36"/>
  <c r="BY151" i="36"/>
  <c r="BX151" i="36"/>
  <c r="BW151" i="36"/>
  <c r="BV151" i="36"/>
  <c r="BU151" i="36"/>
  <c r="BT151" i="36"/>
  <c r="BS151" i="36"/>
  <c r="BR151" i="36"/>
  <c r="BQ151" i="36"/>
  <c r="BP151" i="36"/>
  <c r="BO151" i="36"/>
  <c r="BN151" i="36"/>
  <c r="BM151" i="36"/>
  <c r="BL151" i="36"/>
  <c r="BG151" i="36"/>
  <c r="BF151" i="36"/>
  <c r="BE151" i="36"/>
  <c r="BD151" i="36"/>
  <c r="BC151" i="36"/>
  <c r="BB151" i="36"/>
  <c r="BA151" i="36"/>
  <c r="AZ151" i="36"/>
  <c r="AY151" i="36"/>
  <c r="AX151" i="36"/>
  <c r="AW151" i="36"/>
  <c r="AV151" i="36"/>
  <c r="AU151" i="36"/>
  <c r="AT151" i="36"/>
  <c r="AS151" i="36"/>
  <c r="AP151" i="36"/>
  <c r="BI151" i="36" s="1"/>
  <c r="BZ150" i="36"/>
  <c r="BY150" i="36"/>
  <c r="BX150" i="36"/>
  <c r="BW150" i="36"/>
  <c r="BV150" i="36"/>
  <c r="BU150" i="36"/>
  <c r="BT150" i="36"/>
  <c r="BS150" i="36"/>
  <c r="BR150" i="36"/>
  <c r="BQ150" i="36"/>
  <c r="BP150" i="36"/>
  <c r="BO150" i="36"/>
  <c r="BN150" i="36"/>
  <c r="BM150" i="36"/>
  <c r="BL150" i="36"/>
  <c r="BG150" i="36"/>
  <c r="BF150" i="36"/>
  <c r="BE150" i="36"/>
  <c r="BD150" i="36"/>
  <c r="BC150" i="36"/>
  <c r="BB150" i="36"/>
  <c r="BA150" i="36"/>
  <c r="AZ150" i="36"/>
  <c r="AY150" i="36"/>
  <c r="AX150" i="36"/>
  <c r="AW150" i="36"/>
  <c r="AV150" i="36"/>
  <c r="AU150" i="36"/>
  <c r="AT150" i="36"/>
  <c r="AS150" i="36"/>
  <c r="AR150" i="36"/>
  <c r="BK150" i="36" s="1"/>
  <c r="AQ150" i="36"/>
  <c r="BJ150" i="36" s="1"/>
  <c r="AP150" i="36"/>
  <c r="BI150" i="36" s="1"/>
  <c r="AP149" i="36"/>
  <c r="BI149" i="36" s="1"/>
  <c r="BZ148" i="36"/>
  <c r="BY148" i="36"/>
  <c r="BX148" i="36"/>
  <c r="BW148" i="36"/>
  <c r="BV148" i="36"/>
  <c r="BU148" i="36"/>
  <c r="BT148" i="36"/>
  <c r="BS148" i="36"/>
  <c r="BR148" i="36"/>
  <c r="BQ148" i="36"/>
  <c r="BP148" i="36"/>
  <c r="BO148" i="36"/>
  <c r="BN148" i="36"/>
  <c r="BM148" i="36"/>
  <c r="BL148" i="36"/>
  <c r="BG148" i="36"/>
  <c r="BF148" i="36"/>
  <c r="BE148" i="36"/>
  <c r="BD148" i="36"/>
  <c r="BC148" i="36"/>
  <c r="BB148" i="36"/>
  <c r="BA148" i="36"/>
  <c r="AZ148" i="36"/>
  <c r="AY148" i="36"/>
  <c r="AX148" i="36"/>
  <c r="AW148" i="36"/>
  <c r="AV148" i="36"/>
  <c r="AU148" i="36"/>
  <c r="AT148" i="36"/>
  <c r="AS148" i="36"/>
  <c r="AP148" i="36"/>
  <c r="BI148" i="36" s="1"/>
  <c r="BZ147" i="36"/>
  <c r="BY147" i="36"/>
  <c r="BX147" i="36"/>
  <c r="BW147" i="36"/>
  <c r="BV147" i="36"/>
  <c r="BU147" i="36"/>
  <c r="BT147" i="36"/>
  <c r="BS147" i="36"/>
  <c r="BR147" i="36"/>
  <c r="BQ147" i="36"/>
  <c r="BP147" i="36"/>
  <c r="BO147" i="36"/>
  <c r="BN147" i="36"/>
  <c r="BM147" i="36"/>
  <c r="BL147" i="36"/>
  <c r="BG147" i="36"/>
  <c r="BF147" i="36"/>
  <c r="BE147" i="36"/>
  <c r="BD147" i="36"/>
  <c r="BC147" i="36"/>
  <c r="BB147" i="36"/>
  <c r="BA147" i="36"/>
  <c r="AZ147" i="36"/>
  <c r="AY147" i="36"/>
  <c r="AX147" i="36"/>
  <c r="AW147" i="36"/>
  <c r="AV147" i="36"/>
  <c r="AU147" i="36"/>
  <c r="AT147" i="36"/>
  <c r="AS147" i="36"/>
  <c r="AR147" i="36"/>
  <c r="BK147" i="36" s="1"/>
  <c r="AQ147" i="36"/>
  <c r="BJ147" i="36" s="1"/>
  <c r="AP147" i="36"/>
  <c r="BI147" i="36" s="1"/>
  <c r="AP146" i="36"/>
  <c r="BI146" i="36" s="1"/>
  <c r="BZ145" i="36"/>
  <c r="BY145" i="36"/>
  <c r="BX145" i="36"/>
  <c r="BW145" i="36"/>
  <c r="BV145" i="36"/>
  <c r="BU145" i="36"/>
  <c r="BT145" i="36"/>
  <c r="BS145" i="36"/>
  <c r="BR145" i="36"/>
  <c r="BQ145" i="36"/>
  <c r="BP145" i="36"/>
  <c r="BO145" i="36"/>
  <c r="BN145" i="36"/>
  <c r="BM145" i="36"/>
  <c r="BL145" i="36"/>
  <c r="BG145" i="36"/>
  <c r="BF145" i="36"/>
  <c r="BE145" i="36"/>
  <c r="BD145" i="36"/>
  <c r="BC145" i="36"/>
  <c r="BB145" i="36"/>
  <c r="BA145" i="36"/>
  <c r="AZ145" i="36"/>
  <c r="AY145" i="36"/>
  <c r="AX145" i="36"/>
  <c r="AW145" i="36"/>
  <c r="AV145" i="36"/>
  <c r="AU145" i="36"/>
  <c r="AT145" i="36"/>
  <c r="AS145" i="36"/>
  <c r="AP145" i="36"/>
  <c r="BI145" i="36" s="1"/>
  <c r="BZ144" i="36"/>
  <c r="BY144" i="36"/>
  <c r="BX144" i="36"/>
  <c r="BW144" i="36"/>
  <c r="BV144" i="36"/>
  <c r="BU144" i="36"/>
  <c r="BT144" i="36"/>
  <c r="BS144" i="36"/>
  <c r="BR144" i="36"/>
  <c r="BQ144" i="36"/>
  <c r="BP144" i="36"/>
  <c r="BO144" i="36"/>
  <c r="BN144" i="36"/>
  <c r="BM144" i="36"/>
  <c r="BL144" i="36"/>
  <c r="BG144" i="36"/>
  <c r="BF144" i="36"/>
  <c r="BE144" i="36"/>
  <c r="BD144" i="36"/>
  <c r="BC144" i="36"/>
  <c r="BB144" i="36"/>
  <c r="BA144" i="36"/>
  <c r="AZ144" i="36"/>
  <c r="AY144" i="36"/>
  <c r="AX144" i="36"/>
  <c r="AW144" i="36"/>
  <c r="AV144" i="36"/>
  <c r="AU144" i="36"/>
  <c r="AT144" i="36"/>
  <c r="AS144" i="36"/>
  <c r="AR144" i="36"/>
  <c r="BK144" i="36" s="1"/>
  <c r="AQ144" i="36"/>
  <c r="BJ144" i="36" s="1"/>
  <c r="AP144" i="36"/>
  <c r="BI144" i="36" s="1"/>
  <c r="AP143" i="36"/>
  <c r="BI143" i="36" s="1"/>
  <c r="BZ142" i="36"/>
  <c r="BY142" i="36"/>
  <c r="BX142" i="36"/>
  <c r="BW142" i="36"/>
  <c r="BV142" i="36"/>
  <c r="BU142" i="36"/>
  <c r="BT142" i="36"/>
  <c r="BS142" i="36"/>
  <c r="BR142" i="36"/>
  <c r="BQ142" i="36"/>
  <c r="BP142" i="36"/>
  <c r="BO142" i="36"/>
  <c r="BN142" i="36"/>
  <c r="BM142" i="36"/>
  <c r="BL142" i="36"/>
  <c r="BG142" i="36"/>
  <c r="BF142" i="36"/>
  <c r="BE142" i="36"/>
  <c r="BD142" i="36"/>
  <c r="BC142" i="36"/>
  <c r="BB142" i="36"/>
  <c r="BA142" i="36"/>
  <c r="AZ142" i="36"/>
  <c r="AY142" i="36"/>
  <c r="AX142" i="36"/>
  <c r="AW142" i="36"/>
  <c r="AV142" i="36"/>
  <c r="AU142" i="36"/>
  <c r="AT142" i="36"/>
  <c r="AS142" i="36"/>
  <c r="AP142" i="36"/>
  <c r="BI142" i="36" s="1"/>
  <c r="BZ141" i="36"/>
  <c r="BY141" i="36"/>
  <c r="BX141" i="36"/>
  <c r="BW141" i="36"/>
  <c r="BV141" i="36"/>
  <c r="BU141" i="36"/>
  <c r="BT141" i="36"/>
  <c r="BS141" i="36"/>
  <c r="BR141" i="36"/>
  <c r="BQ141" i="36"/>
  <c r="BP141" i="36"/>
  <c r="BO141" i="36"/>
  <c r="BN141" i="36"/>
  <c r="BM141" i="36"/>
  <c r="BL141" i="36"/>
  <c r="BG141" i="36"/>
  <c r="BF141" i="36"/>
  <c r="BE141" i="36"/>
  <c r="BD141" i="36"/>
  <c r="BC141" i="36"/>
  <c r="BB141" i="36"/>
  <c r="BA141" i="36"/>
  <c r="AZ141" i="36"/>
  <c r="AY141" i="36"/>
  <c r="AX141" i="36"/>
  <c r="AW141" i="36"/>
  <c r="AV141" i="36"/>
  <c r="AU141" i="36"/>
  <c r="AT141" i="36"/>
  <c r="AS141" i="36"/>
  <c r="AR141" i="36"/>
  <c r="BK141" i="36" s="1"/>
  <c r="AQ141" i="36"/>
  <c r="BJ141" i="36" s="1"/>
  <c r="AP141" i="36"/>
  <c r="BI141" i="36" s="1"/>
  <c r="AP140" i="36"/>
  <c r="BI140" i="36" s="1"/>
  <c r="BZ139" i="36"/>
  <c r="BY139" i="36"/>
  <c r="BX139" i="36"/>
  <c r="BW139" i="36"/>
  <c r="BV139" i="36"/>
  <c r="BU139" i="36"/>
  <c r="BT139" i="36"/>
  <c r="BS139" i="36"/>
  <c r="BR139" i="36"/>
  <c r="BQ139" i="36"/>
  <c r="BP139" i="36"/>
  <c r="BO139" i="36"/>
  <c r="BN139" i="36"/>
  <c r="BM139" i="36"/>
  <c r="BL139" i="36"/>
  <c r="BG139" i="36"/>
  <c r="BF139" i="36"/>
  <c r="BE139" i="36"/>
  <c r="BD139" i="36"/>
  <c r="BC139" i="36"/>
  <c r="BB139" i="36"/>
  <c r="BA139" i="36"/>
  <c r="AZ139" i="36"/>
  <c r="AY139" i="36"/>
  <c r="AX139" i="36"/>
  <c r="AW139" i="36"/>
  <c r="AV139" i="36"/>
  <c r="AU139" i="36"/>
  <c r="AT139" i="36"/>
  <c r="AS139" i="36"/>
  <c r="AP139" i="36"/>
  <c r="BI139" i="36" s="1"/>
  <c r="BZ138" i="36"/>
  <c r="BY138" i="36"/>
  <c r="BX138" i="36"/>
  <c r="BW138" i="36"/>
  <c r="BV138" i="36"/>
  <c r="BU138" i="36"/>
  <c r="BT138" i="36"/>
  <c r="BS138" i="36"/>
  <c r="BR138" i="36"/>
  <c r="BQ138" i="36"/>
  <c r="BP138" i="36"/>
  <c r="BO138" i="36"/>
  <c r="BN138" i="36"/>
  <c r="BM138" i="36"/>
  <c r="BL138" i="36"/>
  <c r="BG138" i="36"/>
  <c r="BF138" i="36"/>
  <c r="BE138" i="36"/>
  <c r="BD138" i="36"/>
  <c r="BC138" i="36"/>
  <c r="BB138" i="36"/>
  <c r="BA138" i="36"/>
  <c r="AZ138" i="36"/>
  <c r="AY138" i="36"/>
  <c r="AX138" i="36"/>
  <c r="AW138" i="36"/>
  <c r="AV138" i="36"/>
  <c r="AU138" i="36"/>
  <c r="AT138" i="36"/>
  <c r="AS138" i="36"/>
  <c r="AR138" i="36"/>
  <c r="BK138" i="36" s="1"/>
  <c r="AQ138" i="36"/>
  <c r="BJ138" i="36" s="1"/>
  <c r="AP138" i="36"/>
  <c r="BI138" i="36" s="1"/>
  <c r="AP137" i="36"/>
  <c r="BI137" i="36" s="1"/>
  <c r="BZ136" i="36"/>
  <c r="BY136" i="36"/>
  <c r="BX136" i="36"/>
  <c r="BW136" i="36"/>
  <c r="BV136" i="36"/>
  <c r="BU136" i="36"/>
  <c r="BT136" i="36"/>
  <c r="BS136" i="36"/>
  <c r="BR136" i="36"/>
  <c r="BQ136" i="36"/>
  <c r="BP136" i="36"/>
  <c r="BO136" i="36"/>
  <c r="BN136" i="36"/>
  <c r="BM136" i="36"/>
  <c r="BL136" i="36"/>
  <c r="BG136" i="36"/>
  <c r="BF136" i="36"/>
  <c r="BE136" i="36"/>
  <c r="BD136" i="36"/>
  <c r="BC136" i="36"/>
  <c r="BB136" i="36"/>
  <c r="BA136" i="36"/>
  <c r="AZ136" i="36"/>
  <c r="AY136" i="36"/>
  <c r="AX136" i="36"/>
  <c r="AW136" i="36"/>
  <c r="AV136" i="36"/>
  <c r="AU136" i="36"/>
  <c r="AT136" i="36"/>
  <c r="AS136" i="36"/>
  <c r="AP136" i="36"/>
  <c r="BI136" i="36" s="1"/>
  <c r="BZ135" i="36"/>
  <c r="BY135" i="36"/>
  <c r="BX135" i="36"/>
  <c r="BW135" i="36"/>
  <c r="BV135" i="36"/>
  <c r="BU135" i="36"/>
  <c r="BT135" i="36"/>
  <c r="BS135" i="36"/>
  <c r="BR135" i="36"/>
  <c r="BQ135" i="36"/>
  <c r="BP135" i="36"/>
  <c r="BO135" i="36"/>
  <c r="BN135" i="36"/>
  <c r="BM135" i="36"/>
  <c r="BL135" i="36"/>
  <c r="BG135" i="36"/>
  <c r="BF135" i="36"/>
  <c r="BE135" i="36"/>
  <c r="BD135" i="36"/>
  <c r="BC135" i="36"/>
  <c r="BB135" i="36"/>
  <c r="BA135" i="36"/>
  <c r="AZ135" i="36"/>
  <c r="AY135" i="36"/>
  <c r="AX135" i="36"/>
  <c r="AW135" i="36"/>
  <c r="AV135" i="36"/>
  <c r="AU135" i="36"/>
  <c r="AT135" i="36"/>
  <c r="AS135" i="36"/>
  <c r="AR135" i="36"/>
  <c r="BK135" i="36" s="1"/>
  <c r="AQ135" i="36"/>
  <c r="BJ135" i="36" s="1"/>
  <c r="AP135" i="36"/>
  <c r="BI135" i="36" s="1"/>
  <c r="AP134" i="36"/>
  <c r="BI134" i="36" s="1"/>
  <c r="BZ133" i="36"/>
  <c r="BY133" i="36"/>
  <c r="BX133" i="36"/>
  <c r="BW133" i="36"/>
  <c r="BV133" i="36"/>
  <c r="BU133" i="36"/>
  <c r="BT133" i="36"/>
  <c r="BS133" i="36"/>
  <c r="BR133" i="36"/>
  <c r="BQ133" i="36"/>
  <c r="BP133" i="36"/>
  <c r="BO133" i="36"/>
  <c r="BN133" i="36"/>
  <c r="BM133" i="36"/>
  <c r="BL133" i="36"/>
  <c r="BG133" i="36"/>
  <c r="BF133" i="36"/>
  <c r="BE133" i="36"/>
  <c r="BD133" i="36"/>
  <c r="BC133" i="36"/>
  <c r="BB133" i="36"/>
  <c r="BA133" i="36"/>
  <c r="AZ133" i="36"/>
  <c r="AY133" i="36"/>
  <c r="AX133" i="36"/>
  <c r="AW133" i="36"/>
  <c r="AV133" i="36"/>
  <c r="AU133" i="36"/>
  <c r="AT133" i="36"/>
  <c r="AS133" i="36"/>
  <c r="AP133" i="36"/>
  <c r="BI133" i="36" s="1"/>
  <c r="BZ132" i="36"/>
  <c r="BY132" i="36"/>
  <c r="BX132" i="36"/>
  <c r="BW132" i="36"/>
  <c r="BV132" i="36"/>
  <c r="BU132" i="36"/>
  <c r="BT132" i="36"/>
  <c r="BS132" i="36"/>
  <c r="BR132" i="36"/>
  <c r="BQ132" i="36"/>
  <c r="BP132" i="36"/>
  <c r="BO132" i="36"/>
  <c r="BN132" i="36"/>
  <c r="BM132" i="36"/>
  <c r="BL132" i="36"/>
  <c r="BG132" i="36"/>
  <c r="BF132" i="36"/>
  <c r="BE132" i="36"/>
  <c r="BD132" i="36"/>
  <c r="BC132" i="36"/>
  <c r="BB132" i="36"/>
  <c r="BA132" i="36"/>
  <c r="AZ132" i="36"/>
  <c r="AY132" i="36"/>
  <c r="AX132" i="36"/>
  <c r="AW132" i="36"/>
  <c r="AV132" i="36"/>
  <c r="AU132" i="36"/>
  <c r="AT132" i="36"/>
  <c r="AS132" i="36"/>
  <c r="AR132" i="36"/>
  <c r="BK132" i="36" s="1"/>
  <c r="AQ132" i="36"/>
  <c r="BJ132" i="36" s="1"/>
  <c r="AP132" i="36"/>
  <c r="BI132" i="36" s="1"/>
  <c r="AP131" i="36"/>
  <c r="BI131" i="36" s="1"/>
  <c r="BG130" i="36"/>
  <c r="BF130" i="36"/>
  <c r="BE130" i="36"/>
  <c r="BD130" i="36"/>
  <c r="BC130" i="36"/>
  <c r="BB130" i="36"/>
  <c r="BA130" i="36"/>
  <c r="AZ130" i="36"/>
  <c r="AY130" i="36"/>
  <c r="AX130" i="36"/>
  <c r="AW130" i="36"/>
  <c r="AV130" i="36"/>
  <c r="AU130" i="36"/>
  <c r="AT130" i="36"/>
  <c r="AS130" i="36"/>
  <c r="AP130" i="36"/>
  <c r="BI130" i="36" s="1"/>
  <c r="BI129" i="36"/>
  <c r="BG129" i="36"/>
  <c r="BF129" i="36"/>
  <c r="BE129" i="36"/>
  <c r="BD129" i="36"/>
  <c r="BC129" i="36"/>
  <c r="BB129" i="36"/>
  <c r="BA129" i="36"/>
  <c r="AZ129" i="36"/>
  <c r="AY129" i="36"/>
  <c r="AX129" i="36"/>
  <c r="AW129" i="36"/>
  <c r="AV129" i="36"/>
  <c r="AU129" i="36"/>
  <c r="AT129" i="36"/>
  <c r="AS129" i="36"/>
  <c r="AR129" i="36"/>
  <c r="BK129" i="36" s="1"/>
  <c r="AQ129" i="36"/>
  <c r="BJ129" i="36" s="1"/>
  <c r="AP129" i="36"/>
  <c r="AP128" i="36"/>
  <c r="BI128" i="36" s="1"/>
  <c r="BG127" i="36"/>
  <c r="BF127" i="36"/>
  <c r="BE127" i="36"/>
  <c r="BD127" i="36"/>
  <c r="BC127" i="36"/>
  <c r="BB127" i="36"/>
  <c r="BA127" i="36"/>
  <c r="AZ127" i="36"/>
  <c r="AY127" i="36"/>
  <c r="AX127" i="36"/>
  <c r="AW127" i="36"/>
  <c r="AV127" i="36"/>
  <c r="AU127" i="36"/>
  <c r="AT127" i="36"/>
  <c r="AS127" i="36"/>
  <c r="AP127" i="36"/>
  <c r="BI127" i="36" s="1"/>
  <c r="BG126" i="36"/>
  <c r="BF126" i="36"/>
  <c r="BE126" i="36"/>
  <c r="BD126" i="36"/>
  <c r="BC126" i="36"/>
  <c r="BB126" i="36"/>
  <c r="BA126" i="36"/>
  <c r="AZ126" i="36"/>
  <c r="AY126" i="36"/>
  <c r="AX126" i="36"/>
  <c r="AW126" i="36"/>
  <c r="AV126" i="36"/>
  <c r="AU126" i="36"/>
  <c r="AT126" i="36"/>
  <c r="AS126" i="36"/>
  <c r="AR126" i="36"/>
  <c r="BK126" i="36" s="1"/>
  <c r="AQ126" i="36"/>
  <c r="BJ126" i="36" s="1"/>
  <c r="AP126" i="36"/>
  <c r="BI126" i="36" s="1"/>
  <c r="AP125" i="36"/>
  <c r="BI125" i="36" s="1"/>
  <c r="BG124" i="36"/>
  <c r="BF124" i="36"/>
  <c r="BE124" i="36"/>
  <c r="BD124" i="36"/>
  <c r="BC124" i="36"/>
  <c r="BB124" i="36"/>
  <c r="BA124" i="36"/>
  <c r="AZ124" i="36"/>
  <c r="AY124" i="36"/>
  <c r="AX124" i="36"/>
  <c r="AW124" i="36"/>
  <c r="AV124" i="36"/>
  <c r="AU124" i="36"/>
  <c r="AT124" i="36"/>
  <c r="AS124" i="36"/>
  <c r="AP124" i="36"/>
  <c r="BI124" i="36" s="1"/>
  <c r="BG123" i="36"/>
  <c r="BF123" i="36"/>
  <c r="BE123" i="36"/>
  <c r="BD123" i="36"/>
  <c r="BC123" i="36"/>
  <c r="BB123" i="36"/>
  <c r="BA123" i="36"/>
  <c r="AZ123" i="36"/>
  <c r="AY123" i="36"/>
  <c r="AX123" i="36"/>
  <c r="AW123" i="36"/>
  <c r="AV123" i="36"/>
  <c r="AU123" i="36"/>
  <c r="AT123" i="36"/>
  <c r="AS123" i="36"/>
  <c r="AR123" i="36"/>
  <c r="BK123" i="36" s="1"/>
  <c r="AQ123" i="36"/>
  <c r="BJ123" i="36" s="1"/>
  <c r="AP123" i="36"/>
  <c r="BI123" i="36" s="1"/>
  <c r="AP122" i="36"/>
  <c r="BI122" i="36" s="1"/>
  <c r="BG121" i="36"/>
  <c r="BF121" i="36"/>
  <c r="BE121" i="36"/>
  <c r="BD121" i="36"/>
  <c r="BC121" i="36"/>
  <c r="BB121" i="36"/>
  <c r="BA121" i="36"/>
  <c r="AZ121" i="36"/>
  <c r="AY121" i="36"/>
  <c r="AX121" i="36"/>
  <c r="AW121" i="36"/>
  <c r="AV121" i="36"/>
  <c r="AU121" i="36"/>
  <c r="AT121" i="36"/>
  <c r="AS121" i="36"/>
  <c r="AP121" i="36"/>
  <c r="BI121" i="36" s="1"/>
  <c r="BG120" i="36"/>
  <c r="BF120" i="36"/>
  <c r="BE120" i="36"/>
  <c r="BD120" i="36"/>
  <c r="BC120" i="36"/>
  <c r="BB120" i="36"/>
  <c r="BA120" i="36"/>
  <c r="AZ120" i="36"/>
  <c r="AY120" i="36"/>
  <c r="AX120" i="36"/>
  <c r="AW120" i="36"/>
  <c r="AV120" i="36"/>
  <c r="AU120" i="36"/>
  <c r="AT120" i="36"/>
  <c r="AS120" i="36"/>
  <c r="AR120" i="36"/>
  <c r="BK120" i="36" s="1"/>
  <c r="AQ120" i="36"/>
  <c r="BJ120" i="36" s="1"/>
  <c r="AP120" i="36"/>
  <c r="BI120" i="36" s="1"/>
  <c r="AP119" i="36"/>
  <c r="BI119" i="36" s="1"/>
  <c r="BG118" i="36"/>
  <c r="BF118" i="36"/>
  <c r="BE118" i="36"/>
  <c r="BD118" i="36"/>
  <c r="BC118" i="36"/>
  <c r="BB118" i="36"/>
  <c r="BA118" i="36"/>
  <c r="AZ118" i="36"/>
  <c r="AY118" i="36"/>
  <c r="AX118" i="36"/>
  <c r="AW118" i="36"/>
  <c r="AV118" i="36"/>
  <c r="AU118" i="36"/>
  <c r="AT118" i="36"/>
  <c r="AS118" i="36"/>
  <c r="AP118" i="36"/>
  <c r="BI117" i="36"/>
  <c r="BG117" i="36"/>
  <c r="BF117" i="36"/>
  <c r="BE117" i="36"/>
  <c r="BD117" i="36"/>
  <c r="BC117" i="36"/>
  <c r="BB117" i="36"/>
  <c r="BA117" i="36"/>
  <c r="AZ117" i="36"/>
  <c r="AY117" i="36"/>
  <c r="AX117" i="36"/>
  <c r="AW117" i="36"/>
  <c r="AV117" i="36"/>
  <c r="AU117" i="36"/>
  <c r="AT117" i="36"/>
  <c r="AS117" i="36"/>
  <c r="AR117" i="36"/>
  <c r="BK117" i="36" s="1"/>
  <c r="AQ117" i="36"/>
  <c r="BJ117" i="36" s="1"/>
  <c r="AP117" i="36"/>
  <c r="AP116" i="36"/>
  <c r="BI116" i="36" s="1"/>
  <c r="BG115" i="36"/>
  <c r="BF115" i="36"/>
  <c r="BE115" i="36"/>
  <c r="BD115" i="36"/>
  <c r="BC115" i="36"/>
  <c r="BB115" i="36"/>
  <c r="BA115" i="36"/>
  <c r="AZ115" i="36"/>
  <c r="AY115" i="36"/>
  <c r="AX115" i="36"/>
  <c r="AW115" i="36"/>
  <c r="AV115" i="36"/>
  <c r="AU115" i="36"/>
  <c r="AT115" i="36"/>
  <c r="AS115" i="36"/>
  <c r="AP115" i="36"/>
  <c r="BI115" i="36" s="1"/>
  <c r="BG114" i="36"/>
  <c r="BF114" i="36"/>
  <c r="BE114" i="36"/>
  <c r="BD114" i="36"/>
  <c r="BC114" i="36"/>
  <c r="BB114" i="36"/>
  <c r="BA114" i="36"/>
  <c r="AZ114" i="36"/>
  <c r="AY114" i="36"/>
  <c r="AX114" i="36"/>
  <c r="AW114" i="36"/>
  <c r="AV114" i="36"/>
  <c r="AU114" i="36"/>
  <c r="AT114" i="36"/>
  <c r="AS114" i="36"/>
  <c r="AR114" i="36"/>
  <c r="BK114" i="36" s="1"/>
  <c r="AQ114" i="36"/>
  <c r="BJ114" i="36" s="1"/>
  <c r="AP114" i="36"/>
  <c r="BI114" i="36" s="1"/>
  <c r="BI113" i="36"/>
  <c r="AP113" i="36"/>
  <c r="BZ112" i="36"/>
  <c r="BY112" i="36"/>
  <c r="BX112" i="36"/>
  <c r="BW112" i="36"/>
  <c r="BV112" i="36"/>
  <c r="BU112" i="36"/>
  <c r="BT112" i="36"/>
  <c r="BS112" i="36"/>
  <c r="BR112" i="36"/>
  <c r="BQ112" i="36"/>
  <c r="BP112" i="36"/>
  <c r="BO112" i="36"/>
  <c r="BN112" i="36"/>
  <c r="BM112" i="36"/>
  <c r="BL112" i="36"/>
  <c r="BG112" i="36"/>
  <c r="BF112" i="36"/>
  <c r="BE112" i="36"/>
  <c r="BD112" i="36"/>
  <c r="BC112" i="36"/>
  <c r="BB112" i="36"/>
  <c r="BA112" i="36"/>
  <c r="AZ112" i="36"/>
  <c r="AY112" i="36"/>
  <c r="AX112" i="36"/>
  <c r="AW112" i="36"/>
  <c r="AV112" i="36"/>
  <c r="AU112" i="36"/>
  <c r="AT112" i="36"/>
  <c r="AS112" i="36"/>
  <c r="AP112" i="36"/>
  <c r="BI112" i="36" s="1"/>
  <c r="BZ111" i="36"/>
  <c r="BY111" i="36"/>
  <c r="BX111" i="36"/>
  <c r="BW111" i="36"/>
  <c r="BV111" i="36"/>
  <c r="BU111" i="36"/>
  <c r="BT111" i="36"/>
  <c r="BS111" i="36"/>
  <c r="BR111" i="36"/>
  <c r="BQ111" i="36"/>
  <c r="BP111" i="36"/>
  <c r="BO111" i="36"/>
  <c r="BN111" i="36"/>
  <c r="BM111" i="36"/>
  <c r="BL111" i="36"/>
  <c r="BG111" i="36"/>
  <c r="BF111" i="36"/>
  <c r="BE111" i="36"/>
  <c r="BD111" i="36"/>
  <c r="BC111" i="36"/>
  <c r="BB111" i="36"/>
  <c r="BA111" i="36"/>
  <c r="AZ111" i="36"/>
  <c r="AY111" i="36"/>
  <c r="AX111" i="36"/>
  <c r="AW111" i="36"/>
  <c r="AV111" i="36"/>
  <c r="AU111" i="36"/>
  <c r="AT111" i="36"/>
  <c r="AS111" i="36"/>
  <c r="AR111" i="36"/>
  <c r="BK111" i="36" s="1"/>
  <c r="AQ111" i="36"/>
  <c r="BJ111" i="36" s="1"/>
  <c r="AP111" i="36"/>
  <c r="BI111" i="36" s="1"/>
  <c r="BI110" i="36"/>
  <c r="AP110" i="36"/>
  <c r="BZ109" i="36"/>
  <c r="BY109" i="36"/>
  <c r="BX109" i="36"/>
  <c r="BW109" i="36"/>
  <c r="BV109" i="36"/>
  <c r="BU109" i="36"/>
  <c r="BT109" i="36"/>
  <c r="BS109" i="36"/>
  <c r="BR109" i="36"/>
  <c r="BQ109" i="36"/>
  <c r="BP109" i="36"/>
  <c r="BO109" i="36"/>
  <c r="BN109" i="36"/>
  <c r="BM109" i="36"/>
  <c r="BL109" i="36"/>
  <c r="BG109" i="36"/>
  <c r="BF109" i="36"/>
  <c r="BE109" i="36"/>
  <c r="BD109" i="36"/>
  <c r="BC109" i="36"/>
  <c r="BB109" i="36"/>
  <c r="BA109" i="36"/>
  <c r="AZ109" i="36"/>
  <c r="AY109" i="36"/>
  <c r="AX109" i="36"/>
  <c r="AW109" i="36"/>
  <c r="AV109" i="36"/>
  <c r="AU109" i="36"/>
  <c r="AT109" i="36"/>
  <c r="AS109" i="36"/>
  <c r="AP109" i="36"/>
  <c r="BI109" i="36" s="1"/>
  <c r="BZ108" i="36"/>
  <c r="BY108" i="36"/>
  <c r="BX108" i="36"/>
  <c r="BW108" i="36"/>
  <c r="BV108" i="36"/>
  <c r="BU108" i="36"/>
  <c r="BT108" i="36"/>
  <c r="BS108" i="36"/>
  <c r="BR108" i="36"/>
  <c r="BQ108" i="36"/>
  <c r="BP108" i="36"/>
  <c r="BO108" i="36"/>
  <c r="BN108" i="36"/>
  <c r="BM108" i="36"/>
  <c r="BL108" i="36"/>
  <c r="BG108" i="36"/>
  <c r="BF108" i="36"/>
  <c r="BE108" i="36"/>
  <c r="BD108" i="36"/>
  <c r="BC108" i="36"/>
  <c r="BB108" i="36"/>
  <c r="BA108" i="36"/>
  <c r="AZ108" i="36"/>
  <c r="AY108" i="36"/>
  <c r="AX108" i="36"/>
  <c r="AW108" i="36"/>
  <c r="AV108" i="36"/>
  <c r="AU108" i="36"/>
  <c r="AT108" i="36"/>
  <c r="AS108" i="36"/>
  <c r="AR108" i="36"/>
  <c r="BK108" i="36" s="1"/>
  <c r="AQ108" i="36"/>
  <c r="BJ108" i="36" s="1"/>
  <c r="AP108" i="36"/>
  <c r="BI108" i="36" s="1"/>
  <c r="AP107" i="36"/>
  <c r="BI107" i="36" s="1"/>
  <c r="BG106" i="36"/>
  <c r="BF106" i="36"/>
  <c r="BE106" i="36"/>
  <c r="BD106" i="36"/>
  <c r="BC106" i="36"/>
  <c r="BB106" i="36"/>
  <c r="BA106" i="36"/>
  <c r="AZ106" i="36"/>
  <c r="AY106" i="36"/>
  <c r="AX106" i="36"/>
  <c r="AW106" i="36"/>
  <c r="AV106" i="36"/>
  <c r="AU106" i="36"/>
  <c r="AT106" i="36"/>
  <c r="AS106" i="36"/>
  <c r="AP106" i="36"/>
  <c r="BI106" i="36" s="1"/>
  <c r="BG105" i="36"/>
  <c r="BF105" i="36"/>
  <c r="BE105" i="36"/>
  <c r="BD105" i="36"/>
  <c r="BC105" i="36"/>
  <c r="BB105" i="36"/>
  <c r="BA105" i="36"/>
  <c r="AZ105" i="36"/>
  <c r="AY105" i="36"/>
  <c r="AX105" i="36"/>
  <c r="AW105" i="36"/>
  <c r="AV105" i="36"/>
  <c r="AU105" i="36"/>
  <c r="AT105" i="36"/>
  <c r="AS105" i="36"/>
  <c r="AR105" i="36"/>
  <c r="BK105" i="36" s="1"/>
  <c r="AQ105" i="36"/>
  <c r="BJ105" i="36" s="1"/>
  <c r="AP105" i="36"/>
  <c r="BI105" i="36" s="1"/>
  <c r="AP104" i="36"/>
  <c r="BI104" i="36" s="1"/>
  <c r="BG103" i="36"/>
  <c r="BF103" i="36"/>
  <c r="BE103" i="36"/>
  <c r="BD103" i="36"/>
  <c r="BC103" i="36"/>
  <c r="BB103" i="36"/>
  <c r="BA103" i="36"/>
  <c r="AZ103" i="36"/>
  <c r="AY103" i="36"/>
  <c r="AX103" i="36"/>
  <c r="AW103" i="36"/>
  <c r="AV103" i="36"/>
  <c r="AU103" i="36"/>
  <c r="AT103" i="36"/>
  <c r="AS103" i="36"/>
  <c r="AP103" i="36"/>
  <c r="BI103" i="36" s="1"/>
  <c r="BG102" i="36"/>
  <c r="BF102" i="36"/>
  <c r="BE102" i="36"/>
  <c r="BD102" i="36"/>
  <c r="BC102" i="36"/>
  <c r="BB102" i="36"/>
  <c r="BA102" i="36"/>
  <c r="AZ102" i="36"/>
  <c r="AY102" i="36"/>
  <c r="AX102" i="36"/>
  <c r="AW102" i="36"/>
  <c r="AV102" i="36"/>
  <c r="AU102" i="36"/>
  <c r="AT102" i="36"/>
  <c r="AS102" i="36"/>
  <c r="AR102" i="36"/>
  <c r="BK102" i="36" s="1"/>
  <c r="AQ102" i="36"/>
  <c r="BJ102" i="36" s="1"/>
  <c r="AP102" i="36"/>
  <c r="BI102" i="36" s="1"/>
  <c r="BI101" i="36"/>
  <c r="AP101" i="36"/>
  <c r="BG100" i="36"/>
  <c r="BF100" i="36"/>
  <c r="BE100" i="36"/>
  <c r="BD100" i="36"/>
  <c r="BC100" i="36"/>
  <c r="BB100" i="36"/>
  <c r="BA100" i="36"/>
  <c r="AZ100" i="36"/>
  <c r="AY100" i="36"/>
  <c r="AX100" i="36"/>
  <c r="AW100" i="36"/>
  <c r="AV100" i="36"/>
  <c r="AU100" i="36"/>
  <c r="AT100" i="36"/>
  <c r="AS100" i="36"/>
  <c r="AP100" i="36"/>
  <c r="BI100" i="36" s="1"/>
  <c r="BG99" i="36"/>
  <c r="BF99" i="36"/>
  <c r="BE99" i="36"/>
  <c r="BD99" i="36"/>
  <c r="BC99" i="36"/>
  <c r="BB99" i="36"/>
  <c r="BA99" i="36"/>
  <c r="AZ99" i="36"/>
  <c r="AY99" i="36"/>
  <c r="AX99" i="36"/>
  <c r="AW99" i="36"/>
  <c r="AV99" i="36"/>
  <c r="AU99" i="36"/>
  <c r="AT99" i="36"/>
  <c r="AS99" i="36"/>
  <c r="AR99" i="36"/>
  <c r="BK99" i="36" s="1"/>
  <c r="AQ99" i="36"/>
  <c r="BJ99" i="36" s="1"/>
  <c r="AP99" i="36"/>
  <c r="BI99" i="36" s="1"/>
  <c r="AP98" i="36"/>
  <c r="BI98" i="36" s="1"/>
  <c r="BG97" i="36"/>
  <c r="BF97" i="36"/>
  <c r="BE97" i="36"/>
  <c r="BD97" i="36"/>
  <c r="BC97" i="36"/>
  <c r="BB97" i="36"/>
  <c r="BA97" i="36"/>
  <c r="AZ97" i="36"/>
  <c r="AY97" i="36"/>
  <c r="AX97" i="36"/>
  <c r="AW97" i="36"/>
  <c r="AV97" i="36"/>
  <c r="AU97" i="36"/>
  <c r="AT97" i="36"/>
  <c r="AS97" i="36"/>
  <c r="AP97" i="36"/>
  <c r="BI97" i="36" s="1"/>
  <c r="BG96" i="36"/>
  <c r="BF96" i="36"/>
  <c r="BE96" i="36"/>
  <c r="BD96" i="36"/>
  <c r="BC96" i="36"/>
  <c r="BB96" i="36"/>
  <c r="BA96" i="36"/>
  <c r="AZ96" i="36"/>
  <c r="AY96" i="36"/>
  <c r="AX96" i="36"/>
  <c r="AW96" i="36"/>
  <c r="AV96" i="36"/>
  <c r="AU96" i="36"/>
  <c r="AT96" i="36"/>
  <c r="AS96" i="36"/>
  <c r="AR96" i="36"/>
  <c r="BK96" i="36" s="1"/>
  <c r="AQ96" i="36"/>
  <c r="BJ96" i="36" s="1"/>
  <c r="AP96" i="36"/>
  <c r="BI96" i="36" s="1"/>
  <c r="AP95" i="36"/>
  <c r="BI95" i="36" s="1"/>
  <c r="BG94" i="36"/>
  <c r="BF94" i="36"/>
  <c r="BE94" i="36"/>
  <c r="BD94" i="36"/>
  <c r="BC94" i="36"/>
  <c r="BB94" i="36"/>
  <c r="BA94" i="36"/>
  <c r="AZ94" i="36"/>
  <c r="AY94" i="36"/>
  <c r="AX94" i="36"/>
  <c r="AW94" i="36"/>
  <c r="AV94" i="36"/>
  <c r="AU94" i="36"/>
  <c r="AT94" i="36"/>
  <c r="AS94" i="36"/>
  <c r="AP94" i="36"/>
  <c r="BI94" i="36" s="1"/>
  <c r="BG93" i="36"/>
  <c r="BF93" i="36"/>
  <c r="BE93" i="36"/>
  <c r="BD93" i="36"/>
  <c r="BC93" i="36"/>
  <c r="BB93" i="36"/>
  <c r="BA93" i="36"/>
  <c r="AZ93" i="36"/>
  <c r="AY93" i="36"/>
  <c r="AX93" i="36"/>
  <c r="AW93" i="36"/>
  <c r="AV93" i="36"/>
  <c r="AU93" i="36"/>
  <c r="AT93" i="36"/>
  <c r="AS93" i="36"/>
  <c r="AR93" i="36"/>
  <c r="BK93" i="36" s="1"/>
  <c r="AQ93" i="36"/>
  <c r="BJ93" i="36" s="1"/>
  <c r="AP93" i="36"/>
  <c r="BI93" i="36" s="1"/>
  <c r="AP92" i="36"/>
  <c r="BI92" i="36" s="1"/>
  <c r="BG91" i="36"/>
  <c r="BF91" i="36"/>
  <c r="BE91" i="36"/>
  <c r="BD91" i="36"/>
  <c r="BC91" i="36"/>
  <c r="BB91" i="36"/>
  <c r="BA91" i="36"/>
  <c r="AZ91" i="36"/>
  <c r="AY91" i="36"/>
  <c r="AX91" i="36"/>
  <c r="AW91" i="36"/>
  <c r="AV91" i="36"/>
  <c r="AU91" i="36"/>
  <c r="AT91" i="36"/>
  <c r="AS91" i="36"/>
  <c r="AP91" i="36"/>
  <c r="BI91" i="36" s="1"/>
  <c r="BG90" i="36"/>
  <c r="BF90" i="36"/>
  <c r="BE90" i="36"/>
  <c r="BD90" i="36"/>
  <c r="BC90" i="36"/>
  <c r="BB90" i="36"/>
  <c r="BA90" i="36"/>
  <c r="AZ90" i="36"/>
  <c r="AY90" i="36"/>
  <c r="AX90" i="36"/>
  <c r="AW90" i="36"/>
  <c r="AV90" i="36"/>
  <c r="AU90" i="36"/>
  <c r="AT90" i="36"/>
  <c r="AS90" i="36"/>
  <c r="AR90" i="36"/>
  <c r="BK90" i="36" s="1"/>
  <c r="AQ90" i="36"/>
  <c r="BJ90" i="36" s="1"/>
  <c r="AP90" i="36"/>
  <c r="BI90" i="36" s="1"/>
  <c r="BI89" i="36"/>
  <c r="AP89" i="36"/>
  <c r="BG88" i="36"/>
  <c r="BF88" i="36"/>
  <c r="BE88" i="36"/>
  <c r="BD88" i="36"/>
  <c r="BC88" i="36"/>
  <c r="BB88" i="36"/>
  <c r="BA88" i="36"/>
  <c r="AZ88" i="36"/>
  <c r="AY88" i="36"/>
  <c r="AX88" i="36"/>
  <c r="AW88" i="36"/>
  <c r="AV88" i="36"/>
  <c r="AU88" i="36"/>
  <c r="AT88" i="36"/>
  <c r="AS88" i="36"/>
  <c r="AP88" i="36"/>
  <c r="BI88" i="36" s="1"/>
  <c r="BG87" i="36"/>
  <c r="BF87" i="36"/>
  <c r="BE87" i="36"/>
  <c r="BD87" i="36"/>
  <c r="BC87" i="36"/>
  <c r="BB87" i="36"/>
  <c r="BA87" i="36"/>
  <c r="AZ87" i="36"/>
  <c r="AY87" i="36"/>
  <c r="AX87" i="36"/>
  <c r="AW87" i="36"/>
  <c r="AV87" i="36"/>
  <c r="AU87" i="36"/>
  <c r="AT87" i="36"/>
  <c r="AS87" i="36"/>
  <c r="AR87" i="36"/>
  <c r="BK87" i="36" s="1"/>
  <c r="AQ87" i="36"/>
  <c r="BJ87" i="36" s="1"/>
  <c r="AP87" i="36"/>
  <c r="BI87" i="36" s="1"/>
  <c r="AP86" i="36"/>
  <c r="BI86" i="36" s="1"/>
  <c r="BG85" i="36"/>
  <c r="BF85" i="36"/>
  <c r="BE85" i="36"/>
  <c r="BD85" i="36"/>
  <c r="BC85" i="36"/>
  <c r="BB85" i="36"/>
  <c r="BA85" i="36"/>
  <c r="AZ85" i="36"/>
  <c r="AY85" i="36"/>
  <c r="AX85" i="36"/>
  <c r="AW85" i="36"/>
  <c r="AV85" i="36"/>
  <c r="AU85" i="36"/>
  <c r="AT85" i="36"/>
  <c r="AS85" i="36"/>
  <c r="AP85" i="36"/>
  <c r="BI85" i="36" s="1"/>
  <c r="BI84" i="36"/>
  <c r="BG84" i="36"/>
  <c r="BF84" i="36"/>
  <c r="BE84" i="36"/>
  <c r="BD84" i="36"/>
  <c r="BC84" i="36"/>
  <c r="BB84" i="36"/>
  <c r="BA84" i="36"/>
  <c r="AZ84" i="36"/>
  <c r="AY84" i="36"/>
  <c r="AX84" i="36"/>
  <c r="AW84" i="36"/>
  <c r="AV84" i="36"/>
  <c r="AU84" i="36"/>
  <c r="AT84" i="36"/>
  <c r="AS84" i="36"/>
  <c r="AR84" i="36"/>
  <c r="BK84" i="36" s="1"/>
  <c r="AQ84" i="36"/>
  <c r="BJ84" i="36" s="1"/>
  <c r="AP84" i="36"/>
  <c r="AP83" i="36"/>
  <c r="BI83" i="36" s="1"/>
  <c r="BG82" i="36"/>
  <c r="BF82" i="36"/>
  <c r="BE82" i="36"/>
  <c r="BD82" i="36"/>
  <c r="BC82" i="36"/>
  <c r="BB82" i="36"/>
  <c r="BA82" i="36"/>
  <c r="AZ82" i="36"/>
  <c r="AY82" i="36"/>
  <c r="AX82" i="36"/>
  <c r="AW82" i="36"/>
  <c r="AV82" i="36"/>
  <c r="AU82" i="36"/>
  <c r="AT82" i="36"/>
  <c r="AS82" i="36"/>
  <c r="AP82" i="36"/>
  <c r="BI82" i="36" s="1"/>
  <c r="BG81" i="36"/>
  <c r="BF81" i="36"/>
  <c r="BE81" i="36"/>
  <c r="BD81" i="36"/>
  <c r="BC81" i="36"/>
  <c r="BB81" i="36"/>
  <c r="BA81" i="36"/>
  <c r="AZ81" i="36"/>
  <c r="AY81" i="36"/>
  <c r="AX81" i="36"/>
  <c r="AW81" i="36"/>
  <c r="AV81" i="36"/>
  <c r="AU81" i="36"/>
  <c r="AT81" i="36"/>
  <c r="AS81" i="36"/>
  <c r="AR81" i="36"/>
  <c r="BK81" i="36" s="1"/>
  <c r="AQ81" i="36"/>
  <c r="BJ81" i="36" s="1"/>
  <c r="AP81" i="36"/>
  <c r="BI81" i="36" s="1"/>
  <c r="AP80" i="36"/>
  <c r="BI80" i="36" s="1"/>
  <c r="BG79" i="36"/>
  <c r="BF79" i="36"/>
  <c r="BE79" i="36"/>
  <c r="BD79" i="36"/>
  <c r="BC79" i="36"/>
  <c r="BB79" i="36"/>
  <c r="BA79" i="36"/>
  <c r="AZ79" i="36"/>
  <c r="AY79" i="36"/>
  <c r="AX79" i="36"/>
  <c r="AW79" i="36"/>
  <c r="AV79" i="36"/>
  <c r="AU79" i="36"/>
  <c r="AT79" i="36"/>
  <c r="AS79" i="36"/>
  <c r="AP79" i="36"/>
  <c r="BI79" i="36" s="1"/>
  <c r="BG78" i="36"/>
  <c r="BF78" i="36"/>
  <c r="BE78" i="36"/>
  <c r="BD78" i="36"/>
  <c r="BC78" i="36"/>
  <c r="BB78" i="36"/>
  <c r="BA78" i="36"/>
  <c r="AZ78" i="36"/>
  <c r="AY78" i="36"/>
  <c r="AX78" i="36"/>
  <c r="AW78" i="36"/>
  <c r="AV78" i="36"/>
  <c r="AU78" i="36"/>
  <c r="AT78" i="36"/>
  <c r="AS78" i="36"/>
  <c r="AR78" i="36"/>
  <c r="BK78" i="36" s="1"/>
  <c r="AQ78" i="36"/>
  <c r="BJ78" i="36" s="1"/>
  <c r="AP78" i="36"/>
  <c r="BI78" i="36" s="1"/>
  <c r="AP77" i="36"/>
  <c r="BI77" i="36" s="1"/>
  <c r="BG76" i="36"/>
  <c r="BF76" i="36"/>
  <c r="BE76" i="36"/>
  <c r="BD76" i="36"/>
  <c r="BC76" i="36"/>
  <c r="BB76" i="36"/>
  <c r="BA76" i="36"/>
  <c r="AZ76" i="36"/>
  <c r="AY76" i="36"/>
  <c r="AX76" i="36"/>
  <c r="AW76" i="36"/>
  <c r="AV76" i="36"/>
  <c r="AU76" i="36"/>
  <c r="AT76" i="36"/>
  <c r="AS76" i="36"/>
  <c r="AP76" i="36"/>
  <c r="BI76" i="36" s="1"/>
  <c r="BG75" i="36"/>
  <c r="BF75" i="36"/>
  <c r="BE75" i="36"/>
  <c r="BD75" i="36"/>
  <c r="BC75" i="36"/>
  <c r="BB75" i="36"/>
  <c r="BA75" i="36"/>
  <c r="AZ75" i="36"/>
  <c r="AY75" i="36"/>
  <c r="AX75" i="36"/>
  <c r="AW75" i="36"/>
  <c r="AV75" i="36"/>
  <c r="AU75" i="36"/>
  <c r="AT75" i="36"/>
  <c r="AS75" i="36"/>
  <c r="AR75" i="36"/>
  <c r="BK75" i="36" s="1"/>
  <c r="AQ75" i="36"/>
  <c r="BJ75" i="36" s="1"/>
  <c r="AP75" i="36"/>
  <c r="BI75" i="36" s="1"/>
  <c r="AP74" i="36"/>
  <c r="BI74" i="36" s="1"/>
  <c r="BG73" i="36"/>
  <c r="BF73" i="36"/>
  <c r="BE73" i="36"/>
  <c r="BD73" i="36"/>
  <c r="BC73" i="36"/>
  <c r="BB73" i="36"/>
  <c r="BA73" i="36"/>
  <c r="AZ73" i="36"/>
  <c r="AY73" i="36"/>
  <c r="AX73" i="36"/>
  <c r="AW73" i="36"/>
  <c r="AV73" i="36"/>
  <c r="AU73" i="36"/>
  <c r="AT73" i="36"/>
  <c r="AS73" i="36"/>
  <c r="AP73" i="36"/>
  <c r="BI73" i="36" s="1"/>
  <c r="BG72" i="36"/>
  <c r="BF72" i="36"/>
  <c r="BE72" i="36"/>
  <c r="BD72" i="36"/>
  <c r="BC72" i="36"/>
  <c r="BB72" i="36"/>
  <c r="BA72" i="36"/>
  <c r="AZ72" i="36"/>
  <c r="AY72" i="36"/>
  <c r="AX72" i="36"/>
  <c r="AW72" i="36"/>
  <c r="AV72" i="36"/>
  <c r="AU72" i="36"/>
  <c r="AT72" i="36"/>
  <c r="AS72" i="36"/>
  <c r="AR72" i="36"/>
  <c r="BK72" i="36" s="1"/>
  <c r="AQ72" i="36"/>
  <c r="BJ72" i="36" s="1"/>
  <c r="AP72" i="36"/>
  <c r="BI72" i="36" s="1"/>
  <c r="AP71" i="36"/>
  <c r="BI71" i="36" s="1"/>
  <c r="BG70" i="36"/>
  <c r="BF70" i="36"/>
  <c r="BE70" i="36"/>
  <c r="BD70" i="36"/>
  <c r="BC70" i="36"/>
  <c r="BB70" i="36"/>
  <c r="BA70" i="36"/>
  <c r="AZ70" i="36"/>
  <c r="AY70" i="36"/>
  <c r="AX70" i="36"/>
  <c r="AW70" i="36"/>
  <c r="AV70" i="36"/>
  <c r="AU70" i="36"/>
  <c r="AT70" i="36"/>
  <c r="AS70" i="36"/>
  <c r="AP70" i="36"/>
  <c r="BI70" i="36" s="1"/>
  <c r="BG69" i="36"/>
  <c r="BF69" i="36"/>
  <c r="BE69" i="36"/>
  <c r="BD69" i="36"/>
  <c r="BC69" i="36"/>
  <c r="BB69" i="36"/>
  <c r="BA69" i="36"/>
  <c r="AZ69" i="36"/>
  <c r="AY69" i="36"/>
  <c r="AX69" i="36"/>
  <c r="AW69" i="36"/>
  <c r="AV69" i="36"/>
  <c r="AU69" i="36"/>
  <c r="AT69" i="36"/>
  <c r="AS69" i="36"/>
  <c r="AR69" i="36"/>
  <c r="BK69" i="36" s="1"/>
  <c r="AQ69" i="36"/>
  <c r="BJ69" i="36" s="1"/>
  <c r="AP69" i="36"/>
  <c r="BI69" i="36" s="1"/>
  <c r="BK68" i="36"/>
  <c r="BJ68" i="36"/>
  <c r="BI68" i="36"/>
  <c r="BV66" i="36"/>
  <c r="BQ66" i="36"/>
  <c r="BL66" i="36"/>
  <c r="BC66" i="36"/>
  <c r="AX66" i="36"/>
  <c r="AS66" i="36"/>
  <c r="BI56" i="36"/>
  <c r="AP56" i="36"/>
  <c r="AW58" i="57" l="1"/>
  <c r="BG58" i="57"/>
  <c r="BA57" i="57"/>
  <c r="AX58" i="57"/>
  <c r="AT57" i="57"/>
  <c r="AT58" i="57"/>
  <c r="BE58" i="57"/>
  <c r="AU57" i="57"/>
  <c r="BC57" i="57"/>
  <c r="AW57" i="57"/>
  <c r="AU58" i="57"/>
  <c r="BF58" i="57"/>
  <c r="AV57" i="57"/>
  <c r="BD57" i="57"/>
  <c r="BI71" i="57"/>
  <c r="AV58" i="57"/>
  <c r="BD58" i="57"/>
  <c r="BB57" i="57"/>
  <c r="AY58" i="57"/>
  <c r="AY57" i="57"/>
  <c r="BG57" i="57"/>
  <c r="BE57" i="57"/>
  <c r="BA58" i="57"/>
  <c r="AZ57" i="57"/>
  <c r="BI69" i="57"/>
  <c r="BX57" i="57" s="1"/>
  <c r="BF57" i="57"/>
  <c r="BB58" i="57"/>
  <c r="AS57" i="57"/>
  <c r="AS58" i="57"/>
  <c r="BC58" i="57"/>
  <c r="AZ58" i="57"/>
  <c r="BE57" i="36"/>
  <c r="BC58" i="36"/>
  <c r="BD57" i="36"/>
  <c r="AU58" i="36"/>
  <c r="AV57" i="36"/>
  <c r="AW57" i="36"/>
  <c r="BA57" i="36"/>
  <c r="AS57" i="36"/>
  <c r="BF58" i="36"/>
  <c r="BF57" i="36"/>
  <c r="AZ57" i="36"/>
  <c r="AY58" i="36"/>
  <c r="BG58" i="36"/>
  <c r="BD58" i="36"/>
  <c r="BS58" i="57"/>
  <c r="BU57" i="57"/>
  <c r="BW58" i="57"/>
  <c r="BO58" i="57"/>
  <c r="BY57" i="57"/>
  <c r="BM57" i="57"/>
  <c r="BQ57" i="57"/>
  <c r="BN57" i="57"/>
  <c r="BR57" i="57"/>
  <c r="BV57" i="57"/>
  <c r="BZ57" i="57"/>
  <c r="BL58" i="57"/>
  <c r="BP58" i="57"/>
  <c r="BT58" i="57"/>
  <c r="BX58" i="57"/>
  <c r="BO57" i="57"/>
  <c r="BS57" i="57"/>
  <c r="BW57" i="57"/>
  <c r="BM58" i="57"/>
  <c r="BQ58" i="57"/>
  <c r="BU58" i="57"/>
  <c r="BY58" i="57"/>
  <c r="BL57" i="57"/>
  <c r="BP57" i="57"/>
  <c r="BT57" i="57"/>
  <c r="BN58" i="57"/>
  <c r="BR58" i="57"/>
  <c r="BV58" i="57"/>
  <c r="AT57" i="36"/>
  <c r="AX57" i="36"/>
  <c r="BB57" i="36"/>
  <c r="AV58" i="36"/>
  <c r="AZ58" i="36"/>
  <c r="AU57" i="36"/>
  <c r="BG57" i="36"/>
  <c r="BI118" i="36"/>
  <c r="AY57" i="36"/>
  <c r="BC57" i="36"/>
  <c r="AS58" i="36"/>
  <c r="AW58" i="36"/>
  <c r="BA58" i="36"/>
  <c r="BE58" i="36"/>
  <c r="AT58" i="36"/>
  <c r="AX58" i="36"/>
  <c r="BB58" i="36"/>
  <c r="BZ58" i="57" l="1"/>
  <c r="BZ61" i="57" s="1"/>
  <c r="AW60" i="57"/>
  <c r="BB60" i="57"/>
  <c r="AW61" i="57"/>
  <c r="BB61" i="57"/>
  <c r="BG61" i="57"/>
  <c r="BG60" i="57"/>
  <c r="BG61" i="36"/>
  <c r="AW60" i="36"/>
  <c r="BB61" i="36"/>
  <c r="BB60" i="36"/>
  <c r="BP60" i="57"/>
  <c r="BU61" i="57"/>
  <c r="BP61" i="57"/>
  <c r="BU60" i="57"/>
  <c r="BZ60" i="57"/>
  <c r="BG60" i="36"/>
  <c r="AW61" i="36"/>
  <c r="BI127" i="90" l="1"/>
  <c r="BI128" i="90"/>
  <c r="BI129" i="90"/>
  <c r="BI130" i="90"/>
  <c r="BI131" i="90"/>
  <c r="BI132" i="90"/>
  <c r="BI133" i="90"/>
  <c r="BI134" i="90"/>
  <c r="BI135" i="90"/>
  <c r="BI136" i="90"/>
  <c r="BI137" i="90"/>
  <c r="BI138" i="90"/>
  <c r="BI139" i="90"/>
  <c r="BI140" i="90"/>
  <c r="BI141" i="90"/>
  <c r="BI142" i="90"/>
  <c r="BJ127" i="90"/>
  <c r="BJ128" i="90"/>
  <c r="BJ129" i="90"/>
  <c r="BJ130" i="90"/>
  <c r="BJ131" i="90"/>
  <c r="BJ132" i="90"/>
  <c r="BJ133" i="90"/>
  <c r="BJ134" i="90"/>
  <c r="BJ135" i="90"/>
  <c r="BJ136" i="90"/>
  <c r="BJ137" i="90"/>
  <c r="BJ138" i="90"/>
  <c r="BJ139" i="90"/>
  <c r="BJ140" i="90"/>
  <c r="BJ141" i="90"/>
  <c r="BJ142" i="90"/>
  <c r="BK127" i="90"/>
  <c r="BK128" i="90"/>
  <c r="BK129" i="90"/>
  <c r="BK130" i="90"/>
  <c r="BK131" i="90"/>
  <c r="BK132" i="90"/>
  <c r="BK133" i="90"/>
  <c r="BK134" i="90"/>
  <c r="BK135" i="90"/>
  <c r="BK136" i="90"/>
  <c r="BK137" i="90"/>
  <c r="BK138" i="90"/>
  <c r="BK139" i="90"/>
  <c r="BK140" i="90"/>
  <c r="BK141" i="90"/>
  <c r="BK142" i="90"/>
  <c r="BL127" i="90"/>
  <c r="BL128" i="90"/>
  <c r="BL129" i="90"/>
  <c r="BL130" i="90"/>
  <c r="BL131" i="90"/>
  <c r="BL132" i="90"/>
  <c r="BL133" i="90"/>
  <c r="BL134" i="90"/>
  <c r="BL135" i="90"/>
  <c r="BL136" i="90"/>
  <c r="BL137" i="90"/>
  <c r="BL138" i="90"/>
  <c r="BL139" i="90"/>
  <c r="BL140" i="90"/>
  <c r="BL141" i="90"/>
  <c r="BL142" i="90"/>
  <c r="BM127" i="90"/>
  <c r="BM128" i="90"/>
  <c r="BM129" i="90"/>
  <c r="BM130" i="90"/>
  <c r="BM131" i="90"/>
  <c r="BM132" i="90"/>
  <c r="BM133" i="90"/>
  <c r="BM134" i="90"/>
  <c r="BM135" i="90"/>
  <c r="BM136" i="90"/>
  <c r="BM137" i="90"/>
  <c r="BM138" i="90"/>
  <c r="BM139" i="90"/>
  <c r="BM140" i="90"/>
  <c r="BM141" i="90"/>
  <c r="BM142" i="90"/>
  <c r="AC24" i="40"/>
  <c r="AD24" i="40"/>
  <c r="AE24" i="40"/>
  <c r="AF24" i="40"/>
  <c r="AG24" i="40"/>
  <c r="AH24" i="40"/>
  <c r="AI24" i="40"/>
  <c r="AJ24" i="40"/>
  <c r="AK24" i="40"/>
  <c r="AL24" i="40"/>
  <c r="AN79" i="112"/>
  <c r="AN81" i="112"/>
  <c r="AN92" i="112"/>
  <c r="AN94" i="112"/>
  <c r="AN96" i="112"/>
  <c r="AO92" i="112"/>
  <c r="AP92" i="112"/>
  <c r="AQ92" i="112"/>
  <c r="AR92" i="112"/>
  <c r="AS92" i="112"/>
  <c r="AT92" i="112"/>
  <c r="AU92" i="112"/>
  <c r="AV92" i="112"/>
  <c r="AW92" i="112"/>
  <c r="AX92" i="112"/>
  <c r="AY92" i="112"/>
  <c r="AZ92" i="112"/>
  <c r="BA92" i="112"/>
  <c r="BB92" i="112"/>
  <c r="BC92" i="112"/>
  <c r="BD92" i="112"/>
  <c r="BE92" i="112"/>
  <c r="BF92" i="112"/>
  <c r="BG92" i="112"/>
  <c r="J80" i="44"/>
  <c r="I11" i="86"/>
  <c r="W34" i="91"/>
  <c r="W33" i="91"/>
  <c r="B305" i="91"/>
  <c r="B304" i="91"/>
  <c r="B303" i="91"/>
  <c r="B302" i="91"/>
  <c r="B301" i="91"/>
  <c r="B300" i="91"/>
  <c r="B299" i="91"/>
  <c r="B298" i="91"/>
  <c r="B297" i="91"/>
  <c r="B296" i="91"/>
  <c r="B295" i="91"/>
  <c r="B294" i="91"/>
  <c r="B293" i="91"/>
  <c r="B292" i="91"/>
  <c r="B291" i="91"/>
  <c r="B290" i="91"/>
  <c r="B288" i="91"/>
  <c r="B287" i="91"/>
  <c r="B286" i="91"/>
  <c r="B285" i="91"/>
  <c r="B284" i="91"/>
  <c r="B283" i="91"/>
  <c r="B282" i="91"/>
  <c r="B281" i="91"/>
  <c r="B280" i="91"/>
  <c r="B279" i="91"/>
  <c r="B278" i="91"/>
  <c r="B277" i="91"/>
  <c r="B276" i="91"/>
  <c r="B275" i="91"/>
  <c r="B274" i="91"/>
  <c r="B273" i="91"/>
  <c r="B271" i="91"/>
  <c r="B270" i="91"/>
  <c r="B269" i="91"/>
  <c r="B268" i="91"/>
  <c r="B267" i="91"/>
  <c r="B266" i="91"/>
  <c r="B265" i="91"/>
  <c r="B264" i="91"/>
  <c r="B263" i="91"/>
  <c r="B262" i="91"/>
  <c r="B261" i="91"/>
  <c r="B260" i="91"/>
  <c r="B259" i="91"/>
  <c r="B258" i="91"/>
  <c r="B257" i="91"/>
  <c r="B256" i="91"/>
  <c r="I443" i="36"/>
  <c r="AR443" i="36" s="1"/>
  <c r="BK443" i="36" s="1"/>
  <c r="H443" i="36"/>
  <c r="G443" i="36"/>
  <c r="F443" i="36"/>
  <c r="AQ443" i="36" s="1"/>
  <c r="BJ443" i="36" s="1"/>
  <c r="I442" i="36"/>
  <c r="AR442" i="36" s="1"/>
  <c r="BK442" i="36" s="1"/>
  <c r="H442" i="36"/>
  <c r="G442" i="36"/>
  <c r="F442" i="36"/>
  <c r="AQ442" i="36" s="1"/>
  <c r="BJ442" i="36" s="1"/>
  <c r="I440" i="36"/>
  <c r="AR440" i="36" s="1"/>
  <c r="BK440" i="36" s="1"/>
  <c r="H440" i="36"/>
  <c r="G440" i="36"/>
  <c r="F440" i="36"/>
  <c r="AQ440" i="36" s="1"/>
  <c r="BJ440" i="36" s="1"/>
  <c r="I439" i="36"/>
  <c r="AR439" i="36" s="1"/>
  <c r="BK439" i="36" s="1"/>
  <c r="H439" i="36"/>
  <c r="G439" i="36"/>
  <c r="F439" i="36"/>
  <c r="AQ439" i="36" s="1"/>
  <c r="BJ439" i="36" s="1"/>
  <c r="I437" i="36"/>
  <c r="AR437" i="36" s="1"/>
  <c r="BK437" i="36" s="1"/>
  <c r="H437" i="36"/>
  <c r="G437" i="36"/>
  <c r="F437" i="36"/>
  <c r="AQ437" i="36" s="1"/>
  <c r="BJ437" i="36" s="1"/>
  <c r="I436" i="36"/>
  <c r="AR436" i="36" s="1"/>
  <c r="BK436" i="36" s="1"/>
  <c r="H436" i="36"/>
  <c r="G436" i="36"/>
  <c r="F436" i="36"/>
  <c r="AQ436" i="36" s="1"/>
  <c r="BJ436" i="36" s="1"/>
  <c r="I434" i="36"/>
  <c r="AR434" i="36" s="1"/>
  <c r="BK434" i="36" s="1"/>
  <c r="H434" i="36"/>
  <c r="G434" i="36"/>
  <c r="F434" i="36"/>
  <c r="AQ434" i="36" s="1"/>
  <c r="BJ434" i="36" s="1"/>
  <c r="I433" i="36"/>
  <c r="AR433" i="36" s="1"/>
  <c r="BK433" i="36" s="1"/>
  <c r="H433" i="36"/>
  <c r="G433" i="36"/>
  <c r="F433" i="36"/>
  <c r="AQ433" i="36" s="1"/>
  <c r="BJ433" i="36" s="1"/>
  <c r="I431" i="36"/>
  <c r="AR431" i="36" s="1"/>
  <c r="BK431" i="36" s="1"/>
  <c r="H431" i="36"/>
  <c r="G431" i="36"/>
  <c r="F431" i="36"/>
  <c r="AQ431" i="36" s="1"/>
  <c r="BJ431" i="36" s="1"/>
  <c r="I430" i="36"/>
  <c r="AR430" i="36" s="1"/>
  <c r="BK430" i="36" s="1"/>
  <c r="H430" i="36"/>
  <c r="G430" i="36"/>
  <c r="F430" i="36"/>
  <c r="AQ430" i="36" s="1"/>
  <c r="BJ430" i="36" s="1"/>
  <c r="I428" i="36"/>
  <c r="AR428" i="36" s="1"/>
  <c r="BK428" i="36" s="1"/>
  <c r="H428" i="36"/>
  <c r="G428" i="36"/>
  <c r="F428" i="36"/>
  <c r="AQ428" i="36" s="1"/>
  <c r="BJ428" i="36" s="1"/>
  <c r="I427" i="36"/>
  <c r="AR427" i="36" s="1"/>
  <c r="BK427" i="36" s="1"/>
  <c r="H427" i="36"/>
  <c r="G427" i="36"/>
  <c r="F427" i="36"/>
  <c r="AQ427" i="36" s="1"/>
  <c r="BJ427" i="36" s="1"/>
  <c r="I425" i="36"/>
  <c r="AR425" i="36" s="1"/>
  <c r="BK425" i="36" s="1"/>
  <c r="H425" i="36"/>
  <c r="G425" i="36"/>
  <c r="F425" i="36"/>
  <c r="AQ425" i="36" s="1"/>
  <c r="BJ425" i="36" s="1"/>
  <c r="I424" i="36"/>
  <c r="AR424" i="36" s="1"/>
  <c r="BK424" i="36" s="1"/>
  <c r="H424" i="36"/>
  <c r="G424" i="36"/>
  <c r="F424" i="36"/>
  <c r="AQ424" i="36" s="1"/>
  <c r="BJ424" i="36" s="1"/>
  <c r="I422" i="36"/>
  <c r="AR422" i="36" s="1"/>
  <c r="BK422" i="36" s="1"/>
  <c r="H422" i="36"/>
  <c r="G422" i="36"/>
  <c r="F422" i="36"/>
  <c r="AQ422" i="36" s="1"/>
  <c r="BJ422" i="36" s="1"/>
  <c r="I421" i="36"/>
  <c r="AR421" i="36" s="1"/>
  <c r="BK421" i="36" s="1"/>
  <c r="H421" i="36"/>
  <c r="G421" i="36"/>
  <c r="F421" i="36"/>
  <c r="AQ421" i="36" s="1"/>
  <c r="BJ421" i="36" s="1"/>
  <c r="I419" i="36"/>
  <c r="AR419" i="36" s="1"/>
  <c r="BK419" i="36" s="1"/>
  <c r="H419" i="36"/>
  <c r="G419" i="36"/>
  <c r="F419" i="36"/>
  <c r="AQ419" i="36" s="1"/>
  <c r="BJ419" i="36" s="1"/>
  <c r="I418" i="36"/>
  <c r="AR418" i="36" s="1"/>
  <c r="BK418" i="36" s="1"/>
  <c r="H418" i="36"/>
  <c r="G418" i="36"/>
  <c r="F418" i="36"/>
  <c r="AQ418" i="36" s="1"/>
  <c r="BJ418" i="36" s="1"/>
  <c r="I416" i="36"/>
  <c r="AR416" i="36" s="1"/>
  <c r="BK416" i="36" s="1"/>
  <c r="H416" i="36"/>
  <c r="G416" i="36"/>
  <c r="F416" i="36"/>
  <c r="AQ416" i="36" s="1"/>
  <c r="BJ416" i="36" s="1"/>
  <c r="I415" i="36"/>
  <c r="AR415" i="36" s="1"/>
  <c r="BK415" i="36" s="1"/>
  <c r="H415" i="36"/>
  <c r="G415" i="36"/>
  <c r="F415" i="36"/>
  <c r="AQ415" i="36" s="1"/>
  <c r="BJ415" i="36" s="1"/>
  <c r="I413" i="36"/>
  <c r="AR413" i="36" s="1"/>
  <c r="BK413" i="36" s="1"/>
  <c r="H413" i="36"/>
  <c r="G413" i="36"/>
  <c r="F413" i="36"/>
  <c r="AQ413" i="36" s="1"/>
  <c r="BJ413" i="36" s="1"/>
  <c r="I412" i="36"/>
  <c r="AR412" i="36" s="1"/>
  <c r="BK412" i="36" s="1"/>
  <c r="H412" i="36"/>
  <c r="G412" i="36"/>
  <c r="F412" i="36"/>
  <c r="AQ412" i="36" s="1"/>
  <c r="BJ412" i="36" s="1"/>
  <c r="I410" i="36"/>
  <c r="AR410" i="36" s="1"/>
  <c r="BK410" i="36" s="1"/>
  <c r="H410" i="36"/>
  <c r="G410" i="36"/>
  <c r="F410" i="36"/>
  <c r="AQ410" i="36" s="1"/>
  <c r="BJ410" i="36" s="1"/>
  <c r="I409" i="36"/>
  <c r="AR409" i="36" s="1"/>
  <c r="BK409" i="36" s="1"/>
  <c r="H409" i="36"/>
  <c r="G409" i="36"/>
  <c r="F409" i="36"/>
  <c r="AQ409" i="36" s="1"/>
  <c r="BJ409" i="36" s="1"/>
  <c r="I407" i="36"/>
  <c r="AR407" i="36" s="1"/>
  <c r="BK407" i="36" s="1"/>
  <c r="H407" i="36"/>
  <c r="G407" i="36"/>
  <c r="F407" i="36"/>
  <c r="AQ407" i="36" s="1"/>
  <c r="BJ407" i="36" s="1"/>
  <c r="I406" i="36"/>
  <c r="AR406" i="36" s="1"/>
  <c r="BK406" i="36" s="1"/>
  <c r="H406" i="36"/>
  <c r="G406" i="36"/>
  <c r="F406" i="36"/>
  <c r="AQ406" i="36" s="1"/>
  <c r="BJ406" i="36" s="1"/>
  <c r="I404" i="36"/>
  <c r="AR404" i="36" s="1"/>
  <c r="BK404" i="36" s="1"/>
  <c r="H404" i="36"/>
  <c r="G404" i="36"/>
  <c r="F404" i="36"/>
  <c r="AQ404" i="36" s="1"/>
  <c r="BJ404" i="36" s="1"/>
  <c r="I403" i="36"/>
  <c r="AR403" i="36" s="1"/>
  <c r="BK403" i="36" s="1"/>
  <c r="H403" i="36"/>
  <c r="G403" i="36"/>
  <c r="F403" i="36"/>
  <c r="AQ403" i="36" s="1"/>
  <c r="BJ403" i="36" s="1"/>
  <c r="I401" i="36"/>
  <c r="AR401" i="36" s="1"/>
  <c r="BK401" i="36" s="1"/>
  <c r="H401" i="36"/>
  <c r="G401" i="36"/>
  <c r="F401" i="36"/>
  <c r="AQ401" i="36" s="1"/>
  <c r="BJ401" i="36" s="1"/>
  <c r="I400" i="36"/>
  <c r="AR400" i="36" s="1"/>
  <c r="BK400" i="36" s="1"/>
  <c r="H400" i="36"/>
  <c r="G400" i="36"/>
  <c r="F400" i="36"/>
  <c r="AQ400" i="36" s="1"/>
  <c r="BJ400" i="36" s="1"/>
  <c r="I398" i="36"/>
  <c r="AR398" i="36" s="1"/>
  <c r="BK398" i="36" s="1"/>
  <c r="H398" i="36"/>
  <c r="G398" i="36"/>
  <c r="F398" i="36"/>
  <c r="AQ398" i="36" s="1"/>
  <c r="BJ398" i="36" s="1"/>
  <c r="I397" i="36"/>
  <c r="AR397" i="36" s="1"/>
  <c r="BK397" i="36" s="1"/>
  <c r="H397" i="36"/>
  <c r="G397" i="36"/>
  <c r="F397" i="36"/>
  <c r="AQ397" i="36" s="1"/>
  <c r="BJ397" i="36" s="1"/>
  <c r="I395" i="36"/>
  <c r="AR395" i="36" s="1"/>
  <c r="BK395" i="36" s="1"/>
  <c r="H395" i="36"/>
  <c r="G395" i="36"/>
  <c r="F395" i="36"/>
  <c r="AQ395" i="36" s="1"/>
  <c r="BJ395" i="36" s="1"/>
  <c r="I394" i="36"/>
  <c r="AR394" i="36" s="1"/>
  <c r="BK394" i="36" s="1"/>
  <c r="H394" i="36"/>
  <c r="G394" i="36"/>
  <c r="F394" i="36"/>
  <c r="AQ394" i="36" s="1"/>
  <c r="BJ394" i="36" s="1"/>
  <c r="I392" i="36"/>
  <c r="AR392" i="36" s="1"/>
  <c r="BK392" i="36" s="1"/>
  <c r="H392" i="36"/>
  <c r="G392" i="36"/>
  <c r="F392" i="36"/>
  <c r="AQ392" i="36" s="1"/>
  <c r="BJ392" i="36" s="1"/>
  <c r="I391" i="36"/>
  <c r="AR391" i="36" s="1"/>
  <c r="BK391" i="36" s="1"/>
  <c r="H391" i="36"/>
  <c r="G391" i="36"/>
  <c r="F391" i="36"/>
  <c r="AQ391" i="36" s="1"/>
  <c r="BJ391" i="36" s="1"/>
  <c r="I389" i="36"/>
  <c r="AR389" i="36" s="1"/>
  <c r="BK389" i="36" s="1"/>
  <c r="H389" i="36"/>
  <c r="G389" i="36"/>
  <c r="F389" i="36"/>
  <c r="AQ389" i="36" s="1"/>
  <c r="BJ389" i="36" s="1"/>
  <c r="I388" i="36"/>
  <c r="AR388" i="36" s="1"/>
  <c r="BK388" i="36" s="1"/>
  <c r="H388" i="36"/>
  <c r="G388" i="36"/>
  <c r="F388" i="36"/>
  <c r="AQ388" i="36" s="1"/>
  <c r="BJ388" i="36" s="1"/>
  <c r="I386" i="36"/>
  <c r="AR386" i="36" s="1"/>
  <c r="BK386" i="36" s="1"/>
  <c r="H386" i="36"/>
  <c r="G386" i="36"/>
  <c r="F386" i="36"/>
  <c r="AQ386" i="36" s="1"/>
  <c r="BJ386" i="36" s="1"/>
  <c r="I385" i="36"/>
  <c r="AR385" i="36" s="1"/>
  <c r="BK385" i="36" s="1"/>
  <c r="H385" i="36"/>
  <c r="G385" i="36"/>
  <c r="F385" i="36"/>
  <c r="AQ385" i="36" s="1"/>
  <c r="BJ385" i="36" s="1"/>
  <c r="I383" i="36"/>
  <c r="AR383" i="36" s="1"/>
  <c r="BK383" i="36" s="1"/>
  <c r="H383" i="36"/>
  <c r="G383" i="36"/>
  <c r="F383" i="36"/>
  <c r="AQ383" i="36" s="1"/>
  <c r="BJ383" i="36" s="1"/>
  <c r="I382" i="36"/>
  <c r="AR382" i="36" s="1"/>
  <c r="BK382" i="36" s="1"/>
  <c r="H382" i="36"/>
  <c r="G382" i="36"/>
  <c r="F382" i="36"/>
  <c r="AQ382" i="36" s="1"/>
  <c r="BJ382" i="36" s="1"/>
  <c r="I380" i="36"/>
  <c r="AR380" i="36" s="1"/>
  <c r="BK380" i="36" s="1"/>
  <c r="H380" i="36"/>
  <c r="G380" i="36"/>
  <c r="F380" i="36"/>
  <c r="AQ380" i="36" s="1"/>
  <c r="BJ380" i="36" s="1"/>
  <c r="I379" i="36"/>
  <c r="AR379" i="36" s="1"/>
  <c r="BK379" i="36" s="1"/>
  <c r="H379" i="36"/>
  <c r="G379" i="36"/>
  <c r="F379" i="36"/>
  <c r="AQ379" i="36" s="1"/>
  <c r="BJ379" i="36" s="1"/>
  <c r="I377" i="36"/>
  <c r="AR377" i="36" s="1"/>
  <c r="BK377" i="36" s="1"/>
  <c r="H377" i="36"/>
  <c r="G377" i="36"/>
  <c r="F377" i="36"/>
  <c r="AQ377" i="36" s="1"/>
  <c r="BJ377" i="36" s="1"/>
  <c r="I376" i="36"/>
  <c r="AR376" i="36" s="1"/>
  <c r="BK376" i="36" s="1"/>
  <c r="H376" i="36"/>
  <c r="G376" i="36"/>
  <c r="F376" i="36"/>
  <c r="AQ376" i="36" s="1"/>
  <c r="BJ376" i="36" s="1"/>
  <c r="I374" i="36"/>
  <c r="AR374" i="36" s="1"/>
  <c r="BK374" i="36" s="1"/>
  <c r="H374" i="36"/>
  <c r="G374" i="36"/>
  <c r="F374" i="36"/>
  <c r="AQ374" i="36" s="1"/>
  <c r="BJ374" i="36" s="1"/>
  <c r="I373" i="36"/>
  <c r="AR373" i="36" s="1"/>
  <c r="BK373" i="36" s="1"/>
  <c r="H373" i="36"/>
  <c r="G373" i="36"/>
  <c r="F373" i="36"/>
  <c r="AQ373" i="36" s="1"/>
  <c r="BJ373" i="36" s="1"/>
  <c r="I371" i="36"/>
  <c r="AR371" i="36" s="1"/>
  <c r="BK371" i="36" s="1"/>
  <c r="H371" i="36"/>
  <c r="G371" i="36"/>
  <c r="F371" i="36"/>
  <c r="AQ371" i="36" s="1"/>
  <c r="BJ371" i="36" s="1"/>
  <c r="I370" i="36"/>
  <c r="AR370" i="36" s="1"/>
  <c r="BK370" i="36" s="1"/>
  <c r="H370" i="36"/>
  <c r="G370" i="36"/>
  <c r="F370" i="36"/>
  <c r="AQ370" i="36" s="1"/>
  <c r="BJ370" i="36" s="1"/>
  <c r="I368" i="36"/>
  <c r="AR368" i="36" s="1"/>
  <c r="BK368" i="36" s="1"/>
  <c r="H368" i="36"/>
  <c r="G368" i="36"/>
  <c r="F368" i="36"/>
  <c r="AQ368" i="36" s="1"/>
  <c r="BJ368" i="36" s="1"/>
  <c r="I367" i="36"/>
  <c r="AR367" i="36" s="1"/>
  <c r="BK367" i="36" s="1"/>
  <c r="H367" i="36"/>
  <c r="G367" i="36"/>
  <c r="F367" i="36"/>
  <c r="AQ367" i="36" s="1"/>
  <c r="BJ367" i="36" s="1"/>
  <c r="I365" i="36"/>
  <c r="AR365" i="36" s="1"/>
  <c r="BK365" i="36" s="1"/>
  <c r="H365" i="36"/>
  <c r="G365" i="36"/>
  <c r="F365" i="36"/>
  <c r="AQ365" i="36" s="1"/>
  <c r="BJ365" i="36" s="1"/>
  <c r="I364" i="36"/>
  <c r="AR364" i="36" s="1"/>
  <c r="BK364" i="36" s="1"/>
  <c r="H364" i="36"/>
  <c r="G364" i="36"/>
  <c r="F364" i="36"/>
  <c r="AQ364" i="36" s="1"/>
  <c r="BJ364" i="36" s="1"/>
  <c r="I362" i="36"/>
  <c r="AR362" i="36" s="1"/>
  <c r="BK362" i="36" s="1"/>
  <c r="H362" i="36"/>
  <c r="G362" i="36"/>
  <c r="F362" i="36"/>
  <c r="AQ362" i="36" s="1"/>
  <c r="BJ362" i="36" s="1"/>
  <c r="I361" i="36"/>
  <c r="AR361" i="36" s="1"/>
  <c r="BK361" i="36" s="1"/>
  <c r="H361" i="36"/>
  <c r="G361" i="36"/>
  <c r="F361" i="36"/>
  <c r="AQ361" i="36" s="1"/>
  <c r="BJ361" i="36" s="1"/>
  <c r="I359" i="36"/>
  <c r="AR359" i="36" s="1"/>
  <c r="BK359" i="36" s="1"/>
  <c r="H359" i="36"/>
  <c r="G359" i="36"/>
  <c r="F359" i="36"/>
  <c r="AQ359" i="36" s="1"/>
  <c r="BJ359" i="36" s="1"/>
  <c r="I358" i="36"/>
  <c r="AR358" i="36" s="1"/>
  <c r="BK358" i="36" s="1"/>
  <c r="H358" i="36"/>
  <c r="G358" i="36"/>
  <c r="F358" i="36"/>
  <c r="AQ358" i="36" s="1"/>
  <c r="BJ358" i="36" s="1"/>
  <c r="I356" i="36"/>
  <c r="AR356" i="36" s="1"/>
  <c r="BK356" i="36" s="1"/>
  <c r="H356" i="36"/>
  <c r="G356" i="36"/>
  <c r="F356" i="36"/>
  <c r="AQ356" i="36" s="1"/>
  <c r="BJ356" i="36" s="1"/>
  <c r="I355" i="36"/>
  <c r="AR355" i="36" s="1"/>
  <c r="BK355" i="36" s="1"/>
  <c r="H355" i="36"/>
  <c r="G355" i="36"/>
  <c r="F355" i="36"/>
  <c r="AQ355" i="36" s="1"/>
  <c r="BJ355" i="36" s="1"/>
  <c r="I353" i="36"/>
  <c r="AR353" i="36" s="1"/>
  <c r="BK353" i="36" s="1"/>
  <c r="H353" i="36"/>
  <c r="G353" i="36"/>
  <c r="F353" i="36"/>
  <c r="AQ353" i="36" s="1"/>
  <c r="BJ353" i="36" s="1"/>
  <c r="I352" i="36"/>
  <c r="AR352" i="36" s="1"/>
  <c r="BK352" i="36" s="1"/>
  <c r="H352" i="36"/>
  <c r="G352" i="36"/>
  <c r="F352" i="36"/>
  <c r="AQ352" i="36" s="1"/>
  <c r="BJ352" i="36" s="1"/>
  <c r="I350" i="36"/>
  <c r="AR350" i="36" s="1"/>
  <c r="BK350" i="36" s="1"/>
  <c r="H350" i="36"/>
  <c r="G350" i="36"/>
  <c r="F350" i="36"/>
  <c r="AQ350" i="36" s="1"/>
  <c r="BJ350" i="36" s="1"/>
  <c r="I349" i="36"/>
  <c r="AR349" i="36" s="1"/>
  <c r="BK349" i="36" s="1"/>
  <c r="H349" i="36"/>
  <c r="G349" i="36"/>
  <c r="F349" i="36"/>
  <c r="AQ349" i="36" s="1"/>
  <c r="BJ349" i="36" s="1"/>
  <c r="I347" i="36"/>
  <c r="AR347" i="36" s="1"/>
  <c r="BK347" i="36" s="1"/>
  <c r="H347" i="36"/>
  <c r="G347" i="36"/>
  <c r="F347" i="36"/>
  <c r="AQ347" i="36" s="1"/>
  <c r="BJ347" i="36" s="1"/>
  <c r="I346" i="36"/>
  <c r="AR346" i="36" s="1"/>
  <c r="BK346" i="36" s="1"/>
  <c r="H346" i="36"/>
  <c r="G346" i="36"/>
  <c r="F346" i="36"/>
  <c r="AQ346" i="36" s="1"/>
  <c r="BJ346" i="36" s="1"/>
  <c r="I344" i="36"/>
  <c r="AR344" i="36" s="1"/>
  <c r="BK344" i="36" s="1"/>
  <c r="H344" i="36"/>
  <c r="G344" i="36"/>
  <c r="F344" i="36"/>
  <c r="AQ344" i="36" s="1"/>
  <c r="BJ344" i="36" s="1"/>
  <c r="I343" i="36"/>
  <c r="AR343" i="36" s="1"/>
  <c r="BK343" i="36" s="1"/>
  <c r="H343" i="36"/>
  <c r="G343" i="36"/>
  <c r="F343" i="36"/>
  <c r="AQ343" i="36" s="1"/>
  <c r="BJ343" i="36" s="1"/>
  <c r="I341" i="36"/>
  <c r="AR341" i="36" s="1"/>
  <c r="BK341" i="36" s="1"/>
  <c r="H341" i="36"/>
  <c r="G341" i="36"/>
  <c r="F341" i="36"/>
  <c r="AQ341" i="36" s="1"/>
  <c r="BJ341" i="36" s="1"/>
  <c r="I340" i="36"/>
  <c r="AR340" i="36" s="1"/>
  <c r="BK340" i="36" s="1"/>
  <c r="H340" i="36"/>
  <c r="G340" i="36"/>
  <c r="F340" i="36"/>
  <c r="AQ340" i="36" s="1"/>
  <c r="BJ340" i="36" s="1"/>
  <c r="I338" i="36"/>
  <c r="AR338" i="36" s="1"/>
  <c r="BK338" i="36" s="1"/>
  <c r="H338" i="36"/>
  <c r="G338" i="36"/>
  <c r="F338" i="36"/>
  <c r="AQ338" i="36" s="1"/>
  <c r="BJ338" i="36" s="1"/>
  <c r="I337" i="36"/>
  <c r="AR337" i="36" s="1"/>
  <c r="BK337" i="36" s="1"/>
  <c r="H337" i="36"/>
  <c r="G337" i="36"/>
  <c r="F337" i="36"/>
  <c r="AQ337" i="36" s="1"/>
  <c r="BJ337" i="36" s="1"/>
  <c r="I335" i="36"/>
  <c r="AR335" i="36" s="1"/>
  <c r="BK335" i="36" s="1"/>
  <c r="H335" i="36"/>
  <c r="G335" i="36"/>
  <c r="F335" i="36"/>
  <c r="AQ335" i="36" s="1"/>
  <c r="BJ335" i="36" s="1"/>
  <c r="I334" i="36"/>
  <c r="AR334" i="36" s="1"/>
  <c r="BK334" i="36" s="1"/>
  <c r="H334" i="36"/>
  <c r="G334" i="36"/>
  <c r="F334" i="36"/>
  <c r="AQ334" i="36" s="1"/>
  <c r="BJ334" i="36" s="1"/>
  <c r="I332" i="36"/>
  <c r="AR332" i="36" s="1"/>
  <c r="BK332" i="36" s="1"/>
  <c r="H332" i="36"/>
  <c r="G332" i="36"/>
  <c r="F332" i="36"/>
  <c r="AQ332" i="36" s="1"/>
  <c r="BJ332" i="36" s="1"/>
  <c r="I331" i="36"/>
  <c r="AR331" i="36" s="1"/>
  <c r="BK331" i="36" s="1"/>
  <c r="H331" i="36"/>
  <c r="G331" i="36"/>
  <c r="F331" i="36"/>
  <c r="AQ331" i="36" s="1"/>
  <c r="BJ331" i="36" s="1"/>
  <c r="I329" i="36"/>
  <c r="AR329" i="36" s="1"/>
  <c r="BK329" i="36" s="1"/>
  <c r="H329" i="36"/>
  <c r="G329" i="36"/>
  <c r="F329" i="36"/>
  <c r="AQ329" i="36" s="1"/>
  <c r="BJ329" i="36" s="1"/>
  <c r="I328" i="36"/>
  <c r="AR328" i="36" s="1"/>
  <c r="BK328" i="36" s="1"/>
  <c r="H328" i="36"/>
  <c r="G328" i="36"/>
  <c r="F328" i="36"/>
  <c r="AQ328" i="36" s="1"/>
  <c r="BJ328" i="36" s="1"/>
  <c r="I326" i="36"/>
  <c r="AR326" i="36" s="1"/>
  <c r="BK326" i="36" s="1"/>
  <c r="H326" i="36"/>
  <c r="G326" i="36"/>
  <c r="F326" i="36"/>
  <c r="AQ326" i="36" s="1"/>
  <c r="BJ326" i="36" s="1"/>
  <c r="I325" i="36"/>
  <c r="AR325" i="36" s="1"/>
  <c r="BK325" i="36" s="1"/>
  <c r="H325" i="36"/>
  <c r="G325" i="36"/>
  <c r="F325" i="36"/>
  <c r="AQ325" i="36" s="1"/>
  <c r="BJ325" i="36" s="1"/>
  <c r="I323" i="36"/>
  <c r="AR323" i="36" s="1"/>
  <c r="BK323" i="36" s="1"/>
  <c r="H323" i="36"/>
  <c r="G323" i="36"/>
  <c r="F323" i="36"/>
  <c r="AQ323" i="36" s="1"/>
  <c r="BJ323" i="36" s="1"/>
  <c r="I322" i="36"/>
  <c r="AR322" i="36" s="1"/>
  <c r="BK322" i="36" s="1"/>
  <c r="H322" i="36"/>
  <c r="G322" i="36"/>
  <c r="F322" i="36"/>
  <c r="AQ322" i="36" s="1"/>
  <c r="BJ322" i="36" s="1"/>
  <c r="I320" i="36"/>
  <c r="AR320" i="36" s="1"/>
  <c r="BK320" i="36" s="1"/>
  <c r="H320" i="36"/>
  <c r="G320" i="36"/>
  <c r="F320" i="36"/>
  <c r="AQ320" i="36" s="1"/>
  <c r="BJ320" i="36" s="1"/>
  <c r="I319" i="36"/>
  <c r="AR319" i="36" s="1"/>
  <c r="BK319" i="36" s="1"/>
  <c r="H319" i="36"/>
  <c r="G319" i="36"/>
  <c r="F319" i="36"/>
  <c r="AQ319" i="36" s="1"/>
  <c r="BJ319" i="36" s="1"/>
  <c r="I317" i="36"/>
  <c r="AR317" i="36" s="1"/>
  <c r="BK317" i="36" s="1"/>
  <c r="H317" i="36"/>
  <c r="G317" i="36"/>
  <c r="F317" i="36"/>
  <c r="AQ317" i="36" s="1"/>
  <c r="BJ317" i="36" s="1"/>
  <c r="I316" i="36"/>
  <c r="AR316" i="36" s="1"/>
  <c r="BK316" i="36" s="1"/>
  <c r="H316" i="36"/>
  <c r="G316" i="36"/>
  <c r="F316" i="36"/>
  <c r="AQ316" i="36" s="1"/>
  <c r="BJ316" i="36" s="1"/>
  <c r="I314" i="36"/>
  <c r="AR314" i="36" s="1"/>
  <c r="BK314" i="36" s="1"/>
  <c r="H314" i="36"/>
  <c r="G314" i="36"/>
  <c r="F314" i="36"/>
  <c r="AQ314" i="36" s="1"/>
  <c r="BJ314" i="36" s="1"/>
  <c r="I313" i="36"/>
  <c r="AR313" i="36" s="1"/>
  <c r="BK313" i="36" s="1"/>
  <c r="H313" i="36"/>
  <c r="G313" i="36"/>
  <c r="F313" i="36"/>
  <c r="AQ313" i="36" s="1"/>
  <c r="BJ313" i="36" s="1"/>
  <c r="I311" i="36"/>
  <c r="AR311" i="36" s="1"/>
  <c r="BK311" i="36" s="1"/>
  <c r="H311" i="36"/>
  <c r="G311" i="36"/>
  <c r="F311" i="36"/>
  <c r="AQ311" i="36" s="1"/>
  <c r="BJ311" i="36" s="1"/>
  <c r="I310" i="36"/>
  <c r="AR310" i="36" s="1"/>
  <c r="BK310" i="36" s="1"/>
  <c r="H310" i="36"/>
  <c r="G310" i="36"/>
  <c r="F310" i="36"/>
  <c r="AQ310" i="36" s="1"/>
  <c r="BJ310" i="36" s="1"/>
  <c r="I308" i="36"/>
  <c r="AR308" i="36" s="1"/>
  <c r="BK308" i="36" s="1"/>
  <c r="H308" i="36"/>
  <c r="G308" i="36"/>
  <c r="F308" i="36"/>
  <c r="AQ308" i="36" s="1"/>
  <c r="BJ308" i="36" s="1"/>
  <c r="I307" i="36"/>
  <c r="AR307" i="36" s="1"/>
  <c r="BK307" i="36" s="1"/>
  <c r="H307" i="36"/>
  <c r="G307" i="36"/>
  <c r="F307" i="36"/>
  <c r="AQ307" i="36" s="1"/>
  <c r="BJ307" i="36" s="1"/>
  <c r="I305" i="36"/>
  <c r="AR305" i="36" s="1"/>
  <c r="BK305" i="36" s="1"/>
  <c r="H305" i="36"/>
  <c r="G305" i="36"/>
  <c r="F305" i="36"/>
  <c r="AQ305" i="36" s="1"/>
  <c r="BJ305" i="36" s="1"/>
  <c r="I304" i="36"/>
  <c r="AR304" i="36" s="1"/>
  <c r="BK304" i="36" s="1"/>
  <c r="H304" i="36"/>
  <c r="G304" i="36"/>
  <c r="F304" i="36"/>
  <c r="AQ304" i="36" s="1"/>
  <c r="BJ304" i="36" s="1"/>
  <c r="I302" i="36"/>
  <c r="AR302" i="36" s="1"/>
  <c r="BK302" i="36" s="1"/>
  <c r="H302" i="36"/>
  <c r="G302" i="36"/>
  <c r="F302" i="36"/>
  <c r="AQ302" i="36" s="1"/>
  <c r="BJ302" i="36" s="1"/>
  <c r="I301" i="36"/>
  <c r="AR301" i="36" s="1"/>
  <c r="BK301" i="36" s="1"/>
  <c r="H301" i="36"/>
  <c r="G301" i="36"/>
  <c r="F301" i="36"/>
  <c r="AQ301" i="36" s="1"/>
  <c r="BJ301" i="36" s="1"/>
  <c r="I299" i="36"/>
  <c r="AR299" i="36" s="1"/>
  <c r="BK299" i="36" s="1"/>
  <c r="H299" i="36"/>
  <c r="G299" i="36"/>
  <c r="F299" i="36"/>
  <c r="AQ299" i="36" s="1"/>
  <c r="BJ299" i="36" s="1"/>
  <c r="I298" i="36"/>
  <c r="AR298" i="36" s="1"/>
  <c r="BK298" i="36" s="1"/>
  <c r="H298" i="36"/>
  <c r="G298" i="36"/>
  <c r="F298" i="36"/>
  <c r="AQ298" i="36" s="1"/>
  <c r="BJ298" i="36" s="1"/>
  <c r="I296" i="36"/>
  <c r="AR296" i="36" s="1"/>
  <c r="BK296" i="36" s="1"/>
  <c r="H296" i="36"/>
  <c r="G296" i="36"/>
  <c r="F296" i="36"/>
  <c r="AQ296" i="36" s="1"/>
  <c r="BJ296" i="36" s="1"/>
  <c r="I295" i="36"/>
  <c r="AR295" i="36" s="1"/>
  <c r="BK295" i="36" s="1"/>
  <c r="H295" i="36"/>
  <c r="G295" i="36"/>
  <c r="F295" i="36"/>
  <c r="AQ295" i="36" s="1"/>
  <c r="BJ295" i="36" s="1"/>
  <c r="I293" i="36"/>
  <c r="AR293" i="36" s="1"/>
  <c r="BK293" i="36" s="1"/>
  <c r="H293" i="36"/>
  <c r="G293" i="36"/>
  <c r="F293" i="36"/>
  <c r="AQ293" i="36" s="1"/>
  <c r="BJ293" i="36" s="1"/>
  <c r="I292" i="36"/>
  <c r="AR292" i="36" s="1"/>
  <c r="BK292" i="36" s="1"/>
  <c r="H292" i="36"/>
  <c r="G292" i="36"/>
  <c r="F292" i="36"/>
  <c r="AQ292" i="36" s="1"/>
  <c r="BJ292" i="36" s="1"/>
  <c r="I290" i="36"/>
  <c r="AR290" i="36" s="1"/>
  <c r="BK290" i="36" s="1"/>
  <c r="H290" i="36"/>
  <c r="G290" i="36"/>
  <c r="F290" i="36"/>
  <c r="AQ290" i="36" s="1"/>
  <c r="BJ290" i="36" s="1"/>
  <c r="I289" i="36"/>
  <c r="AR289" i="36" s="1"/>
  <c r="BK289" i="36" s="1"/>
  <c r="H289" i="36"/>
  <c r="G289" i="36"/>
  <c r="F289" i="36"/>
  <c r="AQ289" i="36" s="1"/>
  <c r="BJ289" i="36" s="1"/>
  <c r="I287" i="36"/>
  <c r="AR287" i="36" s="1"/>
  <c r="BK287" i="36" s="1"/>
  <c r="H287" i="36"/>
  <c r="G287" i="36"/>
  <c r="F287" i="36"/>
  <c r="AQ287" i="36" s="1"/>
  <c r="BJ287" i="36" s="1"/>
  <c r="I286" i="36"/>
  <c r="AR286" i="36" s="1"/>
  <c r="BK286" i="36" s="1"/>
  <c r="H286" i="36"/>
  <c r="G286" i="36"/>
  <c r="F286" i="36"/>
  <c r="AQ286" i="36" s="1"/>
  <c r="BJ286" i="36" s="1"/>
  <c r="I284" i="36"/>
  <c r="AR284" i="36" s="1"/>
  <c r="BK284" i="36" s="1"/>
  <c r="H284" i="36"/>
  <c r="G284" i="36"/>
  <c r="F284" i="36"/>
  <c r="AQ284" i="36" s="1"/>
  <c r="BJ284" i="36" s="1"/>
  <c r="I283" i="36"/>
  <c r="AR283" i="36" s="1"/>
  <c r="BK283" i="36" s="1"/>
  <c r="H283" i="36"/>
  <c r="G283" i="36"/>
  <c r="F283" i="36"/>
  <c r="AQ283" i="36" s="1"/>
  <c r="BJ283" i="36" s="1"/>
  <c r="I281" i="36"/>
  <c r="AR281" i="36" s="1"/>
  <c r="BK281" i="36" s="1"/>
  <c r="H281" i="36"/>
  <c r="G281" i="36"/>
  <c r="F281" i="36"/>
  <c r="AQ281" i="36" s="1"/>
  <c r="BJ281" i="36" s="1"/>
  <c r="I280" i="36"/>
  <c r="AR280" i="36" s="1"/>
  <c r="BK280" i="36" s="1"/>
  <c r="H280" i="36"/>
  <c r="G280" i="36"/>
  <c r="F280" i="36"/>
  <c r="AQ280" i="36" s="1"/>
  <c r="BJ280" i="36" s="1"/>
  <c r="I278" i="36"/>
  <c r="AR278" i="36" s="1"/>
  <c r="BK278" i="36" s="1"/>
  <c r="H278" i="36"/>
  <c r="G278" i="36"/>
  <c r="F278" i="36"/>
  <c r="AQ278" i="36" s="1"/>
  <c r="BJ278" i="36" s="1"/>
  <c r="I277" i="36"/>
  <c r="AR277" i="36" s="1"/>
  <c r="BK277" i="36" s="1"/>
  <c r="H277" i="36"/>
  <c r="G277" i="36"/>
  <c r="F277" i="36"/>
  <c r="AQ277" i="36" s="1"/>
  <c r="BJ277" i="36" s="1"/>
  <c r="I275" i="36"/>
  <c r="AR275" i="36" s="1"/>
  <c r="BK275" i="36" s="1"/>
  <c r="H275" i="36"/>
  <c r="G275" i="36"/>
  <c r="F275" i="36"/>
  <c r="AQ275" i="36" s="1"/>
  <c r="BJ275" i="36" s="1"/>
  <c r="I274" i="36"/>
  <c r="AR274" i="36" s="1"/>
  <c r="BK274" i="36" s="1"/>
  <c r="H274" i="36"/>
  <c r="G274" i="36"/>
  <c r="F274" i="36"/>
  <c r="AQ274" i="36" s="1"/>
  <c r="BJ274" i="36" s="1"/>
  <c r="I272" i="36"/>
  <c r="AR272" i="36" s="1"/>
  <c r="BK272" i="36" s="1"/>
  <c r="H272" i="36"/>
  <c r="G272" i="36"/>
  <c r="F272" i="36"/>
  <c r="AQ272" i="36" s="1"/>
  <c r="BJ272" i="36" s="1"/>
  <c r="I271" i="36"/>
  <c r="AR271" i="36" s="1"/>
  <c r="BK271" i="36" s="1"/>
  <c r="H271" i="36"/>
  <c r="G271" i="36"/>
  <c r="F271" i="36"/>
  <c r="AQ271" i="36" s="1"/>
  <c r="BJ271" i="36" s="1"/>
  <c r="I269" i="36"/>
  <c r="AR269" i="36" s="1"/>
  <c r="BK269" i="36" s="1"/>
  <c r="H269" i="36"/>
  <c r="G269" i="36"/>
  <c r="F269" i="36"/>
  <c r="AQ269" i="36" s="1"/>
  <c r="BJ269" i="36" s="1"/>
  <c r="I268" i="36"/>
  <c r="AR268" i="36" s="1"/>
  <c r="BK268" i="36" s="1"/>
  <c r="H268" i="36"/>
  <c r="G268" i="36"/>
  <c r="F268" i="36"/>
  <c r="AQ268" i="36" s="1"/>
  <c r="BJ268" i="36" s="1"/>
  <c r="I266" i="36"/>
  <c r="AR266" i="36" s="1"/>
  <c r="BK266" i="36" s="1"/>
  <c r="H266" i="36"/>
  <c r="G266" i="36"/>
  <c r="F266" i="36"/>
  <c r="AQ266" i="36" s="1"/>
  <c r="BJ266" i="36" s="1"/>
  <c r="I265" i="36"/>
  <c r="AR265" i="36" s="1"/>
  <c r="BK265" i="36" s="1"/>
  <c r="H265" i="36"/>
  <c r="G265" i="36"/>
  <c r="F265" i="36"/>
  <c r="AQ265" i="36" s="1"/>
  <c r="BJ265" i="36" s="1"/>
  <c r="I263" i="36"/>
  <c r="AR263" i="36" s="1"/>
  <c r="BK263" i="36" s="1"/>
  <c r="H263" i="36"/>
  <c r="G263" i="36"/>
  <c r="F263" i="36"/>
  <c r="AQ263" i="36" s="1"/>
  <c r="BJ263" i="36" s="1"/>
  <c r="I262" i="36"/>
  <c r="AR262" i="36" s="1"/>
  <c r="BK262" i="36" s="1"/>
  <c r="H262" i="36"/>
  <c r="G262" i="36"/>
  <c r="F262" i="36"/>
  <c r="AQ262" i="36" s="1"/>
  <c r="BJ262" i="36" s="1"/>
  <c r="I260" i="36"/>
  <c r="AR260" i="36" s="1"/>
  <c r="BK260" i="36" s="1"/>
  <c r="H260" i="36"/>
  <c r="G260" i="36"/>
  <c r="F260" i="36"/>
  <c r="AQ260" i="36" s="1"/>
  <c r="BJ260" i="36" s="1"/>
  <c r="I259" i="36"/>
  <c r="AR259" i="36" s="1"/>
  <c r="BK259" i="36" s="1"/>
  <c r="H259" i="36"/>
  <c r="G259" i="36"/>
  <c r="F259" i="36"/>
  <c r="AQ259" i="36" s="1"/>
  <c r="BJ259" i="36" s="1"/>
  <c r="I257" i="36"/>
  <c r="AR257" i="36" s="1"/>
  <c r="BK257" i="36" s="1"/>
  <c r="H257" i="36"/>
  <c r="G257" i="36"/>
  <c r="F257" i="36"/>
  <c r="AQ257" i="36" s="1"/>
  <c r="BJ257" i="36" s="1"/>
  <c r="I256" i="36"/>
  <c r="AR256" i="36" s="1"/>
  <c r="BK256" i="36" s="1"/>
  <c r="H256" i="36"/>
  <c r="G256" i="36"/>
  <c r="F256" i="36"/>
  <c r="AQ256" i="36" s="1"/>
  <c r="BJ256" i="36" s="1"/>
  <c r="I254" i="36"/>
  <c r="AR254" i="36" s="1"/>
  <c r="BK254" i="36" s="1"/>
  <c r="H254" i="36"/>
  <c r="G254" i="36"/>
  <c r="F254" i="36"/>
  <c r="AQ254" i="36" s="1"/>
  <c r="BJ254" i="36" s="1"/>
  <c r="I253" i="36"/>
  <c r="AR253" i="36" s="1"/>
  <c r="BK253" i="36" s="1"/>
  <c r="H253" i="36"/>
  <c r="G253" i="36"/>
  <c r="F253" i="36"/>
  <c r="AQ253" i="36" s="1"/>
  <c r="BJ253" i="36" s="1"/>
  <c r="I251" i="36"/>
  <c r="AR251" i="36" s="1"/>
  <c r="BK251" i="36" s="1"/>
  <c r="H251" i="36"/>
  <c r="G251" i="36"/>
  <c r="F251" i="36"/>
  <c r="AQ251" i="36" s="1"/>
  <c r="BJ251" i="36" s="1"/>
  <c r="I250" i="36"/>
  <c r="AR250" i="36" s="1"/>
  <c r="BK250" i="36" s="1"/>
  <c r="H250" i="36"/>
  <c r="G250" i="36"/>
  <c r="F250" i="36"/>
  <c r="AQ250" i="36" s="1"/>
  <c r="BJ250" i="36" s="1"/>
  <c r="I248" i="36"/>
  <c r="AR248" i="36" s="1"/>
  <c r="BK248" i="36" s="1"/>
  <c r="H248" i="36"/>
  <c r="G248" i="36"/>
  <c r="F248" i="36"/>
  <c r="AQ248" i="36" s="1"/>
  <c r="BJ248" i="36" s="1"/>
  <c r="I247" i="36"/>
  <c r="AR247" i="36" s="1"/>
  <c r="BK247" i="36" s="1"/>
  <c r="H247" i="36"/>
  <c r="G247" i="36"/>
  <c r="F247" i="36"/>
  <c r="AQ247" i="36" s="1"/>
  <c r="BJ247" i="36" s="1"/>
  <c r="I245" i="36"/>
  <c r="AR245" i="36" s="1"/>
  <c r="BK245" i="36" s="1"/>
  <c r="H245" i="36"/>
  <c r="G245" i="36"/>
  <c r="F245" i="36"/>
  <c r="AQ245" i="36" s="1"/>
  <c r="BJ245" i="36" s="1"/>
  <c r="I244" i="36"/>
  <c r="AR244" i="36" s="1"/>
  <c r="BK244" i="36" s="1"/>
  <c r="H244" i="36"/>
  <c r="G244" i="36"/>
  <c r="F244" i="36"/>
  <c r="AQ244" i="36" s="1"/>
  <c r="BJ244" i="36" s="1"/>
  <c r="I242" i="36"/>
  <c r="AR242" i="36" s="1"/>
  <c r="BK242" i="36" s="1"/>
  <c r="H242" i="36"/>
  <c r="G242" i="36"/>
  <c r="F242" i="36"/>
  <c r="AQ242" i="36" s="1"/>
  <c r="BJ242" i="36" s="1"/>
  <c r="I241" i="36"/>
  <c r="AR241" i="36" s="1"/>
  <c r="BK241" i="36" s="1"/>
  <c r="H241" i="36"/>
  <c r="G241" i="36"/>
  <c r="F241" i="36"/>
  <c r="AQ241" i="36" s="1"/>
  <c r="BJ241" i="36" s="1"/>
  <c r="I239" i="36"/>
  <c r="AR239" i="36" s="1"/>
  <c r="BK239" i="36" s="1"/>
  <c r="H239" i="36"/>
  <c r="G239" i="36"/>
  <c r="F239" i="36"/>
  <c r="AQ239" i="36" s="1"/>
  <c r="BJ239" i="36" s="1"/>
  <c r="I238" i="36"/>
  <c r="AR238" i="36" s="1"/>
  <c r="BK238" i="36" s="1"/>
  <c r="H238" i="36"/>
  <c r="G238" i="36"/>
  <c r="F238" i="36"/>
  <c r="AQ238" i="36" s="1"/>
  <c r="BJ238" i="36" s="1"/>
  <c r="I236" i="36"/>
  <c r="AR236" i="36" s="1"/>
  <c r="BK236" i="36" s="1"/>
  <c r="H236" i="36"/>
  <c r="G236" i="36"/>
  <c r="F236" i="36"/>
  <c r="AQ236" i="36" s="1"/>
  <c r="BJ236" i="36" s="1"/>
  <c r="I235" i="36"/>
  <c r="AR235" i="36" s="1"/>
  <c r="BK235" i="36" s="1"/>
  <c r="H235" i="36"/>
  <c r="G235" i="36"/>
  <c r="F235" i="36"/>
  <c r="AQ235" i="36" s="1"/>
  <c r="BJ235" i="36" s="1"/>
  <c r="I233" i="36"/>
  <c r="AR233" i="36" s="1"/>
  <c r="BK233" i="36" s="1"/>
  <c r="H233" i="36"/>
  <c r="G233" i="36"/>
  <c r="F233" i="36"/>
  <c r="AQ233" i="36" s="1"/>
  <c r="BJ233" i="36" s="1"/>
  <c r="I232" i="36"/>
  <c r="AR232" i="36" s="1"/>
  <c r="BK232" i="36" s="1"/>
  <c r="H232" i="36"/>
  <c r="G232" i="36"/>
  <c r="F232" i="36"/>
  <c r="AQ232" i="36" s="1"/>
  <c r="BJ232" i="36" s="1"/>
  <c r="I230" i="36"/>
  <c r="AR230" i="36" s="1"/>
  <c r="BK230" i="36" s="1"/>
  <c r="H230" i="36"/>
  <c r="G230" i="36"/>
  <c r="F230" i="36"/>
  <c r="AQ230" i="36" s="1"/>
  <c r="BJ230" i="36" s="1"/>
  <c r="I229" i="36"/>
  <c r="AR229" i="36" s="1"/>
  <c r="BK229" i="36" s="1"/>
  <c r="H229" i="36"/>
  <c r="G229" i="36"/>
  <c r="F229" i="36"/>
  <c r="AQ229" i="36" s="1"/>
  <c r="BJ229" i="36" s="1"/>
  <c r="I227" i="36"/>
  <c r="AR227" i="36" s="1"/>
  <c r="BK227" i="36" s="1"/>
  <c r="H227" i="36"/>
  <c r="G227" i="36"/>
  <c r="F227" i="36"/>
  <c r="AQ227" i="36" s="1"/>
  <c r="BJ227" i="36" s="1"/>
  <c r="I226" i="36"/>
  <c r="AR226" i="36" s="1"/>
  <c r="BK226" i="36" s="1"/>
  <c r="H226" i="36"/>
  <c r="G226" i="36"/>
  <c r="F226" i="36"/>
  <c r="AQ226" i="36" s="1"/>
  <c r="BJ226" i="36" s="1"/>
  <c r="I224" i="36"/>
  <c r="AR224" i="36" s="1"/>
  <c r="BK224" i="36" s="1"/>
  <c r="H224" i="36"/>
  <c r="G224" i="36"/>
  <c r="F224" i="36"/>
  <c r="AQ224" i="36" s="1"/>
  <c r="BJ224" i="36" s="1"/>
  <c r="I223" i="36"/>
  <c r="AR223" i="36" s="1"/>
  <c r="BK223" i="36" s="1"/>
  <c r="H223" i="36"/>
  <c r="G223" i="36"/>
  <c r="F223" i="36"/>
  <c r="AQ223" i="36" s="1"/>
  <c r="BJ223" i="36" s="1"/>
  <c r="I221" i="36"/>
  <c r="AR221" i="36" s="1"/>
  <c r="BK221" i="36" s="1"/>
  <c r="H221" i="36"/>
  <c r="G221" i="36"/>
  <c r="F221" i="36"/>
  <c r="AQ221" i="36" s="1"/>
  <c r="BJ221" i="36" s="1"/>
  <c r="I220" i="36"/>
  <c r="AR220" i="36" s="1"/>
  <c r="BK220" i="36" s="1"/>
  <c r="H220" i="36"/>
  <c r="G220" i="36"/>
  <c r="F220" i="36"/>
  <c r="AQ220" i="36" s="1"/>
  <c r="BJ220" i="36" s="1"/>
  <c r="I218" i="36"/>
  <c r="AR218" i="36" s="1"/>
  <c r="BK218" i="36" s="1"/>
  <c r="H218" i="36"/>
  <c r="G218" i="36"/>
  <c r="F218" i="36"/>
  <c r="AQ218" i="36" s="1"/>
  <c r="BJ218" i="36" s="1"/>
  <c r="I217" i="36"/>
  <c r="AR217" i="36" s="1"/>
  <c r="BK217" i="36" s="1"/>
  <c r="H217" i="36"/>
  <c r="G217" i="36"/>
  <c r="F217" i="36"/>
  <c r="AQ217" i="36" s="1"/>
  <c r="BJ217" i="36" s="1"/>
  <c r="I215" i="36"/>
  <c r="AR215" i="36" s="1"/>
  <c r="BK215" i="36" s="1"/>
  <c r="H215" i="36"/>
  <c r="G215" i="36"/>
  <c r="F215" i="36"/>
  <c r="AQ215" i="36" s="1"/>
  <c r="BJ215" i="36" s="1"/>
  <c r="I214" i="36"/>
  <c r="AR214" i="36" s="1"/>
  <c r="BK214" i="36" s="1"/>
  <c r="H214" i="36"/>
  <c r="G214" i="36"/>
  <c r="F214" i="36"/>
  <c r="AQ214" i="36" s="1"/>
  <c r="BJ214" i="36" s="1"/>
  <c r="I212" i="36"/>
  <c r="AR212" i="36" s="1"/>
  <c r="BK212" i="36" s="1"/>
  <c r="H212" i="36"/>
  <c r="G212" i="36"/>
  <c r="F212" i="36"/>
  <c r="AQ212" i="36" s="1"/>
  <c r="BJ212" i="36" s="1"/>
  <c r="I211" i="36"/>
  <c r="AR211" i="36" s="1"/>
  <c r="BK211" i="36" s="1"/>
  <c r="H211" i="36"/>
  <c r="G211" i="36"/>
  <c r="F211" i="36"/>
  <c r="AQ211" i="36" s="1"/>
  <c r="BJ211" i="36" s="1"/>
  <c r="I209" i="36"/>
  <c r="AR209" i="36" s="1"/>
  <c r="BK209" i="36" s="1"/>
  <c r="H209" i="36"/>
  <c r="G209" i="36"/>
  <c r="F209" i="36"/>
  <c r="AQ209" i="36" s="1"/>
  <c r="BJ209" i="36" s="1"/>
  <c r="I208" i="36"/>
  <c r="AR208" i="36" s="1"/>
  <c r="BK208" i="36" s="1"/>
  <c r="H208" i="36"/>
  <c r="G208" i="36"/>
  <c r="F208" i="36"/>
  <c r="AQ208" i="36" s="1"/>
  <c r="BJ208" i="36" s="1"/>
  <c r="I206" i="36"/>
  <c r="AR206" i="36" s="1"/>
  <c r="BK206" i="36" s="1"/>
  <c r="H206" i="36"/>
  <c r="G206" i="36"/>
  <c r="F206" i="36"/>
  <c r="AQ206" i="36" s="1"/>
  <c r="BJ206" i="36" s="1"/>
  <c r="I205" i="36"/>
  <c r="AR205" i="36" s="1"/>
  <c r="BK205" i="36" s="1"/>
  <c r="H205" i="36"/>
  <c r="G205" i="36"/>
  <c r="F205" i="36"/>
  <c r="AQ205" i="36" s="1"/>
  <c r="BJ205" i="36" s="1"/>
  <c r="I203" i="36"/>
  <c r="AR203" i="36" s="1"/>
  <c r="BK203" i="36" s="1"/>
  <c r="H203" i="36"/>
  <c r="G203" i="36"/>
  <c r="F203" i="36"/>
  <c r="AQ203" i="36" s="1"/>
  <c r="BJ203" i="36" s="1"/>
  <c r="I202" i="36"/>
  <c r="AR202" i="36" s="1"/>
  <c r="BK202" i="36" s="1"/>
  <c r="H202" i="36"/>
  <c r="G202" i="36"/>
  <c r="F202" i="36"/>
  <c r="AQ202" i="36" s="1"/>
  <c r="BJ202" i="36" s="1"/>
  <c r="I200" i="36"/>
  <c r="AR200" i="36" s="1"/>
  <c r="BK200" i="36" s="1"/>
  <c r="H200" i="36"/>
  <c r="G200" i="36"/>
  <c r="F200" i="36"/>
  <c r="AQ200" i="36" s="1"/>
  <c r="BJ200" i="36" s="1"/>
  <c r="I199" i="36"/>
  <c r="AR199" i="36" s="1"/>
  <c r="BK199" i="36" s="1"/>
  <c r="H199" i="36"/>
  <c r="G199" i="36"/>
  <c r="F199" i="36"/>
  <c r="AQ199" i="36" s="1"/>
  <c r="BJ199" i="36" s="1"/>
  <c r="I197" i="36"/>
  <c r="AR197" i="36" s="1"/>
  <c r="BK197" i="36" s="1"/>
  <c r="H197" i="36"/>
  <c r="G197" i="36"/>
  <c r="F197" i="36"/>
  <c r="AQ197" i="36" s="1"/>
  <c r="BJ197" i="36" s="1"/>
  <c r="I196" i="36"/>
  <c r="AR196" i="36" s="1"/>
  <c r="BK196" i="36" s="1"/>
  <c r="H196" i="36"/>
  <c r="G196" i="36"/>
  <c r="F196" i="36"/>
  <c r="AQ196" i="36" s="1"/>
  <c r="BJ196" i="36" s="1"/>
  <c r="I194" i="36"/>
  <c r="AR194" i="36" s="1"/>
  <c r="BK194" i="36" s="1"/>
  <c r="H194" i="36"/>
  <c r="G194" i="36"/>
  <c r="F194" i="36"/>
  <c r="AQ194" i="36" s="1"/>
  <c r="BJ194" i="36" s="1"/>
  <c r="I193" i="36"/>
  <c r="AR193" i="36" s="1"/>
  <c r="BK193" i="36" s="1"/>
  <c r="H193" i="36"/>
  <c r="G193" i="36"/>
  <c r="F193" i="36"/>
  <c r="AQ193" i="36" s="1"/>
  <c r="BJ193" i="36" s="1"/>
  <c r="I191" i="36"/>
  <c r="AR191" i="36" s="1"/>
  <c r="BK191" i="36" s="1"/>
  <c r="H191" i="36"/>
  <c r="G191" i="36"/>
  <c r="F191" i="36"/>
  <c r="AQ191" i="36" s="1"/>
  <c r="BJ191" i="36" s="1"/>
  <c r="I190" i="36"/>
  <c r="AR190" i="36" s="1"/>
  <c r="BK190" i="36" s="1"/>
  <c r="H190" i="36"/>
  <c r="G190" i="36"/>
  <c r="F190" i="36"/>
  <c r="AQ190" i="36" s="1"/>
  <c r="BJ190" i="36" s="1"/>
  <c r="I188" i="36"/>
  <c r="AR188" i="36" s="1"/>
  <c r="BK188" i="36" s="1"/>
  <c r="H188" i="36"/>
  <c r="G188" i="36"/>
  <c r="F188" i="36"/>
  <c r="AQ188" i="36" s="1"/>
  <c r="BJ188" i="36" s="1"/>
  <c r="I187" i="36"/>
  <c r="AR187" i="36" s="1"/>
  <c r="BK187" i="36" s="1"/>
  <c r="H187" i="36"/>
  <c r="G187" i="36"/>
  <c r="F187" i="36"/>
  <c r="AQ187" i="36" s="1"/>
  <c r="BJ187" i="36" s="1"/>
  <c r="I185" i="36"/>
  <c r="AR185" i="36" s="1"/>
  <c r="BK185" i="36" s="1"/>
  <c r="H185" i="36"/>
  <c r="G185" i="36"/>
  <c r="F185" i="36"/>
  <c r="AQ185" i="36" s="1"/>
  <c r="BJ185" i="36" s="1"/>
  <c r="I184" i="36"/>
  <c r="AR184" i="36" s="1"/>
  <c r="BK184" i="36" s="1"/>
  <c r="H184" i="36"/>
  <c r="G184" i="36"/>
  <c r="F184" i="36"/>
  <c r="AQ184" i="36" s="1"/>
  <c r="BJ184" i="36" s="1"/>
  <c r="I182" i="36"/>
  <c r="AR182" i="36" s="1"/>
  <c r="BK182" i="36" s="1"/>
  <c r="H182" i="36"/>
  <c r="G182" i="36"/>
  <c r="F182" i="36"/>
  <c r="AQ182" i="36" s="1"/>
  <c r="BJ182" i="36" s="1"/>
  <c r="I181" i="36"/>
  <c r="AR181" i="36" s="1"/>
  <c r="BK181" i="36" s="1"/>
  <c r="H181" i="36"/>
  <c r="G181" i="36"/>
  <c r="F181" i="36"/>
  <c r="AQ181" i="36" s="1"/>
  <c r="BJ181" i="36" s="1"/>
  <c r="I179" i="36"/>
  <c r="AR179" i="36" s="1"/>
  <c r="BK179" i="36" s="1"/>
  <c r="H179" i="36"/>
  <c r="G179" i="36"/>
  <c r="F179" i="36"/>
  <c r="AQ179" i="36" s="1"/>
  <c r="BJ179" i="36" s="1"/>
  <c r="I178" i="36"/>
  <c r="AR178" i="36" s="1"/>
  <c r="BK178" i="36" s="1"/>
  <c r="H178" i="36"/>
  <c r="G178" i="36"/>
  <c r="F178" i="36"/>
  <c r="AQ178" i="36" s="1"/>
  <c r="BJ178" i="36" s="1"/>
  <c r="I176" i="36"/>
  <c r="AR176" i="36" s="1"/>
  <c r="BK176" i="36" s="1"/>
  <c r="H176" i="36"/>
  <c r="G176" i="36"/>
  <c r="F176" i="36"/>
  <c r="AQ176" i="36" s="1"/>
  <c r="BJ176" i="36" s="1"/>
  <c r="I175" i="36"/>
  <c r="AR175" i="36" s="1"/>
  <c r="BK175" i="36" s="1"/>
  <c r="H175" i="36"/>
  <c r="G175" i="36"/>
  <c r="F175" i="36"/>
  <c r="AQ175" i="36" s="1"/>
  <c r="BJ175" i="36" s="1"/>
  <c r="I173" i="36"/>
  <c r="AR173" i="36" s="1"/>
  <c r="BK173" i="36" s="1"/>
  <c r="H173" i="36"/>
  <c r="G173" i="36"/>
  <c r="F173" i="36"/>
  <c r="AQ173" i="36" s="1"/>
  <c r="BJ173" i="36" s="1"/>
  <c r="I172" i="36"/>
  <c r="AR172" i="36" s="1"/>
  <c r="BK172" i="36" s="1"/>
  <c r="H172" i="36"/>
  <c r="G172" i="36"/>
  <c r="F172" i="36"/>
  <c r="AQ172" i="36" s="1"/>
  <c r="BJ172" i="36" s="1"/>
  <c r="I170" i="36"/>
  <c r="AR170" i="36" s="1"/>
  <c r="BK170" i="36" s="1"/>
  <c r="H170" i="36"/>
  <c r="G170" i="36"/>
  <c r="F170" i="36"/>
  <c r="AQ170" i="36" s="1"/>
  <c r="BJ170" i="36" s="1"/>
  <c r="I169" i="36"/>
  <c r="AR169" i="36" s="1"/>
  <c r="BK169" i="36" s="1"/>
  <c r="H169" i="36"/>
  <c r="G169" i="36"/>
  <c r="F169" i="36"/>
  <c r="AQ169" i="36" s="1"/>
  <c r="BJ169" i="36" s="1"/>
  <c r="I167" i="36"/>
  <c r="AR167" i="36" s="1"/>
  <c r="BK167" i="36" s="1"/>
  <c r="H167" i="36"/>
  <c r="G167" i="36"/>
  <c r="F167" i="36"/>
  <c r="AQ167" i="36" s="1"/>
  <c r="BJ167" i="36" s="1"/>
  <c r="I166" i="36"/>
  <c r="AR166" i="36" s="1"/>
  <c r="BK166" i="36" s="1"/>
  <c r="H166" i="36"/>
  <c r="G166" i="36"/>
  <c r="F166" i="36"/>
  <c r="AQ166" i="36" s="1"/>
  <c r="BJ166" i="36" s="1"/>
  <c r="I164" i="36"/>
  <c r="AR164" i="36" s="1"/>
  <c r="BK164" i="36" s="1"/>
  <c r="H164" i="36"/>
  <c r="G164" i="36"/>
  <c r="F164" i="36"/>
  <c r="AQ164" i="36" s="1"/>
  <c r="BJ164" i="36" s="1"/>
  <c r="I163" i="36"/>
  <c r="AR163" i="36" s="1"/>
  <c r="BK163" i="36" s="1"/>
  <c r="H163" i="36"/>
  <c r="G163" i="36"/>
  <c r="F163" i="36"/>
  <c r="AQ163" i="36" s="1"/>
  <c r="BJ163" i="36" s="1"/>
  <c r="I161" i="36"/>
  <c r="AR161" i="36" s="1"/>
  <c r="BK161" i="36" s="1"/>
  <c r="H161" i="36"/>
  <c r="G161" i="36"/>
  <c r="F161" i="36"/>
  <c r="AQ161" i="36" s="1"/>
  <c r="BJ161" i="36" s="1"/>
  <c r="I160" i="36"/>
  <c r="AR160" i="36" s="1"/>
  <c r="BK160" i="36" s="1"/>
  <c r="H160" i="36"/>
  <c r="G160" i="36"/>
  <c r="F160" i="36"/>
  <c r="AQ160" i="36" s="1"/>
  <c r="BJ160" i="36" s="1"/>
  <c r="I158" i="36"/>
  <c r="AR158" i="36" s="1"/>
  <c r="BK158" i="36" s="1"/>
  <c r="H158" i="36"/>
  <c r="G158" i="36"/>
  <c r="F158" i="36"/>
  <c r="AQ158" i="36" s="1"/>
  <c r="BJ158" i="36" s="1"/>
  <c r="I157" i="36"/>
  <c r="AR157" i="36" s="1"/>
  <c r="BK157" i="36" s="1"/>
  <c r="H157" i="36"/>
  <c r="G157" i="36"/>
  <c r="F157" i="36"/>
  <c r="AQ157" i="36" s="1"/>
  <c r="BJ157" i="36" s="1"/>
  <c r="I155" i="36"/>
  <c r="AR155" i="36" s="1"/>
  <c r="BK155" i="36" s="1"/>
  <c r="H155" i="36"/>
  <c r="G155" i="36"/>
  <c r="F155" i="36"/>
  <c r="AQ155" i="36" s="1"/>
  <c r="BJ155" i="36" s="1"/>
  <c r="I154" i="36"/>
  <c r="AR154" i="36" s="1"/>
  <c r="BK154" i="36" s="1"/>
  <c r="H154" i="36"/>
  <c r="G154" i="36"/>
  <c r="F154" i="36"/>
  <c r="AQ154" i="36" s="1"/>
  <c r="BJ154" i="36" s="1"/>
  <c r="I152" i="36"/>
  <c r="AR152" i="36" s="1"/>
  <c r="BK152" i="36" s="1"/>
  <c r="H152" i="36"/>
  <c r="G152" i="36"/>
  <c r="F152" i="36"/>
  <c r="AQ152" i="36" s="1"/>
  <c r="BJ152" i="36" s="1"/>
  <c r="I151" i="36"/>
  <c r="AR151" i="36" s="1"/>
  <c r="BK151" i="36" s="1"/>
  <c r="H151" i="36"/>
  <c r="G151" i="36"/>
  <c r="F151" i="36"/>
  <c r="AQ151" i="36" s="1"/>
  <c r="BJ151" i="36" s="1"/>
  <c r="I149" i="36"/>
  <c r="AR149" i="36" s="1"/>
  <c r="BK149" i="36" s="1"/>
  <c r="H149" i="36"/>
  <c r="G149" i="36"/>
  <c r="F149" i="36"/>
  <c r="AQ149" i="36" s="1"/>
  <c r="BJ149" i="36" s="1"/>
  <c r="I148" i="36"/>
  <c r="AR148" i="36" s="1"/>
  <c r="BK148" i="36" s="1"/>
  <c r="H148" i="36"/>
  <c r="G148" i="36"/>
  <c r="F148" i="36"/>
  <c r="AQ148" i="36" s="1"/>
  <c r="BJ148" i="36" s="1"/>
  <c r="I146" i="36"/>
  <c r="AR146" i="36" s="1"/>
  <c r="BK146" i="36" s="1"/>
  <c r="H146" i="36"/>
  <c r="G146" i="36"/>
  <c r="F146" i="36"/>
  <c r="AQ146" i="36" s="1"/>
  <c r="BJ146" i="36" s="1"/>
  <c r="I145" i="36"/>
  <c r="AR145" i="36" s="1"/>
  <c r="BK145" i="36" s="1"/>
  <c r="H145" i="36"/>
  <c r="G145" i="36"/>
  <c r="F145" i="36"/>
  <c r="AQ145" i="36" s="1"/>
  <c r="BJ145" i="36" s="1"/>
  <c r="I143" i="36"/>
  <c r="AR143" i="36" s="1"/>
  <c r="BK143" i="36" s="1"/>
  <c r="H143" i="36"/>
  <c r="G143" i="36"/>
  <c r="F143" i="36"/>
  <c r="AQ143" i="36" s="1"/>
  <c r="BJ143" i="36" s="1"/>
  <c r="I142" i="36"/>
  <c r="AR142" i="36" s="1"/>
  <c r="BK142" i="36" s="1"/>
  <c r="H142" i="36"/>
  <c r="G142" i="36"/>
  <c r="F142" i="36"/>
  <c r="AQ142" i="36" s="1"/>
  <c r="BJ142" i="36" s="1"/>
  <c r="I140" i="36"/>
  <c r="AR140" i="36" s="1"/>
  <c r="BK140" i="36" s="1"/>
  <c r="H140" i="36"/>
  <c r="G140" i="36"/>
  <c r="F140" i="36"/>
  <c r="AQ140" i="36" s="1"/>
  <c r="BJ140" i="36" s="1"/>
  <c r="I139" i="36"/>
  <c r="AR139" i="36" s="1"/>
  <c r="BK139" i="36" s="1"/>
  <c r="H139" i="36"/>
  <c r="G139" i="36"/>
  <c r="F139" i="36"/>
  <c r="AQ139" i="36" s="1"/>
  <c r="BJ139" i="36" s="1"/>
  <c r="I137" i="36"/>
  <c r="AR137" i="36" s="1"/>
  <c r="BK137" i="36" s="1"/>
  <c r="H137" i="36"/>
  <c r="G137" i="36"/>
  <c r="F137" i="36"/>
  <c r="AQ137" i="36" s="1"/>
  <c r="BJ137" i="36" s="1"/>
  <c r="I136" i="36"/>
  <c r="AR136" i="36" s="1"/>
  <c r="BK136" i="36" s="1"/>
  <c r="H136" i="36"/>
  <c r="G136" i="36"/>
  <c r="F136" i="36"/>
  <c r="AQ136" i="36" s="1"/>
  <c r="BJ136" i="36" s="1"/>
  <c r="I134" i="36"/>
  <c r="AR134" i="36" s="1"/>
  <c r="BK134" i="36" s="1"/>
  <c r="H134" i="36"/>
  <c r="G134" i="36"/>
  <c r="F134" i="36"/>
  <c r="AQ134" i="36" s="1"/>
  <c r="BJ134" i="36" s="1"/>
  <c r="I133" i="36"/>
  <c r="AR133" i="36" s="1"/>
  <c r="BK133" i="36" s="1"/>
  <c r="H133" i="36"/>
  <c r="G133" i="36"/>
  <c r="F133" i="36"/>
  <c r="AQ133" i="36" s="1"/>
  <c r="BJ133" i="36" s="1"/>
  <c r="I131" i="36"/>
  <c r="AR131" i="36" s="1"/>
  <c r="BK131" i="36" s="1"/>
  <c r="H131" i="36"/>
  <c r="G131" i="36"/>
  <c r="F131" i="36"/>
  <c r="AQ131" i="36" s="1"/>
  <c r="BJ131" i="36" s="1"/>
  <c r="I130" i="36"/>
  <c r="AR130" i="36" s="1"/>
  <c r="BK130" i="36" s="1"/>
  <c r="H130" i="36"/>
  <c r="G130" i="36"/>
  <c r="F130" i="36"/>
  <c r="AQ130" i="36" s="1"/>
  <c r="BJ130" i="36" s="1"/>
  <c r="I128" i="36"/>
  <c r="AR128" i="36" s="1"/>
  <c r="BK128" i="36" s="1"/>
  <c r="H128" i="36"/>
  <c r="G128" i="36"/>
  <c r="F128" i="36"/>
  <c r="AQ128" i="36" s="1"/>
  <c r="BJ128" i="36" s="1"/>
  <c r="I127" i="36"/>
  <c r="AR127" i="36" s="1"/>
  <c r="BK127" i="36" s="1"/>
  <c r="H127" i="36"/>
  <c r="G127" i="36"/>
  <c r="F127" i="36"/>
  <c r="AQ127" i="36" s="1"/>
  <c r="BJ127" i="36" s="1"/>
  <c r="I125" i="36"/>
  <c r="AR125" i="36" s="1"/>
  <c r="BK125" i="36" s="1"/>
  <c r="H125" i="36"/>
  <c r="G125" i="36"/>
  <c r="F125" i="36"/>
  <c r="AQ125" i="36" s="1"/>
  <c r="BJ125" i="36" s="1"/>
  <c r="I124" i="36"/>
  <c r="AR124" i="36" s="1"/>
  <c r="BK124" i="36" s="1"/>
  <c r="H124" i="36"/>
  <c r="G124" i="36"/>
  <c r="F124" i="36"/>
  <c r="AQ124" i="36" s="1"/>
  <c r="BJ124" i="36" s="1"/>
  <c r="I122" i="36"/>
  <c r="AR122" i="36" s="1"/>
  <c r="BK122" i="36" s="1"/>
  <c r="H122" i="36"/>
  <c r="G122" i="36"/>
  <c r="F122" i="36"/>
  <c r="AQ122" i="36" s="1"/>
  <c r="BJ122" i="36" s="1"/>
  <c r="I121" i="36"/>
  <c r="AR121" i="36" s="1"/>
  <c r="BK121" i="36" s="1"/>
  <c r="H121" i="36"/>
  <c r="G121" i="36"/>
  <c r="F121" i="36"/>
  <c r="AQ121" i="36" s="1"/>
  <c r="BJ121" i="36" s="1"/>
  <c r="I119" i="36"/>
  <c r="AR119" i="36" s="1"/>
  <c r="BK119" i="36" s="1"/>
  <c r="H119" i="36"/>
  <c r="G119" i="36"/>
  <c r="F119" i="36"/>
  <c r="AQ119" i="36" s="1"/>
  <c r="BJ119" i="36" s="1"/>
  <c r="I118" i="36"/>
  <c r="AR118" i="36" s="1"/>
  <c r="BK118" i="36" s="1"/>
  <c r="H118" i="36"/>
  <c r="G118" i="36"/>
  <c r="F118" i="36"/>
  <c r="AQ118" i="36" s="1"/>
  <c r="BJ118" i="36" s="1"/>
  <c r="I116" i="36"/>
  <c r="AR116" i="36" s="1"/>
  <c r="BK116" i="36" s="1"/>
  <c r="H116" i="36"/>
  <c r="G116" i="36"/>
  <c r="F116" i="36"/>
  <c r="AQ116" i="36" s="1"/>
  <c r="BJ116" i="36" s="1"/>
  <c r="I115" i="36"/>
  <c r="AR115" i="36" s="1"/>
  <c r="BK115" i="36" s="1"/>
  <c r="H115" i="36"/>
  <c r="G115" i="36"/>
  <c r="F115" i="36"/>
  <c r="AQ115" i="36" s="1"/>
  <c r="BJ115" i="36" s="1"/>
  <c r="I113" i="36"/>
  <c r="AR113" i="36" s="1"/>
  <c r="BK113" i="36" s="1"/>
  <c r="H113" i="36"/>
  <c r="G113" i="36"/>
  <c r="F113" i="36"/>
  <c r="AQ113" i="36" s="1"/>
  <c r="BJ113" i="36" s="1"/>
  <c r="I112" i="36"/>
  <c r="AR112" i="36" s="1"/>
  <c r="BK112" i="36" s="1"/>
  <c r="H112" i="36"/>
  <c r="G112" i="36"/>
  <c r="F112" i="36"/>
  <c r="AQ112" i="36" s="1"/>
  <c r="BJ112" i="36" s="1"/>
  <c r="I110" i="36"/>
  <c r="AR110" i="36" s="1"/>
  <c r="BK110" i="36" s="1"/>
  <c r="H110" i="36"/>
  <c r="G110" i="36"/>
  <c r="F110" i="36"/>
  <c r="AQ110" i="36" s="1"/>
  <c r="BJ110" i="36" s="1"/>
  <c r="I109" i="36"/>
  <c r="AR109" i="36" s="1"/>
  <c r="BK109" i="36" s="1"/>
  <c r="H109" i="36"/>
  <c r="G109" i="36"/>
  <c r="F109" i="36"/>
  <c r="AQ109" i="36" s="1"/>
  <c r="BJ109" i="36" s="1"/>
  <c r="I107" i="36"/>
  <c r="AR107" i="36" s="1"/>
  <c r="BK107" i="36" s="1"/>
  <c r="H107" i="36"/>
  <c r="G107" i="36"/>
  <c r="F107" i="36"/>
  <c r="AQ107" i="36" s="1"/>
  <c r="BJ107" i="36" s="1"/>
  <c r="I106" i="36"/>
  <c r="AR106" i="36" s="1"/>
  <c r="BK106" i="36" s="1"/>
  <c r="H106" i="36"/>
  <c r="G106" i="36"/>
  <c r="F106" i="36"/>
  <c r="AQ106" i="36" s="1"/>
  <c r="BJ106" i="36" s="1"/>
  <c r="I104" i="36"/>
  <c r="AR104" i="36" s="1"/>
  <c r="BK104" i="36" s="1"/>
  <c r="H104" i="36"/>
  <c r="G104" i="36"/>
  <c r="F104" i="36"/>
  <c r="AQ104" i="36" s="1"/>
  <c r="BJ104" i="36" s="1"/>
  <c r="I103" i="36"/>
  <c r="AR103" i="36" s="1"/>
  <c r="BK103" i="36" s="1"/>
  <c r="H103" i="36"/>
  <c r="G103" i="36"/>
  <c r="F103" i="36"/>
  <c r="AQ103" i="36" s="1"/>
  <c r="BJ103" i="36" s="1"/>
  <c r="I101" i="36"/>
  <c r="AR101" i="36" s="1"/>
  <c r="BK101" i="36" s="1"/>
  <c r="H101" i="36"/>
  <c r="G101" i="36"/>
  <c r="F101" i="36"/>
  <c r="AQ101" i="36" s="1"/>
  <c r="BJ101" i="36" s="1"/>
  <c r="I100" i="36"/>
  <c r="AR100" i="36" s="1"/>
  <c r="BK100" i="36" s="1"/>
  <c r="H100" i="36"/>
  <c r="G100" i="36"/>
  <c r="F100" i="36"/>
  <c r="AQ100" i="36" s="1"/>
  <c r="BJ100" i="36" s="1"/>
  <c r="I98" i="36"/>
  <c r="AR98" i="36" s="1"/>
  <c r="BK98" i="36" s="1"/>
  <c r="H98" i="36"/>
  <c r="G98" i="36"/>
  <c r="F98" i="36"/>
  <c r="AQ98" i="36" s="1"/>
  <c r="BJ98" i="36" s="1"/>
  <c r="I97" i="36"/>
  <c r="AR97" i="36" s="1"/>
  <c r="BK97" i="36" s="1"/>
  <c r="H97" i="36"/>
  <c r="G97" i="36"/>
  <c r="F97" i="36"/>
  <c r="AQ97" i="36" s="1"/>
  <c r="BJ97" i="36" s="1"/>
  <c r="I95" i="36"/>
  <c r="AR95" i="36" s="1"/>
  <c r="BK95" i="36" s="1"/>
  <c r="H95" i="36"/>
  <c r="G95" i="36"/>
  <c r="F95" i="36"/>
  <c r="AQ95" i="36" s="1"/>
  <c r="BJ95" i="36" s="1"/>
  <c r="I94" i="36"/>
  <c r="AR94" i="36" s="1"/>
  <c r="BK94" i="36" s="1"/>
  <c r="H94" i="36"/>
  <c r="G94" i="36"/>
  <c r="F94" i="36"/>
  <c r="AQ94" i="36" s="1"/>
  <c r="BJ94" i="36" s="1"/>
  <c r="I92" i="36"/>
  <c r="AR92" i="36" s="1"/>
  <c r="BK92" i="36" s="1"/>
  <c r="H92" i="36"/>
  <c r="G92" i="36"/>
  <c r="F92" i="36"/>
  <c r="AQ92" i="36" s="1"/>
  <c r="BJ92" i="36" s="1"/>
  <c r="I91" i="36"/>
  <c r="AR91" i="36" s="1"/>
  <c r="BK91" i="36" s="1"/>
  <c r="H91" i="36"/>
  <c r="G91" i="36"/>
  <c r="F91" i="36"/>
  <c r="AQ91" i="36" s="1"/>
  <c r="BJ91" i="36" s="1"/>
  <c r="I89" i="36"/>
  <c r="AR89" i="36" s="1"/>
  <c r="BK89" i="36" s="1"/>
  <c r="H89" i="36"/>
  <c r="G89" i="36"/>
  <c r="F89" i="36"/>
  <c r="AQ89" i="36" s="1"/>
  <c r="BJ89" i="36" s="1"/>
  <c r="I88" i="36"/>
  <c r="AR88" i="36" s="1"/>
  <c r="BK88" i="36" s="1"/>
  <c r="H88" i="36"/>
  <c r="G88" i="36"/>
  <c r="F88" i="36"/>
  <c r="AQ88" i="36" s="1"/>
  <c r="BJ88" i="36" s="1"/>
  <c r="I86" i="36"/>
  <c r="AR86" i="36" s="1"/>
  <c r="BK86" i="36" s="1"/>
  <c r="H86" i="36"/>
  <c r="G86" i="36"/>
  <c r="F86" i="36"/>
  <c r="AQ86" i="36" s="1"/>
  <c r="BJ86" i="36" s="1"/>
  <c r="I85" i="36"/>
  <c r="AR85" i="36" s="1"/>
  <c r="BK85" i="36" s="1"/>
  <c r="H85" i="36"/>
  <c r="G85" i="36"/>
  <c r="F85" i="36"/>
  <c r="AQ85" i="36" s="1"/>
  <c r="BJ85" i="36" s="1"/>
  <c r="I83" i="36"/>
  <c r="AR83" i="36" s="1"/>
  <c r="BK83" i="36" s="1"/>
  <c r="H83" i="36"/>
  <c r="G83" i="36"/>
  <c r="F83" i="36"/>
  <c r="AQ83" i="36" s="1"/>
  <c r="BJ83" i="36" s="1"/>
  <c r="I82" i="36"/>
  <c r="AR82" i="36" s="1"/>
  <c r="BK82" i="36" s="1"/>
  <c r="H82" i="36"/>
  <c r="G82" i="36"/>
  <c r="F82" i="36"/>
  <c r="AQ82" i="36" s="1"/>
  <c r="BJ82" i="36" s="1"/>
  <c r="I80" i="36"/>
  <c r="AR80" i="36" s="1"/>
  <c r="BK80" i="36" s="1"/>
  <c r="H80" i="36"/>
  <c r="G80" i="36"/>
  <c r="F80" i="36"/>
  <c r="AQ80" i="36" s="1"/>
  <c r="BJ80" i="36" s="1"/>
  <c r="I79" i="36"/>
  <c r="AR79" i="36" s="1"/>
  <c r="BK79" i="36" s="1"/>
  <c r="H79" i="36"/>
  <c r="G79" i="36"/>
  <c r="F79" i="36"/>
  <c r="AQ79" i="36" s="1"/>
  <c r="BJ79" i="36" s="1"/>
  <c r="I77" i="36"/>
  <c r="AR77" i="36" s="1"/>
  <c r="BK77" i="36" s="1"/>
  <c r="H77" i="36"/>
  <c r="G77" i="36"/>
  <c r="F77" i="36"/>
  <c r="AQ77" i="36" s="1"/>
  <c r="BJ77" i="36" s="1"/>
  <c r="I76" i="36"/>
  <c r="AR76" i="36" s="1"/>
  <c r="BK76" i="36" s="1"/>
  <c r="H76" i="36"/>
  <c r="G76" i="36"/>
  <c r="F76" i="36"/>
  <c r="AQ76" i="36" s="1"/>
  <c r="BJ76" i="36" s="1"/>
  <c r="I74" i="36"/>
  <c r="AR74" i="36" s="1"/>
  <c r="BK74" i="36" s="1"/>
  <c r="H74" i="36"/>
  <c r="G74" i="36"/>
  <c r="F74" i="36"/>
  <c r="AQ74" i="36" s="1"/>
  <c r="BJ74" i="36" s="1"/>
  <c r="I73" i="36"/>
  <c r="AR73" i="36" s="1"/>
  <c r="BK73" i="36" s="1"/>
  <c r="H73" i="36"/>
  <c r="G73" i="36"/>
  <c r="F73" i="36"/>
  <c r="AQ73" i="36" s="1"/>
  <c r="BJ73" i="36" s="1"/>
  <c r="I71" i="36"/>
  <c r="AR71" i="36" s="1"/>
  <c r="BK71" i="36" s="1"/>
  <c r="H71" i="36"/>
  <c r="G71" i="36"/>
  <c r="F71" i="36"/>
  <c r="AQ71" i="36" s="1"/>
  <c r="BJ71" i="36" s="1"/>
  <c r="I70" i="36"/>
  <c r="AR70" i="36" s="1"/>
  <c r="BK70" i="36" s="1"/>
  <c r="H70" i="36"/>
  <c r="G70" i="36"/>
  <c r="F70" i="36"/>
  <c r="AQ70" i="36" s="1"/>
  <c r="BJ70" i="36" s="1"/>
  <c r="AL263" i="36"/>
  <c r="AK263" i="36"/>
  <c r="AJ263" i="36"/>
  <c r="AI263" i="36"/>
  <c r="AH263" i="36"/>
  <c r="AG263" i="36"/>
  <c r="AF263" i="36"/>
  <c r="AE263" i="36"/>
  <c r="AD263" i="36"/>
  <c r="AC263" i="36"/>
  <c r="AB263" i="36"/>
  <c r="AA263" i="36"/>
  <c r="Z263" i="36"/>
  <c r="Y263" i="36"/>
  <c r="X263" i="36"/>
  <c r="W263" i="36"/>
  <c r="AL260" i="36"/>
  <c r="AK260" i="36"/>
  <c r="AJ260" i="36"/>
  <c r="AI260" i="36"/>
  <c r="AH260" i="36"/>
  <c r="AG260" i="36"/>
  <c r="AF260" i="36"/>
  <c r="AE260" i="36"/>
  <c r="AD260" i="36"/>
  <c r="AC260" i="36"/>
  <c r="AB260" i="36"/>
  <c r="AA260" i="36"/>
  <c r="Z260" i="36"/>
  <c r="Y260" i="36"/>
  <c r="X260" i="36"/>
  <c r="W260" i="36"/>
  <c r="AL257" i="36"/>
  <c r="AK257" i="36"/>
  <c r="AJ257" i="36"/>
  <c r="AI257" i="36"/>
  <c r="AH257" i="36"/>
  <c r="AG257" i="36"/>
  <c r="AF257" i="36"/>
  <c r="AE257" i="36"/>
  <c r="AD257" i="36"/>
  <c r="AC257" i="36"/>
  <c r="AB257" i="36"/>
  <c r="AA257" i="36"/>
  <c r="Z257" i="36"/>
  <c r="Y257" i="36"/>
  <c r="X257" i="36"/>
  <c r="W257" i="36"/>
  <c r="AL254" i="36"/>
  <c r="AK254" i="36"/>
  <c r="AJ254" i="36"/>
  <c r="AI254" i="36"/>
  <c r="AH254" i="36"/>
  <c r="AG254" i="36"/>
  <c r="AF254" i="36"/>
  <c r="AE254" i="36"/>
  <c r="AD254" i="36"/>
  <c r="AC254" i="36"/>
  <c r="AB254" i="36"/>
  <c r="AA254" i="36"/>
  <c r="Z254" i="36"/>
  <c r="Y254" i="36"/>
  <c r="X254" i="36"/>
  <c r="W254" i="36"/>
  <c r="AL251" i="36"/>
  <c r="AK251" i="36"/>
  <c r="AJ251" i="36"/>
  <c r="AI251" i="36"/>
  <c r="AH251" i="36"/>
  <c r="AG251" i="36"/>
  <c r="AF251" i="36"/>
  <c r="AE251" i="36"/>
  <c r="AD251" i="36"/>
  <c r="AC251" i="36"/>
  <c r="AB251" i="36"/>
  <c r="AA251" i="36"/>
  <c r="Z251" i="36"/>
  <c r="Y251" i="36"/>
  <c r="X251" i="36"/>
  <c r="W251" i="36"/>
  <c r="AL248" i="36"/>
  <c r="AK248" i="36"/>
  <c r="AJ248" i="36"/>
  <c r="AI248" i="36"/>
  <c r="AH248" i="36"/>
  <c r="AG248" i="36"/>
  <c r="AF248" i="36"/>
  <c r="AE248" i="36"/>
  <c r="AD248" i="36"/>
  <c r="AC248" i="36"/>
  <c r="AB248" i="36"/>
  <c r="AA248" i="36"/>
  <c r="Z248" i="36"/>
  <c r="Y248" i="36"/>
  <c r="X248" i="36"/>
  <c r="W248" i="36"/>
  <c r="AL245" i="36"/>
  <c r="AK245" i="36"/>
  <c r="AJ245" i="36"/>
  <c r="AI245" i="36"/>
  <c r="AH245" i="36"/>
  <c r="AG245" i="36"/>
  <c r="AF245" i="36"/>
  <c r="AE245" i="36"/>
  <c r="AD245" i="36"/>
  <c r="AC245" i="36"/>
  <c r="AB245" i="36"/>
  <c r="AA245" i="36"/>
  <c r="Z245" i="36"/>
  <c r="Y245" i="36"/>
  <c r="X245" i="36"/>
  <c r="W245" i="36"/>
  <c r="AL242" i="36"/>
  <c r="AK242" i="36"/>
  <c r="AJ242" i="36"/>
  <c r="AI242" i="36"/>
  <c r="AH242" i="36"/>
  <c r="AG242" i="36"/>
  <c r="AF242" i="36"/>
  <c r="AE242" i="36"/>
  <c r="AD242" i="36"/>
  <c r="AC242" i="36"/>
  <c r="AB242" i="36"/>
  <c r="AA242" i="36"/>
  <c r="Z242" i="36"/>
  <c r="Y242" i="36"/>
  <c r="X242" i="36"/>
  <c r="W242" i="36"/>
  <c r="AL239" i="36"/>
  <c r="AK239" i="36"/>
  <c r="AJ239" i="36"/>
  <c r="AI239" i="36"/>
  <c r="AH239" i="36"/>
  <c r="AG239" i="36"/>
  <c r="AF239" i="36"/>
  <c r="AE239" i="36"/>
  <c r="AD239" i="36"/>
  <c r="AC239" i="36"/>
  <c r="AB239" i="36"/>
  <c r="AA239" i="36"/>
  <c r="Z239" i="36"/>
  <c r="Y239" i="36"/>
  <c r="X239" i="36"/>
  <c r="W239" i="36"/>
  <c r="AL236" i="36"/>
  <c r="AK236" i="36"/>
  <c r="AJ236" i="36"/>
  <c r="AI236" i="36"/>
  <c r="AH236" i="36"/>
  <c r="AG236" i="36"/>
  <c r="AF236" i="36"/>
  <c r="AE236" i="36"/>
  <c r="AD236" i="36"/>
  <c r="AC236" i="36"/>
  <c r="AB236" i="36"/>
  <c r="AA236" i="36"/>
  <c r="Z236" i="36"/>
  <c r="Y236" i="36"/>
  <c r="X236" i="36"/>
  <c r="W236" i="36"/>
  <c r="AL233" i="36"/>
  <c r="AK233" i="36"/>
  <c r="AJ233" i="36"/>
  <c r="AI233" i="36"/>
  <c r="AH233" i="36"/>
  <c r="AG233" i="36"/>
  <c r="AF233" i="36"/>
  <c r="AE233" i="36"/>
  <c r="AD233" i="36"/>
  <c r="AC233" i="36"/>
  <c r="AB233" i="36"/>
  <c r="AA233" i="36"/>
  <c r="Z233" i="36"/>
  <c r="Y233" i="36"/>
  <c r="X233" i="36"/>
  <c r="W233" i="36"/>
  <c r="AL230" i="36"/>
  <c r="AK230" i="36"/>
  <c r="AJ230" i="36"/>
  <c r="AI230" i="36"/>
  <c r="AH230" i="36"/>
  <c r="AG230" i="36"/>
  <c r="AF230" i="36"/>
  <c r="AE230" i="36"/>
  <c r="AD230" i="36"/>
  <c r="AC230" i="36"/>
  <c r="AB230" i="36"/>
  <c r="AA230" i="36"/>
  <c r="Z230" i="36"/>
  <c r="Y230" i="36"/>
  <c r="X230" i="36"/>
  <c r="W230" i="36"/>
  <c r="AL227" i="36"/>
  <c r="AK227" i="36"/>
  <c r="AJ227" i="36"/>
  <c r="AI227" i="36"/>
  <c r="AH227" i="36"/>
  <c r="AG227" i="36"/>
  <c r="AF227" i="36"/>
  <c r="AE227" i="36"/>
  <c r="AD227" i="36"/>
  <c r="AC227" i="36"/>
  <c r="AB227" i="36"/>
  <c r="AA227" i="36"/>
  <c r="Z227" i="36"/>
  <c r="Y227" i="36"/>
  <c r="X227" i="36"/>
  <c r="W227" i="36"/>
  <c r="AL224" i="36"/>
  <c r="AK224" i="36"/>
  <c r="AJ224" i="36"/>
  <c r="AI224" i="36"/>
  <c r="AH224" i="36"/>
  <c r="AG224" i="36"/>
  <c r="AF224" i="36"/>
  <c r="AE224" i="36"/>
  <c r="AD224" i="36"/>
  <c r="AC224" i="36"/>
  <c r="AB224" i="36"/>
  <c r="AA224" i="36"/>
  <c r="Z224" i="36"/>
  <c r="Y224" i="36"/>
  <c r="X224" i="36"/>
  <c r="W224" i="36"/>
  <c r="AL221" i="36"/>
  <c r="AK221" i="36"/>
  <c r="AJ221" i="36"/>
  <c r="AI221" i="36"/>
  <c r="AH221" i="36"/>
  <c r="AG221" i="36"/>
  <c r="AF221" i="36"/>
  <c r="AE221" i="36"/>
  <c r="AD221" i="36"/>
  <c r="AC221" i="36"/>
  <c r="AB221" i="36"/>
  <c r="AA221" i="36"/>
  <c r="Z221" i="36"/>
  <c r="Y221" i="36"/>
  <c r="X221" i="36"/>
  <c r="W221" i="36"/>
  <c r="AL218" i="36"/>
  <c r="AK218" i="36"/>
  <c r="AJ218" i="36"/>
  <c r="AI218" i="36"/>
  <c r="AH218" i="36"/>
  <c r="AG218" i="36"/>
  <c r="AF218" i="36"/>
  <c r="AE218" i="36"/>
  <c r="AD218" i="36"/>
  <c r="AC218" i="36"/>
  <c r="AB218" i="36"/>
  <c r="AA218" i="36"/>
  <c r="Z218" i="36"/>
  <c r="Y218" i="36"/>
  <c r="X218" i="36"/>
  <c r="W218" i="36"/>
  <c r="AL215" i="36"/>
  <c r="AK215" i="36"/>
  <c r="AJ215" i="36"/>
  <c r="AI215" i="36"/>
  <c r="AH215" i="36"/>
  <c r="AG215" i="36"/>
  <c r="AF215" i="36"/>
  <c r="AE215" i="36"/>
  <c r="AD215" i="36"/>
  <c r="AC215" i="36"/>
  <c r="AB215" i="36"/>
  <c r="AA215" i="36"/>
  <c r="Z215" i="36"/>
  <c r="Y215" i="36"/>
  <c r="X215" i="36"/>
  <c r="W215" i="36"/>
  <c r="AL212" i="36"/>
  <c r="AK212" i="36"/>
  <c r="AJ212" i="36"/>
  <c r="AI212" i="36"/>
  <c r="AH212" i="36"/>
  <c r="AG212" i="36"/>
  <c r="AF212" i="36"/>
  <c r="AE212" i="36"/>
  <c r="AD212" i="36"/>
  <c r="AC212" i="36"/>
  <c r="AB212" i="36"/>
  <c r="AA212" i="36"/>
  <c r="Z212" i="36"/>
  <c r="Y212" i="36"/>
  <c r="X212" i="36"/>
  <c r="W212" i="36"/>
  <c r="AL209" i="36"/>
  <c r="AK209" i="36"/>
  <c r="AJ209" i="36"/>
  <c r="AI209" i="36"/>
  <c r="AH209" i="36"/>
  <c r="AG209" i="36"/>
  <c r="AF209" i="36"/>
  <c r="AE209" i="36"/>
  <c r="AD209" i="36"/>
  <c r="AC209" i="36"/>
  <c r="AB209" i="36"/>
  <c r="AA209" i="36"/>
  <c r="Z209" i="36"/>
  <c r="Y209" i="36"/>
  <c r="X209" i="36"/>
  <c r="W209" i="36"/>
  <c r="AL206" i="36"/>
  <c r="AK206" i="36"/>
  <c r="AJ206" i="36"/>
  <c r="AI206" i="36"/>
  <c r="AH206" i="36"/>
  <c r="AG206" i="36"/>
  <c r="AF206" i="36"/>
  <c r="AE206" i="36"/>
  <c r="AD206" i="36"/>
  <c r="AC206" i="36"/>
  <c r="AB206" i="36"/>
  <c r="AA206" i="36"/>
  <c r="Z206" i="36"/>
  <c r="Y206" i="36"/>
  <c r="X206" i="36"/>
  <c r="W206" i="36"/>
  <c r="AL203" i="36"/>
  <c r="AK203" i="36"/>
  <c r="AJ203" i="36"/>
  <c r="AI203" i="36"/>
  <c r="AH203" i="36"/>
  <c r="AG203" i="36"/>
  <c r="AF203" i="36"/>
  <c r="AE203" i="36"/>
  <c r="AD203" i="36"/>
  <c r="AC203" i="36"/>
  <c r="AB203" i="36"/>
  <c r="AA203" i="36"/>
  <c r="Z203" i="36"/>
  <c r="Y203" i="36"/>
  <c r="X203" i="36"/>
  <c r="W203" i="36"/>
  <c r="AL200" i="36"/>
  <c r="AK200" i="36"/>
  <c r="AJ200" i="36"/>
  <c r="AI200" i="36"/>
  <c r="AH200" i="36"/>
  <c r="AG200" i="36"/>
  <c r="AF200" i="36"/>
  <c r="AE200" i="36"/>
  <c r="AD200" i="36"/>
  <c r="AC200" i="36"/>
  <c r="AB200" i="36"/>
  <c r="AA200" i="36"/>
  <c r="Z200" i="36"/>
  <c r="Y200" i="36"/>
  <c r="X200" i="36"/>
  <c r="W200" i="36"/>
  <c r="AL197" i="36"/>
  <c r="AK197" i="36"/>
  <c r="AJ197" i="36"/>
  <c r="AI197" i="36"/>
  <c r="AH197" i="36"/>
  <c r="AG197" i="36"/>
  <c r="AF197" i="36"/>
  <c r="AE197" i="36"/>
  <c r="AD197" i="36"/>
  <c r="AC197" i="36"/>
  <c r="AB197" i="36"/>
  <c r="AA197" i="36"/>
  <c r="Z197" i="36"/>
  <c r="Y197" i="36"/>
  <c r="X197" i="36"/>
  <c r="W197" i="36"/>
  <c r="AL194" i="36"/>
  <c r="AK194" i="36"/>
  <c r="AJ194" i="36"/>
  <c r="AI194" i="36"/>
  <c r="AH194" i="36"/>
  <c r="AG194" i="36"/>
  <c r="AF194" i="36"/>
  <c r="AE194" i="36"/>
  <c r="AD194" i="36"/>
  <c r="AC194" i="36"/>
  <c r="AB194" i="36"/>
  <c r="AA194" i="36"/>
  <c r="Z194" i="36"/>
  <c r="Y194" i="36"/>
  <c r="X194" i="36"/>
  <c r="W194" i="36"/>
  <c r="AL191" i="36"/>
  <c r="AK191" i="36"/>
  <c r="AJ191" i="36"/>
  <c r="AI191" i="36"/>
  <c r="AH191" i="36"/>
  <c r="AG191" i="36"/>
  <c r="AF191" i="36"/>
  <c r="AE191" i="36"/>
  <c r="AD191" i="36"/>
  <c r="AC191" i="36"/>
  <c r="AB191" i="36"/>
  <c r="AA191" i="36"/>
  <c r="Z191" i="36"/>
  <c r="Y191" i="36"/>
  <c r="X191" i="36"/>
  <c r="W191" i="36"/>
  <c r="AL188" i="36"/>
  <c r="AK188" i="36"/>
  <c r="AJ188" i="36"/>
  <c r="AI188" i="36"/>
  <c r="AH188" i="36"/>
  <c r="AG188" i="36"/>
  <c r="AF188" i="36"/>
  <c r="AE188" i="36"/>
  <c r="AD188" i="36"/>
  <c r="AC188" i="36"/>
  <c r="AB188" i="36"/>
  <c r="AA188" i="36"/>
  <c r="Z188" i="36"/>
  <c r="Y188" i="36"/>
  <c r="X188" i="36"/>
  <c r="W188" i="36"/>
  <c r="AL185" i="36"/>
  <c r="AK185" i="36"/>
  <c r="AJ185" i="36"/>
  <c r="AI185" i="36"/>
  <c r="AH185" i="36"/>
  <c r="AG185" i="36"/>
  <c r="AF185" i="36"/>
  <c r="AE185" i="36"/>
  <c r="AD185" i="36"/>
  <c r="AC185" i="36"/>
  <c r="AB185" i="36"/>
  <c r="AA185" i="36"/>
  <c r="Z185" i="36"/>
  <c r="Y185" i="36"/>
  <c r="X185" i="36"/>
  <c r="W185" i="36"/>
  <c r="AL182" i="36"/>
  <c r="AK182" i="36"/>
  <c r="AJ182" i="36"/>
  <c r="AI182" i="36"/>
  <c r="AH182" i="36"/>
  <c r="AG182" i="36"/>
  <c r="AF182" i="36"/>
  <c r="AE182" i="36"/>
  <c r="AD182" i="36"/>
  <c r="AC182" i="36"/>
  <c r="AB182" i="36"/>
  <c r="AA182" i="36"/>
  <c r="Z182" i="36"/>
  <c r="Y182" i="36"/>
  <c r="X182" i="36"/>
  <c r="W182" i="36"/>
  <c r="AL179" i="36"/>
  <c r="AK179" i="36"/>
  <c r="AJ179" i="36"/>
  <c r="AI179" i="36"/>
  <c r="AH179" i="36"/>
  <c r="AG179" i="36"/>
  <c r="AF179" i="36"/>
  <c r="AE179" i="36"/>
  <c r="AD179" i="36"/>
  <c r="AC179" i="36"/>
  <c r="AB179" i="36"/>
  <c r="AA179" i="36"/>
  <c r="Z179" i="36"/>
  <c r="Y179" i="36"/>
  <c r="X179" i="36"/>
  <c r="W179" i="36"/>
  <c r="AL176" i="36"/>
  <c r="AK176" i="36"/>
  <c r="AJ176" i="36"/>
  <c r="AI176" i="36"/>
  <c r="AH176" i="36"/>
  <c r="AG176" i="36"/>
  <c r="AF176" i="36"/>
  <c r="AE176" i="36"/>
  <c r="AD176" i="36"/>
  <c r="AC176" i="36"/>
  <c r="AB176" i="36"/>
  <c r="AA176" i="36"/>
  <c r="Z176" i="36"/>
  <c r="Y176" i="36"/>
  <c r="X176" i="36"/>
  <c r="W176" i="36"/>
  <c r="AL173" i="36"/>
  <c r="AK173" i="36"/>
  <c r="AJ173" i="36"/>
  <c r="AI173" i="36"/>
  <c r="AH173" i="36"/>
  <c r="AG173" i="36"/>
  <c r="AF173" i="36"/>
  <c r="AE173" i="36"/>
  <c r="AD173" i="36"/>
  <c r="AC173" i="36"/>
  <c r="AB173" i="36"/>
  <c r="AA173" i="36"/>
  <c r="Z173" i="36"/>
  <c r="Y173" i="36"/>
  <c r="X173" i="36"/>
  <c r="W173" i="36"/>
  <c r="AL170" i="36"/>
  <c r="AK170" i="36"/>
  <c r="AJ170" i="36"/>
  <c r="AI170" i="36"/>
  <c r="AH170" i="36"/>
  <c r="AG170" i="36"/>
  <c r="AF170" i="36"/>
  <c r="AE170" i="36"/>
  <c r="AD170" i="36"/>
  <c r="AC170" i="36"/>
  <c r="AB170" i="36"/>
  <c r="AA170" i="36"/>
  <c r="Z170" i="36"/>
  <c r="Y170" i="36"/>
  <c r="X170" i="36"/>
  <c r="W170" i="36"/>
  <c r="AL167" i="36"/>
  <c r="AK167" i="36"/>
  <c r="AJ167" i="36"/>
  <c r="AI167" i="36"/>
  <c r="AH167" i="36"/>
  <c r="AG167" i="36"/>
  <c r="AF167" i="36"/>
  <c r="AE167" i="36"/>
  <c r="AD167" i="36"/>
  <c r="AC167" i="36"/>
  <c r="AB167" i="36"/>
  <c r="AA167" i="36"/>
  <c r="Z167" i="36"/>
  <c r="Y167" i="36"/>
  <c r="X167" i="36"/>
  <c r="W167" i="36"/>
  <c r="AL164" i="36"/>
  <c r="AK164" i="36"/>
  <c r="AJ164" i="36"/>
  <c r="AI164" i="36"/>
  <c r="AH164" i="36"/>
  <c r="AG164" i="36"/>
  <c r="AF164" i="36"/>
  <c r="AE164" i="36"/>
  <c r="AD164" i="36"/>
  <c r="AC164" i="36"/>
  <c r="AB164" i="36"/>
  <c r="AA164" i="36"/>
  <c r="Z164" i="36"/>
  <c r="Y164" i="36"/>
  <c r="X164" i="36"/>
  <c r="W164" i="36"/>
  <c r="AL161" i="36"/>
  <c r="AK161" i="36"/>
  <c r="AJ161" i="36"/>
  <c r="AI161" i="36"/>
  <c r="AH161" i="36"/>
  <c r="AG161" i="36"/>
  <c r="AF161" i="36"/>
  <c r="AE161" i="36"/>
  <c r="AD161" i="36"/>
  <c r="AC161" i="36"/>
  <c r="AB161" i="36"/>
  <c r="AA161" i="36"/>
  <c r="Z161" i="36"/>
  <c r="Y161" i="36"/>
  <c r="X161" i="36"/>
  <c r="W161" i="36"/>
  <c r="AL158" i="36"/>
  <c r="AK158" i="36"/>
  <c r="AJ158" i="36"/>
  <c r="AI158" i="36"/>
  <c r="AH158" i="36"/>
  <c r="AG158" i="36"/>
  <c r="AF158" i="36"/>
  <c r="AE158" i="36"/>
  <c r="AD158" i="36"/>
  <c r="AC158" i="36"/>
  <c r="AB158" i="36"/>
  <c r="AA158" i="36"/>
  <c r="Z158" i="36"/>
  <c r="Y158" i="36"/>
  <c r="X158" i="36"/>
  <c r="W158" i="36"/>
  <c r="AL155" i="36"/>
  <c r="AK155" i="36"/>
  <c r="AJ155" i="36"/>
  <c r="AI155" i="36"/>
  <c r="AH155" i="36"/>
  <c r="AG155" i="36"/>
  <c r="AF155" i="36"/>
  <c r="AE155" i="36"/>
  <c r="AD155" i="36"/>
  <c r="AC155" i="36"/>
  <c r="AB155" i="36"/>
  <c r="AA155" i="36"/>
  <c r="Z155" i="36"/>
  <c r="Y155" i="36"/>
  <c r="X155" i="36"/>
  <c r="W155" i="36"/>
  <c r="AL152" i="36"/>
  <c r="AK152" i="36"/>
  <c r="AJ152" i="36"/>
  <c r="AI152" i="36"/>
  <c r="AH152" i="36"/>
  <c r="AG152" i="36"/>
  <c r="AF152" i="36"/>
  <c r="AE152" i="36"/>
  <c r="AD152" i="36"/>
  <c r="AC152" i="36"/>
  <c r="AB152" i="36"/>
  <c r="AA152" i="36"/>
  <c r="Z152" i="36"/>
  <c r="Y152" i="36"/>
  <c r="X152" i="36"/>
  <c r="W152" i="36"/>
  <c r="AL149" i="36"/>
  <c r="AK149" i="36"/>
  <c r="AJ149" i="36"/>
  <c r="AI149" i="36"/>
  <c r="AH149" i="36"/>
  <c r="AG149" i="36"/>
  <c r="AF149" i="36"/>
  <c r="AE149" i="36"/>
  <c r="AD149" i="36"/>
  <c r="AC149" i="36"/>
  <c r="AB149" i="36"/>
  <c r="AA149" i="36"/>
  <c r="Z149" i="36"/>
  <c r="Y149" i="36"/>
  <c r="X149" i="36"/>
  <c r="W149" i="36"/>
  <c r="AL146" i="36"/>
  <c r="AK146" i="36"/>
  <c r="AJ146" i="36"/>
  <c r="AI146" i="36"/>
  <c r="AH146" i="36"/>
  <c r="AG146" i="36"/>
  <c r="AF146" i="36"/>
  <c r="AE146" i="36"/>
  <c r="AD146" i="36"/>
  <c r="AC146" i="36"/>
  <c r="AB146" i="36"/>
  <c r="AA146" i="36"/>
  <c r="Z146" i="36"/>
  <c r="Y146" i="36"/>
  <c r="X146" i="36"/>
  <c r="W146" i="36"/>
  <c r="AL143" i="36"/>
  <c r="AK143" i="36"/>
  <c r="AJ143" i="36"/>
  <c r="AI143" i="36"/>
  <c r="AH143" i="36"/>
  <c r="AG143" i="36"/>
  <c r="AF143" i="36"/>
  <c r="AE143" i="36"/>
  <c r="AD143" i="36"/>
  <c r="AC143" i="36"/>
  <c r="AB143" i="36"/>
  <c r="AA143" i="36"/>
  <c r="Z143" i="36"/>
  <c r="Y143" i="36"/>
  <c r="X143" i="36"/>
  <c r="W143" i="36"/>
  <c r="AL140" i="36"/>
  <c r="AK140" i="36"/>
  <c r="AJ140" i="36"/>
  <c r="AI140" i="36"/>
  <c r="AH140" i="36"/>
  <c r="AG140" i="36"/>
  <c r="AF140" i="36"/>
  <c r="AE140" i="36"/>
  <c r="AD140" i="36"/>
  <c r="AC140" i="36"/>
  <c r="AB140" i="36"/>
  <c r="AA140" i="36"/>
  <c r="Z140" i="36"/>
  <c r="Y140" i="36"/>
  <c r="X140" i="36"/>
  <c r="W140" i="36"/>
  <c r="AL137" i="36"/>
  <c r="AK137" i="36"/>
  <c r="AJ137" i="36"/>
  <c r="AI137" i="36"/>
  <c r="AH137" i="36"/>
  <c r="AG137" i="36"/>
  <c r="AF137" i="36"/>
  <c r="AE137" i="36"/>
  <c r="AD137" i="36"/>
  <c r="AC137" i="36"/>
  <c r="AB137" i="36"/>
  <c r="AA137" i="36"/>
  <c r="Z137" i="36"/>
  <c r="Y137" i="36"/>
  <c r="X137" i="36"/>
  <c r="W137" i="36"/>
  <c r="AL134" i="36"/>
  <c r="AK134" i="36"/>
  <c r="AJ134" i="36"/>
  <c r="AI134" i="36"/>
  <c r="AH134" i="36"/>
  <c r="AG134" i="36"/>
  <c r="AF134" i="36"/>
  <c r="AE134" i="36"/>
  <c r="AD134" i="36"/>
  <c r="AC134" i="36"/>
  <c r="AB134" i="36"/>
  <c r="AA134" i="36"/>
  <c r="Z134" i="36"/>
  <c r="Y134" i="36"/>
  <c r="X134" i="36"/>
  <c r="W134" i="36"/>
  <c r="AL131" i="36"/>
  <c r="AK131" i="36"/>
  <c r="AJ131" i="36"/>
  <c r="AI131" i="36"/>
  <c r="AH131" i="36"/>
  <c r="AG131" i="36"/>
  <c r="AF131" i="36"/>
  <c r="AE131" i="36"/>
  <c r="AD131" i="36"/>
  <c r="AC131" i="36"/>
  <c r="AB131" i="36"/>
  <c r="AA131" i="36"/>
  <c r="Z131" i="36"/>
  <c r="Y131" i="36"/>
  <c r="X131" i="36"/>
  <c r="W131" i="36"/>
  <c r="AL128" i="36"/>
  <c r="AK128" i="36"/>
  <c r="AJ128" i="36"/>
  <c r="AI128" i="36"/>
  <c r="AH128" i="36"/>
  <c r="AG128" i="36"/>
  <c r="AF128" i="36"/>
  <c r="AE128" i="36"/>
  <c r="AD128" i="36"/>
  <c r="AC128" i="36"/>
  <c r="AB128" i="36"/>
  <c r="AA128" i="36"/>
  <c r="Z128" i="36"/>
  <c r="Y128" i="36"/>
  <c r="X128" i="36"/>
  <c r="W128" i="36"/>
  <c r="AL125" i="36"/>
  <c r="AK125" i="36"/>
  <c r="AJ125" i="36"/>
  <c r="AI125" i="36"/>
  <c r="AH125" i="36"/>
  <c r="AG125" i="36"/>
  <c r="AF125" i="36"/>
  <c r="AE125" i="36"/>
  <c r="AD125" i="36"/>
  <c r="AC125" i="36"/>
  <c r="AB125" i="36"/>
  <c r="AA125" i="36"/>
  <c r="Z125" i="36"/>
  <c r="Y125" i="36"/>
  <c r="X125" i="36"/>
  <c r="W125" i="36"/>
  <c r="AL122" i="36"/>
  <c r="AK122" i="36"/>
  <c r="AJ122" i="36"/>
  <c r="AI122" i="36"/>
  <c r="AH122" i="36"/>
  <c r="AG122" i="36"/>
  <c r="AF122" i="36"/>
  <c r="AE122" i="36"/>
  <c r="AD122" i="36"/>
  <c r="AC122" i="36"/>
  <c r="AB122" i="36"/>
  <c r="AA122" i="36"/>
  <c r="Z122" i="36"/>
  <c r="Y122" i="36"/>
  <c r="X122" i="36"/>
  <c r="W122" i="36"/>
  <c r="AL119" i="36"/>
  <c r="AK119" i="36"/>
  <c r="AJ119" i="36"/>
  <c r="AI119" i="36"/>
  <c r="AH119" i="36"/>
  <c r="AG119" i="36"/>
  <c r="AF119" i="36"/>
  <c r="AE119" i="36"/>
  <c r="AD119" i="36"/>
  <c r="AC119" i="36"/>
  <c r="AB119" i="36"/>
  <c r="AA119" i="36"/>
  <c r="Z119" i="36"/>
  <c r="Y119" i="36"/>
  <c r="X119" i="36"/>
  <c r="W119" i="36"/>
  <c r="AL116" i="36"/>
  <c r="AK116" i="36"/>
  <c r="AJ116" i="36"/>
  <c r="AI116" i="36"/>
  <c r="AH116" i="36"/>
  <c r="AG116" i="36"/>
  <c r="AF116" i="36"/>
  <c r="AE116" i="36"/>
  <c r="AD116" i="36"/>
  <c r="AC116" i="36"/>
  <c r="AB116" i="36"/>
  <c r="AA116" i="36"/>
  <c r="Z116" i="36"/>
  <c r="Y116" i="36"/>
  <c r="X116" i="36"/>
  <c r="W116" i="36"/>
  <c r="AL113" i="36"/>
  <c r="AK113" i="36"/>
  <c r="AJ113" i="36"/>
  <c r="AI113" i="36"/>
  <c r="AH113" i="36"/>
  <c r="AG113" i="36"/>
  <c r="AF113" i="36"/>
  <c r="AE113" i="36"/>
  <c r="AD113" i="36"/>
  <c r="AC113" i="36"/>
  <c r="AB113" i="36"/>
  <c r="AA113" i="36"/>
  <c r="Z113" i="36"/>
  <c r="Y113" i="36"/>
  <c r="X113" i="36"/>
  <c r="W113" i="36"/>
  <c r="AL110" i="36"/>
  <c r="AK110" i="36"/>
  <c r="AJ110" i="36"/>
  <c r="AI110" i="36"/>
  <c r="AH110" i="36"/>
  <c r="AG110" i="36"/>
  <c r="AF110" i="36"/>
  <c r="AE110" i="36"/>
  <c r="AD110" i="36"/>
  <c r="AC110" i="36"/>
  <c r="AB110" i="36"/>
  <c r="AA110" i="36"/>
  <c r="Z110" i="36"/>
  <c r="Y110" i="36"/>
  <c r="X110" i="36"/>
  <c r="W110" i="36"/>
  <c r="AL107" i="36"/>
  <c r="AK107" i="36"/>
  <c r="AJ107" i="36"/>
  <c r="AI107" i="36"/>
  <c r="AH107" i="36"/>
  <c r="AG107" i="36"/>
  <c r="AF107" i="36"/>
  <c r="AE107" i="36"/>
  <c r="AD107" i="36"/>
  <c r="AC107" i="36"/>
  <c r="AB107" i="36"/>
  <c r="AA107" i="36"/>
  <c r="Z107" i="36"/>
  <c r="Y107" i="36"/>
  <c r="X107" i="36"/>
  <c r="W107" i="36"/>
  <c r="AL104" i="36"/>
  <c r="AK104" i="36"/>
  <c r="AJ104" i="36"/>
  <c r="AI104" i="36"/>
  <c r="AH104" i="36"/>
  <c r="AG104" i="36"/>
  <c r="AF104" i="36"/>
  <c r="AE104" i="36"/>
  <c r="AD104" i="36"/>
  <c r="AC104" i="36"/>
  <c r="AB104" i="36"/>
  <c r="AA104" i="36"/>
  <c r="Z104" i="36"/>
  <c r="Y104" i="36"/>
  <c r="X104" i="36"/>
  <c r="W104" i="36"/>
  <c r="AL101" i="36"/>
  <c r="AK101" i="36"/>
  <c r="AJ101" i="36"/>
  <c r="AI101" i="36"/>
  <c r="AH101" i="36"/>
  <c r="AG101" i="36"/>
  <c r="AF101" i="36"/>
  <c r="AE101" i="36"/>
  <c r="AD101" i="36"/>
  <c r="AC101" i="36"/>
  <c r="AB101" i="36"/>
  <c r="AA101" i="36"/>
  <c r="Z101" i="36"/>
  <c r="Y101" i="36"/>
  <c r="X101" i="36"/>
  <c r="W101" i="36"/>
  <c r="AL98" i="36"/>
  <c r="AK98" i="36"/>
  <c r="AJ98" i="36"/>
  <c r="AI98" i="36"/>
  <c r="AH98" i="36"/>
  <c r="AG98" i="36"/>
  <c r="AF98" i="36"/>
  <c r="AE98" i="36"/>
  <c r="AD98" i="36"/>
  <c r="AC98" i="36"/>
  <c r="AB98" i="36"/>
  <c r="AA98" i="36"/>
  <c r="Z98" i="36"/>
  <c r="Y98" i="36"/>
  <c r="X98" i="36"/>
  <c r="W98" i="36"/>
  <c r="AL95" i="36"/>
  <c r="AK95" i="36"/>
  <c r="AJ95" i="36"/>
  <c r="AI95" i="36"/>
  <c r="AH95" i="36"/>
  <c r="AG95" i="36"/>
  <c r="AF95" i="36"/>
  <c r="AE95" i="36"/>
  <c r="AD95" i="36"/>
  <c r="AC95" i="36"/>
  <c r="AB95" i="36"/>
  <c r="AA95" i="36"/>
  <c r="Z95" i="36"/>
  <c r="Y95" i="36"/>
  <c r="X95" i="36"/>
  <c r="W95" i="36"/>
  <c r="AL92" i="36"/>
  <c r="AK92" i="36"/>
  <c r="AJ92" i="36"/>
  <c r="AI92" i="36"/>
  <c r="AH92" i="36"/>
  <c r="AG92" i="36"/>
  <c r="AF92" i="36"/>
  <c r="AE92" i="36"/>
  <c r="AD92" i="36"/>
  <c r="AC92" i="36"/>
  <c r="AB92" i="36"/>
  <c r="AA92" i="36"/>
  <c r="Z92" i="36"/>
  <c r="Y92" i="36"/>
  <c r="X92" i="36"/>
  <c r="W92" i="36"/>
  <c r="AL89" i="36"/>
  <c r="AK89" i="36"/>
  <c r="AJ89" i="36"/>
  <c r="AI89" i="36"/>
  <c r="AH89" i="36"/>
  <c r="AG89" i="36"/>
  <c r="AF89" i="36"/>
  <c r="AE89" i="36"/>
  <c r="AD89" i="36"/>
  <c r="AC89" i="36"/>
  <c r="AB89" i="36"/>
  <c r="AA89" i="36"/>
  <c r="Z89" i="36"/>
  <c r="Y89" i="36"/>
  <c r="X89" i="36"/>
  <c r="W89" i="36"/>
  <c r="AL86" i="36"/>
  <c r="AK86" i="36"/>
  <c r="AJ86" i="36"/>
  <c r="AI86" i="36"/>
  <c r="AH86" i="36"/>
  <c r="AG86" i="36"/>
  <c r="AF86" i="36"/>
  <c r="AE86" i="36"/>
  <c r="AD86" i="36"/>
  <c r="AC86" i="36"/>
  <c r="AB86" i="36"/>
  <c r="AA86" i="36"/>
  <c r="Z86" i="36"/>
  <c r="Y86" i="36"/>
  <c r="X86" i="36"/>
  <c r="W86" i="36"/>
  <c r="AL83" i="36"/>
  <c r="AK83" i="36"/>
  <c r="AJ83" i="36"/>
  <c r="AI83" i="36"/>
  <c r="AH83" i="36"/>
  <c r="AG83" i="36"/>
  <c r="AF83" i="36"/>
  <c r="AE83" i="36"/>
  <c r="AD83" i="36"/>
  <c r="AC83" i="36"/>
  <c r="AB83" i="36"/>
  <c r="AA83" i="36"/>
  <c r="Z83" i="36"/>
  <c r="Y83" i="36"/>
  <c r="X83" i="36"/>
  <c r="W83" i="36"/>
  <c r="AL80" i="36"/>
  <c r="AK80" i="36"/>
  <c r="AJ80" i="36"/>
  <c r="AI80" i="36"/>
  <c r="AH80" i="36"/>
  <c r="AG80" i="36"/>
  <c r="AF80" i="36"/>
  <c r="AE80" i="36"/>
  <c r="AD80" i="36"/>
  <c r="AC80" i="36"/>
  <c r="AB80" i="36"/>
  <c r="AA80" i="36"/>
  <c r="Z80" i="36"/>
  <c r="Y80" i="36"/>
  <c r="X80" i="36"/>
  <c r="W80" i="36"/>
  <c r="AL77" i="36"/>
  <c r="AK77" i="36"/>
  <c r="AJ77" i="36"/>
  <c r="AI77" i="36"/>
  <c r="AH77" i="36"/>
  <c r="AG77" i="36"/>
  <c r="AF77" i="36"/>
  <c r="AE77" i="36"/>
  <c r="AD77" i="36"/>
  <c r="AC77" i="36"/>
  <c r="AB77" i="36"/>
  <c r="AA77" i="36"/>
  <c r="Z77" i="36"/>
  <c r="Y77" i="36"/>
  <c r="X77" i="36"/>
  <c r="W77" i="36"/>
  <c r="G55" i="115"/>
  <c r="G56" i="115" s="1"/>
  <c r="F55" i="115"/>
  <c r="F56" i="115" s="1"/>
  <c r="E55" i="115"/>
  <c r="E56" i="115" s="1"/>
  <c r="D55" i="115"/>
  <c r="D56" i="115" s="1"/>
  <c r="C55" i="115"/>
  <c r="C56" i="115" s="1"/>
  <c r="H53" i="115"/>
  <c r="H51" i="115"/>
  <c r="H50" i="115"/>
  <c r="H49" i="115"/>
  <c r="H48" i="115"/>
  <c r="H55" i="115" s="1"/>
  <c r="H46" i="115"/>
  <c r="G35" i="115"/>
  <c r="F35" i="115"/>
  <c r="E35" i="115"/>
  <c r="E37" i="115" s="1"/>
  <c r="D35" i="115"/>
  <c r="C35" i="115"/>
  <c r="G32" i="115"/>
  <c r="G33" i="115" s="1"/>
  <c r="F32" i="115"/>
  <c r="F33" i="115" s="1"/>
  <c r="E32" i="115"/>
  <c r="E33" i="115" s="1"/>
  <c r="D32" i="115"/>
  <c r="D33" i="115" s="1"/>
  <c r="C32" i="115"/>
  <c r="C33" i="115" s="1"/>
  <c r="H31" i="115"/>
  <c r="H30" i="115"/>
  <c r="H28" i="115"/>
  <c r="H27" i="115"/>
  <c r="H26" i="115"/>
  <c r="H25" i="115"/>
  <c r="H23" i="115"/>
  <c r="G20" i="115"/>
  <c r="G36" i="115" s="1"/>
  <c r="F20" i="115"/>
  <c r="F36" i="115" s="1"/>
  <c r="F37" i="115" s="1"/>
  <c r="E20" i="115"/>
  <c r="E21" i="115" s="1"/>
  <c r="D20" i="115"/>
  <c r="D21" i="115" s="1"/>
  <c r="C20" i="115"/>
  <c r="C36" i="115"/>
  <c r="H19" i="115"/>
  <c r="H18" i="115"/>
  <c r="H17" i="115"/>
  <c r="H16" i="115"/>
  <c r="H15" i="115"/>
  <c r="H13" i="115"/>
  <c r="H12" i="115"/>
  <c r="H11" i="115"/>
  <c r="H20" i="115" s="1"/>
  <c r="H21" i="115" s="1"/>
  <c r="H10" i="115"/>
  <c r="H9" i="115"/>
  <c r="H7" i="115"/>
  <c r="F254" i="91"/>
  <c r="F253" i="91"/>
  <c r="F252" i="91"/>
  <c r="F251" i="91"/>
  <c r="F250" i="91"/>
  <c r="F249" i="91"/>
  <c r="F248" i="91"/>
  <c r="F247" i="91"/>
  <c r="F246" i="91"/>
  <c r="F245" i="91"/>
  <c r="F244" i="91"/>
  <c r="F243" i="91"/>
  <c r="F242" i="91"/>
  <c r="E36" i="115"/>
  <c r="C21" i="115"/>
  <c r="G21" i="115"/>
  <c r="H35" i="115"/>
  <c r="W19" i="91"/>
  <c r="W8" i="91"/>
  <c r="F227" i="91"/>
  <c r="F226" i="91"/>
  <c r="F225" i="91"/>
  <c r="F224" i="91"/>
  <c r="F223" i="91"/>
  <c r="F222" i="91"/>
  <c r="F221" i="91"/>
  <c r="F220" i="91"/>
  <c r="F219" i="91"/>
  <c r="F218" i="91"/>
  <c r="F217" i="91"/>
  <c r="W25" i="91"/>
  <c r="O48" i="40" s="1"/>
  <c r="F129" i="91"/>
  <c r="F128" i="91"/>
  <c r="F127" i="91"/>
  <c r="F126" i="91"/>
  <c r="F125" i="91"/>
  <c r="F124" i="91"/>
  <c r="F123" i="91"/>
  <c r="F122" i="91"/>
  <c r="F121" i="91"/>
  <c r="F120" i="91"/>
  <c r="F119" i="91"/>
  <c r="F117" i="91"/>
  <c r="F116" i="91"/>
  <c r="F115" i="91"/>
  <c r="F114" i="91"/>
  <c r="F113" i="91"/>
  <c r="F112" i="91"/>
  <c r="F111" i="91"/>
  <c r="F110" i="91"/>
  <c r="F109" i="91"/>
  <c r="F108" i="91"/>
  <c r="F107" i="91"/>
  <c r="F141" i="91"/>
  <c r="F140" i="91"/>
  <c r="F139" i="91"/>
  <c r="F138" i="91"/>
  <c r="F137" i="91"/>
  <c r="F136" i="91"/>
  <c r="F135" i="91"/>
  <c r="F134" i="91"/>
  <c r="F133" i="91"/>
  <c r="F132" i="91"/>
  <c r="F131" i="91"/>
  <c r="F153" i="91"/>
  <c r="F152" i="91"/>
  <c r="F151" i="91"/>
  <c r="F150" i="91"/>
  <c r="F149" i="91"/>
  <c r="F148" i="91"/>
  <c r="F147" i="91"/>
  <c r="F146" i="91"/>
  <c r="F145" i="91"/>
  <c r="F144" i="91"/>
  <c r="F143" i="91"/>
  <c r="F165" i="91"/>
  <c r="F164" i="91"/>
  <c r="F163" i="91"/>
  <c r="F162" i="91"/>
  <c r="F161" i="91"/>
  <c r="F160" i="91"/>
  <c r="F159" i="91"/>
  <c r="F158" i="91"/>
  <c r="F157" i="91"/>
  <c r="F156" i="91"/>
  <c r="F155" i="91"/>
  <c r="F177" i="91"/>
  <c r="F176" i="91"/>
  <c r="F175" i="91"/>
  <c r="F174" i="91"/>
  <c r="F173" i="91"/>
  <c r="F172" i="91"/>
  <c r="F171" i="91"/>
  <c r="F170" i="91"/>
  <c r="F169" i="91"/>
  <c r="F168" i="91"/>
  <c r="F167" i="91"/>
  <c r="F189" i="91"/>
  <c r="F188" i="91"/>
  <c r="F187" i="91"/>
  <c r="F186" i="91"/>
  <c r="F185" i="91"/>
  <c r="F184" i="91"/>
  <c r="F183" i="91"/>
  <c r="F182" i="91"/>
  <c r="F181" i="91"/>
  <c r="F180" i="91"/>
  <c r="F179" i="91"/>
  <c r="F105" i="91"/>
  <c r="F104" i="91"/>
  <c r="F103" i="91"/>
  <c r="F102" i="91"/>
  <c r="F101" i="91"/>
  <c r="F100" i="91"/>
  <c r="F99" i="91"/>
  <c r="F98" i="91"/>
  <c r="F97" i="91"/>
  <c r="F96" i="91"/>
  <c r="F95" i="91"/>
  <c r="F93" i="91"/>
  <c r="F92" i="91"/>
  <c r="F91" i="91"/>
  <c r="F90" i="91"/>
  <c r="F89" i="91"/>
  <c r="F88" i="91"/>
  <c r="F87" i="91"/>
  <c r="F86" i="91"/>
  <c r="F85" i="91"/>
  <c r="F84" i="91"/>
  <c r="F83" i="91"/>
  <c r="F81" i="91"/>
  <c r="F80" i="91"/>
  <c r="F79" i="91"/>
  <c r="F78" i="91"/>
  <c r="F77" i="91"/>
  <c r="F76" i="91"/>
  <c r="F75" i="91"/>
  <c r="F74" i="91"/>
  <c r="F73" i="91"/>
  <c r="F72" i="91"/>
  <c r="F71" i="91"/>
  <c r="X19" i="91"/>
  <c r="W20" i="91"/>
  <c r="F70" i="44" s="1"/>
  <c r="X20" i="91"/>
  <c r="W21" i="91"/>
  <c r="F71" i="44" s="1"/>
  <c r="X21" i="91"/>
  <c r="H71" i="44" s="1"/>
  <c r="W26" i="91"/>
  <c r="W27" i="91"/>
  <c r="W28" i="91"/>
  <c r="W29" i="91"/>
  <c r="O52" i="40" s="1"/>
  <c r="X33" i="91"/>
  <c r="G11" i="86" s="1"/>
  <c r="X34" i="91"/>
  <c r="G13" i="86" s="1"/>
  <c r="X8" i="91"/>
  <c r="M34" i="40" s="1"/>
  <c r="Y8" i="91"/>
  <c r="O34" i="40" s="1"/>
  <c r="W9" i="91"/>
  <c r="X9" i="91"/>
  <c r="Y9" i="91"/>
  <c r="W10" i="91"/>
  <c r="K36" i="40" s="1"/>
  <c r="X10" i="91"/>
  <c r="M36" i="40" s="1"/>
  <c r="Y10" i="91"/>
  <c r="W11" i="91"/>
  <c r="K37" i="40" s="1"/>
  <c r="X11" i="91"/>
  <c r="Y11" i="91"/>
  <c r="W12" i="91"/>
  <c r="X12" i="91"/>
  <c r="M38" i="40" s="1"/>
  <c r="Y12" i="91"/>
  <c r="O38" i="40" s="1"/>
  <c r="W13" i="91"/>
  <c r="K39" i="40" s="1"/>
  <c r="X13" i="91"/>
  <c r="Y13" i="91"/>
  <c r="O39" i="40" s="1"/>
  <c r="W14" i="91"/>
  <c r="K40" i="40" s="1"/>
  <c r="X14" i="91"/>
  <c r="Y14" i="91"/>
  <c r="J79" i="44"/>
  <c r="AD50" i="45"/>
  <c r="AE50" i="45"/>
  <c r="AF50" i="45"/>
  <c r="AG50" i="45"/>
  <c r="AH50" i="45"/>
  <c r="AI50" i="45"/>
  <c r="AJ50" i="45"/>
  <c r="AK50" i="45"/>
  <c r="AL50" i="45"/>
  <c r="AD51" i="45"/>
  <c r="AE51" i="45"/>
  <c r="AF51" i="45"/>
  <c r="AG51" i="45"/>
  <c r="AH51" i="45"/>
  <c r="AI51" i="45"/>
  <c r="AJ51" i="45"/>
  <c r="AK51" i="45"/>
  <c r="AL51" i="45"/>
  <c r="AD52" i="45"/>
  <c r="AE52" i="45"/>
  <c r="AF52" i="45"/>
  <c r="AG52" i="45"/>
  <c r="AH52" i="45"/>
  <c r="AI52" i="45"/>
  <c r="AJ52" i="45"/>
  <c r="AK52" i="45"/>
  <c r="AL52" i="45"/>
  <c r="AD53" i="45"/>
  <c r="AE53" i="45"/>
  <c r="AF53" i="45"/>
  <c r="AG53" i="45"/>
  <c r="AH53" i="45"/>
  <c r="AI53" i="45"/>
  <c r="AJ53" i="45"/>
  <c r="AK53" i="45"/>
  <c r="AL53" i="45"/>
  <c r="AD54" i="45"/>
  <c r="AE54" i="45"/>
  <c r="AF54" i="45"/>
  <c r="AG54" i="45"/>
  <c r="AH54" i="45"/>
  <c r="AI54" i="45"/>
  <c r="AJ54" i="45"/>
  <c r="AK54" i="45"/>
  <c r="AL54" i="45"/>
  <c r="AD55" i="45"/>
  <c r="AE55" i="45"/>
  <c r="AF55" i="45"/>
  <c r="AG55" i="45"/>
  <c r="AH55" i="45"/>
  <c r="AI55" i="45"/>
  <c r="AJ55" i="45"/>
  <c r="AK55" i="45"/>
  <c r="AL55" i="45"/>
  <c r="AD56" i="45"/>
  <c r="AE56" i="45"/>
  <c r="AF56" i="45"/>
  <c r="AG56" i="45"/>
  <c r="AH56" i="45"/>
  <c r="AI56" i="45"/>
  <c r="AJ56" i="45"/>
  <c r="AK56" i="45"/>
  <c r="AL56" i="45"/>
  <c r="AD57" i="45"/>
  <c r="AE57" i="45"/>
  <c r="AF57" i="45"/>
  <c r="AG57" i="45"/>
  <c r="AH57" i="45"/>
  <c r="AI57" i="45"/>
  <c r="AJ57" i="45"/>
  <c r="AK57" i="45"/>
  <c r="AL57" i="45"/>
  <c r="AD58" i="45"/>
  <c r="AE58" i="45"/>
  <c r="AF58" i="45"/>
  <c r="AG58" i="45"/>
  <c r="AH58" i="45"/>
  <c r="AI58" i="45"/>
  <c r="AJ58" i="45"/>
  <c r="AK58" i="45"/>
  <c r="AL58" i="45"/>
  <c r="AD59" i="45"/>
  <c r="AE59" i="45"/>
  <c r="AF59" i="45"/>
  <c r="AG59" i="45"/>
  <c r="AH59" i="45"/>
  <c r="AI59" i="45"/>
  <c r="AJ59" i="45"/>
  <c r="AK59" i="45"/>
  <c r="AL59" i="45"/>
  <c r="AD60" i="45"/>
  <c r="AE60" i="45"/>
  <c r="AF60" i="45"/>
  <c r="AG60" i="45"/>
  <c r="AH60" i="45"/>
  <c r="AI60" i="45"/>
  <c r="AJ60" i="45"/>
  <c r="AK60" i="45"/>
  <c r="AL60" i="45"/>
  <c r="AD61" i="45"/>
  <c r="AE61" i="45"/>
  <c r="AF61" i="45"/>
  <c r="AG61" i="45"/>
  <c r="AH61" i="45"/>
  <c r="AI61" i="45"/>
  <c r="AJ61" i="45"/>
  <c r="AK61" i="45"/>
  <c r="AL61" i="45"/>
  <c r="AD62" i="45"/>
  <c r="AE62" i="45"/>
  <c r="AF62" i="45"/>
  <c r="AG62" i="45"/>
  <c r="AH62" i="45"/>
  <c r="AI62" i="45"/>
  <c r="AJ62" i="45"/>
  <c r="AK62" i="45"/>
  <c r="AL62" i="45"/>
  <c r="AD63" i="45"/>
  <c r="AE63" i="45"/>
  <c r="AF63" i="45"/>
  <c r="AG63" i="45"/>
  <c r="AH63" i="45"/>
  <c r="AI63" i="45"/>
  <c r="AJ63" i="45"/>
  <c r="AK63" i="45"/>
  <c r="AL63" i="45"/>
  <c r="AD64" i="45"/>
  <c r="AE64" i="45"/>
  <c r="AF64" i="45"/>
  <c r="AG64" i="45"/>
  <c r="AH64" i="45"/>
  <c r="AI64" i="45"/>
  <c r="AJ64" i="45"/>
  <c r="AK64" i="45"/>
  <c r="AL64" i="45"/>
  <c r="AD65" i="45"/>
  <c r="AE65" i="45"/>
  <c r="AF65" i="45"/>
  <c r="AG65" i="45"/>
  <c r="AH65" i="45"/>
  <c r="AI65" i="45"/>
  <c r="AJ65" i="45"/>
  <c r="AK65" i="45"/>
  <c r="AL65" i="45"/>
  <c r="AD66" i="45"/>
  <c r="AE66" i="45"/>
  <c r="AF66" i="45"/>
  <c r="AG66" i="45"/>
  <c r="AH66" i="45"/>
  <c r="AI66" i="45"/>
  <c r="AJ66" i="45"/>
  <c r="AK66" i="45"/>
  <c r="AL66" i="45"/>
  <c r="AD67" i="45"/>
  <c r="AE67" i="45"/>
  <c r="AF67" i="45"/>
  <c r="AG67" i="45"/>
  <c r="AH67" i="45"/>
  <c r="AI67" i="45"/>
  <c r="AJ67" i="45"/>
  <c r="AK67" i="45"/>
  <c r="AL67" i="45"/>
  <c r="AD68" i="45"/>
  <c r="AE68" i="45"/>
  <c r="AF68" i="45"/>
  <c r="AG68" i="45"/>
  <c r="AH68" i="45"/>
  <c r="AI68" i="45"/>
  <c r="AJ68" i="45"/>
  <c r="AK68" i="45"/>
  <c r="AL68" i="45"/>
  <c r="AD69" i="45"/>
  <c r="AE69" i="45"/>
  <c r="AF69" i="45"/>
  <c r="AG69" i="45"/>
  <c r="AH69" i="45"/>
  <c r="AI69" i="45"/>
  <c r="AJ69" i="45"/>
  <c r="AK69" i="45"/>
  <c r="AL69" i="45"/>
  <c r="AD70" i="45"/>
  <c r="AE70" i="45"/>
  <c r="AF70" i="45"/>
  <c r="AG70" i="45"/>
  <c r="AH70" i="45"/>
  <c r="AI70" i="45"/>
  <c r="AJ70" i="45"/>
  <c r="AK70" i="45"/>
  <c r="AL70" i="45"/>
  <c r="AD71" i="45"/>
  <c r="AE71" i="45"/>
  <c r="AF71" i="45"/>
  <c r="AG71" i="45"/>
  <c r="AH71" i="45"/>
  <c r="AI71" i="45"/>
  <c r="AJ71" i="45"/>
  <c r="AK71" i="45"/>
  <c r="AL71" i="45"/>
  <c r="AD72" i="45"/>
  <c r="AE72" i="45"/>
  <c r="AF72" i="45"/>
  <c r="AG72" i="45"/>
  <c r="AH72" i="45"/>
  <c r="AI72" i="45"/>
  <c r="AJ72" i="45"/>
  <c r="AK72" i="45"/>
  <c r="AL72" i="45"/>
  <c r="AD73" i="45"/>
  <c r="AE73" i="45"/>
  <c r="AF73" i="45"/>
  <c r="AG73" i="45"/>
  <c r="AH73" i="45"/>
  <c r="AI73" i="45"/>
  <c r="AJ73" i="45"/>
  <c r="AK73" i="45"/>
  <c r="AL73" i="45"/>
  <c r="AD74" i="45"/>
  <c r="AE74" i="45"/>
  <c r="AF74" i="45"/>
  <c r="AG74" i="45"/>
  <c r="AH74" i="45"/>
  <c r="AI74" i="45"/>
  <c r="AJ74" i="45"/>
  <c r="AK74" i="45"/>
  <c r="AL74" i="45"/>
  <c r="AD75" i="45"/>
  <c r="AE75" i="45"/>
  <c r="AF75" i="45"/>
  <c r="AG75" i="45"/>
  <c r="AH75" i="45"/>
  <c r="AI75" i="45"/>
  <c r="AJ75" i="45"/>
  <c r="AK75" i="45"/>
  <c r="AL75" i="45"/>
  <c r="AD76" i="45"/>
  <c r="AE76" i="45"/>
  <c r="AF76" i="45"/>
  <c r="AG76" i="45"/>
  <c r="AH76" i="45"/>
  <c r="AI76" i="45"/>
  <c r="AJ76" i="45"/>
  <c r="AK76" i="45"/>
  <c r="AL76" i="45"/>
  <c r="AD77" i="45"/>
  <c r="AE77" i="45"/>
  <c r="AF77" i="45"/>
  <c r="AG77" i="45"/>
  <c r="AH77" i="45"/>
  <c r="AI77" i="45"/>
  <c r="AJ77" i="45"/>
  <c r="AK77" i="45"/>
  <c r="AL77" i="45"/>
  <c r="AD78" i="45"/>
  <c r="AE78" i="45"/>
  <c r="AF78" i="45"/>
  <c r="AG78" i="45"/>
  <c r="AH78" i="45"/>
  <c r="AI78" i="45"/>
  <c r="AJ78" i="45"/>
  <c r="AK78" i="45"/>
  <c r="AL78" i="45"/>
  <c r="AD79" i="45"/>
  <c r="AE79" i="45"/>
  <c r="AF79" i="45"/>
  <c r="AG79" i="45"/>
  <c r="AH79" i="45"/>
  <c r="AI79" i="45"/>
  <c r="AJ79" i="45"/>
  <c r="AK79" i="45"/>
  <c r="AL79" i="45"/>
  <c r="AD80" i="45"/>
  <c r="AE80" i="45"/>
  <c r="AF80" i="45"/>
  <c r="AG80" i="45"/>
  <c r="AH80" i="45"/>
  <c r="AI80" i="45"/>
  <c r="AJ80" i="45"/>
  <c r="AK80" i="45"/>
  <c r="AL80" i="45"/>
  <c r="Y66" i="57"/>
  <c r="X66" i="57"/>
  <c r="W66" i="57"/>
  <c r="AC50" i="45"/>
  <c r="AC51" i="45"/>
  <c r="AC52" i="45"/>
  <c r="AC53" i="45"/>
  <c r="AC54" i="45"/>
  <c r="AC55" i="45"/>
  <c r="AC56" i="45"/>
  <c r="AC57" i="45"/>
  <c r="AC58" i="45"/>
  <c r="AC59" i="45"/>
  <c r="AC60" i="45"/>
  <c r="AC61" i="45"/>
  <c r="AC62" i="45"/>
  <c r="AC63" i="45"/>
  <c r="AC64" i="45"/>
  <c r="AC65" i="45"/>
  <c r="AC66" i="45"/>
  <c r="AC67" i="45"/>
  <c r="AC68" i="45"/>
  <c r="AC69" i="45"/>
  <c r="AC70" i="45"/>
  <c r="AC71" i="45"/>
  <c r="AC72" i="45"/>
  <c r="AC73" i="45"/>
  <c r="AC74" i="45"/>
  <c r="AC75" i="45"/>
  <c r="AC76" i="45"/>
  <c r="AC77" i="45"/>
  <c r="AC78" i="45"/>
  <c r="AC79" i="45"/>
  <c r="AC80" i="45"/>
  <c r="CQ127" i="90"/>
  <c r="AD131" i="56" s="1"/>
  <c r="CR127" i="90"/>
  <c r="AE131" i="56" s="1"/>
  <c r="CS127" i="90"/>
  <c r="AF131" i="56" s="1"/>
  <c r="CT127" i="90"/>
  <c r="AG131" i="56" s="1"/>
  <c r="CU127" i="90"/>
  <c r="AH131" i="56" s="1"/>
  <c r="CV127" i="90"/>
  <c r="AI131" i="56" s="1"/>
  <c r="CW127" i="90"/>
  <c r="AJ131" i="56" s="1"/>
  <c r="CX127" i="90"/>
  <c r="AK131" i="56" s="1"/>
  <c r="CY127" i="90"/>
  <c r="AL131" i="56" s="1"/>
  <c r="CQ128" i="90"/>
  <c r="AD132" i="56" s="1"/>
  <c r="CR128" i="90"/>
  <c r="AE132" i="56" s="1"/>
  <c r="CS128" i="90"/>
  <c r="AF132" i="56" s="1"/>
  <c r="CT128" i="90"/>
  <c r="AG132" i="56" s="1"/>
  <c r="CU128" i="90"/>
  <c r="AH132" i="56" s="1"/>
  <c r="CV128" i="90"/>
  <c r="AI132" i="56" s="1"/>
  <c r="CW128" i="90"/>
  <c r="AJ132" i="56" s="1"/>
  <c r="CX128" i="90"/>
  <c r="AK132" i="56" s="1"/>
  <c r="CY128" i="90"/>
  <c r="AL132" i="56" s="1"/>
  <c r="CQ129" i="90"/>
  <c r="AD133" i="56" s="1"/>
  <c r="CR129" i="90"/>
  <c r="AE133" i="56" s="1"/>
  <c r="CS129" i="90"/>
  <c r="AF133" i="56" s="1"/>
  <c r="CT129" i="90"/>
  <c r="AG133" i="56" s="1"/>
  <c r="CU129" i="90"/>
  <c r="AH133" i="56" s="1"/>
  <c r="CV129" i="90"/>
  <c r="AI133" i="56" s="1"/>
  <c r="CW129" i="90"/>
  <c r="AJ133" i="56" s="1"/>
  <c r="CX129" i="90"/>
  <c r="AK133" i="56" s="1"/>
  <c r="CY129" i="90"/>
  <c r="AL133" i="56" s="1"/>
  <c r="CQ130" i="90"/>
  <c r="AD134" i="56" s="1"/>
  <c r="CR130" i="90"/>
  <c r="AE134" i="56" s="1"/>
  <c r="CS130" i="90"/>
  <c r="AF134" i="56" s="1"/>
  <c r="CT130" i="90"/>
  <c r="AG134" i="56" s="1"/>
  <c r="CU130" i="90"/>
  <c r="AH134" i="56" s="1"/>
  <c r="CV130" i="90"/>
  <c r="AI134" i="56" s="1"/>
  <c r="CW130" i="90"/>
  <c r="AJ134" i="56" s="1"/>
  <c r="CX130" i="90"/>
  <c r="AK134" i="56" s="1"/>
  <c r="CY130" i="90"/>
  <c r="AL134" i="56" s="1"/>
  <c r="CQ131" i="90"/>
  <c r="AD135" i="56" s="1"/>
  <c r="CR131" i="90"/>
  <c r="AE135" i="56" s="1"/>
  <c r="CS131" i="90"/>
  <c r="AF135" i="56" s="1"/>
  <c r="CT131" i="90"/>
  <c r="AG135" i="56" s="1"/>
  <c r="CU131" i="90"/>
  <c r="AH135" i="56" s="1"/>
  <c r="CV131" i="90"/>
  <c r="AI135" i="56" s="1"/>
  <c r="CW131" i="90"/>
  <c r="AJ135" i="56" s="1"/>
  <c r="CX131" i="90"/>
  <c r="AK135" i="56" s="1"/>
  <c r="CY131" i="90"/>
  <c r="AL135" i="56" s="1"/>
  <c r="CQ132" i="90"/>
  <c r="AD136" i="56" s="1"/>
  <c r="CR132" i="90"/>
  <c r="AE136" i="56" s="1"/>
  <c r="CS132" i="90"/>
  <c r="AF136" i="56" s="1"/>
  <c r="CT132" i="90"/>
  <c r="AG136" i="56" s="1"/>
  <c r="CU132" i="90"/>
  <c r="AH136" i="56" s="1"/>
  <c r="CV132" i="90"/>
  <c r="AI136" i="56" s="1"/>
  <c r="CW132" i="90"/>
  <c r="AJ136" i="56" s="1"/>
  <c r="CX132" i="90"/>
  <c r="AK136" i="56" s="1"/>
  <c r="CY132" i="90"/>
  <c r="AL136" i="56" s="1"/>
  <c r="CQ133" i="90"/>
  <c r="AD137" i="56" s="1"/>
  <c r="CR133" i="90"/>
  <c r="AE137" i="56" s="1"/>
  <c r="CS133" i="90"/>
  <c r="AF137" i="56" s="1"/>
  <c r="CT133" i="90"/>
  <c r="AG137" i="56" s="1"/>
  <c r="CU133" i="90"/>
  <c r="AH137" i="56" s="1"/>
  <c r="CV133" i="90"/>
  <c r="AI137" i="56" s="1"/>
  <c r="CW133" i="90"/>
  <c r="AJ137" i="56" s="1"/>
  <c r="CX133" i="90"/>
  <c r="AK137" i="56" s="1"/>
  <c r="CY133" i="90"/>
  <c r="AL137" i="56" s="1"/>
  <c r="CQ134" i="90"/>
  <c r="AD138" i="56" s="1"/>
  <c r="CR134" i="90"/>
  <c r="AE138" i="56" s="1"/>
  <c r="CS134" i="90"/>
  <c r="AF138" i="56" s="1"/>
  <c r="CT134" i="90"/>
  <c r="AG138" i="56" s="1"/>
  <c r="CU134" i="90"/>
  <c r="AH138" i="56" s="1"/>
  <c r="CV134" i="90"/>
  <c r="AI138" i="56" s="1"/>
  <c r="CW134" i="90"/>
  <c r="AJ138" i="56" s="1"/>
  <c r="CX134" i="90"/>
  <c r="AK138" i="56" s="1"/>
  <c r="CY134" i="90"/>
  <c r="AL138" i="56" s="1"/>
  <c r="CQ135" i="90"/>
  <c r="AD139" i="56" s="1"/>
  <c r="CR135" i="90"/>
  <c r="AE139" i="56" s="1"/>
  <c r="CS135" i="90"/>
  <c r="AF139" i="56" s="1"/>
  <c r="CT135" i="90"/>
  <c r="AG139" i="56" s="1"/>
  <c r="CU135" i="90"/>
  <c r="AH139" i="56" s="1"/>
  <c r="CV135" i="90"/>
  <c r="AI139" i="56" s="1"/>
  <c r="CW135" i="90"/>
  <c r="AJ139" i="56" s="1"/>
  <c r="CX135" i="90"/>
  <c r="AK139" i="56" s="1"/>
  <c r="CY135" i="90"/>
  <c r="AL139" i="56" s="1"/>
  <c r="CQ136" i="90"/>
  <c r="AD140" i="56" s="1"/>
  <c r="CR136" i="90"/>
  <c r="AE140" i="56" s="1"/>
  <c r="CS136" i="90"/>
  <c r="AF140" i="56" s="1"/>
  <c r="CT136" i="90"/>
  <c r="AG140" i="56" s="1"/>
  <c r="CU136" i="90"/>
  <c r="AH140" i="56" s="1"/>
  <c r="CV136" i="90"/>
  <c r="AI140" i="56" s="1"/>
  <c r="CW136" i="90"/>
  <c r="AJ140" i="56" s="1"/>
  <c r="CX136" i="90"/>
  <c r="AK140" i="56" s="1"/>
  <c r="CY136" i="90"/>
  <c r="AL140" i="56" s="1"/>
  <c r="CQ137" i="90"/>
  <c r="AD141" i="56" s="1"/>
  <c r="CR137" i="90"/>
  <c r="AE141" i="56" s="1"/>
  <c r="CS137" i="90"/>
  <c r="AF141" i="56" s="1"/>
  <c r="CT137" i="90"/>
  <c r="AG141" i="56" s="1"/>
  <c r="CU137" i="90"/>
  <c r="AH141" i="56" s="1"/>
  <c r="CV137" i="90"/>
  <c r="AI141" i="56" s="1"/>
  <c r="CW137" i="90"/>
  <c r="AJ141" i="56" s="1"/>
  <c r="CX137" i="90"/>
  <c r="AK141" i="56" s="1"/>
  <c r="CY137" i="90"/>
  <c r="AL141" i="56" s="1"/>
  <c r="CQ138" i="90"/>
  <c r="AD142" i="56" s="1"/>
  <c r="CR138" i="90"/>
  <c r="AE142" i="56" s="1"/>
  <c r="CS138" i="90"/>
  <c r="AF142" i="56" s="1"/>
  <c r="CT138" i="90"/>
  <c r="AG142" i="56" s="1"/>
  <c r="CU138" i="90"/>
  <c r="AH142" i="56" s="1"/>
  <c r="CV138" i="90"/>
  <c r="AI142" i="56" s="1"/>
  <c r="CW138" i="90"/>
  <c r="AJ142" i="56" s="1"/>
  <c r="CX138" i="90"/>
  <c r="AK142" i="56" s="1"/>
  <c r="CY138" i="90"/>
  <c r="AL142" i="56" s="1"/>
  <c r="CQ139" i="90"/>
  <c r="AD143" i="56" s="1"/>
  <c r="CR139" i="90"/>
  <c r="AE143" i="56" s="1"/>
  <c r="CS139" i="90"/>
  <c r="AF143" i="56" s="1"/>
  <c r="CT139" i="90"/>
  <c r="AG143" i="56" s="1"/>
  <c r="CU139" i="90"/>
  <c r="AH143" i="56" s="1"/>
  <c r="CV139" i="90"/>
  <c r="AI143" i="56" s="1"/>
  <c r="CW139" i="90"/>
  <c r="AJ143" i="56" s="1"/>
  <c r="CX139" i="90"/>
  <c r="AK143" i="56" s="1"/>
  <c r="CY139" i="90"/>
  <c r="AL143" i="56" s="1"/>
  <c r="CQ140" i="90"/>
  <c r="AD144" i="56" s="1"/>
  <c r="CR140" i="90"/>
  <c r="AE144" i="56" s="1"/>
  <c r="CS140" i="90"/>
  <c r="AF144" i="56" s="1"/>
  <c r="CT140" i="90"/>
  <c r="AG144" i="56" s="1"/>
  <c r="CU140" i="90"/>
  <c r="AH144" i="56" s="1"/>
  <c r="CV140" i="90"/>
  <c r="AI144" i="56" s="1"/>
  <c r="CW140" i="90"/>
  <c r="AJ144" i="56" s="1"/>
  <c r="CX140" i="90"/>
  <c r="AK144" i="56" s="1"/>
  <c r="CY140" i="90"/>
  <c r="AL144" i="56" s="1"/>
  <c r="CQ141" i="90"/>
  <c r="AD145" i="56" s="1"/>
  <c r="CR141" i="90"/>
  <c r="AE145" i="56" s="1"/>
  <c r="CS141" i="90"/>
  <c r="AF145" i="56" s="1"/>
  <c r="CT141" i="90"/>
  <c r="AG145" i="56" s="1"/>
  <c r="CU141" i="90"/>
  <c r="AH145" i="56" s="1"/>
  <c r="CV141" i="90"/>
  <c r="AI145" i="56" s="1"/>
  <c r="CW141" i="90"/>
  <c r="AJ145" i="56" s="1"/>
  <c r="CX141" i="90"/>
  <c r="AK145" i="56" s="1"/>
  <c r="CY141" i="90"/>
  <c r="AL145" i="56" s="1"/>
  <c r="CQ142" i="90"/>
  <c r="AD146" i="56" s="1"/>
  <c r="CR142" i="90"/>
  <c r="AE146" i="56" s="1"/>
  <c r="CS142" i="90"/>
  <c r="AF146" i="56" s="1"/>
  <c r="CT142" i="90"/>
  <c r="AG146" i="56" s="1"/>
  <c r="CU142" i="90"/>
  <c r="AH146" i="56" s="1"/>
  <c r="CV142" i="90"/>
  <c r="AI146" i="56" s="1"/>
  <c r="CW142" i="90"/>
  <c r="AJ146" i="56" s="1"/>
  <c r="CX142" i="90"/>
  <c r="AK146" i="56" s="1"/>
  <c r="CY142" i="90"/>
  <c r="AL146" i="56" s="1"/>
  <c r="AB23" i="40"/>
  <c r="AC23" i="40" s="1"/>
  <c r="N86" i="112"/>
  <c r="C89" i="112"/>
  <c r="D90" i="112" s="1"/>
  <c r="D89" i="112"/>
  <c r="E89" i="112"/>
  <c r="F89" i="112"/>
  <c r="G89" i="112"/>
  <c r="H89" i="112"/>
  <c r="I89" i="112"/>
  <c r="J89" i="112"/>
  <c r="K89" i="112"/>
  <c r="L90" i="112" s="1"/>
  <c r="L89" i="112"/>
  <c r="M89" i="112"/>
  <c r="F215" i="91"/>
  <c r="F214" i="91"/>
  <c r="F213" i="91"/>
  <c r="F212" i="91"/>
  <c r="F211" i="91"/>
  <c r="F210" i="91"/>
  <c r="F209" i="91"/>
  <c r="F208" i="91"/>
  <c r="F207" i="91"/>
  <c r="F206" i="91"/>
  <c r="F205" i="91"/>
  <c r="F204" i="91"/>
  <c r="F203" i="91"/>
  <c r="F80" i="44"/>
  <c r="AB41" i="114"/>
  <c r="O49" i="40"/>
  <c r="O50" i="40"/>
  <c r="O51" i="40"/>
  <c r="H70" i="44"/>
  <c r="K34" i="40"/>
  <c r="K35" i="40"/>
  <c r="M35" i="40"/>
  <c r="O35" i="40"/>
  <c r="O36" i="40"/>
  <c r="M37" i="40"/>
  <c r="O37" i="40"/>
  <c r="K38" i="40"/>
  <c r="M39" i="40"/>
  <c r="M40" i="40"/>
  <c r="O40" i="40"/>
  <c r="AL109" i="12"/>
  <c r="AK109" i="12"/>
  <c r="AK31" i="12" s="1"/>
  <c r="AK89" i="86" s="1"/>
  <c r="AJ109" i="12"/>
  <c r="AI109" i="12"/>
  <c r="AI31" i="12" s="1"/>
  <c r="AH109" i="12"/>
  <c r="AL100" i="12"/>
  <c r="AK100" i="12"/>
  <c r="AJ100" i="12"/>
  <c r="AJ16" i="12" s="1"/>
  <c r="AI100" i="12"/>
  <c r="AH100" i="12"/>
  <c r="W109" i="12"/>
  <c r="X109" i="12"/>
  <c r="X31" i="12" s="1"/>
  <c r="Y109" i="12"/>
  <c r="Z109" i="12"/>
  <c r="Z31" i="12" s="1"/>
  <c r="AA109" i="12"/>
  <c r="AB109" i="12"/>
  <c r="AC109" i="12"/>
  <c r="AD109" i="12"/>
  <c r="AD31" i="12" s="1"/>
  <c r="AD89" i="86" s="1"/>
  <c r="AE109" i="12"/>
  <c r="AF109" i="12"/>
  <c r="AF31" i="12" s="1"/>
  <c r="AG109" i="12"/>
  <c r="W100" i="12"/>
  <c r="X100" i="12"/>
  <c r="Y100" i="12"/>
  <c r="Z100" i="12"/>
  <c r="AA100" i="12"/>
  <c r="AB100" i="12"/>
  <c r="AC100" i="12"/>
  <c r="AD100" i="12"/>
  <c r="AE100" i="12"/>
  <c r="AF100" i="12"/>
  <c r="AG100" i="12"/>
  <c r="AC182" i="86"/>
  <c r="I48" i="98" s="1"/>
  <c r="AG92" i="89"/>
  <c r="J7" i="45"/>
  <c r="AF7" i="114"/>
  <c r="AG7" i="114"/>
  <c r="AH7" i="114"/>
  <c r="AI7" i="114"/>
  <c r="AJ7" i="114"/>
  <c r="AK7" i="114"/>
  <c r="AA63" i="98"/>
  <c r="AB63" i="98"/>
  <c r="AC63" i="98"/>
  <c r="AD63" i="98"/>
  <c r="AE63" i="98"/>
  <c r="AF63" i="98"/>
  <c r="AG63" i="98"/>
  <c r="AH63" i="98"/>
  <c r="AI63" i="98"/>
  <c r="AJ63" i="98"/>
  <c r="AA64" i="98"/>
  <c r="AB64" i="98"/>
  <c r="AC64" i="98"/>
  <c r="AD64" i="98"/>
  <c r="AE64" i="98"/>
  <c r="AF64" i="98"/>
  <c r="AG64" i="98"/>
  <c r="AH64" i="98"/>
  <c r="AI64" i="98"/>
  <c r="AJ64" i="98"/>
  <c r="AA65" i="98"/>
  <c r="AB65" i="98"/>
  <c r="AC65" i="98"/>
  <c r="AD65" i="98"/>
  <c r="AE65" i="98"/>
  <c r="AF65" i="98"/>
  <c r="AG65" i="98"/>
  <c r="AH65" i="98"/>
  <c r="AI65" i="98"/>
  <c r="AJ65" i="98"/>
  <c r="AA66" i="98"/>
  <c r="AB66" i="98"/>
  <c r="AC66" i="98"/>
  <c r="AD66" i="98"/>
  <c r="AE66" i="98"/>
  <c r="AF66" i="98"/>
  <c r="AG66" i="98"/>
  <c r="AH66" i="98"/>
  <c r="AI66" i="98"/>
  <c r="AJ66" i="98"/>
  <c r="AA67" i="98"/>
  <c r="AB67" i="98"/>
  <c r="AC67" i="98"/>
  <c r="AD67" i="98"/>
  <c r="AE67" i="98"/>
  <c r="AF67" i="98"/>
  <c r="AG67" i="98"/>
  <c r="AH67" i="98"/>
  <c r="AI67" i="98"/>
  <c r="AJ67" i="98"/>
  <c r="AA56" i="98"/>
  <c r="AB56" i="98"/>
  <c r="AC56" i="98"/>
  <c r="AD56" i="98"/>
  <c r="AE56" i="98"/>
  <c r="AF56" i="98"/>
  <c r="AG56" i="98"/>
  <c r="AH56" i="98"/>
  <c r="AI56" i="98"/>
  <c r="AJ56" i="98"/>
  <c r="AA57" i="98"/>
  <c r="AB57" i="98"/>
  <c r="AC57" i="98"/>
  <c r="AD57" i="98"/>
  <c r="AE57" i="98"/>
  <c r="AF57" i="98"/>
  <c r="AG57" i="98"/>
  <c r="AH57" i="98"/>
  <c r="AI57" i="98"/>
  <c r="AJ57" i="98"/>
  <c r="AA58" i="98"/>
  <c r="AB58" i="98"/>
  <c r="AC58" i="98"/>
  <c r="AD58" i="98"/>
  <c r="AE58" i="98"/>
  <c r="AF58" i="98"/>
  <c r="AG58" i="98"/>
  <c r="AH58" i="98"/>
  <c r="AI58" i="98"/>
  <c r="AJ58" i="98"/>
  <c r="AA59" i="98"/>
  <c r="AB59" i="98"/>
  <c r="AC59" i="98"/>
  <c r="AD59" i="98"/>
  <c r="AE59" i="98"/>
  <c r="AF59" i="98"/>
  <c r="AG59" i="98"/>
  <c r="AH59" i="98"/>
  <c r="AI59" i="98"/>
  <c r="AJ59" i="98"/>
  <c r="AA49" i="98"/>
  <c r="AB49" i="98"/>
  <c r="AC49" i="98"/>
  <c r="AD49" i="98"/>
  <c r="AE49" i="98"/>
  <c r="AF49" i="98"/>
  <c r="AG49" i="98"/>
  <c r="AH49" i="98"/>
  <c r="AI49" i="98"/>
  <c r="AJ49" i="98"/>
  <c r="AA50" i="98"/>
  <c r="AB50" i="98"/>
  <c r="AC50" i="98"/>
  <c r="AD50" i="98"/>
  <c r="AE50" i="98"/>
  <c r="AF50" i="98"/>
  <c r="AG50" i="98"/>
  <c r="AH50" i="98"/>
  <c r="AI50" i="98"/>
  <c r="AJ50" i="98"/>
  <c r="AA51" i="98"/>
  <c r="AB51" i="98"/>
  <c r="AC51" i="98"/>
  <c r="AD51" i="98"/>
  <c r="AE51" i="98"/>
  <c r="AF51" i="98"/>
  <c r="AG51" i="98"/>
  <c r="AH51" i="98"/>
  <c r="AI51" i="98"/>
  <c r="AJ51" i="98"/>
  <c r="AA52" i="98"/>
  <c r="AB52" i="98"/>
  <c r="AC52" i="98"/>
  <c r="AD52" i="98"/>
  <c r="AE52" i="98"/>
  <c r="AF52" i="98"/>
  <c r="AG52" i="98"/>
  <c r="AH52" i="98"/>
  <c r="AI52" i="98"/>
  <c r="AJ52" i="98"/>
  <c r="AA38" i="98"/>
  <c r="AB38" i="98"/>
  <c r="AC38" i="98"/>
  <c r="AD38" i="98"/>
  <c r="AE38" i="98"/>
  <c r="AF38" i="98"/>
  <c r="AG38" i="98"/>
  <c r="AH38" i="98"/>
  <c r="AI38" i="98"/>
  <c r="AJ38" i="98"/>
  <c r="AG37" i="98"/>
  <c r="AA37" i="98"/>
  <c r="AB37" i="98"/>
  <c r="AC37" i="98"/>
  <c r="AD37" i="98"/>
  <c r="AE37" i="98"/>
  <c r="AF37" i="98"/>
  <c r="AH37" i="98"/>
  <c r="AI37" i="98"/>
  <c r="AJ37" i="98"/>
  <c r="AA30" i="98"/>
  <c r="AB30" i="98"/>
  <c r="AC30" i="98"/>
  <c r="AD30" i="98"/>
  <c r="AE30" i="98"/>
  <c r="AF30" i="98"/>
  <c r="AG30" i="98"/>
  <c r="AH30" i="98"/>
  <c r="AI30" i="98"/>
  <c r="AJ30" i="98"/>
  <c r="AA29" i="98"/>
  <c r="AB29" i="98"/>
  <c r="AC29" i="98"/>
  <c r="AD29" i="98"/>
  <c r="AE29" i="98"/>
  <c r="AF29" i="98"/>
  <c r="AG29" i="98"/>
  <c r="AH29" i="98"/>
  <c r="AI29" i="98"/>
  <c r="AJ29" i="98"/>
  <c r="D20" i="112"/>
  <c r="E20" i="112"/>
  <c r="F20" i="112"/>
  <c r="G20" i="112"/>
  <c r="H20" i="112"/>
  <c r="D22" i="112"/>
  <c r="E22" i="112"/>
  <c r="F22" i="112"/>
  <c r="G22" i="112"/>
  <c r="H22" i="112"/>
  <c r="D58" i="112"/>
  <c r="D65" i="112" s="1"/>
  <c r="E58" i="112"/>
  <c r="E65" i="112" s="1"/>
  <c r="F58" i="112"/>
  <c r="F65" i="112" s="1"/>
  <c r="G58" i="112"/>
  <c r="G65" i="112" s="1"/>
  <c r="H58" i="112"/>
  <c r="H65" i="112" s="1"/>
  <c r="D59" i="112"/>
  <c r="E59" i="112"/>
  <c r="F59" i="112"/>
  <c r="G59" i="112"/>
  <c r="H59" i="112"/>
  <c r="D60" i="112"/>
  <c r="E60" i="112"/>
  <c r="F60" i="112"/>
  <c r="G60" i="112"/>
  <c r="H60" i="112"/>
  <c r="D61" i="112"/>
  <c r="E61" i="112"/>
  <c r="F61" i="112"/>
  <c r="G61" i="112"/>
  <c r="H61" i="112"/>
  <c r="D62" i="112"/>
  <c r="D67" i="112" s="1"/>
  <c r="E62" i="112"/>
  <c r="E67" i="112" s="1"/>
  <c r="F62" i="112"/>
  <c r="G62" i="112"/>
  <c r="G67" i="112" s="1"/>
  <c r="H62" i="112"/>
  <c r="H67" i="112" s="1"/>
  <c r="D63" i="112"/>
  <c r="E63" i="112"/>
  <c r="F63" i="112"/>
  <c r="G63" i="112"/>
  <c r="H63" i="112"/>
  <c r="F67" i="112"/>
  <c r="D87" i="112"/>
  <c r="D88" i="112" s="1"/>
  <c r="E90" i="112"/>
  <c r="F90" i="112"/>
  <c r="G90" i="112"/>
  <c r="H90" i="112"/>
  <c r="D101" i="112"/>
  <c r="D107" i="112"/>
  <c r="E107" i="112"/>
  <c r="F107" i="112"/>
  <c r="G107" i="112"/>
  <c r="H107" i="112"/>
  <c r="D108" i="112"/>
  <c r="E108" i="112"/>
  <c r="F108" i="112"/>
  <c r="G108" i="112"/>
  <c r="H108" i="112"/>
  <c r="D112" i="112"/>
  <c r="E112" i="112"/>
  <c r="F112" i="112"/>
  <c r="G112" i="112"/>
  <c r="H112" i="112"/>
  <c r="D113" i="112"/>
  <c r="E113" i="112"/>
  <c r="F113" i="112"/>
  <c r="G113" i="112"/>
  <c r="H113" i="112"/>
  <c r="D114" i="112"/>
  <c r="E114" i="112"/>
  <c r="F114" i="112"/>
  <c r="G114" i="112"/>
  <c r="H114" i="112"/>
  <c r="D115" i="112"/>
  <c r="E115" i="112"/>
  <c r="F115" i="112"/>
  <c r="G115" i="112"/>
  <c r="H115" i="112"/>
  <c r="D116" i="112"/>
  <c r="E116" i="112"/>
  <c r="F116" i="112"/>
  <c r="G116" i="112"/>
  <c r="H116" i="112"/>
  <c r="D117" i="112"/>
  <c r="E117" i="112"/>
  <c r="F117" i="112"/>
  <c r="G117" i="112"/>
  <c r="H117" i="112"/>
  <c r="D118" i="112"/>
  <c r="E118" i="112"/>
  <c r="F118" i="112"/>
  <c r="G118" i="112"/>
  <c r="H118" i="112"/>
  <c r="D119" i="112"/>
  <c r="E119" i="112"/>
  <c r="F119" i="112"/>
  <c r="G119" i="112"/>
  <c r="H119" i="112"/>
  <c r="D120" i="112"/>
  <c r="E120" i="112"/>
  <c r="F120" i="112"/>
  <c r="G120" i="112"/>
  <c r="H120" i="112"/>
  <c r="D121" i="112"/>
  <c r="E121" i="112"/>
  <c r="F121" i="112"/>
  <c r="G121" i="112"/>
  <c r="H121" i="112"/>
  <c r="D122" i="112"/>
  <c r="E122" i="112"/>
  <c r="F122" i="112"/>
  <c r="G122" i="112"/>
  <c r="H122" i="112"/>
  <c r="D123" i="112"/>
  <c r="E123" i="112"/>
  <c r="F123" i="112"/>
  <c r="G123" i="112"/>
  <c r="H123" i="112"/>
  <c r="I90" i="112"/>
  <c r="C88" i="112"/>
  <c r="W63" i="112"/>
  <c r="V63" i="112"/>
  <c r="U63" i="112"/>
  <c r="T63" i="112"/>
  <c r="S63" i="112"/>
  <c r="W61" i="112"/>
  <c r="V61" i="112"/>
  <c r="U61" i="112"/>
  <c r="T61" i="112"/>
  <c r="S61" i="112"/>
  <c r="W60" i="112"/>
  <c r="V60" i="112"/>
  <c r="U60" i="112"/>
  <c r="T60" i="112"/>
  <c r="S60" i="112"/>
  <c r="V62" i="112"/>
  <c r="V67" i="112"/>
  <c r="T22" i="112"/>
  <c r="S59" i="112"/>
  <c r="W58" i="112"/>
  <c r="W65" i="112" s="1"/>
  <c r="V58" i="112"/>
  <c r="V65" i="112" s="1"/>
  <c r="U58" i="112"/>
  <c r="U65" i="112" s="1"/>
  <c r="T58" i="112"/>
  <c r="T65" i="112" s="1"/>
  <c r="S58" i="112"/>
  <c r="S65" i="112" s="1"/>
  <c r="R82" i="98"/>
  <c r="Q82" i="98"/>
  <c r="P82" i="98"/>
  <c r="O82" i="98"/>
  <c r="N82" i="98"/>
  <c r="R80" i="98"/>
  <c r="Q80" i="98"/>
  <c r="P80" i="98"/>
  <c r="O80" i="98"/>
  <c r="N80" i="98"/>
  <c r="R79" i="98"/>
  <c r="Q79" i="98"/>
  <c r="P79" i="98"/>
  <c r="O79" i="98"/>
  <c r="N79" i="98"/>
  <c r="R78" i="98"/>
  <c r="Q78" i="98"/>
  <c r="P78" i="98"/>
  <c r="O78" i="98"/>
  <c r="N78" i="98"/>
  <c r="R77" i="98"/>
  <c r="Q77" i="98"/>
  <c r="P77" i="98"/>
  <c r="O77" i="98"/>
  <c r="N77" i="98"/>
  <c r="R76" i="98"/>
  <c r="Q76" i="98"/>
  <c r="P76" i="98"/>
  <c r="O76" i="98"/>
  <c r="N76" i="98"/>
  <c r="R75" i="98"/>
  <c r="Q75" i="98"/>
  <c r="P75" i="98"/>
  <c r="O75" i="98"/>
  <c r="N75" i="98"/>
  <c r="R71" i="98"/>
  <c r="Q71" i="98"/>
  <c r="P71" i="98"/>
  <c r="O71" i="98"/>
  <c r="N71" i="98"/>
  <c r="R69" i="98"/>
  <c r="Q69" i="98"/>
  <c r="P69" i="98"/>
  <c r="O69" i="98"/>
  <c r="N69" i="98"/>
  <c r="R68" i="98"/>
  <c r="Q68" i="98"/>
  <c r="P68" i="98"/>
  <c r="O68" i="98"/>
  <c r="N68" i="98"/>
  <c r="R67" i="98"/>
  <c r="Q67" i="98"/>
  <c r="P67" i="98"/>
  <c r="O67" i="98"/>
  <c r="N67" i="98"/>
  <c r="R66" i="98"/>
  <c r="Q66" i="98"/>
  <c r="P66" i="98"/>
  <c r="O66" i="98"/>
  <c r="N66" i="98"/>
  <c r="R65" i="98"/>
  <c r="Q65" i="98"/>
  <c r="P65" i="98"/>
  <c r="O65" i="98"/>
  <c r="N65" i="98"/>
  <c r="R64" i="98"/>
  <c r="Q64" i="98"/>
  <c r="P64" i="98"/>
  <c r="O64" i="98"/>
  <c r="N64" i="98"/>
  <c r="W66" i="36"/>
  <c r="X66" i="36"/>
  <c r="Y66" i="36"/>
  <c r="W49" i="36"/>
  <c r="W55" i="36"/>
  <c r="AC20" i="56"/>
  <c r="AH7" i="30"/>
  <c r="AI7" i="30"/>
  <c r="AJ7" i="30"/>
  <c r="AK7" i="30"/>
  <c r="AL7" i="30"/>
  <c r="W159" i="44"/>
  <c r="W155" i="44"/>
  <c r="J184" i="44"/>
  <c r="J183" i="44"/>
  <c r="J182" i="44"/>
  <c r="W20" i="44"/>
  <c r="W28" i="44"/>
  <c r="W41" i="44"/>
  <c r="W51" i="44"/>
  <c r="W61" i="44"/>
  <c r="V20" i="112"/>
  <c r="V22" i="112"/>
  <c r="T62" i="112"/>
  <c r="T67" i="112" s="1"/>
  <c r="U59" i="112"/>
  <c r="S20" i="112"/>
  <c r="W20" i="112"/>
  <c r="W59" i="112"/>
  <c r="S62" i="112"/>
  <c r="S67" i="112" s="1"/>
  <c r="S22" i="112"/>
  <c r="V59" i="112"/>
  <c r="U22" i="112"/>
  <c r="U62" i="112"/>
  <c r="U67" i="112" s="1"/>
  <c r="T20" i="112"/>
  <c r="T59" i="112"/>
  <c r="W62" i="112"/>
  <c r="W67" i="112" s="1"/>
  <c r="W22" i="112"/>
  <c r="U20" i="112"/>
  <c r="AH19" i="41"/>
  <c r="AG19" i="41"/>
  <c r="AI19" i="41"/>
  <c r="AJ19" i="41"/>
  <c r="AK19" i="41"/>
  <c r="AL19" i="41"/>
  <c r="AH7" i="57"/>
  <c r="AI7" i="57"/>
  <c r="AI68" i="57" s="1"/>
  <c r="BD68" i="57" s="1"/>
  <c r="AJ7" i="57"/>
  <c r="AK7" i="57"/>
  <c r="AK68" i="57"/>
  <c r="BF68" i="57" s="1"/>
  <c r="AL7" i="57"/>
  <c r="AL68" i="57" s="1"/>
  <c r="BG68" i="57" s="1"/>
  <c r="AL443" i="57"/>
  <c r="AK443" i="57"/>
  <c r="AJ443" i="57"/>
  <c r="AI443" i="57"/>
  <c r="AH443" i="57"/>
  <c r="AL440" i="57"/>
  <c r="AK440" i="57"/>
  <c r="AJ440" i="57"/>
  <c r="AI440" i="57"/>
  <c r="AH440" i="57"/>
  <c r="AL437" i="57"/>
  <c r="AK437" i="57"/>
  <c r="AJ437" i="57"/>
  <c r="AI437" i="57"/>
  <c r="AH437" i="57"/>
  <c r="AL434" i="57"/>
  <c r="AK434" i="57"/>
  <c r="AJ434" i="57"/>
  <c r="AI434" i="57"/>
  <c r="AH434" i="57"/>
  <c r="AL431" i="57"/>
  <c r="AK431" i="57"/>
  <c r="AJ431" i="57"/>
  <c r="AI431" i="57"/>
  <c r="AH431" i="57"/>
  <c r="AL428" i="57"/>
  <c r="AK428" i="57"/>
  <c r="AJ428" i="57"/>
  <c r="AI428" i="57"/>
  <c r="AH428" i="57"/>
  <c r="AL425" i="57"/>
  <c r="AK425" i="57"/>
  <c r="AJ425" i="57"/>
  <c r="AI425" i="57"/>
  <c r="AH425" i="57"/>
  <c r="AL422" i="57"/>
  <c r="AK422" i="57"/>
  <c r="AJ422" i="57"/>
  <c r="AI422" i="57"/>
  <c r="AH422" i="57"/>
  <c r="AL419" i="57"/>
  <c r="AK419" i="57"/>
  <c r="AJ419" i="57"/>
  <c r="AI419" i="57"/>
  <c r="AH419" i="57"/>
  <c r="AL416" i="57"/>
  <c r="AK416" i="57"/>
  <c r="AJ416" i="57"/>
  <c r="AI416" i="57"/>
  <c r="AH416" i="57"/>
  <c r="AL413" i="57"/>
  <c r="AK413" i="57"/>
  <c r="AJ413" i="57"/>
  <c r="AI413" i="57"/>
  <c r="AH413" i="57"/>
  <c r="AL410" i="57"/>
  <c r="AK410" i="57"/>
  <c r="AJ410" i="57"/>
  <c r="AI410" i="57"/>
  <c r="AH410" i="57"/>
  <c r="AL407" i="57"/>
  <c r="AK407" i="57"/>
  <c r="AJ407" i="57"/>
  <c r="AI407" i="57"/>
  <c r="AH407" i="57"/>
  <c r="AL404" i="57"/>
  <c r="AK404" i="57"/>
  <c r="AJ404" i="57"/>
  <c r="AI404" i="57"/>
  <c r="AH404" i="57"/>
  <c r="AL401" i="57"/>
  <c r="AK401" i="57"/>
  <c r="AJ401" i="57"/>
  <c r="AI401" i="57"/>
  <c r="AH401" i="57"/>
  <c r="AL398" i="57"/>
  <c r="AK398" i="57"/>
  <c r="AJ398" i="57"/>
  <c r="AI398" i="57"/>
  <c r="AH398" i="57"/>
  <c r="AL395" i="57"/>
  <c r="AK395" i="57"/>
  <c r="AJ395" i="57"/>
  <c r="AI395" i="57"/>
  <c r="AH395" i="57"/>
  <c r="AL392" i="57"/>
  <c r="AK392" i="57"/>
  <c r="AJ392" i="57"/>
  <c r="AI392" i="57"/>
  <c r="AH392" i="57"/>
  <c r="AL389" i="57"/>
  <c r="AK389" i="57"/>
  <c r="AJ389" i="57"/>
  <c r="AI389" i="57"/>
  <c r="AH389" i="57"/>
  <c r="AL386" i="57"/>
  <c r="AK386" i="57"/>
  <c r="AJ386" i="57"/>
  <c r="AI386" i="57"/>
  <c r="AH386" i="57"/>
  <c r="AL383" i="57"/>
  <c r="AK383" i="57"/>
  <c r="AJ383" i="57"/>
  <c r="AI383" i="57"/>
  <c r="AH383" i="57"/>
  <c r="AL380" i="57"/>
  <c r="AK380" i="57"/>
  <c r="AJ380" i="57"/>
  <c r="AI380" i="57"/>
  <c r="AH380" i="57"/>
  <c r="AL377" i="57"/>
  <c r="AK377" i="57"/>
  <c r="AJ377" i="57"/>
  <c r="AI377" i="57"/>
  <c r="AH377" i="57"/>
  <c r="AL374" i="57"/>
  <c r="AK374" i="57"/>
  <c r="AJ374" i="57"/>
  <c r="AI374" i="57"/>
  <c r="AH374" i="57"/>
  <c r="AL371" i="57"/>
  <c r="AK371" i="57"/>
  <c r="AJ371" i="57"/>
  <c r="AI371" i="57"/>
  <c r="AH371" i="57"/>
  <c r="AL368" i="57"/>
  <c r="AK368" i="57"/>
  <c r="AJ368" i="57"/>
  <c r="AI368" i="57"/>
  <c r="AH368" i="57"/>
  <c r="AL365" i="57"/>
  <c r="AK365" i="57"/>
  <c r="AJ365" i="57"/>
  <c r="AI365" i="57"/>
  <c r="AH365" i="57"/>
  <c r="AL362" i="57"/>
  <c r="AK362" i="57"/>
  <c r="AJ362" i="57"/>
  <c r="AI362" i="57"/>
  <c r="AH362" i="57"/>
  <c r="AL359" i="57"/>
  <c r="AK359" i="57"/>
  <c r="AJ359" i="57"/>
  <c r="AI359" i="57"/>
  <c r="AH359" i="57"/>
  <c r="AL356" i="57"/>
  <c r="AK356" i="57"/>
  <c r="AJ356" i="57"/>
  <c r="AI356" i="57"/>
  <c r="AH356" i="57"/>
  <c r="AL353" i="57"/>
  <c r="AK353" i="57"/>
  <c r="AJ353" i="57"/>
  <c r="AI353" i="57"/>
  <c r="AH353" i="57"/>
  <c r="AL350" i="57"/>
  <c r="AK350" i="57"/>
  <c r="AJ350" i="57"/>
  <c r="AI350" i="57"/>
  <c r="AH350" i="57"/>
  <c r="AL347" i="57"/>
  <c r="AK347" i="57"/>
  <c r="AJ347" i="57"/>
  <c r="AI347" i="57"/>
  <c r="AH347" i="57"/>
  <c r="AL344" i="57"/>
  <c r="AK344" i="57"/>
  <c r="AJ344" i="57"/>
  <c r="AI344" i="57"/>
  <c r="AH344" i="57"/>
  <c r="AL341" i="57"/>
  <c r="AK341" i="57"/>
  <c r="AJ341" i="57"/>
  <c r="AI341" i="57"/>
  <c r="AH341" i="57"/>
  <c r="AL338" i="57"/>
  <c r="AK338" i="57"/>
  <c r="AJ338" i="57"/>
  <c r="AI338" i="57"/>
  <c r="AH338" i="57"/>
  <c r="AL335" i="57"/>
  <c r="AK335" i="57"/>
  <c r="AJ335" i="57"/>
  <c r="AI335" i="57"/>
  <c r="AH335" i="57"/>
  <c r="AL332" i="57"/>
  <c r="AK332" i="57"/>
  <c r="AJ332" i="57"/>
  <c r="AI332" i="57"/>
  <c r="AH332" i="57"/>
  <c r="AL329" i="57"/>
  <c r="AK329" i="57"/>
  <c r="AJ329" i="57"/>
  <c r="AI329" i="57"/>
  <c r="AH329" i="57"/>
  <c r="AL326" i="57"/>
  <c r="AK326" i="57"/>
  <c r="AJ326" i="57"/>
  <c r="AI326" i="57"/>
  <c r="AH326" i="57"/>
  <c r="AL323" i="57"/>
  <c r="AK323" i="57"/>
  <c r="AJ323" i="57"/>
  <c r="AI323" i="57"/>
  <c r="AH323" i="57"/>
  <c r="AL320" i="57"/>
  <c r="AK320" i="57"/>
  <c r="AJ320" i="57"/>
  <c r="AI320" i="57"/>
  <c r="AH320" i="57"/>
  <c r="AL317" i="57"/>
  <c r="AK317" i="57"/>
  <c r="AJ317" i="57"/>
  <c r="AI317" i="57"/>
  <c r="AH317" i="57"/>
  <c r="AL314" i="57"/>
  <c r="AK314" i="57"/>
  <c r="AJ314" i="57"/>
  <c r="AI314" i="57"/>
  <c r="AH314" i="57"/>
  <c r="AL311" i="57"/>
  <c r="AK311" i="57"/>
  <c r="AJ311" i="57"/>
  <c r="AI311" i="57"/>
  <c r="AH311" i="57"/>
  <c r="AL308" i="57"/>
  <c r="AK308" i="57"/>
  <c r="AJ308" i="57"/>
  <c r="AI308" i="57"/>
  <c r="AH308" i="57"/>
  <c r="AL305" i="57"/>
  <c r="AK305" i="57"/>
  <c r="AJ305" i="57"/>
  <c r="AI305" i="57"/>
  <c r="AH305" i="57"/>
  <c r="AL302" i="57"/>
  <c r="AK302" i="57"/>
  <c r="AJ302" i="57"/>
  <c r="AI302" i="57"/>
  <c r="AH302" i="57"/>
  <c r="AL299" i="57"/>
  <c r="AK299" i="57"/>
  <c r="AJ299" i="57"/>
  <c r="AI299" i="57"/>
  <c r="AH299" i="57"/>
  <c r="AL296" i="57"/>
  <c r="AK296" i="57"/>
  <c r="AJ296" i="57"/>
  <c r="AI296" i="57"/>
  <c r="AH296" i="57"/>
  <c r="AL293" i="57"/>
  <c r="AK293" i="57"/>
  <c r="AJ293" i="57"/>
  <c r="AI293" i="57"/>
  <c r="AH293" i="57"/>
  <c r="AL290" i="57"/>
  <c r="AK290" i="57"/>
  <c r="AJ290" i="57"/>
  <c r="AI290" i="57"/>
  <c r="AH290" i="57"/>
  <c r="AL287" i="57"/>
  <c r="AK287" i="57"/>
  <c r="AJ287" i="57"/>
  <c r="AI287" i="57"/>
  <c r="AH287" i="57"/>
  <c r="AL284" i="57"/>
  <c r="AK284" i="57"/>
  <c r="AJ284" i="57"/>
  <c r="AI284" i="57"/>
  <c r="AH284" i="57"/>
  <c r="AL281" i="57"/>
  <c r="AK281" i="57"/>
  <c r="AJ281" i="57"/>
  <c r="AI281" i="57"/>
  <c r="AH281" i="57"/>
  <c r="AL278" i="57"/>
  <c r="AK278" i="57"/>
  <c r="AJ278" i="57"/>
  <c r="AI278" i="57"/>
  <c r="AH278" i="57"/>
  <c r="AL275" i="57"/>
  <c r="AK275" i="57"/>
  <c r="AJ275" i="57"/>
  <c r="AI275" i="57"/>
  <c r="AH275" i="57"/>
  <c r="AL272" i="57"/>
  <c r="AK272" i="57"/>
  <c r="AJ272" i="57"/>
  <c r="AI272" i="57"/>
  <c r="AH272" i="57"/>
  <c r="AL269" i="57"/>
  <c r="AK269" i="57"/>
  <c r="AJ269" i="57"/>
  <c r="AI269" i="57"/>
  <c r="AH269" i="57"/>
  <c r="AL266" i="57"/>
  <c r="AK266" i="57"/>
  <c r="AJ266" i="57"/>
  <c r="AI266" i="57"/>
  <c r="AH266" i="57"/>
  <c r="AL263" i="57"/>
  <c r="AK263" i="57"/>
  <c r="AJ263" i="57"/>
  <c r="AI263" i="57"/>
  <c r="AH263" i="57"/>
  <c r="AL260" i="57"/>
  <c r="AK260" i="57"/>
  <c r="AJ260" i="57"/>
  <c r="AI260" i="57"/>
  <c r="AH260" i="57"/>
  <c r="AL257" i="57"/>
  <c r="AK257" i="57"/>
  <c r="AJ257" i="57"/>
  <c r="AI257" i="57"/>
  <c r="AH257" i="57"/>
  <c r="AL254" i="57"/>
  <c r="AK254" i="57"/>
  <c r="AJ254" i="57"/>
  <c r="AI254" i="57"/>
  <c r="AH254" i="57"/>
  <c r="AL251" i="57"/>
  <c r="AK251" i="57"/>
  <c r="AJ251" i="57"/>
  <c r="AI251" i="57"/>
  <c r="AH251" i="57"/>
  <c r="AL248" i="57"/>
  <c r="AK248" i="57"/>
  <c r="AJ248" i="57"/>
  <c r="AI248" i="57"/>
  <c r="AH248" i="57"/>
  <c r="AL245" i="57"/>
  <c r="AK245" i="57"/>
  <c r="AJ245" i="57"/>
  <c r="AI245" i="57"/>
  <c r="AH245" i="57"/>
  <c r="AL242" i="57"/>
  <c r="AK242" i="57"/>
  <c r="AJ242" i="57"/>
  <c r="AI242" i="57"/>
  <c r="AH242" i="57"/>
  <c r="AL239" i="57"/>
  <c r="AK239" i="57"/>
  <c r="AJ239" i="57"/>
  <c r="AI239" i="57"/>
  <c r="AH239" i="57"/>
  <c r="AL236" i="57"/>
  <c r="AK236" i="57"/>
  <c r="AJ236" i="57"/>
  <c r="AI236" i="57"/>
  <c r="AH236" i="57"/>
  <c r="AL233" i="57"/>
  <c r="AK233" i="57"/>
  <c r="AJ233" i="57"/>
  <c r="AI233" i="57"/>
  <c r="AH233" i="57"/>
  <c r="AL230" i="57"/>
  <c r="AK230" i="57"/>
  <c r="AJ230" i="57"/>
  <c r="AI230" i="57"/>
  <c r="AH230" i="57"/>
  <c r="AL227" i="57"/>
  <c r="AK227" i="57"/>
  <c r="AJ227" i="57"/>
  <c r="AI227" i="57"/>
  <c r="AH227" i="57"/>
  <c r="AL224" i="57"/>
  <c r="AK224" i="57"/>
  <c r="AJ224" i="57"/>
  <c r="AI224" i="57"/>
  <c r="AH224" i="57"/>
  <c r="AL221" i="57"/>
  <c r="AK221" i="57"/>
  <c r="AJ221" i="57"/>
  <c r="AI221" i="57"/>
  <c r="AH221" i="57"/>
  <c r="AL218" i="57"/>
  <c r="AK218" i="57"/>
  <c r="AJ218" i="57"/>
  <c r="AI218" i="57"/>
  <c r="AH218" i="57"/>
  <c r="AL215" i="57"/>
  <c r="AK215" i="57"/>
  <c r="AJ215" i="57"/>
  <c r="AI215" i="57"/>
  <c r="AH215" i="57"/>
  <c r="AL212" i="57"/>
  <c r="AK212" i="57"/>
  <c r="AJ212" i="57"/>
  <c r="AI212" i="57"/>
  <c r="AH212" i="57"/>
  <c r="AL209" i="57"/>
  <c r="AK209" i="57"/>
  <c r="AJ209" i="57"/>
  <c r="AI209" i="57"/>
  <c r="AH209" i="57"/>
  <c r="AL206" i="57"/>
  <c r="AK206" i="57"/>
  <c r="AJ206" i="57"/>
  <c r="AI206" i="57"/>
  <c r="AH206" i="57"/>
  <c r="AL203" i="57"/>
  <c r="AK203" i="57"/>
  <c r="AJ203" i="57"/>
  <c r="AI203" i="57"/>
  <c r="AH203" i="57"/>
  <c r="AL200" i="57"/>
  <c r="AK200" i="57"/>
  <c r="AJ200" i="57"/>
  <c r="AI200" i="57"/>
  <c r="AH200" i="57"/>
  <c r="AL197" i="57"/>
  <c r="AK197" i="57"/>
  <c r="AJ197" i="57"/>
  <c r="AI197" i="57"/>
  <c r="AH197" i="57"/>
  <c r="AL194" i="57"/>
  <c r="AK194" i="57"/>
  <c r="AJ194" i="57"/>
  <c r="AI194" i="57"/>
  <c r="AH194" i="57"/>
  <c r="AL191" i="57"/>
  <c r="AK191" i="57"/>
  <c r="AJ191" i="57"/>
  <c r="AI191" i="57"/>
  <c r="AH191" i="57"/>
  <c r="AL188" i="57"/>
  <c r="AK188" i="57"/>
  <c r="AJ188" i="57"/>
  <c r="AI188" i="57"/>
  <c r="AH188" i="57"/>
  <c r="AL185" i="57"/>
  <c r="AK185" i="57"/>
  <c r="AJ185" i="57"/>
  <c r="AI185" i="57"/>
  <c r="AH185" i="57"/>
  <c r="AL182" i="57"/>
  <c r="AK182" i="57"/>
  <c r="AJ182" i="57"/>
  <c r="AI182" i="57"/>
  <c r="AH182" i="57"/>
  <c r="AL179" i="57"/>
  <c r="AK179" i="57"/>
  <c r="AJ179" i="57"/>
  <c r="AI179" i="57"/>
  <c r="AH179" i="57"/>
  <c r="AL176" i="57"/>
  <c r="AK176" i="57"/>
  <c r="AJ176" i="57"/>
  <c r="AI176" i="57"/>
  <c r="AH176" i="57"/>
  <c r="AL173" i="57"/>
  <c r="AK173" i="57"/>
  <c r="AJ173" i="57"/>
  <c r="AI173" i="57"/>
  <c r="AH173" i="57"/>
  <c r="AL170" i="57"/>
  <c r="AK170" i="57"/>
  <c r="AJ170" i="57"/>
  <c r="AI170" i="57"/>
  <c r="AH170" i="57"/>
  <c r="AL167" i="57"/>
  <c r="AK167" i="57"/>
  <c r="AJ167" i="57"/>
  <c r="AI167" i="57"/>
  <c r="AH167" i="57"/>
  <c r="AL164" i="57"/>
  <c r="AK164" i="57"/>
  <c r="AJ164" i="57"/>
  <c r="AI164" i="57"/>
  <c r="AH164" i="57"/>
  <c r="AL161" i="57"/>
  <c r="AK161" i="57"/>
  <c r="AJ161" i="57"/>
  <c r="AI161" i="57"/>
  <c r="AH161" i="57"/>
  <c r="AL158" i="57"/>
  <c r="AK158" i="57"/>
  <c r="AJ158" i="57"/>
  <c r="AI158" i="57"/>
  <c r="AH158" i="57"/>
  <c r="AL155" i="57"/>
  <c r="AK155" i="57"/>
  <c r="AJ155" i="57"/>
  <c r="AI155" i="57"/>
  <c r="AH155" i="57"/>
  <c r="AL152" i="57"/>
  <c r="AK152" i="57"/>
  <c r="AJ152" i="57"/>
  <c r="AI152" i="57"/>
  <c r="AH152" i="57"/>
  <c r="AL149" i="57"/>
  <c r="AK149" i="57"/>
  <c r="AJ149" i="57"/>
  <c r="AI149" i="57"/>
  <c r="AH149" i="57"/>
  <c r="AL146" i="57"/>
  <c r="AK146" i="57"/>
  <c r="AJ146" i="57"/>
  <c r="AI146" i="57"/>
  <c r="AH146" i="57"/>
  <c r="AL143" i="57"/>
  <c r="AK143" i="57"/>
  <c r="AJ143" i="57"/>
  <c r="AI143" i="57"/>
  <c r="AH143" i="57"/>
  <c r="AL140" i="57"/>
  <c r="AK140" i="57"/>
  <c r="AJ140" i="57"/>
  <c r="AI140" i="57"/>
  <c r="AH140" i="57"/>
  <c r="AL137" i="57"/>
  <c r="AK137" i="57"/>
  <c r="AJ137" i="57"/>
  <c r="AI137" i="57"/>
  <c r="AH137" i="57"/>
  <c r="AL134" i="57"/>
  <c r="AK134" i="57"/>
  <c r="AJ134" i="57"/>
  <c r="AI134" i="57"/>
  <c r="AH134" i="57"/>
  <c r="AL131" i="57"/>
  <c r="AK131" i="57"/>
  <c r="AJ131" i="57"/>
  <c r="AI131" i="57"/>
  <c r="AH131" i="57"/>
  <c r="AL128" i="57"/>
  <c r="AK128" i="57"/>
  <c r="AJ128" i="57"/>
  <c r="AI128" i="57"/>
  <c r="AH128" i="57"/>
  <c r="AL125" i="57"/>
  <c r="AK125" i="57"/>
  <c r="AJ125" i="57"/>
  <c r="AI125" i="57"/>
  <c r="AH125" i="57"/>
  <c r="AL122" i="57"/>
  <c r="AK122" i="57"/>
  <c r="AJ122" i="57"/>
  <c r="AI122" i="57"/>
  <c r="AH122" i="57"/>
  <c r="AL119" i="57"/>
  <c r="AK119" i="57"/>
  <c r="AJ119" i="57"/>
  <c r="AI119" i="57"/>
  <c r="AH119" i="57"/>
  <c r="AL116" i="57"/>
  <c r="AK116" i="57"/>
  <c r="AJ116" i="57"/>
  <c r="AI116" i="57"/>
  <c r="AH116" i="57"/>
  <c r="AL113" i="57"/>
  <c r="AK113" i="57"/>
  <c r="AJ113" i="57"/>
  <c r="AI113" i="57"/>
  <c r="AH113" i="57"/>
  <c r="AL110" i="57"/>
  <c r="AK110" i="57"/>
  <c r="AJ110" i="57"/>
  <c r="AI110" i="57"/>
  <c r="AH110" i="57"/>
  <c r="AL107" i="57"/>
  <c r="AK107" i="57"/>
  <c r="AJ107" i="57"/>
  <c r="AI107" i="57"/>
  <c r="AH107" i="57"/>
  <c r="AL104" i="57"/>
  <c r="AK104" i="57"/>
  <c r="AJ104" i="57"/>
  <c r="AI104" i="57"/>
  <c r="AH104" i="57"/>
  <c r="AL101" i="57"/>
  <c r="AK101" i="57"/>
  <c r="AJ101" i="57"/>
  <c r="AI101" i="57"/>
  <c r="AH101" i="57"/>
  <c r="AL98" i="57"/>
  <c r="AK98" i="57"/>
  <c r="AJ98" i="57"/>
  <c r="AI98" i="57"/>
  <c r="AH98" i="57"/>
  <c r="AL95" i="57"/>
  <c r="AK95" i="57"/>
  <c r="AJ95" i="57"/>
  <c r="AI95" i="57"/>
  <c r="AH95" i="57"/>
  <c r="AL92" i="57"/>
  <c r="AK92" i="57"/>
  <c r="AJ92" i="57"/>
  <c r="AI92" i="57"/>
  <c r="AH92" i="57"/>
  <c r="AL89" i="57"/>
  <c r="AK89" i="57"/>
  <c r="AJ89" i="57"/>
  <c r="AI89" i="57"/>
  <c r="AH89" i="57"/>
  <c r="AL86" i="57"/>
  <c r="AK86" i="57"/>
  <c r="AJ86" i="57"/>
  <c r="AI86" i="57"/>
  <c r="AH86" i="57"/>
  <c r="AL83" i="57"/>
  <c r="AK83" i="57"/>
  <c r="AJ83" i="57"/>
  <c r="AI83" i="57"/>
  <c r="AH83" i="57"/>
  <c r="AL80" i="57"/>
  <c r="AK80" i="57"/>
  <c r="AJ80" i="57"/>
  <c r="AI80" i="57"/>
  <c r="AH80" i="57"/>
  <c r="AL77" i="57"/>
  <c r="AK77" i="57"/>
  <c r="AK13" i="57" s="1"/>
  <c r="AJ77" i="57"/>
  <c r="AI77" i="57"/>
  <c r="AH77" i="57"/>
  <c r="AL74" i="57"/>
  <c r="AK74" i="57"/>
  <c r="AJ74" i="57"/>
  <c r="AI74" i="57"/>
  <c r="AH74" i="57"/>
  <c r="AH13" i="57" s="1"/>
  <c r="AL71" i="57"/>
  <c r="AK71" i="57"/>
  <c r="AJ71" i="57"/>
  <c r="AI71" i="57"/>
  <c r="AH71" i="57"/>
  <c r="AL62" i="57"/>
  <c r="AK62" i="57"/>
  <c r="AJ62" i="57"/>
  <c r="AI62" i="57"/>
  <c r="AH62" i="57"/>
  <c r="AL55" i="57"/>
  <c r="AL57" i="57" s="1"/>
  <c r="AL12" i="57" s="1"/>
  <c r="AK55" i="57"/>
  <c r="AJ55" i="57"/>
  <c r="AI55" i="57"/>
  <c r="AH55" i="57"/>
  <c r="AH57" i="57"/>
  <c r="AH12" i="57" s="1"/>
  <c r="AL49" i="57"/>
  <c r="AK49" i="57"/>
  <c r="AK57" i="57"/>
  <c r="AK12" i="57" s="1"/>
  <c r="AJ49" i="57"/>
  <c r="AI49" i="57"/>
  <c r="AI57" i="57" s="1"/>
  <c r="AI12" i="57" s="1"/>
  <c r="AH49" i="57"/>
  <c r="AL15" i="57"/>
  <c r="AK15" i="57"/>
  <c r="AJ15" i="57"/>
  <c r="AI15" i="57"/>
  <c r="AH15" i="57"/>
  <c r="AJ68" i="57"/>
  <c r="BE68" i="57" s="1"/>
  <c r="AH68" i="57"/>
  <c r="BC68" i="57" s="1"/>
  <c r="AG7" i="36"/>
  <c r="AH7" i="36"/>
  <c r="AI7" i="36"/>
  <c r="AJ7" i="36"/>
  <c r="AJ68" i="36" s="1"/>
  <c r="BE68" i="36" s="1"/>
  <c r="AK7" i="36"/>
  <c r="AK68" i="36"/>
  <c r="BF68" i="36" s="1"/>
  <c r="AL7" i="36"/>
  <c r="AL68" i="36" s="1"/>
  <c r="BG68" i="36" s="1"/>
  <c r="AL443" i="36"/>
  <c r="AK443" i="36"/>
  <c r="AJ443" i="36"/>
  <c r="AI443" i="36"/>
  <c r="AH443" i="36"/>
  <c r="AL440" i="36"/>
  <c r="AK440" i="36"/>
  <c r="AJ440" i="36"/>
  <c r="AI440" i="36"/>
  <c r="AH440" i="36"/>
  <c r="AL437" i="36"/>
  <c r="AK437" i="36"/>
  <c r="AJ437" i="36"/>
  <c r="AI437" i="36"/>
  <c r="AH437" i="36"/>
  <c r="AL434" i="36"/>
  <c r="AK434" i="36"/>
  <c r="AJ434" i="36"/>
  <c r="AI434" i="36"/>
  <c r="AH434" i="36"/>
  <c r="AL431" i="36"/>
  <c r="AK431" i="36"/>
  <c r="AJ431" i="36"/>
  <c r="AI431" i="36"/>
  <c r="AH431" i="36"/>
  <c r="AL428" i="36"/>
  <c r="AK428" i="36"/>
  <c r="AJ428" i="36"/>
  <c r="AI428" i="36"/>
  <c r="AH428" i="36"/>
  <c r="AL425" i="36"/>
  <c r="AK425" i="36"/>
  <c r="AJ425" i="36"/>
  <c r="AI425" i="36"/>
  <c r="AH425" i="36"/>
  <c r="AL422" i="36"/>
  <c r="AK422" i="36"/>
  <c r="AJ422" i="36"/>
  <c r="AI422" i="36"/>
  <c r="AH422" i="36"/>
  <c r="AL419" i="36"/>
  <c r="AK419" i="36"/>
  <c r="AJ419" i="36"/>
  <c r="AI419" i="36"/>
  <c r="AH419" i="36"/>
  <c r="AL416" i="36"/>
  <c r="AK416" i="36"/>
  <c r="AJ416" i="36"/>
  <c r="AI416" i="36"/>
  <c r="AH416" i="36"/>
  <c r="AL413" i="36"/>
  <c r="AK413" i="36"/>
  <c r="AJ413" i="36"/>
  <c r="AI413" i="36"/>
  <c r="AH413" i="36"/>
  <c r="AL410" i="36"/>
  <c r="AK410" i="36"/>
  <c r="AJ410" i="36"/>
  <c r="AI410" i="36"/>
  <c r="AH410" i="36"/>
  <c r="AL407" i="36"/>
  <c r="AK407" i="36"/>
  <c r="AJ407" i="36"/>
  <c r="AI407" i="36"/>
  <c r="AH407" i="36"/>
  <c r="AL404" i="36"/>
  <c r="AK404" i="36"/>
  <c r="AJ404" i="36"/>
  <c r="AI404" i="36"/>
  <c r="AH404" i="36"/>
  <c r="AL401" i="36"/>
  <c r="AK401" i="36"/>
  <c r="AJ401" i="36"/>
  <c r="AI401" i="36"/>
  <c r="AH401" i="36"/>
  <c r="AL398" i="36"/>
  <c r="AK398" i="36"/>
  <c r="AJ398" i="36"/>
  <c r="AI398" i="36"/>
  <c r="AH398" i="36"/>
  <c r="AL395" i="36"/>
  <c r="AK395" i="36"/>
  <c r="AJ395" i="36"/>
  <c r="AI395" i="36"/>
  <c r="AH395" i="36"/>
  <c r="AL392" i="36"/>
  <c r="AK392" i="36"/>
  <c r="AJ392" i="36"/>
  <c r="AI392" i="36"/>
  <c r="AH392" i="36"/>
  <c r="AL389" i="36"/>
  <c r="AK389" i="36"/>
  <c r="AJ389" i="36"/>
  <c r="AI389" i="36"/>
  <c r="AH389" i="36"/>
  <c r="AL386" i="36"/>
  <c r="AK386" i="36"/>
  <c r="AJ386" i="36"/>
  <c r="AI386" i="36"/>
  <c r="AH386" i="36"/>
  <c r="AL383" i="36"/>
  <c r="AK383" i="36"/>
  <c r="AJ383" i="36"/>
  <c r="AI383" i="36"/>
  <c r="AH383" i="36"/>
  <c r="AL380" i="36"/>
  <c r="AK380" i="36"/>
  <c r="AJ380" i="36"/>
  <c r="AI380" i="36"/>
  <c r="AH380" i="36"/>
  <c r="AL377" i="36"/>
  <c r="AK377" i="36"/>
  <c r="AJ377" i="36"/>
  <c r="AI377" i="36"/>
  <c r="AH377" i="36"/>
  <c r="AL374" i="36"/>
  <c r="AK374" i="36"/>
  <c r="AJ374" i="36"/>
  <c r="AI374" i="36"/>
  <c r="AH374" i="36"/>
  <c r="AL371" i="36"/>
  <c r="AK371" i="36"/>
  <c r="AJ371" i="36"/>
  <c r="AI371" i="36"/>
  <c r="AH371" i="36"/>
  <c r="AL368" i="36"/>
  <c r="AK368" i="36"/>
  <c r="AJ368" i="36"/>
  <c r="AI368" i="36"/>
  <c r="AH368" i="36"/>
  <c r="AL365" i="36"/>
  <c r="AK365" i="36"/>
  <c r="AJ365" i="36"/>
  <c r="AI365" i="36"/>
  <c r="AH365" i="36"/>
  <c r="AL362" i="36"/>
  <c r="AK362" i="36"/>
  <c r="AJ362" i="36"/>
  <c r="AI362" i="36"/>
  <c r="AH362" i="36"/>
  <c r="AL359" i="36"/>
  <c r="AK359" i="36"/>
  <c r="AJ359" i="36"/>
  <c r="AI359" i="36"/>
  <c r="AH359" i="36"/>
  <c r="AL356" i="36"/>
  <c r="AK356" i="36"/>
  <c r="AJ356" i="36"/>
  <c r="AI356" i="36"/>
  <c r="AH356" i="36"/>
  <c r="AL353" i="36"/>
  <c r="AK353" i="36"/>
  <c r="AJ353" i="36"/>
  <c r="AI353" i="36"/>
  <c r="AH353" i="36"/>
  <c r="AL350" i="36"/>
  <c r="AK350" i="36"/>
  <c r="AJ350" i="36"/>
  <c r="AI350" i="36"/>
  <c r="AH350" i="36"/>
  <c r="AL347" i="36"/>
  <c r="AK347" i="36"/>
  <c r="AJ347" i="36"/>
  <c r="AI347" i="36"/>
  <c r="AH347" i="36"/>
  <c r="AL344" i="36"/>
  <c r="AK344" i="36"/>
  <c r="AJ344" i="36"/>
  <c r="AI344" i="36"/>
  <c r="AH344" i="36"/>
  <c r="AL341" i="36"/>
  <c r="AK341" i="36"/>
  <c r="AJ341" i="36"/>
  <c r="AI341" i="36"/>
  <c r="AH341" i="36"/>
  <c r="AL338" i="36"/>
  <c r="AK338" i="36"/>
  <c r="AJ338" i="36"/>
  <c r="AI338" i="36"/>
  <c r="AH338" i="36"/>
  <c r="AL335" i="36"/>
  <c r="AK335" i="36"/>
  <c r="AJ335" i="36"/>
  <c r="AI335" i="36"/>
  <c r="AH335" i="36"/>
  <c r="AL332" i="36"/>
  <c r="AK332" i="36"/>
  <c r="AJ332" i="36"/>
  <c r="AI332" i="36"/>
  <c r="AH332" i="36"/>
  <c r="AL329" i="36"/>
  <c r="AK329" i="36"/>
  <c r="AJ329" i="36"/>
  <c r="AI329" i="36"/>
  <c r="AH329" i="36"/>
  <c r="AL326" i="36"/>
  <c r="AK326" i="36"/>
  <c r="AJ326" i="36"/>
  <c r="AI326" i="36"/>
  <c r="AH326" i="36"/>
  <c r="AL323" i="36"/>
  <c r="AK323" i="36"/>
  <c r="AJ323" i="36"/>
  <c r="AI323" i="36"/>
  <c r="AH323" i="36"/>
  <c r="AL320" i="36"/>
  <c r="AK320" i="36"/>
  <c r="AJ320" i="36"/>
  <c r="AI320" i="36"/>
  <c r="AH320" i="36"/>
  <c r="AL317" i="36"/>
  <c r="AK317" i="36"/>
  <c r="AJ317" i="36"/>
  <c r="AI317" i="36"/>
  <c r="AH317" i="36"/>
  <c r="AL314" i="36"/>
  <c r="AK314" i="36"/>
  <c r="AJ314" i="36"/>
  <c r="AI314" i="36"/>
  <c r="AH314" i="36"/>
  <c r="AL311" i="36"/>
  <c r="AK311" i="36"/>
  <c r="AJ311" i="36"/>
  <c r="AI311" i="36"/>
  <c r="AH311" i="36"/>
  <c r="AL308" i="36"/>
  <c r="AK308" i="36"/>
  <c r="AJ308" i="36"/>
  <c r="AI308" i="36"/>
  <c r="AH308" i="36"/>
  <c r="AL305" i="36"/>
  <c r="AK305" i="36"/>
  <c r="AJ305" i="36"/>
  <c r="AI305" i="36"/>
  <c r="AH305" i="36"/>
  <c r="AL302" i="36"/>
  <c r="AK302" i="36"/>
  <c r="AJ302" i="36"/>
  <c r="AI302" i="36"/>
  <c r="AH302" i="36"/>
  <c r="AL299" i="36"/>
  <c r="AK299" i="36"/>
  <c r="AJ299" i="36"/>
  <c r="AI299" i="36"/>
  <c r="AH299" i="36"/>
  <c r="AL296" i="36"/>
  <c r="AK296" i="36"/>
  <c r="AJ296" i="36"/>
  <c r="AI296" i="36"/>
  <c r="AH296" i="36"/>
  <c r="AL293" i="36"/>
  <c r="AK293" i="36"/>
  <c r="AJ293" i="36"/>
  <c r="AI293" i="36"/>
  <c r="AH293" i="36"/>
  <c r="AL290" i="36"/>
  <c r="AK290" i="36"/>
  <c r="AJ290" i="36"/>
  <c r="AI290" i="36"/>
  <c r="AH290" i="36"/>
  <c r="AL287" i="36"/>
  <c r="AK287" i="36"/>
  <c r="AJ287" i="36"/>
  <c r="AI287" i="36"/>
  <c r="AH287" i="36"/>
  <c r="AL284" i="36"/>
  <c r="AK284" i="36"/>
  <c r="AJ284" i="36"/>
  <c r="AI284" i="36"/>
  <c r="AH284" i="36"/>
  <c r="AL281" i="36"/>
  <c r="AK281" i="36"/>
  <c r="AJ281" i="36"/>
  <c r="AI281" i="36"/>
  <c r="AH281" i="36"/>
  <c r="AL278" i="36"/>
  <c r="AK278" i="36"/>
  <c r="AJ278" i="36"/>
  <c r="AI278" i="36"/>
  <c r="AH278" i="36"/>
  <c r="AL275" i="36"/>
  <c r="AK275" i="36"/>
  <c r="AJ275" i="36"/>
  <c r="AI275" i="36"/>
  <c r="AH275" i="36"/>
  <c r="AL272" i="36"/>
  <c r="AK272" i="36"/>
  <c r="AJ272" i="36"/>
  <c r="AI272" i="36"/>
  <c r="AH272" i="36"/>
  <c r="AL269" i="36"/>
  <c r="AK269" i="36"/>
  <c r="AJ269" i="36"/>
  <c r="AI269" i="36"/>
  <c r="AH269" i="36"/>
  <c r="AL266" i="36"/>
  <c r="AK266" i="36"/>
  <c r="AJ266" i="36"/>
  <c r="AI266" i="36"/>
  <c r="AH266" i="36"/>
  <c r="AL74" i="36"/>
  <c r="AK74" i="36"/>
  <c r="AJ74" i="36"/>
  <c r="AI74" i="36"/>
  <c r="AH74" i="36"/>
  <c r="AL71" i="36"/>
  <c r="AK71" i="36"/>
  <c r="AJ71" i="36"/>
  <c r="AI71" i="36"/>
  <c r="AH71" i="36"/>
  <c r="AH68" i="36"/>
  <c r="BC68" i="36" s="1"/>
  <c r="AL62" i="36"/>
  <c r="AK62" i="36"/>
  <c r="AJ62" i="36"/>
  <c r="AI62" i="36"/>
  <c r="AH62" i="36"/>
  <c r="AL55" i="36"/>
  <c r="AK55" i="36"/>
  <c r="AJ55" i="36"/>
  <c r="AJ57" i="36" s="1"/>
  <c r="AJ12" i="36" s="1"/>
  <c r="AI55" i="36"/>
  <c r="AH55" i="36"/>
  <c r="AL49" i="36"/>
  <c r="AL57" i="36" s="1"/>
  <c r="AL12" i="36" s="1"/>
  <c r="AK49" i="36"/>
  <c r="AK57" i="36" s="1"/>
  <c r="AK12" i="36" s="1"/>
  <c r="AJ49" i="36"/>
  <c r="AI49" i="36"/>
  <c r="AI57" i="36" s="1"/>
  <c r="AI12" i="36" s="1"/>
  <c r="AH49" i="36"/>
  <c r="AL15" i="36"/>
  <c r="AK15" i="36"/>
  <c r="AJ15" i="36"/>
  <c r="AI15" i="36"/>
  <c r="AH15" i="36"/>
  <c r="AI68" i="36"/>
  <c r="BD68" i="36" s="1"/>
  <c r="AH7" i="44"/>
  <c r="AI7" i="44"/>
  <c r="AJ7" i="44"/>
  <c r="AK7" i="44"/>
  <c r="AL7" i="44"/>
  <c r="AH138" i="44"/>
  <c r="AL61" i="44"/>
  <c r="AL194" i="44" s="1"/>
  <c r="AK61" i="44"/>
  <c r="AK194" i="44" s="1"/>
  <c r="AJ61" i="44"/>
  <c r="AJ194" i="44" s="1"/>
  <c r="AI61" i="44"/>
  <c r="AI194" i="44" s="1"/>
  <c r="AH61" i="44"/>
  <c r="AH194" i="44" s="1"/>
  <c r="AL51" i="44"/>
  <c r="AL138" i="44"/>
  <c r="AK51" i="44"/>
  <c r="AK138" i="44" s="1"/>
  <c r="AJ51" i="44"/>
  <c r="AJ138" i="44" s="1"/>
  <c r="AI51" i="44"/>
  <c r="AI138" i="44" s="1"/>
  <c r="AH51" i="44"/>
  <c r="AL41" i="44"/>
  <c r="AL132" i="44" s="1"/>
  <c r="AL208" i="44" s="1"/>
  <c r="AK41" i="44"/>
  <c r="AK132" i="44" s="1"/>
  <c r="AK208" i="44" s="1"/>
  <c r="AJ41" i="44"/>
  <c r="AJ132" i="44"/>
  <c r="AJ208" i="44" s="1"/>
  <c r="AI41" i="44"/>
  <c r="AI132" i="44" s="1"/>
  <c r="AI208" i="44" s="1"/>
  <c r="AH41" i="44"/>
  <c r="AH132" i="44"/>
  <c r="AH208" i="44" s="1"/>
  <c r="AL28" i="44"/>
  <c r="AL100" i="44" s="1"/>
  <c r="AK28" i="44"/>
  <c r="AK100" i="44" s="1"/>
  <c r="AJ28" i="44"/>
  <c r="AJ100" i="44"/>
  <c r="AI28" i="44"/>
  <c r="AI100" i="44" s="1"/>
  <c r="AH28" i="44"/>
  <c r="AH100" i="44" s="1"/>
  <c r="AL20" i="44"/>
  <c r="AL91" i="44" s="1"/>
  <c r="AK20" i="44"/>
  <c r="AK91" i="44" s="1"/>
  <c r="AJ20" i="44"/>
  <c r="AJ91" i="44" s="1"/>
  <c r="AI20" i="44"/>
  <c r="AI91" i="44" s="1"/>
  <c r="AH20" i="44"/>
  <c r="AH91" i="44" s="1"/>
  <c r="AG7" i="56"/>
  <c r="AH7" i="56"/>
  <c r="AI7" i="56"/>
  <c r="AJ7" i="56"/>
  <c r="AK7" i="56"/>
  <c r="AL7" i="56"/>
  <c r="AL18" i="56"/>
  <c r="AL113" i="41" s="1"/>
  <c r="AK18" i="56"/>
  <c r="AK113" i="41" s="1"/>
  <c r="AJ18" i="56"/>
  <c r="AJ113" i="41" s="1"/>
  <c r="AI18" i="56"/>
  <c r="AI113" i="41" s="1"/>
  <c r="AH18" i="56"/>
  <c r="AH113" i="41" s="1"/>
  <c r="AL17" i="56"/>
  <c r="AL97" i="44" s="1"/>
  <c r="AK17" i="56"/>
  <c r="AK97" i="44" s="1"/>
  <c r="AJ17" i="56"/>
  <c r="AJ97" i="44"/>
  <c r="AI17" i="56"/>
  <c r="AI97" i="44" s="1"/>
  <c r="AH17" i="56"/>
  <c r="AH97" i="44" s="1"/>
  <c r="AL15" i="56"/>
  <c r="AK15" i="56"/>
  <c r="AJ15" i="56"/>
  <c r="AI15" i="56"/>
  <c r="AH15" i="56"/>
  <c r="AL14" i="56"/>
  <c r="AK14" i="56"/>
  <c r="AJ14" i="56"/>
  <c r="AI14" i="56"/>
  <c r="AH14" i="56"/>
  <c r="AL13" i="56"/>
  <c r="AK13" i="56"/>
  <c r="AJ13" i="56"/>
  <c r="AI13" i="56"/>
  <c r="AH13" i="56"/>
  <c r="AL12" i="56"/>
  <c r="AK12" i="56"/>
  <c r="AJ12" i="56"/>
  <c r="AI12" i="56"/>
  <c r="AH12" i="56"/>
  <c r="AL13" i="57"/>
  <c r="AL455" i="57" s="1"/>
  <c r="AH57" i="36"/>
  <c r="AH12" i="36" s="1"/>
  <c r="AJ57" i="57"/>
  <c r="AJ12" i="57"/>
  <c r="AH7" i="41"/>
  <c r="AI7" i="41"/>
  <c r="AJ7" i="41"/>
  <c r="AK7" i="41"/>
  <c r="AL7" i="41"/>
  <c r="AL87" i="41"/>
  <c r="AK87" i="41"/>
  <c r="AJ87" i="41"/>
  <c r="AI87" i="41"/>
  <c r="AH87" i="41"/>
  <c r="H90" i="41"/>
  <c r="AJ86" i="41" s="1"/>
  <c r="W38" i="34"/>
  <c r="W53" i="34"/>
  <c r="W68" i="34"/>
  <c r="W83" i="34"/>
  <c r="W98" i="34"/>
  <c r="W113" i="34"/>
  <c r="W128" i="34"/>
  <c r="W143" i="34"/>
  <c r="W158" i="34"/>
  <c r="W173" i="34"/>
  <c r="W188" i="34"/>
  <c r="W203" i="34"/>
  <c r="W218" i="34"/>
  <c r="W233" i="34"/>
  <c r="W248" i="34"/>
  <c r="AH7" i="34"/>
  <c r="AI7" i="34"/>
  <c r="AJ7" i="34"/>
  <c r="AK7" i="34"/>
  <c r="AL7" i="34"/>
  <c r="AL248" i="34"/>
  <c r="AK248" i="34"/>
  <c r="AJ248" i="34"/>
  <c r="AI248" i="34"/>
  <c r="AH248" i="34"/>
  <c r="AL233" i="34"/>
  <c r="AK233" i="34"/>
  <c r="AJ233" i="34"/>
  <c r="AI233" i="34"/>
  <c r="AH233" i="34"/>
  <c r="AL218" i="34"/>
  <c r="AK218" i="34"/>
  <c r="AJ218" i="34"/>
  <c r="AI218" i="34"/>
  <c r="AH218" i="34"/>
  <c r="AL203" i="34"/>
  <c r="AK203" i="34"/>
  <c r="AJ203" i="34"/>
  <c r="AI203" i="34"/>
  <c r="AH203" i="34"/>
  <c r="AL188" i="34"/>
  <c r="AK188" i="34"/>
  <c r="AJ188" i="34"/>
  <c r="AI188" i="34"/>
  <c r="AH188" i="34"/>
  <c r="AL173" i="34"/>
  <c r="AK173" i="34"/>
  <c r="AJ173" i="34"/>
  <c r="AI173" i="34"/>
  <c r="AH173" i="34"/>
  <c r="AL158" i="34"/>
  <c r="AK158" i="34"/>
  <c r="AJ158" i="34"/>
  <c r="AI158" i="34"/>
  <c r="AH158" i="34"/>
  <c r="AL143" i="34"/>
  <c r="AK143" i="34"/>
  <c r="AJ143" i="34"/>
  <c r="AI143" i="34"/>
  <c r="AH143" i="34"/>
  <c r="AL128" i="34"/>
  <c r="AK128" i="34"/>
  <c r="AJ128" i="34"/>
  <c r="AI128" i="34"/>
  <c r="AH128" i="34"/>
  <c r="AL113" i="34"/>
  <c r="AK113" i="34"/>
  <c r="AJ113" i="34"/>
  <c r="AI113" i="34"/>
  <c r="AH113" i="34"/>
  <c r="AL98" i="34"/>
  <c r="AK98" i="34"/>
  <c r="AJ98" i="34"/>
  <c r="AI98" i="34"/>
  <c r="AH98" i="34"/>
  <c r="AL83" i="34"/>
  <c r="AK83" i="34"/>
  <c r="AJ83" i="34"/>
  <c r="AI83" i="34"/>
  <c r="AH83" i="34"/>
  <c r="AL68" i="34"/>
  <c r="AK68" i="34"/>
  <c r="AJ68" i="34"/>
  <c r="AI68" i="34"/>
  <c r="AH68" i="34"/>
  <c r="AL53" i="34"/>
  <c r="AK53" i="34"/>
  <c r="AJ53" i="34"/>
  <c r="AI53" i="34"/>
  <c r="AH53" i="34"/>
  <c r="AL38" i="34"/>
  <c r="AK38" i="34"/>
  <c r="AJ38" i="34"/>
  <c r="AI38" i="34"/>
  <c r="AH38" i="34"/>
  <c r="AL22" i="34"/>
  <c r="AK22" i="34"/>
  <c r="AJ22" i="34"/>
  <c r="AI22" i="34"/>
  <c r="AH22" i="34"/>
  <c r="AL21" i="34"/>
  <c r="AK21" i="34"/>
  <c r="AJ21" i="34"/>
  <c r="AI21" i="34"/>
  <c r="AH21" i="34"/>
  <c r="AL18" i="34"/>
  <c r="AK18" i="34"/>
  <c r="AJ18" i="34"/>
  <c r="AI18" i="34"/>
  <c r="AH18" i="34"/>
  <c r="AL17" i="34"/>
  <c r="AK17" i="34"/>
  <c r="AJ17" i="34"/>
  <c r="AI17" i="34"/>
  <c r="AH17" i="34"/>
  <c r="AL16" i="34"/>
  <c r="AK16" i="34"/>
  <c r="AJ16" i="34"/>
  <c r="AI16" i="34"/>
  <c r="AH16" i="34"/>
  <c r="AL14" i="34"/>
  <c r="AK14" i="34"/>
  <c r="AJ14" i="34"/>
  <c r="AI14" i="34"/>
  <c r="AH14" i="34"/>
  <c r="AL12" i="34"/>
  <c r="AL20" i="57" s="1"/>
  <c r="AK12" i="34"/>
  <c r="AJ12" i="34"/>
  <c r="AJ20" i="36" s="1"/>
  <c r="AI12" i="34"/>
  <c r="AI20" i="57" s="1"/>
  <c r="AH12" i="34"/>
  <c r="AH20" i="57" s="1"/>
  <c r="AH7" i="92"/>
  <c r="AI7" i="92"/>
  <c r="AJ7" i="92"/>
  <c r="AK7" i="92"/>
  <c r="AL7" i="92"/>
  <c r="AL37" i="93"/>
  <c r="AL38" i="93" s="1"/>
  <c r="AK37" i="93"/>
  <c r="AK38" i="93" s="1"/>
  <c r="AJ37" i="93"/>
  <c r="AJ38" i="93" s="1"/>
  <c r="AI37" i="93"/>
  <c r="AI38" i="93" s="1"/>
  <c r="AH37" i="93"/>
  <c r="AH38" i="93" s="1"/>
  <c r="AL7" i="93"/>
  <c r="AK7" i="93"/>
  <c r="AJ7" i="93"/>
  <c r="AI7" i="93"/>
  <c r="AH7" i="93"/>
  <c r="AH7" i="62"/>
  <c r="AI7" i="62"/>
  <c r="AJ7" i="62"/>
  <c r="AK7" i="62"/>
  <c r="AL7" i="62"/>
  <c r="AL7" i="45"/>
  <c r="AK7" i="45"/>
  <c r="AJ7" i="45"/>
  <c r="AI7" i="45"/>
  <c r="AH7" i="45"/>
  <c r="AL7" i="42"/>
  <c r="AK7" i="42"/>
  <c r="AJ7" i="42"/>
  <c r="AI7" i="42"/>
  <c r="AH7" i="42"/>
  <c r="W37" i="30"/>
  <c r="W12" i="30" s="1"/>
  <c r="W44" i="30"/>
  <c r="W13" i="30" s="1"/>
  <c r="W51" i="30"/>
  <c r="W58" i="30"/>
  <c r="W65" i="30"/>
  <c r="W76" i="30"/>
  <c r="W84" i="30"/>
  <c r="AL25" i="30"/>
  <c r="AK25" i="30"/>
  <c r="AJ25" i="30"/>
  <c r="AI25" i="30"/>
  <c r="AH25" i="30"/>
  <c r="AL24" i="30"/>
  <c r="AL25" i="42" s="1"/>
  <c r="AK24" i="30"/>
  <c r="AK25" i="42" s="1"/>
  <c r="AK42" i="41" s="1"/>
  <c r="AK76" i="41" s="1"/>
  <c r="AJ24" i="30"/>
  <c r="AJ25" i="42" s="1"/>
  <c r="AI24" i="30"/>
  <c r="AI25" i="42" s="1"/>
  <c r="AI28" i="45" s="1"/>
  <c r="AH24" i="30"/>
  <c r="AH25" i="42" s="1"/>
  <c r="AL23" i="30"/>
  <c r="AL24" i="42" s="1"/>
  <c r="AL101" i="41" s="1"/>
  <c r="AK23" i="30"/>
  <c r="AK24" i="42" s="1"/>
  <c r="AK101" i="41" s="1"/>
  <c r="AJ23" i="30"/>
  <c r="AJ24" i="42" s="1"/>
  <c r="AJ101" i="41" s="1"/>
  <c r="AI23" i="30"/>
  <c r="AI24" i="42" s="1"/>
  <c r="AI101" i="41" s="1"/>
  <c r="AH23" i="30"/>
  <c r="AH24" i="42" s="1"/>
  <c r="AH101" i="41" s="1"/>
  <c r="BG51" i="90"/>
  <c r="BF51" i="90"/>
  <c r="CB51" i="90" s="1"/>
  <c r="BG50" i="90"/>
  <c r="BF50" i="90"/>
  <c r="CB50" i="90" s="1"/>
  <c r="BG49" i="90"/>
  <c r="BF49" i="90"/>
  <c r="BG48" i="90"/>
  <c r="BF48" i="90"/>
  <c r="BG47" i="90"/>
  <c r="BF47" i="90"/>
  <c r="CB47" i="90" s="1"/>
  <c r="BG46" i="90"/>
  <c r="BF46" i="90"/>
  <c r="CB46" i="90" s="1"/>
  <c r="BG45" i="90"/>
  <c r="BF45" i="90"/>
  <c r="BG44" i="90"/>
  <c r="BF44" i="90"/>
  <c r="BG43" i="90"/>
  <c r="BF43" i="90"/>
  <c r="BG42" i="90"/>
  <c r="BF42" i="90"/>
  <c r="L19" i="90"/>
  <c r="AI42" i="98" s="1"/>
  <c r="CP127" i="90"/>
  <c r="AC131" i="56" s="1"/>
  <c r="CP128" i="90"/>
  <c r="AC132" i="56" s="1"/>
  <c r="CP129" i="90"/>
  <c r="AC133" i="56" s="1"/>
  <c r="CP130" i="90"/>
  <c r="AC134" i="56" s="1"/>
  <c r="CP131" i="90"/>
  <c r="AC135" i="56" s="1"/>
  <c r="CP132" i="90"/>
  <c r="AC136" i="56" s="1"/>
  <c r="CP133" i="90"/>
  <c r="AC137" i="56" s="1"/>
  <c r="CP134" i="90"/>
  <c r="AC138" i="56" s="1"/>
  <c r="CP135" i="90"/>
  <c r="AC139" i="56" s="1"/>
  <c r="CP136" i="90"/>
  <c r="AC140" i="56" s="1"/>
  <c r="CP137" i="90"/>
  <c r="AC141" i="56" s="1"/>
  <c r="CP138" i="90"/>
  <c r="AC142" i="56" s="1"/>
  <c r="CP139" i="90"/>
  <c r="AC143" i="56" s="1"/>
  <c r="CP140" i="90"/>
  <c r="AC144" i="56" s="1"/>
  <c r="CP141" i="90"/>
  <c r="AC145" i="56" s="1"/>
  <c r="CP142" i="90"/>
  <c r="AC146" i="56" s="1"/>
  <c r="BG142" i="90"/>
  <c r="BF142" i="90"/>
  <c r="BG141" i="90"/>
  <c r="CC141" i="90" s="1"/>
  <c r="BF141" i="90"/>
  <c r="CB141" i="90" s="1"/>
  <c r="BG140" i="90"/>
  <c r="CC140" i="90" s="1"/>
  <c r="BF140" i="90"/>
  <c r="CB140" i="90" s="1"/>
  <c r="BG139" i="90"/>
  <c r="CC139" i="90" s="1"/>
  <c r="BF139" i="90"/>
  <c r="CB139" i="90" s="1"/>
  <c r="BG138" i="90"/>
  <c r="BF138" i="90"/>
  <c r="BG137" i="90"/>
  <c r="CC137" i="90" s="1"/>
  <c r="BF137" i="90"/>
  <c r="CB137" i="90" s="1"/>
  <c r="BG136" i="90"/>
  <c r="BF136" i="90"/>
  <c r="BG135" i="90"/>
  <c r="CC135" i="90" s="1"/>
  <c r="BF135" i="90"/>
  <c r="CB135" i="90" s="1"/>
  <c r="BG134" i="90"/>
  <c r="BF134" i="90"/>
  <c r="BG133" i="90"/>
  <c r="CC133" i="90" s="1"/>
  <c r="BF133" i="90"/>
  <c r="CB133" i="90" s="1"/>
  <c r="BG132" i="90"/>
  <c r="CC132" i="90" s="1"/>
  <c r="BF132" i="90"/>
  <c r="CB132" i="90" s="1"/>
  <c r="BG131" i="90"/>
  <c r="CC131" i="90" s="1"/>
  <c r="BF131" i="90"/>
  <c r="CB131" i="90" s="1"/>
  <c r="BG130" i="90"/>
  <c r="BF130" i="90"/>
  <c r="BG129" i="90"/>
  <c r="CC129" i="90" s="1"/>
  <c r="BF129" i="90"/>
  <c r="CB129" i="90" s="1"/>
  <c r="BG128" i="90"/>
  <c r="BF128" i="90"/>
  <c r="BG127" i="90"/>
  <c r="CC127" i="90" s="1"/>
  <c r="BF127" i="90"/>
  <c r="CB127" i="90" s="1"/>
  <c r="BG126" i="90"/>
  <c r="BF126" i="90"/>
  <c r="CB126" i="90" s="1"/>
  <c r="BG125" i="90"/>
  <c r="CC125" i="90" s="1"/>
  <c r="BF125" i="90"/>
  <c r="BG124" i="90"/>
  <c r="CC124" i="90" s="1"/>
  <c r="BF124" i="90"/>
  <c r="CB124" i="90" s="1"/>
  <c r="BG123" i="90"/>
  <c r="CC123" i="90" s="1"/>
  <c r="BF123" i="90"/>
  <c r="CB123" i="90" s="1"/>
  <c r="BG122" i="90"/>
  <c r="BF122" i="90"/>
  <c r="CB122" i="90" s="1"/>
  <c r="BG121" i="90"/>
  <c r="CC121" i="90" s="1"/>
  <c r="BF121" i="90"/>
  <c r="BG120" i="90"/>
  <c r="CC120" i="90" s="1"/>
  <c r="BF120" i="90"/>
  <c r="CB120" i="90" s="1"/>
  <c r="BG119" i="90"/>
  <c r="CC119" i="90" s="1"/>
  <c r="BF119" i="90"/>
  <c r="CB119" i="90" s="1"/>
  <c r="BG118" i="90"/>
  <c r="BF118" i="90"/>
  <c r="CB118" i="90" s="1"/>
  <c r="BG117" i="90"/>
  <c r="CC117" i="90" s="1"/>
  <c r="BF117" i="90"/>
  <c r="BG116" i="90"/>
  <c r="CC116" i="90" s="1"/>
  <c r="BF116" i="90"/>
  <c r="CB116" i="90" s="1"/>
  <c r="BG115" i="90"/>
  <c r="CC115" i="90" s="1"/>
  <c r="BF115" i="90"/>
  <c r="CB115" i="90" s="1"/>
  <c r="BG114" i="90"/>
  <c r="BF114" i="90"/>
  <c r="CB114" i="90" s="1"/>
  <c r="BG113" i="90"/>
  <c r="CC113" i="90" s="1"/>
  <c r="BF113" i="90"/>
  <c r="BG112" i="90"/>
  <c r="CC112" i="90" s="1"/>
  <c r="BF112" i="90"/>
  <c r="CB112" i="90" s="1"/>
  <c r="BG111" i="90"/>
  <c r="CC111" i="90" s="1"/>
  <c r="BF111" i="90"/>
  <c r="CB111" i="90" s="1"/>
  <c r="BG110" i="90"/>
  <c r="BF110" i="90"/>
  <c r="CB110" i="90" s="1"/>
  <c r="BG109" i="90"/>
  <c r="CC109" i="90" s="1"/>
  <c r="BF109" i="90"/>
  <c r="BG108" i="90"/>
  <c r="CC108" i="90" s="1"/>
  <c r="BF108" i="90"/>
  <c r="CB108" i="90" s="1"/>
  <c r="BG107" i="90"/>
  <c r="CC107" i="90" s="1"/>
  <c r="BF107" i="90"/>
  <c r="CB107" i="90" s="1"/>
  <c r="BG106" i="90"/>
  <c r="BF106" i="90"/>
  <c r="CB106" i="90" s="1"/>
  <c r="BG105" i="90"/>
  <c r="CC105" i="90" s="1"/>
  <c r="BF105" i="90"/>
  <c r="BG104" i="90"/>
  <c r="CC104" i="90" s="1"/>
  <c r="BF104" i="90"/>
  <c r="CB104" i="90" s="1"/>
  <c r="BG103" i="90"/>
  <c r="CC103" i="90" s="1"/>
  <c r="BF103" i="90"/>
  <c r="CB103" i="90" s="1"/>
  <c r="BG102" i="90"/>
  <c r="BF102" i="90"/>
  <c r="CB102" i="90" s="1"/>
  <c r="BG101" i="90"/>
  <c r="CC101" i="90" s="1"/>
  <c r="BF101" i="90"/>
  <c r="BG100" i="90"/>
  <c r="CC100" i="90" s="1"/>
  <c r="BF100" i="90"/>
  <c r="CB100" i="90" s="1"/>
  <c r="BG99" i="90"/>
  <c r="CC99" i="90" s="1"/>
  <c r="BF99" i="90"/>
  <c r="CB99" i="90" s="1"/>
  <c r="BG98" i="90"/>
  <c r="BF98" i="90"/>
  <c r="CB98" i="90" s="1"/>
  <c r="BG97" i="90"/>
  <c r="CC97" i="90" s="1"/>
  <c r="BF97" i="90"/>
  <c r="BG96" i="90"/>
  <c r="CC96" i="90" s="1"/>
  <c r="BF96" i="90"/>
  <c r="CB96" i="90" s="1"/>
  <c r="BG95" i="90"/>
  <c r="CC95" i="90" s="1"/>
  <c r="BF95" i="90"/>
  <c r="CB95" i="90" s="1"/>
  <c r="BG94" i="90"/>
  <c r="BF94" i="90"/>
  <c r="CB94" i="90" s="1"/>
  <c r="BG93" i="90"/>
  <c r="CC93" i="90" s="1"/>
  <c r="BF93" i="90"/>
  <c r="BG92" i="90"/>
  <c r="CC92" i="90" s="1"/>
  <c r="BF92" i="90"/>
  <c r="CB92" i="90" s="1"/>
  <c r="BG91" i="90"/>
  <c r="CC91" i="90" s="1"/>
  <c r="BF91" i="90"/>
  <c r="CB91" i="90" s="1"/>
  <c r="BG90" i="90"/>
  <c r="BF90" i="90"/>
  <c r="BG89" i="90"/>
  <c r="CC89" i="90" s="1"/>
  <c r="BF89" i="90"/>
  <c r="BG88" i="90"/>
  <c r="CC88" i="90" s="1"/>
  <c r="BF88" i="90"/>
  <c r="CB88" i="90" s="1"/>
  <c r="BG87" i="90"/>
  <c r="CC87" i="90" s="1"/>
  <c r="BF87" i="90"/>
  <c r="CB87" i="90" s="1"/>
  <c r="BG86" i="90"/>
  <c r="BF86" i="90"/>
  <c r="CB86" i="90" s="1"/>
  <c r="BG85" i="90"/>
  <c r="CC85" i="90" s="1"/>
  <c r="BF85" i="90"/>
  <c r="BG84" i="90"/>
  <c r="CC84" i="90" s="1"/>
  <c r="BF84" i="90"/>
  <c r="CB84" i="90" s="1"/>
  <c r="BG83" i="90"/>
  <c r="CC83" i="90" s="1"/>
  <c r="BF83" i="90"/>
  <c r="CB83" i="90" s="1"/>
  <c r="BG82" i="90"/>
  <c r="BF82" i="90"/>
  <c r="CB82" i="90" s="1"/>
  <c r="BG81" i="90"/>
  <c r="CC81" i="90" s="1"/>
  <c r="BF81" i="90"/>
  <c r="BG80" i="90"/>
  <c r="CC80" i="90" s="1"/>
  <c r="BF80" i="90"/>
  <c r="CB80" i="90" s="1"/>
  <c r="BG79" i="90"/>
  <c r="CC79" i="90" s="1"/>
  <c r="BF79" i="90"/>
  <c r="CB79" i="90" s="1"/>
  <c r="BG78" i="90"/>
  <c r="BF78" i="90"/>
  <c r="CB78" i="90" s="1"/>
  <c r="BG77" i="90"/>
  <c r="CC77" i="90" s="1"/>
  <c r="BF77" i="90"/>
  <c r="BG76" i="90"/>
  <c r="CC76" i="90" s="1"/>
  <c r="BF76" i="90"/>
  <c r="CB76" i="90" s="1"/>
  <c r="BG75" i="90"/>
  <c r="CC75" i="90" s="1"/>
  <c r="BF75" i="90"/>
  <c r="CB75" i="90" s="1"/>
  <c r="BG74" i="90"/>
  <c r="BF74" i="90"/>
  <c r="CB74" i="90" s="1"/>
  <c r="BG73" i="90"/>
  <c r="CC73" i="90" s="1"/>
  <c r="BF73" i="90"/>
  <c r="BG72" i="90"/>
  <c r="CC72" i="90" s="1"/>
  <c r="BF72" i="90"/>
  <c r="CB72" i="90" s="1"/>
  <c r="BG71" i="90"/>
  <c r="CC71" i="90" s="1"/>
  <c r="BF71" i="90"/>
  <c r="CB71" i="90" s="1"/>
  <c r="BG70" i="90"/>
  <c r="BF70" i="90"/>
  <c r="CB70" i="90" s="1"/>
  <c r="BG69" i="90"/>
  <c r="CC69" i="90" s="1"/>
  <c r="BF69" i="90"/>
  <c r="BG68" i="90"/>
  <c r="CC68" i="90" s="1"/>
  <c r="BF68" i="90"/>
  <c r="CB68" i="90" s="1"/>
  <c r="BG67" i="90"/>
  <c r="CC67" i="90" s="1"/>
  <c r="BF67" i="90"/>
  <c r="CB67" i="90" s="1"/>
  <c r="BG66" i="90"/>
  <c r="BF66" i="90"/>
  <c r="CB66" i="90" s="1"/>
  <c r="BG65" i="90"/>
  <c r="CC65" i="90" s="1"/>
  <c r="BF65" i="90"/>
  <c r="BG64" i="90"/>
  <c r="CC64" i="90" s="1"/>
  <c r="BF64" i="90"/>
  <c r="CB64" i="90" s="1"/>
  <c r="BG63" i="90"/>
  <c r="CC63" i="90" s="1"/>
  <c r="BF63" i="90"/>
  <c r="CB63" i="90" s="1"/>
  <c r="BG62" i="90"/>
  <c r="BF62" i="90"/>
  <c r="CB62" i="90" s="1"/>
  <c r="BG61" i="90"/>
  <c r="CC61" i="90" s="1"/>
  <c r="BF61" i="90"/>
  <c r="BG60" i="90"/>
  <c r="CC60" i="90" s="1"/>
  <c r="BF60" i="90"/>
  <c r="CB60" i="90" s="1"/>
  <c r="BG59" i="90"/>
  <c r="CC59" i="90" s="1"/>
  <c r="BF59" i="90"/>
  <c r="CB59" i="90" s="1"/>
  <c r="BG58" i="90"/>
  <c r="BF58" i="90"/>
  <c r="BG57" i="90"/>
  <c r="BF57" i="90"/>
  <c r="BG56" i="90"/>
  <c r="CC56" i="90" s="1"/>
  <c r="BF56" i="90"/>
  <c r="CB56" i="90" s="1"/>
  <c r="BG55" i="90"/>
  <c r="BF55" i="90"/>
  <c r="CB55" i="90" s="1"/>
  <c r="BG54" i="90"/>
  <c r="BF54" i="90"/>
  <c r="CB54" i="90" s="1"/>
  <c r="BG53" i="90"/>
  <c r="BF53" i="90"/>
  <c r="CB53" i="90" s="1"/>
  <c r="CY3" i="90"/>
  <c r="CX3" i="90"/>
  <c r="CN3" i="90"/>
  <c r="CM3" i="90"/>
  <c r="CC142" i="90"/>
  <c r="CB142" i="90"/>
  <c r="CC138" i="90"/>
  <c r="CB138" i="90"/>
  <c r="CC136" i="90"/>
  <c r="CB136" i="90"/>
  <c r="CC134" i="90"/>
  <c r="CB134" i="90"/>
  <c r="CC130" i="90"/>
  <c r="CB130" i="90"/>
  <c r="CC128" i="90"/>
  <c r="CB128" i="90"/>
  <c r="CC126" i="90"/>
  <c r="CB125" i="90"/>
  <c r="CC122" i="90"/>
  <c r="CB121" i="90"/>
  <c r="CC118" i="90"/>
  <c r="CB117" i="90"/>
  <c r="CC114" i="90"/>
  <c r="CB113" i="90"/>
  <c r="CC110" i="90"/>
  <c r="CB109" i="90"/>
  <c r="CC106" i="90"/>
  <c r="CB105" i="90"/>
  <c r="CC102" i="90"/>
  <c r="CB101" i="90"/>
  <c r="CC98" i="90"/>
  <c r="CB97" i="90"/>
  <c r="CC94" i="90"/>
  <c r="CB93" i="90"/>
  <c r="CC90" i="90"/>
  <c r="CB89" i="90"/>
  <c r="CC86" i="90"/>
  <c r="CB85" i="90"/>
  <c r="CC82" i="90"/>
  <c r="CB81" i="90"/>
  <c r="CC78" i="90"/>
  <c r="CB77" i="90"/>
  <c r="CC74" i="90"/>
  <c r="CB73" i="90"/>
  <c r="CC70" i="90"/>
  <c r="CB69" i="90"/>
  <c r="CC66" i="90"/>
  <c r="CB65" i="90"/>
  <c r="CC62" i="90"/>
  <c r="CB61" i="90"/>
  <c r="CC58" i="90"/>
  <c r="CB57" i="90"/>
  <c r="CC54" i="90"/>
  <c r="CC53" i="90"/>
  <c r="CC51" i="90"/>
  <c r="CC50" i="90"/>
  <c r="CC49" i="90"/>
  <c r="CB49" i="90"/>
  <c r="CC48" i="90"/>
  <c r="CB48" i="90"/>
  <c r="CC47" i="90"/>
  <c r="CC46" i="90"/>
  <c r="CC45" i="90"/>
  <c r="CB45" i="90"/>
  <c r="CC44" i="90"/>
  <c r="CB44" i="90"/>
  <c r="CC3" i="90"/>
  <c r="CB3" i="90"/>
  <c r="BR142" i="90"/>
  <c r="BQ142" i="90"/>
  <c r="BR141" i="90"/>
  <c r="BQ141" i="90"/>
  <c r="BR140" i="90"/>
  <c r="BQ140" i="90"/>
  <c r="BR139" i="90"/>
  <c r="BQ139" i="90"/>
  <c r="BR138" i="90"/>
  <c r="BQ138" i="90"/>
  <c r="BR137" i="90"/>
  <c r="BQ137" i="90"/>
  <c r="BR136" i="90"/>
  <c r="BQ136" i="90"/>
  <c r="BR135" i="90"/>
  <c r="BQ135" i="90"/>
  <c r="BR134" i="90"/>
  <c r="BQ134" i="90"/>
  <c r="BR133" i="90"/>
  <c r="BQ133" i="90"/>
  <c r="BR132" i="90"/>
  <c r="BQ132" i="90"/>
  <c r="BR131" i="90"/>
  <c r="BQ131" i="90"/>
  <c r="BR130" i="90"/>
  <c r="BQ130" i="90"/>
  <c r="BR129" i="90"/>
  <c r="BQ129" i="90"/>
  <c r="BR128" i="90"/>
  <c r="BQ128" i="90"/>
  <c r="BR127" i="90"/>
  <c r="BQ127" i="90"/>
  <c r="BR3" i="90"/>
  <c r="BQ3" i="90"/>
  <c r="BG3" i="90"/>
  <c r="BF3" i="90"/>
  <c r="AV3" i="90"/>
  <c r="AU3" i="90"/>
  <c r="AK3" i="90"/>
  <c r="AJ3" i="90"/>
  <c r="BT37" i="90"/>
  <c r="BI37" i="90"/>
  <c r="AX37" i="90"/>
  <c r="AV41" i="90"/>
  <c r="M15" i="90" s="1"/>
  <c r="AJ22" i="98" s="1"/>
  <c r="AU41" i="90"/>
  <c r="L15" i="90" s="1"/>
  <c r="AI22" i="98" s="1"/>
  <c r="AT41" i="90"/>
  <c r="AS41" i="90"/>
  <c r="AR41" i="90"/>
  <c r="AQ41" i="90"/>
  <c r="AP41" i="90"/>
  <c r="AO41" i="90"/>
  <c r="AN41" i="90"/>
  <c r="AM41" i="90"/>
  <c r="D15" i="90" s="1"/>
  <c r="AA22" i="98" s="1"/>
  <c r="AM37" i="90"/>
  <c r="AM2" i="90" s="1"/>
  <c r="AK41" i="90"/>
  <c r="M14" i="90" s="1"/>
  <c r="AJ21" i="98" s="1"/>
  <c r="AJ41" i="90"/>
  <c r="L14" i="90" s="1"/>
  <c r="AI21" i="98" s="1"/>
  <c r="AI41" i="90"/>
  <c r="AH41" i="90"/>
  <c r="AG41" i="90"/>
  <c r="I14" i="90" s="1"/>
  <c r="AF21" i="98" s="1"/>
  <c r="AF41" i="90"/>
  <c r="AE41" i="90"/>
  <c r="G14" i="90" s="1"/>
  <c r="AD21" i="98" s="1"/>
  <c r="AD41" i="90"/>
  <c r="AC41" i="90"/>
  <c r="AB41" i="90"/>
  <c r="AB37" i="90"/>
  <c r="L9" i="90"/>
  <c r="M9" i="90"/>
  <c r="M19" i="90"/>
  <c r="AJ42" i="98" s="1"/>
  <c r="L20" i="90"/>
  <c r="AI43" i="98" s="1"/>
  <c r="M20" i="90"/>
  <c r="AJ43" i="98" s="1"/>
  <c r="L21" i="90"/>
  <c r="AI44" i="98" s="1"/>
  <c r="M21" i="90"/>
  <c r="AJ44" i="98" s="1"/>
  <c r="L22" i="90"/>
  <c r="AI45" i="98" s="1"/>
  <c r="M22" i="90"/>
  <c r="AJ45" i="98" s="1"/>
  <c r="Y3" i="90"/>
  <c r="Z3" i="90"/>
  <c r="Z41" i="90"/>
  <c r="Y41" i="90"/>
  <c r="AX42" i="90"/>
  <c r="Q37" i="90"/>
  <c r="D9" i="90"/>
  <c r="W131" i="12"/>
  <c r="W50" i="12" s="1"/>
  <c r="W132" i="12"/>
  <c r="W61" i="12" s="1"/>
  <c r="W68" i="12" s="1"/>
  <c r="W13" i="12" s="1"/>
  <c r="W133" i="12"/>
  <c r="W72" i="12" s="1"/>
  <c r="W79" i="12" s="1"/>
  <c r="W14" i="12" s="1"/>
  <c r="W134" i="12"/>
  <c r="W83" i="12" s="1"/>
  <c r="W90" i="12" s="1"/>
  <c r="W15" i="12" s="1"/>
  <c r="AL134" i="12"/>
  <c r="AL83" i="12" s="1"/>
  <c r="AL90" i="12" s="1"/>
  <c r="AL15" i="12" s="1"/>
  <c r="AK134" i="12"/>
  <c r="AK83" i="12" s="1"/>
  <c r="AK90" i="12" s="1"/>
  <c r="AK15" i="12" s="1"/>
  <c r="AJ134" i="12"/>
  <c r="AJ83" i="12" s="1"/>
  <c r="AJ90" i="12" s="1"/>
  <c r="AJ15" i="12" s="1"/>
  <c r="AI134" i="12"/>
  <c r="AI83" i="12" s="1"/>
  <c r="AI90" i="12" s="1"/>
  <c r="AI15" i="12" s="1"/>
  <c r="AH134" i="12"/>
  <c r="AH83" i="12" s="1"/>
  <c r="AL133" i="12"/>
  <c r="AL72" i="12" s="1"/>
  <c r="AL79" i="12" s="1"/>
  <c r="AL14" i="12" s="1"/>
  <c r="AK133" i="12"/>
  <c r="AK72" i="12" s="1"/>
  <c r="AK79" i="12" s="1"/>
  <c r="AK14" i="12" s="1"/>
  <c r="AJ133" i="12"/>
  <c r="AJ72" i="12" s="1"/>
  <c r="AJ79" i="12" s="1"/>
  <c r="AJ14" i="12" s="1"/>
  <c r="AI133" i="12"/>
  <c r="AI72" i="12" s="1"/>
  <c r="AI79" i="12" s="1"/>
  <c r="AI14" i="12" s="1"/>
  <c r="AH133" i="12"/>
  <c r="AH72" i="12" s="1"/>
  <c r="AH79" i="12" s="1"/>
  <c r="AH14" i="12" s="1"/>
  <c r="AL132" i="12"/>
  <c r="AL61" i="12" s="1"/>
  <c r="AL68" i="12" s="1"/>
  <c r="AL13" i="12" s="1"/>
  <c r="AK132" i="12"/>
  <c r="AK61" i="12" s="1"/>
  <c r="AJ132" i="12"/>
  <c r="AJ61" i="12" s="1"/>
  <c r="AI132" i="12"/>
  <c r="AI61" i="12" s="1"/>
  <c r="AH132" i="12"/>
  <c r="AH61" i="12" s="1"/>
  <c r="AL131" i="12"/>
  <c r="AL50" i="12" s="1"/>
  <c r="AL57" i="12" s="1"/>
  <c r="AL12" i="12" s="1"/>
  <c r="AK131" i="12"/>
  <c r="AJ131" i="12"/>
  <c r="AI131" i="12"/>
  <c r="AI50" i="12" s="1"/>
  <c r="AH131" i="12"/>
  <c r="AH50" i="12" s="1"/>
  <c r="AH57" i="12" s="1"/>
  <c r="AH12" i="12" s="1"/>
  <c r="AL124" i="12"/>
  <c r="AK124" i="12"/>
  <c r="AJ124" i="12"/>
  <c r="AJ33" i="12" s="1"/>
  <c r="AI124" i="12"/>
  <c r="AI33" i="12" s="1"/>
  <c r="AI91" i="86" s="1"/>
  <c r="AH124" i="12"/>
  <c r="AH33" i="12" s="1"/>
  <c r="AL31" i="12"/>
  <c r="AL89" i="86" s="1"/>
  <c r="AH31" i="12"/>
  <c r="AH89" i="86" s="1"/>
  <c r="AL16" i="12"/>
  <c r="AI16" i="12"/>
  <c r="AH16" i="12"/>
  <c r="AL33" i="12"/>
  <c r="AL91" i="86" s="1"/>
  <c r="AK33" i="12"/>
  <c r="AL32" i="12"/>
  <c r="AL90" i="86" s="1"/>
  <c r="AL194" i="86" s="1"/>
  <c r="R59" i="98" s="1"/>
  <c r="AK32" i="12"/>
  <c r="AK90" i="86" s="1"/>
  <c r="AJ32" i="12"/>
  <c r="AJ90" i="86" s="1"/>
  <c r="AI32" i="12"/>
  <c r="AI90" i="86" s="1"/>
  <c r="AI165" i="86" s="1"/>
  <c r="AH32" i="12"/>
  <c r="AH90" i="86"/>
  <c r="AH165" i="86" s="1"/>
  <c r="AJ31" i="12"/>
  <c r="AJ89" i="86" s="1"/>
  <c r="AL30" i="12"/>
  <c r="AL88" i="86" s="1"/>
  <c r="AK30" i="12"/>
  <c r="AK88" i="86" s="1"/>
  <c r="AJ30" i="12"/>
  <c r="AJ88" i="86" s="1"/>
  <c r="AI30" i="12"/>
  <c r="AI88" i="86" s="1"/>
  <c r="AH30" i="12"/>
  <c r="AH88" i="86" s="1"/>
  <c r="AL25" i="12"/>
  <c r="AK25" i="12"/>
  <c r="AJ25" i="12"/>
  <c r="AI25" i="12"/>
  <c r="AH25" i="12"/>
  <c r="AL24" i="12"/>
  <c r="AK24" i="12"/>
  <c r="AJ24" i="12"/>
  <c r="AI24" i="12"/>
  <c r="AH24" i="12"/>
  <c r="AL23" i="12"/>
  <c r="AL40" i="93" s="1"/>
  <c r="AK23" i="12"/>
  <c r="AK40" i="93" s="1"/>
  <c r="AJ23" i="12"/>
  <c r="AJ40" i="93" s="1"/>
  <c r="AI23" i="12"/>
  <c r="AI40" i="93" s="1"/>
  <c r="AH23" i="12"/>
  <c r="AH40" i="93" s="1"/>
  <c r="AL22" i="12"/>
  <c r="AK22" i="12"/>
  <c r="AJ22" i="12"/>
  <c r="AI22" i="12"/>
  <c r="AH22" i="12"/>
  <c r="AL21" i="12"/>
  <c r="AK21" i="12"/>
  <c r="AJ21" i="12"/>
  <c r="AI21" i="12"/>
  <c r="AH21" i="12"/>
  <c r="AL20" i="12"/>
  <c r="AK20" i="12"/>
  <c r="AJ20" i="12"/>
  <c r="AI20" i="12"/>
  <c r="AH20" i="12"/>
  <c r="AK16" i="12"/>
  <c r="AL7" i="12"/>
  <c r="AL130" i="12" s="1"/>
  <c r="AK7" i="12"/>
  <c r="AK130" i="12"/>
  <c r="AJ7" i="12"/>
  <c r="AJ130" i="12" s="1"/>
  <c r="AI7" i="12"/>
  <c r="AI130" i="12"/>
  <c r="AH7" i="12"/>
  <c r="AH130" i="12" s="1"/>
  <c r="AA50" i="86"/>
  <c r="AH182" i="86"/>
  <c r="N48" i="98" s="1"/>
  <c r="AI182" i="86"/>
  <c r="AJ182" i="86"/>
  <c r="P48" i="98" s="1"/>
  <c r="AK182" i="86"/>
  <c r="Q48" i="98" s="1"/>
  <c r="AL182" i="86"/>
  <c r="R48" i="98" s="1"/>
  <c r="AH183" i="86"/>
  <c r="N49" i="98" s="1"/>
  <c r="AI183" i="86"/>
  <c r="O49" i="98" s="1"/>
  <c r="AJ183" i="86"/>
  <c r="P49" i="98" s="1"/>
  <c r="AK183" i="86"/>
  <c r="AL183" i="86"/>
  <c r="R49" i="98" s="1"/>
  <c r="AH184" i="86"/>
  <c r="N50" i="98" s="1"/>
  <c r="AI184" i="86"/>
  <c r="O50" i="98" s="1"/>
  <c r="AJ184" i="86"/>
  <c r="P50" i="98" s="1"/>
  <c r="AK184" i="86"/>
  <c r="Q50" i="98" s="1"/>
  <c r="AL184" i="86"/>
  <c r="R50" i="98" s="1"/>
  <c r="AH185" i="86"/>
  <c r="N51" i="98" s="1"/>
  <c r="AI185" i="86"/>
  <c r="O51" i="98" s="1"/>
  <c r="AJ185" i="86"/>
  <c r="P51" i="98" s="1"/>
  <c r="AK185" i="86"/>
  <c r="Q51" i="98" s="1"/>
  <c r="AL185" i="86"/>
  <c r="R51" i="98" s="1"/>
  <c r="AH186" i="86"/>
  <c r="N52" i="98" s="1"/>
  <c r="AI186" i="86"/>
  <c r="O52" i="98" s="1"/>
  <c r="AJ186" i="86"/>
  <c r="P52" i="98" s="1"/>
  <c r="AK186" i="86"/>
  <c r="Q52" i="98" s="1"/>
  <c r="AL186" i="86"/>
  <c r="R52" i="98" s="1"/>
  <c r="AL165" i="86"/>
  <c r="AL81" i="86"/>
  <c r="AL163" i="86" s="1"/>
  <c r="AK81" i="86"/>
  <c r="AK163" i="86" s="1"/>
  <c r="AJ81" i="86"/>
  <c r="AJ163" i="86" s="1"/>
  <c r="AI81" i="86"/>
  <c r="AI163" i="86" s="1"/>
  <c r="AH81" i="86"/>
  <c r="AH163" i="86"/>
  <c r="F305" i="91"/>
  <c r="F304" i="91"/>
  <c r="F303" i="91"/>
  <c r="F302" i="91"/>
  <c r="F301" i="91"/>
  <c r="F300" i="91"/>
  <c r="F299" i="91"/>
  <c r="F298" i="91"/>
  <c r="F297" i="91"/>
  <c r="F296" i="91"/>
  <c r="F295" i="91"/>
  <c r="F294" i="91"/>
  <c r="F293" i="91"/>
  <c r="F292" i="91"/>
  <c r="F291" i="91"/>
  <c r="F290" i="91"/>
  <c r="F288" i="91"/>
  <c r="F287" i="91"/>
  <c r="F286" i="91"/>
  <c r="F285" i="91"/>
  <c r="F284" i="91"/>
  <c r="F283" i="91"/>
  <c r="F282" i="91"/>
  <c r="F281" i="91"/>
  <c r="F280" i="91"/>
  <c r="F279" i="91"/>
  <c r="F278" i="91"/>
  <c r="F277" i="91"/>
  <c r="F276" i="91"/>
  <c r="F275" i="91"/>
  <c r="F274" i="91"/>
  <c r="F273" i="91"/>
  <c r="F271" i="91"/>
  <c r="F270" i="91"/>
  <c r="F269" i="91"/>
  <c r="F268" i="91"/>
  <c r="F267" i="91"/>
  <c r="F266" i="91"/>
  <c r="F265" i="91"/>
  <c r="F264" i="91"/>
  <c r="F263" i="91"/>
  <c r="F262" i="91"/>
  <c r="F261" i="91"/>
  <c r="F260" i="91"/>
  <c r="F259" i="91"/>
  <c r="F258" i="91"/>
  <c r="F257" i="91"/>
  <c r="F256" i="91"/>
  <c r="F201" i="91"/>
  <c r="F200" i="91"/>
  <c r="F199" i="91"/>
  <c r="F198" i="91"/>
  <c r="F197" i="91"/>
  <c r="F196" i="91"/>
  <c r="F195" i="91"/>
  <c r="F194" i="91"/>
  <c r="F193" i="91"/>
  <c r="F192" i="91"/>
  <c r="F191" i="91"/>
  <c r="F69" i="91"/>
  <c r="F68" i="91"/>
  <c r="F67" i="91"/>
  <c r="F66" i="91"/>
  <c r="F65" i="91"/>
  <c r="F64" i="91"/>
  <c r="F63" i="91"/>
  <c r="F62" i="91"/>
  <c r="F61" i="91"/>
  <c r="F60" i="91"/>
  <c r="F59" i="91"/>
  <c r="F48" i="91"/>
  <c r="F49" i="91"/>
  <c r="F50" i="91"/>
  <c r="F51" i="91"/>
  <c r="F52" i="91"/>
  <c r="F53" i="91"/>
  <c r="F54" i="91"/>
  <c r="F55" i="91"/>
  <c r="F56" i="91"/>
  <c r="F57" i="91"/>
  <c r="F47" i="91"/>
  <c r="R15" i="40"/>
  <c r="S15" i="40"/>
  <c r="T15" i="40"/>
  <c r="U15" i="40"/>
  <c r="V15" i="40"/>
  <c r="W15" i="40"/>
  <c r="W85" i="41" s="1"/>
  <c r="X15" i="40"/>
  <c r="X85" i="41" s="1"/>
  <c r="Y15" i="40"/>
  <c r="Z15" i="40"/>
  <c r="AA15" i="40"/>
  <c r="AA85" i="41" s="1"/>
  <c r="AB15" i="40"/>
  <c r="B3" i="91"/>
  <c r="AL6" i="86"/>
  <c r="AK6" i="86"/>
  <c r="AK190" i="86" s="1"/>
  <c r="AJ6" i="86"/>
  <c r="AJ160" i="86" s="1"/>
  <c r="AJ144" i="86" s="1"/>
  <c r="AI6" i="86"/>
  <c r="AI160" i="86" s="1"/>
  <c r="AH6" i="86"/>
  <c r="AK160" i="86"/>
  <c r="AK171" i="86" s="1"/>
  <c r="AL160" i="86"/>
  <c r="AL155" i="86" s="1"/>
  <c r="AL190" i="86"/>
  <c r="I13" i="86"/>
  <c r="I14" i="86" s="1"/>
  <c r="AL149" i="86"/>
  <c r="AL144" i="86"/>
  <c r="W114" i="89"/>
  <c r="W103" i="89"/>
  <c r="W84" i="89"/>
  <c r="W78" i="89"/>
  <c r="W72" i="89"/>
  <c r="W63" i="89"/>
  <c r="W57" i="89"/>
  <c r="W51" i="89"/>
  <c r="W92" i="89"/>
  <c r="W93" i="89" s="1"/>
  <c r="AB25" i="89"/>
  <c r="AC25" i="89"/>
  <c r="AD25" i="89"/>
  <c r="AE25" i="89"/>
  <c r="AF25" i="89"/>
  <c r="AG25" i="89"/>
  <c r="AH25" i="89"/>
  <c r="AI25" i="89"/>
  <c r="AJ25" i="89"/>
  <c r="AK25" i="89"/>
  <c r="AL25" i="89"/>
  <c r="AB34" i="89"/>
  <c r="AC34" i="89"/>
  <c r="AD34" i="89"/>
  <c r="AE34" i="89"/>
  <c r="AF34" i="89"/>
  <c r="AG34" i="89"/>
  <c r="AH36" i="89" s="1"/>
  <c r="AH34" i="89"/>
  <c r="AI34" i="89"/>
  <c r="AI36" i="89" s="1"/>
  <c r="AJ34" i="89"/>
  <c r="AJ13" i="89" s="1"/>
  <c r="AK34" i="89"/>
  <c r="AL34" i="89"/>
  <c r="AL13" i="89" s="1"/>
  <c r="AB33" i="89"/>
  <c r="AC33" i="89"/>
  <c r="AD33" i="89"/>
  <c r="AE33" i="89"/>
  <c r="AF33" i="89"/>
  <c r="AG33" i="89"/>
  <c r="AJ85" i="98" s="1"/>
  <c r="AH33" i="89"/>
  <c r="AH35" i="89" s="1"/>
  <c r="AI33" i="89"/>
  <c r="AJ33" i="89"/>
  <c r="AK33" i="89"/>
  <c r="AL33" i="89"/>
  <c r="AA34" i="89"/>
  <c r="Z34" i="89"/>
  <c r="Y34" i="89"/>
  <c r="Y35" i="89" s="1"/>
  <c r="X33" i="89"/>
  <c r="Y33" i="89"/>
  <c r="Z33" i="89"/>
  <c r="AA33" i="89"/>
  <c r="AA25" i="89"/>
  <c r="Z25" i="89"/>
  <c r="Y25" i="89"/>
  <c r="AL114" i="89"/>
  <c r="AK114" i="89"/>
  <c r="AJ114" i="89"/>
  <c r="AJ16" i="89" s="1"/>
  <c r="AI114" i="89"/>
  <c r="AH114" i="89"/>
  <c r="AK90" i="98" s="1"/>
  <c r="AL103" i="89"/>
  <c r="AL104" i="89" s="1"/>
  <c r="AK103" i="89"/>
  <c r="AK15" i="89" s="1"/>
  <c r="AJ103" i="89"/>
  <c r="AI103" i="89"/>
  <c r="AH103" i="89"/>
  <c r="AL92" i="89"/>
  <c r="AK92" i="89"/>
  <c r="AN95" i="98" s="1"/>
  <c r="AJ92" i="89"/>
  <c r="AM95" i="98" s="1"/>
  <c r="AI92" i="89"/>
  <c r="AL95" i="98" s="1"/>
  <c r="AH92" i="89"/>
  <c r="AK95" i="98" s="1"/>
  <c r="AL89" i="89"/>
  <c r="AK89" i="89"/>
  <c r="AJ89" i="89"/>
  <c r="AI89" i="89"/>
  <c r="AH89" i="89"/>
  <c r="AL84" i="89"/>
  <c r="AL85" i="89" s="1"/>
  <c r="AK84" i="89"/>
  <c r="AK85" i="89" s="1"/>
  <c r="AJ84" i="89"/>
  <c r="AI84" i="89"/>
  <c r="AH84" i="89"/>
  <c r="AH85" i="89" s="1"/>
  <c r="AJ79" i="89"/>
  <c r="AL78" i="89"/>
  <c r="AK78" i="89"/>
  <c r="AK79" i="89" s="1"/>
  <c r="AJ78" i="89"/>
  <c r="AI78" i="89"/>
  <c r="AH78" i="89"/>
  <c r="AI79" i="89" s="1"/>
  <c r="AL72" i="89"/>
  <c r="AK72" i="89"/>
  <c r="AK73" i="89" s="1"/>
  <c r="AJ72" i="89"/>
  <c r="AI72" i="89"/>
  <c r="AI73" i="89" s="1"/>
  <c r="AH72" i="89"/>
  <c r="AL63" i="89"/>
  <c r="AK63" i="89"/>
  <c r="AJ63" i="89"/>
  <c r="AI63" i="89"/>
  <c r="AI64" i="89" s="1"/>
  <c r="AH63" i="89"/>
  <c r="AL57" i="89"/>
  <c r="AL58" i="89" s="1"/>
  <c r="AK57" i="89"/>
  <c r="AJ57" i="89"/>
  <c r="AK58" i="89"/>
  <c r="AI57" i="89"/>
  <c r="AH57" i="89"/>
  <c r="AH58" i="89" s="1"/>
  <c r="AL51" i="89"/>
  <c r="AK51" i="89"/>
  <c r="AJ51" i="89"/>
  <c r="AI51" i="89"/>
  <c r="AH51" i="89"/>
  <c r="AI15" i="89"/>
  <c r="AI13" i="89"/>
  <c r="AI6" i="89"/>
  <c r="AJ6" i="89"/>
  <c r="AK6" i="89"/>
  <c r="AL6" i="89"/>
  <c r="AH6" i="89"/>
  <c r="AC14" i="40"/>
  <c r="AD14" i="40"/>
  <c r="AE14" i="40"/>
  <c r="AE84" i="41" s="1"/>
  <c r="AF14" i="40"/>
  <c r="AF84" i="41" s="1"/>
  <c r="AG14" i="40"/>
  <c r="AG84" i="41" s="1"/>
  <c r="AH14" i="40"/>
  <c r="AH84" i="41" s="1"/>
  <c r="AI14" i="40"/>
  <c r="AI84" i="41" s="1"/>
  <c r="AJ14" i="40"/>
  <c r="AJ84" i="41" s="1"/>
  <c r="AK14" i="40"/>
  <c r="AK84" i="41" s="1"/>
  <c r="AL14" i="40"/>
  <c r="AL84" i="41" s="1"/>
  <c r="AD44" i="40"/>
  <c r="AE44" i="40" s="1"/>
  <c r="AD43" i="40"/>
  <c r="AE43" i="40" s="1"/>
  <c r="AF43" i="40" s="1"/>
  <c r="AG43" i="40" s="1"/>
  <c r="AH43" i="40" s="1"/>
  <c r="AI43" i="40" s="1"/>
  <c r="AJ43" i="40" s="1"/>
  <c r="AK43" i="40" s="1"/>
  <c r="AL43" i="40" s="1"/>
  <c r="Z24" i="40"/>
  <c r="AA24" i="40"/>
  <c r="AB24" i="40"/>
  <c r="AD82" i="40"/>
  <c r="AE81" i="40"/>
  <c r="AD81" i="40"/>
  <c r="AE80" i="40"/>
  <c r="AD80" i="40"/>
  <c r="AE79" i="40"/>
  <c r="AD79" i="40"/>
  <c r="AE64" i="40" s="1"/>
  <c r="AE78" i="40"/>
  <c r="AD78" i="40"/>
  <c r="AE75" i="40"/>
  <c r="AE74" i="40"/>
  <c r="AE60" i="40" s="1"/>
  <c r="AE62" i="40" s="1"/>
  <c r="AE73" i="40"/>
  <c r="AE72" i="40"/>
  <c r="AL7" i="40"/>
  <c r="AK7" i="40"/>
  <c r="AJ7" i="40"/>
  <c r="AI7" i="40"/>
  <c r="AH7" i="40"/>
  <c r="AJ104" i="89"/>
  <c r="AH14" i="89"/>
  <c r="AO90" i="98"/>
  <c r="AJ14" i="89"/>
  <c r="AJ15" i="89"/>
  <c r="AL15" i="89"/>
  <c r="AH13" i="89"/>
  <c r="S122" i="112"/>
  <c r="S118" i="112"/>
  <c r="S114" i="112"/>
  <c r="S121" i="112"/>
  <c r="S117" i="112"/>
  <c r="S113" i="112"/>
  <c r="S120" i="112"/>
  <c r="S116" i="112"/>
  <c r="S112" i="112"/>
  <c r="S119" i="112"/>
  <c r="S123" i="112"/>
  <c r="S115" i="112"/>
  <c r="T121" i="112"/>
  <c r="T117" i="112"/>
  <c r="T113" i="112"/>
  <c r="T120" i="112"/>
  <c r="T116" i="112"/>
  <c r="T112" i="112"/>
  <c r="T123" i="112"/>
  <c r="T119" i="112"/>
  <c r="T115" i="112"/>
  <c r="T122" i="112"/>
  <c r="T118" i="112"/>
  <c r="T114" i="112"/>
  <c r="U120" i="112"/>
  <c r="U116" i="112"/>
  <c r="U112" i="112"/>
  <c r="U123" i="112"/>
  <c r="U119" i="112"/>
  <c r="U115" i="112"/>
  <c r="U122" i="112"/>
  <c r="U118" i="112"/>
  <c r="U114" i="112"/>
  <c r="U121" i="112"/>
  <c r="U113" i="112"/>
  <c r="U117" i="112"/>
  <c r="V123" i="112"/>
  <c r="V119" i="112"/>
  <c r="V115" i="112"/>
  <c r="V122" i="112"/>
  <c r="V118" i="112"/>
  <c r="V114" i="112"/>
  <c r="V121" i="112"/>
  <c r="V117" i="112"/>
  <c r="V113" i="112"/>
  <c r="V112" i="112"/>
  <c r="V116" i="112"/>
  <c r="V120" i="112"/>
  <c r="W122" i="112"/>
  <c r="W118" i="112"/>
  <c r="W114" i="112"/>
  <c r="W121" i="112"/>
  <c r="W117" i="112"/>
  <c r="W113" i="112"/>
  <c r="W120" i="112"/>
  <c r="W116" i="112"/>
  <c r="W112" i="112"/>
  <c r="W115" i="112"/>
  <c r="W119" i="112"/>
  <c r="W123" i="112"/>
  <c r="AX141" i="90"/>
  <c r="AY141" i="90"/>
  <c r="AZ141" i="90"/>
  <c r="BA141" i="90"/>
  <c r="BB141" i="90"/>
  <c r="BC141" i="90"/>
  <c r="BD141" i="90"/>
  <c r="BE141" i="90"/>
  <c r="CA141" i="90" s="1"/>
  <c r="BD140" i="90"/>
  <c r="BC140" i="90"/>
  <c r="BB140" i="90"/>
  <c r="BA140" i="90"/>
  <c r="AZ140" i="90"/>
  <c r="AY140" i="90"/>
  <c r="AX140" i="90"/>
  <c r="BE139" i="90"/>
  <c r="BC139" i="90"/>
  <c r="BB139" i="90"/>
  <c r="BA139" i="90"/>
  <c r="AZ139" i="90"/>
  <c r="AY139" i="90"/>
  <c r="AX139" i="90"/>
  <c r="BE138" i="90"/>
  <c r="BD138" i="90"/>
  <c r="BZ138" i="90" s="1"/>
  <c r="BB138" i="90"/>
  <c r="BA138" i="90"/>
  <c r="AZ138" i="90"/>
  <c r="AY138" i="90"/>
  <c r="AX138" i="90"/>
  <c r="BE137" i="90"/>
  <c r="BD137" i="90"/>
  <c r="BC137" i="90"/>
  <c r="BY137" i="90" s="1"/>
  <c r="BA137" i="90"/>
  <c r="AZ137" i="90"/>
  <c r="AY137" i="90"/>
  <c r="AX137" i="90"/>
  <c r="BE136" i="90"/>
  <c r="BD136" i="90"/>
  <c r="BC136" i="90"/>
  <c r="BB136" i="90"/>
  <c r="BX136" i="90" s="1"/>
  <c r="AZ136" i="90"/>
  <c r="AY136" i="90"/>
  <c r="AX136" i="90"/>
  <c r="BE135" i="90"/>
  <c r="BD135" i="90"/>
  <c r="BC135" i="90"/>
  <c r="BB135" i="90"/>
  <c r="BA135" i="90"/>
  <c r="BW135" i="90" s="1"/>
  <c r="AY135" i="90"/>
  <c r="AX135" i="90"/>
  <c r="BE134" i="90"/>
  <c r="BD134" i="90"/>
  <c r="BC134" i="90"/>
  <c r="BB134" i="90"/>
  <c r="BA134" i="90"/>
  <c r="AZ134" i="90"/>
  <c r="BV134" i="90" s="1"/>
  <c r="AX134" i="90"/>
  <c r="BE133" i="90"/>
  <c r="BD133" i="90"/>
  <c r="BC133" i="90"/>
  <c r="BB133" i="90"/>
  <c r="BA133" i="90"/>
  <c r="AZ133" i="90"/>
  <c r="AY133" i="90"/>
  <c r="BU133" i="90" s="1"/>
  <c r="BD132" i="90"/>
  <c r="BC132" i="90"/>
  <c r="BB132" i="90"/>
  <c r="BA132" i="90"/>
  <c r="AZ132" i="90"/>
  <c r="AY132" i="90"/>
  <c r="AX132" i="90"/>
  <c r="BE131" i="90"/>
  <c r="CA131" i="90" s="1"/>
  <c r="BC131" i="90"/>
  <c r="BB131" i="90"/>
  <c r="BA131" i="90"/>
  <c r="AZ131" i="90"/>
  <c r="AY131" i="90"/>
  <c r="AX131" i="90"/>
  <c r="BE130" i="90"/>
  <c r="BD130" i="90"/>
  <c r="BB130" i="90"/>
  <c r="BA130" i="90"/>
  <c r="AZ130" i="90"/>
  <c r="AY130" i="90"/>
  <c r="AX130" i="90"/>
  <c r="BE129" i="90"/>
  <c r="BD129" i="90"/>
  <c r="BC129" i="90"/>
  <c r="BY129" i="90" s="1"/>
  <c r="BA129" i="90"/>
  <c r="AZ129" i="90"/>
  <c r="AY129" i="90"/>
  <c r="AX129" i="90"/>
  <c r="BE128" i="90"/>
  <c r="BD128" i="90"/>
  <c r="BC128" i="90"/>
  <c r="BB128" i="90"/>
  <c r="BX128" i="90" s="1"/>
  <c r="AZ128" i="90"/>
  <c r="AY128" i="90"/>
  <c r="AX128" i="90"/>
  <c r="BE127" i="90"/>
  <c r="BD127" i="90"/>
  <c r="BC127" i="90"/>
  <c r="BB127" i="90"/>
  <c r="BA127" i="90"/>
  <c r="BW127" i="90" s="1"/>
  <c r="AY127" i="90"/>
  <c r="AX127" i="90"/>
  <c r="H7" i="5"/>
  <c r="B2" i="42" s="1"/>
  <c r="C2" i="36"/>
  <c r="B2" i="56"/>
  <c r="B2" i="100"/>
  <c r="AE7" i="114"/>
  <c r="AD7" i="114"/>
  <c r="AC7" i="114"/>
  <c r="AB7" i="114"/>
  <c r="AA7" i="114"/>
  <c r="Z7" i="114"/>
  <c r="Y7" i="114"/>
  <c r="X7" i="114"/>
  <c r="W7" i="114"/>
  <c r="V7" i="114"/>
  <c r="U7" i="114"/>
  <c r="T7" i="114"/>
  <c r="S7" i="114"/>
  <c r="R7" i="114"/>
  <c r="Q7" i="114"/>
  <c r="P7" i="114"/>
  <c r="O7" i="114"/>
  <c r="N7" i="114"/>
  <c r="M7" i="114"/>
  <c r="L7" i="114"/>
  <c r="K7" i="114"/>
  <c r="J7" i="114"/>
  <c r="AB1" i="90"/>
  <c r="AM1" i="90"/>
  <c r="AX1" i="90"/>
  <c r="BI1" i="90"/>
  <c r="BT1" i="90"/>
  <c r="CE1" i="90"/>
  <c r="CP1" i="90"/>
  <c r="AB2" i="90"/>
  <c r="AX2" i="90"/>
  <c r="BI2" i="90"/>
  <c r="BT2" i="90"/>
  <c r="CE2" i="90"/>
  <c r="CP2" i="90"/>
  <c r="R3" i="90"/>
  <c r="S3" i="90"/>
  <c r="T3" i="90"/>
  <c r="U3" i="90"/>
  <c r="V3" i="90"/>
  <c r="W3" i="90"/>
  <c r="X3" i="90"/>
  <c r="AB3" i="90"/>
  <c r="AC3" i="90"/>
  <c r="AD3" i="90"/>
  <c r="AE3" i="90"/>
  <c r="AF3" i="90"/>
  <c r="AG3" i="90"/>
  <c r="AH3" i="90"/>
  <c r="AI3" i="90"/>
  <c r="AM3" i="90"/>
  <c r="AN3" i="90"/>
  <c r="AO3" i="90"/>
  <c r="AP3" i="90"/>
  <c r="AQ3" i="90"/>
  <c r="AR3" i="90"/>
  <c r="AS3" i="90"/>
  <c r="AT3" i="90"/>
  <c r="AX3" i="90"/>
  <c r="AY3" i="90"/>
  <c r="AZ3" i="90"/>
  <c r="BA3" i="90"/>
  <c r="BB3" i="90"/>
  <c r="BC3" i="90"/>
  <c r="BD3" i="90"/>
  <c r="BE3" i="90"/>
  <c r="BI3" i="90"/>
  <c r="BJ3" i="90"/>
  <c r="BK3" i="90"/>
  <c r="BL3" i="90"/>
  <c r="BM3" i="90"/>
  <c r="BN3" i="90"/>
  <c r="BO3" i="90"/>
  <c r="BP3" i="90"/>
  <c r="BT3" i="90"/>
  <c r="BU3" i="90"/>
  <c r="BV3" i="90"/>
  <c r="BW3" i="90"/>
  <c r="BX3" i="90"/>
  <c r="BY3" i="90"/>
  <c r="BZ3" i="90"/>
  <c r="CA3" i="90"/>
  <c r="CE3" i="90"/>
  <c r="CF3" i="90"/>
  <c r="CG3" i="90"/>
  <c r="CH3" i="90"/>
  <c r="CI3" i="90"/>
  <c r="CJ3" i="90"/>
  <c r="CK3" i="90"/>
  <c r="CL3" i="90"/>
  <c r="CP3" i="90"/>
  <c r="CQ3" i="90"/>
  <c r="CR3" i="90"/>
  <c r="CS3" i="90"/>
  <c r="CT3" i="90"/>
  <c r="CU3" i="90"/>
  <c r="CV3" i="90"/>
  <c r="CW3" i="90"/>
  <c r="Q3" i="90"/>
  <c r="Q2" i="90"/>
  <c r="Q1" i="90"/>
  <c r="H182" i="44"/>
  <c r="F182" i="44"/>
  <c r="H79" i="44"/>
  <c r="F79" i="44"/>
  <c r="I47" i="56"/>
  <c r="I46" i="56"/>
  <c r="AG248" i="34"/>
  <c r="AF248" i="34"/>
  <c r="AE248" i="34"/>
  <c r="AD248" i="34"/>
  <c r="AC248" i="34"/>
  <c r="AB248" i="34"/>
  <c r="AA248" i="34"/>
  <c r="Z248" i="34"/>
  <c r="Y248" i="34"/>
  <c r="X248" i="34"/>
  <c r="AG233" i="34"/>
  <c r="AF233" i="34"/>
  <c r="AE233" i="34"/>
  <c r="AD233" i="34"/>
  <c r="AC233" i="34"/>
  <c r="AB233" i="34"/>
  <c r="AA233" i="34"/>
  <c r="Z233" i="34"/>
  <c r="Y233" i="34"/>
  <c r="X233" i="34"/>
  <c r="AG218" i="34"/>
  <c r="AF218" i="34"/>
  <c r="AE218" i="34"/>
  <c r="AD218" i="34"/>
  <c r="AC218" i="34"/>
  <c r="AB218" i="34"/>
  <c r="AA218" i="34"/>
  <c r="Z218" i="34"/>
  <c r="Y218" i="34"/>
  <c r="X218" i="34"/>
  <c r="AG203" i="34"/>
  <c r="AF203" i="34"/>
  <c r="AE203" i="34"/>
  <c r="AD203" i="34"/>
  <c r="AC203" i="34"/>
  <c r="AB203" i="34"/>
  <c r="AA203" i="34"/>
  <c r="Z203" i="34"/>
  <c r="Y203" i="34"/>
  <c r="X203" i="34"/>
  <c r="AG188" i="34"/>
  <c r="AF188" i="34"/>
  <c r="AE188" i="34"/>
  <c r="AD188" i="34"/>
  <c r="AC188" i="34"/>
  <c r="AB188" i="34"/>
  <c r="AA188" i="34"/>
  <c r="Z188" i="34"/>
  <c r="Y188" i="34"/>
  <c r="X188" i="34"/>
  <c r="AG173" i="34"/>
  <c r="AF173" i="34"/>
  <c r="AE173" i="34"/>
  <c r="AD173" i="34"/>
  <c r="AC173" i="34"/>
  <c r="AB173" i="34"/>
  <c r="AA173" i="34"/>
  <c r="Z173" i="34"/>
  <c r="Y173" i="34"/>
  <c r="X173" i="34"/>
  <c r="AG158" i="34"/>
  <c r="AF158" i="34"/>
  <c r="AE158" i="34"/>
  <c r="AD158" i="34"/>
  <c r="AC158" i="34"/>
  <c r="AB158" i="34"/>
  <c r="AA158" i="34"/>
  <c r="Z158" i="34"/>
  <c r="Y158" i="34"/>
  <c r="X158" i="34"/>
  <c r="AG143" i="34"/>
  <c r="AF143" i="34"/>
  <c r="AE143" i="34"/>
  <c r="AD143" i="34"/>
  <c r="AC143" i="34"/>
  <c r="AB143" i="34"/>
  <c r="AA143" i="34"/>
  <c r="Z143" i="34"/>
  <c r="Y143" i="34"/>
  <c r="X143" i="34"/>
  <c r="AG128" i="34"/>
  <c r="AF128" i="34"/>
  <c r="AE128" i="34"/>
  <c r="AD128" i="34"/>
  <c r="AC128" i="34"/>
  <c r="AB128" i="34"/>
  <c r="AA128" i="34"/>
  <c r="Z128" i="34"/>
  <c r="Y128" i="34"/>
  <c r="X128" i="34"/>
  <c r="AG113" i="34"/>
  <c r="AF113" i="34"/>
  <c r="AE113" i="34"/>
  <c r="AD113" i="34"/>
  <c r="AC113" i="34"/>
  <c r="AB113" i="34"/>
  <c r="AA113" i="34"/>
  <c r="Z113" i="34"/>
  <c r="Y113" i="34"/>
  <c r="X113" i="34"/>
  <c r="AG98" i="34"/>
  <c r="AF98" i="34"/>
  <c r="AE98" i="34"/>
  <c r="AD98" i="34"/>
  <c r="AC98" i="34"/>
  <c r="AB98" i="34"/>
  <c r="AA98" i="34"/>
  <c r="Z98" i="34"/>
  <c r="Y98" i="34"/>
  <c r="AG83" i="34"/>
  <c r="AF83" i="34"/>
  <c r="AE83" i="34"/>
  <c r="AD83" i="34"/>
  <c r="AC83" i="34"/>
  <c r="AB83" i="34"/>
  <c r="AA83" i="34"/>
  <c r="Z83" i="34"/>
  <c r="Y83" i="34"/>
  <c r="AG68" i="34"/>
  <c r="AF68" i="34"/>
  <c r="AE68" i="34"/>
  <c r="AD68" i="34"/>
  <c r="AC68" i="34"/>
  <c r="AB68" i="34"/>
  <c r="AA68" i="34"/>
  <c r="Z68" i="34"/>
  <c r="Y68" i="34"/>
  <c r="X68" i="34"/>
  <c r="AG53" i="34"/>
  <c r="AF53" i="34"/>
  <c r="AE53" i="34"/>
  <c r="AD53" i="34"/>
  <c r="AC53" i="34"/>
  <c r="AB53" i="34"/>
  <c r="AA53" i="34"/>
  <c r="Z53" i="34"/>
  <c r="Y53" i="34"/>
  <c r="X53" i="34"/>
  <c r="AG443" i="36"/>
  <c r="AF443" i="36"/>
  <c r="AE443" i="36"/>
  <c r="AD443" i="36"/>
  <c r="AC443" i="36"/>
  <c r="AB443" i="36"/>
  <c r="AA443" i="36"/>
  <c r="Z443" i="36"/>
  <c r="Y443" i="36"/>
  <c r="X443" i="36"/>
  <c r="W443" i="36"/>
  <c r="AG440" i="36"/>
  <c r="AF440" i="36"/>
  <c r="AE440" i="36"/>
  <c r="AD440" i="36"/>
  <c r="AC440" i="36"/>
  <c r="AB440" i="36"/>
  <c r="AA440" i="36"/>
  <c r="Z440" i="36"/>
  <c r="Y440" i="36"/>
  <c r="X440" i="36"/>
  <c r="W440" i="36"/>
  <c r="AG437" i="36"/>
  <c r="AF437" i="36"/>
  <c r="AE437" i="36"/>
  <c r="AD437" i="36"/>
  <c r="AC437" i="36"/>
  <c r="AB437" i="36"/>
  <c r="AA437" i="36"/>
  <c r="Z437" i="36"/>
  <c r="Y437" i="36"/>
  <c r="X437" i="36"/>
  <c r="W437" i="36"/>
  <c r="AG434" i="36"/>
  <c r="AF434" i="36"/>
  <c r="AE434" i="36"/>
  <c r="AD434" i="36"/>
  <c r="AC434" i="36"/>
  <c r="AB434" i="36"/>
  <c r="AA434" i="36"/>
  <c r="Z434" i="36"/>
  <c r="Y434" i="36"/>
  <c r="X434" i="36"/>
  <c r="W434" i="36"/>
  <c r="AG431" i="36"/>
  <c r="AF431" i="36"/>
  <c r="AE431" i="36"/>
  <c r="AD431" i="36"/>
  <c r="AC431" i="36"/>
  <c r="AB431" i="36"/>
  <c r="AA431" i="36"/>
  <c r="Z431" i="36"/>
  <c r="Y431" i="36"/>
  <c r="X431" i="36"/>
  <c r="W431" i="36"/>
  <c r="AG428" i="36"/>
  <c r="AF428" i="36"/>
  <c r="AE428" i="36"/>
  <c r="AD428" i="36"/>
  <c r="AC428" i="36"/>
  <c r="AB428" i="36"/>
  <c r="AA428" i="36"/>
  <c r="Z428" i="36"/>
  <c r="Y428" i="36"/>
  <c r="X428" i="36"/>
  <c r="W428" i="36"/>
  <c r="AG425" i="36"/>
  <c r="AF425" i="36"/>
  <c r="AE425" i="36"/>
  <c r="AD425" i="36"/>
  <c r="AC425" i="36"/>
  <c r="AB425" i="36"/>
  <c r="AA425" i="36"/>
  <c r="Z425" i="36"/>
  <c r="Y425" i="36"/>
  <c r="X425" i="36"/>
  <c r="W425" i="36"/>
  <c r="AG422" i="36"/>
  <c r="AF422" i="36"/>
  <c r="AE422" i="36"/>
  <c r="AD422" i="36"/>
  <c r="AC422" i="36"/>
  <c r="AB422" i="36"/>
  <c r="AA422" i="36"/>
  <c r="Z422" i="36"/>
  <c r="Y422" i="36"/>
  <c r="X422" i="36"/>
  <c r="W422" i="36"/>
  <c r="AG419" i="36"/>
  <c r="AF419" i="36"/>
  <c r="AE419" i="36"/>
  <c r="AD419" i="36"/>
  <c r="AC419" i="36"/>
  <c r="AB419" i="36"/>
  <c r="AA419" i="36"/>
  <c r="Z419" i="36"/>
  <c r="Y419" i="36"/>
  <c r="X419" i="36"/>
  <c r="W419" i="36"/>
  <c r="AG416" i="36"/>
  <c r="AF416" i="36"/>
  <c r="AE416" i="36"/>
  <c r="AD416" i="36"/>
  <c r="AC416" i="36"/>
  <c r="AB416" i="36"/>
  <c r="AA416" i="36"/>
  <c r="Z416" i="36"/>
  <c r="Y416" i="36"/>
  <c r="X416" i="36"/>
  <c r="W416" i="36"/>
  <c r="AG413" i="36"/>
  <c r="AF413" i="36"/>
  <c r="AE413" i="36"/>
  <c r="AD413" i="36"/>
  <c r="AC413" i="36"/>
  <c r="AB413" i="36"/>
  <c r="AA413" i="36"/>
  <c r="Z413" i="36"/>
  <c r="Y413" i="36"/>
  <c r="X413" i="36"/>
  <c r="W413" i="36"/>
  <c r="AG410" i="36"/>
  <c r="AF410" i="36"/>
  <c r="AE410" i="36"/>
  <c r="AD410" i="36"/>
  <c r="AC410" i="36"/>
  <c r="AB410" i="36"/>
  <c r="AA410" i="36"/>
  <c r="Z410" i="36"/>
  <c r="Y410" i="36"/>
  <c r="X410" i="36"/>
  <c r="W410" i="36"/>
  <c r="AG407" i="36"/>
  <c r="AF407" i="36"/>
  <c r="AE407" i="36"/>
  <c r="AD407" i="36"/>
  <c r="AC407" i="36"/>
  <c r="AB407" i="36"/>
  <c r="AA407" i="36"/>
  <c r="Z407" i="36"/>
  <c r="Y407" i="36"/>
  <c r="X407" i="36"/>
  <c r="W407" i="36"/>
  <c r="AG404" i="36"/>
  <c r="AF404" i="36"/>
  <c r="AE404" i="36"/>
  <c r="AD404" i="36"/>
  <c r="AC404" i="36"/>
  <c r="AB404" i="36"/>
  <c r="AA404" i="36"/>
  <c r="Z404" i="36"/>
  <c r="Y404" i="36"/>
  <c r="X404" i="36"/>
  <c r="W404" i="36"/>
  <c r="AG401" i="36"/>
  <c r="AF401" i="36"/>
  <c r="AE401" i="36"/>
  <c r="AD401" i="36"/>
  <c r="AC401" i="36"/>
  <c r="AB401" i="36"/>
  <c r="AA401" i="36"/>
  <c r="Z401" i="36"/>
  <c r="Y401" i="36"/>
  <c r="X401" i="36"/>
  <c r="W401" i="36"/>
  <c r="AG398" i="36"/>
  <c r="AF398" i="36"/>
  <c r="AE398" i="36"/>
  <c r="AD398" i="36"/>
  <c r="AC398" i="36"/>
  <c r="AB398" i="36"/>
  <c r="AA398" i="36"/>
  <c r="Z398" i="36"/>
  <c r="Y398" i="36"/>
  <c r="X398" i="36"/>
  <c r="W398" i="36"/>
  <c r="AG395" i="36"/>
  <c r="AF395" i="36"/>
  <c r="AE395" i="36"/>
  <c r="AD395" i="36"/>
  <c r="AC395" i="36"/>
  <c r="AB395" i="36"/>
  <c r="AA395" i="36"/>
  <c r="Z395" i="36"/>
  <c r="Y395" i="36"/>
  <c r="X395" i="36"/>
  <c r="W395" i="36"/>
  <c r="AG392" i="36"/>
  <c r="AF392" i="36"/>
  <c r="AE392" i="36"/>
  <c r="AD392" i="36"/>
  <c r="AC392" i="36"/>
  <c r="AB392" i="36"/>
  <c r="AA392" i="36"/>
  <c r="Z392" i="36"/>
  <c r="Y392" i="36"/>
  <c r="X392" i="36"/>
  <c r="W392" i="36"/>
  <c r="AG389" i="36"/>
  <c r="AF389" i="36"/>
  <c r="AE389" i="36"/>
  <c r="AD389" i="36"/>
  <c r="AC389" i="36"/>
  <c r="AB389" i="36"/>
  <c r="AA389" i="36"/>
  <c r="Z389" i="36"/>
  <c r="Y389" i="36"/>
  <c r="X389" i="36"/>
  <c r="W389" i="36"/>
  <c r="AG383" i="36"/>
  <c r="AF383" i="36"/>
  <c r="AE383" i="36"/>
  <c r="AD383" i="36"/>
  <c r="AC383" i="36"/>
  <c r="AB383" i="36"/>
  <c r="AA383" i="36"/>
  <c r="Z383" i="36"/>
  <c r="Y383" i="36"/>
  <c r="X383" i="36"/>
  <c r="W383" i="36"/>
  <c r="AG380" i="36"/>
  <c r="AF380" i="36"/>
  <c r="AE380" i="36"/>
  <c r="AD380" i="36"/>
  <c r="AC380" i="36"/>
  <c r="AB380" i="36"/>
  <c r="AA380" i="36"/>
  <c r="Z380" i="36"/>
  <c r="Y380" i="36"/>
  <c r="X380" i="36"/>
  <c r="W380" i="36"/>
  <c r="AG377" i="36"/>
  <c r="AF377" i="36"/>
  <c r="AE377" i="36"/>
  <c r="AD377" i="36"/>
  <c r="AC377" i="36"/>
  <c r="AB377" i="36"/>
  <c r="AA377" i="36"/>
  <c r="Z377" i="36"/>
  <c r="Y377" i="36"/>
  <c r="X377" i="36"/>
  <c r="W377" i="36"/>
  <c r="AG374" i="36"/>
  <c r="AF374" i="36"/>
  <c r="AE374" i="36"/>
  <c r="AD374" i="36"/>
  <c r="AC374" i="36"/>
  <c r="AB374" i="36"/>
  <c r="AA374" i="36"/>
  <c r="Z374" i="36"/>
  <c r="Y374" i="36"/>
  <c r="X374" i="36"/>
  <c r="W374" i="36"/>
  <c r="AG371" i="36"/>
  <c r="AF371" i="36"/>
  <c r="AE371" i="36"/>
  <c r="AD371" i="36"/>
  <c r="AC371" i="36"/>
  <c r="AB371" i="36"/>
  <c r="AA371" i="36"/>
  <c r="Z371" i="36"/>
  <c r="Y371" i="36"/>
  <c r="X371" i="36"/>
  <c r="W371" i="36"/>
  <c r="AG368" i="36"/>
  <c r="AF368" i="36"/>
  <c r="AE368" i="36"/>
  <c r="AD368" i="36"/>
  <c r="AC368" i="36"/>
  <c r="AB368" i="36"/>
  <c r="AA368" i="36"/>
  <c r="Z368" i="36"/>
  <c r="Y368" i="36"/>
  <c r="X368" i="36"/>
  <c r="W368" i="36"/>
  <c r="AG365" i="36"/>
  <c r="AF365" i="36"/>
  <c r="AE365" i="36"/>
  <c r="AD365" i="36"/>
  <c r="AC365" i="36"/>
  <c r="AB365" i="36"/>
  <c r="AA365" i="36"/>
  <c r="Z365" i="36"/>
  <c r="Y365" i="36"/>
  <c r="X365" i="36"/>
  <c r="W365" i="36"/>
  <c r="AG362" i="36"/>
  <c r="AF362" i="36"/>
  <c r="AE362" i="36"/>
  <c r="AD362" i="36"/>
  <c r="AC362" i="36"/>
  <c r="AB362" i="36"/>
  <c r="AA362" i="36"/>
  <c r="Z362" i="36"/>
  <c r="Y362" i="36"/>
  <c r="X362" i="36"/>
  <c r="W362" i="36"/>
  <c r="AG359" i="36"/>
  <c r="AF359" i="36"/>
  <c r="AE359" i="36"/>
  <c r="AD359" i="36"/>
  <c r="AC359" i="36"/>
  <c r="AB359" i="36"/>
  <c r="AA359" i="36"/>
  <c r="Z359" i="36"/>
  <c r="Y359" i="36"/>
  <c r="X359" i="36"/>
  <c r="W359" i="36"/>
  <c r="AG356" i="36"/>
  <c r="AF356" i="36"/>
  <c r="AE356" i="36"/>
  <c r="AD356" i="36"/>
  <c r="AC356" i="36"/>
  <c r="AB356" i="36"/>
  <c r="AA356" i="36"/>
  <c r="Z356" i="36"/>
  <c r="Y356" i="36"/>
  <c r="X356" i="36"/>
  <c r="W356" i="36"/>
  <c r="AG353" i="36"/>
  <c r="AF353" i="36"/>
  <c r="AE353" i="36"/>
  <c r="AD353" i="36"/>
  <c r="AC353" i="36"/>
  <c r="AB353" i="36"/>
  <c r="AA353" i="36"/>
  <c r="Z353" i="36"/>
  <c r="Y353" i="36"/>
  <c r="X353" i="36"/>
  <c r="W353" i="36"/>
  <c r="AG350" i="36"/>
  <c r="AF350" i="36"/>
  <c r="AE350" i="36"/>
  <c r="AD350" i="36"/>
  <c r="AC350" i="36"/>
  <c r="AB350" i="36"/>
  <c r="AA350" i="36"/>
  <c r="Z350" i="36"/>
  <c r="Y350" i="36"/>
  <c r="X350" i="36"/>
  <c r="W350" i="36"/>
  <c r="AG347" i="36"/>
  <c r="AF347" i="36"/>
  <c r="AE347" i="36"/>
  <c r="AD347" i="36"/>
  <c r="AC347" i="36"/>
  <c r="AB347" i="36"/>
  <c r="AA347" i="36"/>
  <c r="Z347" i="36"/>
  <c r="Y347" i="36"/>
  <c r="X347" i="36"/>
  <c r="W347" i="36"/>
  <c r="AG344" i="36"/>
  <c r="AF344" i="36"/>
  <c r="AE344" i="36"/>
  <c r="AD344" i="36"/>
  <c r="AC344" i="36"/>
  <c r="AB344" i="36"/>
  <c r="AA344" i="36"/>
  <c r="Z344" i="36"/>
  <c r="Y344" i="36"/>
  <c r="X344" i="36"/>
  <c r="W344" i="36"/>
  <c r="AG341" i="36"/>
  <c r="AF341" i="36"/>
  <c r="AE341" i="36"/>
  <c r="AD341" i="36"/>
  <c r="AC341" i="36"/>
  <c r="AB341" i="36"/>
  <c r="AA341" i="36"/>
  <c r="Z341" i="36"/>
  <c r="Y341" i="36"/>
  <c r="X341" i="36"/>
  <c r="W341" i="36"/>
  <c r="AG338" i="36"/>
  <c r="AF338" i="36"/>
  <c r="AE338" i="36"/>
  <c r="AD338" i="36"/>
  <c r="AC338" i="36"/>
  <c r="AB338" i="36"/>
  <c r="AA338" i="36"/>
  <c r="Z338" i="36"/>
  <c r="Y338" i="36"/>
  <c r="X338" i="36"/>
  <c r="W338" i="36"/>
  <c r="AG335" i="36"/>
  <c r="AF335" i="36"/>
  <c r="AE335" i="36"/>
  <c r="AD335" i="36"/>
  <c r="AC335" i="36"/>
  <c r="AB335" i="36"/>
  <c r="AA335" i="36"/>
  <c r="Z335" i="36"/>
  <c r="Y335" i="36"/>
  <c r="X335" i="36"/>
  <c r="W335" i="36"/>
  <c r="AG332" i="36"/>
  <c r="AF332" i="36"/>
  <c r="AE332" i="36"/>
  <c r="AD332" i="36"/>
  <c r="AC332" i="36"/>
  <c r="AB332" i="36"/>
  <c r="AA332" i="36"/>
  <c r="Z332" i="36"/>
  <c r="Y332" i="36"/>
  <c r="X332" i="36"/>
  <c r="W332" i="36"/>
  <c r="AG329" i="36"/>
  <c r="AF329" i="36"/>
  <c r="AE329" i="36"/>
  <c r="AD329" i="36"/>
  <c r="AC329" i="36"/>
  <c r="AB329" i="36"/>
  <c r="AA329" i="36"/>
  <c r="Z329" i="36"/>
  <c r="Y329" i="36"/>
  <c r="X329" i="36"/>
  <c r="W329" i="36"/>
  <c r="AG326" i="36"/>
  <c r="AF326" i="36"/>
  <c r="AE326" i="36"/>
  <c r="AD326" i="36"/>
  <c r="AC326" i="36"/>
  <c r="AB326" i="36"/>
  <c r="AA326" i="36"/>
  <c r="Z326" i="36"/>
  <c r="Y326" i="36"/>
  <c r="X326" i="36"/>
  <c r="W326" i="36"/>
  <c r="AG323" i="36"/>
  <c r="AF323" i="36"/>
  <c r="AE323" i="36"/>
  <c r="AD323" i="36"/>
  <c r="AC323" i="36"/>
  <c r="AB323" i="36"/>
  <c r="AA323" i="36"/>
  <c r="Z323" i="36"/>
  <c r="Y323" i="36"/>
  <c r="X323" i="36"/>
  <c r="W323" i="36"/>
  <c r="AG320" i="36"/>
  <c r="AF320" i="36"/>
  <c r="AE320" i="36"/>
  <c r="AD320" i="36"/>
  <c r="AC320" i="36"/>
  <c r="AB320" i="36"/>
  <c r="AA320" i="36"/>
  <c r="Z320" i="36"/>
  <c r="Y320" i="36"/>
  <c r="X320" i="36"/>
  <c r="W320" i="36"/>
  <c r="AG317" i="36"/>
  <c r="AF317" i="36"/>
  <c r="AE317" i="36"/>
  <c r="AD317" i="36"/>
  <c r="AC317" i="36"/>
  <c r="AB317" i="36"/>
  <c r="AA317" i="36"/>
  <c r="Z317" i="36"/>
  <c r="Y317" i="36"/>
  <c r="X317" i="36"/>
  <c r="W317" i="36"/>
  <c r="AG314" i="36"/>
  <c r="AF314" i="36"/>
  <c r="AE314" i="36"/>
  <c r="AD314" i="36"/>
  <c r="AC314" i="36"/>
  <c r="AB314" i="36"/>
  <c r="AA314" i="36"/>
  <c r="Z314" i="36"/>
  <c r="Y314" i="36"/>
  <c r="X314" i="36"/>
  <c r="W314" i="36"/>
  <c r="AG311" i="36"/>
  <c r="AF311" i="36"/>
  <c r="AE311" i="36"/>
  <c r="AD311" i="36"/>
  <c r="AC311" i="36"/>
  <c r="AB311" i="36"/>
  <c r="AA311" i="36"/>
  <c r="Z311" i="36"/>
  <c r="Y311" i="36"/>
  <c r="X311" i="36"/>
  <c r="W311" i="36"/>
  <c r="AG308" i="36"/>
  <c r="AF308" i="36"/>
  <c r="AE308" i="36"/>
  <c r="AD308" i="36"/>
  <c r="AC308" i="36"/>
  <c r="AB308" i="36"/>
  <c r="AA308" i="36"/>
  <c r="Z308" i="36"/>
  <c r="Y308" i="36"/>
  <c r="X308" i="36"/>
  <c r="W308" i="36"/>
  <c r="AG305" i="36"/>
  <c r="AF305" i="36"/>
  <c r="AE305" i="36"/>
  <c r="AD305" i="36"/>
  <c r="AC305" i="36"/>
  <c r="AB305" i="36"/>
  <c r="AA305" i="36"/>
  <c r="Z305" i="36"/>
  <c r="Y305" i="36"/>
  <c r="X305" i="36"/>
  <c r="W305" i="36"/>
  <c r="AG302" i="36"/>
  <c r="AF302" i="36"/>
  <c r="AE302" i="36"/>
  <c r="AD302" i="36"/>
  <c r="AC302" i="36"/>
  <c r="AB302" i="36"/>
  <c r="AA302" i="36"/>
  <c r="Z302" i="36"/>
  <c r="Y302" i="36"/>
  <c r="X302" i="36"/>
  <c r="W302" i="36"/>
  <c r="AG299" i="36"/>
  <c r="AF299" i="36"/>
  <c r="AE299" i="36"/>
  <c r="AD299" i="36"/>
  <c r="AC299" i="36"/>
  <c r="AB299" i="36"/>
  <c r="AA299" i="36"/>
  <c r="Z299" i="36"/>
  <c r="Y299" i="36"/>
  <c r="X299" i="36"/>
  <c r="W299" i="36"/>
  <c r="AG296" i="36"/>
  <c r="AF296" i="36"/>
  <c r="AE296" i="36"/>
  <c r="AD296" i="36"/>
  <c r="AC296" i="36"/>
  <c r="AB296" i="36"/>
  <c r="AA296" i="36"/>
  <c r="Z296" i="36"/>
  <c r="Y296" i="36"/>
  <c r="X296" i="36"/>
  <c r="W296" i="36"/>
  <c r="AG293" i="36"/>
  <c r="AF293" i="36"/>
  <c r="AE293" i="36"/>
  <c r="AD293" i="36"/>
  <c r="AC293" i="36"/>
  <c r="AB293" i="36"/>
  <c r="AA293" i="36"/>
  <c r="Z293" i="36"/>
  <c r="Y293" i="36"/>
  <c r="X293" i="36"/>
  <c r="W293" i="36"/>
  <c r="AG290" i="36"/>
  <c r="AF290" i="36"/>
  <c r="AE290" i="36"/>
  <c r="AD290" i="36"/>
  <c r="AC290" i="36"/>
  <c r="AB290" i="36"/>
  <c r="AA290" i="36"/>
  <c r="Z290" i="36"/>
  <c r="Y290" i="36"/>
  <c r="X290" i="36"/>
  <c r="W290" i="36"/>
  <c r="AG287" i="36"/>
  <c r="AF287" i="36"/>
  <c r="AE287" i="36"/>
  <c r="AD287" i="36"/>
  <c r="AC287" i="36"/>
  <c r="AB287" i="36"/>
  <c r="AA287" i="36"/>
  <c r="Z287" i="36"/>
  <c r="Y287" i="36"/>
  <c r="X287" i="36"/>
  <c r="W287" i="36"/>
  <c r="AG284" i="36"/>
  <c r="AF284" i="36"/>
  <c r="AE284" i="36"/>
  <c r="AD284" i="36"/>
  <c r="AC284" i="36"/>
  <c r="AB284" i="36"/>
  <c r="AA284" i="36"/>
  <c r="Z284" i="36"/>
  <c r="Y284" i="36"/>
  <c r="X284" i="36"/>
  <c r="W284" i="36"/>
  <c r="AG281" i="36"/>
  <c r="AF281" i="36"/>
  <c r="AE281" i="36"/>
  <c r="AD281" i="36"/>
  <c r="AC281" i="36"/>
  <c r="AB281" i="36"/>
  <c r="AA281" i="36"/>
  <c r="Z281" i="36"/>
  <c r="Y281" i="36"/>
  <c r="X281" i="36"/>
  <c r="W281" i="36"/>
  <c r="AG278" i="36"/>
  <c r="AF278" i="36"/>
  <c r="AE278" i="36"/>
  <c r="AD278" i="36"/>
  <c r="AC278" i="36"/>
  <c r="AB278" i="36"/>
  <c r="AA278" i="36"/>
  <c r="Z278" i="36"/>
  <c r="Y278" i="36"/>
  <c r="X278" i="36"/>
  <c r="W278" i="36"/>
  <c r="AG275" i="36"/>
  <c r="AF275" i="36"/>
  <c r="AE275" i="36"/>
  <c r="AD275" i="36"/>
  <c r="AC275" i="36"/>
  <c r="AB275" i="36"/>
  <c r="AA275" i="36"/>
  <c r="Z275" i="36"/>
  <c r="Y275" i="36"/>
  <c r="X275" i="36"/>
  <c r="W275" i="36"/>
  <c r="AG272" i="36"/>
  <c r="AF272" i="36"/>
  <c r="AE272" i="36"/>
  <c r="AD272" i="36"/>
  <c r="AC272" i="36"/>
  <c r="AB272" i="36"/>
  <c r="AA272" i="36"/>
  <c r="Z272" i="36"/>
  <c r="Y272" i="36"/>
  <c r="X272" i="36"/>
  <c r="W272" i="36"/>
  <c r="AG269" i="36"/>
  <c r="AF269" i="36"/>
  <c r="AE269" i="36"/>
  <c r="AD269" i="36"/>
  <c r="AC269" i="36"/>
  <c r="AB269" i="36"/>
  <c r="AA269" i="36"/>
  <c r="Z269" i="36"/>
  <c r="Y269" i="36"/>
  <c r="X269" i="36"/>
  <c r="W269" i="36"/>
  <c r="AG266" i="36"/>
  <c r="AF266" i="36"/>
  <c r="AE266" i="36"/>
  <c r="AD266" i="36"/>
  <c r="AC266" i="36"/>
  <c r="AB266" i="36"/>
  <c r="AA266" i="36"/>
  <c r="Z266" i="36"/>
  <c r="Y266" i="36"/>
  <c r="X266" i="36"/>
  <c r="W266" i="36"/>
  <c r="D69" i="36"/>
  <c r="D72" i="36" s="1"/>
  <c r="D75" i="36" s="1"/>
  <c r="D78" i="36" s="1"/>
  <c r="D81" i="36" s="1"/>
  <c r="D84" i="36" s="1"/>
  <c r="D87" i="36" s="1"/>
  <c r="D90" i="36" s="1"/>
  <c r="D93" i="36" s="1"/>
  <c r="D96" i="36" s="1"/>
  <c r="D99" i="36" s="1"/>
  <c r="D102" i="36" s="1"/>
  <c r="D105" i="36" s="1"/>
  <c r="D108" i="36" s="1"/>
  <c r="D111" i="36" s="1"/>
  <c r="D114" i="36" s="1"/>
  <c r="D117" i="36" s="1"/>
  <c r="D120" i="36" s="1"/>
  <c r="D123" i="36" s="1"/>
  <c r="D126" i="36" s="1"/>
  <c r="D129" i="36" s="1"/>
  <c r="D132" i="36" s="1"/>
  <c r="D135" i="36" s="1"/>
  <c r="D138" i="36" s="1"/>
  <c r="D141" i="36" s="1"/>
  <c r="D144" i="36" s="1"/>
  <c r="D147" i="36" s="1"/>
  <c r="D150" i="36" s="1"/>
  <c r="D153" i="36" s="1"/>
  <c r="D156" i="36" s="1"/>
  <c r="D159" i="36" s="1"/>
  <c r="D162" i="36" s="1"/>
  <c r="D165" i="36" s="1"/>
  <c r="D168" i="36" s="1"/>
  <c r="D171" i="36" s="1"/>
  <c r="D174" i="36" s="1"/>
  <c r="D177" i="36" s="1"/>
  <c r="D180" i="36" s="1"/>
  <c r="D183" i="36" s="1"/>
  <c r="D186" i="36" s="1"/>
  <c r="D189" i="36" s="1"/>
  <c r="D192" i="36" s="1"/>
  <c r="D195" i="36" s="1"/>
  <c r="D198" i="36" s="1"/>
  <c r="D201" i="36" s="1"/>
  <c r="D204" i="36" s="1"/>
  <c r="D207" i="36" s="1"/>
  <c r="D210" i="36" s="1"/>
  <c r="D213" i="36" s="1"/>
  <c r="D216" i="36" s="1"/>
  <c r="D219" i="36" s="1"/>
  <c r="D222" i="36" s="1"/>
  <c r="D225" i="36" s="1"/>
  <c r="D228" i="36" s="1"/>
  <c r="D231" i="36" s="1"/>
  <c r="D234" i="36" s="1"/>
  <c r="D237" i="36" s="1"/>
  <c r="D240" i="36" s="1"/>
  <c r="D243" i="36" s="1"/>
  <c r="D246" i="36" s="1"/>
  <c r="D249" i="36" s="1"/>
  <c r="D252" i="36" s="1"/>
  <c r="D255" i="36" s="1"/>
  <c r="D258" i="36" s="1"/>
  <c r="D261" i="36" s="1"/>
  <c r="D264" i="36" s="1"/>
  <c r="D267" i="36" s="1"/>
  <c r="D270" i="36" s="1"/>
  <c r="D273" i="36" s="1"/>
  <c r="D276" i="36" s="1"/>
  <c r="D279" i="36" s="1"/>
  <c r="D282" i="36" s="1"/>
  <c r="D285" i="36" s="1"/>
  <c r="D288" i="36" s="1"/>
  <c r="D291" i="36" s="1"/>
  <c r="D294" i="36" s="1"/>
  <c r="D297" i="36" s="1"/>
  <c r="D300" i="36" s="1"/>
  <c r="D303" i="36" s="1"/>
  <c r="D306" i="36" s="1"/>
  <c r="D309" i="36" s="1"/>
  <c r="D312" i="36" s="1"/>
  <c r="D315" i="36" s="1"/>
  <c r="D318" i="36" s="1"/>
  <c r="D321" i="36" s="1"/>
  <c r="D324" i="36" s="1"/>
  <c r="D327" i="36" s="1"/>
  <c r="D330" i="36" s="1"/>
  <c r="D333" i="36" s="1"/>
  <c r="D336" i="36" s="1"/>
  <c r="D339" i="36" s="1"/>
  <c r="D342" i="36" s="1"/>
  <c r="D345" i="36" s="1"/>
  <c r="D348" i="36" s="1"/>
  <c r="D351" i="36" s="1"/>
  <c r="D354" i="36" s="1"/>
  <c r="D357" i="36" s="1"/>
  <c r="D360" i="36" s="1"/>
  <c r="D363" i="36" s="1"/>
  <c r="D366" i="36" s="1"/>
  <c r="D369" i="36" s="1"/>
  <c r="D372" i="36" s="1"/>
  <c r="D375" i="36" s="1"/>
  <c r="D378" i="36" s="1"/>
  <c r="D381" i="36" s="1"/>
  <c r="Y76" i="30"/>
  <c r="Y51" i="30"/>
  <c r="Y14" i="30" s="1"/>
  <c r="X58" i="30"/>
  <c r="X15" i="30" s="1"/>
  <c r="Y58" i="30"/>
  <c r="Y15" i="30"/>
  <c r="X65" i="30"/>
  <c r="X16" i="30" s="1"/>
  <c r="Y65" i="30"/>
  <c r="Y16" i="30"/>
  <c r="G9" i="90"/>
  <c r="G20" i="90"/>
  <c r="AD43" i="98" s="1"/>
  <c r="H9" i="90"/>
  <c r="I9" i="90"/>
  <c r="J9" i="90"/>
  <c r="K9" i="90"/>
  <c r="H20" i="90"/>
  <c r="AE43" i="98" s="1"/>
  <c r="I20" i="90"/>
  <c r="AF43" i="98" s="1"/>
  <c r="J20" i="90"/>
  <c r="AG43" i="98" s="1"/>
  <c r="K20" i="90"/>
  <c r="AH43" i="98" s="1"/>
  <c r="W33" i="89"/>
  <c r="X83" i="34"/>
  <c r="X98" i="34"/>
  <c r="X76" i="30"/>
  <c r="W71" i="36"/>
  <c r="W74" i="36"/>
  <c r="G19" i="90"/>
  <c r="AD42" i="98" s="1"/>
  <c r="H19" i="90"/>
  <c r="AE42" i="98" s="1"/>
  <c r="I19" i="90"/>
  <c r="AF42" i="98" s="1"/>
  <c r="K19" i="90"/>
  <c r="AH42" i="98" s="1"/>
  <c r="Y37" i="30"/>
  <c r="Y12" i="30" s="1"/>
  <c r="AB8" i="98" s="1"/>
  <c r="J19" i="90"/>
  <c r="AG42" i="98" s="1"/>
  <c r="Y44" i="30"/>
  <c r="Y13" i="30" s="1"/>
  <c r="AG37" i="93"/>
  <c r="AG38" i="93" s="1"/>
  <c r="AF37" i="93"/>
  <c r="AF38" i="93" s="1"/>
  <c r="AE37" i="93"/>
  <c r="AE38" i="93" s="1"/>
  <c r="AD37" i="93"/>
  <c r="AD38" i="93" s="1"/>
  <c r="AC37" i="93"/>
  <c r="AC38" i="93" s="1"/>
  <c r="X38" i="34"/>
  <c r="Y38" i="34"/>
  <c r="Z38" i="34"/>
  <c r="AA38" i="34"/>
  <c r="AB38" i="34"/>
  <c r="AC87" i="41"/>
  <c r="AD87" i="41"/>
  <c r="AE87" i="41"/>
  <c r="AF87" i="41"/>
  <c r="AG87" i="41"/>
  <c r="AD84" i="41"/>
  <c r="AC84" i="41"/>
  <c r="AG7" i="40"/>
  <c r="AF7" i="40"/>
  <c r="AE7" i="40"/>
  <c r="AD7" i="40"/>
  <c r="AC7" i="40"/>
  <c r="J90" i="112"/>
  <c r="I503" i="57"/>
  <c r="I557" i="57" s="1"/>
  <c r="I497" i="57"/>
  <c r="I548" i="57" s="1"/>
  <c r="I491" i="57"/>
  <c r="I539" i="57" s="1"/>
  <c r="I485" i="57"/>
  <c r="I479" i="57"/>
  <c r="I477" i="57"/>
  <c r="I483" i="57" s="1"/>
  <c r="I476" i="57"/>
  <c r="I475" i="57"/>
  <c r="I514" i="57" s="1"/>
  <c r="I474" i="57"/>
  <c r="I473" i="57"/>
  <c r="I491" i="36"/>
  <c r="I487" i="36"/>
  <c r="I483" i="36"/>
  <c r="I479" i="36"/>
  <c r="I506" i="36" s="1"/>
  <c r="I475" i="36"/>
  <c r="I502" i="36" s="1"/>
  <c r="I473" i="36"/>
  <c r="I472" i="36"/>
  <c r="I476" i="36" s="1"/>
  <c r="I503" i="36" s="1"/>
  <c r="I471" i="36"/>
  <c r="I498" i="36" s="1"/>
  <c r="F168" i="112"/>
  <c r="F167" i="112"/>
  <c r="F166" i="112"/>
  <c r="F165" i="112"/>
  <c r="F164" i="112"/>
  <c r="F163" i="112"/>
  <c r="F162" i="112"/>
  <c r="F161" i="112"/>
  <c r="F160" i="112"/>
  <c r="F159" i="112"/>
  <c r="F158" i="112"/>
  <c r="F157" i="112"/>
  <c r="G159" i="112" s="1"/>
  <c r="C124" i="112"/>
  <c r="I107" i="112"/>
  <c r="R63" i="112"/>
  <c r="Q63" i="112"/>
  <c r="P63" i="112"/>
  <c r="O63" i="112"/>
  <c r="N63" i="112"/>
  <c r="M63" i="112"/>
  <c r="L63" i="112"/>
  <c r="K63" i="112"/>
  <c r="J63" i="112"/>
  <c r="I63" i="112"/>
  <c r="J62" i="112"/>
  <c r="J67" i="112" s="1"/>
  <c r="I62" i="112"/>
  <c r="I67" i="112" s="1"/>
  <c r="R61" i="112"/>
  <c r="Q61" i="112"/>
  <c r="P61" i="112"/>
  <c r="O61" i="112"/>
  <c r="N61" i="112"/>
  <c r="M61" i="112"/>
  <c r="L61" i="112"/>
  <c r="K61" i="112"/>
  <c r="J61" i="112"/>
  <c r="I61" i="112"/>
  <c r="R60" i="112"/>
  <c r="Q60" i="112"/>
  <c r="P60" i="112"/>
  <c r="O60" i="112"/>
  <c r="N60" i="112"/>
  <c r="M60" i="112"/>
  <c r="L60" i="112"/>
  <c r="K60" i="112"/>
  <c r="J60" i="112"/>
  <c r="I60" i="112"/>
  <c r="J59" i="112"/>
  <c r="I59" i="112"/>
  <c r="J58" i="112"/>
  <c r="J65" i="112" s="1"/>
  <c r="I58" i="112"/>
  <c r="I65" i="112" s="1"/>
  <c r="B40" i="112"/>
  <c r="B48" i="112" s="1"/>
  <c r="B56" i="112" s="1"/>
  <c r="B39" i="112"/>
  <c r="B47" i="112" s="1"/>
  <c r="B55" i="112" s="1"/>
  <c r="B38" i="112"/>
  <c r="B46" i="112" s="1"/>
  <c r="B54" i="112" s="1"/>
  <c r="B37" i="112"/>
  <c r="B45" i="112" s="1"/>
  <c r="B53" i="112" s="1"/>
  <c r="B36" i="112"/>
  <c r="B44" i="112" s="1"/>
  <c r="B52" i="112" s="1"/>
  <c r="B35" i="112"/>
  <c r="B43" i="112" s="1"/>
  <c r="B51" i="112" s="1"/>
  <c r="AN25" i="112"/>
  <c r="AN77" i="112" s="1"/>
  <c r="J22" i="112"/>
  <c r="I22" i="112"/>
  <c r="J20" i="112"/>
  <c r="I20" i="112"/>
  <c r="E7" i="112"/>
  <c r="E9" i="112" s="1"/>
  <c r="B7" i="112"/>
  <c r="I481" i="57"/>
  <c r="I523" i="57" s="1"/>
  <c r="I530" i="57"/>
  <c r="I516" i="57"/>
  <c r="I521" i="57"/>
  <c r="I512" i="57"/>
  <c r="I518" i="36"/>
  <c r="I514" i="36"/>
  <c r="I510" i="36"/>
  <c r="M90" i="112"/>
  <c r="F20" i="90"/>
  <c r="AC43" i="98" s="1"/>
  <c r="E20" i="90"/>
  <c r="AB43" i="98" s="1"/>
  <c r="D20" i="90"/>
  <c r="AA43" i="98" s="1"/>
  <c r="F19" i="90"/>
  <c r="AC42" i="98" s="1"/>
  <c r="E19" i="90"/>
  <c r="AB42" i="98" s="1"/>
  <c r="D19" i="90"/>
  <c r="AA42" i="98" s="1"/>
  <c r="K14" i="90"/>
  <c r="AH21" i="98" s="1"/>
  <c r="J14" i="90"/>
  <c r="AG21" i="98" s="1"/>
  <c r="H14" i="90"/>
  <c r="AE21" i="98" s="1"/>
  <c r="D58" i="56"/>
  <c r="D52" i="56"/>
  <c r="I52" i="56"/>
  <c r="D53" i="56"/>
  <c r="I53" i="56"/>
  <c r="D54" i="56"/>
  <c r="I54" i="56"/>
  <c r="D55" i="56"/>
  <c r="I55" i="56"/>
  <c r="D57" i="56"/>
  <c r="I57" i="56"/>
  <c r="I58" i="56"/>
  <c r="D59" i="56"/>
  <c r="I59" i="56"/>
  <c r="D60" i="56"/>
  <c r="I60" i="56"/>
  <c r="D61" i="56"/>
  <c r="I61" i="56"/>
  <c r="D62" i="56"/>
  <c r="I62" i="56"/>
  <c r="D63" i="56"/>
  <c r="I63" i="56"/>
  <c r="D64" i="56"/>
  <c r="I64" i="56"/>
  <c r="D65" i="56"/>
  <c r="I65" i="56"/>
  <c r="D66" i="56"/>
  <c r="I66" i="56"/>
  <c r="D67" i="56"/>
  <c r="I67" i="56"/>
  <c r="D68" i="56"/>
  <c r="I68" i="56"/>
  <c r="D69" i="56"/>
  <c r="I69" i="56"/>
  <c r="D70" i="56"/>
  <c r="I70" i="56"/>
  <c r="D71" i="56"/>
  <c r="I71" i="56"/>
  <c r="D72" i="56"/>
  <c r="I72" i="56"/>
  <c r="D73" i="56"/>
  <c r="I73" i="56"/>
  <c r="D74" i="56"/>
  <c r="I74" i="56"/>
  <c r="D75" i="56"/>
  <c r="I75" i="56"/>
  <c r="D76" i="56"/>
  <c r="I76" i="56"/>
  <c r="D77" i="56"/>
  <c r="I77" i="56"/>
  <c r="D78" i="56"/>
  <c r="I78" i="56"/>
  <c r="D79" i="56"/>
  <c r="I79" i="56"/>
  <c r="D80" i="56"/>
  <c r="I80" i="56"/>
  <c r="D81" i="56"/>
  <c r="I81" i="56"/>
  <c r="D82" i="56"/>
  <c r="I82" i="56"/>
  <c r="D83" i="56"/>
  <c r="I83" i="56"/>
  <c r="D84" i="56"/>
  <c r="I84" i="56"/>
  <c r="D85" i="56"/>
  <c r="I85" i="56"/>
  <c r="D86" i="56"/>
  <c r="I86" i="56"/>
  <c r="D87" i="56"/>
  <c r="I87" i="56"/>
  <c r="D88" i="56"/>
  <c r="I88" i="56"/>
  <c r="D89" i="56"/>
  <c r="I89" i="56"/>
  <c r="D90" i="56"/>
  <c r="I90" i="56"/>
  <c r="D91" i="56"/>
  <c r="I91" i="56"/>
  <c r="D92" i="56"/>
  <c r="I92" i="56"/>
  <c r="D93" i="56"/>
  <c r="I93" i="56"/>
  <c r="D94" i="56"/>
  <c r="I94" i="56"/>
  <c r="D95" i="56"/>
  <c r="I95" i="56"/>
  <c r="D96" i="56"/>
  <c r="I96" i="56"/>
  <c r="D97" i="56"/>
  <c r="I97" i="56"/>
  <c r="D98" i="56"/>
  <c r="I98" i="56"/>
  <c r="D99" i="56"/>
  <c r="I99" i="56"/>
  <c r="D100" i="56"/>
  <c r="I100" i="56"/>
  <c r="D101" i="56"/>
  <c r="I101" i="56"/>
  <c r="D102" i="56"/>
  <c r="I102" i="56"/>
  <c r="D103" i="56"/>
  <c r="I103" i="56"/>
  <c r="D104" i="56"/>
  <c r="I104" i="56"/>
  <c r="D105" i="56"/>
  <c r="I105" i="56"/>
  <c r="D106" i="56"/>
  <c r="I106" i="56"/>
  <c r="D107" i="56"/>
  <c r="I107" i="56"/>
  <c r="D108" i="56"/>
  <c r="I108" i="56"/>
  <c r="D109" i="56"/>
  <c r="I109" i="56"/>
  <c r="D110" i="56"/>
  <c r="I110" i="56"/>
  <c r="D111" i="56"/>
  <c r="I111" i="56"/>
  <c r="D112" i="56"/>
  <c r="I112" i="56"/>
  <c r="D113" i="56"/>
  <c r="I113" i="56"/>
  <c r="D114" i="56"/>
  <c r="I114" i="56"/>
  <c r="D115" i="56"/>
  <c r="I115" i="56"/>
  <c r="D116" i="56"/>
  <c r="I116" i="56"/>
  <c r="D117" i="56"/>
  <c r="I117" i="56"/>
  <c r="D118" i="56"/>
  <c r="I118" i="56"/>
  <c r="D119" i="56"/>
  <c r="I119" i="56"/>
  <c r="D120" i="56"/>
  <c r="I120" i="56"/>
  <c r="D121" i="56"/>
  <c r="I121" i="56"/>
  <c r="D122" i="56"/>
  <c r="I122" i="56"/>
  <c r="D123" i="56"/>
  <c r="I123" i="56"/>
  <c r="D124" i="56"/>
  <c r="I124" i="56"/>
  <c r="D125" i="56"/>
  <c r="I125" i="56"/>
  <c r="D126" i="56"/>
  <c r="I126" i="56"/>
  <c r="D127" i="56"/>
  <c r="I127" i="56"/>
  <c r="D128" i="56"/>
  <c r="I128" i="56"/>
  <c r="D129" i="56"/>
  <c r="I129" i="56"/>
  <c r="D130" i="56"/>
  <c r="I130" i="56"/>
  <c r="D131" i="56"/>
  <c r="I131" i="56"/>
  <c r="D132" i="56"/>
  <c r="I132" i="56"/>
  <c r="D133" i="56"/>
  <c r="I133" i="56"/>
  <c r="D134" i="56"/>
  <c r="I134" i="56"/>
  <c r="D135" i="56"/>
  <c r="I135" i="56"/>
  <c r="D136" i="56"/>
  <c r="I136" i="56"/>
  <c r="D137" i="56"/>
  <c r="I137" i="56"/>
  <c r="D138" i="56"/>
  <c r="I138" i="56"/>
  <c r="D139" i="56"/>
  <c r="I139" i="56"/>
  <c r="D140" i="56"/>
  <c r="I140" i="56"/>
  <c r="D141" i="56"/>
  <c r="I141" i="56"/>
  <c r="D142" i="56"/>
  <c r="I142" i="56"/>
  <c r="D143" i="56"/>
  <c r="I143" i="56"/>
  <c r="D144" i="56"/>
  <c r="I144" i="56"/>
  <c r="D145" i="56"/>
  <c r="I145" i="56"/>
  <c r="D146" i="56"/>
  <c r="I146" i="56"/>
  <c r="AA101" i="98"/>
  <c r="M78" i="98"/>
  <c r="M67" i="98"/>
  <c r="L78" i="98"/>
  <c r="L67" i="98"/>
  <c r="K78" i="98"/>
  <c r="K67" i="98"/>
  <c r="J78" i="98"/>
  <c r="J67" i="98"/>
  <c r="I78" i="98"/>
  <c r="I67" i="98"/>
  <c r="H78" i="98"/>
  <c r="H67" i="98"/>
  <c r="G78" i="98"/>
  <c r="G67" i="98"/>
  <c r="F78" i="98"/>
  <c r="F67" i="98"/>
  <c r="E78" i="98"/>
  <c r="E67" i="98"/>
  <c r="D78" i="98"/>
  <c r="W87" i="41"/>
  <c r="X87" i="41"/>
  <c r="Y87" i="41"/>
  <c r="Z87" i="41"/>
  <c r="AA87" i="41"/>
  <c r="AB87" i="41"/>
  <c r="C27" i="5"/>
  <c r="C26" i="5"/>
  <c r="AG7" i="92"/>
  <c r="AF7" i="92"/>
  <c r="AE7" i="92"/>
  <c r="AD7" i="92"/>
  <c r="AC7" i="92"/>
  <c r="AB7" i="92"/>
  <c r="AA7" i="92"/>
  <c r="Z7" i="92"/>
  <c r="Y7" i="92"/>
  <c r="X7" i="92"/>
  <c r="W7" i="92"/>
  <c r="V7" i="92"/>
  <c r="U7" i="92"/>
  <c r="T7" i="92"/>
  <c r="S7" i="92"/>
  <c r="R7" i="92"/>
  <c r="Q7" i="92"/>
  <c r="P7" i="92"/>
  <c r="O7" i="92"/>
  <c r="N7" i="92"/>
  <c r="M7" i="92"/>
  <c r="L7" i="92"/>
  <c r="K7" i="92"/>
  <c r="AG7" i="93"/>
  <c r="AF7" i="93"/>
  <c r="AE7" i="93"/>
  <c r="AD7" i="93"/>
  <c r="AC7" i="93"/>
  <c r="AB7" i="93"/>
  <c r="AA7" i="93"/>
  <c r="Z7" i="93"/>
  <c r="Y7" i="93"/>
  <c r="X7" i="93"/>
  <c r="W7" i="93"/>
  <c r="V7" i="93"/>
  <c r="U7" i="93"/>
  <c r="T7" i="93"/>
  <c r="S7" i="93"/>
  <c r="R7" i="93"/>
  <c r="Q7" i="93"/>
  <c r="P7" i="93"/>
  <c r="O7" i="93"/>
  <c r="N7" i="93"/>
  <c r="M7" i="93"/>
  <c r="L7" i="93"/>
  <c r="K7" i="93"/>
  <c r="AC62" i="57"/>
  <c r="AD62" i="57"/>
  <c r="AE62" i="57"/>
  <c r="AF62" i="57"/>
  <c r="AG62" i="57"/>
  <c r="AC57" i="89"/>
  <c r="AD57" i="89"/>
  <c r="AE57" i="89"/>
  <c r="AF57" i="89"/>
  <c r="AG57" i="89"/>
  <c r="AC72" i="89"/>
  <c r="AD72" i="89"/>
  <c r="AE72" i="89"/>
  <c r="AF72" i="89"/>
  <c r="AF73" i="89" s="1"/>
  <c r="AG72" i="89"/>
  <c r="AC78" i="89"/>
  <c r="AD79" i="89" s="1"/>
  <c r="AD78" i="89"/>
  <c r="AE78" i="89"/>
  <c r="AE79" i="89" s="1"/>
  <c r="AF78" i="89"/>
  <c r="AG79" i="89" s="1"/>
  <c r="AG78" i="89"/>
  <c r="X89" i="89"/>
  <c r="Y89" i="89"/>
  <c r="Z89" i="89"/>
  <c r="AA89" i="89"/>
  <c r="AB89" i="89"/>
  <c r="AC89" i="89"/>
  <c r="AD89" i="89"/>
  <c r="AE89" i="89"/>
  <c r="AF89" i="89"/>
  <c r="AG89" i="89"/>
  <c r="AC84" i="89"/>
  <c r="AD84" i="89"/>
  <c r="AE84" i="89"/>
  <c r="AF84" i="89"/>
  <c r="AG84" i="89"/>
  <c r="AG85" i="89" s="1"/>
  <c r="AD58" i="89"/>
  <c r="AG58" i="89"/>
  <c r="Y24" i="40"/>
  <c r="X24" i="40"/>
  <c r="W24" i="40"/>
  <c r="V24" i="40"/>
  <c r="U24" i="40"/>
  <c r="T24" i="40"/>
  <c r="S24" i="40"/>
  <c r="R24" i="40"/>
  <c r="Q24" i="40"/>
  <c r="P24" i="40"/>
  <c r="O24" i="40"/>
  <c r="N24" i="40"/>
  <c r="M24" i="40"/>
  <c r="L24" i="40"/>
  <c r="AC184" i="86"/>
  <c r="I50" i="98" s="1"/>
  <c r="AD184" i="86"/>
  <c r="J50" i="98" s="1"/>
  <c r="AE184" i="86"/>
  <c r="K50" i="98" s="1"/>
  <c r="AF184" i="86"/>
  <c r="L50" i="98" s="1"/>
  <c r="AG184" i="86"/>
  <c r="M50" i="98" s="1"/>
  <c r="AC185" i="86"/>
  <c r="I51" i="98" s="1"/>
  <c r="AD185" i="86"/>
  <c r="J51" i="98" s="1"/>
  <c r="AE185" i="86"/>
  <c r="K51" i="98" s="1"/>
  <c r="AF185" i="86"/>
  <c r="L51" i="98" s="1"/>
  <c r="AG185" i="86"/>
  <c r="M51" i="98" s="1"/>
  <c r="AC186" i="86"/>
  <c r="I52" i="98" s="1"/>
  <c r="AD186" i="86"/>
  <c r="J52" i="98" s="1"/>
  <c r="AE186" i="86"/>
  <c r="K52" i="98" s="1"/>
  <c r="AF186" i="86"/>
  <c r="L52" i="98" s="1"/>
  <c r="AG186" i="86"/>
  <c r="M52" i="98" s="1"/>
  <c r="AC61" i="44"/>
  <c r="AC194" i="44"/>
  <c r="AD61" i="44"/>
  <c r="AD194" i="44" s="1"/>
  <c r="AE61" i="44"/>
  <c r="AE194" i="44" s="1"/>
  <c r="AF61" i="44"/>
  <c r="AF194" i="44" s="1"/>
  <c r="AG61" i="44"/>
  <c r="AG194" i="44"/>
  <c r="AC51" i="44"/>
  <c r="AC138" i="44" s="1"/>
  <c r="AD51" i="44"/>
  <c r="AD138" i="44" s="1"/>
  <c r="AE51" i="44"/>
  <c r="AE138" i="44" s="1"/>
  <c r="AF51" i="44"/>
  <c r="AF138" i="44" s="1"/>
  <c r="AG51" i="44"/>
  <c r="AG138" i="44" s="1"/>
  <c r="AC41" i="44"/>
  <c r="AC132" i="44" s="1"/>
  <c r="AC208" i="44" s="1"/>
  <c r="AD41" i="44"/>
  <c r="AD132" i="44"/>
  <c r="AD208" i="44" s="1"/>
  <c r="AE41" i="44"/>
  <c r="AE132" i="44" s="1"/>
  <c r="AE208" i="44" s="1"/>
  <c r="AF41" i="44"/>
  <c r="AF132" i="44"/>
  <c r="AF208" i="44" s="1"/>
  <c r="AG41" i="44"/>
  <c r="AG132" i="44" s="1"/>
  <c r="AG208" i="44" s="1"/>
  <c r="AC28" i="44"/>
  <c r="AC100" i="44" s="1"/>
  <c r="AD28" i="44"/>
  <c r="AD100" i="44"/>
  <c r="AE28" i="44"/>
  <c r="AE100" i="44" s="1"/>
  <c r="AF28" i="44"/>
  <c r="AF100" i="44" s="1"/>
  <c r="AG28" i="44"/>
  <c r="AG100" i="44" s="1"/>
  <c r="AC20" i="44"/>
  <c r="AC91" i="44"/>
  <c r="AD20" i="44"/>
  <c r="AD91" i="44" s="1"/>
  <c r="AE20" i="44"/>
  <c r="AE91" i="44" s="1"/>
  <c r="AF20" i="44"/>
  <c r="AF91" i="44" s="1"/>
  <c r="AG20" i="44"/>
  <c r="AG91" i="44" s="1"/>
  <c r="AG7" i="44"/>
  <c r="AF7" i="44"/>
  <c r="AE7" i="44"/>
  <c r="AD7" i="44"/>
  <c r="AC7" i="44"/>
  <c r="C12" i="5"/>
  <c r="W55" i="57"/>
  <c r="X55" i="57"/>
  <c r="Y55" i="57"/>
  <c r="Z55" i="57"/>
  <c r="AA55" i="57"/>
  <c r="AB55" i="57"/>
  <c r="AC55" i="57"/>
  <c r="AD55" i="57"/>
  <c r="AE55" i="57"/>
  <c r="AF55" i="57"/>
  <c r="AG55" i="57"/>
  <c r="AC15" i="57"/>
  <c r="AD15" i="57"/>
  <c r="AE15" i="57"/>
  <c r="AF15" i="57"/>
  <c r="AG15" i="57"/>
  <c r="AC49" i="57"/>
  <c r="AC57" i="57" s="1"/>
  <c r="AC12" i="57" s="1"/>
  <c r="AD49" i="57"/>
  <c r="AD57" i="57"/>
  <c r="AD12" i="57" s="1"/>
  <c r="AE49" i="57"/>
  <c r="AE57" i="57" s="1"/>
  <c r="AE12" i="57" s="1"/>
  <c r="AF49" i="57"/>
  <c r="AF57" i="57" s="1"/>
  <c r="AF12" i="57" s="1"/>
  <c r="AG49" i="57"/>
  <c r="AG57" i="57" s="1"/>
  <c r="AG12" i="57" s="1"/>
  <c r="F73" i="57"/>
  <c r="AQ73" i="57" s="1"/>
  <c r="BJ73" i="57" s="1"/>
  <c r="G73" i="57"/>
  <c r="H73" i="57"/>
  <c r="I73" i="57"/>
  <c r="AR73" i="57" s="1"/>
  <c r="BK73" i="57" s="1"/>
  <c r="F74" i="57"/>
  <c r="AQ74" i="57" s="1"/>
  <c r="BJ74" i="57" s="1"/>
  <c r="G74" i="57"/>
  <c r="H74" i="57"/>
  <c r="I74" i="57"/>
  <c r="AR74" i="57" s="1"/>
  <c r="BK74" i="57" s="1"/>
  <c r="F76" i="57"/>
  <c r="AQ76" i="57" s="1"/>
  <c r="BJ76" i="57" s="1"/>
  <c r="G76" i="57"/>
  <c r="H76" i="57"/>
  <c r="I76" i="57"/>
  <c r="AR76" i="57" s="1"/>
  <c r="BK76" i="57" s="1"/>
  <c r="F77" i="57"/>
  <c r="AQ77" i="57" s="1"/>
  <c r="BJ77" i="57" s="1"/>
  <c r="G77" i="57"/>
  <c r="H77" i="57"/>
  <c r="I77" i="57"/>
  <c r="AR77" i="57" s="1"/>
  <c r="BK77" i="57" s="1"/>
  <c r="F79" i="57"/>
  <c r="AQ79" i="57" s="1"/>
  <c r="BJ79" i="57" s="1"/>
  <c r="G79" i="57"/>
  <c r="H79" i="57"/>
  <c r="I79" i="57"/>
  <c r="AR79" i="57" s="1"/>
  <c r="BK79" i="57" s="1"/>
  <c r="F80" i="57"/>
  <c r="AQ80" i="57" s="1"/>
  <c r="BJ80" i="57" s="1"/>
  <c r="G80" i="57"/>
  <c r="H80" i="57"/>
  <c r="I80" i="57"/>
  <c r="AR80" i="57" s="1"/>
  <c r="BK80" i="57" s="1"/>
  <c r="F82" i="57"/>
  <c r="AQ82" i="57" s="1"/>
  <c r="BJ82" i="57" s="1"/>
  <c r="G82" i="57"/>
  <c r="H82" i="57"/>
  <c r="I82" i="57"/>
  <c r="AR82" i="57" s="1"/>
  <c r="BK82" i="57" s="1"/>
  <c r="F83" i="57"/>
  <c r="AQ83" i="57" s="1"/>
  <c r="BJ83" i="57" s="1"/>
  <c r="G83" i="57"/>
  <c r="H83" i="57"/>
  <c r="I83" i="57"/>
  <c r="AR83" i="57" s="1"/>
  <c r="BK83" i="57" s="1"/>
  <c r="F85" i="57"/>
  <c r="AQ85" i="57" s="1"/>
  <c r="BJ85" i="57" s="1"/>
  <c r="G85" i="57"/>
  <c r="H85" i="57"/>
  <c r="I85" i="57"/>
  <c r="AR85" i="57" s="1"/>
  <c r="BK85" i="57" s="1"/>
  <c r="F86" i="57"/>
  <c r="AQ86" i="57" s="1"/>
  <c r="BJ86" i="57" s="1"/>
  <c r="G86" i="57"/>
  <c r="H86" i="57"/>
  <c r="I86" i="57"/>
  <c r="AR86" i="57" s="1"/>
  <c r="BK86" i="57" s="1"/>
  <c r="F88" i="57"/>
  <c r="AQ88" i="57" s="1"/>
  <c r="BJ88" i="57" s="1"/>
  <c r="G88" i="57"/>
  <c r="H88" i="57"/>
  <c r="I88" i="57"/>
  <c r="AR88" i="57" s="1"/>
  <c r="BK88" i="57" s="1"/>
  <c r="F89" i="57"/>
  <c r="AQ89" i="57" s="1"/>
  <c r="BJ89" i="57" s="1"/>
  <c r="G89" i="57"/>
  <c r="H89" i="57"/>
  <c r="I89" i="57"/>
  <c r="AR89" i="57" s="1"/>
  <c r="BK89" i="57" s="1"/>
  <c r="F91" i="57"/>
  <c r="AQ91" i="57" s="1"/>
  <c r="BJ91" i="57" s="1"/>
  <c r="G91" i="57"/>
  <c r="H91" i="57"/>
  <c r="I91" i="57"/>
  <c r="AR91" i="57" s="1"/>
  <c r="BK91" i="57" s="1"/>
  <c r="F92" i="57"/>
  <c r="AQ92" i="57" s="1"/>
  <c r="BJ92" i="57" s="1"/>
  <c r="G92" i="57"/>
  <c r="H92" i="57"/>
  <c r="I92" i="57"/>
  <c r="AR92" i="57" s="1"/>
  <c r="BK92" i="57" s="1"/>
  <c r="F94" i="57"/>
  <c r="AQ94" i="57" s="1"/>
  <c r="BJ94" i="57" s="1"/>
  <c r="G94" i="57"/>
  <c r="H94" i="57"/>
  <c r="I94" i="57"/>
  <c r="AR94" i="57" s="1"/>
  <c r="BK94" i="57" s="1"/>
  <c r="F95" i="57"/>
  <c r="AQ95" i="57" s="1"/>
  <c r="BJ95" i="57" s="1"/>
  <c r="G95" i="57"/>
  <c r="H95" i="57"/>
  <c r="I95" i="57"/>
  <c r="AR95" i="57" s="1"/>
  <c r="BK95" i="57" s="1"/>
  <c r="F97" i="57"/>
  <c r="AQ97" i="57" s="1"/>
  <c r="BJ97" i="57" s="1"/>
  <c r="G97" i="57"/>
  <c r="H97" i="57"/>
  <c r="I97" i="57"/>
  <c r="AR97" i="57" s="1"/>
  <c r="BK97" i="57" s="1"/>
  <c r="F98" i="57"/>
  <c r="AQ98" i="57" s="1"/>
  <c r="BJ98" i="57" s="1"/>
  <c r="G98" i="57"/>
  <c r="H98" i="57"/>
  <c r="I98" i="57"/>
  <c r="AR98" i="57" s="1"/>
  <c r="BK98" i="57" s="1"/>
  <c r="F100" i="57"/>
  <c r="AQ100" i="57" s="1"/>
  <c r="BJ100" i="57" s="1"/>
  <c r="G100" i="57"/>
  <c r="H100" i="57"/>
  <c r="I100" i="57"/>
  <c r="AR100" i="57" s="1"/>
  <c r="BK100" i="57" s="1"/>
  <c r="F101" i="57"/>
  <c r="AQ101" i="57" s="1"/>
  <c r="BJ101" i="57" s="1"/>
  <c r="G101" i="57"/>
  <c r="H101" i="57"/>
  <c r="I101" i="57"/>
  <c r="AR101" i="57" s="1"/>
  <c r="BK101" i="57" s="1"/>
  <c r="F103" i="57"/>
  <c r="AQ103" i="57" s="1"/>
  <c r="BJ103" i="57" s="1"/>
  <c r="G103" i="57"/>
  <c r="H103" i="57"/>
  <c r="I103" i="57"/>
  <c r="AR103" i="57" s="1"/>
  <c r="BK103" i="57" s="1"/>
  <c r="F104" i="57"/>
  <c r="AQ104" i="57" s="1"/>
  <c r="BJ104" i="57" s="1"/>
  <c r="G104" i="57"/>
  <c r="H104" i="57"/>
  <c r="I104" i="57"/>
  <c r="AR104" i="57" s="1"/>
  <c r="BK104" i="57" s="1"/>
  <c r="F106" i="57"/>
  <c r="AQ106" i="57" s="1"/>
  <c r="BJ106" i="57" s="1"/>
  <c r="G106" i="57"/>
  <c r="H106" i="57"/>
  <c r="I106" i="57"/>
  <c r="AR106" i="57" s="1"/>
  <c r="BK106" i="57" s="1"/>
  <c r="F107" i="57"/>
  <c r="AQ107" i="57" s="1"/>
  <c r="BJ107" i="57" s="1"/>
  <c r="G107" i="57"/>
  <c r="H107" i="57"/>
  <c r="I107" i="57"/>
  <c r="AR107" i="57" s="1"/>
  <c r="BK107" i="57" s="1"/>
  <c r="F109" i="57"/>
  <c r="AQ109" i="57" s="1"/>
  <c r="BJ109" i="57" s="1"/>
  <c r="G109" i="57"/>
  <c r="H109" i="57"/>
  <c r="I109" i="57"/>
  <c r="AR109" i="57" s="1"/>
  <c r="BK109" i="57" s="1"/>
  <c r="F110" i="57"/>
  <c r="AQ110" i="57" s="1"/>
  <c r="BJ110" i="57" s="1"/>
  <c r="G110" i="57"/>
  <c r="H110" i="57"/>
  <c r="I110" i="57"/>
  <c r="AR110" i="57" s="1"/>
  <c r="BK110" i="57" s="1"/>
  <c r="F112" i="57"/>
  <c r="AQ112" i="57" s="1"/>
  <c r="BJ112" i="57" s="1"/>
  <c r="G112" i="57"/>
  <c r="H112" i="57"/>
  <c r="I112" i="57"/>
  <c r="AR112" i="57" s="1"/>
  <c r="BK112" i="57" s="1"/>
  <c r="F113" i="57"/>
  <c r="AQ113" i="57" s="1"/>
  <c r="BJ113" i="57" s="1"/>
  <c r="G113" i="57"/>
  <c r="H113" i="57"/>
  <c r="I113" i="57"/>
  <c r="AR113" i="57" s="1"/>
  <c r="BK113" i="57" s="1"/>
  <c r="F115" i="57"/>
  <c r="AQ115" i="57" s="1"/>
  <c r="BJ115" i="57" s="1"/>
  <c r="G115" i="57"/>
  <c r="H115" i="57"/>
  <c r="I115" i="57"/>
  <c r="AR115" i="57" s="1"/>
  <c r="BK115" i="57" s="1"/>
  <c r="F116" i="57"/>
  <c r="AQ116" i="57" s="1"/>
  <c r="BJ116" i="57" s="1"/>
  <c r="G116" i="57"/>
  <c r="H116" i="57"/>
  <c r="I116" i="57"/>
  <c r="AR116" i="57" s="1"/>
  <c r="BK116" i="57" s="1"/>
  <c r="F118" i="57"/>
  <c r="AQ118" i="57" s="1"/>
  <c r="BJ118" i="57" s="1"/>
  <c r="G118" i="57"/>
  <c r="H118" i="57"/>
  <c r="I118" i="57"/>
  <c r="AR118" i="57" s="1"/>
  <c r="BK118" i="57" s="1"/>
  <c r="F119" i="57"/>
  <c r="AQ119" i="57" s="1"/>
  <c r="BJ119" i="57" s="1"/>
  <c r="G119" i="57"/>
  <c r="H119" i="57"/>
  <c r="I119" i="57"/>
  <c r="AR119" i="57" s="1"/>
  <c r="BK119" i="57" s="1"/>
  <c r="F121" i="57"/>
  <c r="AQ121" i="57" s="1"/>
  <c r="BJ121" i="57" s="1"/>
  <c r="G121" i="57"/>
  <c r="H121" i="57"/>
  <c r="I121" i="57"/>
  <c r="AR121" i="57" s="1"/>
  <c r="BK121" i="57" s="1"/>
  <c r="F122" i="57"/>
  <c r="AQ122" i="57" s="1"/>
  <c r="BJ122" i="57" s="1"/>
  <c r="G122" i="57"/>
  <c r="H122" i="57"/>
  <c r="I122" i="57"/>
  <c r="AR122" i="57" s="1"/>
  <c r="BK122" i="57" s="1"/>
  <c r="F124" i="57"/>
  <c r="AQ124" i="57" s="1"/>
  <c r="BJ124" i="57" s="1"/>
  <c r="G124" i="57"/>
  <c r="H124" i="57"/>
  <c r="I124" i="57"/>
  <c r="AR124" i="57" s="1"/>
  <c r="BK124" i="57" s="1"/>
  <c r="F125" i="57"/>
  <c r="AQ125" i="57" s="1"/>
  <c r="BJ125" i="57" s="1"/>
  <c r="G125" i="57"/>
  <c r="H125" i="57"/>
  <c r="I125" i="57"/>
  <c r="AR125" i="57" s="1"/>
  <c r="BK125" i="57" s="1"/>
  <c r="F127" i="57"/>
  <c r="AQ127" i="57" s="1"/>
  <c r="BJ127" i="57" s="1"/>
  <c r="G127" i="57"/>
  <c r="H127" i="57"/>
  <c r="I127" i="57"/>
  <c r="AR127" i="57" s="1"/>
  <c r="BK127" i="57" s="1"/>
  <c r="F128" i="57"/>
  <c r="AQ128" i="57" s="1"/>
  <c r="BJ128" i="57" s="1"/>
  <c r="G128" i="57"/>
  <c r="H128" i="57"/>
  <c r="I128" i="57"/>
  <c r="AR128" i="57" s="1"/>
  <c r="BK128" i="57" s="1"/>
  <c r="F130" i="57"/>
  <c r="AQ130" i="57" s="1"/>
  <c r="BJ130" i="57" s="1"/>
  <c r="G130" i="57"/>
  <c r="H130" i="57"/>
  <c r="I130" i="57"/>
  <c r="AR130" i="57" s="1"/>
  <c r="BK130" i="57" s="1"/>
  <c r="F131" i="57"/>
  <c r="AQ131" i="57" s="1"/>
  <c r="BJ131" i="57" s="1"/>
  <c r="G131" i="57"/>
  <c r="H131" i="57"/>
  <c r="I131" i="57"/>
  <c r="AR131" i="57" s="1"/>
  <c r="BK131" i="57" s="1"/>
  <c r="F133" i="57"/>
  <c r="AQ133" i="57" s="1"/>
  <c r="BJ133" i="57" s="1"/>
  <c r="G133" i="57"/>
  <c r="H133" i="57"/>
  <c r="I133" i="57"/>
  <c r="AR133" i="57" s="1"/>
  <c r="BK133" i="57" s="1"/>
  <c r="F134" i="57"/>
  <c r="AQ134" i="57" s="1"/>
  <c r="BJ134" i="57" s="1"/>
  <c r="G134" i="57"/>
  <c r="H134" i="57"/>
  <c r="I134" i="57"/>
  <c r="AR134" i="57" s="1"/>
  <c r="BK134" i="57" s="1"/>
  <c r="F136" i="57"/>
  <c r="AQ136" i="57" s="1"/>
  <c r="BJ136" i="57" s="1"/>
  <c r="G136" i="57"/>
  <c r="H136" i="57"/>
  <c r="I136" i="57"/>
  <c r="AR136" i="57" s="1"/>
  <c r="BK136" i="57" s="1"/>
  <c r="F137" i="57"/>
  <c r="AQ137" i="57" s="1"/>
  <c r="BJ137" i="57" s="1"/>
  <c r="G137" i="57"/>
  <c r="H137" i="57"/>
  <c r="I137" i="57"/>
  <c r="AR137" i="57" s="1"/>
  <c r="BK137" i="57" s="1"/>
  <c r="F139" i="57"/>
  <c r="AQ139" i="57" s="1"/>
  <c r="BJ139" i="57" s="1"/>
  <c r="G139" i="57"/>
  <c r="H139" i="57"/>
  <c r="I139" i="57"/>
  <c r="AR139" i="57" s="1"/>
  <c r="BK139" i="57" s="1"/>
  <c r="F140" i="57"/>
  <c r="AQ140" i="57" s="1"/>
  <c r="BJ140" i="57" s="1"/>
  <c r="G140" i="57"/>
  <c r="H140" i="57"/>
  <c r="I140" i="57"/>
  <c r="AR140" i="57" s="1"/>
  <c r="BK140" i="57" s="1"/>
  <c r="F142" i="57"/>
  <c r="AQ142" i="57" s="1"/>
  <c r="BJ142" i="57" s="1"/>
  <c r="G142" i="57"/>
  <c r="H142" i="57"/>
  <c r="I142" i="57"/>
  <c r="AR142" i="57" s="1"/>
  <c r="BK142" i="57" s="1"/>
  <c r="F143" i="57"/>
  <c r="AQ143" i="57" s="1"/>
  <c r="BJ143" i="57" s="1"/>
  <c r="G143" i="57"/>
  <c r="H143" i="57"/>
  <c r="I143" i="57"/>
  <c r="AR143" i="57" s="1"/>
  <c r="BK143" i="57" s="1"/>
  <c r="F145" i="57"/>
  <c r="AQ145" i="57" s="1"/>
  <c r="BJ145" i="57" s="1"/>
  <c r="G145" i="57"/>
  <c r="H145" i="57"/>
  <c r="I145" i="57"/>
  <c r="AR145" i="57" s="1"/>
  <c r="BK145" i="57" s="1"/>
  <c r="F146" i="57"/>
  <c r="AQ146" i="57" s="1"/>
  <c r="BJ146" i="57" s="1"/>
  <c r="G146" i="57"/>
  <c r="H146" i="57"/>
  <c r="I146" i="57"/>
  <c r="AR146" i="57" s="1"/>
  <c r="BK146" i="57" s="1"/>
  <c r="F148" i="57"/>
  <c r="AQ148" i="57" s="1"/>
  <c r="BJ148" i="57" s="1"/>
  <c r="G148" i="57"/>
  <c r="H148" i="57"/>
  <c r="I148" i="57"/>
  <c r="AR148" i="57" s="1"/>
  <c r="BK148" i="57" s="1"/>
  <c r="F149" i="57"/>
  <c r="AQ149" i="57" s="1"/>
  <c r="BJ149" i="57" s="1"/>
  <c r="G149" i="57"/>
  <c r="H149" i="57"/>
  <c r="I149" i="57"/>
  <c r="AR149" i="57" s="1"/>
  <c r="BK149" i="57" s="1"/>
  <c r="F151" i="57"/>
  <c r="AQ151" i="57" s="1"/>
  <c r="BJ151" i="57" s="1"/>
  <c r="G151" i="57"/>
  <c r="H151" i="57"/>
  <c r="I151" i="57"/>
  <c r="AR151" i="57" s="1"/>
  <c r="BK151" i="57" s="1"/>
  <c r="F152" i="57"/>
  <c r="AQ152" i="57" s="1"/>
  <c r="BJ152" i="57" s="1"/>
  <c r="G152" i="57"/>
  <c r="H152" i="57"/>
  <c r="I152" i="57"/>
  <c r="AR152" i="57" s="1"/>
  <c r="BK152" i="57" s="1"/>
  <c r="F154" i="57"/>
  <c r="AQ154" i="57" s="1"/>
  <c r="BJ154" i="57" s="1"/>
  <c r="G154" i="57"/>
  <c r="H154" i="57"/>
  <c r="I154" i="57"/>
  <c r="AR154" i="57" s="1"/>
  <c r="BK154" i="57" s="1"/>
  <c r="F155" i="57"/>
  <c r="AQ155" i="57" s="1"/>
  <c r="BJ155" i="57" s="1"/>
  <c r="G155" i="57"/>
  <c r="H155" i="57"/>
  <c r="I155" i="57"/>
  <c r="AR155" i="57" s="1"/>
  <c r="BK155" i="57" s="1"/>
  <c r="F157" i="57"/>
  <c r="AQ157" i="57" s="1"/>
  <c r="BJ157" i="57" s="1"/>
  <c r="G157" i="57"/>
  <c r="H157" i="57"/>
  <c r="I157" i="57"/>
  <c r="AR157" i="57" s="1"/>
  <c r="BK157" i="57" s="1"/>
  <c r="F158" i="57"/>
  <c r="AQ158" i="57" s="1"/>
  <c r="BJ158" i="57" s="1"/>
  <c r="G158" i="57"/>
  <c r="H158" i="57"/>
  <c r="I158" i="57"/>
  <c r="AR158" i="57" s="1"/>
  <c r="BK158" i="57" s="1"/>
  <c r="F160" i="57"/>
  <c r="AQ160" i="57" s="1"/>
  <c r="BJ160" i="57" s="1"/>
  <c r="G160" i="57"/>
  <c r="H160" i="57"/>
  <c r="I160" i="57"/>
  <c r="AR160" i="57" s="1"/>
  <c r="BK160" i="57" s="1"/>
  <c r="F161" i="57"/>
  <c r="AQ161" i="57" s="1"/>
  <c r="BJ161" i="57" s="1"/>
  <c r="G161" i="57"/>
  <c r="H161" i="57"/>
  <c r="I161" i="57"/>
  <c r="AR161" i="57" s="1"/>
  <c r="BK161" i="57" s="1"/>
  <c r="F163" i="57"/>
  <c r="AQ163" i="57" s="1"/>
  <c r="BJ163" i="57" s="1"/>
  <c r="G163" i="57"/>
  <c r="H163" i="57"/>
  <c r="I163" i="57"/>
  <c r="AR163" i="57" s="1"/>
  <c r="BK163" i="57" s="1"/>
  <c r="F164" i="57"/>
  <c r="AQ164" i="57" s="1"/>
  <c r="BJ164" i="57" s="1"/>
  <c r="G164" i="57"/>
  <c r="H164" i="57"/>
  <c r="I164" i="57"/>
  <c r="AR164" i="57" s="1"/>
  <c r="BK164" i="57" s="1"/>
  <c r="F166" i="57"/>
  <c r="AQ166" i="57" s="1"/>
  <c r="BJ166" i="57" s="1"/>
  <c r="G166" i="57"/>
  <c r="H166" i="57"/>
  <c r="I166" i="57"/>
  <c r="AR166" i="57" s="1"/>
  <c r="BK166" i="57" s="1"/>
  <c r="F167" i="57"/>
  <c r="AQ167" i="57" s="1"/>
  <c r="BJ167" i="57" s="1"/>
  <c r="G167" i="57"/>
  <c r="H167" i="57"/>
  <c r="I167" i="57"/>
  <c r="AR167" i="57" s="1"/>
  <c r="BK167" i="57" s="1"/>
  <c r="F169" i="57"/>
  <c r="AQ169" i="57" s="1"/>
  <c r="BJ169" i="57" s="1"/>
  <c r="G169" i="57"/>
  <c r="H169" i="57"/>
  <c r="I169" i="57"/>
  <c r="AR169" i="57" s="1"/>
  <c r="BK169" i="57" s="1"/>
  <c r="F170" i="57"/>
  <c r="AQ170" i="57" s="1"/>
  <c r="BJ170" i="57" s="1"/>
  <c r="G170" i="57"/>
  <c r="H170" i="57"/>
  <c r="I170" i="57"/>
  <c r="AR170" i="57" s="1"/>
  <c r="BK170" i="57" s="1"/>
  <c r="F172" i="57"/>
  <c r="AQ172" i="57" s="1"/>
  <c r="BJ172" i="57" s="1"/>
  <c r="G172" i="57"/>
  <c r="H172" i="57"/>
  <c r="I172" i="57"/>
  <c r="AR172" i="57" s="1"/>
  <c r="BK172" i="57" s="1"/>
  <c r="F173" i="57"/>
  <c r="AQ173" i="57" s="1"/>
  <c r="BJ173" i="57" s="1"/>
  <c r="G173" i="57"/>
  <c r="H173" i="57"/>
  <c r="I173" i="57"/>
  <c r="AR173" i="57" s="1"/>
  <c r="BK173" i="57" s="1"/>
  <c r="F175" i="57"/>
  <c r="AQ175" i="57" s="1"/>
  <c r="BJ175" i="57" s="1"/>
  <c r="G175" i="57"/>
  <c r="H175" i="57"/>
  <c r="I175" i="57"/>
  <c r="AR175" i="57" s="1"/>
  <c r="BK175" i="57" s="1"/>
  <c r="F176" i="57"/>
  <c r="AQ176" i="57" s="1"/>
  <c r="BJ176" i="57" s="1"/>
  <c r="G176" i="57"/>
  <c r="H176" i="57"/>
  <c r="I176" i="57"/>
  <c r="AR176" i="57" s="1"/>
  <c r="BK176" i="57" s="1"/>
  <c r="F178" i="57"/>
  <c r="AQ178" i="57" s="1"/>
  <c r="BJ178" i="57" s="1"/>
  <c r="G178" i="57"/>
  <c r="H178" i="57"/>
  <c r="I178" i="57"/>
  <c r="AR178" i="57" s="1"/>
  <c r="BK178" i="57" s="1"/>
  <c r="F179" i="57"/>
  <c r="AQ179" i="57" s="1"/>
  <c r="BJ179" i="57" s="1"/>
  <c r="G179" i="57"/>
  <c r="H179" i="57"/>
  <c r="I179" i="57"/>
  <c r="AR179" i="57" s="1"/>
  <c r="BK179" i="57" s="1"/>
  <c r="F181" i="57"/>
  <c r="AQ181" i="57" s="1"/>
  <c r="BJ181" i="57" s="1"/>
  <c r="G181" i="57"/>
  <c r="H181" i="57"/>
  <c r="I181" i="57"/>
  <c r="AR181" i="57" s="1"/>
  <c r="BK181" i="57" s="1"/>
  <c r="F182" i="57"/>
  <c r="AQ182" i="57" s="1"/>
  <c r="BJ182" i="57" s="1"/>
  <c r="G182" i="57"/>
  <c r="H182" i="57"/>
  <c r="I182" i="57"/>
  <c r="AR182" i="57" s="1"/>
  <c r="BK182" i="57" s="1"/>
  <c r="F184" i="57"/>
  <c r="AQ184" i="57" s="1"/>
  <c r="BJ184" i="57" s="1"/>
  <c r="G184" i="57"/>
  <c r="H184" i="57"/>
  <c r="I184" i="57"/>
  <c r="AR184" i="57" s="1"/>
  <c r="BK184" i="57" s="1"/>
  <c r="F185" i="57"/>
  <c r="AQ185" i="57" s="1"/>
  <c r="BJ185" i="57" s="1"/>
  <c r="G185" i="57"/>
  <c r="H185" i="57"/>
  <c r="I185" i="57"/>
  <c r="AR185" i="57" s="1"/>
  <c r="BK185" i="57" s="1"/>
  <c r="F187" i="57"/>
  <c r="AQ187" i="57" s="1"/>
  <c r="BJ187" i="57" s="1"/>
  <c r="G187" i="57"/>
  <c r="H187" i="57"/>
  <c r="I187" i="57"/>
  <c r="AR187" i="57" s="1"/>
  <c r="BK187" i="57" s="1"/>
  <c r="F188" i="57"/>
  <c r="AQ188" i="57" s="1"/>
  <c r="BJ188" i="57" s="1"/>
  <c r="G188" i="57"/>
  <c r="H188" i="57"/>
  <c r="I188" i="57"/>
  <c r="AR188" i="57" s="1"/>
  <c r="BK188" i="57" s="1"/>
  <c r="F190" i="57"/>
  <c r="AQ190" i="57" s="1"/>
  <c r="BJ190" i="57" s="1"/>
  <c r="G190" i="57"/>
  <c r="H190" i="57"/>
  <c r="I190" i="57"/>
  <c r="AR190" i="57" s="1"/>
  <c r="BK190" i="57" s="1"/>
  <c r="F191" i="57"/>
  <c r="AQ191" i="57" s="1"/>
  <c r="BJ191" i="57" s="1"/>
  <c r="G191" i="57"/>
  <c r="H191" i="57"/>
  <c r="I191" i="57"/>
  <c r="AR191" i="57" s="1"/>
  <c r="BK191" i="57" s="1"/>
  <c r="F193" i="57"/>
  <c r="AQ193" i="57" s="1"/>
  <c r="BJ193" i="57" s="1"/>
  <c r="G193" i="57"/>
  <c r="H193" i="57"/>
  <c r="I193" i="57"/>
  <c r="AR193" i="57" s="1"/>
  <c r="BK193" i="57" s="1"/>
  <c r="F194" i="57"/>
  <c r="AQ194" i="57" s="1"/>
  <c r="BJ194" i="57" s="1"/>
  <c r="G194" i="57"/>
  <c r="H194" i="57"/>
  <c r="I194" i="57"/>
  <c r="AR194" i="57" s="1"/>
  <c r="BK194" i="57" s="1"/>
  <c r="F196" i="57"/>
  <c r="AQ196" i="57" s="1"/>
  <c r="BJ196" i="57" s="1"/>
  <c r="G196" i="57"/>
  <c r="H196" i="57"/>
  <c r="I196" i="57"/>
  <c r="AR196" i="57" s="1"/>
  <c r="BK196" i="57" s="1"/>
  <c r="F197" i="57"/>
  <c r="AQ197" i="57" s="1"/>
  <c r="BJ197" i="57" s="1"/>
  <c r="G197" i="57"/>
  <c r="H197" i="57"/>
  <c r="I197" i="57"/>
  <c r="AR197" i="57" s="1"/>
  <c r="BK197" i="57" s="1"/>
  <c r="F199" i="57"/>
  <c r="AQ199" i="57" s="1"/>
  <c r="BJ199" i="57" s="1"/>
  <c r="G199" i="57"/>
  <c r="H199" i="57"/>
  <c r="I199" i="57"/>
  <c r="AR199" i="57" s="1"/>
  <c r="BK199" i="57" s="1"/>
  <c r="F200" i="57"/>
  <c r="AQ200" i="57" s="1"/>
  <c r="BJ200" i="57" s="1"/>
  <c r="G200" i="57"/>
  <c r="H200" i="57"/>
  <c r="I200" i="57"/>
  <c r="AR200" i="57" s="1"/>
  <c r="BK200" i="57" s="1"/>
  <c r="F202" i="57"/>
  <c r="AQ202" i="57" s="1"/>
  <c r="BJ202" i="57" s="1"/>
  <c r="G202" i="57"/>
  <c r="H202" i="57"/>
  <c r="I202" i="57"/>
  <c r="AR202" i="57" s="1"/>
  <c r="BK202" i="57" s="1"/>
  <c r="F203" i="57"/>
  <c r="AQ203" i="57" s="1"/>
  <c r="BJ203" i="57" s="1"/>
  <c r="G203" i="57"/>
  <c r="H203" i="57"/>
  <c r="I203" i="57"/>
  <c r="AR203" i="57" s="1"/>
  <c r="BK203" i="57" s="1"/>
  <c r="F205" i="57"/>
  <c r="AQ205" i="57" s="1"/>
  <c r="BJ205" i="57" s="1"/>
  <c r="G205" i="57"/>
  <c r="H205" i="57"/>
  <c r="I205" i="57"/>
  <c r="AR205" i="57" s="1"/>
  <c r="BK205" i="57" s="1"/>
  <c r="F206" i="57"/>
  <c r="AQ206" i="57" s="1"/>
  <c r="BJ206" i="57" s="1"/>
  <c r="G206" i="57"/>
  <c r="H206" i="57"/>
  <c r="I206" i="57"/>
  <c r="AR206" i="57" s="1"/>
  <c r="BK206" i="57" s="1"/>
  <c r="F208" i="57"/>
  <c r="AQ208" i="57" s="1"/>
  <c r="BJ208" i="57" s="1"/>
  <c r="G208" i="57"/>
  <c r="H208" i="57"/>
  <c r="I208" i="57"/>
  <c r="AR208" i="57" s="1"/>
  <c r="BK208" i="57" s="1"/>
  <c r="F209" i="57"/>
  <c r="AQ209" i="57" s="1"/>
  <c r="BJ209" i="57" s="1"/>
  <c r="G209" i="57"/>
  <c r="H209" i="57"/>
  <c r="I209" i="57"/>
  <c r="AR209" i="57" s="1"/>
  <c r="BK209" i="57" s="1"/>
  <c r="F211" i="57"/>
  <c r="AQ211" i="57" s="1"/>
  <c r="BJ211" i="57" s="1"/>
  <c r="G211" i="57"/>
  <c r="H211" i="57"/>
  <c r="I211" i="57"/>
  <c r="AR211" i="57" s="1"/>
  <c r="BK211" i="57" s="1"/>
  <c r="F212" i="57"/>
  <c r="AQ212" i="57" s="1"/>
  <c r="BJ212" i="57" s="1"/>
  <c r="G212" i="57"/>
  <c r="H212" i="57"/>
  <c r="I212" i="57"/>
  <c r="AR212" i="57" s="1"/>
  <c r="BK212" i="57" s="1"/>
  <c r="F214" i="57"/>
  <c r="AQ214" i="57" s="1"/>
  <c r="BJ214" i="57" s="1"/>
  <c r="G214" i="57"/>
  <c r="H214" i="57"/>
  <c r="I214" i="57"/>
  <c r="AR214" i="57" s="1"/>
  <c r="BK214" i="57" s="1"/>
  <c r="F215" i="57"/>
  <c r="AQ215" i="57" s="1"/>
  <c r="BJ215" i="57" s="1"/>
  <c r="G215" i="57"/>
  <c r="H215" i="57"/>
  <c r="I215" i="57"/>
  <c r="AR215" i="57" s="1"/>
  <c r="BK215" i="57" s="1"/>
  <c r="F217" i="57"/>
  <c r="AQ217" i="57" s="1"/>
  <c r="BJ217" i="57" s="1"/>
  <c r="G217" i="57"/>
  <c r="H217" i="57"/>
  <c r="I217" i="57"/>
  <c r="AR217" i="57" s="1"/>
  <c r="BK217" i="57" s="1"/>
  <c r="F218" i="57"/>
  <c r="AQ218" i="57" s="1"/>
  <c r="BJ218" i="57" s="1"/>
  <c r="G218" i="57"/>
  <c r="H218" i="57"/>
  <c r="I218" i="57"/>
  <c r="AR218" i="57" s="1"/>
  <c r="BK218" i="57" s="1"/>
  <c r="F220" i="57"/>
  <c r="AQ220" i="57" s="1"/>
  <c r="BJ220" i="57" s="1"/>
  <c r="G220" i="57"/>
  <c r="H220" i="57"/>
  <c r="I220" i="57"/>
  <c r="AR220" i="57" s="1"/>
  <c r="BK220" i="57" s="1"/>
  <c r="F221" i="57"/>
  <c r="AQ221" i="57" s="1"/>
  <c r="BJ221" i="57" s="1"/>
  <c r="G221" i="57"/>
  <c r="H221" i="57"/>
  <c r="I221" i="57"/>
  <c r="AR221" i="57" s="1"/>
  <c r="BK221" i="57" s="1"/>
  <c r="F223" i="57"/>
  <c r="AQ223" i="57" s="1"/>
  <c r="BJ223" i="57" s="1"/>
  <c r="G223" i="57"/>
  <c r="H223" i="57"/>
  <c r="I223" i="57"/>
  <c r="AR223" i="57" s="1"/>
  <c r="BK223" i="57" s="1"/>
  <c r="F224" i="57"/>
  <c r="AQ224" i="57" s="1"/>
  <c r="BJ224" i="57" s="1"/>
  <c r="G224" i="57"/>
  <c r="H224" i="57"/>
  <c r="I224" i="57"/>
  <c r="AR224" i="57" s="1"/>
  <c r="BK224" i="57" s="1"/>
  <c r="F226" i="57"/>
  <c r="AQ226" i="57" s="1"/>
  <c r="BJ226" i="57" s="1"/>
  <c r="G226" i="57"/>
  <c r="H226" i="57"/>
  <c r="I226" i="57"/>
  <c r="AR226" i="57" s="1"/>
  <c r="BK226" i="57" s="1"/>
  <c r="F227" i="57"/>
  <c r="AQ227" i="57" s="1"/>
  <c r="BJ227" i="57" s="1"/>
  <c r="G227" i="57"/>
  <c r="H227" i="57"/>
  <c r="I227" i="57"/>
  <c r="AR227" i="57" s="1"/>
  <c r="BK227" i="57" s="1"/>
  <c r="F229" i="57"/>
  <c r="AQ229" i="57" s="1"/>
  <c r="BJ229" i="57" s="1"/>
  <c r="G229" i="57"/>
  <c r="H229" i="57"/>
  <c r="I229" i="57"/>
  <c r="AR229" i="57" s="1"/>
  <c r="BK229" i="57" s="1"/>
  <c r="F230" i="57"/>
  <c r="AQ230" i="57" s="1"/>
  <c r="BJ230" i="57" s="1"/>
  <c r="G230" i="57"/>
  <c r="H230" i="57"/>
  <c r="I230" i="57"/>
  <c r="AR230" i="57" s="1"/>
  <c r="BK230" i="57" s="1"/>
  <c r="F232" i="57"/>
  <c r="AQ232" i="57" s="1"/>
  <c r="BJ232" i="57" s="1"/>
  <c r="G232" i="57"/>
  <c r="H232" i="57"/>
  <c r="I232" i="57"/>
  <c r="AR232" i="57" s="1"/>
  <c r="BK232" i="57" s="1"/>
  <c r="F233" i="57"/>
  <c r="AQ233" i="57" s="1"/>
  <c r="BJ233" i="57" s="1"/>
  <c r="G233" i="57"/>
  <c r="H233" i="57"/>
  <c r="I233" i="57"/>
  <c r="AR233" i="57" s="1"/>
  <c r="BK233" i="57" s="1"/>
  <c r="F235" i="57"/>
  <c r="AQ235" i="57" s="1"/>
  <c r="BJ235" i="57" s="1"/>
  <c r="G235" i="57"/>
  <c r="H235" i="57"/>
  <c r="I235" i="57"/>
  <c r="AR235" i="57" s="1"/>
  <c r="BK235" i="57" s="1"/>
  <c r="F236" i="57"/>
  <c r="AQ236" i="57" s="1"/>
  <c r="BJ236" i="57" s="1"/>
  <c r="G236" i="57"/>
  <c r="H236" i="57"/>
  <c r="I236" i="57"/>
  <c r="AR236" i="57" s="1"/>
  <c r="BK236" i="57" s="1"/>
  <c r="F238" i="57"/>
  <c r="AQ238" i="57" s="1"/>
  <c r="BJ238" i="57" s="1"/>
  <c r="G238" i="57"/>
  <c r="H238" i="57"/>
  <c r="I238" i="57"/>
  <c r="AR238" i="57" s="1"/>
  <c r="BK238" i="57" s="1"/>
  <c r="F239" i="57"/>
  <c r="AQ239" i="57" s="1"/>
  <c r="BJ239" i="57" s="1"/>
  <c r="G239" i="57"/>
  <c r="H239" i="57"/>
  <c r="I239" i="57"/>
  <c r="AR239" i="57" s="1"/>
  <c r="BK239" i="57" s="1"/>
  <c r="F241" i="57"/>
  <c r="AQ241" i="57" s="1"/>
  <c r="BJ241" i="57" s="1"/>
  <c r="G241" i="57"/>
  <c r="H241" i="57"/>
  <c r="I241" i="57"/>
  <c r="AR241" i="57" s="1"/>
  <c r="BK241" i="57" s="1"/>
  <c r="F242" i="57"/>
  <c r="AQ242" i="57" s="1"/>
  <c r="BJ242" i="57" s="1"/>
  <c r="G242" i="57"/>
  <c r="H242" i="57"/>
  <c r="I242" i="57"/>
  <c r="AR242" i="57" s="1"/>
  <c r="BK242" i="57" s="1"/>
  <c r="F244" i="57"/>
  <c r="AQ244" i="57" s="1"/>
  <c r="BJ244" i="57" s="1"/>
  <c r="G244" i="57"/>
  <c r="H244" i="57"/>
  <c r="I244" i="57"/>
  <c r="AR244" i="57" s="1"/>
  <c r="BK244" i="57" s="1"/>
  <c r="F245" i="57"/>
  <c r="AQ245" i="57" s="1"/>
  <c r="BJ245" i="57" s="1"/>
  <c r="G245" i="57"/>
  <c r="H245" i="57"/>
  <c r="I245" i="57"/>
  <c r="AR245" i="57" s="1"/>
  <c r="BK245" i="57" s="1"/>
  <c r="F247" i="57"/>
  <c r="AQ247" i="57" s="1"/>
  <c r="BJ247" i="57" s="1"/>
  <c r="G247" i="57"/>
  <c r="H247" i="57"/>
  <c r="I247" i="57"/>
  <c r="AR247" i="57" s="1"/>
  <c r="BK247" i="57" s="1"/>
  <c r="F248" i="57"/>
  <c r="AQ248" i="57" s="1"/>
  <c r="BJ248" i="57" s="1"/>
  <c r="G248" i="57"/>
  <c r="H248" i="57"/>
  <c r="I248" i="57"/>
  <c r="AR248" i="57" s="1"/>
  <c r="BK248" i="57" s="1"/>
  <c r="F250" i="57"/>
  <c r="AQ250" i="57" s="1"/>
  <c r="BJ250" i="57" s="1"/>
  <c r="G250" i="57"/>
  <c r="H250" i="57"/>
  <c r="I250" i="57"/>
  <c r="AR250" i="57" s="1"/>
  <c r="BK250" i="57" s="1"/>
  <c r="F251" i="57"/>
  <c r="AQ251" i="57" s="1"/>
  <c r="BJ251" i="57" s="1"/>
  <c r="G251" i="57"/>
  <c r="H251" i="57"/>
  <c r="I251" i="57"/>
  <c r="AR251" i="57" s="1"/>
  <c r="BK251" i="57" s="1"/>
  <c r="F253" i="57"/>
  <c r="AQ253" i="57" s="1"/>
  <c r="BJ253" i="57" s="1"/>
  <c r="G253" i="57"/>
  <c r="H253" i="57"/>
  <c r="I253" i="57"/>
  <c r="AR253" i="57" s="1"/>
  <c r="BK253" i="57" s="1"/>
  <c r="F254" i="57"/>
  <c r="AQ254" i="57" s="1"/>
  <c r="BJ254" i="57" s="1"/>
  <c r="G254" i="57"/>
  <c r="H254" i="57"/>
  <c r="I254" i="57"/>
  <c r="AR254" i="57" s="1"/>
  <c r="BK254" i="57" s="1"/>
  <c r="F256" i="57"/>
  <c r="AQ256" i="57" s="1"/>
  <c r="BJ256" i="57" s="1"/>
  <c r="G256" i="57"/>
  <c r="H256" i="57"/>
  <c r="I256" i="57"/>
  <c r="AR256" i="57" s="1"/>
  <c r="BK256" i="57" s="1"/>
  <c r="F257" i="57"/>
  <c r="AQ257" i="57" s="1"/>
  <c r="BJ257" i="57" s="1"/>
  <c r="G257" i="57"/>
  <c r="H257" i="57"/>
  <c r="I257" i="57"/>
  <c r="AR257" i="57" s="1"/>
  <c r="BK257" i="57" s="1"/>
  <c r="F259" i="57"/>
  <c r="AQ259" i="57" s="1"/>
  <c r="BJ259" i="57" s="1"/>
  <c r="G259" i="57"/>
  <c r="H259" i="57"/>
  <c r="I259" i="57"/>
  <c r="AR259" i="57" s="1"/>
  <c r="BK259" i="57" s="1"/>
  <c r="F260" i="57"/>
  <c r="AQ260" i="57" s="1"/>
  <c r="BJ260" i="57" s="1"/>
  <c r="G260" i="57"/>
  <c r="H260" i="57"/>
  <c r="I260" i="57"/>
  <c r="AR260" i="57" s="1"/>
  <c r="BK260" i="57" s="1"/>
  <c r="F262" i="57"/>
  <c r="AQ262" i="57" s="1"/>
  <c r="BJ262" i="57" s="1"/>
  <c r="G262" i="57"/>
  <c r="H262" i="57"/>
  <c r="I262" i="57"/>
  <c r="AR262" i="57" s="1"/>
  <c r="BK262" i="57" s="1"/>
  <c r="F263" i="57"/>
  <c r="AQ263" i="57" s="1"/>
  <c r="BJ263" i="57" s="1"/>
  <c r="G263" i="57"/>
  <c r="H263" i="57"/>
  <c r="I263" i="57"/>
  <c r="AR263" i="57" s="1"/>
  <c r="BK263" i="57" s="1"/>
  <c r="F265" i="57"/>
  <c r="AQ265" i="57" s="1"/>
  <c r="BJ265" i="57" s="1"/>
  <c r="G265" i="57"/>
  <c r="H265" i="57"/>
  <c r="I265" i="57"/>
  <c r="AR265" i="57" s="1"/>
  <c r="BK265" i="57" s="1"/>
  <c r="F266" i="57"/>
  <c r="AQ266" i="57" s="1"/>
  <c r="BJ266" i="57" s="1"/>
  <c r="G266" i="57"/>
  <c r="H266" i="57"/>
  <c r="I266" i="57"/>
  <c r="AR266" i="57" s="1"/>
  <c r="BK266" i="57" s="1"/>
  <c r="F268" i="57"/>
  <c r="AQ268" i="57" s="1"/>
  <c r="BJ268" i="57" s="1"/>
  <c r="G268" i="57"/>
  <c r="H268" i="57"/>
  <c r="I268" i="57"/>
  <c r="AR268" i="57" s="1"/>
  <c r="BK268" i="57" s="1"/>
  <c r="F269" i="57"/>
  <c r="AQ269" i="57" s="1"/>
  <c r="BJ269" i="57" s="1"/>
  <c r="G269" i="57"/>
  <c r="H269" i="57"/>
  <c r="I269" i="57"/>
  <c r="AR269" i="57" s="1"/>
  <c r="BK269" i="57" s="1"/>
  <c r="F271" i="57"/>
  <c r="AQ271" i="57" s="1"/>
  <c r="BJ271" i="57" s="1"/>
  <c r="G271" i="57"/>
  <c r="H271" i="57"/>
  <c r="I271" i="57"/>
  <c r="AR271" i="57" s="1"/>
  <c r="BK271" i="57" s="1"/>
  <c r="F272" i="57"/>
  <c r="AQ272" i="57" s="1"/>
  <c r="BJ272" i="57" s="1"/>
  <c r="G272" i="57"/>
  <c r="H272" i="57"/>
  <c r="I272" i="57"/>
  <c r="AR272" i="57" s="1"/>
  <c r="BK272" i="57" s="1"/>
  <c r="F274" i="57"/>
  <c r="AQ274" i="57" s="1"/>
  <c r="BJ274" i="57" s="1"/>
  <c r="G274" i="57"/>
  <c r="H274" i="57"/>
  <c r="I274" i="57"/>
  <c r="AR274" i="57" s="1"/>
  <c r="BK274" i="57" s="1"/>
  <c r="F275" i="57"/>
  <c r="AQ275" i="57" s="1"/>
  <c r="BJ275" i="57" s="1"/>
  <c r="G275" i="57"/>
  <c r="H275" i="57"/>
  <c r="I275" i="57"/>
  <c r="AR275" i="57" s="1"/>
  <c r="BK275" i="57" s="1"/>
  <c r="F277" i="57"/>
  <c r="AQ277" i="57" s="1"/>
  <c r="BJ277" i="57" s="1"/>
  <c r="G277" i="57"/>
  <c r="H277" i="57"/>
  <c r="I277" i="57"/>
  <c r="AR277" i="57" s="1"/>
  <c r="BK277" i="57" s="1"/>
  <c r="F278" i="57"/>
  <c r="AQ278" i="57" s="1"/>
  <c r="BJ278" i="57" s="1"/>
  <c r="G278" i="57"/>
  <c r="H278" i="57"/>
  <c r="I278" i="57"/>
  <c r="AR278" i="57" s="1"/>
  <c r="BK278" i="57" s="1"/>
  <c r="F280" i="57"/>
  <c r="AQ280" i="57" s="1"/>
  <c r="BJ280" i="57" s="1"/>
  <c r="G280" i="57"/>
  <c r="H280" i="57"/>
  <c r="I280" i="57"/>
  <c r="AR280" i="57" s="1"/>
  <c r="BK280" i="57" s="1"/>
  <c r="F281" i="57"/>
  <c r="AQ281" i="57" s="1"/>
  <c r="BJ281" i="57" s="1"/>
  <c r="G281" i="57"/>
  <c r="H281" i="57"/>
  <c r="I281" i="57"/>
  <c r="AR281" i="57" s="1"/>
  <c r="BK281" i="57" s="1"/>
  <c r="F283" i="57"/>
  <c r="AQ283" i="57" s="1"/>
  <c r="BJ283" i="57" s="1"/>
  <c r="G283" i="57"/>
  <c r="H283" i="57"/>
  <c r="I283" i="57"/>
  <c r="AR283" i="57" s="1"/>
  <c r="BK283" i="57" s="1"/>
  <c r="F284" i="57"/>
  <c r="AQ284" i="57" s="1"/>
  <c r="BJ284" i="57" s="1"/>
  <c r="G284" i="57"/>
  <c r="H284" i="57"/>
  <c r="I284" i="57"/>
  <c r="AR284" i="57" s="1"/>
  <c r="BK284" i="57" s="1"/>
  <c r="F286" i="57"/>
  <c r="AQ286" i="57" s="1"/>
  <c r="BJ286" i="57" s="1"/>
  <c r="G286" i="57"/>
  <c r="H286" i="57"/>
  <c r="I286" i="57"/>
  <c r="AR286" i="57" s="1"/>
  <c r="BK286" i="57" s="1"/>
  <c r="F287" i="57"/>
  <c r="AQ287" i="57" s="1"/>
  <c r="BJ287" i="57" s="1"/>
  <c r="G287" i="57"/>
  <c r="H287" i="57"/>
  <c r="I287" i="57"/>
  <c r="AR287" i="57" s="1"/>
  <c r="BK287" i="57" s="1"/>
  <c r="F289" i="57"/>
  <c r="AQ289" i="57" s="1"/>
  <c r="BJ289" i="57" s="1"/>
  <c r="G289" i="57"/>
  <c r="H289" i="57"/>
  <c r="I289" i="57"/>
  <c r="AR289" i="57" s="1"/>
  <c r="BK289" i="57" s="1"/>
  <c r="F290" i="57"/>
  <c r="AQ290" i="57" s="1"/>
  <c r="BJ290" i="57" s="1"/>
  <c r="G290" i="57"/>
  <c r="H290" i="57"/>
  <c r="I290" i="57"/>
  <c r="AR290" i="57" s="1"/>
  <c r="BK290" i="57" s="1"/>
  <c r="F292" i="57"/>
  <c r="AQ292" i="57" s="1"/>
  <c r="BJ292" i="57" s="1"/>
  <c r="G292" i="57"/>
  <c r="H292" i="57"/>
  <c r="I292" i="57"/>
  <c r="AR292" i="57" s="1"/>
  <c r="BK292" i="57" s="1"/>
  <c r="F293" i="57"/>
  <c r="AQ293" i="57" s="1"/>
  <c r="BJ293" i="57" s="1"/>
  <c r="G293" i="57"/>
  <c r="H293" i="57"/>
  <c r="I293" i="57"/>
  <c r="AR293" i="57" s="1"/>
  <c r="BK293" i="57" s="1"/>
  <c r="F295" i="57"/>
  <c r="AQ295" i="57" s="1"/>
  <c r="BJ295" i="57" s="1"/>
  <c r="G295" i="57"/>
  <c r="H295" i="57"/>
  <c r="I295" i="57"/>
  <c r="AR295" i="57" s="1"/>
  <c r="BK295" i="57" s="1"/>
  <c r="F296" i="57"/>
  <c r="AQ296" i="57" s="1"/>
  <c r="BJ296" i="57" s="1"/>
  <c r="G296" i="57"/>
  <c r="H296" i="57"/>
  <c r="I296" i="57"/>
  <c r="AR296" i="57" s="1"/>
  <c r="BK296" i="57" s="1"/>
  <c r="F298" i="57"/>
  <c r="AQ298" i="57" s="1"/>
  <c r="BJ298" i="57" s="1"/>
  <c r="G298" i="57"/>
  <c r="H298" i="57"/>
  <c r="I298" i="57"/>
  <c r="AR298" i="57" s="1"/>
  <c r="BK298" i="57" s="1"/>
  <c r="F299" i="57"/>
  <c r="AQ299" i="57" s="1"/>
  <c r="BJ299" i="57" s="1"/>
  <c r="G299" i="57"/>
  <c r="H299" i="57"/>
  <c r="I299" i="57"/>
  <c r="AR299" i="57" s="1"/>
  <c r="BK299" i="57" s="1"/>
  <c r="F301" i="57"/>
  <c r="AQ301" i="57" s="1"/>
  <c r="BJ301" i="57" s="1"/>
  <c r="G301" i="57"/>
  <c r="H301" i="57"/>
  <c r="I301" i="57"/>
  <c r="AR301" i="57" s="1"/>
  <c r="BK301" i="57" s="1"/>
  <c r="F302" i="57"/>
  <c r="AQ302" i="57" s="1"/>
  <c r="BJ302" i="57" s="1"/>
  <c r="G302" i="57"/>
  <c r="H302" i="57"/>
  <c r="I302" i="57"/>
  <c r="AR302" i="57" s="1"/>
  <c r="BK302" i="57" s="1"/>
  <c r="F304" i="57"/>
  <c r="AQ304" i="57" s="1"/>
  <c r="BJ304" i="57" s="1"/>
  <c r="G304" i="57"/>
  <c r="H304" i="57"/>
  <c r="I304" i="57"/>
  <c r="AR304" i="57" s="1"/>
  <c r="BK304" i="57" s="1"/>
  <c r="F305" i="57"/>
  <c r="AQ305" i="57" s="1"/>
  <c r="BJ305" i="57" s="1"/>
  <c r="G305" i="57"/>
  <c r="H305" i="57"/>
  <c r="I305" i="57"/>
  <c r="AR305" i="57" s="1"/>
  <c r="BK305" i="57" s="1"/>
  <c r="F307" i="57"/>
  <c r="AQ307" i="57" s="1"/>
  <c r="BJ307" i="57" s="1"/>
  <c r="G307" i="57"/>
  <c r="H307" i="57"/>
  <c r="I307" i="57"/>
  <c r="AR307" i="57" s="1"/>
  <c r="BK307" i="57" s="1"/>
  <c r="F308" i="57"/>
  <c r="AQ308" i="57" s="1"/>
  <c r="BJ308" i="57" s="1"/>
  <c r="G308" i="57"/>
  <c r="H308" i="57"/>
  <c r="I308" i="57"/>
  <c r="AR308" i="57" s="1"/>
  <c r="BK308" i="57" s="1"/>
  <c r="F310" i="57"/>
  <c r="AQ310" i="57" s="1"/>
  <c r="BJ310" i="57" s="1"/>
  <c r="G310" i="57"/>
  <c r="H310" i="57"/>
  <c r="I310" i="57"/>
  <c r="AR310" i="57" s="1"/>
  <c r="BK310" i="57" s="1"/>
  <c r="F311" i="57"/>
  <c r="AQ311" i="57" s="1"/>
  <c r="BJ311" i="57" s="1"/>
  <c r="G311" i="57"/>
  <c r="H311" i="57"/>
  <c r="I311" i="57"/>
  <c r="AR311" i="57" s="1"/>
  <c r="BK311" i="57" s="1"/>
  <c r="F313" i="57"/>
  <c r="AQ313" i="57" s="1"/>
  <c r="BJ313" i="57" s="1"/>
  <c r="G313" i="57"/>
  <c r="H313" i="57"/>
  <c r="I313" i="57"/>
  <c r="AR313" i="57" s="1"/>
  <c r="BK313" i="57" s="1"/>
  <c r="F314" i="57"/>
  <c r="AQ314" i="57" s="1"/>
  <c r="BJ314" i="57" s="1"/>
  <c r="G314" i="57"/>
  <c r="H314" i="57"/>
  <c r="I314" i="57"/>
  <c r="AR314" i="57" s="1"/>
  <c r="BK314" i="57" s="1"/>
  <c r="F316" i="57"/>
  <c r="AQ316" i="57" s="1"/>
  <c r="BJ316" i="57" s="1"/>
  <c r="G316" i="57"/>
  <c r="H316" i="57"/>
  <c r="I316" i="57"/>
  <c r="AR316" i="57" s="1"/>
  <c r="BK316" i="57" s="1"/>
  <c r="F317" i="57"/>
  <c r="AQ317" i="57" s="1"/>
  <c r="BJ317" i="57" s="1"/>
  <c r="G317" i="57"/>
  <c r="H317" i="57"/>
  <c r="I317" i="57"/>
  <c r="AR317" i="57" s="1"/>
  <c r="BK317" i="57" s="1"/>
  <c r="F319" i="57"/>
  <c r="AQ319" i="57" s="1"/>
  <c r="BJ319" i="57" s="1"/>
  <c r="G319" i="57"/>
  <c r="H319" i="57"/>
  <c r="I319" i="57"/>
  <c r="AR319" i="57" s="1"/>
  <c r="BK319" i="57" s="1"/>
  <c r="F320" i="57"/>
  <c r="AQ320" i="57" s="1"/>
  <c r="BJ320" i="57" s="1"/>
  <c r="G320" i="57"/>
  <c r="H320" i="57"/>
  <c r="I320" i="57"/>
  <c r="AR320" i="57" s="1"/>
  <c r="BK320" i="57" s="1"/>
  <c r="F322" i="57"/>
  <c r="AQ322" i="57" s="1"/>
  <c r="BJ322" i="57" s="1"/>
  <c r="G322" i="57"/>
  <c r="H322" i="57"/>
  <c r="I322" i="57"/>
  <c r="AR322" i="57" s="1"/>
  <c r="BK322" i="57" s="1"/>
  <c r="F323" i="57"/>
  <c r="AQ323" i="57" s="1"/>
  <c r="BJ323" i="57" s="1"/>
  <c r="G323" i="57"/>
  <c r="H323" i="57"/>
  <c r="I323" i="57"/>
  <c r="AR323" i="57" s="1"/>
  <c r="BK323" i="57" s="1"/>
  <c r="F325" i="57"/>
  <c r="AQ325" i="57" s="1"/>
  <c r="BJ325" i="57" s="1"/>
  <c r="G325" i="57"/>
  <c r="H325" i="57"/>
  <c r="I325" i="57"/>
  <c r="AR325" i="57" s="1"/>
  <c r="BK325" i="57" s="1"/>
  <c r="F326" i="57"/>
  <c r="AQ326" i="57" s="1"/>
  <c r="BJ326" i="57" s="1"/>
  <c r="G326" i="57"/>
  <c r="H326" i="57"/>
  <c r="I326" i="57"/>
  <c r="AR326" i="57" s="1"/>
  <c r="BK326" i="57" s="1"/>
  <c r="F328" i="57"/>
  <c r="AQ328" i="57" s="1"/>
  <c r="BJ328" i="57" s="1"/>
  <c r="G328" i="57"/>
  <c r="H328" i="57"/>
  <c r="I328" i="57"/>
  <c r="AR328" i="57" s="1"/>
  <c r="BK328" i="57" s="1"/>
  <c r="F329" i="57"/>
  <c r="AQ329" i="57" s="1"/>
  <c r="BJ329" i="57" s="1"/>
  <c r="G329" i="57"/>
  <c r="H329" i="57"/>
  <c r="I329" i="57"/>
  <c r="AR329" i="57" s="1"/>
  <c r="BK329" i="57" s="1"/>
  <c r="F331" i="57"/>
  <c r="AQ331" i="57" s="1"/>
  <c r="BJ331" i="57" s="1"/>
  <c r="G331" i="57"/>
  <c r="H331" i="57"/>
  <c r="I331" i="57"/>
  <c r="AR331" i="57" s="1"/>
  <c r="BK331" i="57" s="1"/>
  <c r="F332" i="57"/>
  <c r="AQ332" i="57" s="1"/>
  <c r="BJ332" i="57" s="1"/>
  <c r="G332" i="57"/>
  <c r="H332" i="57"/>
  <c r="I332" i="57"/>
  <c r="AR332" i="57" s="1"/>
  <c r="BK332" i="57" s="1"/>
  <c r="F334" i="57"/>
  <c r="AQ334" i="57" s="1"/>
  <c r="BJ334" i="57" s="1"/>
  <c r="G334" i="57"/>
  <c r="H334" i="57"/>
  <c r="I334" i="57"/>
  <c r="AR334" i="57" s="1"/>
  <c r="BK334" i="57" s="1"/>
  <c r="F335" i="57"/>
  <c r="AQ335" i="57" s="1"/>
  <c r="BJ335" i="57" s="1"/>
  <c r="G335" i="57"/>
  <c r="H335" i="57"/>
  <c r="I335" i="57"/>
  <c r="AR335" i="57" s="1"/>
  <c r="BK335" i="57" s="1"/>
  <c r="F337" i="57"/>
  <c r="AQ337" i="57" s="1"/>
  <c r="BJ337" i="57" s="1"/>
  <c r="G337" i="57"/>
  <c r="H337" i="57"/>
  <c r="I337" i="57"/>
  <c r="AR337" i="57" s="1"/>
  <c r="BK337" i="57" s="1"/>
  <c r="F338" i="57"/>
  <c r="AQ338" i="57" s="1"/>
  <c r="BJ338" i="57" s="1"/>
  <c r="G338" i="57"/>
  <c r="H338" i="57"/>
  <c r="I338" i="57"/>
  <c r="AR338" i="57" s="1"/>
  <c r="BK338" i="57" s="1"/>
  <c r="F340" i="57"/>
  <c r="AQ340" i="57" s="1"/>
  <c r="BJ340" i="57" s="1"/>
  <c r="G340" i="57"/>
  <c r="H340" i="57"/>
  <c r="I340" i="57"/>
  <c r="AR340" i="57" s="1"/>
  <c r="BK340" i="57" s="1"/>
  <c r="F341" i="57"/>
  <c r="AQ341" i="57" s="1"/>
  <c r="BJ341" i="57" s="1"/>
  <c r="G341" i="57"/>
  <c r="H341" i="57"/>
  <c r="I341" i="57"/>
  <c r="AR341" i="57" s="1"/>
  <c r="BK341" i="57" s="1"/>
  <c r="F343" i="57"/>
  <c r="AQ343" i="57" s="1"/>
  <c r="BJ343" i="57" s="1"/>
  <c r="G343" i="57"/>
  <c r="H343" i="57"/>
  <c r="I343" i="57"/>
  <c r="AR343" i="57" s="1"/>
  <c r="BK343" i="57" s="1"/>
  <c r="F344" i="57"/>
  <c r="AQ344" i="57" s="1"/>
  <c r="BJ344" i="57" s="1"/>
  <c r="G344" i="57"/>
  <c r="H344" i="57"/>
  <c r="I344" i="57"/>
  <c r="AR344" i="57" s="1"/>
  <c r="BK344" i="57" s="1"/>
  <c r="F346" i="57"/>
  <c r="AQ346" i="57" s="1"/>
  <c r="BJ346" i="57" s="1"/>
  <c r="G346" i="57"/>
  <c r="H346" i="57"/>
  <c r="I346" i="57"/>
  <c r="AR346" i="57" s="1"/>
  <c r="BK346" i="57" s="1"/>
  <c r="F347" i="57"/>
  <c r="AQ347" i="57" s="1"/>
  <c r="BJ347" i="57" s="1"/>
  <c r="G347" i="57"/>
  <c r="H347" i="57"/>
  <c r="I347" i="57"/>
  <c r="AR347" i="57" s="1"/>
  <c r="BK347" i="57" s="1"/>
  <c r="F349" i="57"/>
  <c r="AQ349" i="57" s="1"/>
  <c r="BJ349" i="57" s="1"/>
  <c r="G349" i="57"/>
  <c r="H349" i="57"/>
  <c r="I349" i="57"/>
  <c r="AR349" i="57" s="1"/>
  <c r="BK349" i="57" s="1"/>
  <c r="F350" i="57"/>
  <c r="AQ350" i="57" s="1"/>
  <c r="BJ350" i="57" s="1"/>
  <c r="G350" i="57"/>
  <c r="H350" i="57"/>
  <c r="I350" i="57"/>
  <c r="AR350" i="57" s="1"/>
  <c r="BK350" i="57" s="1"/>
  <c r="F352" i="57"/>
  <c r="AQ352" i="57" s="1"/>
  <c r="BJ352" i="57" s="1"/>
  <c r="G352" i="57"/>
  <c r="H352" i="57"/>
  <c r="I352" i="57"/>
  <c r="AR352" i="57" s="1"/>
  <c r="BK352" i="57" s="1"/>
  <c r="F353" i="57"/>
  <c r="AQ353" i="57" s="1"/>
  <c r="BJ353" i="57" s="1"/>
  <c r="G353" i="57"/>
  <c r="H353" i="57"/>
  <c r="I353" i="57"/>
  <c r="AR353" i="57" s="1"/>
  <c r="BK353" i="57" s="1"/>
  <c r="F355" i="57"/>
  <c r="AQ355" i="57" s="1"/>
  <c r="BJ355" i="57" s="1"/>
  <c r="G355" i="57"/>
  <c r="H355" i="57"/>
  <c r="I355" i="57"/>
  <c r="AR355" i="57" s="1"/>
  <c r="BK355" i="57" s="1"/>
  <c r="F356" i="57"/>
  <c r="AQ356" i="57" s="1"/>
  <c r="BJ356" i="57" s="1"/>
  <c r="G356" i="57"/>
  <c r="H356" i="57"/>
  <c r="I356" i="57"/>
  <c r="AR356" i="57" s="1"/>
  <c r="BK356" i="57" s="1"/>
  <c r="F358" i="57"/>
  <c r="AQ358" i="57" s="1"/>
  <c r="BJ358" i="57" s="1"/>
  <c r="G358" i="57"/>
  <c r="H358" i="57"/>
  <c r="I358" i="57"/>
  <c r="AR358" i="57" s="1"/>
  <c r="BK358" i="57" s="1"/>
  <c r="F359" i="57"/>
  <c r="AQ359" i="57" s="1"/>
  <c r="BJ359" i="57" s="1"/>
  <c r="G359" i="57"/>
  <c r="H359" i="57"/>
  <c r="I359" i="57"/>
  <c r="AR359" i="57" s="1"/>
  <c r="BK359" i="57" s="1"/>
  <c r="F361" i="57"/>
  <c r="AQ361" i="57" s="1"/>
  <c r="BJ361" i="57" s="1"/>
  <c r="G361" i="57"/>
  <c r="H361" i="57"/>
  <c r="I361" i="57"/>
  <c r="AR361" i="57" s="1"/>
  <c r="BK361" i="57" s="1"/>
  <c r="F362" i="57"/>
  <c r="AQ362" i="57" s="1"/>
  <c r="BJ362" i="57" s="1"/>
  <c r="G362" i="57"/>
  <c r="H362" i="57"/>
  <c r="I362" i="57"/>
  <c r="AR362" i="57" s="1"/>
  <c r="BK362" i="57" s="1"/>
  <c r="F364" i="57"/>
  <c r="AQ364" i="57" s="1"/>
  <c r="BJ364" i="57" s="1"/>
  <c r="G364" i="57"/>
  <c r="H364" i="57"/>
  <c r="I364" i="57"/>
  <c r="AR364" i="57" s="1"/>
  <c r="BK364" i="57" s="1"/>
  <c r="F365" i="57"/>
  <c r="AQ365" i="57" s="1"/>
  <c r="BJ365" i="57" s="1"/>
  <c r="G365" i="57"/>
  <c r="H365" i="57"/>
  <c r="I365" i="57"/>
  <c r="AR365" i="57" s="1"/>
  <c r="BK365" i="57" s="1"/>
  <c r="F367" i="57"/>
  <c r="AQ367" i="57" s="1"/>
  <c r="BJ367" i="57" s="1"/>
  <c r="G367" i="57"/>
  <c r="H367" i="57"/>
  <c r="I367" i="57"/>
  <c r="AR367" i="57" s="1"/>
  <c r="BK367" i="57" s="1"/>
  <c r="F368" i="57"/>
  <c r="AQ368" i="57" s="1"/>
  <c r="BJ368" i="57" s="1"/>
  <c r="G368" i="57"/>
  <c r="H368" i="57"/>
  <c r="I368" i="57"/>
  <c r="AR368" i="57" s="1"/>
  <c r="BK368" i="57" s="1"/>
  <c r="F370" i="57"/>
  <c r="AQ370" i="57" s="1"/>
  <c r="BJ370" i="57" s="1"/>
  <c r="G370" i="57"/>
  <c r="H370" i="57"/>
  <c r="I370" i="57"/>
  <c r="AR370" i="57" s="1"/>
  <c r="BK370" i="57" s="1"/>
  <c r="F371" i="57"/>
  <c r="AQ371" i="57" s="1"/>
  <c r="BJ371" i="57" s="1"/>
  <c r="G371" i="57"/>
  <c r="H371" i="57"/>
  <c r="I371" i="57"/>
  <c r="AR371" i="57" s="1"/>
  <c r="BK371" i="57" s="1"/>
  <c r="F373" i="57"/>
  <c r="AQ373" i="57" s="1"/>
  <c r="BJ373" i="57" s="1"/>
  <c r="G373" i="57"/>
  <c r="H373" i="57"/>
  <c r="I373" i="57"/>
  <c r="AR373" i="57" s="1"/>
  <c r="BK373" i="57" s="1"/>
  <c r="F374" i="57"/>
  <c r="AQ374" i="57" s="1"/>
  <c r="BJ374" i="57" s="1"/>
  <c r="G374" i="57"/>
  <c r="H374" i="57"/>
  <c r="I374" i="57"/>
  <c r="AR374" i="57" s="1"/>
  <c r="BK374" i="57" s="1"/>
  <c r="F376" i="57"/>
  <c r="AQ376" i="57" s="1"/>
  <c r="BJ376" i="57" s="1"/>
  <c r="G376" i="57"/>
  <c r="H376" i="57"/>
  <c r="I376" i="57"/>
  <c r="AR376" i="57" s="1"/>
  <c r="BK376" i="57" s="1"/>
  <c r="F377" i="57"/>
  <c r="AQ377" i="57" s="1"/>
  <c r="BJ377" i="57" s="1"/>
  <c r="G377" i="57"/>
  <c r="H377" i="57"/>
  <c r="I377" i="57"/>
  <c r="AR377" i="57" s="1"/>
  <c r="BK377" i="57" s="1"/>
  <c r="F379" i="57"/>
  <c r="AQ379" i="57" s="1"/>
  <c r="BJ379" i="57" s="1"/>
  <c r="G379" i="57"/>
  <c r="H379" i="57"/>
  <c r="I379" i="57"/>
  <c r="AR379" i="57" s="1"/>
  <c r="BK379" i="57" s="1"/>
  <c r="F380" i="57"/>
  <c r="AQ380" i="57" s="1"/>
  <c r="BJ380" i="57" s="1"/>
  <c r="G380" i="57"/>
  <c r="H380" i="57"/>
  <c r="I380" i="57"/>
  <c r="AR380" i="57" s="1"/>
  <c r="BK380" i="57" s="1"/>
  <c r="F382" i="57"/>
  <c r="AQ382" i="57" s="1"/>
  <c r="BJ382" i="57" s="1"/>
  <c r="G382" i="57"/>
  <c r="H382" i="57"/>
  <c r="I382" i="57"/>
  <c r="AR382" i="57" s="1"/>
  <c r="BK382" i="57" s="1"/>
  <c r="F383" i="57"/>
  <c r="AQ383" i="57" s="1"/>
  <c r="BJ383" i="57" s="1"/>
  <c r="G383" i="57"/>
  <c r="H383" i="57"/>
  <c r="I383" i="57"/>
  <c r="AR383" i="57" s="1"/>
  <c r="BK383" i="57" s="1"/>
  <c r="F385" i="57"/>
  <c r="AQ385" i="57" s="1"/>
  <c r="BJ385" i="57" s="1"/>
  <c r="G385" i="57"/>
  <c r="H385" i="57"/>
  <c r="I385" i="57"/>
  <c r="AR385" i="57" s="1"/>
  <c r="BK385" i="57" s="1"/>
  <c r="F386" i="57"/>
  <c r="AQ386" i="57" s="1"/>
  <c r="BJ386" i="57" s="1"/>
  <c r="G386" i="57"/>
  <c r="H386" i="57"/>
  <c r="I386" i="57"/>
  <c r="AR386" i="57" s="1"/>
  <c r="BK386" i="57" s="1"/>
  <c r="F388" i="57"/>
  <c r="AQ388" i="57" s="1"/>
  <c r="BJ388" i="57" s="1"/>
  <c r="G388" i="57"/>
  <c r="H388" i="57"/>
  <c r="I388" i="57"/>
  <c r="AR388" i="57" s="1"/>
  <c r="BK388" i="57" s="1"/>
  <c r="F389" i="57"/>
  <c r="AQ389" i="57" s="1"/>
  <c r="BJ389" i="57" s="1"/>
  <c r="G389" i="57"/>
  <c r="H389" i="57"/>
  <c r="I389" i="57"/>
  <c r="AR389" i="57" s="1"/>
  <c r="BK389" i="57" s="1"/>
  <c r="F391" i="57"/>
  <c r="AQ391" i="57" s="1"/>
  <c r="BJ391" i="57" s="1"/>
  <c r="G391" i="57"/>
  <c r="H391" i="57"/>
  <c r="I391" i="57"/>
  <c r="AR391" i="57" s="1"/>
  <c r="BK391" i="57" s="1"/>
  <c r="F392" i="57"/>
  <c r="AQ392" i="57" s="1"/>
  <c r="BJ392" i="57" s="1"/>
  <c r="G392" i="57"/>
  <c r="H392" i="57"/>
  <c r="I392" i="57"/>
  <c r="AR392" i="57" s="1"/>
  <c r="BK392" i="57" s="1"/>
  <c r="F394" i="57"/>
  <c r="AQ394" i="57" s="1"/>
  <c r="BJ394" i="57" s="1"/>
  <c r="G394" i="57"/>
  <c r="H394" i="57"/>
  <c r="I394" i="57"/>
  <c r="AR394" i="57" s="1"/>
  <c r="BK394" i="57" s="1"/>
  <c r="F395" i="57"/>
  <c r="AQ395" i="57" s="1"/>
  <c r="BJ395" i="57" s="1"/>
  <c r="G395" i="57"/>
  <c r="H395" i="57"/>
  <c r="I395" i="57"/>
  <c r="AR395" i="57" s="1"/>
  <c r="BK395" i="57" s="1"/>
  <c r="F397" i="57"/>
  <c r="AQ397" i="57" s="1"/>
  <c r="BJ397" i="57" s="1"/>
  <c r="G397" i="57"/>
  <c r="H397" i="57"/>
  <c r="I397" i="57"/>
  <c r="AR397" i="57" s="1"/>
  <c r="BK397" i="57" s="1"/>
  <c r="F398" i="57"/>
  <c r="AQ398" i="57" s="1"/>
  <c r="BJ398" i="57" s="1"/>
  <c r="G398" i="57"/>
  <c r="H398" i="57"/>
  <c r="I398" i="57"/>
  <c r="AR398" i="57" s="1"/>
  <c r="BK398" i="57" s="1"/>
  <c r="F400" i="57"/>
  <c r="AQ400" i="57" s="1"/>
  <c r="BJ400" i="57" s="1"/>
  <c r="G400" i="57"/>
  <c r="H400" i="57"/>
  <c r="I400" i="57"/>
  <c r="AR400" i="57" s="1"/>
  <c r="BK400" i="57" s="1"/>
  <c r="F401" i="57"/>
  <c r="AQ401" i="57" s="1"/>
  <c r="BJ401" i="57" s="1"/>
  <c r="G401" i="57"/>
  <c r="H401" i="57"/>
  <c r="I401" i="57"/>
  <c r="AR401" i="57" s="1"/>
  <c r="BK401" i="57" s="1"/>
  <c r="F403" i="57"/>
  <c r="AQ403" i="57" s="1"/>
  <c r="BJ403" i="57" s="1"/>
  <c r="G403" i="57"/>
  <c r="H403" i="57"/>
  <c r="I403" i="57"/>
  <c r="AR403" i="57" s="1"/>
  <c r="BK403" i="57" s="1"/>
  <c r="F404" i="57"/>
  <c r="AQ404" i="57" s="1"/>
  <c r="BJ404" i="57" s="1"/>
  <c r="G404" i="57"/>
  <c r="H404" i="57"/>
  <c r="I404" i="57"/>
  <c r="AR404" i="57" s="1"/>
  <c r="BK404" i="57" s="1"/>
  <c r="F406" i="57"/>
  <c r="AQ406" i="57" s="1"/>
  <c r="BJ406" i="57" s="1"/>
  <c r="G406" i="57"/>
  <c r="H406" i="57"/>
  <c r="I406" i="57"/>
  <c r="AR406" i="57" s="1"/>
  <c r="BK406" i="57" s="1"/>
  <c r="F407" i="57"/>
  <c r="AQ407" i="57" s="1"/>
  <c r="BJ407" i="57" s="1"/>
  <c r="G407" i="57"/>
  <c r="H407" i="57"/>
  <c r="I407" i="57"/>
  <c r="AR407" i="57" s="1"/>
  <c r="BK407" i="57" s="1"/>
  <c r="F409" i="57"/>
  <c r="AQ409" i="57" s="1"/>
  <c r="BJ409" i="57" s="1"/>
  <c r="G409" i="57"/>
  <c r="H409" i="57"/>
  <c r="I409" i="57"/>
  <c r="AR409" i="57" s="1"/>
  <c r="BK409" i="57" s="1"/>
  <c r="F410" i="57"/>
  <c r="AQ410" i="57" s="1"/>
  <c r="BJ410" i="57" s="1"/>
  <c r="G410" i="57"/>
  <c r="H410" i="57"/>
  <c r="I410" i="57"/>
  <c r="AR410" i="57" s="1"/>
  <c r="BK410" i="57" s="1"/>
  <c r="F412" i="57"/>
  <c r="AQ412" i="57" s="1"/>
  <c r="BJ412" i="57" s="1"/>
  <c r="G412" i="57"/>
  <c r="H412" i="57"/>
  <c r="I412" i="57"/>
  <c r="AR412" i="57" s="1"/>
  <c r="BK412" i="57" s="1"/>
  <c r="F413" i="57"/>
  <c r="AQ413" i="57" s="1"/>
  <c r="BJ413" i="57" s="1"/>
  <c r="G413" i="57"/>
  <c r="H413" i="57"/>
  <c r="I413" i="57"/>
  <c r="AR413" i="57" s="1"/>
  <c r="BK413" i="57" s="1"/>
  <c r="F415" i="57"/>
  <c r="AQ415" i="57" s="1"/>
  <c r="BJ415" i="57" s="1"/>
  <c r="G415" i="57"/>
  <c r="H415" i="57"/>
  <c r="I415" i="57"/>
  <c r="AR415" i="57" s="1"/>
  <c r="BK415" i="57" s="1"/>
  <c r="F416" i="57"/>
  <c r="AQ416" i="57" s="1"/>
  <c r="BJ416" i="57" s="1"/>
  <c r="G416" i="57"/>
  <c r="H416" i="57"/>
  <c r="I416" i="57"/>
  <c r="AR416" i="57" s="1"/>
  <c r="BK416" i="57" s="1"/>
  <c r="F418" i="57"/>
  <c r="AQ418" i="57" s="1"/>
  <c r="BJ418" i="57" s="1"/>
  <c r="G418" i="57"/>
  <c r="H418" i="57"/>
  <c r="I418" i="57"/>
  <c r="AR418" i="57" s="1"/>
  <c r="BK418" i="57" s="1"/>
  <c r="F419" i="57"/>
  <c r="AQ419" i="57" s="1"/>
  <c r="BJ419" i="57" s="1"/>
  <c r="G419" i="57"/>
  <c r="H419" i="57"/>
  <c r="I419" i="57"/>
  <c r="AR419" i="57" s="1"/>
  <c r="BK419" i="57" s="1"/>
  <c r="F421" i="57"/>
  <c r="AQ421" i="57" s="1"/>
  <c r="BJ421" i="57" s="1"/>
  <c r="G421" i="57"/>
  <c r="H421" i="57"/>
  <c r="I421" i="57"/>
  <c r="AR421" i="57" s="1"/>
  <c r="BK421" i="57" s="1"/>
  <c r="F422" i="57"/>
  <c r="AQ422" i="57" s="1"/>
  <c r="BJ422" i="57" s="1"/>
  <c r="G422" i="57"/>
  <c r="H422" i="57"/>
  <c r="I422" i="57"/>
  <c r="AR422" i="57" s="1"/>
  <c r="BK422" i="57" s="1"/>
  <c r="F424" i="57"/>
  <c r="AQ424" i="57" s="1"/>
  <c r="BJ424" i="57" s="1"/>
  <c r="G424" i="57"/>
  <c r="H424" i="57"/>
  <c r="I424" i="57"/>
  <c r="AR424" i="57" s="1"/>
  <c r="BK424" i="57" s="1"/>
  <c r="F425" i="57"/>
  <c r="AQ425" i="57" s="1"/>
  <c r="BJ425" i="57" s="1"/>
  <c r="G425" i="57"/>
  <c r="H425" i="57"/>
  <c r="I425" i="57"/>
  <c r="AR425" i="57" s="1"/>
  <c r="BK425" i="57" s="1"/>
  <c r="F427" i="57"/>
  <c r="AQ427" i="57" s="1"/>
  <c r="BJ427" i="57" s="1"/>
  <c r="G427" i="57"/>
  <c r="H427" i="57"/>
  <c r="I427" i="57"/>
  <c r="AR427" i="57" s="1"/>
  <c r="BK427" i="57" s="1"/>
  <c r="F428" i="57"/>
  <c r="AQ428" i="57" s="1"/>
  <c r="BJ428" i="57" s="1"/>
  <c r="G428" i="57"/>
  <c r="H428" i="57"/>
  <c r="I428" i="57"/>
  <c r="AR428" i="57" s="1"/>
  <c r="BK428" i="57" s="1"/>
  <c r="F430" i="57"/>
  <c r="AQ430" i="57" s="1"/>
  <c r="BJ430" i="57" s="1"/>
  <c r="G430" i="57"/>
  <c r="H430" i="57"/>
  <c r="I430" i="57"/>
  <c r="AR430" i="57" s="1"/>
  <c r="BK430" i="57" s="1"/>
  <c r="F431" i="57"/>
  <c r="AQ431" i="57" s="1"/>
  <c r="BJ431" i="57" s="1"/>
  <c r="G431" i="57"/>
  <c r="H431" i="57"/>
  <c r="I431" i="57"/>
  <c r="AR431" i="57" s="1"/>
  <c r="BK431" i="57" s="1"/>
  <c r="F433" i="57"/>
  <c r="AQ433" i="57" s="1"/>
  <c r="BJ433" i="57" s="1"/>
  <c r="G433" i="57"/>
  <c r="H433" i="57"/>
  <c r="I433" i="57"/>
  <c r="AR433" i="57" s="1"/>
  <c r="BK433" i="57" s="1"/>
  <c r="F434" i="57"/>
  <c r="AQ434" i="57" s="1"/>
  <c r="BJ434" i="57" s="1"/>
  <c r="G434" i="57"/>
  <c r="H434" i="57"/>
  <c r="I434" i="57"/>
  <c r="AR434" i="57" s="1"/>
  <c r="BK434" i="57" s="1"/>
  <c r="F436" i="57"/>
  <c r="AQ436" i="57" s="1"/>
  <c r="BJ436" i="57" s="1"/>
  <c r="G436" i="57"/>
  <c r="H436" i="57"/>
  <c r="I436" i="57"/>
  <c r="AR436" i="57" s="1"/>
  <c r="BK436" i="57" s="1"/>
  <c r="F437" i="57"/>
  <c r="AQ437" i="57" s="1"/>
  <c r="BJ437" i="57" s="1"/>
  <c r="G437" i="57"/>
  <c r="H437" i="57"/>
  <c r="I437" i="57"/>
  <c r="AR437" i="57" s="1"/>
  <c r="BK437" i="57" s="1"/>
  <c r="F439" i="57"/>
  <c r="AQ439" i="57" s="1"/>
  <c r="BJ439" i="57" s="1"/>
  <c r="G439" i="57"/>
  <c r="H439" i="57"/>
  <c r="I439" i="57"/>
  <c r="AR439" i="57" s="1"/>
  <c r="BK439" i="57" s="1"/>
  <c r="F440" i="57"/>
  <c r="AQ440" i="57" s="1"/>
  <c r="BJ440" i="57" s="1"/>
  <c r="G440" i="57"/>
  <c r="H440" i="57"/>
  <c r="I440" i="57"/>
  <c r="AR440" i="57" s="1"/>
  <c r="BK440" i="57" s="1"/>
  <c r="F442" i="57"/>
  <c r="AQ442" i="57" s="1"/>
  <c r="BJ442" i="57" s="1"/>
  <c r="G442" i="57"/>
  <c r="H442" i="57"/>
  <c r="I442" i="57"/>
  <c r="AR442" i="57" s="1"/>
  <c r="BK442" i="57" s="1"/>
  <c r="F443" i="57"/>
  <c r="AQ443" i="57" s="1"/>
  <c r="BJ443" i="57" s="1"/>
  <c r="G443" i="57"/>
  <c r="H443" i="57"/>
  <c r="I443" i="57"/>
  <c r="AR443" i="57" s="1"/>
  <c r="BK443" i="57" s="1"/>
  <c r="I71" i="57"/>
  <c r="AR71" i="57" s="1"/>
  <c r="BK71" i="57" s="1"/>
  <c r="H71" i="57"/>
  <c r="G71" i="57"/>
  <c r="F71" i="57"/>
  <c r="AK451" i="57" s="1"/>
  <c r="I70" i="57"/>
  <c r="AR70" i="57" s="1"/>
  <c r="BK70" i="57" s="1"/>
  <c r="H70" i="57"/>
  <c r="G70" i="57"/>
  <c r="F70" i="57"/>
  <c r="AQ70" i="57" s="1"/>
  <c r="BJ70" i="57" s="1"/>
  <c r="AG443" i="57"/>
  <c r="AF443" i="57"/>
  <c r="AE443" i="57"/>
  <c r="AD443" i="57"/>
  <c r="AC443" i="57"/>
  <c r="AB443" i="57"/>
  <c r="AA443" i="57"/>
  <c r="Z443" i="57"/>
  <c r="Y443" i="57"/>
  <c r="X443" i="57"/>
  <c r="W443" i="57"/>
  <c r="AG440" i="57"/>
  <c r="AF440" i="57"/>
  <c r="AE440" i="57"/>
  <c r="AD440" i="57"/>
  <c r="AC440" i="57"/>
  <c r="AB440" i="57"/>
  <c r="AA440" i="57"/>
  <c r="Z440" i="57"/>
  <c r="Y440" i="57"/>
  <c r="X440" i="57"/>
  <c r="W440" i="57"/>
  <c r="AG437" i="57"/>
  <c r="AF437" i="57"/>
  <c r="AE437" i="57"/>
  <c r="AD437" i="57"/>
  <c r="AC437" i="57"/>
  <c r="AB437" i="57"/>
  <c r="AA437" i="57"/>
  <c r="Z437" i="57"/>
  <c r="Y437" i="57"/>
  <c r="X437" i="57"/>
  <c r="W437" i="57"/>
  <c r="AG434" i="57"/>
  <c r="AF434" i="57"/>
  <c r="AE434" i="57"/>
  <c r="AD434" i="57"/>
  <c r="AC434" i="57"/>
  <c r="AB434" i="57"/>
  <c r="AA434" i="57"/>
  <c r="Z434" i="57"/>
  <c r="Y434" i="57"/>
  <c r="X434" i="57"/>
  <c r="W434" i="57"/>
  <c r="AG431" i="57"/>
  <c r="AF431" i="57"/>
  <c r="AE431" i="57"/>
  <c r="AD431" i="57"/>
  <c r="AC431" i="57"/>
  <c r="AB431" i="57"/>
  <c r="AA431" i="57"/>
  <c r="Z431" i="57"/>
  <c r="Y431" i="57"/>
  <c r="X431" i="57"/>
  <c r="W431" i="57"/>
  <c r="AG428" i="57"/>
  <c r="AF428" i="57"/>
  <c r="AE428" i="57"/>
  <c r="AD428" i="57"/>
  <c r="AC428" i="57"/>
  <c r="AB428" i="57"/>
  <c r="AA428" i="57"/>
  <c r="Z428" i="57"/>
  <c r="Y428" i="57"/>
  <c r="X428" i="57"/>
  <c r="W428" i="57"/>
  <c r="AG425" i="57"/>
  <c r="AF425" i="57"/>
  <c r="AE425" i="57"/>
  <c r="AD425" i="57"/>
  <c r="AC425" i="57"/>
  <c r="AB425" i="57"/>
  <c r="AA425" i="57"/>
  <c r="Z425" i="57"/>
  <c r="Y425" i="57"/>
  <c r="X425" i="57"/>
  <c r="W425" i="57"/>
  <c r="AG422" i="57"/>
  <c r="AF422" i="57"/>
  <c r="AE422" i="57"/>
  <c r="AD422" i="57"/>
  <c r="AC422" i="57"/>
  <c r="AB422" i="57"/>
  <c r="AA422" i="57"/>
  <c r="Z422" i="57"/>
  <c r="Y422" i="57"/>
  <c r="X422" i="57"/>
  <c r="W422" i="57"/>
  <c r="AG419" i="57"/>
  <c r="AF419" i="57"/>
  <c r="AE419" i="57"/>
  <c r="AD419" i="57"/>
  <c r="AC419" i="57"/>
  <c r="AB419" i="57"/>
  <c r="AA419" i="57"/>
  <c r="Z419" i="57"/>
  <c r="Y419" i="57"/>
  <c r="X419" i="57"/>
  <c r="W419" i="57"/>
  <c r="AG416" i="57"/>
  <c r="AF416" i="57"/>
  <c r="AE416" i="57"/>
  <c r="AD416" i="57"/>
  <c r="AC416" i="57"/>
  <c r="AB416" i="57"/>
  <c r="AA416" i="57"/>
  <c r="Z416" i="57"/>
  <c r="Y416" i="57"/>
  <c r="X416" i="57"/>
  <c r="W416" i="57"/>
  <c r="AG413" i="57"/>
  <c r="AF413" i="57"/>
  <c r="AE413" i="57"/>
  <c r="AD413" i="57"/>
  <c r="AC413" i="57"/>
  <c r="AB413" i="57"/>
  <c r="AA413" i="57"/>
  <c r="Z413" i="57"/>
  <c r="Y413" i="57"/>
  <c r="X413" i="57"/>
  <c r="W413" i="57"/>
  <c r="AG410" i="57"/>
  <c r="AF410" i="57"/>
  <c r="AE410" i="57"/>
  <c r="AD410" i="57"/>
  <c r="AC410" i="57"/>
  <c r="AB410" i="57"/>
  <c r="AA410" i="57"/>
  <c r="Z410" i="57"/>
  <c r="Y410" i="57"/>
  <c r="X410" i="57"/>
  <c r="W410" i="57"/>
  <c r="AG407" i="57"/>
  <c r="AF407" i="57"/>
  <c r="AE407" i="57"/>
  <c r="AD407" i="57"/>
  <c r="AC407" i="57"/>
  <c r="AB407" i="57"/>
  <c r="AA407" i="57"/>
  <c r="Z407" i="57"/>
  <c r="Y407" i="57"/>
  <c r="X407" i="57"/>
  <c r="W407" i="57"/>
  <c r="AG404" i="57"/>
  <c r="AF404" i="57"/>
  <c r="AE404" i="57"/>
  <c r="AD404" i="57"/>
  <c r="AC404" i="57"/>
  <c r="AB404" i="57"/>
  <c r="AA404" i="57"/>
  <c r="Z404" i="57"/>
  <c r="Y404" i="57"/>
  <c r="X404" i="57"/>
  <c r="W404" i="57"/>
  <c r="AG401" i="57"/>
  <c r="AF401" i="57"/>
  <c r="AE401" i="57"/>
  <c r="AD401" i="57"/>
  <c r="AC401" i="57"/>
  <c r="AB401" i="57"/>
  <c r="AA401" i="57"/>
  <c r="Z401" i="57"/>
  <c r="Y401" i="57"/>
  <c r="X401" i="57"/>
  <c r="W401" i="57"/>
  <c r="AG398" i="57"/>
  <c r="AF398" i="57"/>
  <c r="AE398" i="57"/>
  <c r="AD398" i="57"/>
  <c r="AC398" i="57"/>
  <c r="AB398" i="57"/>
  <c r="AA398" i="57"/>
  <c r="Z398" i="57"/>
  <c r="Y398" i="57"/>
  <c r="X398" i="57"/>
  <c r="W398" i="57"/>
  <c r="AG395" i="57"/>
  <c r="AF395" i="57"/>
  <c r="AE395" i="57"/>
  <c r="AD395" i="57"/>
  <c r="AC395" i="57"/>
  <c r="AB395" i="57"/>
  <c r="AA395" i="57"/>
  <c r="Z395" i="57"/>
  <c r="Y395" i="57"/>
  <c r="X395" i="57"/>
  <c r="W395" i="57"/>
  <c r="AG392" i="57"/>
  <c r="AF392" i="57"/>
  <c r="AE392" i="57"/>
  <c r="AD392" i="57"/>
  <c r="AC392" i="57"/>
  <c r="AB392" i="57"/>
  <c r="AA392" i="57"/>
  <c r="Z392" i="57"/>
  <c r="Y392" i="57"/>
  <c r="X392" i="57"/>
  <c r="W392" i="57"/>
  <c r="AG389" i="57"/>
  <c r="AF389" i="57"/>
  <c r="AE389" i="57"/>
  <c r="AD389" i="57"/>
  <c r="AC389" i="57"/>
  <c r="AB389" i="57"/>
  <c r="AA389" i="57"/>
  <c r="Z389" i="57"/>
  <c r="Y389" i="57"/>
  <c r="X389" i="57"/>
  <c r="W389" i="57"/>
  <c r="AG386" i="57"/>
  <c r="AF386" i="57"/>
  <c r="AE386" i="57"/>
  <c r="AD386" i="57"/>
  <c r="AC386" i="57"/>
  <c r="AB386" i="57"/>
  <c r="AA386" i="57"/>
  <c r="Z386" i="57"/>
  <c r="Y386" i="57"/>
  <c r="X386" i="57"/>
  <c r="W386" i="57"/>
  <c r="AG383" i="57"/>
  <c r="AF383" i="57"/>
  <c r="AE383" i="57"/>
  <c r="AD383" i="57"/>
  <c r="AC383" i="57"/>
  <c r="AB383" i="57"/>
  <c r="AA383" i="57"/>
  <c r="Z383" i="57"/>
  <c r="Y383" i="57"/>
  <c r="X383" i="57"/>
  <c r="W383" i="57"/>
  <c r="AG380" i="57"/>
  <c r="AF380" i="57"/>
  <c r="AE380" i="57"/>
  <c r="AD380" i="57"/>
  <c r="AC380" i="57"/>
  <c r="AB380" i="57"/>
  <c r="AA380" i="57"/>
  <c r="Z380" i="57"/>
  <c r="Y380" i="57"/>
  <c r="X380" i="57"/>
  <c r="W380" i="57"/>
  <c r="AG377" i="57"/>
  <c r="AF377" i="57"/>
  <c r="AE377" i="57"/>
  <c r="AD377" i="57"/>
  <c r="AC377" i="57"/>
  <c r="AB377" i="57"/>
  <c r="AA377" i="57"/>
  <c r="Z377" i="57"/>
  <c r="Y377" i="57"/>
  <c r="X377" i="57"/>
  <c r="W377" i="57"/>
  <c r="AG374" i="57"/>
  <c r="AF374" i="57"/>
  <c r="AE374" i="57"/>
  <c r="AD374" i="57"/>
  <c r="AC374" i="57"/>
  <c r="AB374" i="57"/>
  <c r="AA374" i="57"/>
  <c r="Z374" i="57"/>
  <c r="Y374" i="57"/>
  <c r="X374" i="57"/>
  <c r="W374" i="57"/>
  <c r="AG371" i="57"/>
  <c r="AF371" i="57"/>
  <c r="AE371" i="57"/>
  <c r="AD371" i="57"/>
  <c r="AC371" i="57"/>
  <c r="AB371" i="57"/>
  <c r="AA371" i="57"/>
  <c r="Z371" i="57"/>
  <c r="Y371" i="57"/>
  <c r="X371" i="57"/>
  <c r="W371" i="57"/>
  <c r="AG368" i="57"/>
  <c r="AF368" i="57"/>
  <c r="AE368" i="57"/>
  <c r="AD368" i="57"/>
  <c r="AC368" i="57"/>
  <c r="AB368" i="57"/>
  <c r="AA368" i="57"/>
  <c r="Z368" i="57"/>
  <c r="Y368" i="57"/>
  <c r="X368" i="57"/>
  <c r="W368" i="57"/>
  <c r="AG365" i="57"/>
  <c r="AF365" i="57"/>
  <c r="AE365" i="57"/>
  <c r="AD365" i="57"/>
  <c r="AC365" i="57"/>
  <c r="AB365" i="57"/>
  <c r="AA365" i="57"/>
  <c r="Z365" i="57"/>
  <c r="Y365" i="57"/>
  <c r="X365" i="57"/>
  <c r="W365" i="57"/>
  <c r="AG362" i="57"/>
  <c r="AF362" i="57"/>
  <c r="AE362" i="57"/>
  <c r="AD362" i="57"/>
  <c r="AC362" i="57"/>
  <c r="AB362" i="57"/>
  <c r="AA362" i="57"/>
  <c r="Z362" i="57"/>
  <c r="Y362" i="57"/>
  <c r="X362" i="57"/>
  <c r="W362" i="57"/>
  <c r="AG359" i="57"/>
  <c r="AF359" i="57"/>
  <c r="AE359" i="57"/>
  <c r="AD359" i="57"/>
  <c r="AC359" i="57"/>
  <c r="AB359" i="57"/>
  <c r="AA359" i="57"/>
  <c r="Z359" i="57"/>
  <c r="Y359" i="57"/>
  <c r="X359" i="57"/>
  <c r="W359" i="57"/>
  <c r="AG356" i="57"/>
  <c r="AF356" i="57"/>
  <c r="AE356" i="57"/>
  <c r="AD356" i="57"/>
  <c r="AC356" i="57"/>
  <c r="AB356" i="57"/>
  <c r="AA356" i="57"/>
  <c r="Z356" i="57"/>
  <c r="Y356" i="57"/>
  <c r="X356" i="57"/>
  <c r="W356" i="57"/>
  <c r="AG353" i="57"/>
  <c r="AF353" i="57"/>
  <c r="AE353" i="57"/>
  <c r="AD353" i="57"/>
  <c r="AC353" i="57"/>
  <c r="AB353" i="57"/>
  <c r="AA353" i="57"/>
  <c r="Z353" i="57"/>
  <c r="Y353" i="57"/>
  <c r="X353" i="57"/>
  <c r="W353" i="57"/>
  <c r="AG350" i="57"/>
  <c r="AF350" i="57"/>
  <c r="AE350" i="57"/>
  <c r="AD350" i="57"/>
  <c r="AC350" i="57"/>
  <c r="AB350" i="57"/>
  <c r="AA350" i="57"/>
  <c r="Z350" i="57"/>
  <c r="Y350" i="57"/>
  <c r="X350" i="57"/>
  <c r="W350" i="57"/>
  <c r="AG347" i="57"/>
  <c r="AF347" i="57"/>
  <c r="AE347" i="57"/>
  <c r="AD347" i="57"/>
  <c r="AC347" i="57"/>
  <c r="AB347" i="57"/>
  <c r="AA347" i="57"/>
  <c r="Z347" i="57"/>
  <c r="Y347" i="57"/>
  <c r="X347" i="57"/>
  <c r="W347" i="57"/>
  <c r="AG344" i="57"/>
  <c r="AF344" i="57"/>
  <c r="AE344" i="57"/>
  <c r="AD344" i="57"/>
  <c r="AC344" i="57"/>
  <c r="AB344" i="57"/>
  <c r="AA344" i="57"/>
  <c r="Z344" i="57"/>
  <c r="Y344" i="57"/>
  <c r="X344" i="57"/>
  <c r="W344" i="57"/>
  <c r="AG341" i="57"/>
  <c r="AF341" i="57"/>
  <c r="AE341" i="57"/>
  <c r="AD341" i="57"/>
  <c r="AC341" i="57"/>
  <c r="AB341" i="57"/>
  <c r="AA341" i="57"/>
  <c r="Z341" i="57"/>
  <c r="Y341" i="57"/>
  <c r="X341" i="57"/>
  <c r="W341" i="57"/>
  <c r="AG338" i="57"/>
  <c r="AF338" i="57"/>
  <c r="AE338" i="57"/>
  <c r="AD338" i="57"/>
  <c r="AC338" i="57"/>
  <c r="AB338" i="57"/>
  <c r="AA338" i="57"/>
  <c r="Z338" i="57"/>
  <c r="Y338" i="57"/>
  <c r="X338" i="57"/>
  <c r="W338" i="57"/>
  <c r="AG335" i="57"/>
  <c r="AF335" i="57"/>
  <c r="AE335" i="57"/>
  <c r="AD335" i="57"/>
  <c r="AC335" i="57"/>
  <c r="AB335" i="57"/>
  <c r="AA335" i="57"/>
  <c r="Z335" i="57"/>
  <c r="Y335" i="57"/>
  <c r="X335" i="57"/>
  <c r="W335" i="57"/>
  <c r="AG332" i="57"/>
  <c r="AF332" i="57"/>
  <c r="AE332" i="57"/>
  <c r="AD332" i="57"/>
  <c r="AC332" i="57"/>
  <c r="AB332" i="57"/>
  <c r="AA332" i="57"/>
  <c r="Z332" i="57"/>
  <c r="Y332" i="57"/>
  <c r="X332" i="57"/>
  <c r="W332" i="57"/>
  <c r="AG329" i="57"/>
  <c r="AF329" i="57"/>
  <c r="AE329" i="57"/>
  <c r="AD329" i="57"/>
  <c r="AC329" i="57"/>
  <c r="AB329" i="57"/>
  <c r="AA329" i="57"/>
  <c r="Z329" i="57"/>
  <c r="Y329" i="57"/>
  <c r="X329" i="57"/>
  <c r="W329" i="57"/>
  <c r="AG326" i="57"/>
  <c r="AF326" i="57"/>
  <c r="AE326" i="57"/>
  <c r="AD326" i="57"/>
  <c r="AC326" i="57"/>
  <c r="AB326" i="57"/>
  <c r="AA326" i="57"/>
  <c r="Z326" i="57"/>
  <c r="Y326" i="57"/>
  <c r="X326" i="57"/>
  <c r="W326" i="57"/>
  <c r="AG323" i="57"/>
  <c r="AF323" i="57"/>
  <c r="AE323" i="57"/>
  <c r="AD323" i="57"/>
  <c r="AC323" i="57"/>
  <c r="AB323" i="57"/>
  <c r="AA323" i="57"/>
  <c r="Z323" i="57"/>
  <c r="Y323" i="57"/>
  <c r="X323" i="57"/>
  <c r="W323" i="57"/>
  <c r="AG320" i="57"/>
  <c r="AF320" i="57"/>
  <c r="AE320" i="57"/>
  <c r="AD320" i="57"/>
  <c r="AC320" i="57"/>
  <c r="AB320" i="57"/>
  <c r="AA320" i="57"/>
  <c r="Z320" i="57"/>
  <c r="Y320" i="57"/>
  <c r="X320" i="57"/>
  <c r="W320" i="57"/>
  <c r="AG317" i="57"/>
  <c r="AF317" i="57"/>
  <c r="AE317" i="57"/>
  <c r="AD317" i="57"/>
  <c r="AC317" i="57"/>
  <c r="AB317" i="57"/>
  <c r="AA317" i="57"/>
  <c r="Z317" i="57"/>
  <c r="Y317" i="57"/>
  <c r="X317" i="57"/>
  <c r="W317" i="57"/>
  <c r="AG314" i="57"/>
  <c r="AF314" i="57"/>
  <c r="AE314" i="57"/>
  <c r="AD314" i="57"/>
  <c r="AC314" i="57"/>
  <c r="AB314" i="57"/>
  <c r="AA314" i="57"/>
  <c r="Z314" i="57"/>
  <c r="Y314" i="57"/>
  <c r="X314" i="57"/>
  <c r="W314" i="57"/>
  <c r="AG311" i="57"/>
  <c r="AF311" i="57"/>
  <c r="AE311" i="57"/>
  <c r="AD311" i="57"/>
  <c r="AC311" i="57"/>
  <c r="AB311" i="57"/>
  <c r="AA311" i="57"/>
  <c r="Z311" i="57"/>
  <c r="Y311" i="57"/>
  <c r="X311" i="57"/>
  <c r="W311" i="57"/>
  <c r="AG308" i="57"/>
  <c r="AF308" i="57"/>
  <c r="AE308" i="57"/>
  <c r="AD308" i="57"/>
  <c r="AC308" i="57"/>
  <c r="AB308" i="57"/>
  <c r="AA308" i="57"/>
  <c r="Z308" i="57"/>
  <c r="Y308" i="57"/>
  <c r="X308" i="57"/>
  <c r="W308" i="57"/>
  <c r="AG305" i="57"/>
  <c r="AF305" i="57"/>
  <c r="AE305" i="57"/>
  <c r="AD305" i="57"/>
  <c r="AC305" i="57"/>
  <c r="AB305" i="57"/>
  <c r="AA305" i="57"/>
  <c r="Z305" i="57"/>
  <c r="Y305" i="57"/>
  <c r="X305" i="57"/>
  <c r="W305" i="57"/>
  <c r="AG302" i="57"/>
  <c r="AF302" i="57"/>
  <c r="AE302" i="57"/>
  <c r="AD302" i="57"/>
  <c r="AC302" i="57"/>
  <c r="AB302" i="57"/>
  <c r="AA302" i="57"/>
  <c r="Z302" i="57"/>
  <c r="Y302" i="57"/>
  <c r="X302" i="57"/>
  <c r="W302" i="57"/>
  <c r="AG299" i="57"/>
  <c r="AF299" i="57"/>
  <c r="AE299" i="57"/>
  <c r="AD299" i="57"/>
  <c r="AC299" i="57"/>
  <c r="AB299" i="57"/>
  <c r="AA299" i="57"/>
  <c r="Z299" i="57"/>
  <c r="Y299" i="57"/>
  <c r="X299" i="57"/>
  <c r="W299" i="57"/>
  <c r="AG296" i="57"/>
  <c r="AF296" i="57"/>
  <c r="AE296" i="57"/>
  <c r="AD296" i="57"/>
  <c r="AC296" i="57"/>
  <c r="AB296" i="57"/>
  <c r="AA296" i="57"/>
  <c r="Z296" i="57"/>
  <c r="Y296" i="57"/>
  <c r="X296" i="57"/>
  <c r="W296" i="57"/>
  <c r="AG293" i="57"/>
  <c r="AF293" i="57"/>
  <c r="AE293" i="57"/>
  <c r="AD293" i="57"/>
  <c r="AC293" i="57"/>
  <c r="AB293" i="57"/>
  <c r="AA293" i="57"/>
  <c r="Z293" i="57"/>
  <c r="Y293" i="57"/>
  <c r="X293" i="57"/>
  <c r="W293" i="57"/>
  <c r="AG290" i="57"/>
  <c r="AF290" i="57"/>
  <c r="AE290" i="57"/>
  <c r="AD290" i="57"/>
  <c r="AC290" i="57"/>
  <c r="AB290" i="57"/>
  <c r="AA290" i="57"/>
  <c r="Z290" i="57"/>
  <c r="Y290" i="57"/>
  <c r="X290" i="57"/>
  <c r="W290" i="57"/>
  <c r="AG287" i="57"/>
  <c r="AF287" i="57"/>
  <c r="AE287" i="57"/>
  <c r="AD287" i="57"/>
  <c r="AC287" i="57"/>
  <c r="AB287" i="57"/>
  <c r="AA287" i="57"/>
  <c r="Z287" i="57"/>
  <c r="Y287" i="57"/>
  <c r="X287" i="57"/>
  <c r="W287" i="57"/>
  <c r="AG284" i="57"/>
  <c r="AF284" i="57"/>
  <c r="AE284" i="57"/>
  <c r="AD284" i="57"/>
  <c r="AC284" i="57"/>
  <c r="AB284" i="57"/>
  <c r="AA284" i="57"/>
  <c r="Z284" i="57"/>
  <c r="Y284" i="57"/>
  <c r="X284" i="57"/>
  <c r="W284" i="57"/>
  <c r="AG281" i="57"/>
  <c r="AF281" i="57"/>
  <c r="AE281" i="57"/>
  <c r="AD281" i="57"/>
  <c r="AC281" i="57"/>
  <c r="AB281" i="57"/>
  <c r="AA281" i="57"/>
  <c r="Z281" i="57"/>
  <c r="Y281" i="57"/>
  <c r="X281" i="57"/>
  <c r="W281" i="57"/>
  <c r="AG278" i="57"/>
  <c r="AF278" i="57"/>
  <c r="AE278" i="57"/>
  <c r="AD278" i="57"/>
  <c r="AC278" i="57"/>
  <c r="AB278" i="57"/>
  <c r="AA278" i="57"/>
  <c r="Z278" i="57"/>
  <c r="Y278" i="57"/>
  <c r="X278" i="57"/>
  <c r="W278" i="57"/>
  <c r="AG275" i="57"/>
  <c r="AF275" i="57"/>
  <c r="AE275" i="57"/>
  <c r="AD275" i="57"/>
  <c r="AC275" i="57"/>
  <c r="AB275" i="57"/>
  <c r="AA275" i="57"/>
  <c r="Z275" i="57"/>
  <c r="Y275" i="57"/>
  <c r="X275" i="57"/>
  <c r="W275" i="57"/>
  <c r="AG272" i="57"/>
  <c r="AF272" i="57"/>
  <c r="AE272" i="57"/>
  <c r="AD272" i="57"/>
  <c r="AC272" i="57"/>
  <c r="AB272" i="57"/>
  <c r="AA272" i="57"/>
  <c r="Z272" i="57"/>
  <c r="Y272" i="57"/>
  <c r="X272" i="57"/>
  <c r="W272" i="57"/>
  <c r="AG269" i="57"/>
  <c r="AF269" i="57"/>
  <c r="AE269" i="57"/>
  <c r="AD269" i="57"/>
  <c r="AC269" i="57"/>
  <c r="AB269" i="57"/>
  <c r="AA269" i="57"/>
  <c r="Z269" i="57"/>
  <c r="Y269" i="57"/>
  <c r="X269" i="57"/>
  <c r="W269" i="57"/>
  <c r="AG266" i="57"/>
  <c r="AF266" i="57"/>
  <c r="AE266" i="57"/>
  <c r="AD266" i="57"/>
  <c r="AC266" i="57"/>
  <c r="AB266" i="57"/>
  <c r="AA266" i="57"/>
  <c r="Z266" i="57"/>
  <c r="Y266" i="57"/>
  <c r="X266" i="57"/>
  <c r="W266" i="57"/>
  <c r="AG263" i="57"/>
  <c r="AF263" i="57"/>
  <c r="AE263" i="57"/>
  <c r="AD263" i="57"/>
  <c r="AC263" i="57"/>
  <c r="AB263" i="57"/>
  <c r="AA263" i="57"/>
  <c r="Z263" i="57"/>
  <c r="Y263" i="57"/>
  <c r="X263" i="57"/>
  <c r="W263" i="57"/>
  <c r="AG260" i="57"/>
  <c r="AF260" i="57"/>
  <c r="AE260" i="57"/>
  <c r="AD260" i="57"/>
  <c r="AC260" i="57"/>
  <c r="AB260" i="57"/>
  <c r="AA260" i="57"/>
  <c r="Z260" i="57"/>
  <c r="Y260" i="57"/>
  <c r="X260" i="57"/>
  <c r="W260" i="57"/>
  <c r="AG257" i="57"/>
  <c r="AF257" i="57"/>
  <c r="AE257" i="57"/>
  <c r="AD257" i="57"/>
  <c r="AC257" i="57"/>
  <c r="AB257" i="57"/>
  <c r="AA257" i="57"/>
  <c r="Z257" i="57"/>
  <c r="Y257" i="57"/>
  <c r="X257" i="57"/>
  <c r="W257" i="57"/>
  <c r="AG254" i="57"/>
  <c r="AF254" i="57"/>
  <c r="AE254" i="57"/>
  <c r="AD254" i="57"/>
  <c r="AC254" i="57"/>
  <c r="AB254" i="57"/>
  <c r="AA254" i="57"/>
  <c r="Z254" i="57"/>
  <c r="Y254" i="57"/>
  <c r="X254" i="57"/>
  <c r="W254" i="57"/>
  <c r="AG251" i="57"/>
  <c r="AF251" i="57"/>
  <c r="AE251" i="57"/>
  <c r="AD251" i="57"/>
  <c r="AC251" i="57"/>
  <c r="AB251" i="57"/>
  <c r="AA251" i="57"/>
  <c r="Z251" i="57"/>
  <c r="Y251" i="57"/>
  <c r="X251" i="57"/>
  <c r="W251" i="57"/>
  <c r="AG248" i="57"/>
  <c r="AF248" i="57"/>
  <c r="AE248" i="57"/>
  <c r="AD248" i="57"/>
  <c r="AC248" i="57"/>
  <c r="AB248" i="57"/>
  <c r="AA248" i="57"/>
  <c r="Z248" i="57"/>
  <c r="Y248" i="57"/>
  <c r="X248" i="57"/>
  <c r="W248" i="57"/>
  <c r="AG245" i="57"/>
  <c r="AF245" i="57"/>
  <c r="AE245" i="57"/>
  <c r="AD245" i="57"/>
  <c r="AC245" i="57"/>
  <c r="AB245" i="57"/>
  <c r="AA245" i="57"/>
  <c r="Z245" i="57"/>
  <c r="Y245" i="57"/>
  <c r="X245" i="57"/>
  <c r="W245" i="57"/>
  <c r="AG242" i="57"/>
  <c r="AF242" i="57"/>
  <c r="AE242" i="57"/>
  <c r="AD242" i="57"/>
  <c r="AC242" i="57"/>
  <c r="AB242" i="57"/>
  <c r="AA242" i="57"/>
  <c r="Z242" i="57"/>
  <c r="Y242" i="57"/>
  <c r="X242" i="57"/>
  <c r="W242" i="57"/>
  <c r="AG239" i="57"/>
  <c r="AF239" i="57"/>
  <c r="AE239" i="57"/>
  <c r="AD239" i="57"/>
  <c r="AC239" i="57"/>
  <c r="AB239" i="57"/>
  <c r="AA239" i="57"/>
  <c r="Z239" i="57"/>
  <c r="Y239" i="57"/>
  <c r="X239" i="57"/>
  <c r="W239" i="57"/>
  <c r="AG236" i="57"/>
  <c r="AF236" i="57"/>
  <c r="AE236" i="57"/>
  <c r="AD236" i="57"/>
  <c r="AC236" i="57"/>
  <c r="AB236" i="57"/>
  <c r="AA236" i="57"/>
  <c r="Z236" i="57"/>
  <c r="Y236" i="57"/>
  <c r="X236" i="57"/>
  <c r="W236" i="57"/>
  <c r="AG233" i="57"/>
  <c r="AF233" i="57"/>
  <c r="AE233" i="57"/>
  <c r="AD233" i="57"/>
  <c r="AC233" i="57"/>
  <c r="AB233" i="57"/>
  <c r="AA233" i="57"/>
  <c r="Z233" i="57"/>
  <c r="Y233" i="57"/>
  <c r="X233" i="57"/>
  <c r="W233" i="57"/>
  <c r="AG230" i="57"/>
  <c r="AF230" i="57"/>
  <c r="AE230" i="57"/>
  <c r="AD230" i="57"/>
  <c r="AC230" i="57"/>
  <c r="AB230" i="57"/>
  <c r="AA230" i="57"/>
  <c r="Z230" i="57"/>
  <c r="Y230" i="57"/>
  <c r="X230" i="57"/>
  <c r="W230" i="57"/>
  <c r="AG227" i="57"/>
  <c r="AF227" i="57"/>
  <c r="AE227" i="57"/>
  <c r="AD227" i="57"/>
  <c r="AC227" i="57"/>
  <c r="AB227" i="57"/>
  <c r="AA227" i="57"/>
  <c r="Z227" i="57"/>
  <c r="Y227" i="57"/>
  <c r="X227" i="57"/>
  <c r="W227" i="57"/>
  <c r="AG224" i="57"/>
  <c r="AF224" i="57"/>
  <c r="AE224" i="57"/>
  <c r="AD224" i="57"/>
  <c r="AC224" i="57"/>
  <c r="AB224" i="57"/>
  <c r="AA224" i="57"/>
  <c r="Z224" i="57"/>
  <c r="Y224" i="57"/>
  <c r="X224" i="57"/>
  <c r="W224" i="57"/>
  <c r="AG221" i="57"/>
  <c r="AF221" i="57"/>
  <c r="AE221" i="57"/>
  <c r="AD221" i="57"/>
  <c r="AC221" i="57"/>
  <c r="AB221" i="57"/>
  <c r="AA221" i="57"/>
  <c r="Z221" i="57"/>
  <c r="Y221" i="57"/>
  <c r="X221" i="57"/>
  <c r="W221" i="57"/>
  <c r="AG218" i="57"/>
  <c r="AF218" i="57"/>
  <c r="AE218" i="57"/>
  <c r="AD218" i="57"/>
  <c r="AC218" i="57"/>
  <c r="AB218" i="57"/>
  <c r="AA218" i="57"/>
  <c r="Z218" i="57"/>
  <c r="Y218" i="57"/>
  <c r="X218" i="57"/>
  <c r="W218" i="57"/>
  <c r="AG215" i="57"/>
  <c r="AF215" i="57"/>
  <c r="AE215" i="57"/>
  <c r="AD215" i="57"/>
  <c r="AC215" i="57"/>
  <c r="AB215" i="57"/>
  <c r="AA215" i="57"/>
  <c r="Z215" i="57"/>
  <c r="Y215" i="57"/>
  <c r="X215" i="57"/>
  <c r="W215" i="57"/>
  <c r="AG212" i="57"/>
  <c r="AF212" i="57"/>
  <c r="AE212" i="57"/>
  <c r="AD212" i="57"/>
  <c r="AC212" i="57"/>
  <c r="AB212" i="57"/>
  <c r="AA212" i="57"/>
  <c r="Z212" i="57"/>
  <c r="Y212" i="57"/>
  <c r="X212" i="57"/>
  <c r="W212" i="57"/>
  <c r="AG209" i="57"/>
  <c r="AF209" i="57"/>
  <c r="AE209" i="57"/>
  <c r="AD209" i="57"/>
  <c r="AC209" i="57"/>
  <c r="AB209" i="57"/>
  <c r="AA209" i="57"/>
  <c r="Z209" i="57"/>
  <c r="Y209" i="57"/>
  <c r="X209" i="57"/>
  <c r="W209" i="57"/>
  <c r="AG206" i="57"/>
  <c r="AF206" i="57"/>
  <c r="AE206" i="57"/>
  <c r="AD206" i="57"/>
  <c r="AC206" i="57"/>
  <c r="AB206" i="57"/>
  <c r="AA206" i="57"/>
  <c r="Z206" i="57"/>
  <c r="Y206" i="57"/>
  <c r="X206" i="57"/>
  <c r="W206" i="57"/>
  <c r="AG203" i="57"/>
  <c r="AF203" i="57"/>
  <c r="AE203" i="57"/>
  <c r="AD203" i="57"/>
  <c r="AC203" i="57"/>
  <c r="AB203" i="57"/>
  <c r="AA203" i="57"/>
  <c r="Z203" i="57"/>
  <c r="Y203" i="57"/>
  <c r="X203" i="57"/>
  <c r="W203" i="57"/>
  <c r="AG200" i="57"/>
  <c r="AF200" i="57"/>
  <c r="AE200" i="57"/>
  <c r="AD200" i="57"/>
  <c r="AC200" i="57"/>
  <c r="AB200" i="57"/>
  <c r="AA200" i="57"/>
  <c r="Z200" i="57"/>
  <c r="Y200" i="57"/>
  <c r="X200" i="57"/>
  <c r="W200" i="57"/>
  <c r="AG197" i="57"/>
  <c r="AF197" i="57"/>
  <c r="AE197" i="57"/>
  <c r="AD197" i="57"/>
  <c r="AC197" i="57"/>
  <c r="AB197" i="57"/>
  <c r="AA197" i="57"/>
  <c r="Z197" i="57"/>
  <c r="Y197" i="57"/>
  <c r="X197" i="57"/>
  <c r="W197" i="57"/>
  <c r="AG194" i="57"/>
  <c r="AF194" i="57"/>
  <c r="AE194" i="57"/>
  <c r="AD194" i="57"/>
  <c r="AC194" i="57"/>
  <c r="AB194" i="57"/>
  <c r="AA194" i="57"/>
  <c r="Z194" i="57"/>
  <c r="Y194" i="57"/>
  <c r="X194" i="57"/>
  <c r="W194" i="57"/>
  <c r="AG191" i="57"/>
  <c r="AF191" i="57"/>
  <c r="AE191" i="57"/>
  <c r="AD191" i="57"/>
  <c r="AC191" i="57"/>
  <c r="AB191" i="57"/>
  <c r="AA191" i="57"/>
  <c r="Z191" i="57"/>
  <c r="Y191" i="57"/>
  <c r="X191" i="57"/>
  <c r="W191" i="57"/>
  <c r="AG188" i="57"/>
  <c r="AF188" i="57"/>
  <c r="AE188" i="57"/>
  <c r="AD188" i="57"/>
  <c r="AC188" i="57"/>
  <c r="AB188" i="57"/>
  <c r="AA188" i="57"/>
  <c r="Z188" i="57"/>
  <c r="Y188" i="57"/>
  <c r="X188" i="57"/>
  <c r="W188" i="57"/>
  <c r="AG185" i="57"/>
  <c r="AF185" i="57"/>
  <c r="AE185" i="57"/>
  <c r="AD185" i="57"/>
  <c r="AC185" i="57"/>
  <c r="AB185" i="57"/>
  <c r="AA185" i="57"/>
  <c r="Z185" i="57"/>
  <c r="Y185" i="57"/>
  <c r="X185" i="57"/>
  <c r="W185" i="57"/>
  <c r="AG182" i="57"/>
  <c r="AF182" i="57"/>
  <c r="AE182" i="57"/>
  <c r="AD182" i="57"/>
  <c r="AC182" i="57"/>
  <c r="AB182" i="57"/>
  <c r="AA182" i="57"/>
  <c r="Z182" i="57"/>
  <c r="Y182" i="57"/>
  <c r="X182" i="57"/>
  <c r="W182" i="57"/>
  <c r="AG179" i="57"/>
  <c r="AF179" i="57"/>
  <c r="AE179" i="57"/>
  <c r="AD179" i="57"/>
  <c r="AC179" i="57"/>
  <c r="AB179" i="57"/>
  <c r="AA179" i="57"/>
  <c r="Z179" i="57"/>
  <c r="Y179" i="57"/>
  <c r="X179" i="57"/>
  <c r="W179" i="57"/>
  <c r="AG176" i="57"/>
  <c r="AF176" i="57"/>
  <c r="AE176" i="57"/>
  <c r="AD176" i="57"/>
  <c r="AC176" i="57"/>
  <c r="AB176" i="57"/>
  <c r="AA176" i="57"/>
  <c r="Z176" i="57"/>
  <c r="Y176" i="57"/>
  <c r="X176" i="57"/>
  <c r="W176" i="57"/>
  <c r="AG173" i="57"/>
  <c r="AF173" i="57"/>
  <c r="AE173" i="57"/>
  <c r="AD173" i="57"/>
  <c r="AC173" i="57"/>
  <c r="AB173" i="57"/>
  <c r="AA173" i="57"/>
  <c r="Z173" i="57"/>
  <c r="Y173" i="57"/>
  <c r="X173" i="57"/>
  <c r="W173" i="57"/>
  <c r="AG170" i="57"/>
  <c r="AF170" i="57"/>
  <c r="AE170" i="57"/>
  <c r="AD170" i="57"/>
  <c r="AC170" i="57"/>
  <c r="AB170" i="57"/>
  <c r="AA170" i="57"/>
  <c r="Z170" i="57"/>
  <c r="Y170" i="57"/>
  <c r="X170" i="57"/>
  <c r="W170" i="57"/>
  <c r="AG167" i="57"/>
  <c r="AF167" i="57"/>
  <c r="AE167" i="57"/>
  <c r="AD167" i="57"/>
  <c r="AC167" i="57"/>
  <c r="AB167" i="57"/>
  <c r="AA167" i="57"/>
  <c r="Z167" i="57"/>
  <c r="Y167" i="57"/>
  <c r="X167" i="57"/>
  <c r="W167" i="57"/>
  <c r="AG164" i="57"/>
  <c r="AF164" i="57"/>
  <c r="AE164" i="57"/>
  <c r="AD164" i="57"/>
  <c r="AC164" i="57"/>
  <c r="AB164" i="57"/>
  <c r="AA164" i="57"/>
  <c r="Z164" i="57"/>
  <c r="Y164" i="57"/>
  <c r="X164" i="57"/>
  <c r="W164" i="57"/>
  <c r="AG161" i="57"/>
  <c r="AF161" i="57"/>
  <c r="AE161" i="57"/>
  <c r="AD161" i="57"/>
  <c r="AC161" i="57"/>
  <c r="AB161" i="57"/>
  <c r="AA161" i="57"/>
  <c r="Z161" i="57"/>
  <c r="Y161" i="57"/>
  <c r="X161" i="57"/>
  <c r="W161" i="57"/>
  <c r="AG158" i="57"/>
  <c r="AF158" i="57"/>
  <c r="AE158" i="57"/>
  <c r="AD158" i="57"/>
  <c r="AC158" i="57"/>
  <c r="AB158" i="57"/>
  <c r="AA158" i="57"/>
  <c r="Z158" i="57"/>
  <c r="Y158" i="57"/>
  <c r="X158" i="57"/>
  <c r="W158" i="57"/>
  <c r="AG155" i="57"/>
  <c r="AF155" i="57"/>
  <c r="AE155" i="57"/>
  <c r="AD155" i="57"/>
  <c r="AC155" i="57"/>
  <c r="AB155" i="57"/>
  <c r="AA155" i="57"/>
  <c r="Z155" i="57"/>
  <c r="Y155" i="57"/>
  <c r="X155" i="57"/>
  <c r="W155" i="57"/>
  <c r="AG152" i="57"/>
  <c r="AF152" i="57"/>
  <c r="AE152" i="57"/>
  <c r="AD152" i="57"/>
  <c r="AC152" i="57"/>
  <c r="AB152" i="57"/>
  <c r="AA152" i="57"/>
  <c r="Z152" i="57"/>
  <c r="Y152" i="57"/>
  <c r="X152" i="57"/>
  <c r="W152" i="57"/>
  <c r="AG149" i="57"/>
  <c r="AF149" i="57"/>
  <c r="AE149" i="57"/>
  <c r="AD149" i="57"/>
  <c r="AC149" i="57"/>
  <c r="AB149" i="57"/>
  <c r="AA149" i="57"/>
  <c r="Z149" i="57"/>
  <c r="Y149" i="57"/>
  <c r="X149" i="57"/>
  <c r="W149" i="57"/>
  <c r="AG146" i="57"/>
  <c r="AF146" i="57"/>
  <c r="AE146" i="57"/>
  <c r="AD146" i="57"/>
  <c r="AC146" i="57"/>
  <c r="AB146" i="57"/>
  <c r="AA146" i="57"/>
  <c r="Z146" i="57"/>
  <c r="Y146" i="57"/>
  <c r="X146" i="57"/>
  <c r="W146" i="57"/>
  <c r="AG143" i="57"/>
  <c r="AF143" i="57"/>
  <c r="AE143" i="57"/>
  <c r="AD143" i="57"/>
  <c r="AC143" i="57"/>
  <c r="AB143" i="57"/>
  <c r="AA143" i="57"/>
  <c r="Z143" i="57"/>
  <c r="Y143" i="57"/>
  <c r="X143" i="57"/>
  <c r="W143" i="57"/>
  <c r="AG140" i="57"/>
  <c r="AF140" i="57"/>
  <c r="AE140" i="57"/>
  <c r="AD140" i="57"/>
  <c r="AC140" i="57"/>
  <c r="AB140" i="57"/>
  <c r="AA140" i="57"/>
  <c r="Z140" i="57"/>
  <c r="Y140" i="57"/>
  <c r="X140" i="57"/>
  <c r="W140" i="57"/>
  <c r="AG137" i="57"/>
  <c r="AF137" i="57"/>
  <c r="AE137" i="57"/>
  <c r="AD137" i="57"/>
  <c r="AC137" i="57"/>
  <c r="AB137" i="57"/>
  <c r="AA137" i="57"/>
  <c r="Z137" i="57"/>
  <c r="Y137" i="57"/>
  <c r="X137" i="57"/>
  <c r="W137" i="57"/>
  <c r="AG134" i="57"/>
  <c r="AF134" i="57"/>
  <c r="AE134" i="57"/>
  <c r="AD134" i="57"/>
  <c r="AC134" i="57"/>
  <c r="AB134" i="57"/>
  <c r="AA134" i="57"/>
  <c r="Z134" i="57"/>
  <c r="Y134" i="57"/>
  <c r="X134" i="57"/>
  <c r="W134" i="57"/>
  <c r="AG131" i="57"/>
  <c r="AF131" i="57"/>
  <c r="AE131" i="57"/>
  <c r="AD131" i="57"/>
  <c r="AC131" i="57"/>
  <c r="AB131" i="57"/>
  <c r="AA131" i="57"/>
  <c r="Z131" i="57"/>
  <c r="Y131" i="57"/>
  <c r="X131" i="57"/>
  <c r="W131" i="57"/>
  <c r="AG128" i="57"/>
  <c r="AF128" i="57"/>
  <c r="AE128" i="57"/>
  <c r="AD128" i="57"/>
  <c r="AC128" i="57"/>
  <c r="AB128" i="57"/>
  <c r="AA128" i="57"/>
  <c r="Z128" i="57"/>
  <c r="Y128" i="57"/>
  <c r="X128" i="57"/>
  <c r="W128" i="57"/>
  <c r="AG125" i="57"/>
  <c r="AF125" i="57"/>
  <c r="AE125" i="57"/>
  <c r="AD125" i="57"/>
  <c r="AC125" i="57"/>
  <c r="AB125" i="57"/>
  <c r="AA125" i="57"/>
  <c r="Z125" i="57"/>
  <c r="Y125" i="57"/>
  <c r="X125" i="57"/>
  <c r="W125" i="57"/>
  <c r="AG122" i="57"/>
  <c r="AF122" i="57"/>
  <c r="AE122" i="57"/>
  <c r="AD122" i="57"/>
  <c r="AC122" i="57"/>
  <c r="AB122" i="57"/>
  <c r="AA122" i="57"/>
  <c r="Z122" i="57"/>
  <c r="Y122" i="57"/>
  <c r="X122" i="57"/>
  <c r="W122" i="57"/>
  <c r="AG119" i="57"/>
  <c r="AF119" i="57"/>
  <c r="AE119" i="57"/>
  <c r="AD119" i="57"/>
  <c r="AC119" i="57"/>
  <c r="AB119" i="57"/>
  <c r="AA119" i="57"/>
  <c r="Z119" i="57"/>
  <c r="Y119" i="57"/>
  <c r="X119" i="57"/>
  <c r="W119" i="57"/>
  <c r="AG116" i="57"/>
  <c r="AF116" i="57"/>
  <c r="AE116" i="57"/>
  <c r="AD116" i="57"/>
  <c r="AC116" i="57"/>
  <c r="AB116" i="57"/>
  <c r="AA116" i="57"/>
  <c r="Z116" i="57"/>
  <c r="Y116" i="57"/>
  <c r="X116" i="57"/>
  <c r="W116" i="57"/>
  <c r="AG113" i="57"/>
  <c r="AF113" i="57"/>
  <c r="AE113" i="57"/>
  <c r="AD113" i="57"/>
  <c r="AC113" i="57"/>
  <c r="AB113" i="57"/>
  <c r="AA113" i="57"/>
  <c r="Z113" i="57"/>
  <c r="Y113" i="57"/>
  <c r="X113" i="57"/>
  <c r="W113" i="57"/>
  <c r="AG110" i="57"/>
  <c r="AF110" i="57"/>
  <c r="AE110" i="57"/>
  <c r="AD110" i="57"/>
  <c r="AC110" i="57"/>
  <c r="AB110" i="57"/>
  <c r="AA110" i="57"/>
  <c r="Z110" i="57"/>
  <c r="Y110" i="57"/>
  <c r="X110" i="57"/>
  <c r="W110" i="57"/>
  <c r="AG107" i="57"/>
  <c r="AF107" i="57"/>
  <c r="AE107" i="57"/>
  <c r="AD107" i="57"/>
  <c r="AC107" i="57"/>
  <c r="AB107" i="57"/>
  <c r="AA107" i="57"/>
  <c r="Z107" i="57"/>
  <c r="Y107" i="57"/>
  <c r="X107" i="57"/>
  <c r="W107" i="57"/>
  <c r="AG104" i="57"/>
  <c r="AF104" i="57"/>
  <c r="AE104" i="57"/>
  <c r="AD104" i="57"/>
  <c r="AC104" i="57"/>
  <c r="AB104" i="57"/>
  <c r="AA104" i="57"/>
  <c r="Z104" i="57"/>
  <c r="Y104" i="57"/>
  <c r="X104" i="57"/>
  <c r="W104" i="57"/>
  <c r="AG101" i="57"/>
  <c r="AF101" i="57"/>
  <c r="AE101" i="57"/>
  <c r="AD101" i="57"/>
  <c r="AC101" i="57"/>
  <c r="AB101" i="57"/>
  <c r="AA101" i="57"/>
  <c r="Z101" i="57"/>
  <c r="Y101" i="57"/>
  <c r="X101" i="57"/>
  <c r="W101" i="57"/>
  <c r="AG98" i="57"/>
  <c r="AF98" i="57"/>
  <c r="AE98" i="57"/>
  <c r="AD98" i="57"/>
  <c r="AC98" i="57"/>
  <c r="AB98" i="57"/>
  <c r="AA98" i="57"/>
  <c r="Z98" i="57"/>
  <c r="Y98" i="57"/>
  <c r="X98" i="57"/>
  <c r="W98" i="57"/>
  <c r="AG95" i="57"/>
  <c r="AF95" i="57"/>
  <c r="AE95" i="57"/>
  <c r="AD95" i="57"/>
  <c r="AC95" i="57"/>
  <c r="AB95" i="57"/>
  <c r="AA95" i="57"/>
  <c r="Z95" i="57"/>
  <c r="Y95" i="57"/>
  <c r="X95" i="57"/>
  <c r="W95" i="57"/>
  <c r="AG92" i="57"/>
  <c r="AF92" i="57"/>
  <c r="AE92" i="57"/>
  <c r="AD92" i="57"/>
  <c r="AC92" i="57"/>
  <c r="AB92" i="57"/>
  <c r="AA92" i="57"/>
  <c r="Z92" i="57"/>
  <c r="Y92" i="57"/>
  <c r="X92" i="57"/>
  <c r="W92" i="57"/>
  <c r="AG89" i="57"/>
  <c r="AF89" i="57"/>
  <c r="AF13" i="57" s="1"/>
  <c r="AF455" i="57" s="1"/>
  <c r="AE89" i="57"/>
  <c r="AD89" i="57"/>
  <c r="AC89" i="57"/>
  <c r="AB89" i="57"/>
  <c r="AA89" i="57"/>
  <c r="Z89" i="57"/>
  <c r="Y89" i="57"/>
  <c r="X89" i="57"/>
  <c r="W89" i="57"/>
  <c r="AG86" i="57"/>
  <c r="AF86" i="57"/>
  <c r="AE86" i="57"/>
  <c r="AD86" i="57"/>
  <c r="AC86" i="57"/>
  <c r="AB86" i="57"/>
  <c r="AA86" i="57"/>
  <c r="Z86" i="57"/>
  <c r="Y86" i="57"/>
  <c r="X86" i="57"/>
  <c r="W86" i="57"/>
  <c r="AG83" i="57"/>
  <c r="AF83" i="57"/>
  <c r="AE83" i="57"/>
  <c r="AD83" i="57"/>
  <c r="AD13" i="57" s="1"/>
  <c r="AD455" i="57" s="1"/>
  <c r="AC83" i="57"/>
  <c r="AB83" i="57"/>
  <c r="AA83" i="57"/>
  <c r="Z83" i="57"/>
  <c r="Y83" i="57"/>
  <c r="X83" i="57"/>
  <c r="W83" i="57"/>
  <c r="AG80" i="57"/>
  <c r="AG13" i="57" s="1"/>
  <c r="AG455" i="57" s="1"/>
  <c r="AF80" i="57"/>
  <c r="AE80" i="57"/>
  <c r="AD80" i="57"/>
  <c r="AC80" i="57"/>
  <c r="AB80" i="57"/>
  <c r="AA80" i="57"/>
  <c r="Z80" i="57"/>
  <c r="Y80" i="57"/>
  <c r="X80" i="57"/>
  <c r="W80" i="57"/>
  <c r="AG77" i="57"/>
  <c r="AF77" i="57"/>
  <c r="AE77" i="57"/>
  <c r="AD77" i="57"/>
  <c r="AC77" i="57"/>
  <c r="AB77" i="57"/>
  <c r="AA77" i="57"/>
  <c r="Z77" i="57"/>
  <c r="Y77" i="57"/>
  <c r="X77" i="57"/>
  <c r="W77" i="57"/>
  <c r="AG74" i="57"/>
  <c r="AF74" i="57"/>
  <c r="AE74" i="57"/>
  <c r="AE13" i="57" s="1"/>
  <c r="AE455" i="57" s="1"/>
  <c r="AD74" i="57"/>
  <c r="AC74" i="57"/>
  <c r="AB74" i="57"/>
  <c r="AA74" i="57"/>
  <c r="Z74" i="57"/>
  <c r="Y74" i="57"/>
  <c r="X74" i="57"/>
  <c r="W74" i="57"/>
  <c r="W13" i="57" s="1"/>
  <c r="AG71" i="57"/>
  <c r="AF71" i="57"/>
  <c r="AE71" i="57"/>
  <c r="AD71" i="57"/>
  <c r="AC71" i="57"/>
  <c r="AB71" i="57"/>
  <c r="AA71" i="57"/>
  <c r="Z71" i="57"/>
  <c r="Y71" i="57"/>
  <c r="X71" i="57"/>
  <c r="W71" i="57"/>
  <c r="AG7" i="57"/>
  <c r="AG68" i="57" s="1"/>
  <c r="BB68" i="57" s="1"/>
  <c r="AF7" i="57"/>
  <c r="AF68" i="57" s="1"/>
  <c r="BA68" i="57" s="1"/>
  <c r="AE7" i="57"/>
  <c r="AE68" i="57" s="1"/>
  <c r="AZ68" i="57" s="1"/>
  <c r="AD7" i="57"/>
  <c r="AD68" i="57" s="1"/>
  <c r="AY68" i="57" s="1"/>
  <c r="AC7" i="57"/>
  <c r="AC68" i="57"/>
  <c r="AX68" i="57" s="1"/>
  <c r="X386" i="36"/>
  <c r="Y386" i="36"/>
  <c r="Z386" i="36"/>
  <c r="AA386" i="36"/>
  <c r="AB386" i="36"/>
  <c r="AC386" i="36"/>
  <c r="AD386" i="36"/>
  <c r="AE386" i="36"/>
  <c r="AF386" i="36"/>
  <c r="AG386" i="36"/>
  <c r="W386" i="36"/>
  <c r="AG68" i="36"/>
  <c r="BB68" i="36" s="1"/>
  <c r="AF7" i="36"/>
  <c r="AF68" i="36" s="1"/>
  <c r="BA68" i="36" s="1"/>
  <c r="AE7" i="36"/>
  <c r="AE68" i="36" s="1"/>
  <c r="AZ68" i="36" s="1"/>
  <c r="AD7" i="36"/>
  <c r="AD68" i="36" s="1"/>
  <c r="AY68" i="36" s="1"/>
  <c r="AC7" i="36"/>
  <c r="AC68" i="36" s="1"/>
  <c r="AX68" i="36" s="1"/>
  <c r="AG7" i="41"/>
  <c r="AF7" i="41"/>
  <c r="AE7" i="41"/>
  <c r="AD7" i="41"/>
  <c r="AC7" i="41"/>
  <c r="AG6" i="89"/>
  <c r="AF6" i="89"/>
  <c r="AE6" i="89"/>
  <c r="AD6" i="89"/>
  <c r="AC6" i="89"/>
  <c r="AB6" i="89"/>
  <c r="AA6" i="89"/>
  <c r="Z6" i="89"/>
  <c r="Y6" i="89"/>
  <c r="X6" i="89"/>
  <c r="W6" i="89"/>
  <c r="V6" i="89"/>
  <c r="U6" i="89"/>
  <c r="T6" i="89"/>
  <c r="S6" i="89"/>
  <c r="R6" i="89"/>
  <c r="Q6" i="89"/>
  <c r="P6" i="89"/>
  <c r="O6" i="89"/>
  <c r="N6" i="89"/>
  <c r="M6" i="89"/>
  <c r="L6" i="89"/>
  <c r="K6" i="89"/>
  <c r="X132" i="12"/>
  <c r="X61" i="12" s="1"/>
  <c r="D81" i="98" s="1"/>
  <c r="Y132" i="12"/>
  <c r="Y61" i="12" s="1"/>
  <c r="Z132" i="12"/>
  <c r="Z61" i="12" s="1"/>
  <c r="AA132" i="12"/>
  <c r="AA61" i="12" s="1"/>
  <c r="AB132" i="12"/>
  <c r="AB61" i="12" s="1"/>
  <c r="AC132" i="12"/>
  <c r="AC61" i="12" s="1"/>
  <c r="AD132" i="12"/>
  <c r="AD61" i="12" s="1"/>
  <c r="AE132" i="12"/>
  <c r="AE61" i="12" s="1"/>
  <c r="AF132" i="12"/>
  <c r="AF61" i="12" s="1"/>
  <c r="L81" i="98" s="1"/>
  <c r="AG132" i="12"/>
  <c r="AG61" i="12" s="1"/>
  <c r="X133" i="12"/>
  <c r="X72" i="12" s="1"/>
  <c r="X79" i="12" s="1"/>
  <c r="X14" i="12" s="1"/>
  <c r="Y133" i="12"/>
  <c r="Y72" i="12" s="1"/>
  <c r="Y79" i="12" s="1"/>
  <c r="Y14" i="12" s="1"/>
  <c r="Z133" i="12"/>
  <c r="Z72" i="12" s="1"/>
  <c r="Z79" i="12" s="1"/>
  <c r="Z14" i="12" s="1"/>
  <c r="AA133" i="12"/>
  <c r="AA72" i="12" s="1"/>
  <c r="AA79" i="12" s="1"/>
  <c r="AA14" i="12" s="1"/>
  <c r="AB133" i="12"/>
  <c r="AB72" i="12" s="1"/>
  <c r="AB79" i="12" s="1"/>
  <c r="AB14" i="12" s="1"/>
  <c r="AC133" i="12"/>
  <c r="AC72" i="12" s="1"/>
  <c r="AC79" i="12" s="1"/>
  <c r="AC14" i="12" s="1"/>
  <c r="AD133" i="12"/>
  <c r="AD72" i="12" s="1"/>
  <c r="AD79" i="12" s="1"/>
  <c r="AD14" i="12" s="1"/>
  <c r="AE133" i="12"/>
  <c r="AE72" i="12" s="1"/>
  <c r="AE79" i="12" s="1"/>
  <c r="AE14" i="12" s="1"/>
  <c r="AF133" i="12"/>
  <c r="AF72" i="12" s="1"/>
  <c r="AF79" i="12" s="1"/>
  <c r="AF14" i="12" s="1"/>
  <c r="AG133" i="12"/>
  <c r="AG72" i="12" s="1"/>
  <c r="AG79" i="12" s="1"/>
  <c r="AG14" i="12" s="1"/>
  <c r="X134" i="12"/>
  <c r="X83" i="12" s="1"/>
  <c r="X90" i="12" s="1"/>
  <c r="X15" i="12" s="1"/>
  <c r="Y134" i="12"/>
  <c r="Y83" i="12" s="1"/>
  <c r="Y90" i="12" s="1"/>
  <c r="Y15" i="12" s="1"/>
  <c r="Z134" i="12"/>
  <c r="Z83" i="12" s="1"/>
  <c r="Z90" i="12" s="1"/>
  <c r="Z15" i="12" s="1"/>
  <c r="AA134" i="12"/>
  <c r="AA83" i="12" s="1"/>
  <c r="AA90" i="12" s="1"/>
  <c r="AA15" i="12" s="1"/>
  <c r="AB134" i="12"/>
  <c r="AB83" i="12" s="1"/>
  <c r="AB90" i="12" s="1"/>
  <c r="AB15" i="12" s="1"/>
  <c r="AC134" i="12"/>
  <c r="AC83" i="12" s="1"/>
  <c r="AC90" i="12" s="1"/>
  <c r="AC15" i="12" s="1"/>
  <c r="AD134" i="12"/>
  <c r="AD83" i="12" s="1"/>
  <c r="AD90" i="12" s="1"/>
  <c r="AD15" i="12" s="1"/>
  <c r="AE134" i="12"/>
  <c r="AE83" i="12" s="1"/>
  <c r="AE90" i="12" s="1"/>
  <c r="AE15" i="12" s="1"/>
  <c r="AF134" i="12"/>
  <c r="AF83" i="12" s="1"/>
  <c r="AF90" i="12" s="1"/>
  <c r="AF15" i="12" s="1"/>
  <c r="AG134" i="12"/>
  <c r="AG83" i="12" s="1"/>
  <c r="AG90" i="12" s="1"/>
  <c r="AG15" i="12" s="1"/>
  <c r="I48" i="56"/>
  <c r="I49" i="56"/>
  <c r="I50" i="56"/>
  <c r="I51" i="56"/>
  <c r="D47" i="56"/>
  <c r="D48" i="56"/>
  <c r="D49" i="56"/>
  <c r="D50" i="56"/>
  <c r="D51" i="56"/>
  <c r="D46" i="56"/>
  <c r="D45" i="56"/>
  <c r="I45" i="56"/>
  <c r="X20" i="56"/>
  <c r="X169" i="44" s="1"/>
  <c r="AF7" i="56"/>
  <c r="AE7" i="56"/>
  <c r="AD7" i="56"/>
  <c r="AC7" i="56"/>
  <c r="AC38" i="34"/>
  <c r="AD38" i="34"/>
  <c r="AE38" i="34"/>
  <c r="AF38" i="34"/>
  <c r="AG38" i="34"/>
  <c r="AC14" i="34"/>
  <c r="AD14" i="34"/>
  <c r="AE14" i="34"/>
  <c r="AF14" i="34"/>
  <c r="AG14" i="34"/>
  <c r="AC16" i="34"/>
  <c r="AD16" i="34"/>
  <c r="AE16" i="34"/>
  <c r="AF16" i="34"/>
  <c r="AG16" i="34"/>
  <c r="AC17" i="34"/>
  <c r="AD17" i="34"/>
  <c r="AE17" i="34"/>
  <c r="AF17" i="34"/>
  <c r="AG17" i="34"/>
  <c r="AC18" i="34"/>
  <c r="AD18" i="34"/>
  <c r="AE18" i="34"/>
  <c r="AF18" i="34"/>
  <c r="AG18" i="34"/>
  <c r="AC21" i="34"/>
  <c r="AD21" i="34"/>
  <c r="AE21" i="34"/>
  <c r="AF21" i="34"/>
  <c r="AG21" i="34"/>
  <c r="AC22" i="34"/>
  <c r="AD22" i="34"/>
  <c r="AE22" i="34"/>
  <c r="AF22" i="34"/>
  <c r="AG22" i="34"/>
  <c r="AG7" i="34"/>
  <c r="AF7" i="34"/>
  <c r="AE7" i="34"/>
  <c r="AD7" i="34"/>
  <c r="AC7" i="34"/>
  <c r="AG7" i="45"/>
  <c r="AF7" i="45"/>
  <c r="AE7" i="45"/>
  <c r="AD7" i="45"/>
  <c r="AC7" i="45"/>
  <c r="AJ464" i="57"/>
  <c r="AL462" i="57"/>
  <c r="AH462" i="57"/>
  <c r="AI461" i="57"/>
  <c r="AI464" i="57"/>
  <c r="AK462" i="57"/>
  <c r="AL461" i="57"/>
  <c r="AL465" i="57" s="1"/>
  <c r="AL467" i="57" s="1"/>
  <c r="AK40" i="57"/>
  <c r="AL39" i="57"/>
  <c r="AH39" i="57"/>
  <c r="AL464" i="57"/>
  <c r="AI463" i="57"/>
  <c r="AJ462" i="57"/>
  <c r="AJ40" i="57"/>
  <c r="AK39" i="57"/>
  <c r="AK41" i="57" s="1"/>
  <c r="AL40" i="57"/>
  <c r="AI39" i="57"/>
  <c r="AL463" i="57"/>
  <c r="AH463" i="57"/>
  <c r="AJ461" i="57"/>
  <c r="AI40" i="57"/>
  <c r="AJ39" i="57"/>
  <c r="AJ41" i="57" s="1"/>
  <c r="AH40" i="57"/>
  <c r="AH41" i="57" s="1"/>
  <c r="AH42" i="57" s="1"/>
  <c r="AK461" i="36"/>
  <c r="Q30" i="98" s="1"/>
  <c r="AL462" i="36"/>
  <c r="R31" i="98" s="1"/>
  <c r="X481" i="57"/>
  <c r="AC462" i="57"/>
  <c r="AD464" i="57"/>
  <c r="AD462" i="57"/>
  <c r="AF464" i="57"/>
  <c r="Y464" i="57"/>
  <c r="AB462" i="57"/>
  <c r="AC464" i="57"/>
  <c r="AE464" i="57"/>
  <c r="W462" i="57"/>
  <c r="AF462" i="57"/>
  <c r="Y462" i="57"/>
  <c r="AG462" i="57"/>
  <c r="Z464" i="57"/>
  <c r="X464" i="57"/>
  <c r="AG464" i="57"/>
  <c r="Z462" i="57"/>
  <c r="AA464" i="57"/>
  <c r="W464" i="57"/>
  <c r="AE462" i="57"/>
  <c r="X462" i="57"/>
  <c r="AA462" i="57"/>
  <c r="AB464" i="57"/>
  <c r="AA461" i="57"/>
  <c r="AB463" i="57"/>
  <c r="AE463" i="57"/>
  <c r="Z461" i="57"/>
  <c r="AA463" i="57"/>
  <c r="AB461" i="57"/>
  <c r="AC463" i="57"/>
  <c r="AD461" i="57"/>
  <c r="W463" i="57"/>
  <c r="AG463" i="57"/>
  <c r="AG461" i="57"/>
  <c r="AG465" i="57" s="1"/>
  <c r="AC461" i="57"/>
  <c r="AD463" i="57"/>
  <c r="W461" i="57"/>
  <c r="AE461" i="57"/>
  <c r="X463" i="57"/>
  <c r="AF463" i="57"/>
  <c r="X461" i="57"/>
  <c r="AF461" i="57"/>
  <c r="Y463" i="57"/>
  <c r="Y461" i="57"/>
  <c r="Z463" i="57"/>
  <c r="Z465" i="57" s="1"/>
  <c r="AE449" i="57"/>
  <c r="Z453" i="57"/>
  <c r="AB450" i="57"/>
  <c r="AB448" i="57"/>
  <c r="AF452" i="36"/>
  <c r="AF39" i="57"/>
  <c r="AF40" i="57"/>
  <c r="AE39" i="57"/>
  <c r="AC39" i="57"/>
  <c r="AG40" i="57"/>
  <c r="AD39" i="57"/>
  <c r="AD41" i="57" s="1"/>
  <c r="AE40" i="57"/>
  <c r="AC40" i="57"/>
  <c r="AG39" i="57"/>
  <c r="AG41" i="57" s="1"/>
  <c r="AD40" i="57"/>
  <c r="AG7" i="62"/>
  <c r="AF7" i="62"/>
  <c r="AE7" i="62"/>
  <c r="AD7" i="62"/>
  <c r="AC7" i="62"/>
  <c r="AG7" i="30"/>
  <c r="AF7" i="30"/>
  <c r="AE7" i="30"/>
  <c r="AD7" i="30"/>
  <c r="AC7" i="30"/>
  <c r="C15" i="5"/>
  <c r="BE142" i="90"/>
  <c r="CA142" i="90" s="1"/>
  <c r="BD142" i="90"/>
  <c r="BZ142" i="90" s="1"/>
  <c r="BC142" i="90"/>
  <c r="BY142" i="90" s="1"/>
  <c r="BB142" i="90"/>
  <c r="BX142" i="90" s="1"/>
  <c r="BA142" i="90"/>
  <c r="BW142" i="90" s="1"/>
  <c r="AZ142" i="90"/>
  <c r="BV142" i="90" s="1"/>
  <c r="AY142" i="90"/>
  <c r="BU142" i="90"/>
  <c r="AX142" i="90"/>
  <c r="BT142" i="90" s="1"/>
  <c r="BZ141" i="90"/>
  <c r="BY141" i="90"/>
  <c r="BX141" i="90"/>
  <c r="BW141" i="90"/>
  <c r="BV141" i="90"/>
  <c r="BU141" i="90"/>
  <c r="BT141" i="90"/>
  <c r="CA138" i="90"/>
  <c r="BX138" i="90"/>
  <c r="BW138" i="90"/>
  <c r="BU138" i="90"/>
  <c r="BT138" i="90"/>
  <c r="CA137" i="90"/>
  <c r="BZ137" i="90"/>
  <c r="BW137" i="90"/>
  <c r="BV137" i="90"/>
  <c r="BU137" i="90"/>
  <c r="BT137" i="90"/>
  <c r="CA136" i="90"/>
  <c r="BZ136" i="90"/>
  <c r="BY136" i="90"/>
  <c r="BV136" i="90"/>
  <c r="BU136" i="90"/>
  <c r="BT136" i="90"/>
  <c r="CA135" i="90"/>
  <c r="BZ135" i="90"/>
  <c r="BY135" i="90"/>
  <c r="BX135" i="90"/>
  <c r="BU135" i="90"/>
  <c r="BT135" i="90"/>
  <c r="CA134" i="90"/>
  <c r="BZ134" i="90"/>
  <c r="BY134" i="90"/>
  <c r="BX134" i="90"/>
  <c r="BW134" i="90"/>
  <c r="BT134" i="90"/>
  <c r="CA133" i="90"/>
  <c r="BZ133" i="90"/>
  <c r="BY133" i="90"/>
  <c r="BX133" i="90"/>
  <c r="BW133" i="90"/>
  <c r="BV133" i="90"/>
  <c r="BZ132" i="90"/>
  <c r="BY132" i="90"/>
  <c r="BX132" i="90"/>
  <c r="BW132" i="90"/>
  <c r="BV132" i="90"/>
  <c r="BU132" i="90"/>
  <c r="BT132" i="90"/>
  <c r="BY131" i="90"/>
  <c r="BX131" i="90"/>
  <c r="BW131" i="90"/>
  <c r="BU131" i="90"/>
  <c r="BT131" i="90"/>
  <c r="CA130" i="90"/>
  <c r="BZ130" i="90"/>
  <c r="BX130" i="90"/>
  <c r="BW130" i="90"/>
  <c r="BV130" i="90"/>
  <c r="BU130" i="90"/>
  <c r="BT130" i="90"/>
  <c r="CA128" i="90"/>
  <c r="BZ128" i="90"/>
  <c r="BY128" i="90"/>
  <c r="BV128" i="90"/>
  <c r="BU128" i="90"/>
  <c r="BT128" i="90"/>
  <c r="CA127" i="90"/>
  <c r="BZ127" i="90"/>
  <c r="BY127" i="90"/>
  <c r="BX127" i="90"/>
  <c r="BU127" i="90"/>
  <c r="BT127" i="90"/>
  <c r="BD119" i="90"/>
  <c r="BZ119" i="90"/>
  <c r="BC119" i="90"/>
  <c r="BY119" i="90"/>
  <c r="BB119" i="90"/>
  <c r="BX119" i="90" s="1"/>
  <c r="BA119" i="90"/>
  <c r="BW119" i="90"/>
  <c r="AZ119" i="90"/>
  <c r="BV119" i="90" s="1"/>
  <c r="AY119" i="90"/>
  <c r="BU119" i="90" s="1"/>
  <c r="AX119" i="90"/>
  <c r="BT119" i="90" s="1"/>
  <c r="BI119" i="90" s="1"/>
  <c r="BE118" i="90"/>
  <c r="CA118" i="90" s="1"/>
  <c r="BC118" i="90"/>
  <c r="BY118" i="90"/>
  <c r="BB118" i="90"/>
  <c r="BX118" i="90" s="1"/>
  <c r="BA118" i="90"/>
  <c r="BW118" i="90" s="1"/>
  <c r="AZ118" i="90"/>
  <c r="BV118" i="90"/>
  <c r="AY118" i="90"/>
  <c r="BU118" i="90" s="1"/>
  <c r="AX118" i="90"/>
  <c r="BT118" i="90" s="1"/>
  <c r="BI118" i="90" s="1"/>
  <c r="BE117" i="90"/>
  <c r="BD117" i="90"/>
  <c r="BB117" i="90"/>
  <c r="BA117" i="90"/>
  <c r="BW117" i="90"/>
  <c r="AZ117" i="90"/>
  <c r="BV117" i="90" s="1"/>
  <c r="AY117" i="90"/>
  <c r="BU117" i="90" s="1"/>
  <c r="AX117" i="90"/>
  <c r="BT117" i="90" s="1"/>
  <c r="BI117" i="90" s="1"/>
  <c r="BE116" i="90"/>
  <c r="BD116" i="90"/>
  <c r="BZ116" i="90"/>
  <c r="BC116" i="90"/>
  <c r="BY116" i="90"/>
  <c r="BN116" i="90" s="1"/>
  <c r="BA116" i="90"/>
  <c r="BW116" i="90"/>
  <c r="BL116" i="90" s="1"/>
  <c r="AZ116" i="90"/>
  <c r="BV116" i="90"/>
  <c r="AY116" i="90"/>
  <c r="BU116" i="90"/>
  <c r="AX116" i="90"/>
  <c r="BT116" i="90"/>
  <c r="BI116" i="90" s="1"/>
  <c r="BE115" i="90"/>
  <c r="CA115" i="90"/>
  <c r="BD115" i="90"/>
  <c r="BZ115" i="90" s="1"/>
  <c r="BC115" i="90"/>
  <c r="BY115" i="90"/>
  <c r="BB115" i="90"/>
  <c r="BX115" i="90" s="1"/>
  <c r="AZ115" i="90"/>
  <c r="BV115" i="90"/>
  <c r="AY115" i="90"/>
  <c r="BU115" i="90" s="1"/>
  <c r="AX115" i="90"/>
  <c r="BT115" i="90" s="1"/>
  <c r="BE114" i="90"/>
  <c r="CA114" i="90" s="1"/>
  <c r="BD114" i="90"/>
  <c r="BZ114" i="90" s="1"/>
  <c r="BC114" i="90"/>
  <c r="BY114" i="90" s="1"/>
  <c r="BB114" i="90"/>
  <c r="BX114" i="90"/>
  <c r="BA114" i="90"/>
  <c r="BW114" i="90" s="1"/>
  <c r="AY114" i="90"/>
  <c r="BU114" i="90" s="1"/>
  <c r="AX114" i="90"/>
  <c r="BT114" i="90" s="1"/>
  <c r="BI114" i="90" s="1"/>
  <c r="BE113" i="90"/>
  <c r="CA113" i="90"/>
  <c r="BD113" i="90"/>
  <c r="BZ113" i="90" s="1"/>
  <c r="BC113" i="90"/>
  <c r="BY113" i="90" s="1"/>
  <c r="BB113" i="90"/>
  <c r="BX113" i="90"/>
  <c r="BA113" i="90"/>
  <c r="BW113" i="90"/>
  <c r="AZ113" i="90"/>
  <c r="BV113" i="90" s="1"/>
  <c r="AX113" i="90"/>
  <c r="BT113" i="90" s="1"/>
  <c r="BI113" i="90" s="1"/>
  <c r="BE112" i="90"/>
  <c r="BD112" i="90"/>
  <c r="BZ112" i="90" s="1"/>
  <c r="BC112" i="90"/>
  <c r="BY112" i="90" s="1"/>
  <c r="BB112" i="90"/>
  <c r="BX112" i="90" s="1"/>
  <c r="BA112" i="90"/>
  <c r="BW112" i="90"/>
  <c r="AZ112" i="90"/>
  <c r="BV112" i="90" s="1"/>
  <c r="AY112" i="90"/>
  <c r="BU112" i="90" s="1"/>
  <c r="BD108" i="90"/>
  <c r="BZ108" i="90" s="1"/>
  <c r="BC108" i="90"/>
  <c r="BY108" i="90"/>
  <c r="BB108" i="90"/>
  <c r="BX108" i="90"/>
  <c r="BA108" i="90"/>
  <c r="BW108" i="90" s="1"/>
  <c r="AZ108" i="90"/>
  <c r="BV108" i="90"/>
  <c r="AY108" i="90"/>
  <c r="BU108" i="90" s="1"/>
  <c r="AX108" i="90"/>
  <c r="BT108" i="90" s="1"/>
  <c r="BI108" i="90" s="1"/>
  <c r="BE107" i="90"/>
  <c r="CA107" i="90" s="1"/>
  <c r="BC107" i="90"/>
  <c r="BB107" i="90"/>
  <c r="BX107" i="90"/>
  <c r="BA107" i="90"/>
  <c r="BW107" i="90"/>
  <c r="AZ107" i="90"/>
  <c r="BV107" i="90"/>
  <c r="AY107" i="90"/>
  <c r="BU107" i="90"/>
  <c r="AX107" i="90"/>
  <c r="BT107" i="90"/>
  <c r="BI107" i="90" s="1"/>
  <c r="BE106" i="90"/>
  <c r="CA106" i="90" s="1"/>
  <c r="BD106" i="90"/>
  <c r="BZ106" i="90" s="1"/>
  <c r="BB106" i="90"/>
  <c r="BX106" i="90"/>
  <c r="BA106" i="90"/>
  <c r="BW106" i="90"/>
  <c r="AZ106" i="90"/>
  <c r="BV106" i="90" s="1"/>
  <c r="AY106" i="90"/>
  <c r="BU106" i="90" s="1"/>
  <c r="AX106" i="90"/>
  <c r="BT106" i="90" s="1"/>
  <c r="BI106" i="90" s="1"/>
  <c r="BE105" i="90"/>
  <c r="CA105" i="90" s="1"/>
  <c r="BD105" i="90"/>
  <c r="BZ105" i="90"/>
  <c r="BC105" i="90"/>
  <c r="BY105" i="90" s="1"/>
  <c r="BA105" i="90"/>
  <c r="BW105" i="90" s="1"/>
  <c r="AZ105" i="90"/>
  <c r="BV105" i="90"/>
  <c r="AY105" i="90"/>
  <c r="BU105" i="90" s="1"/>
  <c r="AX105" i="90"/>
  <c r="BT105" i="90" s="1"/>
  <c r="BI105" i="90" s="1"/>
  <c r="BE104" i="90"/>
  <c r="CA104" i="90"/>
  <c r="BD104" i="90"/>
  <c r="BZ104" i="90" s="1"/>
  <c r="BC104" i="90"/>
  <c r="BY104" i="90" s="1"/>
  <c r="BB104" i="90"/>
  <c r="BX104" i="90" s="1"/>
  <c r="AZ104" i="90"/>
  <c r="BV104" i="90"/>
  <c r="AY104" i="90"/>
  <c r="BU104" i="90" s="1"/>
  <c r="AX104" i="90"/>
  <c r="BT104" i="90" s="1"/>
  <c r="BI104" i="90" s="1"/>
  <c r="BE103" i="90"/>
  <c r="CA103" i="90" s="1"/>
  <c r="BD103" i="90"/>
  <c r="BZ103" i="90"/>
  <c r="BC103" i="90"/>
  <c r="BY103" i="90"/>
  <c r="BB103" i="90"/>
  <c r="BX103" i="90" s="1"/>
  <c r="BA103" i="90"/>
  <c r="BW103" i="90" s="1"/>
  <c r="AY103" i="90"/>
  <c r="BU103" i="90" s="1"/>
  <c r="AX103" i="90"/>
  <c r="BT103" i="90" s="1"/>
  <c r="BE102" i="90"/>
  <c r="CA102" i="90" s="1"/>
  <c r="BD102" i="90"/>
  <c r="BZ102" i="90" s="1"/>
  <c r="BC102" i="90"/>
  <c r="BY102" i="90" s="1"/>
  <c r="BB102" i="90"/>
  <c r="BX102" i="90" s="1"/>
  <c r="BA102" i="90"/>
  <c r="BW102" i="90" s="1"/>
  <c r="AZ102" i="90"/>
  <c r="BV102" i="90" s="1"/>
  <c r="AX102" i="90"/>
  <c r="BT102" i="90" s="1"/>
  <c r="BE101" i="90"/>
  <c r="CA101" i="90" s="1"/>
  <c r="BD101" i="90"/>
  <c r="BZ101" i="90"/>
  <c r="BC101" i="90"/>
  <c r="BY101" i="90" s="1"/>
  <c r="BB101" i="90"/>
  <c r="BX101" i="90" s="1"/>
  <c r="BA101" i="90"/>
  <c r="BW101" i="90" s="1"/>
  <c r="AZ101" i="90"/>
  <c r="BV101" i="90" s="1"/>
  <c r="AY101" i="90"/>
  <c r="BU101" i="90" s="1"/>
  <c r="BD100" i="90"/>
  <c r="BC100" i="90"/>
  <c r="BY100" i="90" s="1"/>
  <c r="BB100" i="90"/>
  <c r="BX100" i="90" s="1"/>
  <c r="BA100" i="90"/>
  <c r="BW100" i="90" s="1"/>
  <c r="AZ100" i="90"/>
  <c r="BV100" i="90" s="1"/>
  <c r="AY100" i="90"/>
  <c r="BU100" i="90" s="1"/>
  <c r="AX100" i="90"/>
  <c r="BT100" i="90"/>
  <c r="BI100" i="90" s="1"/>
  <c r="BE99" i="90"/>
  <c r="CA99" i="90"/>
  <c r="BC99" i="90"/>
  <c r="BY99" i="90" s="1"/>
  <c r="BB99" i="90"/>
  <c r="BX99" i="90" s="1"/>
  <c r="BA99" i="90"/>
  <c r="BW99" i="90" s="1"/>
  <c r="AZ99" i="90"/>
  <c r="AY99" i="90"/>
  <c r="BU99" i="90"/>
  <c r="AX99" i="90"/>
  <c r="BV99" i="90" s="1"/>
  <c r="BK99" i="90" s="1"/>
  <c r="BT99" i="90"/>
  <c r="BI99" i="90" s="1"/>
  <c r="BE98" i="90"/>
  <c r="CA98" i="90" s="1"/>
  <c r="BD98" i="90"/>
  <c r="BZ98" i="90" s="1"/>
  <c r="BB98" i="90"/>
  <c r="BX98" i="90" s="1"/>
  <c r="BA98" i="90"/>
  <c r="BW98" i="90" s="1"/>
  <c r="AZ98" i="90"/>
  <c r="BV98" i="90" s="1"/>
  <c r="AY98" i="90"/>
  <c r="BU98" i="90"/>
  <c r="AX98" i="90"/>
  <c r="BT98" i="90" s="1"/>
  <c r="BI98" i="90" s="1"/>
  <c r="BE97" i="90"/>
  <c r="CA97" i="90" s="1"/>
  <c r="BD97" i="90"/>
  <c r="BC97" i="90"/>
  <c r="BY97" i="90" s="1"/>
  <c r="BA97" i="90"/>
  <c r="BW97" i="90" s="1"/>
  <c r="AZ97" i="90"/>
  <c r="BV97" i="90" s="1"/>
  <c r="AY97" i="90"/>
  <c r="BU97" i="90" s="1"/>
  <c r="BJ97" i="90" s="1"/>
  <c r="AX97" i="90"/>
  <c r="BT97" i="90" s="1"/>
  <c r="BI97" i="90" s="1"/>
  <c r="BE96" i="90"/>
  <c r="CA96" i="90" s="1"/>
  <c r="BD96" i="90"/>
  <c r="BZ96" i="90"/>
  <c r="BC96" i="90"/>
  <c r="BY96" i="90" s="1"/>
  <c r="BB96" i="90"/>
  <c r="BX96" i="90" s="1"/>
  <c r="AZ96" i="90"/>
  <c r="BV96" i="90" s="1"/>
  <c r="AY96" i="90"/>
  <c r="BU96" i="90"/>
  <c r="AX96" i="90"/>
  <c r="BT96" i="90" s="1"/>
  <c r="BI96" i="90" s="1"/>
  <c r="BE95" i="90"/>
  <c r="BD95" i="90"/>
  <c r="BZ95" i="90" s="1"/>
  <c r="BC95" i="90"/>
  <c r="BY95" i="90" s="1"/>
  <c r="BB95" i="90"/>
  <c r="BX95" i="90" s="1"/>
  <c r="BA95" i="90"/>
  <c r="BW95" i="90" s="1"/>
  <c r="AY95" i="90"/>
  <c r="BU95" i="90" s="1"/>
  <c r="AX95" i="90"/>
  <c r="BT95" i="90" s="1"/>
  <c r="BI95" i="90" s="1"/>
  <c r="BE94" i="90"/>
  <c r="CA94" i="90" s="1"/>
  <c r="BD94" i="90"/>
  <c r="BZ94" i="90" s="1"/>
  <c r="BC94" i="90"/>
  <c r="BY94" i="90" s="1"/>
  <c r="BB94" i="90"/>
  <c r="BX94" i="90" s="1"/>
  <c r="BA94" i="90"/>
  <c r="BW94" i="90" s="1"/>
  <c r="AZ94" i="90"/>
  <c r="BV94" i="90" s="1"/>
  <c r="AX94" i="90"/>
  <c r="BT94" i="90" s="1"/>
  <c r="BI94" i="90" s="1"/>
  <c r="BE93" i="90"/>
  <c r="CA93" i="90" s="1"/>
  <c r="BD93" i="90"/>
  <c r="BZ93" i="90" s="1"/>
  <c r="BC93" i="90"/>
  <c r="BY93" i="90" s="1"/>
  <c r="BB93" i="90"/>
  <c r="BA93" i="90"/>
  <c r="BW93" i="90" s="1"/>
  <c r="AZ93" i="90"/>
  <c r="BV93" i="90" s="1"/>
  <c r="AY93" i="90"/>
  <c r="BU93" i="90" s="1"/>
  <c r="BD92" i="90"/>
  <c r="BC92" i="90"/>
  <c r="BY92" i="90" s="1"/>
  <c r="BN92" i="90" s="1"/>
  <c r="BB92" i="90"/>
  <c r="BA92" i="90"/>
  <c r="BW92" i="90"/>
  <c r="AZ92" i="90"/>
  <c r="BV92" i="90"/>
  <c r="AY92" i="90"/>
  <c r="BU92" i="90"/>
  <c r="AX92" i="90"/>
  <c r="BT92" i="90"/>
  <c r="BI92" i="90" s="1"/>
  <c r="BE91" i="90"/>
  <c r="CA91" i="90" s="1"/>
  <c r="BC91" i="90"/>
  <c r="BY91" i="90"/>
  <c r="BB91" i="90"/>
  <c r="BX91" i="90" s="1"/>
  <c r="BA91" i="90"/>
  <c r="BW91" i="90" s="1"/>
  <c r="AZ91" i="90"/>
  <c r="AY91" i="90"/>
  <c r="BU91" i="90"/>
  <c r="AX91" i="90"/>
  <c r="BT91" i="90"/>
  <c r="BI91" i="90" s="1"/>
  <c r="BE90" i="90"/>
  <c r="CA90" i="90"/>
  <c r="BD90" i="90"/>
  <c r="BZ90" i="90"/>
  <c r="BB90" i="90"/>
  <c r="BX90" i="90"/>
  <c r="BA90" i="90"/>
  <c r="BW90" i="90"/>
  <c r="AZ90" i="90"/>
  <c r="BV90" i="90"/>
  <c r="AY90" i="90"/>
  <c r="BU90" i="90"/>
  <c r="BJ90" i="90" s="1"/>
  <c r="AX90" i="90"/>
  <c r="BT90" i="90"/>
  <c r="BI90" i="90" s="1"/>
  <c r="BE89" i="90"/>
  <c r="CA89" i="90" s="1"/>
  <c r="BD89" i="90"/>
  <c r="BZ89" i="90" s="1"/>
  <c r="BC89" i="90"/>
  <c r="BY89" i="90" s="1"/>
  <c r="BA89" i="90"/>
  <c r="BW89" i="90" s="1"/>
  <c r="AZ89" i="90"/>
  <c r="BV89" i="90" s="1"/>
  <c r="AY89" i="90"/>
  <c r="BU89" i="90" s="1"/>
  <c r="AX89" i="90"/>
  <c r="BT89" i="90" s="1"/>
  <c r="BI89" i="90" s="1"/>
  <c r="BE88" i="90"/>
  <c r="CA88" i="90" s="1"/>
  <c r="BD88" i="90"/>
  <c r="BZ88" i="90" s="1"/>
  <c r="BC88" i="90"/>
  <c r="BB88" i="90"/>
  <c r="BX88" i="90"/>
  <c r="AZ88" i="90"/>
  <c r="BV88" i="90"/>
  <c r="AY88" i="90"/>
  <c r="AX88" i="90"/>
  <c r="BT88" i="90" s="1"/>
  <c r="BI88" i="90" s="1"/>
  <c r="BE87" i="90"/>
  <c r="CA87" i="90" s="1"/>
  <c r="BD87" i="90"/>
  <c r="BZ87" i="90" s="1"/>
  <c r="BC87" i="90"/>
  <c r="BY87" i="90" s="1"/>
  <c r="BB87" i="90"/>
  <c r="BX87" i="90" s="1"/>
  <c r="BA87" i="90"/>
  <c r="BW87" i="90"/>
  <c r="AY87" i="90"/>
  <c r="BU87" i="90" s="1"/>
  <c r="AX87" i="90"/>
  <c r="BT87" i="90" s="1"/>
  <c r="BI87" i="90" s="1"/>
  <c r="BE86" i="90"/>
  <c r="CA86" i="90" s="1"/>
  <c r="BD86" i="90"/>
  <c r="BZ86" i="90" s="1"/>
  <c r="BC86" i="90"/>
  <c r="BY86" i="90" s="1"/>
  <c r="BB86" i="90"/>
  <c r="BX86" i="90" s="1"/>
  <c r="BA86" i="90"/>
  <c r="BW86" i="90" s="1"/>
  <c r="AZ86" i="90"/>
  <c r="BV86" i="90" s="1"/>
  <c r="AX86" i="90"/>
  <c r="BT86" i="90" s="1"/>
  <c r="BI86" i="90" s="1"/>
  <c r="BE85" i="90"/>
  <c r="CA85" i="90" s="1"/>
  <c r="BD85" i="90"/>
  <c r="BZ85" i="90" s="1"/>
  <c r="BC85" i="90"/>
  <c r="BY85" i="90" s="1"/>
  <c r="BB85" i="90"/>
  <c r="BX85" i="90" s="1"/>
  <c r="BA85" i="90"/>
  <c r="BW85" i="90" s="1"/>
  <c r="AZ85" i="90"/>
  <c r="BV85" i="90" s="1"/>
  <c r="AY85" i="90"/>
  <c r="BU85" i="90"/>
  <c r="BD84" i="90"/>
  <c r="BZ84" i="90" s="1"/>
  <c r="BC84" i="90"/>
  <c r="BY84" i="90" s="1"/>
  <c r="BB84" i="90"/>
  <c r="BX84" i="90" s="1"/>
  <c r="BA84" i="90"/>
  <c r="BW84" i="90" s="1"/>
  <c r="AZ84" i="90"/>
  <c r="BV84" i="90" s="1"/>
  <c r="BQ84" i="90" s="1"/>
  <c r="AY84" i="90"/>
  <c r="BU84" i="90" s="1"/>
  <c r="AX84" i="90"/>
  <c r="BT84" i="90" s="1"/>
  <c r="BE83" i="90"/>
  <c r="CA83" i="90" s="1"/>
  <c r="BC83" i="90"/>
  <c r="BY83" i="90" s="1"/>
  <c r="BB83" i="90"/>
  <c r="BX83" i="90" s="1"/>
  <c r="BA83" i="90"/>
  <c r="BW83" i="90" s="1"/>
  <c r="AZ83" i="90"/>
  <c r="BV83" i="90" s="1"/>
  <c r="AY83" i="90"/>
  <c r="BU83" i="90" s="1"/>
  <c r="AX83" i="90"/>
  <c r="BT83" i="90" s="1"/>
  <c r="BE82" i="90"/>
  <c r="CA82" i="90" s="1"/>
  <c r="BD82" i="90"/>
  <c r="BZ82" i="90" s="1"/>
  <c r="BO82" i="90" s="1"/>
  <c r="BB82" i="90"/>
  <c r="BX82" i="90" s="1"/>
  <c r="BA82" i="90"/>
  <c r="BW82" i="90" s="1"/>
  <c r="AZ82" i="90"/>
  <c r="BV82" i="90" s="1"/>
  <c r="AY82" i="90"/>
  <c r="BU82" i="90" s="1"/>
  <c r="AX82" i="90"/>
  <c r="BT82" i="90" s="1"/>
  <c r="BI82" i="90" s="1"/>
  <c r="BE81" i="90"/>
  <c r="CA81" i="90" s="1"/>
  <c r="BD81" i="90"/>
  <c r="BZ81" i="90" s="1"/>
  <c r="BC81" i="90"/>
  <c r="BY81" i="90" s="1"/>
  <c r="BA81" i="90"/>
  <c r="BW81" i="90" s="1"/>
  <c r="AZ81" i="90"/>
  <c r="BV81" i="90" s="1"/>
  <c r="AY81" i="90"/>
  <c r="BU81" i="90" s="1"/>
  <c r="AX81" i="90"/>
  <c r="BT81" i="90" s="1"/>
  <c r="BE80" i="90"/>
  <c r="CA80" i="90" s="1"/>
  <c r="BD80" i="90"/>
  <c r="BZ80" i="90" s="1"/>
  <c r="BC80" i="90"/>
  <c r="BB80" i="90"/>
  <c r="AZ80" i="90"/>
  <c r="BV80" i="90"/>
  <c r="AY80" i="90"/>
  <c r="AX80" i="90"/>
  <c r="BT80" i="90" s="1"/>
  <c r="BI80" i="90" s="1"/>
  <c r="BE79" i="90"/>
  <c r="BD79" i="90"/>
  <c r="BZ79" i="90" s="1"/>
  <c r="BC79" i="90"/>
  <c r="BY79" i="90" s="1"/>
  <c r="BB79" i="90"/>
  <c r="BA79" i="90"/>
  <c r="BW79" i="90" s="1"/>
  <c r="AY79" i="90"/>
  <c r="BU79" i="90" s="1"/>
  <c r="AX79" i="90"/>
  <c r="BE78" i="90"/>
  <c r="CA78" i="90" s="1"/>
  <c r="BD78" i="90"/>
  <c r="BZ78" i="90" s="1"/>
  <c r="BC78" i="90"/>
  <c r="BB78" i="90"/>
  <c r="BA78" i="90"/>
  <c r="BW78" i="90"/>
  <c r="AZ78" i="90"/>
  <c r="BV78" i="90"/>
  <c r="AX78" i="90"/>
  <c r="BT78" i="90"/>
  <c r="BI78" i="90" s="1"/>
  <c r="BE77" i="90"/>
  <c r="CA77" i="90" s="1"/>
  <c r="BD77" i="90"/>
  <c r="BZ77" i="90" s="1"/>
  <c r="BC77" i="90"/>
  <c r="BY77" i="90" s="1"/>
  <c r="BB77" i="90"/>
  <c r="BX77" i="90" s="1"/>
  <c r="BA77" i="90"/>
  <c r="BW77" i="90" s="1"/>
  <c r="BP77" i="90" s="1"/>
  <c r="AZ77" i="90"/>
  <c r="AY77" i="90"/>
  <c r="BU77" i="90"/>
  <c r="BD76" i="90"/>
  <c r="BZ76" i="90" s="1"/>
  <c r="BC76" i="90"/>
  <c r="BY76" i="90" s="1"/>
  <c r="BB76" i="90"/>
  <c r="BX76" i="90" s="1"/>
  <c r="BA76" i="90"/>
  <c r="BW76" i="90"/>
  <c r="AZ76" i="90"/>
  <c r="BV76" i="90" s="1"/>
  <c r="AY76" i="90"/>
  <c r="BU76" i="90"/>
  <c r="AX76" i="90"/>
  <c r="BT76" i="90" s="1"/>
  <c r="BI76" i="90" s="1"/>
  <c r="BE75" i="90"/>
  <c r="BC75" i="90"/>
  <c r="BY75" i="90"/>
  <c r="BB75" i="90"/>
  <c r="BX75" i="90" s="1"/>
  <c r="BA75" i="90"/>
  <c r="BW75" i="90"/>
  <c r="AZ75" i="90"/>
  <c r="BV75" i="90"/>
  <c r="AY75" i="90"/>
  <c r="BU75" i="90"/>
  <c r="BJ75" i="90" s="1"/>
  <c r="AX75" i="90"/>
  <c r="BT75" i="90"/>
  <c r="BI75" i="90" s="1"/>
  <c r="BE74" i="90"/>
  <c r="CA74" i="90"/>
  <c r="BD74" i="90"/>
  <c r="BB74" i="90"/>
  <c r="BX74" i="90" s="1"/>
  <c r="BA74" i="90"/>
  <c r="BW74" i="90" s="1"/>
  <c r="BL74" i="90" s="1"/>
  <c r="AZ74" i="90"/>
  <c r="BV74" i="90"/>
  <c r="AY74" i="90"/>
  <c r="BU74" i="90" s="1"/>
  <c r="AX74" i="90"/>
  <c r="BT74" i="90" s="1"/>
  <c r="BI74" i="90" s="1"/>
  <c r="BE73" i="90"/>
  <c r="BD73" i="90"/>
  <c r="BZ73" i="90" s="1"/>
  <c r="BC73" i="90"/>
  <c r="BY73" i="90" s="1"/>
  <c r="BA73" i="90"/>
  <c r="BW73" i="90" s="1"/>
  <c r="AZ73" i="90"/>
  <c r="BV73" i="90" s="1"/>
  <c r="AY73" i="90"/>
  <c r="BU73" i="90" s="1"/>
  <c r="AX73" i="90"/>
  <c r="BT73" i="90" s="1"/>
  <c r="BI73" i="90" s="1"/>
  <c r="BE72" i="90"/>
  <c r="CA72" i="90" s="1"/>
  <c r="BD72" i="90"/>
  <c r="BZ72" i="90" s="1"/>
  <c r="BC72" i="90"/>
  <c r="BY72" i="90" s="1"/>
  <c r="BB72" i="90"/>
  <c r="AZ72" i="90"/>
  <c r="BV72" i="90" s="1"/>
  <c r="AY72" i="90"/>
  <c r="BU72" i="90" s="1"/>
  <c r="AX72" i="90"/>
  <c r="BT72" i="90" s="1"/>
  <c r="BI72" i="90" s="1"/>
  <c r="BE71" i="90"/>
  <c r="BD71" i="90"/>
  <c r="BZ71" i="90" s="1"/>
  <c r="BC71" i="90"/>
  <c r="BY71" i="90" s="1"/>
  <c r="BB71" i="90"/>
  <c r="BA71" i="90"/>
  <c r="BW71" i="90" s="1"/>
  <c r="AY71" i="90"/>
  <c r="BU71" i="90"/>
  <c r="BJ71" i="90" s="1"/>
  <c r="AX71" i="90"/>
  <c r="BT71" i="90" s="1"/>
  <c r="BI71" i="90" s="1"/>
  <c r="BE70" i="90"/>
  <c r="CA70" i="90" s="1"/>
  <c r="BD70" i="90"/>
  <c r="BZ70" i="90" s="1"/>
  <c r="BC70" i="90"/>
  <c r="BB70" i="90"/>
  <c r="BX70" i="90" s="1"/>
  <c r="BA70" i="90"/>
  <c r="BW70" i="90"/>
  <c r="AZ70" i="90"/>
  <c r="AX70" i="90"/>
  <c r="BT70" i="90" s="1"/>
  <c r="BI70" i="90" s="1"/>
  <c r="BE69" i="90"/>
  <c r="BD69" i="90"/>
  <c r="BZ69" i="90" s="1"/>
  <c r="BC69" i="90"/>
  <c r="BY69" i="90" s="1"/>
  <c r="BB69" i="90"/>
  <c r="BA69" i="90"/>
  <c r="BW69" i="90" s="1"/>
  <c r="AZ69" i="90"/>
  <c r="BV69" i="90"/>
  <c r="AY69" i="90"/>
  <c r="BU69" i="90" s="1"/>
  <c r="BD68" i="90"/>
  <c r="BZ68" i="90" s="1"/>
  <c r="BC68" i="90"/>
  <c r="BY68" i="90" s="1"/>
  <c r="BB68" i="90"/>
  <c r="BX68" i="90"/>
  <c r="BA68" i="90"/>
  <c r="BW68" i="90" s="1"/>
  <c r="AZ68" i="90"/>
  <c r="BV68" i="90" s="1"/>
  <c r="AY68" i="90"/>
  <c r="BU68" i="90" s="1"/>
  <c r="AX68" i="90"/>
  <c r="BT68" i="90" s="1"/>
  <c r="BI68" i="90" s="1"/>
  <c r="BE67" i="90"/>
  <c r="BC67" i="90"/>
  <c r="BY67" i="90" s="1"/>
  <c r="BB67" i="90"/>
  <c r="BX67" i="90" s="1"/>
  <c r="BA67" i="90"/>
  <c r="AZ67" i="90"/>
  <c r="BV67" i="90" s="1"/>
  <c r="AY67" i="90"/>
  <c r="BU67" i="90"/>
  <c r="AX67" i="90"/>
  <c r="BT67" i="90" s="1"/>
  <c r="BI67" i="90" s="1"/>
  <c r="BE66" i="90"/>
  <c r="CA66" i="90" s="1"/>
  <c r="BD66" i="90"/>
  <c r="BZ66" i="90"/>
  <c r="BB66" i="90"/>
  <c r="BA66" i="90"/>
  <c r="BW66" i="90"/>
  <c r="AZ66" i="90"/>
  <c r="BV66" i="90" s="1"/>
  <c r="AY66" i="90"/>
  <c r="BU66" i="90" s="1"/>
  <c r="BJ66" i="90" s="1"/>
  <c r="AX66" i="90"/>
  <c r="BT66" i="90" s="1"/>
  <c r="BI66" i="90" s="1"/>
  <c r="BE65" i="90"/>
  <c r="BD65" i="90"/>
  <c r="BZ65" i="90" s="1"/>
  <c r="BC65" i="90"/>
  <c r="BY65" i="90" s="1"/>
  <c r="BA65" i="90"/>
  <c r="BW65" i="90"/>
  <c r="AZ65" i="90"/>
  <c r="BV65" i="90" s="1"/>
  <c r="BK65" i="90" s="1"/>
  <c r="AY65" i="90"/>
  <c r="BU65" i="90" s="1"/>
  <c r="AX65" i="90"/>
  <c r="BT65" i="90" s="1"/>
  <c r="BI65" i="90" s="1"/>
  <c r="BE64" i="90"/>
  <c r="BD64" i="90"/>
  <c r="BZ64" i="90" s="1"/>
  <c r="BC64" i="90"/>
  <c r="BY64" i="90" s="1"/>
  <c r="BB64" i="90"/>
  <c r="BX64" i="90" s="1"/>
  <c r="AZ64" i="90"/>
  <c r="BV64" i="90" s="1"/>
  <c r="AY64" i="90"/>
  <c r="BU64" i="90" s="1"/>
  <c r="AX64" i="90"/>
  <c r="BT64" i="90"/>
  <c r="BE63" i="90"/>
  <c r="BD63" i="90"/>
  <c r="BZ63" i="90" s="1"/>
  <c r="BC63" i="90"/>
  <c r="BY63" i="90" s="1"/>
  <c r="BB63" i="90"/>
  <c r="BA63" i="90"/>
  <c r="BW63" i="90" s="1"/>
  <c r="AY63" i="90"/>
  <c r="BU63" i="90" s="1"/>
  <c r="AX63" i="90"/>
  <c r="BT63" i="90" s="1"/>
  <c r="BI63" i="90" s="1"/>
  <c r="BE62" i="90"/>
  <c r="CA62" i="90" s="1"/>
  <c r="BD62" i="90"/>
  <c r="BZ62" i="90" s="1"/>
  <c r="BC62" i="90"/>
  <c r="BB62" i="90"/>
  <c r="BX62" i="90" s="1"/>
  <c r="BA62" i="90"/>
  <c r="BW62" i="90" s="1"/>
  <c r="AZ62" i="90"/>
  <c r="BV62" i="90"/>
  <c r="AX62" i="90"/>
  <c r="BY62" i="90" s="1"/>
  <c r="BT62" i="90"/>
  <c r="BI62" i="90" s="1"/>
  <c r="BE61" i="90"/>
  <c r="CA61" i="90"/>
  <c r="BD61" i="90"/>
  <c r="BZ61" i="90" s="1"/>
  <c r="BC61" i="90"/>
  <c r="BY61" i="90" s="1"/>
  <c r="BB61" i="90"/>
  <c r="BA61" i="90"/>
  <c r="BW61" i="90" s="1"/>
  <c r="AZ61" i="90"/>
  <c r="BV61" i="90" s="1"/>
  <c r="AY61" i="90"/>
  <c r="BU61" i="90" s="1"/>
  <c r="BQ61" i="90" s="1"/>
  <c r="BD60" i="90"/>
  <c r="BZ60" i="90" s="1"/>
  <c r="BC60" i="90"/>
  <c r="BB60" i="90"/>
  <c r="BX60" i="90"/>
  <c r="BA60" i="90"/>
  <c r="BW60" i="90" s="1"/>
  <c r="AZ60" i="90"/>
  <c r="BV60" i="90" s="1"/>
  <c r="AY60" i="90"/>
  <c r="BU60" i="90" s="1"/>
  <c r="AX60" i="90"/>
  <c r="BT60" i="90" s="1"/>
  <c r="BI60" i="90" s="1"/>
  <c r="BE59" i="90"/>
  <c r="BC59" i="90"/>
  <c r="BB59" i="90"/>
  <c r="BX59" i="90" s="1"/>
  <c r="BA59" i="90"/>
  <c r="BW59" i="90"/>
  <c r="AZ59" i="90"/>
  <c r="BV59" i="90"/>
  <c r="BK59" i="90" s="1"/>
  <c r="AY59" i="90"/>
  <c r="BU59" i="90"/>
  <c r="BJ59" i="90" s="1"/>
  <c r="AX59" i="90"/>
  <c r="BT59" i="90"/>
  <c r="BI59" i="90" s="1"/>
  <c r="BE58" i="90"/>
  <c r="CA58" i="90" s="1"/>
  <c r="BD58" i="90"/>
  <c r="BB58" i="90"/>
  <c r="BA58" i="90"/>
  <c r="BW58" i="90" s="1"/>
  <c r="AZ58" i="90"/>
  <c r="AY58" i="90"/>
  <c r="AX58" i="90"/>
  <c r="BE57" i="90"/>
  <c r="CA57" i="90" s="1"/>
  <c r="BD57" i="90"/>
  <c r="BZ57" i="90" s="1"/>
  <c r="BC57" i="90"/>
  <c r="BA57" i="90"/>
  <c r="BW57" i="90" s="1"/>
  <c r="AZ57" i="90"/>
  <c r="BV57" i="90" s="1"/>
  <c r="AY57" i="90"/>
  <c r="BU57" i="90" s="1"/>
  <c r="AX57" i="90"/>
  <c r="BT57" i="90" s="1"/>
  <c r="BI57" i="90" s="1"/>
  <c r="BE56" i="90"/>
  <c r="BD56" i="90"/>
  <c r="BZ56" i="90" s="1"/>
  <c r="BC56" i="90"/>
  <c r="BB56" i="90"/>
  <c r="BX56" i="90" s="1"/>
  <c r="AZ56" i="90"/>
  <c r="AY56" i="90"/>
  <c r="AX56" i="90"/>
  <c r="BT56" i="90" s="1"/>
  <c r="BI56" i="90" s="1"/>
  <c r="BE55" i="90"/>
  <c r="BD55" i="90"/>
  <c r="BC55" i="90"/>
  <c r="BB55" i="90"/>
  <c r="BA55" i="90"/>
  <c r="BW55" i="90" s="1"/>
  <c r="AY55" i="90"/>
  <c r="AX55" i="90"/>
  <c r="BE54" i="90"/>
  <c r="CA54" i="90" s="1"/>
  <c r="BD54" i="90"/>
  <c r="BZ54" i="90" s="1"/>
  <c r="BC54" i="90"/>
  <c r="BY54" i="90" s="1"/>
  <c r="BB54" i="90"/>
  <c r="BX54" i="90" s="1"/>
  <c r="BA54" i="90"/>
  <c r="AZ54" i="90"/>
  <c r="AX54" i="90"/>
  <c r="BE53" i="90"/>
  <c r="CA53" i="90" s="1"/>
  <c r="BD53" i="90"/>
  <c r="BZ53" i="90" s="1"/>
  <c r="BC53" i="90"/>
  <c r="BY53" i="90" s="1"/>
  <c r="BB53" i="90"/>
  <c r="BA53" i="90"/>
  <c r="BW53" i="90" s="1"/>
  <c r="AZ53" i="90"/>
  <c r="BV53" i="90" s="1"/>
  <c r="AY53" i="90"/>
  <c r="BE51" i="90"/>
  <c r="CA51" i="90" s="1"/>
  <c r="BD51" i="90"/>
  <c r="BZ51" i="90"/>
  <c r="BC51" i="90"/>
  <c r="BY51" i="90" s="1"/>
  <c r="BB51" i="90"/>
  <c r="BX51" i="90"/>
  <c r="BA51" i="90"/>
  <c r="BW51" i="90" s="1"/>
  <c r="AZ51" i="90"/>
  <c r="AY51" i="90"/>
  <c r="AX51" i="90"/>
  <c r="BT51" i="90"/>
  <c r="BI51" i="90" s="1"/>
  <c r="BE50" i="90"/>
  <c r="CA50" i="90" s="1"/>
  <c r="BD50" i="90"/>
  <c r="BZ50" i="90" s="1"/>
  <c r="BC50" i="90"/>
  <c r="BY50" i="90" s="1"/>
  <c r="BB50" i="90"/>
  <c r="BA50" i="90"/>
  <c r="BW50" i="90"/>
  <c r="AZ50" i="90"/>
  <c r="BV50" i="90"/>
  <c r="AY50" i="90"/>
  <c r="AX50" i="90"/>
  <c r="BT50" i="90"/>
  <c r="BI50" i="90" s="1"/>
  <c r="BE49" i="90"/>
  <c r="CA49" i="90" s="1"/>
  <c r="BD49" i="90"/>
  <c r="BZ49" i="90" s="1"/>
  <c r="BC49" i="90"/>
  <c r="BB49" i="90"/>
  <c r="BX49" i="90" s="1"/>
  <c r="BA49" i="90"/>
  <c r="BW49" i="90" s="1"/>
  <c r="AZ49" i="90"/>
  <c r="BV49" i="90" s="1"/>
  <c r="AY49" i="90"/>
  <c r="BU49" i="90" s="1"/>
  <c r="AX49" i="90"/>
  <c r="BT49" i="90" s="1"/>
  <c r="BI49" i="90" s="1"/>
  <c r="BE48" i="90"/>
  <c r="CA48" i="90" s="1"/>
  <c r="BD48" i="90"/>
  <c r="BC48" i="90"/>
  <c r="BY48" i="90"/>
  <c r="BB48" i="90"/>
  <c r="BX48" i="90"/>
  <c r="BA48" i="90"/>
  <c r="BW48" i="90"/>
  <c r="AZ48" i="90"/>
  <c r="AY48" i="90"/>
  <c r="AX48" i="90"/>
  <c r="BT48" i="90"/>
  <c r="BE47" i="90"/>
  <c r="CA47" i="90" s="1"/>
  <c r="BD47" i="90"/>
  <c r="BZ47" i="90" s="1"/>
  <c r="BC47" i="90"/>
  <c r="BY47" i="90" s="1"/>
  <c r="BB47" i="90"/>
  <c r="BX47" i="90" s="1"/>
  <c r="BA47" i="90"/>
  <c r="BW47" i="90" s="1"/>
  <c r="AZ47" i="90"/>
  <c r="AY47" i="90"/>
  <c r="AX47" i="90"/>
  <c r="BE46" i="90"/>
  <c r="CA46" i="90" s="1"/>
  <c r="BD46" i="90"/>
  <c r="BC46" i="90"/>
  <c r="BY46" i="90" s="1"/>
  <c r="BB46" i="90"/>
  <c r="BX46" i="90" s="1"/>
  <c r="BA46" i="90"/>
  <c r="BW46" i="90" s="1"/>
  <c r="AZ46" i="90"/>
  <c r="BV46" i="90" s="1"/>
  <c r="AY46" i="90"/>
  <c r="AX46" i="90"/>
  <c r="BE45" i="90"/>
  <c r="BD45" i="90"/>
  <c r="BC45" i="90"/>
  <c r="BB45" i="90"/>
  <c r="BA45" i="90"/>
  <c r="AZ45" i="90"/>
  <c r="AY45" i="90"/>
  <c r="BU45" i="90"/>
  <c r="AX45" i="90"/>
  <c r="BE44" i="90"/>
  <c r="CA44" i="90" s="1"/>
  <c r="BD44" i="90"/>
  <c r="BZ44" i="90" s="1"/>
  <c r="BC44" i="90"/>
  <c r="BY44" i="90" s="1"/>
  <c r="BB44" i="90"/>
  <c r="BX44" i="90" s="1"/>
  <c r="BA44" i="90"/>
  <c r="BW44" i="90" s="1"/>
  <c r="AZ44" i="90"/>
  <c r="BV44" i="90" s="1"/>
  <c r="AY44" i="90"/>
  <c r="AX44" i="90"/>
  <c r="BE43" i="90"/>
  <c r="BD43" i="90"/>
  <c r="BC43" i="90"/>
  <c r="AF35" i="98" s="1"/>
  <c r="BB43" i="90"/>
  <c r="BA43" i="90"/>
  <c r="AZ43" i="90"/>
  <c r="AY43" i="90"/>
  <c r="AX43" i="90"/>
  <c r="BE42" i="90"/>
  <c r="BD42" i="90"/>
  <c r="BC42" i="90"/>
  <c r="BB42" i="90"/>
  <c r="BA42" i="90"/>
  <c r="AZ42" i="90"/>
  <c r="AY42" i="90"/>
  <c r="F14" i="90"/>
  <c r="AC21" i="98" s="1"/>
  <c r="E14" i="90"/>
  <c r="AB21" i="98" s="1"/>
  <c r="D14" i="90"/>
  <c r="AA21" i="98" s="1"/>
  <c r="F9" i="90"/>
  <c r="E9" i="90"/>
  <c r="AG7" i="42"/>
  <c r="AF7" i="42"/>
  <c r="AE7" i="42"/>
  <c r="AD7" i="42"/>
  <c r="AC7" i="42"/>
  <c r="AK42" i="57"/>
  <c r="AI41" i="57"/>
  <c r="AL41" i="57"/>
  <c r="AL42" i="57" s="1"/>
  <c r="CC42" i="90"/>
  <c r="BV45" i="90"/>
  <c r="BX66" i="90"/>
  <c r="BX117" i="90"/>
  <c r="CC43" i="90"/>
  <c r="BZ100" i="90"/>
  <c r="BU88" i="90"/>
  <c r="BJ88" i="90" s="1"/>
  <c r="BV48" i="90"/>
  <c r="BY60" i="90"/>
  <c r="BU51" i="90"/>
  <c r="BX92" i="90"/>
  <c r="BM92" i="90" s="1"/>
  <c r="BY45" i="90"/>
  <c r="BN132" i="90"/>
  <c r="BO132" i="90"/>
  <c r="BU48" i="90"/>
  <c r="BJ48" i="90" s="1"/>
  <c r="BV131" i="90"/>
  <c r="BV138" i="90"/>
  <c r="BU50" i="90"/>
  <c r="BN141" i="90"/>
  <c r="BN142" i="90"/>
  <c r="BO141" i="90"/>
  <c r="BO142" i="90"/>
  <c r="BP141" i="90"/>
  <c r="BP142" i="90"/>
  <c r="BT42" i="90"/>
  <c r="BI42" i="90" s="1"/>
  <c r="CA129" i="90"/>
  <c r="BZ129" i="90"/>
  <c r="BW129" i="90"/>
  <c r="BV129" i="90"/>
  <c r="BU129" i="90"/>
  <c r="BT129" i="90"/>
  <c r="BU46" i="90"/>
  <c r="BZ43" i="90"/>
  <c r="BT46" i="90"/>
  <c r="BI46" i="90" s="1"/>
  <c r="W455" i="57"/>
  <c r="BU58" i="90"/>
  <c r="BU56" i="90"/>
  <c r="BT54" i="90"/>
  <c r="BI54" i="90" s="1"/>
  <c r="BW54" i="90"/>
  <c r="BV56" i="90"/>
  <c r="BT45" i="90"/>
  <c r="BI45" i="90" s="1"/>
  <c r="BY43" i="90"/>
  <c r="BW43" i="90"/>
  <c r="BT43" i="90"/>
  <c r="BI43" i="90" s="1"/>
  <c r="BV42" i="90"/>
  <c r="BU42" i="90"/>
  <c r="Y465" i="57"/>
  <c r="AD465" i="57"/>
  <c r="AD466" i="57" s="1"/>
  <c r="AA465" i="57"/>
  <c r="AA466" i="57" s="1"/>
  <c r="AF465" i="57"/>
  <c r="AE465" i="57"/>
  <c r="AE466" i="57"/>
  <c r="AC465" i="57"/>
  <c r="X465" i="57"/>
  <c r="X466" i="57" s="1"/>
  <c r="AB465" i="57"/>
  <c r="AB466" i="57" s="1"/>
  <c r="AD14" i="57"/>
  <c r="AD17" i="57" s="1"/>
  <c r="AG14" i="57"/>
  <c r="AG17" i="57" s="1"/>
  <c r="AE41" i="57"/>
  <c r="AF41" i="57"/>
  <c r="AF42" i="57" s="1"/>
  <c r="BX43" i="90"/>
  <c r="BZ46" i="90"/>
  <c r="BU47" i="90"/>
  <c r="BY49" i="90"/>
  <c r="BU43" i="90"/>
  <c r="BW42" i="90"/>
  <c r="BV43" i="90"/>
  <c r="BT44" i="90"/>
  <c r="BT47" i="90"/>
  <c r="BI47" i="90" s="1"/>
  <c r="C13" i="5"/>
  <c r="AG6" i="86"/>
  <c r="AG190" i="86" s="1"/>
  <c r="AF6" i="86"/>
  <c r="AE6" i="86"/>
  <c r="AD6" i="86"/>
  <c r="AD160" i="86" s="1"/>
  <c r="AC6" i="86"/>
  <c r="AB6" i="86"/>
  <c r="AA6" i="86"/>
  <c r="AA190" i="86" s="1"/>
  <c r="Z6" i="86"/>
  <c r="Y6" i="86"/>
  <c r="X6" i="86"/>
  <c r="W6" i="86"/>
  <c r="V6" i="86"/>
  <c r="U6" i="86"/>
  <c r="T6" i="86"/>
  <c r="S6" i="86"/>
  <c r="R6" i="86"/>
  <c r="Q6" i="86"/>
  <c r="P6" i="86"/>
  <c r="O6" i="86"/>
  <c r="N6" i="86"/>
  <c r="M6" i="86"/>
  <c r="L6" i="86"/>
  <c r="K6" i="86"/>
  <c r="W23" i="12"/>
  <c r="Y23" i="12"/>
  <c r="Z23" i="12"/>
  <c r="AA23" i="12"/>
  <c r="AB23" i="12"/>
  <c r="AC23" i="12"/>
  <c r="AC40" i="93" s="1"/>
  <c r="AD23" i="12"/>
  <c r="AD40" i="93" s="1"/>
  <c r="AE23" i="12"/>
  <c r="AE40" i="93" s="1"/>
  <c r="AF23" i="12"/>
  <c r="AF40" i="93" s="1"/>
  <c r="AG23" i="12"/>
  <c r="AG40" i="93" s="1"/>
  <c r="BN131" i="90"/>
  <c r="Z467" i="57"/>
  <c r="AD467" i="57"/>
  <c r="AA467" i="57"/>
  <c r="AE467" i="57"/>
  <c r="X467" i="57"/>
  <c r="AB160" i="86"/>
  <c r="AB190" i="86"/>
  <c r="AA160" i="86"/>
  <c r="AD190" i="86"/>
  <c r="AE160" i="86"/>
  <c r="AE144" i="86" s="1"/>
  <c r="AE190" i="86"/>
  <c r="AG124" i="12"/>
  <c r="AG33" i="12" s="1"/>
  <c r="AG91" i="86" s="1"/>
  <c r="AF124" i="12"/>
  <c r="AF33" i="12" s="1"/>
  <c r="AF91" i="86" s="1"/>
  <c r="AE124" i="12"/>
  <c r="AE33" i="12" s="1"/>
  <c r="AD124" i="12"/>
  <c r="AD33" i="12" s="1"/>
  <c r="AD91" i="86" s="1"/>
  <c r="AC124" i="12"/>
  <c r="AC33" i="12" s="1"/>
  <c r="AC91" i="86" s="1"/>
  <c r="AB124" i="12"/>
  <c r="AB33" i="12" s="1"/>
  <c r="AB195" i="86"/>
  <c r="AB168" i="86" s="1"/>
  <c r="AA124" i="12"/>
  <c r="AA33" i="12" s="1"/>
  <c r="AA33" i="86" s="1"/>
  <c r="Z124" i="12"/>
  <c r="Z33" i="12" s="1"/>
  <c r="Y124" i="12"/>
  <c r="Y33" i="12" s="1"/>
  <c r="X124" i="12"/>
  <c r="X33" i="12" s="1"/>
  <c r="W124" i="12"/>
  <c r="W33" i="12"/>
  <c r="AC16" i="12"/>
  <c r="AD16" i="12"/>
  <c r="AE16" i="12"/>
  <c r="AF16" i="12"/>
  <c r="AG16" i="12"/>
  <c r="AC30" i="12"/>
  <c r="AC88" i="86" s="1"/>
  <c r="AC192" i="86" s="1"/>
  <c r="I57" i="98" s="1"/>
  <c r="AD30" i="12"/>
  <c r="AD88" i="86"/>
  <c r="AE30" i="12"/>
  <c r="AE88" i="86" s="1"/>
  <c r="AF30" i="12"/>
  <c r="AF88" i="86" s="1"/>
  <c r="AF192" i="86" s="1"/>
  <c r="L57" i="98"/>
  <c r="AG30" i="12"/>
  <c r="AG88" i="86" s="1"/>
  <c r="AG167" i="86" s="1"/>
  <c r="C11" i="5"/>
  <c r="AG7" i="12"/>
  <c r="AG130" i="12" s="1"/>
  <c r="AF7" i="12"/>
  <c r="AF130" i="12" s="1"/>
  <c r="AE7" i="12"/>
  <c r="AE130" i="12" s="1"/>
  <c r="AD7" i="12"/>
  <c r="AD130" i="12" s="1"/>
  <c r="AC7" i="12"/>
  <c r="AC130" i="12" s="1"/>
  <c r="Y103" i="89"/>
  <c r="Y15" i="89" s="1"/>
  <c r="X103" i="89"/>
  <c r="W15" i="89"/>
  <c r="Y92" i="89"/>
  <c r="Y14" i="89" s="1"/>
  <c r="X92" i="89"/>
  <c r="Y93" i="89" s="1"/>
  <c r="AB84" i="89"/>
  <c r="AC85" i="89" s="1"/>
  <c r="AA84" i="89"/>
  <c r="Z84" i="89"/>
  <c r="Y84" i="89"/>
  <c r="X84" i="89"/>
  <c r="X85" i="89" s="1"/>
  <c r="AB78" i="89"/>
  <c r="AC79" i="89"/>
  <c r="AA78" i="89"/>
  <c r="AB79" i="89" s="1"/>
  <c r="Z78" i="89"/>
  <c r="Y78" i="89"/>
  <c r="X78" i="89"/>
  <c r="X79" i="89" s="1"/>
  <c r="AB72" i="89"/>
  <c r="AA72" i="89"/>
  <c r="AA73" i="89" s="1"/>
  <c r="Z72" i="89"/>
  <c r="Y72" i="89"/>
  <c r="Y73" i="89" s="1"/>
  <c r="X72" i="89"/>
  <c r="X73" i="89" s="1"/>
  <c r="Y63" i="89"/>
  <c r="X63" i="89"/>
  <c r="AB57" i="89"/>
  <c r="AC58" i="89" s="1"/>
  <c r="AA57" i="89"/>
  <c r="AA58" i="89" s="1"/>
  <c r="Z57" i="89"/>
  <c r="Y57" i="89"/>
  <c r="X57" i="89"/>
  <c r="Y58" i="89" s="1"/>
  <c r="Y51" i="89"/>
  <c r="X51" i="89"/>
  <c r="S14" i="40"/>
  <c r="T14" i="40"/>
  <c r="U14" i="40"/>
  <c r="V14" i="40"/>
  <c r="H10" i="5"/>
  <c r="O24" i="5"/>
  <c r="I7" i="5" s="1"/>
  <c r="AA195" i="86"/>
  <c r="G60" i="98" s="1"/>
  <c r="AA168" i="86"/>
  <c r="W14" i="89"/>
  <c r="F183" i="44"/>
  <c r="F184" i="44"/>
  <c r="AE155" i="86"/>
  <c r="AE139" i="86"/>
  <c r="AE171" i="86"/>
  <c r="AE181" i="86"/>
  <c r="Z85" i="89"/>
  <c r="Z58" i="89"/>
  <c r="Z73" i="89"/>
  <c r="AB58" i="89"/>
  <c r="X58" i="89"/>
  <c r="M42" i="40"/>
  <c r="K42" i="40"/>
  <c r="O42" i="40"/>
  <c r="R57" i="12"/>
  <c r="R7" i="30"/>
  <c r="H184" i="44"/>
  <c r="H183" i="44"/>
  <c r="W18" i="34"/>
  <c r="W17" i="34"/>
  <c r="W14" i="34"/>
  <c r="W21" i="34"/>
  <c r="W22" i="34"/>
  <c r="W194" i="44"/>
  <c r="W132" i="44"/>
  <c r="W208" i="44" s="1"/>
  <c r="W16" i="34"/>
  <c r="W138" i="44"/>
  <c r="W100" i="44"/>
  <c r="X18" i="34"/>
  <c r="X17" i="34"/>
  <c r="X14" i="34"/>
  <c r="X21" i="34"/>
  <c r="X22" i="34"/>
  <c r="X61" i="44"/>
  <c r="X194" i="44" s="1"/>
  <c r="X41" i="44"/>
  <c r="X132" i="44" s="1"/>
  <c r="X208" i="44"/>
  <c r="X16" i="34"/>
  <c r="X51" i="44"/>
  <c r="X138" i="44" s="1"/>
  <c r="X28" i="44"/>
  <c r="X100" i="44" s="1"/>
  <c r="Y18" i="34"/>
  <c r="Y17" i="34"/>
  <c r="Y14" i="34"/>
  <c r="Y21" i="34"/>
  <c r="Y22" i="34"/>
  <c r="Y61" i="44"/>
  <c r="Y194" i="44" s="1"/>
  <c r="Y41" i="44"/>
  <c r="Y132" i="44" s="1"/>
  <c r="Y208" i="44" s="1"/>
  <c r="Y16" i="34"/>
  <c r="Y51" i="44"/>
  <c r="Y138" i="44"/>
  <c r="Y20" i="44"/>
  <c r="Y91" i="44"/>
  <c r="Y28" i="44"/>
  <c r="Y100" i="44" s="1"/>
  <c r="Z18" i="34"/>
  <c r="Z17" i="34"/>
  <c r="Z14" i="34"/>
  <c r="Z21" i="34"/>
  <c r="Z22" i="34"/>
  <c r="Z61" i="44"/>
  <c r="Z194" i="44" s="1"/>
  <c r="Z41" i="44"/>
  <c r="Z132" i="44" s="1"/>
  <c r="Z208" i="44"/>
  <c r="Z16" i="34"/>
  <c r="Z51" i="44"/>
  <c r="Z138" i="44" s="1"/>
  <c r="Z20" i="44"/>
  <c r="Z91" i="44" s="1"/>
  <c r="Z28" i="44"/>
  <c r="Z100" i="44" s="1"/>
  <c r="AA18" i="34"/>
  <c r="AA17" i="34"/>
  <c r="AA14" i="34"/>
  <c r="AA21" i="34"/>
  <c r="AA22" i="34"/>
  <c r="AA61" i="44"/>
  <c r="AA194" i="44" s="1"/>
  <c r="AA41" i="44"/>
  <c r="AA132" i="44" s="1"/>
  <c r="AA208" i="44" s="1"/>
  <c r="AA16" i="34"/>
  <c r="AA51" i="44"/>
  <c r="AA138" i="44"/>
  <c r="AA20" i="44"/>
  <c r="AA91" i="44" s="1"/>
  <c r="AA28" i="44"/>
  <c r="AA100" i="44"/>
  <c r="AB61" i="44"/>
  <c r="AB194" i="44"/>
  <c r="AB21" i="34"/>
  <c r="AB18" i="34"/>
  <c r="AB17" i="34"/>
  <c r="AB22" i="34"/>
  <c r="AB20" i="44"/>
  <c r="AB91" i="44"/>
  <c r="AB14" i="34"/>
  <c r="AB28" i="44"/>
  <c r="AB100" i="44" s="1"/>
  <c r="H80" i="44"/>
  <c r="D61" i="44"/>
  <c r="AB41" i="44"/>
  <c r="AB132" i="44" s="1"/>
  <c r="AB208" i="44" s="1"/>
  <c r="K57" i="12"/>
  <c r="L57" i="12"/>
  <c r="M57" i="12"/>
  <c r="C2" i="57"/>
  <c r="W16" i="12"/>
  <c r="Q57" i="12"/>
  <c r="W30" i="12"/>
  <c r="X30" i="12"/>
  <c r="Y30" i="12"/>
  <c r="Z30" i="12"/>
  <c r="AA30" i="12"/>
  <c r="AA30" i="86"/>
  <c r="AB30" i="12"/>
  <c r="W20" i="30"/>
  <c r="D43" i="30"/>
  <c r="D50" i="30" s="1"/>
  <c r="D57" i="30" s="1"/>
  <c r="D64" i="30" s="1"/>
  <c r="D42" i="30"/>
  <c r="D49" i="30"/>
  <c r="D56" i="30" s="1"/>
  <c r="D63" i="30" s="1"/>
  <c r="D41" i="30"/>
  <c r="D48" i="30"/>
  <c r="D55" i="30" s="1"/>
  <c r="D62" i="30" s="1"/>
  <c r="D40" i="30"/>
  <c r="D47" i="30" s="1"/>
  <c r="D54" i="30" s="1"/>
  <c r="D61" i="30" s="1"/>
  <c r="Y16" i="12"/>
  <c r="J7" i="42"/>
  <c r="J7" i="30"/>
  <c r="W49" i="57"/>
  <c r="W57" i="57" s="1"/>
  <c r="W12" i="57" s="1"/>
  <c r="N57" i="12"/>
  <c r="O57" i="12"/>
  <c r="P57" i="12"/>
  <c r="Y32" i="12"/>
  <c r="X49" i="57"/>
  <c r="X57" i="57" s="1"/>
  <c r="X12" i="57" s="1"/>
  <c r="X15" i="57"/>
  <c r="Y15" i="57"/>
  <c r="Z15" i="57"/>
  <c r="AA15" i="57"/>
  <c r="AB15" i="57"/>
  <c r="W15" i="57"/>
  <c r="Y49" i="57"/>
  <c r="Y57" i="57" s="1"/>
  <c r="Y12" i="57" s="1"/>
  <c r="Z49" i="57"/>
  <c r="Z57" i="57" s="1"/>
  <c r="Z12" i="57" s="1"/>
  <c r="AA49" i="57"/>
  <c r="AA57" i="57"/>
  <c r="AA12" i="57" s="1"/>
  <c r="AB49" i="57"/>
  <c r="AB57" i="57"/>
  <c r="AB12" i="57" s="1"/>
  <c r="AB7" i="57"/>
  <c r="AB68" i="57" s="1"/>
  <c r="AW68" i="57" s="1"/>
  <c r="AA7" i="57"/>
  <c r="AA68" i="57" s="1"/>
  <c r="AV68" i="57" s="1"/>
  <c r="Z7" i="57"/>
  <c r="Z68" i="57" s="1"/>
  <c r="AU68" i="57" s="1"/>
  <c r="Y7" i="57"/>
  <c r="Y68" i="57" s="1"/>
  <c r="AT68" i="57" s="1"/>
  <c r="X7" i="57"/>
  <c r="X68" i="57" s="1"/>
  <c r="AS68" i="57" s="1"/>
  <c r="D72" i="57"/>
  <c r="D75" i="57" s="1"/>
  <c r="D78" i="57" s="1"/>
  <c r="D81" i="57" s="1"/>
  <c r="D84" i="57" s="1"/>
  <c r="D87" i="57" s="1"/>
  <c r="D90" i="57" s="1"/>
  <c r="D93" i="57" s="1"/>
  <c r="D96" i="57" s="1"/>
  <c r="D99" i="57" s="1"/>
  <c r="D102" i="57" s="1"/>
  <c r="D105" i="57" s="1"/>
  <c r="D108" i="57" s="1"/>
  <c r="D111" i="57" s="1"/>
  <c r="D114" i="57" s="1"/>
  <c r="D117" i="57" s="1"/>
  <c r="D120" i="57" s="1"/>
  <c r="D123" i="57" s="1"/>
  <c r="D126" i="57" s="1"/>
  <c r="D129" i="57" s="1"/>
  <c r="D132" i="57" s="1"/>
  <c r="D135" i="57" s="1"/>
  <c r="D138" i="57" s="1"/>
  <c r="D141" i="57" s="1"/>
  <c r="D144" i="57" s="1"/>
  <c r="D147" i="57" s="1"/>
  <c r="D150" i="57" s="1"/>
  <c r="D153" i="57" s="1"/>
  <c r="D156" i="57" s="1"/>
  <c r="D159" i="57" s="1"/>
  <c r="D162" i="57" s="1"/>
  <c r="D165" i="57" s="1"/>
  <c r="D168" i="57" s="1"/>
  <c r="D171" i="57" s="1"/>
  <c r="D174" i="57" s="1"/>
  <c r="D177" i="57" s="1"/>
  <c r="D180" i="57" s="1"/>
  <c r="D183" i="57" s="1"/>
  <c r="D186" i="57" s="1"/>
  <c r="D189" i="57" s="1"/>
  <c r="D192" i="57" s="1"/>
  <c r="D195" i="57" s="1"/>
  <c r="D198" i="57" s="1"/>
  <c r="D201" i="57" s="1"/>
  <c r="D204" i="57" s="1"/>
  <c r="D207" i="57" s="1"/>
  <c r="D210" i="57" s="1"/>
  <c r="D213" i="57" s="1"/>
  <c r="D216" i="57" s="1"/>
  <c r="D219" i="57" s="1"/>
  <c r="D222" i="57" s="1"/>
  <c r="D225" i="57" s="1"/>
  <c r="D228" i="57" s="1"/>
  <c r="D231" i="57" s="1"/>
  <c r="D234" i="57" s="1"/>
  <c r="D237" i="57" s="1"/>
  <c r="D240" i="57" s="1"/>
  <c r="D243" i="57" s="1"/>
  <c r="D246" i="57" s="1"/>
  <c r="D249" i="57" s="1"/>
  <c r="D252" i="57" s="1"/>
  <c r="D255" i="57" s="1"/>
  <c r="D258" i="57" s="1"/>
  <c r="D261" i="57" s="1"/>
  <c r="D264" i="57" s="1"/>
  <c r="D267" i="57" s="1"/>
  <c r="D270" i="57" s="1"/>
  <c r="D273" i="57" s="1"/>
  <c r="D276" i="57" s="1"/>
  <c r="D279" i="57" s="1"/>
  <c r="D282" i="57" s="1"/>
  <c r="D285" i="57" s="1"/>
  <c r="D288" i="57" s="1"/>
  <c r="D291" i="57" s="1"/>
  <c r="D294" i="57" s="1"/>
  <c r="D297" i="57" s="1"/>
  <c r="D300" i="57" s="1"/>
  <c r="D303" i="57" s="1"/>
  <c r="D306" i="57" s="1"/>
  <c r="D309" i="57" s="1"/>
  <c r="D312" i="57" s="1"/>
  <c r="D315" i="57" s="1"/>
  <c r="D318" i="57" s="1"/>
  <c r="D321" i="57" s="1"/>
  <c r="D324" i="57" s="1"/>
  <c r="D327" i="57" s="1"/>
  <c r="D330" i="57" s="1"/>
  <c r="D333" i="57" s="1"/>
  <c r="D336" i="57" s="1"/>
  <c r="D339" i="57" s="1"/>
  <c r="D342" i="57" s="1"/>
  <c r="D345" i="57" s="1"/>
  <c r="D348" i="57" s="1"/>
  <c r="D351" i="57" s="1"/>
  <c r="D354" i="57" s="1"/>
  <c r="D357" i="57" s="1"/>
  <c r="D360" i="57" s="1"/>
  <c r="D363" i="57" s="1"/>
  <c r="D366" i="57" s="1"/>
  <c r="D369" i="57" s="1"/>
  <c r="D372" i="57" s="1"/>
  <c r="D375" i="57" s="1"/>
  <c r="D378" i="57" s="1"/>
  <c r="D381" i="57" s="1"/>
  <c r="D384" i="57" s="1"/>
  <c r="D387" i="57" s="1"/>
  <c r="D390" i="57" s="1"/>
  <c r="D393" i="57" s="1"/>
  <c r="D396" i="57" s="1"/>
  <c r="D399" i="57" s="1"/>
  <c r="D402" i="57" s="1"/>
  <c r="D405" i="57" s="1"/>
  <c r="D408" i="57" s="1"/>
  <c r="D411" i="57" s="1"/>
  <c r="D414" i="57" s="1"/>
  <c r="D417" i="57" s="1"/>
  <c r="D420" i="57" s="1"/>
  <c r="D423" i="57" s="1"/>
  <c r="D426" i="57" s="1"/>
  <c r="D429" i="57" s="1"/>
  <c r="D432" i="57" s="1"/>
  <c r="D435" i="57" s="1"/>
  <c r="D438" i="57" s="1"/>
  <c r="D441" i="57" s="1"/>
  <c r="E13" i="12"/>
  <c r="E14" i="12"/>
  <c r="E15" i="12"/>
  <c r="E12" i="12"/>
  <c r="W24" i="30"/>
  <c r="W25" i="42" s="1"/>
  <c r="W28" i="45" s="1"/>
  <c r="X24" i="30"/>
  <c r="X25" i="42" s="1"/>
  <c r="X42" i="41" s="1"/>
  <c r="X76" i="41" s="1"/>
  <c r="Y24" i="30"/>
  <c r="Y25" i="42" s="1"/>
  <c r="Y42" i="41" s="1"/>
  <c r="Y76" i="41" s="1"/>
  <c r="Y23" i="30"/>
  <c r="Y24" i="42" s="1"/>
  <c r="F55" i="57"/>
  <c r="F49" i="57"/>
  <c r="S7" i="57"/>
  <c r="S68" i="57" s="1"/>
  <c r="T7" i="57"/>
  <c r="T68" i="57" s="1"/>
  <c r="U7" i="57"/>
  <c r="U68" i="57" s="1"/>
  <c r="V7" i="57"/>
  <c r="V68" i="57" s="1"/>
  <c r="W7" i="57"/>
  <c r="W68" i="57" s="1"/>
  <c r="Y7" i="36"/>
  <c r="Y68" i="36"/>
  <c r="AT68" i="36" s="1"/>
  <c r="Z7" i="36"/>
  <c r="AA7" i="36"/>
  <c r="AA68" i="36" s="1"/>
  <c r="AV68" i="36" s="1"/>
  <c r="AB7" i="36"/>
  <c r="AB68" i="36" s="1"/>
  <c r="AW68" i="36" s="1"/>
  <c r="X7" i="44"/>
  <c r="Y7" i="44"/>
  <c r="Z7" i="44"/>
  <c r="AA7" i="44"/>
  <c r="AB7" i="44"/>
  <c r="W25" i="30"/>
  <c r="AB51" i="44"/>
  <c r="AB138" i="44" s="1"/>
  <c r="X7" i="41"/>
  <c r="Y7" i="41"/>
  <c r="Z7" i="41"/>
  <c r="AA7" i="41"/>
  <c r="AB7" i="41"/>
  <c r="N7" i="56"/>
  <c r="O7" i="56"/>
  <c r="P7" i="56"/>
  <c r="Q7" i="56"/>
  <c r="R7" i="56"/>
  <c r="S7" i="56"/>
  <c r="T7" i="56"/>
  <c r="U7" i="56"/>
  <c r="V7" i="56"/>
  <c r="W7" i="56"/>
  <c r="X7" i="56"/>
  <c r="Y7" i="56"/>
  <c r="Z7" i="56"/>
  <c r="AA7" i="56"/>
  <c r="AB7" i="56"/>
  <c r="X7" i="34"/>
  <c r="Y7" i="34"/>
  <c r="Z7" i="34"/>
  <c r="AA7" i="34"/>
  <c r="AB7" i="34"/>
  <c r="D384" i="36"/>
  <c r="D387" i="36"/>
  <c r="D390" i="36" s="1"/>
  <c r="D393" i="36" s="1"/>
  <c r="D396" i="36" s="1"/>
  <c r="D399" i="36" s="1"/>
  <c r="D402" i="36" s="1"/>
  <c r="D405" i="36" s="1"/>
  <c r="D408" i="36" s="1"/>
  <c r="D411" i="36" s="1"/>
  <c r="D414" i="36" s="1"/>
  <c r="D417" i="36" s="1"/>
  <c r="D420" i="36" s="1"/>
  <c r="D423" i="36" s="1"/>
  <c r="D426" i="36" s="1"/>
  <c r="D429" i="36" s="1"/>
  <c r="D432" i="36" s="1"/>
  <c r="D435" i="36" s="1"/>
  <c r="D438" i="36" s="1"/>
  <c r="D441" i="36" s="1"/>
  <c r="X7" i="36"/>
  <c r="X68" i="36" s="1"/>
  <c r="AS68" i="36" s="1"/>
  <c r="X7" i="62"/>
  <c r="Y7" i="62"/>
  <c r="Z7" i="62"/>
  <c r="AA7" i="62"/>
  <c r="AB7" i="62"/>
  <c r="E14" i="62"/>
  <c r="AC14" i="62" s="1"/>
  <c r="AC18" i="41" s="1"/>
  <c r="X7" i="45"/>
  <c r="Y7" i="45"/>
  <c r="Z7" i="45"/>
  <c r="AA7" i="45"/>
  <c r="AB7" i="45"/>
  <c r="X7" i="42"/>
  <c r="Y7" i="42"/>
  <c r="Z7" i="42"/>
  <c r="AA7" i="42"/>
  <c r="AB7" i="42"/>
  <c r="X7" i="30"/>
  <c r="Y7" i="30"/>
  <c r="Z7" i="30"/>
  <c r="AA7" i="30"/>
  <c r="AB7" i="30"/>
  <c r="X7" i="12"/>
  <c r="X130" i="12" s="1"/>
  <c r="Y7" i="12"/>
  <c r="Y130" i="12" s="1"/>
  <c r="Z7" i="12"/>
  <c r="Z130" i="12"/>
  <c r="AA7" i="12"/>
  <c r="AA130" i="12" s="1"/>
  <c r="AB7" i="12"/>
  <c r="AB130" i="12"/>
  <c r="L7" i="40"/>
  <c r="M7" i="40"/>
  <c r="N7" i="40"/>
  <c r="O7" i="40"/>
  <c r="P7" i="40"/>
  <c r="Q7" i="40"/>
  <c r="R7" i="40"/>
  <c r="S7" i="40"/>
  <c r="T7" i="40"/>
  <c r="U7" i="40"/>
  <c r="V7" i="40"/>
  <c r="W7" i="40"/>
  <c r="X7" i="40"/>
  <c r="Y7" i="40"/>
  <c r="Z7" i="40"/>
  <c r="AA7" i="40"/>
  <c r="AB7" i="40"/>
  <c r="K7" i="40"/>
  <c r="K7" i="12"/>
  <c r="C25" i="5"/>
  <c r="C24" i="5"/>
  <c r="C23" i="5"/>
  <c r="C22" i="5"/>
  <c r="C20" i="5"/>
  <c r="C19" i="5"/>
  <c r="C18" i="5"/>
  <c r="C17" i="5"/>
  <c r="C16" i="5"/>
  <c r="C14" i="5"/>
  <c r="B2" i="81"/>
  <c r="K7" i="44"/>
  <c r="L7" i="44"/>
  <c r="M7" i="44"/>
  <c r="N7" i="44"/>
  <c r="O7" i="44"/>
  <c r="P7" i="44"/>
  <c r="Q7" i="44"/>
  <c r="R7" i="44"/>
  <c r="S7" i="44"/>
  <c r="T7" i="44"/>
  <c r="U7" i="44"/>
  <c r="V7" i="44"/>
  <c r="W7" i="44"/>
  <c r="D20" i="44"/>
  <c r="D28" i="44"/>
  <c r="D41" i="44"/>
  <c r="D51" i="44"/>
  <c r="K7" i="41"/>
  <c r="L7" i="41"/>
  <c r="M7" i="41"/>
  <c r="N7" i="41"/>
  <c r="O7" i="41"/>
  <c r="P7" i="41"/>
  <c r="Q7" i="41"/>
  <c r="R7" i="41"/>
  <c r="S7" i="41"/>
  <c r="T7" i="41"/>
  <c r="U7" i="41"/>
  <c r="V7" i="41"/>
  <c r="W7" i="41"/>
  <c r="F90" i="41"/>
  <c r="J14" i="40"/>
  <c r="K7" i="56"/>
  <c r="L7" i="56"/>
  <c r="M7" i="56"/>
  <c r="K7" i="34"/>
  <c r="L7" i="34"/>
  <c r="M7" i="34"/>
  <c r="N7" i="34"/>
  <c r="O7" i="34"/>
  <c r="P7" i="34"/>
  <c r="Q7" i="34"/>
  <c r="R7" i="34"/>
  <c r="S7" i="34"/>
  <c r="T7" i="34"/>
  <c r="U7" i="34"/>
  <c r="V7" i="34"/>
  <c r="W7" i="34"/>
  <c r="K7" i="57"/>
  <c r="K68" i="57"/>
  <c r="L7" i="57"/>
  <c r="L68" i="57" s="1"/>
  <c r="M7" i="57"/>
  <c r="M68" i="57" s="1"/>
  <c r="N7" i="57"/>
  <c r="N68" i="57" s="1"/>
  <c r="O7" i="57"/>
  <c r="O68" i="57" s="1"/>
  <c r="P7" i="57"/>
  <c r="P68" i="57" s="1"/>
  <c r="Q7" i="57"/>
  <c r="Q68" i="57" s="1"/>
  <c r="R7" i="57"/>
  <c r="R68" i="57" s="1"/>
  <c r="E57" i="57"/>
  <c r="K7" i="36"/>
  <c r="K68" i="36" s="1"/>
  <c r="L7" i="36"/>
  <c r="L68" i="36" s="1"/>
  <c r="M7" i="36"/>
  <c r="M68" i="36" s="1"/>
  <c r="N7" i="36"/>
  <c r="N68" i="36" s="1"/>
  <c r="O7" i="36"/>
  <c r="O68" i="36"/>
  <c r="P7" i="36"/>
  <c r="P68" i="36" s="1"/>
  <c r="Q7" i="36"/>
  <c r="Q68" i="36" s="1"/>
  <c r="R7" i="36"/>
  <c r="R68" i="36" s="1"/>
  <c r="S7" i="36"/>
  <c r="S68" i="36" s="1"/>
  <c r="T7" i="36"/>
  <c r="T68" i="36" s="1"/>
  <c r="U7" i="36"/>
  <c r="U68" i="36"/>
  <c r="V7" i="36"/>
  <c r="V68" i="36" s="1"/>
  <c r="W7" i="36"/>
  <c r="W68" i="36"/>
  <c r="F49" i="36"/>
  <c r="F55" i="36"/>
  <c r="E57" i="36"/>
  <c r="K7" i="62"/>
  <c r="L7" i="62"/>
  <c r="M7" i="62"/>
  <c r="N7" i="62"/>
  <c r="O7" i="62"/>
  <c r="P7" i="62"/>
  <c r="Q7" i="62"/>
  <c r="R7" i="62"/>
  <c r="S7" i="62"/>
  <c r="T7" i="62"/>
  <c r="U7" i="62"/>
  <c r="V7" i="62"/>
  <c r="W7" i="62"/>
  <c r="E12" i="62"/>
  <c r="V12" i="62" s="1"/>
  <c r="K7" i="42"/>
  <c r="L7" i="42"/>
  <c r="M7" i="42"/>
  <c r="N7" i="42"/>
  <c r="O7" i="42"/>
  <c r="P7" i="42"/>
  <c r="Q7" i="42"/>
  <c r="R7" i="42"/>
  <c r="S7" i="42"/>
  <c r="T7" i="42"/>
  <c r="U7" i="42"/>
  <c r="V7" i="42"/>
  <c r="W7" i="42"/>
  <c r="K7" i="45"/>
  <c r="L7" i="45"/>
  <c r="M7" i="45"/>
  <c r="N7" i="45"/>
  <c r="O7" i="45"/>
  <c r="P7" i="45"/>
  <c r="Q7" i="45"/>
  <c r="R7" i="45"/>
  <c r="S7" i="45"/>
  <c r="T7" i="45"/>
  <c r="U7" i="45"/>
  <c r="V7" i="45"/>
  <c r="W7" i="45"/>
  <c r="K7" i="30"/>
  <c r="L7" i="30"/>
  <c r="M7" i="30"/>
  <c r="N7" i="30"/>
  <c r="O7" i="30"/>
  <c r="P7" i="30"/>
  <c r="Q7" i="30"/>
  <c r="S7" i="30"/>
  <c r="T7" i="30"/>
  <c r="U7" i="30"/>
  <c r="V7" i="30"/>
  <c r="W7" i="30"/>
  <c r="E76" i="30"/>
  <c r="E84" i="30"/>
  <c r="L7" i="12"/>
  <c r="M7" i="12"/>
  <c r="N7" i="12"/>
  <c r="O7" i="12"/>
  <c r="P7" i="12"/>
  <c r="Q7" i="12"/>
  <c r="R7" i="12"/>
  <c r="S7" i="12"/>
  <c r="T7" i="12"/>
  <c r="U7" i="12"/>
  <c r="V7" i="12"/>
  <c r="W7" i="12"/>
  <c r="W130" i="12" s="1"/>
  <c r="C57" i="12"/>
  <c r="D60" i="12"/>
  <c r="D71" i="12"/>
  <c r="D61" i="12"/>
  <c r="D72" i="12" s="1"/>
  <c r="D62" i="12"/>
  <c r="D63" i="12"/>
  <c r="D74" i="12" s="1"/>
  <c r="D64" i="12"/>
  <c r="D86" i="12" s="1"/>
  <c r="D65" i="12"/>
  <c r="D87" i="12" s="1"/>
  <c r="D66" i="12"/>
  <c r="D88" i="12"/>
  <c r="D67" i="12"/>
  <c r="D89" i="12" s="1"/>
  <c r="D78" i="12"/>
  <c r="C68" i="12"/>
  <c r="C79" i="12"/>
  <c r="C90" i="12"/>
  <c r="C109" i="12"/>
  <c r="W16" i="30"/>
  <c r="W15" i="30"/>
  <c r="W14" i="30"/>
  <c r="AA12" i="98"/>
  <c r="AB16" i="34"/>
  <c r="S57" i="12"/>
  <c r="T57" i="12"/>
  <c r="U57" i="12"/>
  <c r="Z68" i="36"/>
  <c r="AU68" i="36" s="1"/>
  <c r="W20" i="42"/>
  <c r="W26" i="45"/>
  <c r="W40" i="41" s="1"/>
  <c r="W74" i="41" s="1"/>
  <c r="AD86" i="41"/>
  <c r="AG86" i="41"/>
  <c r="AE86" i="41"/>
  <c r="AF86" i="41"/>
  <c r="AC86" i="41"/>
  <c r="W14" i="57"/>
  <c r="W17" i="57" s="1"/>
  <c r="Y86" i="41"/>
  <c r="C32" i="30"/>
  <c r="T12" i="62"/>
  <c r="S12" i="62"/>
  <c r="U12" i="62"/>
  <c r="W12" i="62"/>
  <c r="Z14" i="62"/>
  <c r="AE14" i="62"/>
  <c r="AE18" i="41" s="1"/>
  <c r="AB192" i="86"/>
  <c r="H57" i="98" s="1"/>
  <c r="AA192" i="86"/>
  <c r="G57" i="98" s="1"/>
  <c r="D83" i="12"/>
  <c r="D82" i="12"/>
  <c r="AB16" i="12"/>
  <c r="Z16" i="12"/>
  <c r="C39" i="30"/>
  <c r="C44" i="30" s="1"/>
  <c r="AA16" i="12"/>
  <c r="X16" i="12"/>
  <c r="W31" i="12"/>
  <c r="C46" i="30"/>
  <c r="C53" i="30"/>
  <c r="D77" i="12"/>
  <c r="F75" i="30"/>
  <c r="C65" i="30"/>
  <c r="AA86" i="41"/>
  <c r="AB86" i="41"/>
  <c r="W86" i="41"/>
  <c r="Z86" i="41"/>
  <c r="X86" i="41"/>
  <c r="AA167" i="86"/>
  <c r="AB167" i="86"/>
  <c r="Z65" i="30"/>
  <c r="Z16" i="30" s="1"/>
  <c r="AC12" i="98" s="1"/>
  <c r="AB65" i="30"/>
  <c r="AA65" i="30"/>
  <c r="AA16" i="30"/>
  <c r="AD12" i="98" s="1"/>
  <c r="AB12" i="98"/>
  <c r="F71" i="30"/>
  <c r="F72" i="30"/>
  <c r="F80" i="30" s="1"/>
  <c r="AB51" i="30"/>
  <c r="AA58" i="30"/>
  <c r="AA15" i="30"/>
  <c r="AD11" i="98" s="1"/>
  <c r="AB11" i="98"/>
  <c r="Z58" i="30"/>
  <c r="Z15" i="30" s="1"/>
  <c r="AC11" i="98" s="1"/>
  <c r="AB58" i="30"/>
  <c r="AA51" i="30"/>
  <c r="AA14" i="30" s="1"/>
  <c r="AD10" i="98" s="1"/>
  <c r="AA11" i="98"/>
  <c r="Z51" i="30"/>
  <c r="Z14" i="30" s="1"/>
  <c r="AC10" i="98" s="1"/>
  <c r="AB10" i="98"/>
  <c r="Z76" i="30"/>
  <c r="Z20" i="30" s="1"/>
  <c r="Z20" i="42" s="1"/>
  <c r="Z26" i="45" s="1"/>
  <c r="Z40" i="41" s="1"/>
  <c r="Z74" i="41" s="1"/>
  <c r="AB76" i="30"/>
  <c r="AB20" i="30" s="1"/>
  <c r="AB20" i="42" s="1"/>
  <c r="AB26" i="45" s="1"/>
  <c r="AB40" i="41" s="1"/>
  <c r="AB74" i="41" s="1"/>
  <c r="Y20" i="30"/>
  <c r="Y20" i="42" s="1"/>
  <c r="Y26" i="45" s="1"/>
  <c r="Y40" i="41" s="1"/>
  <c r="Y74" i="41" s="1"/>
  <c r="AA76" i="30"/>
  <c r="AA20" i="30" s="1"/>
  <c r="AA20" i="42" s="1"/>
  <c r="AA26" i="45" s="1"/>
  <c r="AA40" i="41" s="1"/>
  <c r="AA74" i="41" s="1"/>
  <c r="X20" i="30"/>
  <c r="X20" i="42" s="1"/>
  <c r="X26" i="45" s="1"/>
  <c r="X40" i="41" s="1"/>
  <c r="X74" i="41" s="1"/>
  <c r="W91" i="44"/>
  <c r="AB101" i="98"/>
  <c r="AC101" i="98"/>
  <c r="W14" i="40"/>
  <c r="W84" i="41"/>
  <c r="Y14" i="40"/>
  <c r="Y84" i="41" s="1"/>
  <c r="Z14" i="40"/>
  <c r="Z84" i="41" s="1"/>
  <c r="AB14" i="40"/>
  <c r="AB84" i="41" s="1"/>
  <c r="AA14" i="40"/>
  <c r="AA84" i="41" s="1"/>
  <c r="X14" i="40"/>
  <c r="X84" i="41" s="1"/>
  <c r="Y85" i="41"/>
  <c r="X20" i="44"/>
  <c r="X91" i="44" s="1"/>
  <c r="Z63" i="89"/>
  <c r="Z64" i="89" s="1"/>
  <c r="Z23" i="30"/>
  <c r="Z24" i="42" s="1"/>
  <c r="Z85" i="41"/>
  <c r="Z186" i="44" s="1"/>
  <c r="AA63" i="89"/>
  <c r="Z103" i="89"/>
  <c r="AA23" i="30"/>
  <c r="AA24" i="42" s="1"/>
  <c r="AA103" i="89"/>
  <c r="AA15" i="89" s="1"/>
  <c r="AB23" i="30"/>
  <c r="AB24" i="42" s="1"/>
  <c r="AB85" i="41"/>
  <c r="AB103" i="89"/>
  <c r="AB63" i="89"/>
  <c r="AC64" i="89" s="1"/>
  <c r="AC23" i="30"/>
  <c r="AC24" i="42" s="1"/>
  <c r="AC101" i="41" s="1"/>
  <c r="AC103" i="89"/>
  <c r="AC15" i="89" s="1"/>
  <c r="AC63" i="89"/>
  <c r="AD23" i="30"/>
  <c r="AD103" i="89"/>
  <c r="AD24" i="42"/>
  <c r="AD101" i="41" s="1"/>
  <c r="AD63" i="89"/>
  <c r="AD64" i="89" s="1"/>
  <c r="AE23" i="30"/>
  <c r="AE24" i="42" s="1"/>
  <c r="AE101" i="41" s="1"/>
  <c r="AE103" i="89"/>
  <c r="AE15" i="89" s="1"/>
  <c r="AE63" i="89"/>
  <c r="AF23" i="30"/>
  <c r="AF24" i="42" s="1"/>
  <c r="AF101" i="41" s="1"/>
  <c r="AG63" i="89"/>
  <c r="AF103" i="89"/>
  <c r="AG104" i="89" s="1"/>
  <c r="AF63" i="89"/>
  <c r="AG23" i="30"/>
  <c r="AG24" i="42" s="1"/>
  <c r="AG101" i="41" s="1"/>
  <c r="AF15" i="89"/>
  <c r="AG103" i="89"/>
  <c r="AG15" i="89" s="1"/>
  <c r="AH104" i="89"/>
  <c r="D67" i="98"/>
  <c r="X23" i="12"/>
  <c r="Y25" i="30"/>
  <c r="Y99" i="44" s="1"/>
  <c r="X74" i="36"/>
  <c r="Y71" i="36"/>
  <c r="Y74" i="36"/>
  <c r="AC82" i="98"/>
  <c r="X51" i="30"/>
  <c r="X14" i="30" s="1"/>
  <c r="AA10" i="98" s="1"/>
  <c r="X37" i="30"/>
  <c r="X12" i="30" s="1"/>
  <c r="X44" i="30"/>
  <c r="X13" i="30" s="1"/>
  <c r="AA9" i="98" s="1"/>
  <c r="BT140" i="90"/>
  <c r="BT139" i="90"/>
  <c r="BU139" i="90"/>
  <c r="BU140" i="90"/>
  <c r="BV140" i="90"/>
  <c r="BV139" i="90"/>
  <c r="BW140" i="90"/>
  <c r="BW139" i="90"/>
  <c r="BX140" i="90"/>
  <c r="BY140" i="90"/>
  <c r="BN140" i="90"/>
  <c r="BX139" i="90"/>
  <c r="BZ140" i="90"/>
  <c r="BO140" i="90"/>
  <c r="BY139" i="90"/>
  <c r="BN139" i="90"/>
  <c r="CA139" i="90"/>
  <c r="X131" i="12"/>
  <c r="X50" i="12" s="1"/>
  <c r="X32" i="12"/>
  <c r="V57" i="12"/>
  <c r="D71" i="98"/>
  <c r="D82" i="98"/>
  <c r="W32" i="12"/>
  <c r="D77" i="98"/>
  <c r="D66" i="98"/>
  <c r="X22" i="12"/>
  <c r="D64" i="98"/>
  <c r="D79" i="98"/>
  <c r="D80" i="98"/>
  <c r="D65" i="98"/>
  <c r="W25" i="12"/>
  <c r="X25" i="12"/>
  <c r="D69" i="98"/>
  <c r="X20" i="12"/>
  <c r="D75" i="98"/>
  <c r="W20" i="12"/>
  <c r="X24" i="12"/>
  <c r="D68" i="98"/>
  <c r="D76" i="98"/>
  <c r="X21" i="12"/>
  <c r="W22" i="12"/>
  <c r="W24" i="12"/>
  <c r="W21" i="12"/>
  <c r="AX124" i="90"/>
  <c r="BT124" i="90" s="1"/>
  <c r="AX123" i="90"/>
  <c r="BT123" i="90" s="1"/>
  <c r="AY123" i="90"/>
  <c r="BU123" i="90" s="1"/>
  <c r="AZ123" i="90"/>
  <c r="BV123" i="90" s="1"/>
  <c r="AY124" i="90"/>
  <c r="BU124" i="90" s="1"/>
  <c r="AZ124" i="90"/>
  <c r="BV124" i="90" s="1"/>
  <c r="BA123" i="90"/>
  <c r="BW123" i="90" s="1"/>
  <c r="BA124" i="90"/>
  <c r="BW124" i="90" s="1"/>
  <c r="BB123" i="90"/>
  <c r="BB124" i="90"/>
  <c r="BX124" i="90" s="1"/>
  <c r="BC123" i="90"/>
  <c r="BY123" i="90" s="1"/>
  <c r="BX123" i="90"/>
  <c r="BC124" i="90"/>
  <c r="BY124" i="90" s="1"/>
  <c r="BD123" i="90"/>
  <c r="BZ123" i="90" s="1"/>
  <c r="BD124" i="90"/>
  <c r="BZ124" i="90" s="1"/>
  <c r="BE123" i="90"/>
  <c r="CA123" i="90" s="1"/>
  <c r="BE124" i="90"/>
  <c r="CA124" i="90" s="1"/>
  <c r="W18" i="56"/>
  <c r="W168" i="44" s="1"/>
  <c r="X18" i="56"/>
  <c r="X168" i="44" s="1"/>
  <c r="Y18" i="56"/>
  <c r="Y168" i="44" s="1"/>
  <c r="Z18" i="56"/>
  <c r="AG18" i="56"/>
  <c r="AG113" i="41" s="1"/>
  <c r="AA18" i="56"/>
  <c r="AB18" i="56"/>
  <c r="AB168" i="44" s="1"/>
  <c r="AC18" i="56"/>
  <c r="AC113" i="41" s="1"/>
  <c r="AD18" i="56"/>
  <c r="AD113" i="41" s="1"/>
  <c r="AF18" i="56"/>
  <c r="AF113" i="41" s="1"/>
  <c r="AE18" i="56"/>
  <c r="AE113" i="41" s="1"/>
  <c r="Z92" i="89"/>
  <c r="Z14" i="89" s="1"/>
  <c r="Z51" i="89"/>
  <c r="AA51" i="89"/>
  <c r="AA92" i="89"/>
  <c r="AD95" i="98" s="1"/>
  <c r="AB92" i="89"/>
  <c r="AB14" i="89" s="1"/>
  <c r="AB51" i="89"/>
  <c r="AC92" i="89"/>
  <c r="AC93" i="89" s="1"/>
  <c r="AC51" i="89"/>
  <c r="AC52" i="89" s="1"/>
  <c r="AD92" i="89"/>
  <c r="AG95" i="98" s="1"/>
  <c r="AD51" i="89"/>
  <c r="AD52" i="89" s="1"/>
  <c r="AE92" i="89"/>
  <c r="AE14" i="89" s="1"/>
  <c r="AE51" i="89"/>
  <c r="AF51" i="89"/>
  <c r="AF92" i="89"/>
  <c r="AF14" i="89" s="1"/>
  <c r="AG51" i="89"/>
  <c r="X71" i="36"/>
  <c r="AA24" i="30"/>
  <c r="AA25" i="42" s="1"/>
  <c r="AB24" i="30"/>
  <c r="AC24" i="30"/>
  <c r="AC25" i="42" s="1"/>
  <c r="AC28" i="45" s="1"/>
  <c r="AD24" i="30"/>
  <c r="AD25" i="42" s="1"/>
  <c r="AE24" i="30"/>
  <c r="AE25" i="42" s="1"/>
  <c r="AE28" i="45" s="1"/>
  <c r="AF24" i="30"/>
  <c r="AF25" i="42" s="1"/>
  <c r="AG24" i="30"/>
  <c r="AG25" i="42" s="1"/>
  <c r="AG28" i="45" s="1"/>
  <c r="Z24" i="30"/>
  <c r="Z25" i="42" s="1"/>
  <c r="AB25" i="42"/>
  <c r="R115" i="112"/>
  <c r="R114" i="112"/>
  <c r="R123" i="112"/>
  <c r="R121" i="112"/>
  <c r="R116" i="112"/>
  <c r="R118" i="112"/>
  <c r="R112" i="112"/>
  <c r="R113" i="112"/>
  <c r="R122" i="112"/>
  <c r="R120" i="112"/>
  <c r="R117" i="112"/>
  <c r="R119" i="112"/>
  <c r="Q123" i="112"/>
  <c r="Q112" i="112"/>
  <c r="Q122" i="112"/>
  <c r="Q119" i="112"/>
  <c r="Q120" i="112"/>
  <c r="Q114" i="112"/>
  <c r="Q118" i="112"/>
  <c r="Q113" i="112"/>
  <c r="Q117" i="112"/>
  <c r="Q115" i="112"/>
  <c r="Q116" i="112"/>
  <c r="Q121" i="112"/>
  <c r="O115" i="112"/>
  <c r="O119" i="112"/>
  <c r="O121" i="112"/>
  <c r="O112" i="112"/>
  <c r="O122" i="112"/>
  <c r="O117" i="112"/>
  <c r="O123" i="112"/>
  <c r="O118" i="112"/>
  <c r="O116" i="112"/>
  <c r="O114" i="112"/>
  <c r="O113" i="112"/>
  <c r="O120" i="112"/>
  <c r="P115" i="112"/>
  <c r="P116" i="112"/>
  <c r="P120" i="112"/>
  <c r="P112" i="112"/>
  <c r="P118" i="112"/>
  <c r="P121" i="112"/>
  <c r="P114" i="112"/>
  <c r="P113" i="112"/>
  <c r="P117" i="112"/>
  <c r="P119" i="112"/>
  <c r="P122" i="112"/>
  <c r="P123" i="112"/>
  <c r="N115" i="112"/>
  <c r="N118" i="112"/>
  <c r="N113" i="112"/>
  <c r="N116" i="112"/>
  <c r="N119" i="112"/>
  <c r="N114" i="112"/>
  <c r="N112" i="112"/>
  <c r="N123" i="112"/>
  <c r="N117" i="112"/>
  <c r="N120" i="112"/>
  <c r="N122" i="112"/>
  <c r="N121" i="112"/>
  <c r="K121" i="112"/>
  <c r="K112" i="112"/>
  <c r="K115" i="112"/>
  <c r="K116" i="112"/>
  <c r="K122" i="112"/>
  <c r="K120" i="112"/>
  <c r="K123" i="112"/>
  <c r="K114" i="112"/>
  <c r="K113" i="112"/>
  <c r="K118" i="112"/>
  <c r="K117" i="112"/>
  <c r="K119" i="112"/>
  <c r="M117" i="112"/>
  <c r="M114" i="112"/>
  <c r="M120" i="112"/>
  <c r="M113" i="112"/>
  <c r="M123" i="112"/>
  <c r="M122" i="112"/>
  <c r="M115" i="112"/>
  <c r="M121" i="112"/>
  <c r="M118" i="112"/>
  <c r="M112" i="112"/>
  <c r="M116" i="112"/>
  <c r="M119" i="112"/>
  <c r="J114" i="112"/>
  <c r="J115" i="112"/>
  <c r="J116" i="112"/>
  <c r="J120" i="112"/>
  <c r="J117" i="112"/>
  <c r="J122" i="112"/>
  <c r="J119" i="112"/>
  <c r="J118" i="112"/>
  <c r="J121" i="112"/>
  <c r="J123" i="112"/>
  <c r="J112" i="112"/>
  <c r="J113" i="112"/>
  <c r="I117" i="112"/>
  <c r="I112" i="112"/>
  <c r="I118" i="112"/>
  <c r="I114" i="112"/>
  <c r="I115" i="112"/>
  <c r="I121" i="112"/>
  <c r="I113" i="112"/>
  <c r="I122" i="112"/>
  <c r="I116" i="112"/>
  <c r="I123" i="112"/>
  <c r="I119" i="112"/>
  <c r="I120" i="112"/>
  <c r="L122" i="112"/>
  <c r="L115" i="112"/>
  <c r="L118" i="112"/>
  <c r="L123" i="112"/>
  <c r="L120" i="112"/>
  <c r="L114" i="112"/>
  <c r="L113" i="112"/>
  <c r="L119" i="112"/>
  <c r="L116" i="112"/>
  <c r="L121" i="112"/>
  <c r="L117" i="112"/>
  <c r="L112" i="112"/>
  <c r="AE95" i="98"/>
  <c r="Z14" i="56"/>
  <c r="W12" i="56"/>
  <c r="W14" i="56"/>
  <c r="AA14" i="56"/>
  <c r="AB14" i="56"/>
  <c r="AC14" i="56"/>
  <c r="AD14" i="56"/>
  <c r="AE14" i="56"/>
  <c r="AF14" i="56"/>
  <c r="AG14" i="56"/>
  <c r="AA12" i="56"/>
  <c r="AB12" i="56"/>
  <c r="AC12" i="56"/>
  <c r="AD12" i="56"/>
  <c r="AE12" i="56"/>
  <c r="AF12" i="56"/>
  <c r="AG12" i="56"/>
  <c r="Z12" i="56"/>
  <c r="BB137" i="90"/>
  <c r="BX137" i="90" s="1"/>
  <c r="BD131" i="90"/>
  <c r="BZ131" i="90" s="1"/>
  <c r="BA136" i="90"/>
  <c r="BW136" i="90" s="1"/>
  <c r="BD139" i="90"/>
  <c r="BZ139" i="90" s="1"/>
  <c r="AZ135" i="90"/>
  <c r="BV135" i="90" s="1"/>
  <c r="AZ127" i="90"/>
  <c r="BE140" i="90"/>
  <c r="CA140" i="90" s="1"/>
  <c r="BP140" i="90"/>
  <c r="BC130" i="90"/>
  <c r="BY130" i="90" s="1"/>
  <c r="BC138" i="90"/>
  <c r="BY138" i="90" s="1"/>
  <c r="AX133" i="90"/>
  <c r="BT133" i="90" s="1"/>
  <c r="AX53" i="90"/>
  <c r="BT53" i="90" s="1"/>
  <c r="BI53" i="90" s="1"/>
  <c r="BV127" i="90"/>
  <c r="BP135" i="90"/>
  <c r="BO135" i="90"/>
  <c r="BN135" i="90"/>
  <c r="BN138" i="90"/>
  <c r="BP138" i="90"/>
  <c r="BO138" i="90"/>
  <c r="BA128" i="90"/>
  <c r="BW128" i="90" s="1"/>
  <c r="BE132" i="90"/>
  <c r="CA132" i="90" s="1"/>
  <c r="BP139" i="90"/>
  <c r="BO139" i="90"/>
  <c r="BN136" i="90"/>
  <c r="BP136" i="90"/>
  <c r="BO136" i="90"/>
  <c r="AY134" i="90"/>
  <c r="BU134" i="90"/>
  <c r="BB129" i="90"/>
  <c r="BO137" i="90"/>
  <c r="BP137" i="90"/>
  <c r="BN137" i="90"/>
  <c r="BX53" i="90"/>
  <c r="BU53" i="90"/>
  <c r="BO127" i="90"/>
  <c r="BN127" i="90"/>
  <c r="BP127" i="90"/>
  <c r="BO133" i="90"/>
  <c r="BP133" i="90"/>
  <c r="BN133" i="90"/>
  <c r="BP134" i="90"/>
  <c r="BN134" i="90"/>
  <c r="BO134" i="90"/>
  <c r="BP132" i="90"/>
  <c r="BP131" i="90"/>
  <c r="BO131" i="90"/>
  <c r="BX129" i="90"/>
  <c r="BP130" i="90"/>
  <c r="BO130" i="90"/>
  <c r="BN130" i="90"/>
  <c r="BO128" i="90"/>
  <c r="BN128" i="90"/>
  <c r="BP128" i="90"/>
  <c r="BP129" i="90"/>
  <c r="BO129" i="90"/>
  <c r="BN129" i="90"/>
  <c r="BB81" i="90"/>
  <c r="BX81" i="90" s="1"/>
  <c r="BM81" i="90" s="1"/>
  <c r="BC58" i="90"/>
  <c r="BC106" i="90"/>
  <c r="BY106" i="90" s="1"/>
  <c r="BC90" i="90"/>
  <c r="BY90" i="90" s="1"/>
  <c r="BC120" i="90"/>
  <c r="BY120" i="90" s="1"/>
  <c r="BC110" i="90"/>
  <c r="BY110" i="90" s="1"/>
  <c r="AX121" i="90"/>
  <c r="AZ121" i="90"/>
  <c r="BV121" i="90" s="1"/>
  <c r="AX111" i="90"/>
  <c r="BT111" i="90" s="1"/>
  <c r="BI111" i="90" s="1"/>
  <c r="BD83" i="90"/>
  <c r="BZ83" i="90" s="1"/>
  <c r="BD99" i="90"/>
  <c r="BZ99" i="90" s="1"/>
  <c r="BD121" i="90"/>
  <c r="BZ121" i="90" s="1"/>
  <c r="BO121" i="90" s="1"/>
  <c r="BE100" i="90"/>
  <c r="CA100" i="90"/>
  <c r="BA109" i="90"/>
  <c r="BW109" i="90" s="1"/>
  <c r="BA120" i="90"/>
  <c r="BW120" i="90" s="1"/>
  <c r="BE120" i="90"/>
  <c r="CA120" i="90"/>
  <c r="BA56" i="90"/>
  <c r="BW56" i="90" s="1"/>
  <c r="BL56" i="90" s="1"/>
  <c r="AX85" i="90"/>
  <c r="BT85" i="90" s="1"/>
  <c r="BB111" i="90"/>
  <c r="BX111" i="90" s="1"/>
  <c r="BC122" i="90"/>
  <c r="I22" i="90"/>
  <c r="AF45" i="98" s="1"/>
  <c r="BB105" i="90"/>
  <c r="BX105" i="90" s="1"/>
  <c r="BB120" i="90"/>
  <c r="BX120" i="90" s="1"/>
  <c r="AZ122" i="90"/>
  <c r="BV122" i="90" s="1"/>
  <c r="F22" i="90"/>
  <c r="AC45" i="98" s="1"/>
  <c r="AY78" i="90"/>
  <c r="BU78" i="90" s="1"/>
  <c r="BJ78" i="90" s="1"/>
  <c r="AY94" i="90"/>
  <c r="BU94" i="90" s="1"/>
  <c r="BJ94" i="90" s="1"/>
  <c r="AY111" i="90"/>
  <c r="BZ111" i="90" s="1"/>
  <c r="BO111" i="90" s="1"/>
  <c r="BU111" i="90"/>
  <c r="BJ111" i="90" s="1"/>
  <c r="AY121" i="90"/>
  <c r="BU121" i="90" s="1"/>
  <c r="AY109" i="90"/>
  <c r="BU109" i="90" s="1"/>
  <c r="AZ87" i="90"/>
  <c r="BV87" i="90"/>
  <c r="BK87" i="90" s="1"/>
  <c r="AZ110" i="90"/>
  <c r="BV110" i="90" s="1"/>
  <c r="G22" i="90"/>
  <c r="AD45" i="98" s="1"/>
  <c r="BA122" i="90"/>
  <c r="BW122" i="90" s="1"/>
  <c r="AZ103" i="90"/>
  <c r="BV103" i="90"/>
  <c r="BD91" i="90"/>
  <c r="BZ91" i="90" s="1"/>
  <c r="BD110" i="90"/>
  <c r="BZ110" i="90" s="1"/>
  <c r="BE111" i="90"/>
  <c r="CA111" i="90" s="1"/>
  <c r="AX120" i="90"/>
  <c r="BT120" i="90" s="1"/>
  <c r="BI120" i="90" s="1"/>
  <c r="BA121" i="90"/>
  <c r="BW121" i="90" s="1"/>
  <c r="BE121" i="90"/>
  <c r="CA121" i="90" s="1"/>
  <c r="BA110" i="90"/>
  <c r="BW110" i="90" s="1"/>
  <c r="BA96" i="90"/>
  <c r="BW96" i="90" s="1"/>
  <c r="BB109" i="90"/>
  <c r="BX109" i="90" s="1"/>
  <c r="AX122" i="90"/>
  <c r="BT122" i="90" s="1"/>
  <c r="BI122" i="90" s="1"/>
  <c r="D22" i="90"/>
  <c r="AA45" i="98" s="1"/>
  <c r="BB97" i="90"/>
  <c r="BX97" i="90" s="1"/>
  <c r="BB121" i="90"/>
  <c r="J22" i="90"/>
  <c r="AG45" i="98" s="1"/>
  <c r="BD122" i="90"/>
  <c r="BZ122" i="90" s="1"/>
  <c r="BC82" i="90"/>
  <c r="BY82" i="90" s="1"/>
  <c r="BC98" i="90"/>
  <c r="BY98" i="90" s="1"/>
  <c r="BN98" i="90" s="1"/>
  <c r="BC111" i="90"/>
  <c r="BY111" i="90" s="1"/>
  <c r="BC121" i="90"/>
  <c r="BY121" i="90" s="1"/>
  <c r="BC109" i="90"/>
  <c r="BY109" i="90"/>
  <c r="AZ111" i="90"/>
  <c r="BV111" i="90"/>
  <c r="BK111" i="90" s="1"/>
  <c r="AZ109" i="90"/>
  <c r="BV109" i="90"/>
  <c r="BE122" i="90"/>
  <c r="K22" i="90"/>
  <c r="AH45" i="98" s="1"/>
  <c r="BD107" i="90"/>
  <c r="BZ107" i="90"/>
  <c r="BD111" i="90"/>
  <c r="BD109" i="90"/>
  <c r="BZ109" i="90" s="1"/>
  <c r="BE110" i="90"/>
  <c r="CA110" i="90" s="1"/>
  <c r="BB122" i="90"/>
  <c r="BX122" i="90" s="1"/>
  <c r="H22" i="90"/>
  <c r="AE45" i="98" s="1"/>
  <c r="BE84" i="90"/>
  <c r="CA84" i="90"/>
  <c r="BE109" i="90"/>
  <c r="CA109" i="90" s="1"/>
  <c r="BA104" i="90"/>
  <c r="BW104" i="90" s="1"/>
  <c r="AX110" i="90"/>
  <c r="BT110" i="90" s="1"/>
  <c r="BI110" i="90" s="1"/>
  <c r="BB57" i="90"/>
  <c r="BX57" i="90" s="1"/>
  <c r="BM57" i="90" s="1"/>
  <c r="BB89" i="90"/>
  <c r="BX89" i="90" s="1"/>
  <c r="BB110" i="90"/>
  <c r="BX110" i="90" s="1"/>
  <c r="AY54" i="90"/>
  <c r="BU54" i="90" s="1"/>
  <c r="BJ54" i="90" s="1"/>
  <c r="AY102" i="90"/>
  <c r="BU102" i="90" s="1"/>
  <c r="BJ102" i="90" s="1"/>
  <c r="AY86" i="90"/>
  <c r="BU86" i="90" s="1"/>
  <c r="AY120" i="90"/>
  <c r="BU120" i="90" s="1"/>
  <c r="AY110" i="90"/>
  <c r="BU110" i="90" s="1"/>
  <c r="BJ110" i="90" s="1"/>
  <c r="AX77" i="90"/>
  <c r="BV77" i="90"/>
  <c r="AZ120" i="90"/>
  <c r="BV120" i="90" s="1"/>
  <c r="AX101" i="90"/>
  <c r="BT101" i="90" s="1"/>
  <c r="BI101" i="90" s="1"/>
  <c r="AZ79" i="90"/>
  <c r="BV79" i="90" s="1"/>
  <c r="BX79" i="90"/>
  <c r="AZ95" i="90"/>
  <c r="BV95" i="90" s="1"/>
  <c r="BD120" i="90"/>
  <c r="BZ120" i="90" s="1"/>
  <c r="BE108" i="90"/>
  <c r="CA108" i="90"/>
  <c r="AX109" i="90"/>
  <c r="BA88" i="90"/>
  <c r="BW88" i="90" s="1"/>
  <c r="BE92" i="90"/>
  <c r="CA92" i="90" s="1"/>
  <c r="AX93" i="90"/>
  <c r="BT93" i="90" s="1"/>
  <c r="BX93" i="90"/>
  <c r="BA111" i="90"/>
  <c r="E22" i="90"/>
  <c r="AB45" i="98" s="1"/>
  <c r="AY122" i="90"/>
  <c r="BQ87" i="90"/>
  <c r="BR86" i="90"/>
  <c r="BY57" i="90"/>
  <c r="BZ97" i="90"/>
  <c r="BO97" i="90" s="1"/>
  <c r="CA95" i="90"/>
  <c r="CA79" i="90"/>
  <c r="BT77" i="90"/>
  <c r="BI77" i="90" s="1"/>
  <c r="BX78" i="90"/>
  <c r="BM78" i="90" s="1"/>
  <c r="BT121" i="90"/>
  <c r="BI121" i="90" s="1"/>
  <c r="BX121" i="90"/>
  <c r="BT109" i="90"/>
  <c r="BI109" i="90" s="1"/>
  <c r="T41" i="90"/>
  <c r="V41" i="90"/>
  <c r="R41" i="90"/>
  <c r="BE76" i="90"/>
  <c r="CA76" i="90" s="1"/>
  <c r="AZ55" i="90"/>
  <c r="BV55" i="90" s="1"/>
  <c r="F21" i="90"/>
  <c r="AC44" i="98" s="1"/>
  <c r="S41" i="90"/>
  <c r="BD118" i="90"/>
  <c r="BZ118" i="90" s="1"/>
  <c r="BB116" i="90"/>
  <c r="CA116" i="90" s="1"/>
  <c r="X41" i="90"/>
  <c r="BE60" i="90"/>
  <c r="CA60" i="90" s="1"/>
  <c r="BP60" i="90" s="1"/>
  <c r="K21" i="90"/>
  <c r="AH44" i="98" s="1"/>
  <c r="BE68" i="90"/>
  <c r="K11" i="90" s="1"/>
  <c r="BA72" i="90"/>
  <c r="BX72" i="90"/>
  <c r="E21" i="90"/>
  <c r="AB44" i="98" s="1"/>
  <c r="BE119" i="90"/>
  <c r="CA119" i="90" s="1"/>
  <c r="BN86" i="90"/>
  <c r="BA80" i="90"/>
  <c r="BX80" i="90"/>
  <c r="BC117" i="90"/>
  <c r="BY117" i="90" s="1"/>
  <c r="AZ114" i="90"/>
  <c r="BV114" i="90" s="1"/>
  <c r="BK114" i="90" s="1"/>
  <c r="BB65" i="90"/>
  <c r="BX65" i="90" s="1"/>
  <c r="CA65" i="90"/>
  <c r="BD59" i="90"/>
  <c r="BZ59" i="90" s="1"/>
  <c r="W41" i="90"/>
  <c r="J21" i="90"/>
  <c r="AG44" i="98" s="1"/>
  <c r="Z37" i="30"/>
  <c r="Z12" i="30" s="1"/>
  <c r="AC8" i="98" s="1"/>
  <c r="AX61" i="90"/>
  <c r="BT61" i="90" s="1"/>
  <c r="BI61" i="90" s="1"/>
  <c r="Q41" i="90"/>
  <c r="D21" i="90"/>
  <c r="AA44" i="98" s="1"/>
  <c r="BA64" i="90"/>
  <c r="BW64" i="90" s="1"/>
  <c r="BN101" i="90"/>
  <c r="U41" i="90"/>
  <c r="H21" i="90"/>
  <c r="AE44" i="98" s="1"/>
  <c r="CA122" i="90"/>
  <c r="BY122" i="90"/>
  <c r="BN122" i="90" s="1"/>
  <c r="G21" i="90"/>
  <c r="AD44" i="98" s="1"/>
  <c r="BO99" i="90"/>
  <c r="BN90" i="90"/>
  <c r="BC66" i="90"/>
  <c r="AX112" i="90"/>
  <c r="BT112" i="90" s="1"/>
  <c r="BI112" i="90" s="1"/>
  <c r="BN82" i="90"/>
  <c r="I21" i="90"/>
  <c r="AF44" i="98" s="1"/>
  <c r="AY113" i="90"/>
  <c r="BU113" i="90" s="1"/>
  <c r="AY70" i="90"/>
  <c r="BU70" i="90" s="1"/>
  <c r="BV70" i="90"/>
  <c r="BC74" i="90"/>
  <c r="BY74" i="90" s="1"/>
  <c r="BD75" i="90"/>
  <c r="BU122" i="90"/>
  <c r="BJ122" i="90" s="1"/>
  <c r="BD67" i="90"/>
  <c r="CA67" i="90"/>
  <c r="AZ63" i="90"/>
  <c r="BV63" i="90" s="1"/>
  <c r="BK63" i="90" s="1"/>
  <c r="BX63" i="90"/>
  <c r="AB37" i="30"/>
  <c r="AA37" i="30"/>
  <c r="AA12" i="30" s="1"/>
  <c r="AY62" i="90"/>
  <c r="AZ71" i="90"/>
  <c r="BV71" i="90" s="1"/>
  <c r="BX71" i="90"/>
  <c r="BB73" i="90"/>
  <c r="BX73" i="90" s="1"/>
  <c r="BM73" i="90" s="1"/>
  <c r="BA115" i="90"/>
  <c r="BW115" i="90" s="1"/>
  <c r="AX69" i="90"/>
  <c r="BT69" i="90" s="1"/>
  <c r="BI69" i="90" s="1"/>
  <c r="BW111" i="90"/>
  <c r="BR115" i="90"/>
  <c r="CA64" i="90"/>
  <c r="BP64" i="90" s="1"/>
  <c r="BZ55" i="90"/>
  <c r="CA59" i="90"/>
  <c r="CA69" i="90"/>
  <c r="BX69" i="90"/>
  <c r="BM69" i="90" s="1"/>
  <c r="BQ93" i="90"/>
  <c r="BX61" i="90"/>
  <c r="CA112" i="90"/>
  <c r="BP112" i="90" s="1"/>
  <c r="BO77" i="90"/>
  <c r="BZ117" i="90"/>
  <c r="BW72" i="90"/>
  <c r="BL72" i="90" s="1"/>
  <c r="CA75" i="90"/>
  <c r="CA71" i="90"/>
  <c r="CA73" i="90"/>
  <c r="BY70" i="90"/>
  <c r="BW80" i="90"/>
  <c r="J13" i="90"/>
  <c r="AG20" i="98" s="1"/>
  <c r="CA63" i="90"/>
  <c r="BZ74" i="90"/>
  <c r="BX116" i="90"/>
  <c r="Z44" i="30"/>
  <c r="Z13" i="30" s="1"/>
  <c r="AC9" i="98" s="1"/>
  <c r="BZ67" i="90"/>
  <c r="BN114" i="90"/>
  <c r="AB44" i="30"/>
  <c r="BU62" i="90"/>
  <c r="AA44" i="30"/>
  <c r="AA13" i="30" s="1"/>
  <c r="AD9" i="98" s="1"/>
  <c r="BN57" i="90"/>
  <c r="BR73" i="90"/>
  <c r="BN61" i="90"/>
  <c r="BN65" i="90"/>
  <c r="BO63" i="90"/>
  <c r="AA168" i="44"/>
  <c r="Z168" i="44"/>
  <c r="Y49" i="36"/>
  <c r="Y57" i="36" s="1"/>
  <c r="Y12" i="36" s="1"/>
  <c r="Y84" i="30"/>
  <c r="Y21" i="30" s="1"/>
  <c r="Y21" i="42" s="1"/>
  <c r="Y27" i="45" s="1"/>
  <c r="Y39" i="41" s="1"/>
  <c r="Y73" i="41" s="1"/>
  <c r="K58" i="112"/>
  <c r="K65" i="112" s="1"/>
  <c r="K59" i="112"/>
  <c r="K20" i="112"/>
  <c r="L20" i="112"/>
  <c r="AX126" i="90"/>
  <c r="BT126" i="90"/>
  <c r="BI126" i="90" s="1"/>
  <c r="AX125" i="90"/>
  <c r="BT125" i="90"/>
  <c r="BI125" i="90" s="1"/>
  <c r="L58" i="112"/>
  <c r="L65" i="112" s="1"/>
  <c r="L59" i="112"/>
  <c r="K22" i="112"/>
  <c r="M58" i="112"/>
  <c r="M65" i="112" s="1"/>
  <c r="Z84" i="30"/>
  <c r="Z21" i="30"/>
  <c r="Z21" i="42" s="1"/>
  <c r="Z27" i="45" s="1"/>
  <c r="Z39" i="41" s="1"/>
  <c r="Z73" i="41" s="1"/>
  <c r="AZ125" i="90"/>
  <c r="BV125" i="90" s="1"/>
  <c r="AY125" i="90"/>
  <c r="BU125" i="90" s="1"/>
  <c r="BJ125" i="90" s="1"/>
  <c r="E15" i="90"/>
  <c r="AB22" i="98" s="1"/>
  <c r="AY126" i="90"/>
  <c r="BU126" i="90" s="1"/>
  <c r="M59" i="112"/>
  <c r="K62" i="112"/>
  <c r="K67" i="112" s="1"/>
  <c r="M20" i="112"/>
  <c r="N20" i="112"/>
  <c r="N59" i="112"/>
  <c r="L62" i="112"/>
  <c r="L67" i="112" s="1"/>
  <c r="N58" i="112"/>
  <c r="N65" i="112" s="1"/>
  <c r="BA125" i="90"/>
  <c r="BW125" i="90" s="1"/>
  <c r="AZ126" i="90"/>
  <c r="BV126" i="90" s="1"/>
  <c r="AA84" i="30"/>
  <c r="AA21" i="30" s="1"/>
  <c r="AA21" i="42" s="1"/>
  <c r="AA27" i="45" s="1"/>
  <c r="AA39" i="41" s="1"/>
  <c r="AA73" i="41" s="1"/>
  <c r="F15" i="90"/>
  <c r="AC22" i="98"/>
  <c r="L22" i="112"/>
  <c r="AB84" i="30"/>
  <c r="AB21" i="30" s="1"/>
  <c r="AB21" i="42" s="1"/>
  <c r="AB27" i="45" s="1"/>
  <c r="AB39" i="41" s="1"/>
  <c r="AB73" i="41" s="1"/>
  <c r="N62" i="112"/>
  <c r="N67" i="112" s="1"/>
  <c r="M22" i="112"/>
  <c r="O20" i="112"/>
  <c r="G15" i="90"/>
  <c r="AD22" i="98"/>
  <c r="BA126" i="90"/>
  <c r="BW126" i="90" s="1"/>
  <c r="M62" i="112"/>
  <c r="M67" i="112" s="1"/>
  <c r="O58" i="112"/>
  <c r="O65" i="112" s="1"/>
  <c r="N22" i="112"/>
  <c r="O59" i="112"/>
  <c r="P58" i="112"/>
  <c r="P65" i="112" s="1"/>
  <c r="P59" i="112"/>
  <c r="O62" i="112"/>
  <c r="O67" i="112" s="1"/>
  <c r="BB125" i="90"/>
  <c r="BX125" i="90" s="1"/>
  <c r="H15" i="90"/>
  <c r="AE22" i="98" s="1"/>
  <c r="BB126" i="90"/>
  <c r="BX126" i="90" s="1"/>
  <c r="BM126" i="90" s="1"/>
  <c r="P20" i="112"/>
  <c r="O22" i="112"/>
  <c r="P62" i="112"/>
  <c r="P67" i="112" s="1"/>
  <c r="Q58" i="112"/>
  <c r="Q65" i="112" s="1"/>
  <c r="AD101" i="98"/>
  <c r="BC126" i="90"/>
  <c r="BY126" i="90" s="1"/>
  <c r="BC125" i="90"/>
  <c r="BY125" i="90" s="1"/>
  <c r="I15" i="90"/>
  <c r="AF22" i="98" s="1"/>
  <c r="Q20" i="112"/>
  <c r="Q59" i="112"/>
  <c r="P22" i="112"/>
  <c r="Q62" i="112"/>
  <c r="Q67" i="112" s="1"/>
  <c r="R20" i="112"/>
  <c r="R59" i="112"/>
  <c r="BE126" i="90"/>
  <c r="CA126" i="90" s="1"/>
  <c r="BD125" i="90"/>
  <c r="J15" i="90"/>
  <c r="AG22" i="98" s="1"/>
  <c r="BD126" i="90"/>
  <c r="BZ126" i="90" s="1"/>
  <c r="AE101" i="98"/>
  <c r="AC54" i="41"/>
  <c r="AF101" i="98" s="1"/>
  <c r="Q22" i="112"/>
  <c r="R58" i="112"/>
  <c r="R65" i="112" s="1"/>
  <c r="R22" i="112"/>
  <c r="BZ125" i="90"/>
  <c r="BE125" i="90"/>
  <c r="CA125" i="90" s="1"/>
  <c r="K15" i="90"/>
  <c r="AH22" i="98" s="1"/>
  <c r="R62" i="112"/>
  <c r="R67" i="112" s="1"/>
  <c r="G82" i="45"/>
  <c r="I46" i="45" s="1"/>
  <c r="H54" i="45"/>
  <c r="I74" i="45"/>
  <c r="Z49" i="36"/>
  <c r="Z74" i="36"/>
  <c r="Z71" i="36"/>
  <c r="AA49" i="36"/>
  <c r="AA71" i="36"/>
  <c r="AA74" i="36"/>
  <c r="AB71" i="36"/>
  <c r="AB74" i="36"/>
  <c r="AB49" i="36"/>
  <c r="AC71" i="36"/>
  <c r="AC472" i="36" s="1"/>
  <c r="AC49" i="36"/>
  <c r="AC74" i="36"/>
  <c r="AD49" i="36"/>
  <c r="AD71" i="36"/>
  <c r="AD74" i="36"/>
  <c r="AE49" i="36"/>
  <c r="AE71" i="36"/>
  <c r="AE74" i="36"/>
  <c r="AF49" i="36"/>
  <c r="AF71" i="36"/>
  <c r="AF74" i="36"/>
  <c r="AG49" i="36"/>
  <c r="AG74" i="36"/>
  <c r="AG71" i="36"/>
  <c r="AC462" i="36"/>
  <c r="AD13" i="36"/>
  <c r="AD462" i="36"/>
  <c r="J31" i="98" s="1"/>
  <c r="X114" i="89"/>
  <c r="X16" i="89" s="1"/>
  <c r="AC131" i="12"/>
  <c r="AC50" i="12" s="1"/>
  <c r="AA131" i="12"/>
  <c r="AA50" i="12" s="1"/>
  <c r="Y131" i="12"/>
  <c r="Y50" i="12" s="1"/>
  <c r="Z131" i="12"/>
  <c r="Z50" i="12" s="1"/>
  <c r="AA191" i="86"/>
  <c r="G56" i="98" s="1"/>
  <c r="AA166" i="86"/>
  <c r="X25" i="30"/>
  <c r="Y31" i="12"/>
  <c r="X34" i="89"/>
  <c r="AA85" i="98" s="1"/>
  <c r="X25" i="89"/>
  <c r="Y26" i="89" s="1"/>
  <c r="AA31" i="12"/>
  <c r="AA31" i="86" s="1"/>
  <c r="AB31" i="12"/>
  <c r="AA193" i="86"/>
  <c r="G58" i="98" s="1"/>
  <c r="AB193" i="86"/>
  <c r="AB164" i="86" s="1"/>
  <c r="AC31" i="12"/>
  <c r="AE31" i="12"/>
  <c r="AE89" i="86" s="1"/>
  <c r="AG31" i="12"/>
  <c r="AG89" i="86" s="1"/>
  <c r="AB131" i="12"/>
  <c r="AB50" i="12" s="1"/>
  <c r="AD131" i="12"/>
  <c r="AD50" i="12" s="1"/>
  <c r="AE131" i="12"/>
  <c r="AE50" i="12" s="1"/>
  <c r="AF131" i="12"/>
  <c r="AF50" i="12" s="1"/>
  <c r="AB191" i="86"/>
  <c r="AG131" i="12"/>
  <c r="AG50" i="12" s="1"/>
  <c r="Z32" i="12"/>
  <c r="AA32" i="12"/>
  <c r="AA32" i="86" s="1"/>
  <c r="AB32" i="12"/>
  <c r="Y114" i="89"/>
  <c r="Y16" i="89" s="1"/>
  <c r="AA194" i="86"/>
  <c r="Z114" i="89"/>
  <c r="AC32" i="12"/>
  <c r="AC90" i="86" s="1"/>
  <c r="AB194" i="86"/>
  <c r="AB165" i="86"/>
  <c r="AD32" i="12"/>
  <c r="AD90" i="86" s="1"/>
  <c r="AD194" i="86" s="1"/>
  <c r="J59" i="98" s="1"/>
  <c r="AA114" i="89"/>
  <c r="AD90" i="98" s="1"/>
  <c r="AB114" i="89"/>
  <c r="AE90" i="98" s="1"/>
  <c r="AE32" i="12"/>
  <c r="AE90" i="86" s="1"/>
  <c r="AE194" i="86" s="1"/>
  <c r="K59" i="98" s="1"/>
  <c r="AC147" i="86"/>
  <c r="H59" i="98"/>
  <c r="AB16" i="89"/>
  <c r="AF32" i="12"/>
  <c r="AF90" i="86" s="1"/>
  <c r="AC114" i="89"/>
  <c r="AC16" i="89" s="1"/>
  <c r="AD114" i="89"/>
  <c r="AD16" i="89" s="1"/>
  <c r="AG32" i="12"/>
  <c r="AG90" i="86" s="1"/>
  <c r="AE114" i="89"/>
  <c r="AE16" i="89" s="1"/>
  <c r="AG90" i="98"/>
  <c r="AF114" i="89"/>
  <c r="AG114" i="89"/>
  <c r="AH115" i="89" s="1"/>
  <c r="Z25" i="30"/>
  <c r="AA25" i="30"/>
  <c r="AB25" i="30"/>
  <c r="AB99" i="44" s="1"/>
  <c r="AC25" i="30"/>
  <c r="AD25" i="30"/>
  <c r="AE25" i="30"/>
  <c r="AF25" i="30"/>
  <c r="AG25" i="30"/>
  <c r="Z26" i="89"/>
  <c r="AB85" i="98"/>
  <c r="Y13" i="89"/>
  <c r="AC79" i="98"/>
  <c r="Z13" i="89"/>
  <c r="Z35" i="89"/>
  <c r="AC85" i="98"/>
  <c r="AA35" i="89"/>
  <c r="AD85" i="98"/>
  <c r="AA36" i="89"/>
  <c r="AA13" i="89"/>
  <c r="AB26" i="89"/>
  <c r="AC26" i="89"/>
  <c r="AD13" i="89"/>
  <c r="AG85" i="98"/>
  <c r="AD35" i="89"/>
  <c r="AF13" i="89"/>
  <c r="AF35" i="89"/>
  <c r="AI85" i="98"/>
  <c r="AG35" i="89"/>
  <c r="AG36" i="89"/>
  <c r="AG13" i="89"/>
  <c r="AD182" i="86"/>
  <c r="J48" i="98" s="1"/>
  <c r="AE182" i="86"/>
  <c r="K48" i="98" s="1"/>
  <c r="AF182" i="86"/>
  <c r="L48" i="98" s="1"/>
  <c r="AG182" i="86"/>
  <c r="M48" i="98" s="1"/>
  <c r="X49" i="36"/>
  <c r="W12" i="34"/>
  <c r="W20" i="36" s="1"/>
  <c r="W15" i="36"/>
  <c r="X12" i="34"/>
  <c r="X20" i="57" s="1"/>
  <c r="Y12" i="34"/>
  <c r="Y90" i="44" s="1"/>
  <c r="X15" i="36"/>
  <c r="Y15" i="36"/>
  <c r="Z15" i="36"/>
  <c r="Y84" i="44"/>
  <c r="Y209" i="44" s="1"/>
  <c r="AA15" i="36"/>
  <c r="AB15" i="36"/>
  <c r="AC15" i="36"/>
  <c r="AB84" i="44"/>
  <c r="AB126" i="44" s="1"/>
  <c r="AD15" i="36"/>
  <c r="AE15" i="36"/>
  <c r="AF15" i="36"/>
  <c r="AG15" i="36"/>
  <c r="Y14" i="56"/>
  <c r="Y191" i="44" s="1"/>
  <c r="Y12" i="56"/>
  <c r="Y186" i="44"/>
  <c r="X23" i="30"/>
  <c r="X24" i="42" s="1"/>
  <c r="X55" i="36"/>
  <c r="Y55" i="36"/>
  <c r="X84" i="30"/>
  <c r="X21" i="30" s="1"/>
  <c r="X21" i="42" s="1"/>
  <c r="X27" i="45" s="1"/>
  <c r="X39" i="41" s="1"/>
  <c r="X73" i="41" s="1"/>
  <c r="Z12" i="34"/>
  <c r="Z20" i="57" s="1"/>
  <c r="AA12" i="34"/>
  <c r="AB12" i="34"/>
  <c r="AB20" i="57" s="1"/>
  <c r="AC12" i="34"/>
  <c r="AC20" i="36" s="1"/>
  <c r="AC19" i="41"/>
  <c r="AC62" i="36"/>
  <c r="AD12" i="34"/>
  <c r="AD20" i="57" s="1"/>
  <c r="AE12" i="34"/>
  <c r="AE20" i="57" s="1"/>
  <c r="AD19" i="41"/>
  <c r="AD62" i="36"/>
  <c r="AF12" i="34"/>
  <c r="AF20" i="36" s="1"/>
  <c r="AE19" i="41"/>
  <c r="AE62" i="36"/>
  <c r="AG12" i="34"/>
  <c r="AF62" i="36"/>
  <c r="AF19" i="41"/>
  <c r="AG62" i="36"/>
  <c r="W23" i="30"/>
  <c r="W24" i="42" s="1"/>
  <c r="W25" i="89"/>
  <c r="X26" i="89" s="1"/>
  <c r="W34" i="89"/>
  <c r="W13" i="89" s="1"/>
  <c r="W17" i="56"/>
  <c r="W97" i="44"/>
  <c r="W21" i="30"/>
  <c r="W21" i="42" s="1"/>
  <c r="W27" i="45" s="1"/>
  <c r="W39" i="41" s="1"/>
  <c r="W73" i="41" s="1"/>
  <c r="W16" i="89"/>
  <c r="X14" i="56"/>
  <c r="J80" i="98"/>
  <c r="E79" i="98"/>
  <c r="J82" i="98"/>
  <c r="H71" i="98"/>
  <c r="K80" i="98"/>
  <c r="AE25" i="12"/>
  <c r="K69" i="98"/>
  <c r="G80" i="98"/>
  <c r="E80" i="98"/>
  <c r="M82" i="98"/>
  <c r="I82" i="98"/>
  <c r="AB25" i="12"/>
  <c r="H69" i="98"/>
  <c r="F69" i="98"/>
  <c r="Z25" i="12"/>
  <c r="Y22" i="12"/>
  <c r="E66" i="98"/>
  <c r="K71" i="98"/>
  <c r="G71" i="98"/>
  <c r="Y21" i="12"/>
  <c r="E65" i="98"/>
  <c r="H80" i="98"/>
  <c r="E82" i="98"/>
  <c r="I80" i="98"/>
  <c r="E77" i="98"/>
  <c r="L82" i="98"/>
  <c r="H82" i="98"/>
  <c r="E76" i="98"/>
  <c r="J69" i="98"/>
  <c r="AD25" i="12"/>
  <c r="Y24" i="12"/>
  <c r="E68" i="98"/>
  <c r="J71" i="98"/>
  <c r="F71" i="98"/>
  <c r="E71" i="98"/>
  <c r="F82" i="98"/>
  <c r="M71" i="98"/>
  <c r="F80" i="98"/>
  <c r="K82" i="98"/>
  <c r="G82" i="98"/>
  <c r="I69" i="98"/>
  <c r="AC25" i="12"/>
  <c r="AA25" i="12"/>
  <c r="G69" i="98"/>
  <c r="E69" i="98"/>
  <c r="Y25" i="12"/>
  <c r="L71" i="98"/>
  <c r="I71" i="98"/>
  <c r="AF25" i="12"/>
  <c r="L69" i="98"/>
  <c r="L80" i="98"/>
  <c r="M80" i="98"/>
  <c r="AG25" i="12"/>
  <c r="M69" i="98"/>
  <c r="Z55" i="36"/>
  <c r="AA55" i="36"/>
  <c r="AA57" i="36"/>
  <c r="AA12" i="36"/>
  <c r="AB55" i="36"/>
  <c r="AB57" i="36" s="1"/>
  <c r="AB12" i="36" s="1"/>
  <c r="AC55" i="36"/>
  <c r="AC57" i="36" s="1"/>
  <c r="AC12" i="36" s="1"/>
  <c r="AD55" i="36"/>
  <c r="AE55" i="36"/>
  <c r="AF55" i="36"/>
  <c r="AF57" i="36" s="1"/>
  <c r="AF12" i="36" s="1"/>
  <c r="AG55" i="36"/>
  <c r="AG57" i="36"/>
  <c r="AG12" i="36" s="1"/>
  <c r="X17" i="56"/>
  <c r="X97" i="44" s="1"/>
  <c r="F79" i="98"/>
  <c r="F68" i="98"/>
  <c r="Z24" i="12"/>
  <c r="F77" i="98"/>
  <c r="F66" i="98"/>
  <c r="Z22" i="12"/>
  <c r="G68" i="98"/>
  <c r="AA24" i="12"/>
  <c r="G66" i="98"/>
  <c r="AA22" i="12"/>
  <c r="G79" i="98"/>
  <c r="G77" i="98"/>
  <c r="AB22" i="12"/>
  <c r="H66" i="98"/>
  <c r="H77" i="98"/>
  <c r="AC24" i="12"/>
  <c r="I68" i="98"/>
  <c r="I79" i="98"/>
  <c r="AB24" i="12"/>
  <c r="H68" i="98"/>
  <c r="H79" i="98"/>
  <c r="I77" i="98"/>
  <c r="J79" i="98"/>
  <c r="AC22" i="12"/>
  <c r="I66" i="98"/>
  <c r="J77" i="98"/>
  <c r="X12" i="56"/>
  <c r="J68" i="98"/>
  <c r="AD24" i="12"/>
  <c r="J66" i="98"/>
  <c r="AD22" i="12"/>
  <c r="K79" i="98"/>
  <c r="K68" i="98"/>
  <c r="AE24" i="12"/>
  <c r="AE22" i="12"/>
  <c r="K66" i="98"/>
  <c r="K77" i="98"/>
  <c r="AF22" i="12"/>
  <c r="L66" i="98"/>
  <c r="L79" i="98"/>
  <c r="L68" i="98"/>
  <c r="AF24" i="12"/>
  <c r="L77" i="98"/>
  <c r="AG22" i="12"/>
  <c r="M66" i="98"/>
  <c r="M68" i="98"/>
  <c r="AG24" i="12"/>
  <c r="M79" i="98"/>
  <c r="M77" i="98"/>
  <c r="Y17" i="56"/>
  <c r="Y97" i="44"/>
  <c r="Z17" i="56"/>
  <c r="Z97" i="44" s="1"/>
  <c r="AA17" i="56"/>
  <c r="AA97" i="44" s="1"/>
  <c r="AB17" i="56"/>
  <c r="AB97" i="44"/>
  <c r="AC17" i="56"/>
  <c r="AC97" i="44" s="1"/>
  <c r="AD17" i="56"/>
  <c r="AD97" i="44" s="1"/>
  <c r="AE17" i="56"/>
  <c r="AE97" i="44" s="1"/>
  <c r="AF17" i="56"/>
  <c r="AF97" i="44" s="1"/>
  <c r="AG17" i="56"/>
  <c r="AG97" i="44"/>
  <c r="F76" i="98"/>
  <c r="Z21" i="12"/>
  <c r="F65" i="98"/>
  <c r="G76" i="98"/>
  <c r="G65" i="98"/>
  <c r="AA21" i="12"/>
  <c r="AC183" i="86"/>
  <c r="AC81" i="86"/>
  <c r="AC163" i="86" s="1"/>
  <c r="H76" i="98"/>
  <c r="I76" i="98"/>
  <c r="AD183" i="86"/>
  <c r="J49" i="98" s="1"/>
  <c r="AD81" i="86"/>
  <c r="AD163" i="86" s="1"/>
  <c r="AB21" i="12"/>
  <c r="H65" i="98"/>
  <c r="AC21" i="12"/>
  <c r="I65" i="98"/>
  <c r="J76" i="98"/>
  <c r="J65" i="98"/>
  <c r="AD21" i="12"/>
  <c r="AE183" i="86"/>
  <c r="K49" i="98" s="1"/>
  <c r="AE81" i="86"/>
  <c r="AE163" i="86" s="1"/>
  <c r="K65" i="98"/>
  <c r="AE21" i="12"/>
  <c r="AF183" i="86"/>
  <c r="L49" i="98" s="1"/>
  <c r="AF81" i="86"/>
  <c r="AF163" i="86" s="1"/>
  <c r="K76" i="98"/>
  <c r="L76" i="98"/>
  <c r="AG183" i="86"/>
  <c r="M49" i="98" s="1"/>
  <c r="AG81" i="86"/>
  <c r="AG163" i="86" s="1"/>
  <c r="L65" i="98"/>
  <c r="AF21" i="12"/>
  <c r="M76" i="98"/>
  <c r="AG21" i="12"/>
  <c r="M65" i="98"/>
  <c r="Y15" i="56"/>
  <c r="Y193" i="44" s="1"/>
  <c r="Y13" i="56"/>
  <c r="Y188" i="44" s="1"/>
  <c r="X15" i="56"/>
  <c r="X13" i="56"/>
  <c r="W15" i="56"/>
  <c r="W13" i="56"/>
  <c r="Z13" i="56"/>
  <c r="Z15" i="56"/>
  <c r="Z193" i="44" s="1"/>
  <c r="AA15" i="56"/>
  <c r="AA13" i="56"/>
  <c r="AB15" i="56"/>
  <c r="AB193" i="44"/>
  <c r="AB13" i="56"/>
  <c r="AB188" i="44" s="1"/>
  <c r="AC15" i="56"/>
  <c r="AC13" i="56"/>
  <c r="AD15" i="56"/>
  <c r="AD13" i="56"/>
  <c r="AE13" i="56"/>
  <c r="AE15" i="56"/>
  <c r="AF15" i="56"/>
  <c r="AF13" i="56"/>
  <c r="AG13" i="56"/>
  <c r="AG15" i="56"/>
  <c r="W169" i="44"/>
  <c r="Y20" i="12"/>
  <c r="E64" i="98"/>
  <c r="E75" i="98"/>
  <c r="F75" i="98"/>
  <c r="F64" i="98"/>
  <c r="Z20" i="12"/>
  <c r="W192" i="44"/>
  <c r="W230" i="44" s="1"/>
  <c r="W187" i="44"/>
  <c r="W231" i="44" s="1"/>
  <c r="W240" i="44"/>
  <c r="G64" i="98"/>
  <c r="AA20" i="12"/>
  <c r="G75" i="98"/>
  <c r="H75" i="98"/>
  <c r="AB20" i="12"/>
  <c r="H64" i="98"/>
  <c r="I64" i="98"/>
  <c r="AC20" i="12"/>
  <c r="I75" i="98"/>
  <c r="J75" i="98"/>
  <c r="AD20" i="12"/>
  <c r="J64" i="98"/>
  <c r="K75" i="98"/>
  <c r="K64" i="98"/>
  <c r="AE20" i="12"/>
  <c r="AF20" i="12"/>
  <c r="L64" i="98"/>
  <c r="L75" i="98"/>
  <c r="M64" i="98"/>
  <c r="AG20" i="12"/>
  <c r="M75" i="98"/>
  <c r="I42" i="36"/>
  <c r="B6" i="86"/>
  <c r="C7" i="36"/>
  <c r="H61" i="57"/>
  <c r="B7" i="62"/>
  <c r="F97" i="41"/>
  <c r="H57" i="57"/>
  <c r="I59" i="36"/>
  <c r="B7" i="30"/>
  <c r="I63" i="36"/>
  <c r="B35" i="90"/>
  <c r="B7" i="12"/>
  <c r="H59" i="57"/>
  <c r="B7" i="45"/>
  <c r="G24" i="56"/>
  <c r="H42" i="57"/>
  <c r="B7" i="42"/>
  <c r="C7" i="57"/>
  <c r="I61" i="36"/>
  <c r="B7" i="34"/>
  <c r="AB17" i="86"/>
  <c r="AC17" i="86"/>
  <c r="AD17" i="86" s="1"/>
  <c r="AE17" i="86" s="1"/>
  <c r="AB15" i="86"/>
  <c r="AE82" i="98" s="1"/>
  <c r="AD79" i="98"/>
  <c r="AD82" i="98"/>
  <c r="AA13" i="86"/>
  <c r="AC142" i="86"/>
  <c r="AC152" i="86"/>
  <c r="Z115" i="89" l="1"/>
  <c r="Z16" i="89"/>
  <c r="BM63" i="90"/>
  <c r="BN63" i="90"/>
  <c r="BJ70" i="90"/>
  <c r="BN70" i="90"/>
  <c r="BP70" i="90"/>
  <c r="BR70" i="90"/>
  <c r="BO62" i="90"/>
  <c r="D13" i="90"/>
  <c r="AA20" i="98" s="1"/>
  <c r="BT79" i="90"/>
  <c r="BO86" i="90"/>
  <c r="BO87" i="90"/>
  <c r="BN102" i="90"/>
  <c r="D84" i="12"/>
  <c r="D73" i="12"/>
  <c r="BI64" i="90"/>
  <c r="BR64" i="90"/>
  <c r="BO64" i="90"/>
  <c r="BQ64" i="90"/>
  <c r="BP105" i="90"/>
  <c r="BN105" i="90"/>
  <c r="AI90" i="98"/>
  <c r="AF16" i="89"/>
  <c r="AE57" i="36"/>
  <c r="AE12" i="36" s="1"/>
  <c r="BR75" i="90"/>
  <c r="BK121" i="90"/>
  <c r="C51" i="30"/>
  <c r="F73" i="30"/>
  <c r="F81" i="30" s="1"/>
  <c r="BN62" i="90"/>
  <c r="AB196" i="86"/>
  <c r="AB166" i="86"/>
  <c r="H56" i="98"/>
  <c r="G59" i="98"/>
  <c r="AA165" i="86"/>
  <c r="BO109" i="90"/>
  <c r="BR122" i="90"/>
  <c r="AC167" i="86"/>
  <c r="BM76" i="90"/>
  <c r="BN77" i="90"/>
  <c r="BP93" i="90"/>
  <c r="BI103" i="90"/>
  <c r="BO103" i="90"/>
  <c r="BP103" i="90"/>
  <c r="BO105" i="90"/>
  <c r="BI85" i="90"/>
  <c r="BP85" i="90"/>
  <c r="D23" i="98"/>
  <c r="AF90" i="98"/>
  <c r="AC115" i="89"/>
  <c r="BR100" i="90"/>
  <c r="BP100" i="90"/>
  <c r="BM56" i="90"/>
  <c r="BO90" i="90"/>
  <c r="BI102" i="90"/>
  <c r="BP102" i="90"/>
  <c r="BR102" i="90"/>
  <c r="BO102" i="90"/>
  <c r="BO126" i="90"/>
  <c r="I11" i="90"/>
  <c r="AF18" i="98" s="1"/>
  <c r="BY66" i="90"/>
  <c r="BQ116" i="90"/>
  <c r="BP116" i="90"/>
  <c r="BI93" i="90"/>
  <c r="BR93" i="90"/>
  <c r="BM79" i="90"/>
  <c r="BJ86" i="90"/>
  <c r="BQ86" i="90"/>
  <c r="AC190" i="86"/>
  <c r="AC160" i="86"/>
  <c r="AB28" i="45"/>
  <c r="AB42" i="41"/>
  <c r="AB76" i="41" s="1"/>
  <c r="AD155" i="86"/>
  <c r="AD181" i="86"/>
  <c r="AD139" i="86"/>
  <c r="AD149" i="86"/>
  <c r="AF466" i="57"/>
  <c r="AF467" i="57"/>
  <c r="BN64" i="90"/>
  <c r="BK90" i="90"/>
  <c r="BP90" i="90"/>
  <c r="BM65" i="90"/>
  <c r="BQ65" i="90"/>
  <c r="BR65" i="90"/>
  <c r="BO65" i="90"/>
  <c r="BN121" i="90"/>
  <c r="BP111" i="90"/>
  <c r="BI81" i="90"/>
  <c r="BN81" i="90"/>
  <c r="BP81" i="90"/>
  <c r="BO81" i="90"/>
  <c r="BJ82" i="90"/>
  <c r="BP82" i="90"/>
  <c r="BQ99" i="90"/>
  <c r="BP99" i="90"/>
  <c r="BK100" i="90"/>
  <c r="BQ100" i="90"/>
  <c r="BI115" i="90"/>
  <c r="BQ115" i="90"/>
  <c r="BO115" i="90"/>
  <c r="BM61" i="90"/>
  <c r="BZ75" i="90"/>
  <c r="BO75" i="90" s="1"/>
  <c r="BN117" i="90"/>
  <c r="BJ62" i="90"/>
  <c r="BP73" i="90"/>
  <c r="BO101" i="90"/>
  <c r="BM72" i="90"/>
  <c r="BM120" i="90"/>
  <c r="BR83" i="90"/>
  <c r="AF36" i="98"/>
  <c r="Z191" i="44"/>
  <c r="AG64" i="89"/>
  <c r="D76" i="12"/>
  <c r="AB14" i="62"/>
  <c r="Y12" i="62"/>
  <c r="BN100" i="90"/>
  <c r="BP61" i="90"/>
  <c r="BL66" i="90"/>
  <c r="BP106" i="90"/>
  <c r="BY107" i="90"/>
  <c r="AA450" i="57"/>
  <c r="X449" i="57"/>
  <c r="Y448" i="57"/>
  <c r="AJ451" i="57"/>
  <c r="AE14" i="57"/>
  <c r="AE17" i="57" s="1"/>
  <c r="AE22" i="57" s="1"/>
  <c r="X57" i="36"/>
  <c r="X12" i="36" s="1"/>
  <c r="AD22" i="57"/>
  <c r="AD57" i="36"/>
  <c r="AD12" i="36" s="1"/>
  <c r="BM116" i="90"/>
  <c r="BP101" i="90"/>
  <c r="BM93" i="90"/>
  <c r="BM89" i="90"/>
  <c r="BQ105" i="90"/>
  <c r="AF52" i="89"/>
  <c r="BR124" i="90"/>
  <c r="AA14" i="62"/>
  <c r="X12" i="62"/>
  <c r="AE42" i="57"/>
  <c r="BJ46" i="90"/>
  <c r="BK67" i="90"/>
  <c r="Z451" i="57"/>
  <c r="AB452" i="57"/>
  <c r="AA476" i="57"/>
  <c r="AQ71" i="57"/>
  <c r="BJ71" i="57" s="1"/>
  <c r="AH451" i="57"/>
  <c r="AI449" i="57"/>
  <c r="AH449" i="57"/>
  <c r="AL448" i="57"/>
  <c r="AI475" i="57"/>
  <c r="AH483" i="57"/>
  <c r="AB475" i="57"/>
  <c r="AE481" i="57"/>
  <c r="AG475" i="57"/>
  <c r="X475" i="57"/>
  <c r="W475" i="57"/>
  <c r="AA477" i="57"/>
  <c r="AE477" i="57"/>
  <c r="AC450" i="57"/>
  <c r="AI450" i="57"/>
  <c r="AJ448" i="57"/>
  <c r="AI448" i="57"/>
  <c r="AH448" i="57"/>
  <c r="AI477" i="57"/>
  <c r="AL475" i="57"/>
  <c r="AH481" i="57"/>
  <c r="AI483" i="57"/>
  <c r="Y474" i="57"/>
  <c r="Y475" i="57"/>
  <c r="AD483" i="57"/>
  <c r="AF475" i="57"/>
  <c r="X477" i="57"/>
  <c r="AD477" i="57"/>
  <c r="Y483" i="57"/>
  <c r="W451" i="57"/>
  <c r="AB453" i="57"/>
  <c r="Y450" i="57"/>
  <c r="Z452" i="57"/>
  <c r="Z450" i="57"/>
  <c r="AD451" i="57"/>
  <c r="W448" i="57"/>
  <c r="Y453" i="57"/>
  <c r="AJ449" i="57"/>
  <c r="AL453" i="57"/>
  <c r="AK453" i="57"/>
  <c r="AK477" i="57"/>
  <c r="AH474" i="57"/>
  <c r="AJ483" i="57"/>
  <c r="W481" i="57"/>
  <c r="AG477" i="57"/>
  <c r="X483" i="57"/>
  <c r="AA483" i="57"/>
  <c r="AF481" i="57"/>
  <c r="AG483" i="57"/>
  <c r="AE451" i="57"/>
  <c r="AA448" i="57"/>
  <c r="AG450" i="57"/>
  <c r="W450" i="57"/>
  <c r="AB451" i="57"/>
  <c r="AF452" i="57"/>
  <c r="AE448" i="57"/>
  <c r="AE454" i="57" s="1"/>
  <c r="AE458" i="57" s="1"/>
  <c r="AD43" i="114" s="1"/>
  <c r="AF448" i="57"/>
  <c r="AI453" i="57"/>
  <c r="AH453" i="57"/>
  <c r="AL452" i="57"/>
  <c r="AJ475" i="57"/>
  <c r="AL477" i="57"/>
  <c r="AK483" i="57"/>
  <c r="AI481" i="57"/>
  <c r="AF477" i="57"/>
  <c r="AA474" i="57"/>
  <c r="AD474" i="57"/>
  <c r="AC475" i="57"/>
  <c r="AG481" i="57"/>
  <c r="AF483" i="57"/>
  <c r="Y452" i="57"/>
  <c r="Y451" i="57"/>
  <c r="AA451" i="57"/>
  <c r="AG451" i="57"/>
  <c r="AD452" i="57"/>
  <c r="X451" i="57"/>
  <c r="Y449" i="57"/>
  <c r="AF451" i="57"/>
  <c r="AJ452" i="57"/>
  <c r="AI452" i="57"/>
  <c r="AH452" i="57"/>
  <c r="AJ477" i="57"/>
  <c r="AH475" i="57"/>
  <c r="AK474" i="57"/>
  <c r="AL483" i="57"/>
  <c r="AA475" i="57"/>
  <c r="AC481" i="57"/>
  <c r="AE474" i="57"/>
  <c r="W477" i="57"/>
  <c r="AD481" i="57"/>
  <c r="Z477" i="57"/>
  <c r="AC483" i="57"/>
  <c r="AG452" i="57"/>
  <c r="AF450" i="57"/>
  <c r="AC452" i="57"/>
  <c r="AD449" i="57"/>
  <c r="X453" i="57"/>
  <c r="AG453" i="57"/>
  <c r="AG449" i="57"/>
  <c r="AC449" i="57"/>
  <c r="AJ453" i="57"/>
  <c r="AL450" i="57"/>
  <c r="AK450" i="57"/>
  <c r="AJ450" i="57"/>
  <c r="AH477" i="57"/>
  <c r="AK481" i="57"/>
  <c r="AG474" i="57"/>
  <c r="Y477" i="57"/>
  <c r="AA481" i="57"/>
  <c r="X474" i="57"/>
  <c r="AB474" i="57"/>
  <c r="W474" i="57"/>
  <c r="W473" i="57" s="1"/>
  <c r="W515" i="57" s="1"/>
  <c r="AC477" i="57"/>
  <c r="AD475" i="57"/>
  <c r="Z483" i="57"/>
  <c r="AG448" i="57"/>
  <c r="AG454" i="57" s="1"/>
  <c r="Z448" i="57"/>
  <c r="AC448" i="57"/>
  <c r="AE453" i="57"/>
  <c r="AD448" i="57"/>
  <c r="AD454" i="57" s="1"/>
  <c r="AD458" i="57" s="1"/>
  <c r="AC43" i="114" s="1"/>
  <c r="X448" i="57"/>
  <c r="AC453" i="57"/>
  <c r="AC451" i="57"/>
  <c r="X450" i="57"/>
  <c r="AL451" i="57"/>
  <c r="AH450" i="57"/>
  <c r="AL449" i="57"/>
  <c r="AK449" i="57"/>
  <c r="AJ481" i="57"/>
  <c r="AL474" i="57"/>
  <c r="AF474" i="57"/>
  <c r="Z481" i="57"/>
  <c r="AB477" i="57"/>
  <c r="Z475" i="57"/>
  <c r="Y481" i="57"/>
  <c r="AB481" i="57"/>
  <c r="W483" i="57"/>
  <c r="AA449" i="57"/>
  <c r="AB449" i="57"/>
  <c r="AB454" i="57" s="1"/>
  <c r="AB458" i="57" s="1"/>
  <c r="W449" i="57"/>
  <c r="X452" i="57"/>
  <c r="AH160" i="86"/>
  <c r="AH190" i="86"/>
  <c r="BK126" i="90"/>
  <c r="BO61" i="90"/>
  <c r="BQ63" i="90"/>
  <c r="BR77" i="90"/>
  <c r="BL115" i="90"/>
  <c r="BL64" i="90"/>
  <c r="BP65" i="90"/>
  <c r="BJ120" i="90"/>
  <c r="BL109" i="90"/>
  <c r="AA52" i="89"/>
  <c r="AA64" i="89"/>
  <c r="AB85" i="89"/>
  <c r="Y85" i="89"/>
  <c r="AG42" i="57"/>
  <c r="BK48" i="90"/>
  <c r="BL100" i="90"/>
  <c r="BM112" i="90"/>
  <c r="BJ115" i="90"/>
  <c r="BO119" i="90"/>
  <c r="AE450" i="57"/>
  <c r="W453" i="57"/>
  <c r="AE483" i="57"/>
  <c r="AL481" i="57"/>
  <c r="AI139" i="86"/>
  <c r="AI144" i="86"/>
  <c r="AL14" i="57"/>
  <c r="AL17" i="57" s="1"/>
  <c r="BN108" i="90"/>
  <c r="BR119" i="90"/>
  <c r="Z474" i="57"/>
  <c r="Z473" i="57" s="1"/>
  <c r="AJ474" i="57"/>
  <c r="BN99" i="90"/>
  <c r="AH90" i="98"/>
  <c r="Y115" i="89"/>
  <c r="G61" i="98"/>
  <c r="Z57" i="36"/>
  <c r="Z12" i="36" s="1"/>
  <c r="BN125" i="90"/>
  <c r="BN111" i="90"/>
  <c r="BO117" i="90"/>
  <c r="BL111" i="90"/>
  <c r="BL88" i="90"/>
  <c r="BK79" i="90"/>
  <c r="BL104" i="90"/>
  <c r="BQ82" i="90"/>
  <c r="AB104" i="89"/>
  <c r="AA79" i="89"/>
  <c r="AE149" i="86"/>
  <c r="Y64" i="89"/>
  <c r="AA85" i="89"/>
  <c r="AG192" i="86"/>
  <c r="M57" i="98" s="1"/>
  <c r="AB467" i="57"/>
  <c r="AL466" i="57"/>
  <c r="BK75" i="90"/>
  <c r="BM83" i="90"/>
  <c r="AA452" i="57"/>
  <c r="Z449" i="57"/>
  <c r="AD453" i="57"/>
  <c r="AC474" i="57"/>
  <c r="AC473" i="57" s="1"/>
  <c r="AC515" i="57" s="1"/>
  <c r="AK475" i="57"/>
  <c r="AB191" i="44"/>
  <c r="BJ116" i="90"/>
  <c r="AD42" i="57"/>
  <c r="AE452" i="57"/>
  <c r="AF453" i="57"/>
  <c r="AD450" i="57"/>
  <c r="AB483" i="57"/>
  <c r="X476" i="57"/>
  <c r="AI474" i="57"/>
  <c r="AK476" i="57"/>
  <c r="AG476" i="57"/>
  <c r="W476" i="57"/>
  <c r="AE476" i="57"/>
  <c r="AJ476" i="57"/>
  <c r="Y476" i="57"/>
  <c r="AB476" i="57"/>
  <c r="I482" i="57"/>
  <c r="AL476" i="57"/>
  <c r="AC476" i="57"/>
  <c r="AD476" i="57"/>
  <c r="AI476" i="57"/>
  <c r="I515" i="57"/>
  <c r="AH476" i="57"/>
  <c r="Z476" i="57"/>
  <c r="AF476" i="57"/>
  <c r="AI104" i="89"/>
  <c r="AH15" i="89"/>
  <c r="AN90" i="98"/>
  <c r="AK16" i="89"/>
  <c r="BR108" i="90"/>
  <c r="BP84" i="90"/>
  <c r="BQ103" i="90"/>
  <c r="BR99" i="90"/>
  <c r="BJ50" i="90"/>
  <c r="BM117" i="90"/>
  <c r="BO68" i="90"/>
  <c r="BJ76" i="90"/>
  <c r="W452" i="57"/>
  <c r="AF449" i="57"/>
  <c r="AA453" i="57"/>
  <c r="AE475" i="57"/>
  <c r="AI451" i="57"/>
  <c r="V26" i="40"/>
  <c r="AB26" i="40"/>
  <c r="AE73" i="89"/>
  <c r="B2" i="45"/>
  <c r="AL79" i="89"/>
  <c r="AM85" i="98"/>
  <c r="AH26" i="89"/>
  <c r="AK149" i="86"/>
  <c r="AI190" i="86"/>
  <c r="AK86" i="41"/>
  <c r="H130" i="112"/>
  <c r="C37" i="115"/>
  <c r="BJ81" i="90"/>
  <c r="BJ99" i="90"/>
  <c r="BJ105" i="90"/>
  <c r="AC26" i="40"/>
  <c r="AC32" i="40" s="1"/>
  <c r="AD73" i="89"/>
  <c r="B2" i="99"/>
  <c r="B2" i="12"/>
  <c r="AK144" i="86"/>
  <c r="BJ43" i="90"/>
  <c r="Z466" i="57"/>
  <c r="BJ56" i="90"/>
  <c r="BO100" i="90"/>
  <c r="G13" i="90"/>
  <c r="AD20" i="98" s="1"/>
  <c r="BV91" i="90"/>
  <c r="BO91" i="90" s="1"/>
  <c r="BM94" i="90"/>
  <c r="BJ114" i="90"/>
  <c r="K90" i="112"/>
  <c r="B2" i="101"/>
  <c r="B2" i="92"/>
  <c r="AI58" i="89"/>
  <c r="AJ64" i="89"/>
  <c r="AI85" i="89"/>
  <c r="AL115" i="89"/>
  <c r="W57" i="36"/>
  <c r="W12" i="36" s="1"/>
  <c r="H32" i="115"/>
  <c r="H33" i="115" s="1"/>
  <c r="BN49" i="90"/>
  <c r="BZ48" i="90"/>
  <c r="BJ91" i="90"/>
  <c r="BL107" i="90"/>
  <c r="BK116" i="90"/>
  <c r="AC41" i="57"/>
  <c r="AC42" i="57" s="1"/>
  <c r="W465" i="57"/>
  <c r="AF85" i="89"/>
  <c r="G168" i="112"/>
  <c r="B2" i="112"/>
  <c r="B2" i="62"/>
  <c r="AM90" i="98"/>
  <c r="AL16" i="89"/>
  <c r="AJ85" i="89"/>
  <c r="AK187" i="86"/>
  <c r="AI86" i="41"/>
  <c r="G37" i="115"/>
  <c r="AE58" i="89"/>
  <c r="B2" i="89"/>
  <c r="B2" i="34"/>
  <c r="AI52" i="89"/>
  <c r="AJ58" i="89"/>
  <c r="AL86" i="41"/>
  <c r="H56" i="115"/>
  <c r="BJ117" i="90"/>
  <c r="AG73" i="89"/>
  <c r="I499" i="36"/>
  <c r="G162" i="112"/>
  <c r="B2" i="40"/>
  <c r="B2" i="91" s="1"/>
  <c r="B16" i="91" s="1"/>
  <c r="B2" i="30"/>
  <c r="AH86" i="41"/>
  <c r="BR96" i="90"/>
  <c r="BO96" i="90"/>
  <c r="BN96" i="90"/>
  <c r="BP96" i="90"/>
  <c r="BQ113" i="90"/>
  <c r="BN113" i="90"/>
  <c r="BO113" i="90"/>
  <c r="BP113" i="90"/>
  <c r="BP76" i="90"/>
  <c r="BR76" i="90"/>
  <c r="BQ76" i="90"/>
  <c r="BK95" i="90"/>
  <c r="BN95" i="90"/>
  <c r="BP95" i="90"/>
  <c r="BO95" i="90"/>
  <c r="BR95" i="90"/>
  <c r="BQ95" i="90"/>
  <c r="BQ57" i="90"/>
  <c r="BO57" i="90"/>
  <c r="BP57" i="90"/>
  <c r="BN110" i="90"/>
  <c r="BK71" i="90"/>
  <c r="BN71" i="90"/>
  <c r="BO71" i="90"/>
  <c r="BQ110" i="90"/>
  <c r="BO110" i="90"/>
  <c r="BK123" i="90"/>
  <c r="BR123" i="90"/>
  <c r="AJ80" i="30"/>
  <c r="AD80" i="30"/>
  <c r="AL80" i="30"/>
  <c r="AE80" i="30"/>
  <c r="AF80" i="30"/>
  <c r="AG80" i="30"/>
  <c r="AH80" i="30"/>
  <c r="AI80" i="30"/>
  <c r="AC80" i="30"/>
  <c r="AK80" i="30"/>
  <c r="AF64" i="30"/>
  <c r="AH64" i="30"/>
  <c r="AI64" i="30"/>
  <c r="AJ64" i="30"/>
  <c r="AC64" i="30"/>
  <c r="AK64" i="30"/>
  <c r="AD64" i="30"/>
  <c r="AL64" i="30"/>
  <c r="AE64" i="30"/>
  <c r="AG64" i="30"/>
  <c r="BR118" i="90"/>
  <c r="BO118" i="90"/>
  <c r="BP118" i="90"/>
  <c r="BQ118" i="90"/>
  <c r="BN120" i="90"/>
  <c r="BP91" i="90"/>
  <c r="BN74" i="90"/>
  <c r="BO74" i="90"/>
  <c r="BQ74" i="90"/>
  <c r="BR74" i="90"/>
  <c r="BP74" i="90"/>
  <c r="BM110" i="90"/>
  <c r="BL121" i="90"/>
  <c r="BP121" i="90"/>
  <c r="BR121" i="90"/>
  <c r="BP120" i="90"/>
  <c r="BJ89" i="90"/>
  <c r="BQ89" i="90"/>
  <c r="BP89" i="90"/>
  <c r="BO89" i="90"/>
  <c r="BN89" i="90"/>
  <c r="BR89" i="90"/>
  <c r="BL53" i="90"/>
  <c r="BN53" i="90"/>
  <c r="BJ60" i="90"/>
  <c r="BN60" i="90"/>
  <c r="BR60" i="90"/>
  <c r="BQ60" i="90"/>
  <c r="BK109" i="90"/>
  <c r="X115" i="89"/>
  <c r="W238" i="44"/>
  <c r="BD41" i="90"/>
  <c r="BR116" i="90"/>
  <c r="J11" i="90"/>
  <c r="AG18" i="98" s="1"/>
  <c r="H42" i="45"/>
  <c r="I67" i="45"/>
  <c r="BQ125" i="90"/>
  <c r="BK125" i="90"/>
  <c r="BP63" i="90"/>
  <c r="BP62" i="90"/>
  <c r="BP75" i="90"/>
  <c r="BR72" i="90"/>
  <c r="BP122" i="90"/>
  <c r="BO122" i="90"/>
  <c r="F11" i="90"/>
  <c r="AC18" i="98" s="1"/>
  <c r="BN106" i="90"/>
  <c r="BN73" i="90"/>
  <c r="BN112" i="90"/>
  <c r="BP83" i="90"/>
  <c r="BQ122" i="90"/>
  <c r="BP86" i="90"/>
  <c r="BO98" i="90"/>
  <c r="BR84" i="90"/>
  <c r="BR107" i="90"/>
  <c r="BJ121" i="90"/>
  <c r="BK122" i="90"/>
  <c r="BP53" i="90"/>
  <c r="AB186" i="44"/>
  <c r="BN124" i="90"/>
  <c r="AJ54" i="30"/>
  <c r="AH55" i="30"/>
  <c r="AF56" i="30"/>
  <c r="AD57" i="30"/>
  <c r="AL57" i="30"/>
  <c r="AD54" i="30"/>
  <c r="AL54" i="30"/>
  <c r="AJ55" i="30"/>
  <c r="AH56" i="30"/>
  <c r="AF57" i="30"/>
  <c r="AE54" i="30"/>
  <c r="AC55" i="30"/>
  <c r="AK55" i="30"/>
  <c r="AI56" i="30"/>
  <c r="AG57" i="30"/>
  <c r="AF54" i="30"/>
  <c r="AD55" i="30"/>
  <c r="AL55" i="30"/>
  <c r="AJ56" i="30"/>
  <c r="AH57" i="30"/>
  <c r="AG54" i="30"/>
  <c r="AE55" i="30"/>
  <c r="AC56" i="30"/>
  <c r="AK56" i="30"/>
  <c r="AI57" i="30"/>
  <c r="AH54" i="30"/>
  <c r="AF55" i="30"/>
  <c r="AD56" i="30"/>
  <c r="AL56" i="30"/>
  <c r="AJ57" i="30"/>
  <c r="AC54" i="30"/>
  <c r="AI54" i="30"/>
  <c r="AG55" i="30"/>
  <c r="AE56" i="30"/>
  <c r="AC57" i="30"/>
  <c r="AK57" i="30"/>
  <c r="AK54" i="30"/>
  <c r="AI55" i="30"/>
  <c r="AG56" i="30"/>
  <c r="AE57" i="30"/>
  <c r="AD14" i="62"/>
  <c r="AD18" i="41" s="1"/>
  <c r="BN68" i="36"/>
  <c r="BN56" i="36" s="1"/>
  <c r="AU56" i="36"/>
  <c r="BP68" i="36"/>
  <c r="BP56" i="36" s="1"/>
  <c r="AW56" i="36"/>
  <c r="BO68" i="57"/>
  <c r="BO56" i="57" s="1"/>
  <c r="AV56" i="57"/>
  <c r="AF167" i="86"/>
  <c r="AC144" i="86"/>
  <c r="H60" i="98"/>
  <c r="AC73" i="89"/>
  <c r="AB73" i="89"/>
  <c r="AG458" i="57"/>
  <c r="AF43" i="114" s="1"/>
  <c r="AG456" i="57"/>
  <c r="Y467" i="57"/>
  <c r="Y466" i="57"/>
  <c r="BP46" i="90"/>
  <c r="F12" i="90"/>
  <c r="AC19" i="98" s="1"/>
  <c r="BL62" i="90"/>
  <c r="BJ63" i="90"/>
  <c r="BJ64" i="90"/>
  <c r="BK83" i="90"/>
  <c r="BM91" i="90"/>
  <c r="BL102" i="90"/>
  <c r="BM108" i="90"/>
  <c r="BM109" i="90"/>
  <c r="BP68" i="57"/>
  <c r="BP56" i="57" s="1"/>
  <c r="AW56" i="57"/>
  <c r="AH63" i="30"/>
  <c r="AJ63" i="30"/>
  <c r="AC63" i="30"/>
  <c r="AK63" i="30"/>
  <c r="AD63" i="30"/>
  <c r="AL63" i="30"/>
  <c r="AE63" i="30"/>
  <c r="AF63" i="30"/>
  <c r="AG63" i="30"/>
  <c r="AI63" i="30"/>
  <c r="BP69" i="90"/>
  <c r="BO112" i="90"/>
  <c r="AD115" i="89"/>
  <c r="J12" i="90"/>
  <c r="AG19" i="98" s="1"/>
  <c r="BO69" i="90"/>
  <c r="BQ72" i="90"/>
  <c r="D11" i="90"/>
  <c r="AA18" i="98" s="1"/>
  <c r="AG115" i="89"/>
  <c r="H58" i="98"/>
  <c r="AA196" i="86"/>
  <c r="H55" i="45"/>
  <c r="BP66" i="90"/>
  <c r="BO73" i="90"/>
  <c r="BN72" i="90"/>
  <c r="BQ112" i="90"/>
  <c r="BR62" i="90"/>
  <c r="BP115" i="90"/>
  <c r="K13" i="90"/>
  <c r="AH20" i="98" s="1"/>
  <c r="I13" i="90"/>
  <c r="AF20" i="98" s="1"/>
  <c r="BQ62" i="90"/>
  <c r="BN79" i="90"/>
  <c r="BP97" i="90"/>
  <c r="BN93" i="90"/>
  <c r="BQ77" i="90"/>
  <c r="BQ114" i="90"/>
  <c r="BR120" i="90"/>
  <c r="BO85" i="90"/>
  <c r="BO83" i="90"/>
  <c r="BN87" i="90"/>
  <c r="CA117" i="90"/>
  <c r="BP117" i="90" s="1"/>
  <c r="BQ102" i="90"/>
  <c r="BL122" i="90"/>
  <c r="AD26" i="98"/>
  <c r="BO53" i="90"/>
  <c r="BM53" i="90"/>
  <c r="BM123" i="90"/>
  <c r="BJ124" i="90"/>
  <c r="C58" i="30"/>
  <c r="D75" i="12"/>
  <c r="BO68" i="36"/>
  <c r="BO56" i="36" s="1"/>
  <c r="AV56" i="36"/>
  <c r="BJ42" i="90"/>
  <c r="AE27" i="98"/>
  <c r="AE35" i="98"/>
  <c r="AD28" i="98"/>
  <c r="BY56" i="90"/>
  <c r="BN56" i="90" s="1"/>
  <c r="AF26" i="98"/>
  <c r="BL57" i="90"/>
  <c r="BV58" i="90"/>
  <c r="AC36" i="98"/>
  <c r="BL63" i="90"/>
  <c r="BK64" i="90"/>
  <c r="BM98" i="90"/>
  <c r="BJ101" i="90"/>
  <c r="BO60" i="90"/>
  <c r="AA164" i="86"/>
  <c r="H61" i="45"/>
  <c r="BN126" i="90"/>
  <c r="BL125" i="90"/>
  <c r="BO72" i="90"/>
  <c r="BR63" i="90"/>
  <c r="BQ73" i="90"/>
  <c r="CA68" i="90"/>
  <c r="BO56" i="90"/>
  <c r="BP114" i="90"/>
  <c r="BN115" i="90"/>
  <c r="BO116" i="90"/>
  <c r="BO93" i="90"/>
  <c r="BQ79" i="90"/>
  <c r="BQ119" i="90"/>
  <c r="BJ61" i="90"/>
  <c r="BN85" i="90"/>
  <c r="BK70" i="90"/>
  <c r="BP87" i="90"/>
  <c r="BN103" i="90"/>
  <c r="BP108" i="90"/>
  <c r="BR101" i="90"/>
  <c r="BK77" i="90"/>
  <c r="BK110" i="90"/>
  <c r="BQ94" i="90"/>
  <c r="BQ81" i="90"/>
  <c r="F74" i="30"/>
  <c r="Y79" i="89"/>
  <c r="AD171" i="86"/>
  <c r="AD144" i="86"/>
  <c r="AG467" i="57"/>
  <c r="AG466" i="57"/>
  <c r="BL97" i="90"/>
  <c r="AG34" i="98"/>
  <c r="AH26" i="98"/>
  <c r="CA56" i="90"/>
  <c r="BP56" i="90" s="1"/>
  <c r="AE36" i="98"/>
  <c r="BX58" i="90"/>
  <c r="BL99" i="90"/>
  <c r="BJ108" i="90"/>
  <c r="BM118" i="90"/>
  <c r="AI72" i="30"/>
  <c r="AC72" i="30"/>
  <c r="AK72" i="30"/>
  <c r="AD72" i="30"/>
  <c r="AL72" i="30"/>
  <c r="AE72" i="30"/>
  <c r="AF72" i="30"/>
  <c r="AG72" i="30"/>
  <c r="AH72" i="30"/>
  <c r="AJ72" i="30"/>
  <c r="I69" i="45"/>
  <c r="BJ126" i="90"/>
  <c r="BO70" i="90"/>
  <c r="BP72" i="90"/>
  <c r="BQ117" i="90"/>
  <c r="E11" i="90"/>
  <c r="AB18" i="98" s="1"/>
  <c r="BP109" i="90"/>
  <c r="BO106" i="90"/>
  <c r="BR106" i="90"/>
  <c r="BL120" i="90"/>
  <c r="K130" i="112"/>
  <c r="AG52" i="89"/>
  <c r="BP124" i="90"/>
  <c r="AC33" i="30"/>
  <c r="AK33" i="30"/>
  <c r="AI34" i="30"/>
  <c r="AG35" i="30"/>
  <c r="AE36" i="30"/>
  <c r="AE33" i="30"/>
  <c r="AC34" i="30"/>
  <c r="AK34" i="30"/>
  <c r="AI35" i="30"/>
  <c r="AG36" i="30"/>
  <c r="AF33" i="30"/>
  <c r="AD34" i="30"/>
  <c r="AL34" i="30"/>
  <c r="AJ35" i="30"/>
  <c r="AH36" i="30"/>
  <c r="AG33" i="30"/>
  <c r="AE34" i="30"/>
  <c r="AC35" i="30"/>
  <c r="AK35" i="30"/>
  <c r="AI36" i="30"/>
  <c r="AH33" i="30"/>
  <c r="AF34" i="30"/>
  <c r="AD35" i="30"/>
  <c r="AL35" i="30"/>
  <c r="AJ36" i="30"/>
  <c r="AI33" i="30"/>
  <c r="AG34" i="30"/>
  <c r="AE35" i="30"/>
  <c r="AE37" i="30" s="1"/>
  <c r="AE12" i="30" s="1"/>
  <c r="AH8" i="98" s="1"/>
  <c r="AC36" i="30"/>
  <c r="AK36" i="30"/>
  <c r="AJ33" i="30"/>
  <c r="AH34" i="30"/>
  <c r="AF35" i="30"/>
  <c r="AD36" i="30"/>
  <c r="AL36" i="30"/>
  <c r="AL33" i="30"/>
  <c r="AL37" i="30" s="1"/>
  <c r="AL12" i="30" s="1"/>
  <c r="AO8" i="98" s="1"/>
  <c r="AJ34" i="30"/>
  <c r="AH35" i="30"/>
  <c r="AF36" i="30"/>
  <c r="AD33" i="30"/>
  <c r="C37" i="30"/>
  <c r="BL68" i="36"/>
  <c r="BL56" i="36" s="1"/>
  <c r="AS56" i="36"/>
  <c r="BM68" i="36"/>
  <c r="BM56" i="36" s="1"/>
  <c r="AT56" i="36"/>
  <c r="AD61" i="30"/>
  <c r="AL61" i="30"/>
  <c r="AF61" i="30"/>
  <c r="AG61" i="30"/>
  <c r="AH61" i="30"/>
  <c r="AI61" i="30"/>
  <c r="AJ61" i="30"/>
  <c r="AJ65" i="30" s="1"/>
  <c r="AJ16" i="30" s="1"/>
  <c r="AM12" i="98" s="1"/>
  <c r="AC61" i="30"/>
  <c r="AK61" i="30"/>
  <c r="AE61" i="30"/>
  <c r="AF160" i="86"/>
  <c r="AF190" i="86"/>
  <c r="AC478" i="57"/>
  <c r="AH34" i="98"/>
  <c r="CA55" i="90"/>
  <c r="AG36" i="98"/>
  <c r="BZ58" i="90"/>
  <c r="BJ68" i="90"/>
  <c r="BN68" i="90"/>
  <c r="BK69" i="90"/>
  <c r="BU80" i="90"/>
  <c r="BL80" i="90" s="1"/>
  <c r="BY80" i="90"/>
  <c r="BJ85" i="90"/>
  <c r="BY88" i="90"/>
  <c r="BK97" i="90"/>
  <c r="BJ98" i="90"/>
  <c r="BJ106" i="90"/>
  <c r="BR71" i="90"/>
  <c r="BQ120" i="90"/>
  <c r="BJ119" i="90"/>
  <c r="BN119" i="90"/>
  <c r="I71" i="45"/>
  <c r="BM125" i="90"/>
  <c r="BN69" i="90"/>
  <c r="BQ70" i="90"/>
  <c r="BO114" i="90"/>
  <c r="BN109" i="90"/>
  <c r="BP119" i="90"/>
  <c r="BQ106" i="90"/>
  <c r="BN94" i="90"/>
  <c r="AC34" i="98"/>
  <c r="BQ121" i="90"/>
  <c r="BR109" i="90"/>
  <c r="BR87" i="90"/>
  <c r="L124" i="112"/>
  <c r="BP123" i="90"/>
  <c r="BL124" i="90"/>
  <c r="AF104" i="89"/>
  <c r="AB15" i="89"/>
  <c r="D85" i="12"/>
  <c r="AS56" i="57"/>
  <c r="BL68" i="57"/>
  <c r="BL56" i="57" s="1"/>
  <c r="AC171" i="86"/>
  <c r="AC181" i="86"/>
  <c r="AC155" i="86"/>
  <c r="BI84" i="90"/>
  <c r="BN84" i="90"/>
  <c r="BO84" i="90"/>
  <c r="BM103" i="90"/>
  <c r="BK106" i="90"/>
  <c r="BN118" i="90"/>
  <c r="BL119" i="90"/>
  <c r="AH81" i="30"/>
  <c r="AJ81" i="30"/>
  <c r="AC81" i="30"/>
  <c r="AK81" i="30"/>
  <c r="AD81" i="30"/>
  <c r="AL81" i="30"/>
  <c r="AE81" i="30"/>
  <c r="AF81" i="30"/>
  <c r="AG81" i="30"/>
  <c r="AI81" i="30"/>
  <c r="AF27" i="98"/>
  <c r="BY42" i="90"/>
  <c r="BK91" i="90"/>
  <c r="BN91" i="90"/>
  <c r="BL126" i="90"/>
  <c r="G11" i="90"/>
  <c r="AD18" i="98" s="1"/>
  <c r="BQ109" i="90"/>
  <c r="BQ97" i="90"/>
  <c r="BR56" i="90"/>
  <c r="BO104" i="90"/>
  <c r="BO94" i="90"/>
  <c r="BM121" i="90"/>
  <c r="BR98" i="90"/>
  <c r="BJ109" i="90"/>
  <c r="BM111" i="90"/>
  <c r="BL123" i="90"/>
  <c r="AE104" i="89"/>
  <c r="AK71" i="30"/>
  <c r="AE71" i="30"/>
  <c r="AF71" i="30"/>
  <c r="AG71" i="30"/>
  <c r="AH71" i="30"/>
  <c r="AC71" i="30"/>
  <c r="AI71" i="30"/>
  <c r="AJ71" i="30"/>
  <c r="AD71" i="30"/>
  <c r="AL71" i="30"/>
  <c r="F79" i="30"/>
  <c r="AC75" i="30"/>
  <c r="AK75" i="30"/>
  <c r="AE75" i="30"/>
  <c r="AF75" i="30"/>
  <c r="AG75" i="30"/>
  <c r="AH75" i="30"/>
  <c r="AI75" i="30"/>
  <c r="AJ75" i="30"/>
  <c r="AL75" i="30"/>
  <c r="AD75" i="30"/>
  <c r="F83" i="30"/>
  <c r="AC40" i="30"/>
  <c r="AK40" i="30"/>
  <c r="AI41" i="30"/>
  <c r="AG42" i="30"/>
  <c r="AE43" i="30"/>
  <c r="AE40" i="30"/>
  <c r="AC41" i="30"/>
  <c r="AK41" i="30"/>
  <c r="AI42" i="30"/>
  <c r="AG43" i="30"/>
  <c r="AG44" i="30" s="1"/>
  <c r="AG13" i="30" s="1"/>
  <c r="AJ9" i="98" s="1"/>
  <c r="AF40" i="30"/>
  <c r="AD41" i="30"/>
  <c r="AL41" i="30"/>
  <c r="AJ42" i="30"/>
  <c r="AH43" i="30"/>
  <c r="AG40" i="30"/>
  <c r="AE41" i="30"/>
  <c r="AC42" i="30"/>
  <c r="AC44" i="30" s="1"/>
  <c r="AC13" i="30" s="1"/>
  <c r="AF9" i="98" s="1"/>
  <c r="AK42" i="30"/>
  <c r="AI43" i="30"/>
  <c r="AH40" i="30"/>
  <c r="AF41" i="30"/>
  <c r="AD42" i="30"/>
  <c r="AL42" i="30"/>
  <c r="AJ43" i="30"/>
  <c r="AI40" i="30"/>
  <c r="AG41" i="30"/>
  <c r="AE42" i="30"/>
  <c r="AC43" i="30"/>
  <c r="AK43" i="30"/>
  <c r="AJ40" i="30"/>
  <c r="AH41" i="30"/>
  <c r="AF42" i="30"/>
  <c r="AD43" i="30"/>
  <c r="AL43" i="30"/>
  <c r="AD40" i="30"/>
  <c r="AL40" i="30"/>
  <c r="AJ41" i="30"/>
  <c r="AH42" i="30"/>
  <c r="AF43" i="30"/>
  <c r="AK14" i="62"/>
  <c r="AK18" i="41" s="1"/>
  <c r="AJ14" i="62"/>
  <c r="AJ18" i="41" s="1"/>
  <c r="AI14" i="62"/>
  <c r="AI18" i="41" s="1"/>
  <c r="AL14" i="62"/>
  <c r="AL18" i="41" s="1"/>
  <c r="AH14" i="62"/>
  <c r="AH18" i="41" s="1"/>
  <c r="AG14" i="62"/>
  <c r="AG18" i="41" s="1"/>
  <c r="AF14" i="62"/>
  <c r="AF18" i="41" s="1"/>
  <c r="BM68" i="57"/>
  <c r="BM56" i="57" s="1"/>
  <c r="AT56" i="57"/>
  <c r="AJ62" i="30"/>
  <c r="AD62" i="30"/>
  <c r="AL62" i="30"/>
  <c r="AE62" i="30"/>
  <c r="AF62" i="30"/>
  <c r="AG62" i="30"/>
  <c r="AH62" i="30"/>
  <c r="AI62" i="30"/>
  <c r="AC62" i="30"/>
  <c r="AC65" i="30" s="1"/>
  <c r="AC16" i="30" s="1"/>
  <c r="AF12" i="98" s="1"/>
  <c r="AK62" i="30"/>
  <c r="AE167" i="86"/>
  <c r="AE192" i="86"/>
  <c r="K57" i="98" s="1"/>
  <c r="BM49" i="90"/>
  <c r="BL68" i="90"/>
  <c r="BL69" i="90"/>
  <c r="BL70" i="90"/>
  <c r="BO76" i="90"/>
  <c r="BI83" i="90"/>
  <c r="BN83" i="90"/>
  <c r="BL91" i="90"/>
  <c r="BM101" i="90"/>
  <c r="BJ118" i="90"/>
  <c r="AC90" i="98"/>
  <c r="BR117" i="90"/>
  <c r="BO120" i="90"/>
  <c r="BR112" i="90"/>
  <c r="BR97" i="90"/>
  <c r="BY58" i="90"/>
  <c r="H11" i="90"/>
  <c r="AE18" i="98" s="1"/>
  <c r="BM71" i="90"/>
  <c r="BP94" i="90"/>
  <c r="BN97" i="90"/>
  <c r="BR91" i="90"/>
  <c r="BM122" i="90"/>
  <c r="BM97" i="90"/>
  <c r="AE52" i="89"/>
  <c r="BK124" i="90"/>
  <c r="AD15" i="89"/>
  <c r="AD104" i="89"/>
  <c r="AG73" i="30"/>
  <c r="AI73" i="30"/>
  <c r="AJ73" i="30"/>
  <c r="AC73" i="30"/>
  <c r="AK73" i="30"/>
  <c r="AD73" i="30"/>
  <c r="AL73" i="30"/>
  <c r="AE73" i="30"/>
  <c r="AF73" i="30"/>
  <c r="AH73" i="30"/>
  <c r="BN68" i="57"/>
  <c r="BN56" i="57" s="1"/>
  <c r="AU56" i="57"/>
  <c r="X15" i="89"/>
  <c r="X104" i="89"/>
  <c r="AD192" i="86"/>
  <c r="J57" i="98" s="1"/>
  <c r="AD167" i="86"/>
  <c r="AC467" i="57"/>
  <c r="AC466" i="57"/>
  <c r="Z516" i="57"/>
  <c r="Z513" i="57"/>
  <c r="AC35" i="98"/>
  <c r="AB28" i="98"/>
  <c r="BM68" i="90"/>
  <c r="BJ72" i="90"/>
  <c r="BL75" i="90"/>
  <c r="BN75" i="90"/>
  <c r="BJ77" i="90"/>
  <c r="BJ93" i="90"/>
  <c r="BK104" i="90"/>
  <c r="BK112" i="90"/>
  <c r="BK115" i="90"/>
  <c r="BK117" i="90"/>
  <c r="L130" i="112"/>
  <c r="BN123" i="90"/>
  <c r="AF64" i="89"/>
  <c r="Z104" i="89"/>
  <c r="AA35" i="98"/>
  <c r="AA39" i="98" s="1"/>
  <c r="BU44" i="90"/>
  <c r="BJ44" i="90" s="1"/>
  <c r="AA28" i="98"/>
  <c r="AG28" i="98"/>
  <c r="AZ41" i="90"/>
  <c r="AB34" i="98"/>
  <c r="AC26" i="98"/>
  <c r="BM60" i="90"/>
  <c r="BK74" i="90"/>
  <c r="BL76" i="90"/>
  <c r="BL77" i="90"/>
  <c r="BK78" i="90"/>
  <c r="BL82" i="90"/>
  <c r="BL84" i="90"/>
  <c r="BM85" i="90"/>
  <c r="BL86" i="90"/>
  <c r="BL87" i="90"/>
  <c r="BM95" i="90"/>
  <c r="BK96" i="90"/>
  <c r="BL98" i="90"/>
  <c r="BL101" i="90"/>
  <c r="BJ107" i="90"/>
  <c r="BJ112" i="90"/>
  <c r="BR68" i="57"/>
  <c r="BR56" i="57" s="1"/>
  <c r="AY56" i="57"/>
  <c r="AG160" i="86"/>
  <c r="AB27" i="98"/>
  <c r="AB35" i="98"/>
  <c r="BJ45" i="90"/>
  <c r="AH28" i="98"/>
  <c r="BM48" i="90"/>
  <c r="BK53" i="90"/>
  <c r="AD34" i="98"/>
  <c r="BK57" i="90"/>
  <c r="AB36" i="98"/>
  <c r="BY59" i="90"/>
  <c r="BL65" i="90"/>
  <c r="BJ69" i="90"/>
  <c r="BM77" i="90"/>
  <c r="BL103" i="90"/>
  <c r="BK105" i="90"/>
  <c r="BM106" i="90"/>
  <c r="BL108" i="90"/>
  <c r="BL114" i="90"/>
  <c r="BL118" i="90"/>
  <c r="BT68" i="36"/>
  <c r="BT56" i="36" s="1"/>
  <c r="BA56" i="36"/>
  <c r="BY55" i="90"/>
  <c r="AF34" i="98"/>
  <c r="AG26" i="98"/>
  <c r="BM62" i="90"/>
  <c r="BM74" i="90"/>
  <c r="BN76" i="90"/>
  <c r="BL79" i="90"/>
  <c r="BK80" i="90"/>
  <c r="BM88" i="90"/>
  <c r="BK102" i="90"/>
  <c r="BJ104" i="90"/>
  <c r="BL105" i="90"/>
  <c r="BL112" i="90"/>
  <c r="BK113" i="90"/>
  <c r="BK119" i="90"/>
  <c r="Y104" i="89"/>
  <c r="BK68" i="90"/>
  <c r="AA34" i="98"/>
  <c r="BT55" i="90"/>
  <c r="AA26" i="98"/>
  <c r="AA31" i="98" s="1"/>
  <c r="BL59" i="90"/>
  <c r="BK60" i="90"/>
  <c r="BK61" i="90"/>
  <c r="BJ65" i="90"/>
  <c r="BM70" i="90"/>
  <c r="BL71" i="90"/>
  <c r="BJ73" i="90"/>
  <c r="BJ74" i="90"/>
  <c r="BK81" i="90"/>
  <c r="BJ83" i="90"/>
  <c r="BJ84" i="90"/>
  <c r="BK85" i="90"/>
  <c r="BK86" i="90"/>
  <c r="BK89" i="90"/>
  <c r="BK94" i="90"/>
  <c r="BJ95" i="90"/>
  <c r="BJ96" i="90"/>
  <c r="BK98" i="90"/>
  <c r="BJ100" i="90"/>
  <c r="BK101" i="90"/>
  <c r="BM102" i="90"/>
  <c r="BM107" i="90"/>
  <c r="BO108" i="90"/>
  <c r="BM113" i="90"/>
  <c r="C16" i="91"/>
  <c r="F16" i="91" s="1"/>
  <c r="G16" i="91"/>
  <c r="AB52" i="89"/>
  <c r="BO124" i="90"/>
  <c r="BJ123" i="90"/>
  <c r="AC47" i="30"/>
  <c r="AK47" i="30"/>
  <c r="AK51" i="30" s="1"/>
  <c r="AK14" i="30" s="1"/>
  <c r="AN10" i="98" s="1"/>
  <c r="AI48" i="30"/>
  <c r="AG49" i="30"/>
  <c r="AE50" i="30"/>
  <c r="AE47" i="30"/>
  <c r="AC48" i="30"/>
  <c r="AK48" i="30"/>
  <c r="AI49" i="30"/>
  <c r="AG50" i="30"/>
  <c r="AF47" i="30"/>
  <c r="AD48" i="30"/>
  <c r="AL48" i="30"/>
  <c r="AJ49" i="30"/>
  <c r="AH50" i="30"/>
  <c r="AG47" i="30"/>
  <c r="AE48" i="30"/>
  <c r="AC49" i="30"/>
  <c r="AC51" i="30" s="1"/>
  <c r="AC14" i="30" s="1"/>
  <c r="AF10" i="98" s="1"/>
  <c r="AK49" i="30"/>
  <c r="AI50" i="30"/>
  <c r="AH47" i="30"/>
  <c r="AF48" i="30"/>
  <c r="AD49" i="30"/>
  <c r="AL49" i="30"/>
  <c r="AJ50" i="30"/>
  <c r="AI47" i="30"/>
  <c r="AG48" i="30"/>
  <c r="AE49" i="30"/>
  <c r="AC50" i="30"/>
  <c r="AK50" i="30"/>
  <c r="AJ47" i="30"/>
  <c r="AH48" i="30"/>
  <c r="AF49" i="30"/>
  <c r="AD50" i="30"/>
  <c r="AL50" i="30"/>
  <c r="AH49" i="30"/>
  <c r="AF50" i="30"/>
  <c r="AD47" i="30"/>
  <c r="AL47" i="30"/>
  <c r="AJ48" i="30"/>
  <c r="Y52" i="89"/>
  <c r="Z79" i="89"/>
  <c r="BK56" i="90"/>
  <c r="BM66" i="90"/>
  <c r="AH27" i="98"/>
  <c r="AH35" i="98"/>
  <c r="BZ45" i="90"/>
  <c r="BV51" i="90"/>
  <c r="BK51" i="90" s="1"/>
  <c r="BU55" i="90"/>
  <c r="BU41" i="90" s="1"/>
  <c r="AB26" i="98"/>
  <c r="BJ57" i="90"/>
  <c r="AH36" i="98"/>
  <c r="BL61" i="90"/>
  <c r="BM64" i="90"/>
  <c r="BK73" i="90"/>
  <c r="BL81" i="90"/>
  <c r="BK82" i="90"/>
  <c r="BK84" i="90"/>
  <c r="BL92" i="90"/>
  <c r="BL93" i="90"/>
  <c r="BL94" i="90"/>
  <c r="BL95" i="90"/>
  <c r="BM99" i="90"/>
  <c r="BJ103" i="90"/>
  <c r="BM104" i="90"/>
  <c r="BL106" i="90"/>
  <c r="BK108" i="90"/>
  <c r="BM115" i="90"/>
  <c r="BK118" i="90"/>
  <c r="BM119" i="90"/>
  <c r="AF14" i="57"/>
  <c r="AF17" i="57" s="1"/>
  <c r="BR68" i="36"/>
  <c r="BR56" i="36" s="1"/>
  <c r="AY56" i="36"/>
  <c r="BU386" i="36"/>
  <c r="BB386" i="36"/>
  <c r="AT386" i="36"/>
  <c r="BM386" i="36"/>
  <c r="BT68" i="57"/>
  <c r="BT56" i="57" s="1"/>
  <c r="BA56" i="57"/>
  <c r="AA13" i="57"/>
  <c r="AA455" i="57" s="1"/>
  <c r="BO71" i="57"/>
  <c r="AV71" i="57"/>
  <c r="BL74" i="57"/>
  <c r="AS74" i="57"/>
  <c r="BT74" i="57"/>
  <c r="BA74" i="57"/>
  <c r="BQ77" i="57"/>
  <c r="AX77" i="57"/>
  <c r="BN80" i="57"/>
  <c r="AU80" i="57"/>
  <c r="BS83" i="57"/>
  <c r="AZ83" i="57"/>
  <c r="AW86" i="57"/>
  <c r="BP86" i="57"/>
  <c r="AT89" i="57"/>
  <c r="BM89" i="57"/>
  <c r="BU89" i="57"/>
  <c r="BB89" i="57"/>
  <c r="BR92" i="57"/>
  <c r="AY92" i="57"/>
  <c r="AV95" i="57"/>
  <c r="BO95" i="57"/>
  <c r="BL98" i="57"/>
  <c r="AS98" i="57"/>
  <c r="BT98" i="57"/>
  <c r="BA98" i="57"/>
  <c r="BQ101" i="57"/>
  <c r="AX101" i="57"/>
  <c r="BN104" i="57"/>
  <c r="AU104" i="57"/>
  <c r="AZ107" i="57"/>
  <c r="BS107" i="57"/>
  <c r="BP110" i="57"/>
  <c r="AW110" i="57"/>
  <c r="BM113" i="57"/>
  <c r="AT113" i="57"/>
  <c r="BU113" i="57"/>
  <c r="BB113" i="57"/>
  <c r="BR116" i="57"/>
  <c r="AY116" i="57"/>
  <c r="AV119" i="57"/>
  <c r="BO119" i="57"/>
  <c r="BL122" i="57"/>
  <c r="AS122" i="57"/>
  <c r="BT122" i="57"/>
  <c r="BA122" i="57"/>
  <c r="BQ125" i="57"/>
  <c r="AX125" i="57"/>
  <c r="BN128" i="57"/>
  <c r="AU128" i="57"/>
  <c r="BS131" i="57"/>
  <c r="AZ131" i="57"/>
  <c r="BP134" i="57"/>
  <c r="AW134" i="57"/>
  <c r="BM137" i="57"/>
  <c r="AT137" i="57"/>
  <c r="BU137" i="57"/>
  <c r="BB137" i="57"/>
  <c r="BR140" i="57"/>
  <c r="AY140" i="57"/>
  <c r="BO143" i="57"/>
  <c r="AV143" i="57"/>
  <c r="BL146" i="57"/>
  <c r="AS146" i="57"/>
  <c r="BT146" i="57"/>
  <c r="BA146" i="57"/>
  <c r="BQ149" i="57"/>
  <c r="AX149" i="57"/>
  <c r="BN152" i="57"/>
  <c r="AU152" i="57"/>
  <c r="BS155" i="57"/>
  <c r="AZ155" i="57"/>
  <c r="BP158" i="57"/>
  <c r="AW158" i="57"/>
  <c r="BM161" i="57"/>
  <c r="AT161" i="57"/>
  <c r="BU161" i="57"/>
  <c r="BB161" i="57"/>
  <c r="BR164" i="57"/>
  <c r="AY164" i="57"/>
  <c r="BO167" i="57"/>
  <c r="AV167" i="57"/>
  <c r="BL170" i="57"/>
  <c r="AS170" i="57"/>
  <c r="BT170" i="57"/>
  <c r="BA170" i="57"/>
  <c r="BQ173" i="57"/>
  <c r="AX173" i="57"/>
  <c r="BN176" i="57"/>
  <c r="AU176" i="57"/>
  <c r="BS179" i="57"/>
  <c r="AZ179" i="57"/>
  <c r="BP182" i="57"/>
  <c r="AW182" i="57"/>
  <c r="AT185" i="57"/>
  <c r="BM185" i="57"/>
  <c r="BB185" i="57"/>
  <c r="BU185" i="57"/>
  <c r="AY188" i="57"/>
  <c r="BR188" i="57"/>
  <c r="BO191" i="57"/>
  <c r="AV191" i="57"/>
  <c r="BL194" i="57"/>
  <c r="AS194" i="57"/>
  <c r="BT194" i="57"/>
  <c r="BA194" i="57"/>
  <c r="BQ197" i="57"/>
  <c r="AX197" i="57"/>
  <c r="BN200" i="57"/>
  <c r="AU200" i="57"/>
  <c r="BS203" i="57"/>
  <c r="AZ203" i="57"/>
  <c r="BP206" i="57"/>
  <c r="AW206" i="57"/>
  <c r="AT209" i="57"/>
  <c r="BM209" i="57"/>
  <c r="BB209" i="57"/>
  <c r="BU209" i="57"/>
  <c r="BR212" i="57"/>
  <c r="AY212" i="57"/>
  <c r="BO215" i="57"/>
  <c r="AV215" i="57"/>
  <c r="BL218" i="57"/>
  <c r="AS218" i="57"/>
  <c r="BT218" i="57"/>
  <c r="BA218" i="57"/>
  <c r="BQ221" i="57"/>
  <c r="AX221" i="57"/>
  <c r="BN224" i="57"/>
  <c r="AU224" i="57"/>
  <c r="BS227" i="57"/>
  <c r="AZ227" i="57"/>
  <c r="BP230" i="57"/>
  <c r="AW230" i="57"/>
  <c r="AT233" i="57"/>
  <c r="BM233" i="57"/>
  <c r="BB233" i="57"/>
  <c r="BU233" i="57"/>
  <c r="BR236" i="57"/>
  <c r="AY236" i="57"/>
  <c r="BO239" i="57"/>
  <c r="AV239" i="57"/>
  <c r="AS242" i="57"/>
  <c r="BL242" i="57"/>
  <c r="BA242" i="57"/>
  <c r="BT242" i="57"/>
  <c r="BQ245" i="57"/>
  <c r="AX245" i="57"/>
  <c r="BN248" i="57"/>
  <c r="AU248" i="57"/>
  <c r="BS251" i="57"/>
  <c r="AZ251" i="57"/>
  <c r="BP254" i="57"/>
  <c r="AW254" i="57"/>
  <c r="AT257" i="57"/>
  <c r="BM257" i="57"/>
  <c r="BB257" i="57"/>
  <c r="BU257" i="57"/>
  <c r="BR260" i="57"/>
  <c r="AY260" i="57"/>
  <c r="BO263" i="57"/>
  <c r="AV263" i="57"/>
  <c r="AS266" i="57"/>
  <c r="BL266" i="57"/>
  <c r="BA266" i="57"/>
  <c r="BT266" i="57"/>
  <c r="BQ269" i="57"/>
  <c r="AX269" i="57"/>
  <c r="BN272" i="57"/>
  <c r="AU272" i="57"/>
  <c r="BS275" i="57"/>
  <c r="AZ275" i="57"/>
  <c r="AW278" i="57"/>
  <c r="BP278" i="57"/>
  <c r="BM281" i="57"/>
  <c r="AT281" i="57"/>
  <c r="BU281" i="57"/>
  <c r="BB281" i="57"/>
  <c r="BR284" i="57"/>
  <c r="AY284" i="57"/>
  <c r="BO287" i="57"/>
  <c r="AV287" i="57"/>
  <c r="BL290" i="57"/>
  <c r="AS290" i="57"/>
  <c r="BT290" i="57"/>
  <c r="BA290" i="57"/>
  <c r="AX293" i="57"/>
  <c r="BQ293" i="57"/>
  <c r="BN296" i="57"/>
  <c r="AU296" i="57"/>
  <c r="BS299" i="57"/>
  <c r="AZ299" i="57"/>
  <c r="AW302" i="57"/>
  <c r="BP302" i="57"/>
  <c r="AT305" i="57"/>
  <c r="BM305" i="57"/>
  <c r="BB305" i="57"/>
  <c r="BU305" i="57"/>
  <c r="BR308" i="57"/>
  <c r="AY308" i="57"/>
  <c r="BO311" i="57"/>
  <c r="AV311" i="57"/>
  <c r="BL314" i="57"/>
  <c r="AS314" i="57"/>
  <c r="BT314" i="57"/>
  <c r="BA314" i="57"/>
  <c r="AX317" i="57"/>
  <c r="BQ317" i="57"/>
  <c r="BN320" i="57"/>
  <c r="AU320" i="57"/>
  <c r="BS323" i="57"/>
  <c r="AZ323" i="57"/>
  <c r="AW326" i="57"/>
  <c r="BP326" i="57"/>
  <c r="AT329" i="57"/>
  <c r="BM329" i="57"/>
  <c r="BB329" i="57"/>
  <c r="BU329" i="57"/>
  <c r="BR332" i="57"/>
  <c r="AY332" i="57"/>
  <c r="BO335" i="57"/>
  <c r="AV335" i="57"/>
  <c r="BL338" i="57"/>
  <c r="AS338" i="57"/>
  <c r="BT338" i="57"/>
  <c r="BA338" i="57"/>
  <c r="BQ341" i="57"/>
  <c r="AX341" i="57"/>
  <c r="BN344" i="57"/>
  <c r="AU344" i="57"/>
  <c r="BS347" i="57"/>
  <c r="AZ347" i="57"/>
  <c r="BP350" i="57"/>
  <c r="AW350" i="57"/>
  <c r="AT353" i="57"/>
  <c r="BM353" i="57"/>
  <c r="BB353" i="57"/>
  <c r="BU353" i="57"/>
  <c r="BR356" i="57"/>
  <c r="AY356" i="57"/>
  <c r="BO359" i="57"/>
  <c r="AV359" i="57"/>
  <c r="AS362" i="57"/>
  <c r="BL362" i="57"/>
  <c r="BT362" i="57"/>
  <c r="BA362" i="57"/>
  <c r="AX365" i="57"/>
  <c r="BQ365" i="57"/>
  <c r="AU368" i="57"/>
  <c r="BN368" i="57"/>
  <c r="BS371" i="57"/>
  <c r="AZ371" i="57"/>
  <c r="BP374" i="57"/>
  <c r="AW374" i="57"/>
  <c r="AT377" i="57"/>
  <c r="BM377" i="57"/>
  <c r="BB377" i="57"/>
  <c r="BU377" i="57"/>
  <c r="AY380" i="57"/>
  <c r="BR380" i="57"/>
  <c r="BO383" i="57"/>
  <c r="AV383" i="57"/>
  <c r="AS386" i="57"/>
  <c r="BL386" i="57"/>
  <c r="BA386" i="57"/>
  <c r="BT386" i="57"/>
  <c r="BQ389" i="57"/>
  <c r="AX389" i="57"/>
  <c r="AU392" i="57"/>
  <c r="BN392" i="57"/>
  <c r="BS395" i="57"/>
  <c r="AZ395" i="57"/>
  <c r="AW398" i="57"/>
  <c r="BP398" i="57"/>
  <c r="BM401" i="57"/>
  <c r="AT401" i="57"/>
  <c r="BB401" i="57"/>
  <c r="BU401" i="57"/>
  <c r="AY404" i="57"/>
  <c r="BR404" i="57"/>
  <c r="AV407" i="57"/>
  <c r="BO407" i="57"/>
  <c r="AS410" i="57"/>
  <c r="BL410" i="57"/>
  <c r="BA410" i="57"/>
  <c r="BT410" i="57"/>
  <c r="BQ413" i="57"/>
  <c r="AX413" i="57"/>
  <c r="AD85" i="89"/>
  <c r="AE85" i="89"/>
  <c r="I513" i="57"/>
  <c r="I480" i="57"/>
  <c r="BO266" i="36"/>
  <c r="AV266" i="36"/>
  <c r="BL269" i="36"/>
  <c r="AS269" i="36"/>
  <c r="BA269" i="36"/>
  <c r="BT269" i="36"/>
  <c r="BQ272" i="36"/>
  <c r="AX272" i="36"/>
  <c r="BN275" i="36"/>
  <c r="AU275" i="36"/>
  <c r="BS278" i="36"/>
  <c r="AZ278" i="36"/>
  <c r="BP281" i="36"/>
  <c r="AW281" i="36"/>
  <c r="BM284" i="36"/>
  <c r="AT284" i="36"/>
  <c r="BU284" i="36"/>
  <c r="BB284" i="36"/>
  <c r="BR287" i="36"/>
  <c r="AY287" i="36"/>
  <c r="BO290" i="36"/>
  <c r="AV290" i="36"/>
  <c r="BL293" i="36"/>
  <c r="AS293" i="36"/>
  <c r="BT293" i="36"/>
  <c r="BA293" i="36"/>
  <c r="AX296" i="36"/>
  <c r="BQ296" i="36"/>
  <c r="AU299" i="36"/>
  <c r="BN299" i="36"/>
  <c r="BS302" i="36"/>
  <c r="AZ302" i="36"/>
  <c r="BP305" i="36"/>
  <c r="AW305" i="36"/>
  <c r="BM308" i="36"/>
  <c r="AT308" i="36"/>
  <c r="BU308" i="36"/>
  <c r="BB308" i="36"/>
  <c r="AY311" i="36"/>
  <c r="BR311" i="36"/>
  <c r="AV314" i="36"/>
  <c r="BO314" i="36"/>
  <c r="AS317" i="36"/>
  <c r="BL317" i="36"/>
  <c r="BA317" i="36"/>
  <c r="BT317" i="36"/>
  <c r="BQ320" i="36"/>
  <c r="AX320" i="36"/>
  <c r="AU323" i="36"/>
  <c r="BN323" i="36"/>
  <c r="AZ326" i="36"/>
  <c r="BS326" i="36"/>
  <c r="BP329" i="36"/>
  <c r="AW329" i="36"/>
  <c r="BM332" i="36"/>
  <c r="AT332" i="36"/>
  <c r="BU332" i="36"/>
  <c r="BB332" i="36"/>
  <c r="AY335" i="36"/>
  <c r="BR335" i="36"/>
  <c r="AV338" i="36"/>
  <c r="BO338" i="36"/>
  <c r="BL341" i="36"/>
  <c r="AS341" i="36"/>
  <c r="BT341" i="36"/>
  <c r="BA341" i="36"/>
  <c r="BQ344" i="36"/>
  <c r="AX344" i="36"/>
  <c r="AU347" i="36"/>
  <c r="BN347" i="36"/>
  <c r="AZ350" i="36"/>
  <c r="BS350" i="36"/>
  <c r="BP353" i="36"/>
  <c r="AW353" i="36"/>
  <c r="BM356" i="36"/>
  <c r="AT356" i="36"/>
  <c r="BU356" i="36"/>
  <c r="BB356" i="36"/>
  <c r="BR359" i="36"/>
  <c r="AY359" i="36"/>
  <c r="BO362" i="36"/>
  <c r="AV362" i="36"/>
  <c r="BL365" i="36"/>
  <c r="AS365" i="36"/>
  <c r="BT365" i="36"/>
  <c r="BA365" i="36"/>
  <c r="BQ368" i="36"/>
  <c r="AX368" i="36"/>
  <c r="BN371" i="36"/>
  <c r="AU371" i="36"/>
  <c r="AZ374" i="36"/>
  <c r="BS374" i="36"/>
  <c r="AW377" i="36"/>
  <c r="BP377" i="36"/>
  <c r="BM380" i="36"/>
  <c r="AT380" i="36"/>
  <c r="BB380" i="36"/>
  <c r="BU380" i="36"/>
  <c r="BR383" i="36"/>
  <c r="AY383" i="36"/>
  <c r="AV389" i="36"/>
  <c r="BO389" i="36"/>
  <c r="BL392" i="36"/>
  <c r="AS392" i="36"/>
  <c r="BT392" i="36"/>
  <c r="BA392" i="36"/>
  <c r="BQ395" i="36"/>
  <c r="AX395" i="36"/>
  <c r="BN398" i="36"/>
  <c r="AU398" i="36"/>
  <c r="AZ401" i="36"/>
  <c r="BS401" i="36"/>
  <c r="BP404" i="36"/>
  <c r="AW404" i="36"/>
  <c r="BM407" i="36"/>
  <c r="AT407" i="36"/>
  <c r="BU407" i="36"/>
  <c r="BB407" i="36"/>
  <c r="BR410" i="36"/>
  <c r="AY410" i="36"/>
  <c r="BO413" i="36"/>
  <c r="AV413" i="36"/>
  <c r="BL416" i="36"/>
  <c r="AS416" i="36"/>
  <c r="BT416" i="36"/>
  <c r="BA416" i="36"/>
  <c r="BQ419" i="36"/>
  <c r="AX419" i="36"/>
  <c r="BN422" i="36"/>
  <c r="AU422" i="36"/>
  <c r="AZ425" i="36"/>
  <c r="BS425" i="36"/>
  <c r="BP428" i="36"/>
  <c r="AW428" i="36"/>
  <c r="BM431" i="36"/>
  <c r="AT431" i="36"/>
  <c r="BU431" i="36"/>
  <c r="BB431" i="36"/>
  <c r="BR434" i="36"/>
  <c r="AY434" i="36"/>
  <c r="BO437" i="36"/>
  <c r="AV437" i="36"/>
  <c r="BL440" i="36"/>
  <c r="AS440" i="36"/>
  <c r="BT440" i="36"/>
  <c r="BA440" i="36"/>
  <c r="BQ443" i="36"/>
  <c r="AX443" i="36"/>
  <c r="AK192" i="86"/>
  <c r="Q57" i="98" s="1"/>
  <c r="AK167" i="86"/>
  <c r="BK45" i="90"/>
  <c r="AD27" i="98"/>
  <c r="AD35" i="98"/>
  <c r="AC28" i="98"/>
  <c r="E13" i="90"/>
  <c r="AB20" i="98" s="1"/>
  <c r="BV47" i="90"/>
  <c r="BX55" i="90"/>
  <c r="AE34" i="98"/>
  <c r="AE26" i="98"/>
  <c r="BT58" i="90"/>
  <c r="BJ58" i="90" s="1"/>
  <c r="AA36" i="98"/>
  <c r="BM59" i="90"/>
  <c r="BL60" i="90"/>
  <c r="BK66" i="90"/>
  <c r="BJ67" i="90"/>
  <c r="BK72" i="90"/>
  <c r="BL78" i="90"/>
  <c r="BJ79" i="90"/>
  <c r="BM82" i="90"/>
  <c r="BL83" i="90"/>
  <c r="BL85" i="90"/>
  <c r="BJ87" i="90"/>
  <c r="BL90" i="90"/>
  <c r="BJ92" i="90"/>
  <c r="BZ92" i="90"/>
  <c r="BP92" i="90" s="1"/>
  <c r="BM100" i="90"/>
  <c r="BL117" i="90"/>
  <c r="AK452" i="57"/>
  <c r="AI462" i="57"/>
  <c r="AK461" i="57"/>
  <c r="AH461" i="57"/>
  <c r="AK463" i="57"/>
  <c r="BT386" i="36"/>
  <c r="BA386" i="36"/>
  <c r="BL386" i="36"/>
  <c r="AS386" i="36"/>
  <c r="AB13" i="57"/>
  <c r="BP71" i="57"/>
  <c r="AW71" i="57"/>
  <c r="BM74" i="57"/>
  <c r="AT74" i="57"/>
  <c r="BU74" i="57"/>
  <c r="BB74" i="57"/>
  <c r="BR77" i="57"/>
  <c r="AY77" i="57"/>
  <c r="BO80" i="57"/>
  <c r="AV80" i="57"/>
  <c r="AS83" i="57"/>
  <c r="BL83" i="57"/>
  <c r="BT83" i="57"/>
  <c r="BA83" i="57"/>
  <c r="BQ86" i="57"/>
  <c r="AX86" i="57"/>
  <c r="AU89" i="57"/>
  <c r="BN89" i="57"/>
  <c r="BS92" i="57"/>
  <c r="AZ92" i="57"/>
  <c r="BP95" i="57"/>
  <c r="AW95" i="57"/>
  <c r="AT98" i="57"/>
  <c r="BM98" i="57"/>
  <c r="BB98" i="57"/>
  <c r="BU98" i="57"/>
  <c r="AY101" i="57"/>
  <c r="BR101" i="57"/>
  <c r="BO104" i="57"/>
  <c r="AV104" i="57"/>
  <c r="BL107" i="57"/>
  <c r="AS107" i="57"/>
  <c r="BT107" i="57"/>
  <c r="BA107" i="57"/>
  <c r="AX110" i="57"/>
  <c r="BQ110" i="57"/>
  <c r="AU113" i="57"/>
  <c r="BN113" i="57"/>
  <c r="BS116" i="57"/>
  <c r="AZ116" i="57"/>
  <c r="BP119" i="57"/>
  <c r="AW119" i="57"/>
  <c r="AT122" i="57"/>
  <c r="BM122" i="57"/>
  <c r="BB122" i="57"/>
  <c r="BU122" i="57"/>
  <c r="AY125" i="57"/>
  <c r="BR125" i="57"/>
  <c r="BO128" i="57"/>
  <c r="AV128" i="57"/>
  <c r="BL131" i="57"/>
  <c r="AS131" i="57"/>
  <c r="BT131" i="57"/>
  <c r="BA131" i="57"/>
  <c r="AX134" i="57"/>
  <c r="BQ134" i="57"/>
  <c r="AU137" i="57"/>
  <c r="BN137" i="57"/>
  <c r="BS140" i="57"/>
  <c r="AZ140" i="57"/>
  <c r="BP143" i="57"/>
  <c r="AW143" i="57"/>
  <c r="AT146" i="57"/>
  <c r="BM146" i="57"/>
  <c r="BB146" i="57"/>
  <c r="BU146" i="57"/>
  <c r="AY149" i="57"/>
  <c r="BR149" i="57"/>
  <c r="BO152" i="57"/>
  <c r="AV152" i="57"/>
  <c r="BL155" i="57"/>
  <c r="AS155" i="57"/>
  <c r="BT155" i="57"/>
  <c r="BA155" i="57"/>
  <c r="AX158" i="57"/>
  <c r="BQ158" i="57"/>
  <c r="AU161" i="57"/>
  <c r="BN161" i="57"/>
  <c r="BS164" i="57"/>
  <c r="AZ164" i="57"/>
  <c r="BP167" i="57"/>
  <c r="AW167" i="57"/>
  <c r="AT170" i="57"/>
  <c r="BM170" i="57"/>
  <c r="BB170" i="57"/>
  <c r="BU170" i="57"/>
  <c r="AY173" i="57"/>
  <c r="BR173" i="57"/>
  <c r="BO176" i="57"/>
  <c r="AV176" i="57"/>
  <c r="AS179" i="57"/>
  <c r="BL179" i="57"/>
  <c r="BA179" i="57"/>
  <c r="BT179" i="57"/>
  <c r="AX182" i="57"/>
  <c r="BQ182" i="57"/>
  <c r="BN185" i="57"/>
  <c r="AU185" i="57"/>
  <c r="BS188" i="57"/>
  <c r="AZ188" i="57"/>
  <c r="AW191" i="57"/>
  <c r="BP191" i="57"/>
  <c r="BM194" i="57"/>
  <c r="AT194" i="57"/>
  <c r="BU194" i="57"/>
  <c r="BB194" i="57"/>
  <c r="BR197" i="57"/>
  <c r="AY197" i="57"/>
  <c r="BO200" i="57"/>
  <c r="AV200" i="57"/>
  <c r="BL203" i="57"/>
  <c r="AS203" i="57"/>
  <c r="BT203" i="57"/>
  <c r="BA203" i="57"/>
  <c r="AX206" i="57"/>
  <c r="BQ206" i="57"/>
  <c r="AU209" i="57"/>
  <c r="BN209" i="57"/>
  <c r="BS212" i="57"/>
  <c r="AZ212" i="57"/>
  <c r="BP215" i="57"/>
  <c r="AW215" i="57"/>
  <c r="BM218" i="57"/>
  <c r="AT218" i="57"/>
  <c r="BU218" i="57"/>
  <c r="BB218" i="57"/>
  <c r="BR221" i="57"/>
  <c r="AY221" i="57"/>
  <c r="BO224" i="57"/>
  <c r="AV224" i="57"/>
  <c r="BL227" i="57"/>
  <c r="AS227" i="57"/>
  <c r="BA227" i="57"/>
  <c r="BT227" i="57"/>
  <c r="BQ230" i="57"/>
  <c r="AX230" i="57"/>
  <c r="BN233" i="57"/>
  <c r="AU233" i="57"/>
  <c r="BS236" i="57"/>
  <c r="AZ236" i="57"/>
  <c r="BP239" i="57"/>
  <c r="AW239" i="57"/>
  <c r="BM242" i="57"/>
  <c r="AT242" i="57"/>
  <c r="BU242" i="57"/>
  <c r="BB242" i="57"/>
  <c r="BR245" i="57"/>
  <c r="AY245" i="57"/>
  <c r="BO248" i="57"/>
  <c r="AV248" i="57"/>
  <c r="BL251" i="57"/>
  <c r="AS251" i="57"/>
  <c r="BT251" i="57"/>
  <c r="BA251" i="57"/>
  <c r="AX254" i="57"/>
  <c r="BQ254" i="57"/>
  <c r="AU257" i="57"/>
  <c r="BN257" i="57"/>
  <c r="BS260" i="57"/>
  <c r="AZ260" i="57"/>
  <c r="BP263" i="57"/>
  <c r="AW263" i="57"/>
  <c r="BM266" i="57"/>
  <c r="AT266" i="57"/>
  <c r="BU266" i="57"/>
  <c r="BB266" i="57"/>
  <c r="BR269" i="57"/>
  <c r="AY269" i="57"/>
  <c r="BO272" i="57"/>
  <c r="AV272" i="57"/>
  <c r="BL275" i="57"/>
  <c r="AS275" i="57"/>
  <c r="BT275" i="57"/>
  <c r="BA275" i="57"/>
  <c r="AX278" i="57"/>
  <c r="BQ278" i="57"/>
  <c r="BN281" i="57"/>
  <c r="AU281" i="57"/>
  <c r="AZ284" i="57"/>
  <c r="BS284" i="57"/>
  <c r="BP287" i="57"/>
  <c r="AW287" i="57"/>
  <c r="BM290" i="57"/>
  <c r="AT290" i="57"/>
  <c r="BU290" i="57"/>
  <c r="BB290" i="57"/>
  <c r="BR293" i="57"/>
  <c r="AY293" i="57"/>
  <c r="BO296" i="57"/>
  <c r="AV296" i="57"/>
  <c r="AS299" i="57"/>
  <c r="BL299" i="57"/>
  <c r="BT299" i="57"/>
  <c r="BA299" i="57"/>
  <c r="AX302" i="57"/>
  <c r="BQ302" i="57"/>
  <c r="BN305" i="57"/>
  <c r="AU305" i="57"/>
  <c r="BS308" i="57"/>
  <c r="AZ308" i="57"/>
  <c r="BP311" i="57"/>
  <c r="AW311" i="57"/>
  <c r="BM314" i="57"/>
  <c r="AT314" i="57"/>
  <c r="BU314" i="57"/>
  <c r="BB314" i="57"/>
  <c r="BR317" i="57"/>
  <c r="AY317" i="57"/>
  <c r="BO320" i="57"/>
  <c r="AV320" i="57"/>
  <c r="AS323" i="57"/>
  <c r="BL323" i="57"/>
  <c r="BT323" i="57"/>
  <c r="BA323" i="57"/>
  <c r="BQ326" i="57"/>
  <c r="AX326" i="57"/>
  <c r="BN329" i="57"/>
  <c r="AU329" i="57"/>
  <c r="BS332" i="57"/>
  <c r="AZ332" i="57"/>
  <c r="BP335" i="57"/>
  <c r="AW335" i="57"/>
  <c r="BM338" i="57"/>
  <c r="AT338" i="57"/>
  <c r="BU338" i="57"/>
  <c r="BB338" i="57"/>
  <c r="BR341" i="57"/>
  <c r="AY341" i="57"/>
  <c r="BO344" i="57"/>
  <c r="AV344" i="57"/>
  <c r="AS347" i="57"/>
  <c r="BL347" i="57"/>
  <c r="BT347" i="57"/>
  <c r="BA347" i="57"/>
  <c r="BQ350" i="57"/>
  <c r="AX350" i="57"/>
  <c r="BN353" i="57"/>
  <c r="AU353" i="57"/>
  <c r="BS356" i="57"/>
  <c r="AZ356" i="57"/>
  <c r="BP359" i="57"/>
  <c r="AW359" i="57"/>
  <c r="AT362" i="57"/>
  <c r="BM362" i="57"/>
  <c r="BB362" i="57"/>
  <c r="BU362" i="57"/>
  <c r="BR365" i="57"/>
  <c r="AY365" i="57"/>
  <c r="AV368" i="57"/>
  <c r="BO368" i="57"/>
  <c r="AS371" i="57"/>
  <c r="BL371" i="57"/>
  <c r="BT371" i="57"/>
  <c r="BA371" i="57"/>
  <c r="BQ374" i="57"/>
  <c r="AX374" i="57"/>
  <c r="AU377" i="57"/>
  <c r="BN377" i="57"/>
  <c r="AZ380" i="57"/>
  <c r="BS380" i="57"/>
  <c r="BP383" i="57"/>
  <c r="AW383" i="57"/>
  <c r="AT386" i="57"/>
  <c r="BM386" i="57"/>
  <c r="BU386" i="57"/>
  <c r="BB386" i="57"/>
  <c r="BR389" i="57"/>
  <c r="AY389" i="57"/>
  <c r="AV392" i="57"/>
  <c r="BO392" i="57"/>
  <c r="BL395" i="57"/>
  <c r="AS395" i="57"/>
  <c r="BT395" i="57"/>
  <c r="BA395" i="57"/>
  <c r="BQ398" i="57"/>
  <c r="AX398" i="57"/>
  <c r="BN401" i="57"/>
  <c r="AU401" i="57"/>
  <c r="AZ404" i="57"/>
  <c r="BS404" i="57"/>
  <c r="AW407" i="57"/>
  <c r="BP407" i="57"/>
  <c r="BM410" i="57"/>
  <c r="AT410" i="57"/>
  <c r="BB410" i="57"/>
  <c r="BU410" i="57"/>
  <c r="BR413" i="57"/>
  <c r="AY413" i="57"/>
  <c r="X26" i="40"/>
  <c r="I477" i="36"/>
  <c r="I500" i="36"/>
  <c r="AL192" i="86"/>
  <c r="R57" i="98" s="1"/>
  <c r="AL167" i="86"/>
  <c r="M11" i="90"/>
  <c r="AJ18" i="98" s="1"/>
  <c r="BS68" i="36"/>
  <c r="BS56" i="36" s="1"/>
  <c r="AZ56" i="36"/>
  <c r="BS386" i="36"/>
  <c r="AZ386" i="36"/>
  <c r="BQ68" i="57"/>
  <c r="BQ56" i="57" s="1"/>
  <c r="AX56" i="57"/>
  <c r="BU68" i="57"/>
  <c r="BU56" i="57" s="1"/>
  <c r="BB56" i="57"/>
  <c r="AC13" i="57"/>
  <c r="BQ71" i="57"/>
  <c r="AX71" i="57"/>
  <c r="BN74" i="57"/>
  <c r="AU74" i="57"/>
  <c r="BS77" i="57"/>
  <c r="AZ77" i="57"/>
  <c r="BP80" i="57"/>
  <c r="AW80" i="57"/>
  <c r="BM83" i="57"/>
  <c r="AT83" i="57"/>
  <c r="BU83" i="57"/>
  <c r="BB83" i="57"/>
  <c r="BR86" i="57"/>
  <c r="AY86" i="57"/>
  <c r="BO89" i="57"/>
  <c r="AV89" i="57"/>
  <c r="AS92" i="57"/>
  <c r="BL92" i="57"/>
  <c r="BT92" i="57"/>
  <c r="BA92" i="57"/>
  <c r="BQ95" i="57"/>
  <c r="AX95" i="57"/>
  <c r="AU98" i="57"/>
  <c r="BN98" i="57"/>
  <c r="BS101" i="57"/>
  <c r="AZ101" i="57"/>
  <c r="BP104" i="57"/>
  <c r="AW104" i="57"/>
  <c r="BM107" i="57"/>
  <c r="AT107" i="57"/>
  <c r="BU107" i="57"/>
  <c r="BB107" i="57"/>
  <c r="BR110" i="57"/>
  <c r="AY110" i="57"/>
  <c r="BO113" i="57"/>
  <c r="AV113" i="57"/>
  <c r="BL116" i="57"/>
  <c r="AS116" i="57"/>
  <c r="BT116" i="57"/>
  <c r="BA116" i="57"/>
  <c r="BQ119" i="57"/>
  <c r="AX119" i="57"/>
  <c r="BN122" i="57"/>
  <c r="AU122" i="57"/>
  <c r="BS125" i="57"/>
  <c r="AZ125" i="57"/>
  <c r="BP128" i="57"/>
  <c r="AW128" i="57"/>
  <c r="BM131" i="57"/>
  <c r="AT131" i="57"/>
  <c r="BU131" i="57"/>
  <c r="BB131" i="57"/>
  <c r="BR134" i="57"/>
  <c r="AY134" i="57"/>
  <c r="BO137" i="57"/>
  <c r="AV137" i="57"/>
  <c r="BL140" i="57"/>
  <c r="AS140" i="57"/>
  <c r="BT140" i="57"/>
  <c r="BA140" i="57"/>
  <c r="BQ143" i="57"/>
  <c r="AX143" i="57"/>
  <c r="BN146" i="57"/>
  <c r="AU146" i="57"/>
  <c r="BS149" i="57"/>
  <c r="AZ149" i="57"/>
  <c r="BP152" i="57"/>
  <c r="AW152" i="57"/>
  <c r="BM155" i="57"/>
  <c r="AT155" i="57"/>
  <c r="BU155" i="57"/>
  <c r="BB155" i="57"/>
  <c r="BR158" i="57"/>
  <c r="AY158" i="57"/>
  <c r="BO161" i="57"/>
  <c r="AV161" i="57"/>
  <c r="BL164" i="57"/>
  <c r="AS164" i="57"/>
  <c r="BT164" i="57"/>
  <c r="BA164" i="57"/>
  <c r="BQ167" i="57"/>
  <c r="AX167" i="57"/>
  <c r="BN170" i="57"/>
  <c r="AU170" i="57"/>
  <c r="BS173" i="57"/>
  <c r="AZ173" i="57"/>
  <c r="AW176" i="57"/>
  <c r="BP176" i="57"/>
  <c r="BM179" i="57"/>
  <c r="AT179" i="57"/>
  <c r="BU179" i="57"/>
  <c r="BB179" i="57"/>
  <c r="BR182" i="57"/>
  <c r="AY182" i="57"/>
  <c r="BO185" i="57"/>
  <c r="AV185" i="57"/>
  <c r="AS188" i="57"/>
  <c r="BL188" i="57"/>
  <c r="BA188" i="57"/>
  <c r="BT188" i="57"/>
  <c r="BQ191" i="57"/>
  <c r="AX191" i="57"/>
  <c r="BN194" i="57"/>
  <c r="AU194" i="57"/>
  <c r="BS197" i="57"/>
  <c r="AZ197" i="57"/>
  <c r="BP200" i="57"/>
  <c r="AW200" i="57"/>
  <c r="BM203" i="57"/>
  <c r="AT203" i="57"/>
  <c r="BU203" i="57"/>
  <c r="BB203" i="57"/>
  <c r="BR206" i="57"/>
  <c r="AY206" i="57"/>
  <c r="AV209" i="57"/>
  <c r="BO209" i="57"/>
  <c r="BL212" i="57"/>
  <c r="AS212" i="57"/>
  <c r="BT212" i="57"/>
  <c r="BA212" i="57"/>
  <c r="BQ215" i="57"/>
  <c r="AX215" i="57"/>
  <c r="BN218" i="57"/>
  <c r="AU218" i="57"/>
  <c r="BS221" i="57"/>
  <c r="AZ221" i="57"/>
  <c r="BP224" i="57"/>
  <c r="AW224" i="57"/>
  <c r="BM227" i="57"/>
  <c r="AT227" i="57"/>
  <c r="BU227" i="57"/>
  <c r="BB227" i="57"/>
  <c r="BR230" i="57"/>
  <c r="AY230" i="57"/>
  <c r="BO233" i="57"/>
  <c r="AV233" i="57"/>
  <c r="BL236" i="57"/>
  <c r="AS236" i="57"/>
  <c r="BT236" i="57"/>
  <c r="BA236" i="57"/>
  <c r="BQ239" i="57"/>
  <c r="AX239" i="57"/>
  <c r="AU242" i="57"/>
  <c r="BN242" i="57"/>
  <c r="BS245" i="57"/>
  <c r="AZ245" i="57"/>
  <c r="BP248" i="57"/>
  <c r="AW248" i="57"/>
  <c r="BM251" i="57"/>
  <c r="AT251" i="57"/>
  <c r="BU251" i="57"/>
  <c r="BB251" i="57"/>
  <c r="BR254" i="57"/>
  <c r="AY254" i="57"/>
  <c r="BO257" i="57"/>
  <c r="AV257" i="57"/>
  <c r="AS260" i="57"/>
  <c r="BL260" i="57"/>
  <c r="BT260" i="57"/>
  <c r="BA260" i="57"/>
  <c r="BQ263" i="57"/>
  <c r="AX263" i="57"/>
  <c r="AU266" i="57"/>
  <c r="BN266" i="57"/>
  <c r="BS269" i="57"/>
  <c r="AZ269" i="57"/>
  <c r="AW272" i="57"/>
  <c r="BP272" i="57"/>
  <c r="BM275" i="57"/>
  <c r="AT275" i="57"/>
  <c r="BU275" i="57"/>
  <c r="BB275" i="57"/>
  <c r="BR278" i="57"/>
  <c r="AY278" i="57"/>
  <c r="AV281" i="57"/>
  <c r="BO281" i="57"/>
  <c r="BL284" i="57"/>
  <c r="AS284" i="57"/>
  <c r="BT284" i="57"/>
  <c r="BA284" i="57"/>
  <c r="BQ287" i="57"/>
  <c r="AX287" i="57"/>
  <c r="BN290" i="57"/>
  <c r="AU290" i="57"/>
  <c r="AZ293" i="57"/>
  <c r="BS293" i="57"/>
  <c r="BP296" i="57"/>
  <c r="AW296" i="57"/>
  <c r="BM299" i="57"/>
  <c r="AT299" i="57"/>
  <c r="BU299" i="57"/>
  <c r="BB299" i="57"/>
  <c r="BR302" i="57"/>
  <c r="AY302" i="57"/>
  <c r="BO305" i="57"/>
  <c r="AV305" i="57"/>
  <c r="BL308" i="57"/>
  <c r="AS308" i="57"/>
  <c r="BT308" i="57"/>
  <c r="BA308" i="57"/>
  <c r="BQ311" i="57"/>
  <c r="AX311" i="57"/>
  <c r="BN314" i="57"/>
  <c r="AU314" i="57"/>
  <c r="AZ317" i="57"/>
  <c r="BS317" i="57"/>
  <c r="BP320" i="57"/>
  <c r="AW320" i="57"/>
  <c r="BM323" i="57"/>
  <c r="AT323" i="57"/>
  <c r="BU323" i="57"/>
  <c r="BB323" i="57"/>
  <c r="AY326" i="57"/>
  <c r="BR326" i="57"/>
  <c r="BO329" i="57"/>
  <c r="AV329" i="57"/>
  <c r="BL332" i="57"/>
  <c r="AS332" i="57"/>
  <c r="BT332" i="57"/>
  <c r="BA332" i="57"/>
  <c r="BQ335" i="57"/>
  <c r="AX335" i="57"/>
  <c r="BN338" i="57"/>
  <c r="AU338" i="57"/>
  <c r="AZ341" i="57"/>
  <c r="BS341" i="57"/>
  <c r="BP344" i="57"/>
  <c r="AW344" i="57"/>
  <c r="BM347" i="57"/>
  <c r="AT347" i="57"/>
  <c r="BU347" i="57"/>
  <c r="BB347" i="57"/>
  <c r="BR350" i="57"/>
  <c r="AY350" i="57"/>
  <c r="BO353" i="57"/>
  <c r="AV353" i="57"/>
  <c r="BL356" i="57"/>
  <c r="AS356" i="57"/>
  <c r="BT356" i="57"/>
  <c r="BA356" i="57"/>
  <c r="BQ359" i="57"/>
  <c r="AX359" i="57"/>
  <c r="AU362" i="57"/>
  <c r="BN362" i="57"/>
  <c r="AZ365" i="57"/>
  <c r="BS365" i="57"/>
  <c r="BP368" i="57"/>
  <c r="AW368" i="57"/>
  <c r="BM371" i="57"/>
  <c r="AT371" i="57"/>
  <c r="BU371" i="57"/>
  <c r="BB371" i="57"/>
  <c r="BR374" i="57"/>
  <c r="AY374" i="57"/>
  <c r="BO377" i="57"/>
  <c r="AV377" i="57"/>
  <c r="AS380" i="57"/>
  <c r="BL380" i="57"/>
  <c r="BA380" i="57"/>
  <c r="BT380" i="57"/>
  <c r="BQ383" i="57"/>
  <c r="AX383" i="57"/>
  <c r="BN386" i="57"/>
  <c r="AU386" i="57"/>
  <c r="BS389" i="57"/>
  <c r="AZ389" i="57"/>
  <c r="AW392" i="57"/>
  <c r="BP392" i="57"/>
  <c r="AT395" i="57"/>
  <c r="BM395" i="57"/>
  <c r="BB395" i="57"/>
  <c r="BU395" i="57"/>
  <c r="BR398" i="57"/>
  <c r="AY398" i="57"/>
  <c r="BO401" i="57"/>
  <c r="AV401" i="57"/>
  <c r="BL404" i="57"/>
  <c r="AS404" i="57"/>
  <c r="BT404" i="57"/>
  <c r="BA404" i="57"/>
  <c r="AX407" i="57"/>
  <c r="BQ407" i="57"/>
  <c r="BN410" i="57"/>
  <c r="AU410" i="57"/>
  <c r="BS413" i="57"/>
  <c r="AZ413" i="57"/>
  <c r="BP416" i="57"/>
  <c r="AW416" i="57"/>
  <c r="BM419" i="57"/>
  <c r="AT419" i="57"/>
  <c r="BU419" i="57"/>
  <c r="BB419" i="57"/>
  <c r="BR422" i="57"/>
  <c r="AY422" i="57"/>
  <c r="BO425" i="57"/>
  <c r="AV425" i="57"/>
  <c r="BL428" i="57"/>
  <c r="AS428" i="57"/>
  <c r="BT428" i="57"/>
  <c r="BA428" i="57"/>
  <c r="BQ431" i="57"/>
  <c r="AX431" i="57"/>
  <c r="AU434" i="57"/>
  <c r="BN434" i="57"/>
  <c r="BS437" i="57"/>
  <c r="AZ437" i="57"/>
  <c r="BP440" i="57"/>
  <c r="AW440" i="57"/>
  <c r="BM443" i="57"/>
  <c r="AT443" i="57"/>
  <c r="BU443" i="57"/>
  <c r="BB443" i="57"/>
  <c r="AF58" i="89"/>
  <c r="B18" i="91"/>
  <c r="B9" i="91"/>
  <c r="C9" i="91" s="1"/>
  <c r="F9" i="91" s="1"/>
  <c r="B15" i="91"/>
  <c r="B14" i="91"/>
  <c r="B21" i="91"/>
  <c r="C21" i="91" s="1"/>
  <c r="F21" i="91" s="1"/>
  <c r="B10" i="91"/>
  <c r="B22" i="91"/>
  <c r="C22" i="91" s="1"/>
  <c r="F22" i="91" s="1"/>
  <c r="Q22" i="91" s="1"/>
  <c r="AJ171" i="86"/>
  <c r="AJ139" i="86"/>
  <c r="AJ149" i="86"/>
  <c r="AJ155" i="86"/>
  <c r="AJ181" i="86"/>
  <c r="O48" i="98"/>
  <c r="AI187" i="86"/>
  <c r="AI199" i="86" s="1"/>
  <c r="AH14" i="57"/>
  <c r="AH17" i="57" s="1"/>
  <c r="AH22" i="57" s="1"/>
  <c r="AH455" i="57"/>
  <c r="AK455" i="57"/>
  <c r="AK14" i="57"/>
  <c r="AK17" i="57" s="1"/>
  <c r="AC169" i="44"/>
  <c r="AC115" i="41"/>
  <c r="BM84" i="90"/>
  <c r="BM86" i="90"/>
  <c r="BK88" i="90"/>
  <c r="BL89" i="90"/>
  <c r="BM90" i="90"/>
  <c r="BK92" i="90"/>
  <c r="BK93" i="90"/>
  <c r="BM96" i="90"/>
  <c r="BL113" i="90"/>
  <c r="BM114" i="90"/>
  <c r="AY386" i="36"/>
  <c r="BR386" i="36"/>
  <c r="BR71" i="57"/>
  <c r="AY71" i="57"/>
  <c r="BO74" i="57"/>
  <c r="AV74" i="57"/>
  <c r="BL77" i="57"/>
  <c r="AS77" i="57"/>
  <c r="BT77" i="57"/>
  <c r="BA77" i="57"/>
  <c r="BQ80" i="57"/>
  <c r="AX80" i="57"/>
  <c r="BN83" i="57"/>
  <c r="AU83" i="57"/>
  <c r="AZ86" i="57"/>
  <c r="BS86" i="57"/>
  <c r="BP89" i="57"/>
  <c r="AW89" i="57"/>
  <c r="BM92" i="57"/>
  <c r="AT92" i="57"/>
  <c r="BU92" i="57"/>
  <c r="BB92" i="57"/>
  <c r="BR95" i="57"/>
  <c r="AY95" i="57"/>
  <c r="BO98" i="57"/>
  <c r="AV98" i="57"/>
  <c r="AS101" i="57"/>
  <c r="BL101" i="57"/>
  <c r="BA101" i="57"/>
  <c r="BT101" i="57"/>
  <c r="AX104" i="57"/>
  <c r="BQ104" i="57"/>
  <c r="BN107" i="57"/>
  <c r="AU107" i="57"/>
  <c r="BS110" i="57"/>
  <c r="AZ110" i="57"/>
  <c r="AW113" i="57"/>
  <c r="BP113" i="57"/>
  <c r="AT116" i="57"/>
  <c r="BM116" i="57"/>
  <c r="BB116" i="57"/>
  <c r="BU116" i="57"/>
  <c r="BR119" i="57"/>
  <c r="AY119" i="57"/>
  <c r="BO122" i="57"/>
  <c r="AV122" i="57"/>
  <c r="AS125" i="57"/>
  <c r="BL125" i="57"/>
  <c r="BA125" i="57"/>
  <c r="BT125" i="57"/>
  <c r="AX128" i="57"/>
  <c r="BQ128" i="57"/>
  <c r="BN131" i="57"/>
  <c r="AU131" i="57"/>
  <c r="BS134" i="57"/>
  <c r="AZ134" i="57"/>
  <c r="AW137" i="57"/>
  <c r="BP137" i="57"/>
  <c r="AT140" i="57"/>
  <c r="BM140" i="57"/>
  <c r="BB140" i="57"/>
  <c r="BU140" i="57"/>
  <c r="BR143" i="57"/>
  <c r="AY143" i="57"/>
  <c r="BO146" i="57"/>
  <c r="AV146" i="57"/>
  <c r="AS149" i="57"/>
  <c r="BL149" i="57"/>
  <c r="BA149" i="57"/>
  <c r="BT149" i="57"/>
  <c r="AX152" i="57"/>
  <c r="BQ152" i="57"/>
  <c r="BN155" i="57"/>
  <c r="AU155" i="57"/>
  <c r="BS158" i="57"/>
  <c r="AZ158" i="57"/>
  <c r="AW161" i="57"/>
  <c r="BP161" i="57"/>
  <c r="AT164" i="57"/>
  <c r="BM164" i="57"/>
  <c r="BB164" i="57"/>
  <c r="BU164" i="57"/>
  <c r="BR167" i="57"/>
  <c r="AY167" i="57"/>
  <c r="BO170" i="57"/>
  <c r="AV170" i="57"/>
  <c r="AS173" i="57"/>
  <c r="BL173" i="57"/>
  <c r="BA173" i="57"/>
  <c r="BT173" i="57"/>
  <c r="AX176" i="57"/>
  <c r="BQ176" i="57"/>
  <c r="BN179" i="57"/>
  <c r="AU179" i="57"/>
  <c r="BS182" i="57"/>
  <c r="AZ182" i="57"/>
  <c r="AW185" i="57"/>
  <c r="BP185" i="57"/>
  <c r="BM188" i="57"/>
  <c r="AT188" i="57"/>
  <c r="BU188" i="57"/>
  <c r="BB188" i="57"/>
  <c r="BR191" i="57"/>
  <c r="AY191" i="57"/>
  <c r="BO194" i="57"/>
  <c r="AV194" i="57"/>
  <c r="AS197" i="57"/>
  <c r="BL197" i="57"/>
  <c r="BA197" i="57"/>
  <c r="BT197" i="57"/>
  <c r="BQ200" i="57"/>
  <c r="AX200" i="57"/>
  <c r="AU203" i="57"/>
  <c r="BN203" i="57"/>
  <c r="AZ206" i="57"/>
  <c r="BS206" i="57"/>
  <c r="AW209" i="57"/>
  <c r="BP209" i="57"/>
  <c r="BM212" i="57"/>
  <c r="AT212" i="57"/>
  <c r="BU212" i="57"/>
  <c r="BB212" i="57"/>
  <c r="BR215" i="57"/>
  <c r="AY215" i="57"/>
  <c r="BO218" i="57"/>
  <c r="AV218" i="57"/>
  <c r="BL221" i="57"/>
  <c r="AS221" i="57"/>
  <c r="BT221" i="57"/>
  <c r="BA221" i="57"/>
  <c r="BQ224" i="57"/>
  <c r="AX224" i="57"/>
  <c r="BN227" i="57"/>
  <c r="AU227" i="57"/>
  <c r="BS230" i="57"/>
  <c r="AZ230" i="57"/>
  <c r="AW233" i="57"/>
  <c r="BP233" i="57"/>
  <c r="BM236" i="57"/>
  <c r="AT236" i="57"/>
  <c r="BU236" i="57"/>
  <c r="BB236" i="57"/>
  <c r="BR239" i="57"/>
  <c r="AY239" i="57"/>
  <c r="BO242" i="57"/>
  <c r="AV242" i="57"/>
  <c r="BL245" i="57"/>
  <c r="AS245" i="57"/>
  <c r="BT245" i="57"/>
  <c r="BA245" i="57"/>
  <c r="BQ248" i="57"/>
  <c r="AX248" i="57"/>
  <c r="BN251" i="57"/>
  <c r="AU251" i="57"/>
  <c r="BS254" i="57"/>
  <c r="AZ254" i="57"/>
  <c r="BP257" i="57"/>
  <c r="AW257" i="57"/>
  <c r="BM260" i="57"/>
  <c r="AT260" i="57"/>
  <c r="BU260" i="57"/>
  <c r="BB260" i="57"/>
  <c r="BR263" i="57"/>
  <c r="AY263" i="57"/>
  <c r="AV266" i="57"/>
  <c r="BO266" i="57"/>
  <c r="BL269" i="57"/>
  <c r="AS269" i="57"/>
  <c r="BT269" i="57"/>
  <c r="BA269" i="57"/>
  <c r="AX272" i="57"/>
  <c r="BQ272" i="57"/>
  <c r="BN275" i="57"/>
  <c r="AU275" i="57"/>
  <c r="BS278" i="57"/>
  <c r="AZ278" i="57"/>
  <c r="BP281" i="57"/>
  <c r="AW281" i="57"/>
  <c r="BM284" i="57"/>
  <c r="AT284" i="57"/>
  <c r="BU284" i="57"/>
  <c r="BB284" i="57"/>
  <c r="AY287" i="57"/>
  <c r="BR287" i="57"/>
  <c r="BO290" i="57"/>
  <c r="AV290" i="57"/>
  <c r="BL293" i="57"/>
  <c r="AS293" i="57"/>
  <c r="BT293" i="57"/>
  <c r="BA293" i="57"/>
  <c r="BQ296" i="57"/>
  <c r="AX296" i="57"/>
  <c r="BN299" i="57"/>
  <c r="AU299" i="57"/>
  <c r="BS302" i="57"/>
  <c r="AZ302" i="57"/>
  <c r="BP305" i="57"/>
  <c r="AW305" i="57"/>
  <c r="BM308" i="57"/>
  <c r="AT308" i="57"/>
  <c r="BU308" i="57"/>
  <c r="BB308" i="57"/>
  <c r="BR311" i="57"/>
  <c r="AY311" i="57"/>
  <c r="AV314" i="57"/>
  <c r="BO314" i="57"/>
  <c r="AS317" i="57"/>
  <c r="BL317" i="57"/>
  <c r="BA317" i="57"/>
  <c r="BT317" i="57"/>
  <c r="BQ320" i="57"/>
  <c r="AX320" i="57"/>
  <c r="BN323" i="57"/>
  <c r="AU323" i="57"/>
  <c r="BS326" i="57"/>
  <c r="AZ326" i="57"/>
  <c r="BP329" i="57"/>
  <c r="AW329" i="57"/>
  <c r="AT332" i="57"/>
  <c r="BM332" i="57"/>
  <c r="BU332" i="57"/>
  <c r="BB332" i="57"/>
  <c r="BR335" i="57"/>
  <c r="AY335" i="57"/>
  <c r="BO338" i="57"/>
  <c r="AV338" i="57"/>
  <c r="BL341" i="57"/>
  <c r="AS341" i="57"/>
  <c r="BT341" i="57"/>
  <c r="BA341" i="57"/>
  <c r="BQ344" i="57"/>
  <c r="AX344" i="57"/>
  <c r="AU347" i="57"/>
  <c r="BN347" i="57"/>
  <c r="BS350" i="57"/>
  <c r="AZ350" i="57"/>
  <c r="BP353" i="57"/>
  <c r="AW353" i="57"/>
  <c r="BM356" i="57"/>
  <c r="AT356" i="57"/>
  <c r="BU356" i="57"/>
  <c r="BB356" i="57"/>
  <c r="BR359" i="57"/>
  <c r="AY359" i="57"/>
  <c r="BO362" i="57"/>
  <c r="AV362" i="57"/>
  <c r="BL365" i="57"/>
  <c r="AS365" i="57"/>
  <c r="BT365" i="57"/>
  <c r="BA365" i="57"/>
  <c r="BQ368" i="57"/>
  <c r="AX368" i="57"/>
  <c r="BN371" i="57"/>
  <c r="AU371" i="57"/>
  <c r="AZ374" i="57"/>
  <c r="BS374" i="57"/>
  <c r="BP377" i="57"/>
  <c r="AW377" i="57"/>
  <c r="BM380" i="57"/>
  <c r="AT380" i="57"/>
  <c r="BU380" i="57"/>
  <c r="BB380" i="57"/>
  <c r="AY383" i="57"/>
  <c r="BR383" i="57"/>
  <c r="BO386" i="57"/>
  <c r="AV386" i="57"/>
  <c r="BL389" i="57"/>
  <c r="AS389" i="57"/>
  <c r="BT389" i="57"/>
  <c r="BA389" i="57"/>
  <c r="BQ392" i="57"/>
  <c r="AX392" i="57"/>
  <c r="BN395" i="57"/>
  <c r="AU395" i="57"/>
  <c r="BS398" i="57"/>
  <c r="AZ398" i="57"/>
  <c r="BP401" i="57"/>
  <c r="AW401" i="57"/>
  <c r="AT404" i="57"/>
  <c r="BM404" i="57"/>
  <c r="BU404" i="57"/>
  <c r="BB404" i="57"/>
  <c r="AY407" i="57"/>
  <c r="BR407" i="57"/>
  <c r="BO410" i="57"/>
  <c r="AV410" i="57"/>
  <c r="BL413" i="57"/>
  <c r="AS413" i="57"/>
  <c r="BT413" i="57"/>
  <c r="BA413" i="57"/>
  <c r="BQ416" i="57"/>
  <c r="AX416" i="57"/>
  <c r="BN419" i="57"/>
  <c r="AU419" i="57"/>
  <c r="BS422" i="57"/>
  <c r="AZ422" i="57"/>
  <c r="BP425" i="57"/>
  <c r="AW425" i="57"/>
  <c r="AT428" i="57"/>
  <c r="BM428" i="57"/>
  <c r="BB428" i="57"/>
  <c r="BU428" i="57"/>
  <c r="BR431" i="57"/>
  <c r="AY431" i="57"/>
  <c r="BO434" i="57"/>
  <c r="AV434" i="57"/>
  <c r="BL437" i="57"/>
  <c r="AS437" i="57"/>
  <c r="BA437" i="57"/>
  <c r="BT437" i="57"/>
  <c r="BQ440" i="57"/>
  <c r="AX440" i="57"/>
  <c r="BN443" i="57"/>
  <c r="AU443" i="57"/>
  <c r="G165" i="112"/>
  <c r="AH73" i="89"/>
  <c r="AG27" i="98"/>
  <c r="AG35" i="98"/>
  <c r="AF28" i="98"/>
  <c r="BM47" i="90"/>
  <c r="AD36" i="98"/>
  <c r="AD39" i="98" s="1"/>
  <c r="BK62" i="90"/>
  <c r="BW67" i="90"/>
  <c r="BO67" i="90" s="1"/>
  <c r="BL73" i="90"/>
  <c r="BM75" i="90"/>
  <c r="BK76" i="90"/>
  <c r="BY78" i="90"/>
  <c r="BR78" i="90" s="1"/>
  <c r="BM87" i="90"/>
  <c r="BK107" i="90"/>
  <c r="AK448" i="57"/>
  <c r="AK464" i="57"/>
  <c r="AH464" i="57"/>
  <c r="AJ463" i="57"/>
  <c r="AX386" i="36"/>
  <c r="BQ386" i="36"/>
  <c r="BS71" i="57"/>
  <c r="AZ71" i="57"/>
  <c r="BP74" i="57"/>
  <c r="AW74" i="57"/>
  <c r="BM77" i="57"/>
  <c r="AT77" i="57"/>
  <c r="BU77" i="57"/>
  <c r="BB77" i="57"/>
  <c r="BR80" i="57"/>
  <c r="AY80" i="57"/>
  <c r="BO83" i="57"/>
  <c r="AV83" i="57"/>
  <c r="AS86" i="57"/>
  <c r="BL86" i="57"/>
  <c r="BT86" i="57"/>
  <c r="BA86" i="57"/>
  <c r="BQ89" i="57"/>
  <c r="AX89" i="57"/>
  <c r="BN92" i="57"/>
  <c r="AU92" i="57"/>
  <c r="AZ95" i="57"/>
  <c r="BS95" i="57"/>
  <c r="BP98" i="57"/>
  <c r="AW98" i="57"/>
  <c r="BM101" i="57"/>
  <c r="AT101" i="57"/>
  <c r="BU101" i="57"/>
  <c r="BB101" i="57"/>
  <c r="BR104" i="57"/>
  <c r="AY104" i="57"/>
  <c r="BO107" i="57"/>
  <c r="AV107" i="57"/>
  <c r="BL110" i="57"/>
  <c r="AS110" i="57"/>
  <c r="BT110" i="57"/>
  <c r="BA110" i="57"/>
  <c r="AX113" i="57"/>
  <c r="BQ113" i="57"/>
  <c r="BN116" i="57"/>
  <c r="AU116" i="57"/>
  <c r="BS119" i="57"/>
  <c r="AZ119" i="57"/>
  <c r="BP122" i="57"/>
  <c r="AW122" i="57"/>
  <c r="BM125" i="57"/>
  <c r="AT125" i="57"/>
  <c r="BU125" i="57"/>
  <c r="BB125" i="57"/>
  <c r="BR128" i="57"/>
  <c r="AY128" i="57"/>
  <c r="BO131" i="57"/>
  <c r="AV131" i="57"/>
  <c r="BL134" i="57"/>
  <c r="AS134" i="57"/>
  <c r="BT134" i="57"/>
  <c r="BA134" i="57"/>
  <c r="BQ137" i="57"/>
  <c r="AX137" i="57"/>
  <c r="BN140" i="57"/>
  <c r="AU140" i="57"/>
  <c r="BS143" i="57"/>
  <c r="AZ143" i="57"/>
  <c r="BP146" i="57"/>
  <c r="AW146" i="57"/>
  <c r="BM149" i="57"/>
  <c r="AT149" i="57"/>
  <c r="BU149" i="57"/>
  <c r="BB149" i="57"/>
  <c r="BR152" i="57"/>
  <c r="AY152" i="57"/>
  <c r="BO155" i="57"/>
  <c r="AV155" i="57"/>
  <c r="BL158" i="57"/>
  <c r="AS158" i="57"/>
  <c r="BT158" i="57"/>
  <c r="BA158" i="57"/>
  <c r="BQ161" i="57"/>
  <c r="AX161" i="57"/>
  <c r="BN164" i="57"/>
  <c r="AU164" i="57"/>
  <c r="BS167" i="57"/>
  <c r="AZ167" i="57"/>
  <c r="BP170" i="57"/>
  <c r="AW170" i="57"/>
  <c r="BM173" i="57"/>
  <c r="AT173" i="57"/>
  <c r="BU173" i="57"/>
  <c r="BB173" i="57"/>
  <c r="BR176" i="57"/>
  <c r="AY176" i="57"/>
  <c r="AV179" i="57"/>
  <c r="BO179" i="57"/>
  <c r="AS182" i="57"/>
  <c r="BL182" i="57"/>
  <c r="BA182" i="57"/>
  <c r="BT182" i="57"/>
  <c r="BQ185" i="57"/>
  <c r="AX185" i="57"/>
  <c r="BN188" i="57"/>
  <c r="AU188" i="57"/>
  <c r="BS191" i="57"/>
  <c r="AZ191" i="57"/>
  <c r="BP194" i="57"/>
  <c r="AW194" i="57"/>
  <c r="BM197" i="57"/>
  <c r="AT197" i="57"/>
  <c r="BU197" i="57"/>
  <c r="BB197" i="57"/>
  <c r="BR200" i="57"/>
  <c r="AY200" i="57"/>
  <c r="BO203" i="57"/>
  <c r="AV203" i="57"/>
  <c r="AS206" i="57"/>
  <c r="BL206" i="57"/>
  <c r="BA206" i="57"/>
  <c r="BT206" i="57"/>
  <c r="AX209" i="57"/>
  <c r="BQ209" i="57"/>
  <c r="BN212" i="57"/>
  <c r="AU212" i="57"/>
  <c r="BS215" i="57"/>
  <c r="AZ215" i="57"/>
  <c r="BP218" i="57"/>
  <c r="AW218" i="57"/>
  <c r="BM221" i="57"/>
  <c r="AT221" i="57"/>
  <c r="BU221" i="57"/>
  <c r="BB221" i="57"/>
  <c r="AY224" i="57"/>
  <c r="BR224" i="57"/>
  <c r="BO227" i="57"/>
  <c r="AV227" i="57"/>
  <c r="BL230" i="57"/>
  <c r="AS230" i="57"/>
  <c r="BT230" i="57"/>
  <c r="BA230" i="57"/>
  <c r="BQ233" i="57"/>
  <c r="AX233" i="57"/>
  <c r="AU236" i="57"/>
  <c r="BN236" i="57"/>
  <c r="BS239" i="57"/>
  <c r="AZ239" i="57"/>
  <c r="BP242" i="57"/>
  <c r="AW242" i="57"/>
  <c r="AT245" i="57"/>
  <c r="BM245" i="57"/>
  <c r="BB245" i="57"/>
  <c r="BU245" i="57"/>
  <c r="BR248" i="57"/>
  <c r="AY248" i="57"/>
  <c r="BO251" i="57"/>
  <c r="AV251" i="57"/>
  <c r="BL254" i="57"/>
  <c r="AS254" i="57"/>
  <c r="BT254" i="57"/>
  <c r="BA254" i="57"/>
  <c r="AX257" i="57"/>
  <c r="BQ257" i="57"/>
  <c r="AU260" i="57"/>
  <c r="BN260" i="57"/>
  <c r="BS263" i="57"/>
  <c r="AZ263" i="57"/>
  <c r="BP266" i="57"/>
  <c r="AW266" i="57"/>
  <c r="AT269" i="57"/>
  <c r="BM269" i="57"/>
  <c r="BB269" i="57"/>
  <c r="BU269" i="57"/>
  <c r="BR272" i="57"/>
  <c r="AY272" i="57"/>
  <c r="BO275" i="57"/>
  <c r="AV275" i="57"/>
  <c r="BL278" i="57"/>
  <c r="AS278" i="57"/>
  <c r="BT278" i="57"/>
  <c r="BA278" i="57"/>
  <c r="AX281" i="57"/>
  <c r="BQ281" i="57"/>
  <c r="BN284" i="57"/>
  <c r="AU284" i="57"/>
  <c r="AZ287" i="57"/>
  <c r="BS287" i="57"/>
  <c r="AW290" i="57"/>
  <c r="BP290" i="57"/>
  <c r="BM293" i="57"/>
  <c r="AT293" i="57"/>
  <c r="BU293" i="57"/>
  <c r="BB293" i="57"/>
  <c r="BR296" i="57"/>
  <c r="AY296" i="57"/>
  <c r="BO299" i="57"/>
  <c r="AV299" i="57"/>
  <c r="AS302" i="57"/>
  <c r="BL302" i="57"/>
  <c r="BA302" i="57"/>
  <c r="BT302" i="57"/>
  <c r="AX305" i="57"/>
  <c r="BQ305" i="57"/>
  <c r="BN308" i="57"/>
  <c r="AU308" i="57"/>
  <c r="BS311" i="57"/>
  <c r="AZ311" i="57"/>
  <c r="BP314" i="57"/>
  <c r="AW314" i="57"/>
  <c r="BM317" i="57"/>
  <c r="AT317" i="57"/>
  <c r="BU317" i="57"/>
  <c r="BB317" i="57"/>
  <c r="BR320" i="57"/>
  <c r="AY320" i="57"/>
  <c r="BO323" i="57"/>
  <c r="AV323" i="57"/>
  <c r="AS326" i="57"/>
  <c r="BL326" i="57"/>
  <c r="BA326" i="57"/>
  <c r="BT326" i="57"/>
  <c r="AX329" i="57"/>
  <c r="BQ329" i="57"/>
  <c r="AU332" i="57"/>
  <c r="BN332" i="57"/>
  <c r="BS335" i="57"/>
  <c r="AZ335" i="57"/>
  <c r="BP338" i="57"/>
  <c r="AW338" i="57"/>
  <c r="BM341" i="57"/>
  <c r="AT341" i="57"/>
  <c r="BU341" i="57"/>
  <c r="BB341" i="57"/>
  <c r="BR344" i="57"/>
  <c r="AY344" i="57"/>
  <c r="BO347" i="57"/>
  <c r="AV347" i="57"/>
  <c r="BL350" i="57"/>
  <c r="AS350" i="57"/>
  <c r="BT350" i="57"/>
  <c r="BA350" i="57"/>
  <c r="AX353" i="57"/>
  <c r="BQ353" i="57"/>
  <c r="BN356" i="57"/>
  <c r="AU356" i="57"/>
  <c r="BS359" i="57"/>
  <c r="AZ359" i="57"/>
  <c r="AW362" i="57"/>
  <c r="BP362" i="57"/>
  <c r="BM365" i="57"/>
  <c r="AT365" i="57"/>
  <c r="BU365" i="57"/>
  <c r="BB365" i="57"/>
  <c r="AY368" i="57"/>
  <c r="BR368" i="57"/>
  <c r="BO371" i="57"/>
  <c r="AV371" i="57"/>
  <c r="AS374" i="57"/>
  <c r="BL374" i="57"/>
  <c r="BA374" i="57"/>
  <c r="BT374" i="57"/>
  <c r="BQ377" i="57"/>
  <c r="AX377" i="57"/>
  <c r="AU380" i="57"/>
  <c r="BN380" i="57"/>
  <c r="AZ383" i="57"/>
  <c r="BS383" i="57"/>
  <c r="BP386" i="57"/>
  <c r="AW386" i="57"/>
  <c r="BM389" i="57"/>
  <c r="AT389" i="57"/>
  <c r="BU389" i="57"/>
  <c r="BB389" i="57"/>
  <c r="BR392" i="57"/>
  <c r="AY392" i="57"/>
  <c r="BO395" i="57"/>
  <c r="AV395" i="57"/>
  <c r="AS398" i="57"/>
  <c r="BL398" i="57"/>
  <c r="BT398" i="57"/>
  <c r="BA398" i="57"/>
  <c r="BQ401" i="57"/>
  <c r="AX401" i="57"/>
  <c r="AU404" i="57"/>
  <c r="BN404" i="57"/>
  <c r="BS407" i="57"/>
  <c r="AZ407" i="57"/>
  <c r="BP410" i="57"/>
  <c r="AW410" i="57"/>
  <c r="BM413" i="57"/>
  <c r="AT413" i="57"/>
  <c r="W26" i="40"/>
  <c r="I480" i="36"/>
  <c r="I525" i="57"/>
  <c r="I489" i="57"/>
  <c r="AH192" i="86"/>
  <c r="N57" i="98" s="1"/>
  <c r="AH167" i="86"/>
  <c r="BZ266" i="36"/>
  <c r="BG266" i="36"/>
  <c r="BX272" i="36"/>
  <c r="BE272" i="36"/>
  <c r="BV278" i="36"/>
  <c r="BC278" i="36"/>
  <c r="BY281" i="36"/>
  <c r="BF281" i="36"/>
  <c r="BW287" i="36"/>
  <c r="BD287" i="36"/>
  <c r="BZ290" i="36"/>
  <c r="BG290" i="36"/>
  <c r="BE296" i="36"/>
  <c r="BX296" i="36"/>
  <c r="BV302" i="36"/>
  <c r="BC302" i="36"/>
  <c r="BY305" i="36"/>
  <c r="BF305" i="36"/>
  <c r="BW311" i="36"/>
  <c r="BD311" i="36"/>
  <c r="BZ314" i="36"/>
  <c r="BG314" i="36"/>
  <c r="BX320" i="36"/>
  <c r="BE320" i="36"/>
  <c r="BV326" i="36"/>
  <c r="BC326" i="36"/>
  <c r="BY329" i="36"/>
  <c r="BF329" i="36"/>
  <c r="BW335" i="36"/>
  <c r="BD335" i="36"/>
  <c r="BZ338" i="36"/>
  <c r="BG338" i="36"/>
  <c r="BX344" i="36"/>
  <c r="BE344" i="36"/>
  <c r="BV350" i="36"/>
  <c r="BC350" i="36"/>
  <c r="BY353" i="36"/>
  <c r="BF353" i="36"/>
  <c r="BW359" i="36"/>
  <c r="BD359" i="36"/>
  <c r="BZ362" i="36"/>
  <c r="BG362" i="36"/>
  <c r="BX368" i="36"/>
  <c r="BE368" i="36"/>
  <c r="BV374" i="36"/>
  <c r="BC374" i="36"/>
  <c r="BF377" i="36"/>
  <c r="BY377" i="36"/>
  <c r="BW383" i="36"/>
  <c r="BD383" i="36"/>
  <c r="BZ386" i="36"/>
  <c r="BG386" i="36"/>
  <c r="BX392" i="36"/>
  <c r="BE392" i="36"/>
  <c r="BV398" i="36"/>
  <c r="BC398" i="36"/>
  <c r="BY401" i="36"/>
  <c r="BF401" i="36"/>
  <c r="BW407" i="36"/>
  <c r="BD407" i="36"/>
  <c r="BG410" i="36"/>
  <c r="BZ410" i="36"/>
  <c r="BX416" i="36"/>
  <c r="BE416" i="36"/>
  <c r="BV422" i="36"/>
  <c r="BC422" i="36"/>
  <c r="BY425" i="36"/>
  <c r="BF425" i="36"/>
  <c r="BW431" i="36"/>
  <c r="BD431" i="36"/>
  <c r="BZ434" i="36"/>
  <c r="BG434" i="36"/>
  <c r="BX440" i="36"/>
  <c r="BE440" i="36"/>
  <c r="BZ68" i="36"/>
  <c r="BZ56" i="36" s="1"/>
  <c r="BG56" i="36"/>
  <c r="BW68" i="57"/>
  <c r="BW56" i="57" s="1"/>
  <c r="BD56" i="57"/>
  <c r="BP386" i="36"/>
  <c r="AW386" i="36"/>
  <c r="X13" i="57"/>
  <c r="BL71" i="57"/>
  <c r="AS71" i="57"/>
  <c r="BT71" i="57"/>
  <c r="BA71" i="57"/>
  <c r="BQ74" i="57"/>
  <c r="AX74" i="57"/>
  <c r="BN77" i="57"/>
  <c r="AU77" i="57"/>
  <c r="BS80" i="57"/>
  <c r="AZ80" i="57"/>
  <c r="BP83" i="57"/>
  <c r="AW83" i="57"/>
  <c r="BM86" i="57"/>
  <c r="AT86" i="57"/>
  <c r="BB86" i="57"/>
  <c r="BU86" i="57"/>
  <c r="BR89" i="57"/>
  <c r="AY89" i="57"/>
  <c r="AV92" i="57"/>
  <c r="BO92" i="57"/>
  <c r="BL95" i="57"/>
  <c r="AS95" i="57"/>
  <c r="BT95" i="57"/>
  <c r="BA95" i="57"/>
  <c r="BQ98" i="57"/>
  <c r="AX98" i="57"/>
  <c r="BN101" i="57"/>
  <c r="AU101" i="57"/>
  <c r="AZ104" i="57"/>
  <c r="BS104" i="57"/>
  <c r="AW107" i="57"/>
  <c r="BP107" i="57"/>
  <c r="BM110" i="57"/>
  <c r="AT110" i="57"/>
  <c r="BU110" i="57"/>
  <c r="BB110" i="57"/>
  <c r="BR113" i="57"/>
  <c r="AY113" i="57"/>
  <c r="AV116" i="57"/>
  <c r="BO116" i="57"/>
  <c r="AS119" i="57"/>
  <c r="BL119" i="57"/>
  <c r="BA119" i="57"/>
  <c r="BT119" i="57"/>
  <c r="BQ122" i="57"/>
  <c r="AX122" i="57"/>
  <c r="BN125" i="57"/>
  <c r="AU125" i="57"/>
  <c r="AZ128" i="57"/>
  <c r="BS128" i="57"/>
  <c r="AW131" i="57"/>
  <c r="BP131" i="57"/>
  <c r="BM134" i="57"/>
  <c r="AT134" i="57"/>
  <c r="BU134" i="57"/>
  <c r="BB134" i="57"/>
  <c r="BR137" i="57"/>
  <c r="AY137" i="57"/>
  <c r="AV140" i="57"/>
  <c r="BO140" i="57"/>
  <c r="AS143" i="57"/>
  <c r="BL143" i="57"/>
  <c r="BA143" i="57"/>
  <c r="BT143" i="57"/>
  <c r="BQ146" i="57"/>
  <c r="AX146" i="57"/>
  <c r="BN149" i="57"/>
  <c r="AU149" i="57"/>
  <c r="AZ152" i="57"/>
  <c r="BS152" i="57"/>
  <c r="AW155" i="57"/>
  <c r="BP155" i="57"/>
  <c r="BM158" i="57"/>
  <c r="AT158" i="57"/>
  <c r="BU158" i="57"/>
  <c r="BB158" i="57"/>
  <c r="BR161" i="57"/>
  <c r="AY161" i="57"/>
  <c r="AV164" i="57"/>
  <c r="BO164" i="57"/>
  <c r="AS167" i="57"/>
  <c r="BL167" i="57"/>
  <c r="BA167" i="57"/>
  <c r="BT167" i="57"/>
  <c r="BQ170" i="57"/>
  <c r="AX170" i="57"/>
  <c r="BN173" i="57"/>
  <c r="AU173" i="57"/>
  <c r="AZ176" i="57"/>
  <c r="BS176" i="57"/>
  <c r="BP179" i="57"/>
  <c r="AW179" i="57"/>
  <c r="BM182" i="57"/>
  <c r="AT182" i="57"/>
  <c r="BU182" i="57"/>
  <c r="BB182" i="57"/>
  <c r="BR185" i="57"/>
  <c r="AY185" i="57"/>
  <c r="AV188" i="57"/>
  <c r="BO188" i="57"/>
  <c r="BL191" i="57"/>
  <c r="AS191" i="57"/>
  <c r="BT191" i="57"/>
  <c r="BA191" i="57"/>
  <c r="BQ194" i="57"/>
  <c r="AX194" i="57"/>
  <c r="AU197" i="57"/>
  <c r="BN197" i="57"/>
  <c r="BS200" i="57"/>
  <c r="AZ200" i="57"/>
  <c r="AW203" i="57"/>
  <c r="BP203" i="57"/>
  <c r="AT206" i="57"/>
  <c r="BM206" i="57"/>
  <c r="BB206" i="57"/>
  <c r="BU206" i="57"/>
  <c r="BR209" i="57"/>
  <c r="AY209" i="57"/>
  <c r="BO212" i="57"/>
  <c r="AV212" i="57"/>
  <c r="BL215" i="57"/>
  <c r="AS215" i="57"/>
  <c r="BT215" i="57"/>
  <c r="BA215" i="57"/>
  <c r="BQ218" i="57"/>
  <c r="AX218" i="57"/>
  <c r="BN221" i="57"/>
  <c r="AU221" i="57"/>
  <c r="BS224" i="57"/>
  <c r="AZ224" i="57"/>
  <c r="BP227" i="57"/>
  <c r="AW227" i="57"/>
  <c r="BM230" i="57"/>
  <c r="AT230" i="57"/>
  <c r="BU230" i="57"/>
  <c r="BB230" i="57"/>
  <c r="BR233" i="57"/>
  <c r="AY233" i="57"/>
  <c r="BO236" i="57"/>
  <c r="AV236" i="57"/>
  <c r="BL239" i="57"/>
  <c r="AS239" i="57"/>
  <c r="BT239" i="57"/>
  <c r="BA239" i="57"/>
  <c r="BQ242" i="57"/>
  <c r="AX242" i="57"/>
  <c r="BN245" i="57"/>
  <c r="AU245" i="57"/>
  <c r="BS248" i="57"/>
  <c r="AZ248" i="57"/>
  <c r="BP251" i="57"/>
  <c r="AW251" i="57"/>
  <c r="BM254" i="57"/>
  <c r="AT254" i="57"/>
  <c r="BU254" i="57"/>
  <c r="BB254" i="57"/>
  <c r="BR257" i="57"/>
  <c r="AY257" i="57"/>
  <c r="BO260" i="57"/>
  <c r="AV260" i="57"/>
  <c r="BL263" i="57"/>
  <c r="AS263" i="57"/>
  <c r="BT263" i="57"/>
  <c r="BA263" i="57"/>
  <c r="BQ266" i="57"/>
  <c r="AX266" i="57"/>
  <c r="BN269" i="57"/>
  <c r="AU269" i="57"/>
  <c r="BS272" i="57"/>
  <c r="AZ272" i="57"/>
  <c r="BP275" i="57"/>
  <c r="AW275" i="57"/>
  <c r="BM278" i="57"/>
  <c r="AT278" i="57"/>
  <c r="BU278" i="57"/>
  <c r="BB278" i="57"/>
  <c r="AY281" i="57"/>
  <c r="BR281" i="57"/>
  <c r="BO284" i="57"/>
  <c r="AV284" i="57"/>
  <c r="BL287" i="57"/>
  <c r="AS287" i="57"/>
  <c r="BT287" i="57"/>
  <c r="BA287" i="57"/>
  <c r="BQ290" i="57"/>
  <c r="AX290" i="57"/>
  <c r="BN293" i="57"/>
  <c r="AU293" i="57"/>
  <c r="BS296" i="57"/>
  <c r="AZ296" i="57"/>
  <c r="BP299" i="57"/>
  <c r="AW299" i="57"/>
  <c r="AT302" i="57"/>
  <c r="BM302" i="57"/>
  <c r="BU302" i="57"/>
  <c r="BB302" i="57"/>
  <c r="BR305" i="57"/>
  <c r="AY305" i="57"/>
  <c r="BO308" i="57"/>
  <c r="AV308" i="57"/>
  <c r="BL311" i="57"/>
  <c r="AS311" i="57"/>
  <c r="BT311" i="57"/>
  <c r="BA311" i="57"/>
  <c r="BQ314" i="57"/>
  <c r="AX314" i="57"/>
  <c r="BN317" i="57"/>
  <c r="AU317" i="57"/>
  <c r="BS320" i="57"/>
  <c r="AZ320" i="57"/>
  <c r="BP323" i="57"/>
  <c r="AW323" i="57"/>
  <c r="BM326" i="57"/>
  <c r="AT326" i="57"/>
  <c r="BB326" i="57"/>
  <c r="BU326" i="57"/>
  <c r="BR329" i="57"/>
  <c r="AY329" i="57"/>
  <c r="BO332" i="57"/>
  <c r="AV332" i="57"/>
  <c r="BL335" i="57"/>
  <c r="AS335" i="57"/>
  <c r="BT335" i="57"/>
  <c r="BA335" i="57"/>
  <c r="BQ338" i="57"/>
  <c r="AX338" i="57"/>
  <c r="AU341" i="57"/>
  <c r="BN341" i="57"/>
  <c r="AZ344" i="57"/>
  <c r="BS344" i="57"/>
  <c r="BP347" i="57"/>
  <c r="AW347" i="57"/>
  <c r="BM350" i="57"/>
  <c r="AT350" i="57"/>
  <c r="BB350" i="57"/>
  <c r="BU350" i="57"/>
  <c r="BR353" i="57"/>
  <c r="AY353" i="57"/>
  <c r="BO356" i="57"/>
  <c r="AV356" i="57"/>
  <c r="BL359" i="57"/>
  <c r="AS359" i="57"/>
  <c r="BT359" i="57"/>
  <c r="BA359" i="57"/>
  <c r="BQ362" i="57"/>
  <c r="AX362" i="57"/>
  <c r="AU365" i="57"/>
  <c r="BN365" i="57"/>
  <c r="BS368" i="57"/>
  <c r="AZ368" i="57"/>
  <c r="AW371" i="57"/>
  <c r="BP371" i="57"/>
  <c r="BM374" i="57"/>
  <c r="AT374" i="57"/>
  <c r="BU374" i="57"/>
  <c r="BB374" i="57"/>
  <c r="BR377" i="57"/>
  <c r="AY377" i="57"/>
  <c r="BO380" i="57"/>
  <c r="AV380" i="57"/>
  <c r="BL383" i="57"/>
  <c r="AS383" i="57"/>
  <c r="BT383" i="57"/>
  <c r="BA383" i="57"/>
  <c r="BQ386" i="57"/>
  <c r="AX386" i="57"/>
  <c r="BN389" i="57"/>
  <c r="AU389" i="57"/>
  <c r="AZ392" i="57"/>
  <c r="BS392" i="57"/>
  <c r="BP395" i="57"/>
  <c r="AW395" i="57"/>
  <c r="AT398" i="57"/>
  <c r="BM398" i="57"/>
  <c r="BB398" i="57"/>
  <c r="BU398" i="57"/>
  <c r="AY401" i="57"/>
  <c r="BR401" i="57"/>
  <c r="AV404" i="57"/>
  <c r="BO404" i="57"/>
  <c r="BL407" i="57"/>
  <c r="AS407" i="57"/>
  <c r="BT407" i="57"/>
  <c r="BA407" i="57"/>
  <c r="BQ410" i="57"/>
  <c r="AX410" i="57"/>
  <c r="BN413" i="57"/>
  <c r="AU413" i="57"/>
  <c r="BS416" i="57"/>
  <c r="AZ416" i="57"/>
  <c r="BP419" i="57"/>
  <c r="AW419" i="57"/>
  <c r="BM422" i="57"/>
  <c r="AT422" i="57"/>
  <c r="BU422" i="57"/>
  <c r="BB422" i="57"/>
  <c r="BR425" i="57"/>
  <c r="AY425" i="57"/>
  <c r="AV428" i="57"/>
  <c r="BO428" i="57"/>
  <c r="AS431" i="57"/>
  <c r="BL431" i="57"/>
  <c r="BT431" i="57"/>
  <c r="BA431" i="57"/>
  <c r="AX434" i="57"/>
  <c r="BQ434" i="57"/>
  <c r="BN437" i="57"/>
  <c r="AU437" i="57"/>
  <c r="BS440" i="57"/>
  <c r="AZ440" i="57"/>
  <c r="BP443" i="57"/>
  <c r="AW443" i="57"/>
  <c r="Y26" i="40"/>
  <c r="AI16" i="89"/>
  <c r="AI115" i="89"/>
  <c r="AL90" i="98"/>
  <c r="AI192" i="86"/>
  <c r="O57" i="98" s="1"/>
  <c r="AI167" i="86"/>
  <c r="CC57" i="90"/>
  <c r="BR57" i="90" s="1"/>
  <c r="AJ34" i="98"/>
  <c r="BV68" i="36"/>
  <c r="BV56" i="36" s="1"/>
  <c r="BC56" i="36"/>
  <c r="BQ68" i="36"/>
  <c r="BQ56" i="36" s="1"/>
  <c r="AX56" i="36"/>
  <c r="BB56" i="36"/>
  <c r="BU68" i="36"/>
  <c r="BU56" i="36" s="1"/>
  <c r="BO386" i="36"/>
  <c r="AV386" i="36"/>
  <c r="BS68" i="57"/>
  <c r="BS56" i="57" s="1"/>
  <c r="AZ56" i="57"/>
  <c r="Y13" i="57"/>
  <c r="BM71" i="57"/>
  <c r="AT71" i="57"/>
  <c r="BU71" i="57"/>
  <c r="BB71" i="57"/>
  <c r="BR74" i="57"/>
  <c r="AY74" i="57"/>
  <c r="BO77" i="57"/>
  <c r="AV77" i="57"/>
  <c r="BL80" i="57"/>
  <c r="AS80" i="57"/>
  <c r="BT80" i="57"/>
  <c r="BA80" i="57"/>
  <c r="BQ83" i="57"/>
  <c r="AX83" i="57"/>
  <c r="BN86" i="57"/>
  <c r="AU86" i="57"/>
  <c r="BS89" i="57"/>
  <c r="AZ89" i="57"/>
  <c r="AW92" i="57"/>
  <c r="BP92" i="57"/>
  <c r="BM95" i="57"/>
  <c r="AT95" i="57"/>
  <c r="BU95" i="57"/>
  <c r="BB95" i="57"/>
  <c r="BR98" i="57"/>
  <c r="AY98" i="57"/>
  <c r="BO101" i="57"/>
  <c r="AV101" i="57"/>
  <c r="BL104" i="57"/>
  <c r="AS104" i="57"/>
  <c r="BA104" i="57"/>
  <c r="BT104" i="57"/>
  <c r="BQ107" i="57"/>
  <c r="AX107" i="57"/>
  <c r="BN110" i="57"/>
  <c r="AU110" i="57"/>
  <c r="BS113" i="57"/>
  <c r="AZ113" i="57"/>
  <c r="BP116" i="57"/>
  <c r="AW116" i="57"/>
  <c r="BM119" i="57"/>
  <c r="AT119" i="57"/>
  <c r="BU119" i="57"/>
  <c r="BB119" i="57"/>
  <c r="BR122" i="57"/>
  <c r="AY122" i="57"/>
  <c r="BO125" i="57"/>
  <c r="AV125" i="57"/>
  <c r="BL128" i="57"/>
  <c r="AS128" i="57"/>
  <c r="BT128" i="57"/>
  <c r="BA128" i="57"/>
  <c r="BQ131" i="57"/>
  <c r="AX131" i="57"/>
  <c r="BN134" i="57"/>
  <c r="AU134" i="57"/>
  <c r="BS137" i="57"/>
  <c r="AZ137" i="57"/>
  <c r="BP140" i="57"/>
  <c r="AW140" i="57"/>
  <c r="BM143" i="57"/>
  <c r="AT143" i="57"/>
  <c r="BU143" i="57"/>
  <c r="BB143" i="57"/>
  <c r="BR146" i="57"/>
  <c r="AY146" i="57"/>
  <c r="BO149" i="57"/>
  <c r="AV149" i="57"/>
  <c r="BL152" i="57"/>
  <c r="AS152" i="57"/>
  <c r="BT152" i="57"/>
  <c r="BA152" i="57"/>
  <c r="BQ155" i="57"/>
  <c r="AX155" i="57"/>
  <c r="BN158" i="57"/>
  <c r="AU158" i="57"/>
  <c r="BS161" i="57"/>
  <c r="AZ161" i="57"/>
  <c r="BP164" i="57"/>
  <c r="AW164" i="57"/>
  <c r="BM167" i="57"/>
  <c r="AT167" i="57"/>
  <c r="BU167" i="57"/>
  <c r="BB167" i="57"/>
  <c r="BR170" i="57"/>
  <c r="AY170" i="57"/>
  <c r="BO173" i="57"/>
  <c r="AV173" i="57"/>
  <c r="BL176" i="57"/>
  <c r="AS176" i="57"/>
  <c r="BA176" i="57"/>
  <c r="BT176" i="57"/>
  <c r="BQ179" i="57"/>
  <c r="AX179" i="57"/>
  <c r="AU182" i="57"/>
  <c r="BN182" i="57"/>
  <c r="AZ185" i="57"/>
  <c r="BS185" i="57"/>
  <c r="BP188" i="57"/>
  <c r="AW188" i="57"/>
  <c r="AT191" i="57"/>
  <c r="BM191" i="57"/>
  <c r="BB191" i="57"/>
  <c r="BU191" i="57"/>
  <c r="BR194" i="57"/>
  <c r="AY194" i="57"/>
  <c r="BO197" i="57"/>
  <c r="AV197" i="57"/>
  <c r="BL200" i="57"/>
  <c r="AS200" i="57"/>
  <c r="BT200" i="57"/>
  <c r="BA200" i="57"/>
  <c r="BQ203" i="57"/>
  <c r="AX203" i="57"/>
  <c r="AU206" i="57"/>
  <c r="BN206" i="57"/>
  <c r="AZ209" i="57"/>
  <c r="BS209" i="57"/>
  <c r="BP212" i="57"/>
  <c r="AW212" i="57"/>
  <c r="BM215" i="57"/>
  <c r="AT215" i="57"/>
  <c r="BU215" i="57"/>
  <c r="BB215" i="57"/>
  <c r="BR218" i="57"/>
  <c r="AY218" i="57"/>
  <c r="BO221" i="57"/>
  <c r="AV221" i="57"/>
  <c r="BL224" i="57"/>
  <c r="AS224" i="57"/>
  <c r="BT224" i="57"/>
  <c r="BA224" i="57"/>
  <c r="BQ227" i="57"/>
  <c r="AX227" i="57"/>
  <c r="AU230" i="57"/>
  <c r="BN230" i="57"/>
  <c r="AZ233" i="57"/>
  <c r="BS233" i="57"/>
  <c r="BP236" i="57"/>
  <c r="AW236" i="57"/>
  <c r="BM239" i="57"/>
  <c r="AT239" i="57"/>
  <c r="BU239" i="57"/>
  <c r="BB239" i="57"/>
  <c r="BR242" i="57"/>
  <c r="AY242" i="57"/>
  <c r="AV245" i="57"/>
  <c r="BO245" i="57"/>
  <c r="BL248" i="57"/>
  <c r="AS248" i="57"/>
  <c r="BT248" i="57"/>
  <c r="BA248" i="57"/>
  <c r="BQ251" i="57"/>
  <c r="AX251" i="57"/>
  <c r="AU254" i="57"/>
  <c r="BN254" i="57"/>
  <c r="BS257" i="57"/>
  <c r="AZ257" i="57"/>
  <c r="BP260" i="57"/>
  <c r="AW260" i="57"/>
  <c r="BM263" i="57"/>
  <c r="AT263" i="57"/>
  <c r="BU263" i="57"/>
  <c r="BB263" i="57"/>
  <c r="BR266" i="57"/>
  <c r="AY266" i="57"/>
  <c r="AV269" i="57"/>
  <c r="BO269" i="57"/>
  <c r="BL272" i="57"/>
  <c r="AS272" i="57"/>
  <c r="BT272" i="57"/>
  <c r="BA272" i="57"/>
  <c r="BQ275" i="57"/>
  <c r="AX275" i="57"/>
  <c r="AU278" i="57"/>
  <c r="BN278" i="57"/>
  <c r="BS281" i="57"/>
  <c r="AZ281" i="57"/>
  <c r="BP284" i="57"/>
  <c r="AW284" i="57"/>
  <c r="BM287" i="57"/>
  <c r="AT287" i="57"/>
  <c r="BU287" i="57"/>
  <c r="BB287" i="57"/>
  <c r="AY290" i="57"/>
  <c r="BR290" i="57"/>
  <c r="BO293" i="57"/>
  <c r="AV293" i="57"/>
  <c r="BL296" i="57"/>
  <c r="AS296" i="57"/>
  <c r="BT296" i="57"/>
  <c r="BA296" i="57"/>
  <c r="BQ299" i="57"/>
  <c r="AX299" i="57"/>
  <c r="BN302" i="57"/>
  <c r="AU302" i="57"/>
  <c r="BS305" i="57"/>
  <c r="AZ305" i="57"/>
  <c r="BP308" i="57"/>
  <c r="AW308" i="57"/>
  <c r="BM311" i="57"/>
  <c r="AT311" i="57"/>
  <c r="BU311" i="57"/>
  <c r="BB311" i="57"/>
  <c r="AY314" i="57"/>
  <c r="BR314" i="57"/>
  <c r="BO317" i="57"/>
  <c r="AV317" i="57"/>
  <c r="AS320" i="57"/>
  <c r="BL320" i="57"/>
  <c r="BA320" i="57"/>
  <c r="BT320" i="57"/>
  <c r="BQ323" i="57"/>
  <c r="AX323" i="57"/>
  <c r="BN326" i="57"/>
  <c r="AU326" i="57"/>
  <c r="AZ329" i="57"/>
  <c r="BS329" i="57"/>
  <c r="BP332" i="57"/>
  <c r="AW332" i="57"/>
  <c r="BM335" i="57"/>
  <c r="AT335" i="57"/>
  <c r="BU335" i="57"/>
  <c r="BB335" i="57"/>
  <c r="BR338" i="57"/>
  <c r="AY338" i="57"/>
  <c r="BO341" i="57"/>
  <c r="AV341" i="57"/>
  <c r="BL344" i="57"/>
  <c r="AS344" i="57"/>
  <c r="BT344" i="57"/>
  <c r="BA344" i="57"/>
  <c r="BQ347" i="57"/>
  <c r="AX347" i="57"/>
  <c r="BN350" i="57"/>
  <c r="AU350" i="57"/>
  <c r="AZ353" i="57"/>
  <c r="BS353" i="57"/>
  <c r="BP356" i="57"/>
  <c r="AW356" i="57"/>
  <c r="BM359" i="57"/>
  <c r="AT359" i="57"/>
  <c r="BU359" i="57"/>
  <c r="BB359" i="57"/>
  <c r="BR362" i="57"/>
  <c r="AY362" i="57"/>
  <c r="BO365" i="57"/>
  <c r="AV365" i="57"/>
  <c r="BL368" i="57"/>
  <c r="AS368" i="57"/>
  <c r="BT368" i="57"/>
  <c r="BA368" i="57"/>
  <c r="BQ371" i="57"/>
  <c r="AX371" i="57"/>
  <c r="BN374" i="57"/>
  <c r="AU374" i="57"/>
  <c r="BS377" i="57"/>
  <c r="AZ377" i="57"/>
  <c r="BP380" i="57"/>
  <c r="AW380" i="57"/>
  <c r="BM383" i="57"/>
  <c r="AT383" i="57"/>
  <c r="BU383" i="57"/>
  <c r="BB383" i="57"/>
  <c r="BR386" i="57"/>
  <c r="AY386" i="57"/>
  <c r="BO389" i="57"/>
  <c r="AV389" i="57"/>
  <c r="BL392" i="57"/>
  <c r="AS392" i="57"/>
  <c r="BT392" i="57"/>
  <c r="BA392" i="57"/>
  <c r="BQ395" i="57"/>
  <c r="AX395" i="57"/>
  <c r="BN398" i="57"/>
  <c r="AU398" i="57"/>
  <c r="AZ401" i="57"/>
  <c r="BS401" i="57"/>
  <c r="AW404" i="57"/>
  <c r="BP404" i="57"/>
  <c r="BM407" i="57"/>
  <c r="AT407" i="57"/>
  <c r="BU407" i="57"/>
  <c r="BB407" i="57"/>
  <c r="BR410" i="57"/>
  <c r="AY410" i="57"/>
  <c r="AV413" i="57"/>
  <c r="BO413" i="57"/>
  <c r="BL416" i="57"/>
  <c r="AS416" i="57"/>
  <c r="BT416" i="57"/>
  <c r="BA416" i="57"/>
  <c r="BQ419" i="57"/>
  <c r="AX419" i="57"/>
  <c r="BN422" i="57"/>
  <c r="AU422" i="57"/>
  <c r="BS425" i="57"/>
  <c r="AZ425" i="57"/>
  <c r="BP428" i="57"/>
  <c r="AW428" i="57"/>
  <c r="BM431" i="57"/>
  <c r="AT431" i="57"/>
  <c r="BU431" i="57"/>
  <c r="BB431" i="57"/>
  <c r="BR434" i="57"/>
  <c r="AY434" i="57"/>
  <c r="BO437" i="57"/>
  <c r="AV437" i="57"/>
  <c r="BL440" i="57"/>
  <c r="AS440" i="57"/>
  <c r="BT440" i="57"/>
  <c r="BA440" i="57"/>
  <c r="BQ443" i="57"/>
  <c r="AX443" i="57"/>
  <c r="Z26" i="40"/>
  <c r="AJ115" i="89"/>
  <c r="BN386" i="36"/>
  <c r="AU386" i="36"/>
  <c r="Z13" i="57"/>
  <c r="BN71" i="57"/>
  <c r="AU71" i="57"/>
  <c r="BS74" i="57"/>
  <c r="AZ74" i="57"/>
  <c r="BP77" i="57"/>
  <c r="AW77" i="57"/>
  <c r="BM80" i="57"/>
  <c r="AT80" i="57"/>
  <c r="BU80" i="57"/>
  <c r="BB80" i="57"/>
  <c r="BR83" i="57"/>
  <c r="AY83" i="57"/>
  <c r="BO86" i="57"/>
  <c r="AV86" i="57"/>
  <c r="BL89" i="57"/>
  <c r="AS89" i="57"/>
  <c r="BT89" i="57"/>
  <c r="BA89" i="57"/>
  <c r="BQ92" i="57"/>
  <c r="AX92" i="57"/>
  <c r="AU95" i="57"/>
  <c r="BN95" i="57"/>
  <c r="AZ98" i="57"/>
  <c r="BS98" i="57"/>
  <c r="BP101" i="57"/>
  <c r="AW101" i="57"/>
  <c r="BM104" i="57"/>
  <c r="AT104" i="57"/>
  <c r="BU104" i="57"/>
  <c r="BB104" i="57"/>
  <c r="AY107" i="57"/>
  <c r="BR107" i="57"/>
  <c r="AV110" i="57"/>
  <c r="BO110" i="57"/>
  <c r="BL113" i="57"/>
  <c r="AS113" i="57"/>
  <c r="BT113" i="57"/>
  <c r="BA113" i="57"/>
  <c r="BQ116" i="57"/>
  <c r="AX116" i="57"/>
  <c r="AU119" i="57"/>
  <c r="BN119" i="57"/>
  <c r="AZ122" i="57"/>
  <c r="BS122" i="57"/>
  <c r="BP125" i="57"/>
  <c r="AW125" i="57"/>
  <c r="BM128" i="57"/>
  <c r="AT128" i="57"/>
  <c r="BU128" i="57"/>
  <c r="BB128" i="57"/>
  <c r="AY131" i="57"/>
  <c r="BR131" i="57"/>
  <c r="AV134" i="57"/>
  <c r="BO134" i="57"/>
  <c r="BL137" i="57"/>
  <c r="AS137" i="57"/>
  <c r="BT137" i="57"/>
  <c r="BA137" i="57"/>
  <c r="BQ140" i="57"/>
  <c r="AX140" i="57"/>
  <c r="AU143" i="57"/>
  <c r="BN143" i="57"/>
  <c r="AZ146" i="57"/>
  <c r="BS146" i="57"/>
  <c r="BP149" i="57"/>
  <c r="AW149" i="57"/>
  <c r="BM152" i="57"/>
  <c r="AT152" i="57"/>
  <c r="BU152" i="57"/>
  <c r="BB152" i="57"/>
  <c r="AY155" i="57"/>
  <c r="BR155" i="57"/>
  <c r="AV158" i="57"/>
  <c r="BO158" i="57"/>
  <c r="BL161" i="57"/>
  <c r="AS161" i="57"/>
  <c r="BT161" i="57"/>
  <c r="BA161" i="57"/>
  <c r="BQ164" i="57"/>
  <c r="AX164" i="57"/>
  <c r="AU167" i="57"/>
  <c r="BN167" i="57"/>
  <c r="AZ170" i="57"/>
  <c r="BS170" i="57"/>
  <c r="BP173" i="57"/>
  <c r="AW173" i="57"/>
  <c r="BM176" i="57"/>
  <c r="AT176" i="57"/>
  <c r="BB176" i="57"/>
  <c r="BU176" i="57"/>
  <c r="AY179" i="57"/>
  <c r="BR179" i="57"/>
  <c r="BO182" i="57"/>
  <c r="AV182" i="57"/>
  <c r="BL185" i="57"/>
  <c r="AS185" i="57"/>
  <c r="BT185" i="57"/>
  <c r="BA185" i="57"/>
  <c r="BQ188" i="57"/>
  <c r="AX188" i="57"/>
  <c r="BN191" i="57"/>
  <c r="AU191" i="57"/>
  <c r="BS194" i="57"/>
  <c r="AZ194" i="57"/>
  <c r="BP197" i="57"/>
  <c r="AW197" i="57"/>
  <c r="BM200" i="57"/>
  <c r="AT200" i="57"/>
  <c r="BU200" i="57"/>
  <c r="BB200" i="57"/>
  <c r="BR203" i="57"/>
  <c r="AY203" i="57"/>
  <c r="AV206" i="57"/>
  <c r="BO206" i="57"/>
  <c r="BL209" i="57"/>
  <c r="AS209" i="57"/>
  <c r="BT209" i="57"/>
  <c r="BA209" i="57"/>
  <c r="BQ212" i="57"/>
  <c r="AX212" i="57"/>
  <c r="BN215" i="57"/>
  <c r="AU215" i="57"/>
  <c r="BS218" i="57"/>
  <c r="AZ218" i="57"/>
  <c r="BP221" i="57"/>
  <c r="AW221" i="57"/>
  <c r="BM224" i="57"/>
  <c r="AT224" i="57"/>
  <c r="BU224" i="57"/>
  <c r="BB224" i="57"/>
  <c r="AY227" i="57"/>
  <c r="BR227" i="57"/>
  <c r="BO230" i="57"/>
  <c r="AV230" i="57"/>
  <c r="BL233" i="57"/>
  <c r="AS233" i="57"/>
  <c r="BT233" i="57"/>
  <c r="BA233" i="57"/>
  <c r="AX236" i="57"/>
  <c r="BQ236" i="57"/>
  <c r="AU239" i="57"/>
  <c r="BN239" i="57"/>
  <c r="BS242" i="57"/>
  <c r="AZ242" i="57"/>
  <c r="BP245" i="57"/>
  <c r="AW245" i="57"/>
  <c r="BM248" i="57"/>
  <c r="AT248" i="57"/>
  <c r="BU248" i="57"/>
  <c r="BB248" i="57"/>
  <c r="BR251" i="57"/>
  <c r="AY251" i="57"/>
  <c r="BO254" i="57"/>
  <c r="AV254" i="57"/>
  <c r="BL257" i="57"/>
  <c r="AS257" i="57"/>
  <c r="BT257" i="57"/>
  <c r="BA257" i="57"/>
  <c r="BQ260" i="57"/>
  <c r="AX260" i="57"/>
  <c r="BN263" i="57"/>
  <c r="AU263" i="57"/>
  <c r="BS266" i="57"/>
  <c r="AZ266" i="57"/>
  <c r="AW269" i="57"/>
  <c r="BP269" i="57"/>
  <c r="BM272" i="57"/>
  <c r="AT272" i="57"/>
  <c r="BU272" i="57"/>
  <c r="BB272" i="57"/>
  <c r="BR275" i="57"/>
  <c r="AY275" i="57"/>
  <c r="BO278" i="57"/>
  <c r="AV278" i="57"/>
  <c r="BL281" i="57"/>
  <c r="AS281" i="57"/>
  <c r="BT281" i="57"/>
  <c r="BA281" i="57"/>
  <c r="BQ284" i="57"/>
  <c r="AX284" i="57"/>
  <c r="BN287" i="57"/>
  <c r="AU287" i="57"/>
  <c r="BS290" i="57"/>
  <c r="AZ290" i="57"/>
  <c r="BP293" i="57"/>
  <c r="AW293" i="57"/>
  <c r="BM296" i="57"/>
  <c r="AT296" i="57"/>
  <c r="BU296" i="57"/>
  <c r="BB296" i="57"/>
  <c r="BR299" i="57"/>
  <c r="AY299" i="57"/>
  <c r="BO302" i="57"/>
  <c r="AV302" i="57"/>
  <c r="BL305" i="57"/>
  <c r="AS305" i="57"/>
  <c r="BT305" i="57"/>
  <c r="BA305" i="57"/>
  <c r="BQ308" i="57"/>
  <c r="AX308" i="57"/>
  <c r="BN311" i="57"/>
  <c r="AU311" i="57"/>
  <c r="AZ314" i="57"/>
  <c r="BS314" i="57"/>
  <c r="BP317" i="57"/>
  <c r="AW317" i="57"/>
  <c r="AT320" i="57"/>
  <c r="BM320" i="57"/>
  <c r="BU320" i="57"/>
  <c r="BB320" i="57"/>
  <c r="BR323" i="57"/>
  <c r="AY323" i="57"/>
  <c r="BO326" i="57"/>
  <c r="AV326" i="57"/>
  <c r="AS329" i="57"/>
  <c r="BL329" i="57"/>
  <c r="BT329" i="57"/>
  <c r="BA329" i="57"/>
  <c r="BQ332" i="57"/>
  <c r="AX332" i="57"/>
  <c r="AU335" i="57"/>
  <c r="BN335" i="57"/>
  <c r="BS338" i="57"/>
  <c r="AZ338" i="57"/>
  <c r="AW341" i="57"/>
  <c r="BP341" i="57"/>
  <c r="BM344" i="57"/>
  <c r="AT344" i="57"/>
  <c r="BU344" i="57"/>
  <c r="BB344" i="57"/>
  <c r="BR347" i="57"/>
  <c r="AY347" i="57"/>
  <c r="BO350" i="57"/>
  <c r="AV350" i="57"/>
  <c r="BL353" i="57"/>
  <c r="AS353" i="57"/>
  <c r="BT353" i="57"/>
  <c r="BA353" i="57"/>
  <c r="BQ356" i="57"/>
  <c r="AX356" i="57"/>
  <c r="BN359" i="57"/>
  <c r="AU359" i="57"/>
  <c r="BS362" i="57"/>
  <c r="AZ362" i="57"/>
  <c r="AW365" i="57"/>
  <c r="BP365" i="57"/>
  <c r="BM368" i="57"/>
  <c r="AT368" i="57"/>
  <c r="BU368" i="57"/>
  <c r="BB368" i="57"/>
  <c r="BR371" i="57"/>
  <c r="AY371" i="57"/>
  <c r="BO374" i="57"/>
  <c r="AV374" i="57"/>
  <c r="BL377" i="57"/>
  <c r="AS377" i="57"/>
  <c r="BT377" i="57"/>
  <c r="BA377" i="57"/>
  <c r="AX380" i="57"/>
  <c r="BQ380" i="57"/>
  <c r="BN383" i="57"/>
  <c r="AU383" i="57"/>
  <c r="BS386" i="57"/>
  <c r="AZ386" i="57"/>
  <c r="BP389" i="57"/>
  <c r="AW389" i="57"/>
  <c r="BM392" i="57"/>
  <c r="AT392" i="57"/>
  <c r="BU392" i="57"/>
  <c r="BB392" i="57"/>
  <c r="AY395" i="57"/>
  <c r="BR395" i="57"/>
  <c r="BO398" i="57"/>
  <c r="AV398" i="57"/>
  <c r="BL401" i="57"/>
  <c r="AS401" i="57"/>
  <c r="BA401" i="57"/>
  <c r="BT401" i="57"/>
  <c r="BQ404" i="57"/>
  <c r="AX404" i="57"/>
  <c r="BN407" i="57"/>
  <c r="AU407" i="57"/>
  <c r="AZ410" i="57"/>
  <c r="BS410" i="57"/>
  <c r="BP413" i="57"/>
  <c r="AW413" i="57"/>
  <c r="BM416" i="57"/>
  <c r="AT416" i="57"/>
  <c r="BU416" i="57"/>
  <c r="BB416" i="57"/>
  <c r="BR419" i="57"/>
  <c r="AY419" i="57"/>
  <c r="BO422" i="57"/>
  <c r="AV422" i="57"/>
  <c r="BL425" i="57"/>
  <c r="AS425" i="57"/>
  <c r="BT425" i="57"/>
  <c r="BA425" i="57"/>
  <c r="BQ428" i="57"/>
  <c r="AX428" i="57"/>
  <c r="BN431" i="57"/>
  <c r="AU431" i="57"/>
  <c r="BS434" i="57"/>
  <c r="AZ434" i="57"/>
  <c r="AW437" i="57"/>
  <c r="BP437" i="57"/>
  <c r="BM440" i="57"/>
  <c r="AT440" i="57"/>
  <c r="BU440" i="57"/>
  <c r="BB440" i="57"/>
  <c r="BR443" i="57"/>
  <c r="AY443" i="57"/>
  <c r="BN266" i="36"/>
  <c r="AU266" i="36"/>
  <c r="BS269" i="36"/>
  <c r="AZ269" i="36"/>
  <c r="BP272" i="36"/>
  <c r="AW272" i="36"/>
  <c r="BM275" i="36"/>
  <c r="AT275" i="36"/>
  <c r="BU275" i="36"/>
  <c r="BB275" i="36"/>
  <c r="AY278" i="36"/>
  <c r="BR278" i="36"/>
  <c r="BO281" i="36"/>
  <c r="AV281" i="36"/>
  <c r="BL284" i="36"/>
  <c r="AS284" i="36"/>
  <c r="BT284" i="36"/>
  <c r="BA284" i="36"/>
  <c r="BQ287" i="36"/>
  <c r="AX287" i="36"/>
  <c r="BN290" i="36"/>
  <c r="AU290" i="36"/>
  <c r="BS293" i="36"/>
  <c r="AZ293" i="36"/>
  <c r="AW296" i="36"/>
  <c r="BP296" i="36"/>
  <c r="BM299" i="36"/>
  <c r="AT299" i="36"/>
  <c r="BU299" i="36"/>
  <c r="BB299" i="36"/>
  <c r="BR302" i="36"/>
  <c r="AY302" i="36"/>
  <c r="BO305" i="36"/>
  <c r="AV305" i="36"/>
  <c r="BL308" i="36"/>
  <c r="AS308" i="36"/>
  <c r="BA308" i="36"/>
  <c r="BT308" i="36"/>
  <c r="BQ311" i="36"/>
  <c r="AX311" i="36"/>
  <c r="BN314" i="36"/>
  <c r="AU314" i="36"/>
  <c r="BS317" i="36"/>
  <c r="AZ317" i="36"/>
  <c r="BP320" i="36"/>
  <c r="AW320" i="36"/>
  <c r="BM323" i="36"/>
  <c r="AT323" i="36"/>
  <c r="BU323" i="36"/>
  <c r="BB323" i="36"/>
  <c r="BR326" i="36"/>
  <c r="AY326" i="36"/>
  <c r="BO329" i="36"/>
  <c r="AV329" i="36"/>
  <c r="BL332" i="36"/>
  <c r="AS332" i="36"/>
  <c r="BT332" i="36"/>
  <c r="BA332" i="36"/>
  <c r="BQ335" i="36"/>
  <c r="AX335" i="36"/>
  <c r="BN338" i="36"/>
  <c r="AU338" i="36"/>
  <c r="BS341" i="36"/>
  <c r="AZ341" i="36"/>
  <c r="BP344" i="36"/>
  <c r="AW344" i="36"/>
  <c r="BM347" i="36"/>
  <c r="AT347" i="36"/>
  <c r="BU347" i="36"/>
  <c r="BB347" i="36"/>
  <c r="BR350" i="36"/>
  <c r="AY350" i="36"/>
  <c r="BO353" i="36"/>
  <c r="AV353" i="36"/>
  <c r="BL356" i="36"/>
  <c r="AS356" i="36"/>
  <c r="BT356" i="36"/>
  <c r="BA356" i="36"/>
  <c r="BQ359" i="36"/>
  <c r="AX359" i="36"/>
  <c r="BN362" i="36"/>
  <c r="AU362" i="36"/>
  <c r="BS365" i="36"/>
  <c r="AZ365" i="36"/>
  <c r="BP368" i="36"/>
  <c r="AW368" i="36"/>
  <c r="BM371" i="36"/>
  <c r="AT371" i="36"/>
  <c r="BU371" i="36"/>
  <c r="BB371" i="36"/>
  <c r="BR374" i="36"/>
  <c r="AY374" i="36"/>
  <c r="AV377" i="36"/>
  <c r="BO377" i="36"/>
  <c r="BL380" i="36"/>
  <c r="AS380" i="36"/>
  <c r="BT380" i="36"/>
  <c r="BA380" i="36"/>
  <c r="BQ383" i="36"/>
  <c r="AX383" i="36"/>
  <c r="BN389" i="36"/>
  <c r="AU389" i="36"/>
  <c r="BS392" i="36"/>
  <c r="AZ392" i="36"/>
  <c r="AW395" i="36"/>
  <c r="BP395" i="36"/>
  <c r="BM398" i="36"/>
  <c r="AT398" i="36"/>
  <c r="BU398" i="36"/>
  <c r="BB398" i="36"/>
  <c r="BR401" i="36"/>
  <c r="AY401" i="36"/>
  <c r="BO404" i="36"/>
  <c r="AV404" i="36"/>
  <c r="BL407" i="36"/>
  <c r="AS407" i="36"/>
  <c r="BT407" i="36"/>
  <c r="BA407" i="36"/>
  <c r="BQ410" i="36"/>
  <c r="AX410" i="36"/>
  <c r="BN413" i="36"/>
  <c r="AU413" i="36"/>
  <c r="BS416" i="36"/>
  <c r="AZ416" i="36"/>
  <c r="BP419" i="36"/>
  <c r="AW419" i="36"/>
  <c r="BM422" i="36"/>
  <c r="AT422" i="36"/>
  <c r="BU422" i="36"/>
  <c r="BB422" i="36"/>
  <c r="BR425" i="36"/>
  <c r="AY425" i="36"/>
  <c r="BO428" i="36"/>
  <c r="AV428" i="36"/>
  <c r="BL431" i="36"/>
  <c r="AS431" i="36"/>
  <c r="BT431" i="36"/>
  <c r="BA431" i="36"/>
  <c r="BQ434" i="36"/>
  <c r="AX434" i="36"/>
  <c r="BN437" i="36"/>
  <c r="AU437" i="36"/>
  <c r="BS440" i="36"/>
  <c r="AZ440" i="36"/>
  <c r="BP443" i="36"/>
  <c r="AW443" i="36"/>
  <c r="AL73" i="89"/>
  <c r="AJ167" i="86"/>
  <c r="AJ192" i="86"/>
  <c r="P57" i="98" s="1"/>
  <c r="AA27" i="98"/>
  <c r="AA26" i="40"/>
  <c r="I487" i="57"/>
  <c r="BP266" i="36"/>
  <c r="AW266" i="36"/>
  <c r="BM269" i="36"/>
  <c r="AT269" i="36"/>
  <c r="BU269" i="36"/>
  <c r="BB269" i="36"/>
  <c r="BR272" i="36"/>
  <c r="AY272" i="36"/>
  <c r="BO275" i="36"/>
  <c r="AV275" i="36"/>
  <c r="BL278" i="36"/>
  <c r="AS278" i="36"/>
  <c r="BT278" i="36"/>
  <c r="BA278" i="36"/>
  <c r="BQ281" i="36"/>
  <c r="AX281" i="36"/>
  <c r="BN284" i="36"/>
  <c r="AU284" i="36"/>
  <c r="BS287" i="36"/>
  <c r="AZ287" i="36"/>
  <c r="BP290" i="36"/>
  <c r="AW290" i="36"/>
  <c r="BM293" i="36"/>
  <c r="AT293" i="36"/>
  <c r="BU293" i="36"/>
  <c r="BB293" i="36"/>
  <c r="AY296" i="36"/>
  <c r="BR296" i="36"/>
  <c r="AV299" i="36"/>
  <c r="BO299" i="36"/>
  <c r="BL302" i="36"/>
  <c r="AS302" i="36"/>
  <c r="BT302" i="36"/>
  <c r="BA302" i="36"/>
  <c r="BQ305" i="36"/>
  <c r="AX305" i="36"/>
  <c r="BN308" i="36"/>
  <c r="AU308" i="36"/>
  <c r="BS311" i="36"/>
  <c r="AZ311" i="36"/>
  <c r="BP314" i="36"/>
  <c r="AW314" i="36"/>
  <c r="BM317" i="36"/>
  <c r="AT317" i="36"/>
  <c r="BU317" i="36"/>
  <c r="BB317" i="36"/>
  <c r="BR320" i="36"/>
  <c r="AY320" i="36"/>
  <c r="BO323" i="36"/>
  <c r="AV323" i="36"/>
  <c r="BL326" i="36"/>
  <c r="AS326" i="36"/>
  <c r="BT326" i="36"/>
  <c r="BA326" i="36"/>
  <c r="BQ329" i="36"/>
  <c r="AX329" i="36"/>
  <c r="BN332" i="36"/>
  <c r="AU332" i="36"/>
  <c r="BS335" i="36"/>
  <c r="AZ335" i="36"/>
  <c r="BP338" i="36"/>
  <c r="AW338" i="36"/>
  <c r="BM341" i="36"/>
  <c r="AT341" i="36"/>
  <c r="BU341" i="36"/>
  <c r="BB341" i="36"/>
  <c r="BR344" i="36"/>
  <c r="AY344" i="36"/>
  <c r="BO347" i="36"/>
  <c r="AV347" i="36"/>
  <c r="BL350" i="36"/>
  <c r="AS350" i="36"/>
  <c r="BT350" i="36"/>
  <c r="BA350" i="36"/>
  <c r="BQ353" i="36"/>
  <c r="AX353" i="36"/>
  <c r="BN356" i="36"/>
  <c r="AU356" i="36"/>
  <c r="BS359" i="36"/>
  <c r="AZ359" i="36"/>
  <c r="BP362" i="36"/>
  <c r="AW362" i="36"/>
  <c r="BM365" i="36"/>
  <c r="AT365" i="36"/>
  <c r="BB365" i="36"/>
  <c r="BU365" i="36"/>
  <c r="BR368" i="36"/>
  <c r="AY368" i="36"/>
  <c r="BO371" i="36"/>
  <c r="AV371" i="36"/>
  <c r="BL374" i="36"/>
  <c r="AS374" i="36"/>
  <c r="BT374" i="36"/>
  <c r="BA374" i="36"/>
  <c r="AX377" i="36"/>
  <c r="BQ377" i="36"/>
  <c r="BN380" i="36"/>
  <c r="AU380" i="36"/>
  <c r="BS383" i="36"/>
  <c r="AZ383" i="36"/>
  <c r="BP389" i="36"/>
  <c r="AW389" i="36"/>
  <c r="BM392" i="36"/>
  <c r="AT392" i="36"/>
  <c r="BB392" i="36"/>
  <c r="BU392" i="36"/>
  <c r="BR395" i="36"/>
  <c r="AY395" i="36"/>
  <c r="BO398" i="36"/>
  <c r="AV398" i="36"/>
  <c r="BL401" i="36"/>
  <c r="AS401" i="36"/>
  <c r="BA401" i="36"/>
  <c r="BT401" i="36"/>
  <c r="BQ404" i="36"/>
  <c r="AX404" i="36"/>
  <c r="BN407" i="36"/>
  <c r="AU407" i="36"/>
  <c r="BS410" i="36"/>
  <c r="AZ410" i="36"/>
  <c r="BP413" i="36"/>
  <c r="AW413" i="36"/>
  <c r="AT416" i="36"/>
  <c r="BM416" i="36"/>
  <c r="BB416" i="36"/>
  <c r="BU416" i="36"/>
  <c r="BR419" i="36"/>
  <c r="AY419" i="36"/>
  <c r="BO422" i="36"/>
  <c r="AV422" i="36"/>
  <c r="AS425" i="36"/>
  <c r="BL425" i="36"/>
  <c r="BA425" i="36"/>
  <c r="BT425" i="36"/>
  <c r="BQ428" i="36"/>
  <c r="AX428" i="36"/>
  <c r="BN431" i="36"/>
  <c r="AU431" i="36"/>
  <c r="BS434" i="36"/>
  <c r="AZ434" i="36"/>
  <c r="BP437" i="36"/>
  <c r="AW437" i="36"/>
  <c r="BM440" i="36"/>
  <c r="AT440" i="36"/>
  <c r="BU440" i="36"/>
  <c r="BB440" i="36"/>
  <c r="BR443" i="36"/>
  <c r="AY443" i="36"/>
  <c r="B2" i="98"/>
  <c r="B2" i="93"/>
  <c r="B2" i="44"/>
  <c r="AH79" i="89"/>
  <c r="AK104" i="89"/>
  <c r="AJ52" i="89"/>
  <c r="AL64" i="89"/>
  <c r="AL85" i="98"/>
  <c r="AI155" i="86"/>
  <c r="AL171" i="86"/>
  <c r="AK139" i="86"/>
  <c r="AI34" i="98"/>
  <c r="AJ36" i="98"/>
  <c r="AI28" i="98"/>
  <c r="BN416" i="57"/>
  <c r="AU416" i="57"/>
  <c r="BS419" i="57"/>
  <c r="AZ419" i="57"/>
  <c r="BP422" i="57"/>
  <c r="AW422" i="57"/>
  <c r="BM425" i="57"/>
  <c r="AT425" i="57"/>
  <c r="BU425" i="57"/>
  <c r="BB425" i="57"/>
  <c r="AY428" i="57"/>
  <c r="BR428" i="57"/>
  <c r="BO431" i="57"/>
  <c r="AV431" i="57"/>
  <c r="BL434" i="57"/>
  <c r="AS434" i="57"/>
  <c r="BT434" i="57"/>
  <c r="BA434" i="57"/>
  <c r="BQ437" i="57"/>
  <c r="AX437" i="57"/>
  <c r="AU440" i="57"/>
  <c r="BN440" i="57"/>
  <c r="BS443" i="57"/>
  <c r="AZ443" i="57"/>
  <c r="AF79" i="89"/>
  <c r="BQ266" i="36"/>
  <c r="AX266" i="36"/>
  <c r="BN269" i="36"/>
  <c r="AU269" i="36"/>
  <c r="BS272" i="36"/>
  <c r="AZ272" i="36"/>
  <c r="BP275" i="36"/>
  <c r="AW275" i="36"/>
  <c r="BM278" i="36"/>
  <c r="AT278" i="36"/>
  <c r="BU278" i="36"/>
  <c r="BB278" i="36"/>
  <c r="BR281" i="36"/>
  <c r="AY281" i="36"/>
  <c r="BO284" i="36"/>
  <c r="AV284" i="36"/>
  <c r="BL287" i="36"/>
  <c r="AS287" i="36"/>
  <c r="BT287" i="36"/>
  <c r="BA287" i="36"/>
  <c r="BQ290" i="36"/>
  <c r="AX290" i="36"/>
  <c r="BN293" i="36"/>
  <c r="AU293" i="36"/>
  <c r="AZ296" i="36"/>
  <c r="BS296" i="36"/>
  <c r="AW299" i="36"/>
  <c r="BP299" i="36"/>
  <c r="BM302" i="36"/>
  <c r="AT302" i="36"/>
  <c r="BU302" i="36"/>
  <c r="BB302" i="36"/>
  <c r="BR305" i="36"/>
  <c r="AY305" i="36"/>
  <c r="AV308" i="36"/>
  <c r="BO308" i="36"/>
  <c r="AS311" i="36"/>
  <c r="BL311" i="36"/>
  <c r="BT311" i="36"/>
  <c r="BA311" i="36"/>
  <c r="AX314" i="36"/>
  <c r="BQ314" i="36"/>
  <c r="AU317" i="36"/>
  <c r="BN317" i="36"/>
  <c r="BS320" i="36"/>
  <c r="AZ320" i="36"/>
  <c r="BP323" i="36"/>
  <c r="AW323" i="36"/>
  <c r="AT326" i="36"/>
  <c r="BM326" i="36"/>
  <c r="BB326" i="36"/>
  <c r="BU326" i="36"/>
  <c r="AY329" i="36"/>
  <c r="BR329" i="36"/>
  <c r="BO332" i="36"/>
  <c r="AV332" i="36"/>
  <c r="BL335" i="36"/>
  <c r="AS335" i="36"/>
  <c r="BT335" i="36"/>
  <c r="BA335" i="36"/>
  <c r="AX338" i="36"/>
  <c r="BQ338" i="36"/>
  <c r="AU341" i="36"/>
  <c r="BN341" i="36"/>
  <c r="BS344" i="36"/>
  <c r="AZ344" i="36"/>
  <c r="BP347" i="36"/>
  <c r="AW347" i="36"/>
  <c r="AT350" i="36"/>
  <c r="BM350" i="36"/>
  <c r="BB350" i="36"/>
  <c r="BU350" i="36"/>
  <c r="AY353" i="36"/>
  <c r="BR353" i="36"/>
  <c r="BO356" i="36"/>
  <c r="AV356" i="36"/>
  <c r="BL359" i="36"/>
  <c r="AS359" i="36"/>
  <c r="BT359" i="36"/>
  <c r="BA359" i="36"/>
  <c r="BQ362" i="36"/>
  <c r="AX362" i="36"/>
  <c r="BN365" i="36"/>
  <c r="AU365" i="36"/>
  <c r="BS368" i="36"/>
  <c r="AZ368" i="36"/>
  <c r="BP371" i="36"/>
  <c r="AW371" i="36"/>
  <c r="BM374" i="36"/>
  <c r="AT374" i="36"/>
  <c r="BU374" i="36"/>
  <c r="BB374" i="36"/>
  <c r="BR377" i="36"/>
  <c r="AY377" i="36"/>
  <c r="BO380" i="36"/>
  <c r="AV380" i="36"/>
  <c r="BL383" i="36"/>
  <c r="AS383" i="36"/>
  <c r="BT383" i="36"/>
  <c r="BA383" i="36"/>
  <c r="BQ389" i="36"/>
  <c r="AX389" i="36"/>
  <c r="BN392" i="36"/>
  <c r="AU392" i="36"/>
  <c r="BS395" i="36"/>
  <c r="AZ395" i="36"/>
  <c r="BP398" i="36"/>
  <c r="AW398" i="36"/>
  <c r="BM401" i="36"/>
  <c r="AT401" i="36"/>
  <c r="BU401" i="36"/>
  <c r="BB401" i="36"/>
  <c r="BR404" i="36"/>
  <c r="AY404" i="36"/>
  <c r="AV407" i="36"/>
  <c r="BO407" i="36"/>
  <c r="BL410" i="36"/>
  <c r="AS410" i="36"/>
  <c r="BT410" i="36"/>
  <c r="BA410" i="36"/>
  <c r="BQ413" i="36"/>
  <c r="AX413" i="36"/>
  <c r="AU416" i="36"/>
  <c r="BN416" i="36"/>
  <c r="BS419" i="36"/>
  <c r="AZ419" i="36"/>
  <c r="BP422" i="36"/>
  <c r="AW422" i="36"/>
  <c r="BM425" i="36"/>
  <c r="AT425" i="36"/>
  <c r="BU425" i="36"/>
  <c r="BB425" i="36"/>
  <c r="BR428" i="36"/>
  <c r="AY428" i="36"/>
  <c r="BO431" i="36"/>
  <c r="AV431" i="36"/>
  <c r="BL434" i="36"/>
  <c r="AS434" i="36"/>
  <c r="BT434" i="36"/>
  <c r="BA434" i="36"/>
  <c r="BQ437" i="36"/>
  <c r="AX437" i="36"/>
  <c r="BN440" i="36"/>
  <c r="AU440" i="36"/>
  <c r="BS443" i="36"/>
  <c r="AZ443" i="36"/>
  <c r="AJ73" i="89"/>
  <c r="AC15" i="40"/>
  <c r="AI149" i="86"/>
  <c r="AL181" i="86"/>
  <c r="AK181" i="86"/>
  <c r="CC55" i="90"/>
  <c r="CC41" i="90" s="1"/>
  <c r="AJ28" i="98"/>
  <c r="BW68" i="36"/>
  <c r="BW56" i="36" s="1"/>
  <c r="BD56" i="36"/>
  <c r="BE56" i="36"/>
  <c r="BX68" i="36"/>
  <c r="BX56" i="36" s="1"/>
  <c r="BW71" i="57"/>
  <c r="BD71" i="57"/>
  <c r="BZ74" i="57"/>
  <c r="BG74" i="57"/>
  <c r="BX80" i="57"/>
  <c r="BE80" i="57"/>
  <c r="BC86" i="57"/>
  <c r="BV86" i="57"/>
  <c r="BY89" i="57"/>
  <c r="BF89" i="57"/>
  <c r="BD95" i="57"/>
  <c r="BW95" i="57"/>
  <c r="BZ98" i="57"/>
  <c r="BG98" i="57"/>
  <c r="BX104" i="57"/>
  <c r="BE104" i="57"/>
  <c r="BV110" i="57"/>
  <c r="BC110" i="57"/>
  <c r="BF113" i="57"/>
  <c r="BY113" i="57"/>
  <c r="BD119" i="57"/>
  <c r="BW119" i="57"/>
  <c r="BZ122" i="57"/>
  <c r="BG122" i="57"/>
  <c r="BX128" i="57"/>
  <c r="BE128" i="57"/>
  <c r="BV134" i="57"/>
  <c r="BC134" i="57"/>
  <c r="BY137" i="57"/>
  <c r="BF137" i="57"/>
  <c r="BW143" i="57"/>
  <c r="BD143" i="57"/>
  <c r="BZ146" i="57"/>
  <c r="BG146" i="57"/>
  <c r="BX152" i="57"/>
  <c r="BE152" i="57"/>
  <c r="BV158" i="57"/>
  <c r="BC158" i="57"/>
  <c r="BY161" i="57"/>
  <c r="BF161" i="57"/>
  <c r="BW167" i="57"/>
  <c r="BD167" i="57"/>
  <c r="BZ170" i="57"/>
  <c r="BG170" i="57"/>
  <c r="BE176" i="57"/>
  <c r="BX176" i="57"/>
  <c r="BC182" i="57"/>
  <c r="BV182" i="57"/>
  <c r="BY185" i="57"/>
  <c r="BF185" i="57"/>
  <c r="BW191" i="57"/>
  <c r="BD191" i="57"/>
  <c r="BZ194" i="57"/>
  <c r="BG194" i="57"/>
  <c r="BX200" i="57"/>
  <c r="BE200" i="57"/>
  <c r="BC206" i="57"/>
  <c r="BV206" i="57"/>
  <c r="BF209" i="57"/>
  <c r="BY209" i="57"/>
  <c r="BW215" i="57"/>
  <c r="BD215" i="57"/>
  <c r="BZ218" i="57"/>
  <c r="BG218" i="57"/>
  <c r="BE224" i="57"/>
  <c r="BX224" i="57"/>
  <c r="BV230" i="57"/>
  <c r="BC230" i="57"/>
  <c r="BY233" i="57"/>
  <c r="BF233" i="57"/>
  <c r="BW239" i="57"/>
  <c r="BD239" i="57"/>
  <c r="BZ242" i="57"/>
  <c r="BG242" i="57"/>
  <c r="BX248" i="57"/>
  <c r="BE248" i="57"/>
  <c r="BV254" i="57"/>
  <c r="BC254" i="57"/>
  <c r="BF257" i="57"/>
  <c r="BY257" i="57"/>
  <c r="BW263" i="57"/>
  <c r="BD263" i="57"/>
  <c r="BZ266" i="57"/>
  <c r="BG266" i="57"/>
  <c r="BE272" i="57"/>
  <c r="BX272" i="57"/>
  <c r="BC278" i="57"/>
  <c r="BV278" i="57"/>
  <c r="BF281" i="57"/>
  <c r="BY281" i="57"/>
  <c r="BW287" i="57"/>
  <c r="BD287" i="57"/>
  <c r="BG290" i="57"/>
  <c r="BZ290" i="57"/>
  <c r="BX296" i="57"/>
  <c r="BE296" i="57"/>
  <c r="BV302" i="57"/>
  <c r="BC302" i="57"/>
  <c r="BF305" i="57"/>
  <c r="BY305" i="57"/>
  <c r="BW311" i="57"/>
  <c r="BD311" i="57"/>
  <c r="BG314" i="57"/>
  <c r="BZ314" i="57"/>
  <c r="BX320" i="57"/>
  <c r="BE320" i="57"/>
  <c r="BC326" i="57"/>
  <c r="BV326" i="57"/>
  <c r="BF329" i="57"/>
  <c r="BY329" i="57"/>
  <c r="BW335" i="57"/>
  <c r="BD335" i="57"/>
  <c r="BZ338" i="57"/>
  <c r="BG338" i="57"/>
  <c r="BX344" i="57"/>
  <c r="BE344" i="57"/>
  <c r="BV350" i="57"/>
  <c r="BC350" i="57"/>
  <c r="BF353" i="57"/>
  <c r="BY353" i="57"/>
  <c r="BW359" i="57"/>
  <c r="BD359" i="57"/>
  <c r="BZ362" i="57"/>
  <c r="BG362" i="57"/>
  <c r="BX368" i="57"/>
  <c r="BE368" i="57"/>
  <c r="BV374" i="57"/>
  <c r="BC374" i="57"/>
  <c r="BY377" i="57"/>
  <c r="BF377" i="57"/>
  <c r="BW383" i="57"/>
  <c r="BD383" i="57"/>
  <c r="BZ386" i="57"/>
  <c r="BG386" i="57"/>
  <c r="BE392" i="57"/>
  <c r="BX392" i="57"/>
  <c r="BV398" i="57"/>
  <c r="BC398" i="57"/>
  <c r="BY401" i="57"/>
  <c r="BF401" i="57"/>
  <c r="BW407" i="57"/>
  <c r="BD407" i="57"/>
  <c r="BZ410" i="57"/>
  <c r="BG410" i="57"/>
  <c r="BX416" i="57"/>
  <c r="BE416" i="57"/>
  <c r="BC422" i="57"/>
  <c r="BV422" i="57"/>
  <c r="BY425" i="57"/>
  <c r="BF425" i="57"/>
  <c r="BW431" i="57"/>
  <c r="BD431" i="57"/>
  <c r="BZ434" i="57"/>
  <c r="BG434" i="57"/>
  <c r="BX440" i="57"/>
  <c r="BE440" i="57"/>
  <c r="BZ68" i="57"/>
  <c r="BZ56" i="57" s="1"/>
  <c r="BG56" i="57"/>
  <c r="BO416" i="57"/>
  <c r="AV416" i="57"/>
  <c r="BL419" i="57"/>
  <c r="AS419" i="57"/>
  <c r="BT419" i="57"/>
  <c r="BA419" i="57"/>
  <c r="BQ422" i="57"/>
  <c r="AX422" i="57"/>
  <c r="AU425" i="57"/>
  <c r="BN425" i="57"/>
  <c r="AZ428" i="57"/>
  <c r="BS428" i="57"/>
  <c r="BP431" i="57"/>
  <c r="AW431" i="57"/>
  <c r="AT434" i="57"/>
  <c r="BM434" i="57"/>
  <c r="BU434" i="57"/>
  <c r="BB434" i="57"/>
  <c r="BR437" i="57"/>
  <c r="AY437" i="57"/>
  <c r="BO440" i="57"/>
  <c r="AV440" i="57"/>
  <c r="BL443" i="57"/>
  <c r="AS443" i="57"/>
  <c r="BT443" i="57"/>
  <c r="BA443" i="57"/>
  <c r="BR266" i="36"/>
  <c r="AY266" i="36"/>
  <c r="BO269" i="36"/>
  <c r="AV269" i="36"/>
  <c r="BL272" i="36"/>
  <c r="AS272" i="36"/>
  <c r="BT272" i="36"/>
  <c r="BA272" i="36"/>
  <c r="BQ275" i="36"/>
  <c r="AX275" i="36"/>
  <c r="BN278" i="36"/>
  <c r="AU278" i="36"/>
  <c r="BS281" i="36"/>
  <c r="AZ281" i="36"/>
  <c r="BP284" i="36"/>
  <c r="AW284" i="36"/>
  <c r="BM287" i="36"/>
  <c r="AT287" i="36"/>
  <c r="BU287" i="36"/>
  <c r="BB287" i="36"/>
  <c r="BR290" i="36"/>
  <c r="AY290" i="36"/>
  <c r="BO293" i="36"/>
  <c r="AV293" i="36"/>
  <c r="BL296" i="36"/>
  <c r="AS296" i="36"/>
  <c r="BT296" i="36"/>
  <c r="BA296" i="36"/>
  <c r="BQ299" i="36"/>
  <c r="AX299" i="36"/>
  <c r="BN302" i="36"/>
  <c r="AU302" i="36"/>
  <c r="BS305" i="36"/>
  <c r="AZ305" i="36"/>
  <c r="BP308" i="36"/>
  <c r="AW308" i="36"/>
  <c r="BM311" i="36"/>
  <c r="AT311" i="36"/>
  <c r="BU311" i="36"/>
  <c r="BB311" i="36"/>
  <c r="BR314" i="36"/>
  <c r="AY314" i="36"/>
  <c r="BO317" i="36"/>
  <c r="AV317" i="36"/>
  <c r="BL320" i="36"/>
  <c r="AS320" i="36"/>
  <c r="BT320" i="36"/>
  <c r="BA320" i="36"/>
  <c r="BQ323" i="36"/>
  <c r="AX323" i="36"/>
  <c r="BN326" i="36"/>
  <c r="AU326" i="36"/>
  <c r="BS329" i="36"/>
  <c r="AZ329" i="36"/>
  <c r="BP332" i="36"/>
  <c r="AW332" i="36"/>
  <c r="BM335" i="36"/>
  <c r="AT335" i="36"/>
  <c r="BU335" i="36"/>
  <c r="BB335" i="36"/>
  <c r="BR338" i="36"/>
  <c r="AY338" i="36"/>
  <c r="BO341" i="36"/>
  <c r="AV341" i="36"/>
  <c r="BL344" i="36"/>
  <c r="AS344" i="36"/>
  <c r="BT344" i="36"/>
  <c r="BA344" i="36"/>
  <c r="BQ347" i="36"/>
  <c r="AX347" i="36"/>
  <c r="BN350" i="36"/>
  <c r="AU350" i="36"/>
  <c r="BS353" i="36"/>
  <c r="AZ353" i="36"/>
  <c r="BP356" i="36"/>
  <c r="AW356" i="36"/>
  <c r="BM359" i="36"/>
  <c r="AT359" i="36"/>
  <c r="BU359" i="36"/>
  <c r="BB359" i="36"/>
  <c r="BR362" i="36"/>
  <c r="AY362" i="36"/>
  <c r="BO365" i="36"/>
  <c r="AV365" i="36"/>
  <c r="BL368" i="36"/>
  <c r="AS368" i="36"/>
  <c r="BT368" i="36"/>
  <c r="BA368" i="36"/>
  <c r="BQ371" i="36"/>
  <c r="AX371" i="36"/>
  <c r="BN374" i="36"/>
  <c r="AU374" i="36"/>
  <c r="BS377" i="36"/>
  <c r="AZ377" i="36"/>
  <c r="BP380" i="36"/>
  <c r="AW380" i="36"/>
  <c r="BM383" i="36"/>
  <c r="AT383" i="36"/>
  <c r="BU383" i="36"/>
  <c r="BB383" i="36"/>
  <c r="BR389" i="36"/>
  <c r="AY389" i="36"/>
  <c r="BO392" i="36"/>
  <c r="AV392" i="36"/>
  <c r="BL395" i="36"/>
  <c r="AS395" i="36"/>
  <c r="BT395" i="36"/>
  <c r="BA395" i="36"/>
  <c r="BQ398" i="36"/>
  <c r="AX398" i="36"/>
  <c r="BN401" i="36"/>
  <c r="AU401" i="36"/>
  <c r="BS404" i="36"/>
  <c r="AZ404" i="36"/>
  <c r="AW407" i="36"/>
  <c r="BP407" i="36"/>
  <c r="BM410" i="36"/>
  <c r="AT410" i="36"/>
  <c r="BU410" i="36"/>
  <c r="BB410" i="36"/>
  <c r="BR413" i="36"/>
  <c r="AY413" i="36"/>
  <c r="BO416" i="36"/>
  <c r="AV416" i="36"/>
  <c r="BL419" i="36"/>
  <c r="AS419" i="36"/>
  <c r="BT419" i="36"/>
  <c r="BA419" i="36"/>
  <c r="BQ422" i="36"/>
  <c r="AX422" i="36"/>
  <c r="BN425" i="36"/>
  <c r="AU425" i="36"/>
  <c r="BS428" i="36"/>
  <c r="AZ428" i="36"/>
  <c r="BP431" i="36"/>
  <c r="AW431" i="36"/>
  <c r="BM434" i="36"/>
  <c r="AT434" i="36"/>
  <c r="BU434" i="36"/>
  <c r="BB434" i="36"/>
  <c r="BR437" i="36"/>
  <c r="AY437" i="36"/>
  <c r="BO440" i="36"/>
  <c r="AV440" i="36"/>
  <c r="BL443" i="36"/>
  <c r="AS443" i="36"/>
  <c r="BT443" i="36"/>
  <c r="BA443" i="36"/>
  <c r="AE26" i="89"/>
  <c r="AI171" i="86"/>
  <c r="AL139" i="86"/>
  <c r="AK155" i="86"/>
  <c r="AI27" i="98"/>
  <c r="L13" i="90"/>
  <c r="AI20" i="98" s="1"/>
  <c r="BV266" i="36"/>
  <c r="BC266" i="36"/>
  <c r="BY269" i="36"/>
  <c r="BF269" i="36"/>
  <c r="BW275" i="36"/>
  <c r="BD275" i="36"/>
  <c r="BG278" i="36"/>
  <c r="BZ278" i="36"/>
  <c r="BX284" i="36"/>
  <c r="BE284" i="36"/>
  <c r="BV290" i="36"/>
  <c r="BC290" i="36"/>
  <c r="BY293" i="36"/>
  <c r="BF293" i="36"/>
  <c r="BD299" i="36"/>
  <c r="BW299" i="36"/>
  <c r="BZ302" i="36"/>
  <c r="BG302" i="36"/>
  <c r="BX308" i="36"/>
  <c r="BE308" i="36"/>
  <c r="BV314" i="36"/>
  <c r="BC314" i="36"/>
  <c r="BY317" i="36"/>
  <c r="BF317" i="36"/>
  <c r="BW323" i="36"/>
  <c r="BD323" i="36"/>
  <c r="BZ326" i="36"/>
  <c r="BG326" i="36"/>
  <c r="BX332" i="36"/>
  <c r="BE332" i="36"/>
  <c r="BV338" i="36"/>
  <c r="BC338" i="36"/>
  <c r="BY341" i="36"/>
  <c r="BF341" i="36"/>
  <c r="BW347" i="36"/>
  <c r="BD347" i="36"/>
  <c r="BZ350" i="36"/>
  <c r="BG350" i="36"/>
  <c r="BX356" i="36"/>
  <c r="BE356" i="36"/>
  <c r="BV362" i="36"/>
  <c r="BC362" i="36"/>
  <c r="BY365" i="36"/>
  <c r="BF365" i="36"/>
  <c r="BW371" i="36"/>
  <c r="BD371" i="36"/>
  <c r="BZ374" i="36"/>
  <c r="BG374" i="36"/>
  <c r="BE380" i="36"/>
  <c r="BX380" i="36"/>
  <c r="BV386" i="36"/>
  <c r="BC386" i="36"/>
  <c r="BY389" i="36"/>
  <c r="BF389" i="36"/>
  <c r="BD395" i="36"/>
  <c r="BW395" i="36"/>
  <c r="BG398" i="36"/>
  <c r="BZ398" i="36"/>
  <c r="BX404" i="36"/>
  <c r="BE404" i="36"/>
  <c r="BV410" i="36"/>
  <c r="BC410" i="36"/>
  <c r="BY413" i="36"/>
  <c r="BF413" i="36"/>
  <c r="BW419" i="36"/>
  <c r="BD419" i="36"/>
  <c r="BG422" i="36"/>
  <c r="BZ422" i="36"/>
  <c r="BX428" i="36"/>
  <c r="BE428" i="36"/>
  <c r="BV434" i="36"/>
  <c r="BC434" i="36"/>
  <c r="BY437" i="36"/>
  <c r="BF437" i="36"/>
  <c r="BW443" i="36"/>
  <c r="BD443" i="36"/>
  <c r="BX71" i="57"/>
  <c r="BE71" i="57"/>
  <c r="BV77" i="57"/>
  <c r="BC77" i="57"/>
  <c r="BY80" i="57"/>
  <c r="BF80" i="57"/>
  <c r="BW86" i="57"/>
  <c r="BD86" i="57"/>
  <c r="BG89" i="57"/>
  <c r="BZ89" i="57"/>
  <c r="BX95" i="57"/>
  <c r="BE95" i="57"/>
  <c r="BV101" i="57"/>
  <c r="BC101" i="57"/>
  <c r="BF104" i="57"/>
  <c r="BY104" i="57"/>
  <c r="BD110" i="57"/>
  <c r="BW110" i="57"/>
  <c r="BZ113" i="57"/>
  <c r="BG113" i="57"/>
  <c r="BX119" i="57"/>
  <c r="BE119" i="57"/>
  <c r="BV125" i="57"/>
  <c r="BC125" i="57"/>
  <c r="BF128" i="57"/>
  <c r="BY128" i="57"/>
  <c r="BD134" i="57"/>
  <c r="BW134" i="57"/>
  <c r="BZ137" i="57"/>
  <c r="BG137" i="57"/>
  <c r="BX143" i="57"/>
  <c r="BE143" i="57"/>
  <c r="BV149" i="57"/>
  <c r="BC149" i="57"/>
  <c r="BF152" i="57"/>
  <c r="BY152" i="57"/>
  <c r="BD158" i="57"/>
  <c r="BW158" i="57"/>
  <c r="BZ161" i="57"/>
  <c r="BG161" i="57"/>
  <c r="BX167" i="57"/>
  <c r="BE167" i="57"/>
  <c r="BV173" i="57"/>
  <c r="BC173" i="57"/>
  <c r="BY176" i="57"/>
  <c r="BF176" i="57"/>
  <c r="BW182" i="57"/>
  <c r="BD182" i="57"/>
  <c r="BZ185" i="57"/>
  <c r="BG185" i="57"/>
  <c r="BX191" i="57"/>
  <c r="BE191" i="57"/>
  <c r="BC197" i="57"/>
  <c r="BV197" i="57"/>
  <c r="BY200" i="57"/>
  <c r="BF200" i="57"/>
  <c r="BD206" i="57"/>
  <c r="BW206" i="57"/>
  <c r="BZ209" i="57"/>
  <c r="BG209" i="57"/>
  <c r="BX215" i="57"/>
  <c r="BE215" i="57"/>
  <c r="BV221" i="57"/>
  <c r="BC221" i="57"/>
  <c r="BY224" i="57"/>
  <c r="BF224" i="57"/>
  <c r="BW230" i="57"/>
  <c r="BD230" i="57"/>
  <c r="BZ233" i="57"/>
  <c r="BG233" i="57"/>
  <c r="BX239" i="57"/>
  <c r="BE239" i="57"/>
  <c r="BV245" i="57"/>
  <c r="BC245" i="57"/>
  <c r="BY248" i="57"/>
  <c r="BF248" i="57"/>
  <c r="BW254" i="57"/>
  <c r="BD254" i="57"/>
  <c r="BG257" i="57"/>
  <c r="BZ257" i="57"/>
  <c r="BX263" i="57"/>
  <c r="BE263" i="57"/>
  <c r="BV269" i="57"/>
  <c r="BC269" i="57"/>
  <c r="BF272" i="57"/>
  <c r="BY272" i="57"/>
  <c r="BW278" i="57"/>
  <c r="BD278" i="57"/>
  <c r="BZ281" i="57"/>
  <c r="BG281" i="57"/>
  <c r="BX287" i="57"/>
  <c r="BE287" i="57"/>
  <c r="BV293" i="57"/>
  <c r="BC293" i="57"/>
  <c r="BY296" i="57"/>
  <c r="BF296" i="57"/>
  <c r="BW302" i="57"/>
  <c r="BD302" i="57"/>
  <c r="BG305" i="57"/>
  <c r="BZ305" i="57"/>
  <c r="BX311" i="57"/>
  <c r="BE311" i="57"/>
  <c r="BV317" i="57"/>
  <c r="BC317" i="57"/>
  <c r="BY320" i="57"/>
  <c r="BF320" i="57"/>
  <c r="BW326" i="57"/>
  <c r="BD326" i="57"/>
  <c r="BZ329" i="57"/>
  <c r="BG329" i="57"/>
  <c r="BX335" i="57"/>
  <c r="BE335" i="57"/>
  <c r="BC341" i="57"/>
  <c r="BV341" i="57"/>
  <c r="BY344" i="57"/>
  <c r="BF344" i="57"/>
  <c r="BD350" i="57"/>
  <c r="BW350" i="57"/>
  <c r="BZ353" i="57"/>
  <c r="BG353" i="57"/>
  <c r="BX359" i="57"/>
  <c r="BE359" i="57"/>
  <c r="BV365" i="57"/>
  <c r="BC365" i="57"/>
  <c r="BY368" i="57"/>
  <c r="BF368" i="57"/>
  <c r="BW374" i="57"/>
  <c r="BD374" i="57"/>
  <c r="BZ377" i="57"/>
  <c r="BG377" i="57"/>
  <c r="BX383" i="57"/>
  <c r="BE383" i="57"/>
  <c r="BV389" i="57"/>
  <c r="BC389" i="57"/>
  <c r="BY392" i="57"/>
  <c r="BF392" i="57"/>
  <c r="BW398" i="57"/>
  <c r="BD398" i="57"/>
  <c r="BZ401" i="57"/>
  <c r="BG401" i="57"/>
  <c r="BX407" i="57"/>
  <c r="BE407" i="57"/>
  <c r="BV413" i="57"/>
  <c r="BC413" i="57"/>
  <c r="BY416" i="57"/>
  <c r="BF416" i="57"/>
  <c r="BW422" i="57"/>
  <c r="BD422" i="57"/>
  <c r="BG425" i="57"/>
  <c r="BZ425" i="57"/>
  <c r="BX431" i="57"/>
  <c r="BE431" i="57"/>
  <c r="BV437" i="57"/>
  <c r="BC437" i="57"/>
  <c r="BY440" i="57"/>
  <c r="BF440" i="57"/>
  <c r="BF56" i="57"/>
  <c r="BY68" i="57"/>
  <c r="BY56" i="57" s="1"/>
  <c r="BS266" i="36"/>
  <c r="AZ266" i="36"/>
  <c r="BP269" i="36"/>
  <c r="AW269" i="36"/>
  <c r="BM272" i="36"/>
  <c r="AT272" i="36"/>
  <c r="BU272" i="36"/>
  <c r="BB272" i="36"/>
  <c r="BR275" i="36"/>
  <c r="AY275" i="36"/>
  <c r="BO278" i="36"/>
  <c r="AV278" i="36"/>
  <c r="BL281" i="36"/>
  <c r="AS281" i="36"/>
  <c r="BT281" i="36"/>
  <c r="BA281" i="36"/>
  <c r="BQ284" i="36"/>
  <c r="AX284" i="36"/>
  <c r="BN287" i="36"/>
  <c r="AU287" i="36"/>
  <c r="BS290" i="36"/>
  <c r="AZ290" i="36"/>
  <c r="BP293" i="36"/>
  <c r="AW293" i="36"/>
  <c r="AT296" i="36"/>
  <c r="BM296" i="36"/>
  <c r="BU296" i="36"/>
  <c r="BB296" i="36"/>
  <c r="AY299" i="36"/>
  <c r="BR299" i="36"/>
  <c r="BO302" i="36"/>
  <c r="AV302" i="36"/>
  <c r="BL305" i="36"/>
  <c r="AS305" i="36"/>
  <c r="BT305" i="36"/>
  <c r="BA305" i="36"/>
  <c r="AX308" i="36"/>
  <c r="BQ308" i="36"/>
  <c r="AU311" i="36"/>
  <c r="BN311" i="36"/>
  <c r="BS314" i="36"/>
  <c r="AZ314" i="36"/>
  <c r="AW317" i="36"/>
  <c r="BP317" i="36"/>
  <c r="AT320" i="36"/>
  <c r="BM320" i="36"/>
  <c r="BB320" i="36"/>
  <c r="BU320" i="36"/>
  <c r="BR323" i="36"/>
  <c r="AY323" i="36"/>
  <c r="BO326" i="36"/>
  <c r="AV326" i="36"/>
  <c r="AS329" i="36"/>
  <c r="BL329" i="36"/>
  <c r="BA329" i="36"/>
  <c r="BT329" i="36"/>
  <c r="AX332" i="36"/>
  <c r="BQ332" i="36"/>
  <c r="BN335" i="36"/>
  <c r="AU335" i="36"/>
  <c r="BS338" i="36"/>
  <c r="AZ338" i="36"/>
  <c r="AW341" i="36"/>
  <c r="BP341" i="36"/>
  <c r="AT344" i="36"/>
  <c r="BM344" i="36"/>
  <c r="BB344" i="36"/>
  <c r="BU344" i="36"/>
  <c r="BR347" i="36"/>
  <c r="AY347" i="36"/>
  <c r="BO350" i="36"/>
  <c r="AV350" i="36"/>
  <c r="AS353" i="36"/>
  <c r="BL353" i="36"/>
  <c r="BA353" i="36"/>
  <c r="BT353" i="36"/>
  <c r="AX356" i="36"/>
  <c r="BQ356" i="36"/>
  <c r="BN359" i="36"/>
  <c r="AU359" i="36"/>
  <c r="BS362" i="36"/>
  <c r="AZ362" i="36"/>
  <c r="BP365" i="36"/>
  <c r="AW365" i="36"/>
  <c r="BM368" i="36"/>
  <c r="AT368" i="36"/>
  <c r="BU368" i="36"/>
  <c r="BB368" i="36"/>
  <c r="BR371" i="36"/>
  <c r="AY371" i="36"/>
  <c r="BO374" i="36"/>
  <c r="AV374" i="36"/>
  <c r="AS377" i="36"/>
  <c r="BL377" i="36"/>
  <c r="BT377" i="36"/>
  <c r="BA377" i="36"/>
  <c r="BQ380" i="36"/>
  <c r="AX380" i="36"/>
  <c r="BN383" i="36"/>
  <c r="AU383" i="36"/>
  <c r="AZ389" i="36"/>
  <c r="BS389" i="36"/>
  <c r="BP392" i="36"/>
  <c r="AW392" i="36"/>
  <c r="BM395" i="36"/>
  <c r="AT395" i="36"/>
  <c r="BU395" i="36"/>
  <c r="BB395" i="36"/>
  <c r="BR398" i="36"/>
  <c r="AY398" i="36"/>
  <c r="BO401" i="36"/>
  <c r="AV401" i="36"/>
  <c r="BL404" i="36"/>
  <c r="AS404" i="36"/>
  <c r="BT404" i="36"/>
  <c r="BA404" i="36"/>
  <c r="BQ407" i="36"/>
  <c r="AX407" i="36"/>
  <c r="BN410" i="36"/>
  <c r="AU410" i="36"/>
  <c r="AZ413" i="36"/>
  <c r="BS413" i="36"/>
  <c r="BP416" i="36"/>
  <c r="AW416" i="36"/>
  <c r="BM419" i="36"/>
  <c r="AT419" i="36"/>
  <c r="BU419" i="36"/>
  <c r="BB419" i="36"/>
  <c r="AY422" i="36"/>
  <c r="BR422" i="36"/>
  <c r="BO425" i="36"/>
  <c r="AV425" i="36"/>
  <c r="BL428" i="36"/>
  <c r="AS428" i="36"/>
  <c r="BT428" i="36"/>
  <c r="BA428" i="36"/>
  <c r="BQ431" i="36"/>
  <c r="AX431" i="36"/>
  <c r="BN434" i="36"/>
  <c r="AU434" i="36"/>
  <c r="AZ437" i="36"/>
  <c r="BS437" i="36"/>
  <c r="BP440" i="36"/>
  <c r="AW440" i="36"/>
  <c r="BM443" i="36"/>
  <c r="AT443" i="36"/>
  <c r="BU443" i="36"/>
  <c r="BB443" i="36"/>
  <c r="AK115" i="89"/>
  <c r="AI181" i="86"/>
  <c r="AH194" i="86"/>
  <c r="N59" i="98" s="1"/>
  <c r="M12" i="90"/>
  <c r="AJ19" i="98" s="1"/>
  <c r="M13" i="90"/>
  <c r="AJ20" i="98" s="1"/>
  <c r="AJ35" i="98"/>
  <c r="AI13" i="57"/>
  <c r="AJ13" i="57"/>
  <c r="AJ26" i="98"/>
  <c r="BL266" i="36"/>
  <c r="AS266" i="36"/>
  <c r="BT266" i="36"/>
  <c r="BA266" i="36"/>
  <c r="BQ269" i="36"/>
  <c r="AX269" i="36"/>
  <c r="BN272" i="36"/>
  <c r="AU272" i="36"/>
  <c r="BS275" i="36"/>
  <c r="AZ275" i="36"/>
  <c r="BP278" i="36"/>
  <c r="AW278" i="36"/>
  <c r="BM281" i="36"/>
  <c r="AT281" i="36"/>
  <c r="BU281" i="36"/>
  <c r="BB281" i="36"/>
  <c r="BR284" i="36"/>
  <c r="AY284" i="36"/>
  <c r="BO287" i="36"/>
  <c r="AV287" i="36"/>
  <c r="BL290" i="36"/>
  <c r="AS290" i="36"/>
  <c r="BT290" i="36"/>
  <c r="BA290" i="36"/>
  <c r="BQ293" i="36"/>
  <c r="AX293" i="36"/>
  <c r="BN296" i="36"/>
  <c r="AU296" i="36"/>
  <c r="AZ299" i="36"/>
  <c r="BS299" i="36"/>
  <c r="BP302" i="36"/>
  <c r="AW302" i="36"/>
  <c r="BM305" i="36"/>
  <c r="AT305" i="36"/>
  <c r="BU305" i="36"/>
  <c r="BB305" i="36"/>
  <c r="BR308" i="36"/>
  <c r="AY308" i="36"/>
  <c r="BO311" i="36"/>
  <c r="AV311" i="36"/>
  <c r="BL314" i="36"/>
  <c r="AS314" i="36"/>
  <c r="BT314" i="36"/>
  <c r="BA314" i="36"/>
  <c r="BQ317" i="36"/>
  <c r="AX317" i="36"/>
  <c r="BN320" i="36"/>
  <c r="AU320" i="36"/>
  <c r="BS323" i="36"/>
  <c r="AZ323" i="36"/>
  <c r="BP326" i="36"/>
  <c r="AW326" i="36"/>
  <c r="BM329" i="36"/>
  <c r="AT329" i="36"/>
  <c r="BU329" i="36"/>
  <c r="BB329" i="36"/>
  <c r="BR332" i="36"/>
  <c r="AY332" i="36"/>
  <c r="BO335" i="36"/>
  <c r="AV335" i="36"/>
  <c r="BL338" i="36"/>
  <c r="AS338" i="36"/>
  <c r="BT338" i="36"/>
  <c r="BA338" i="36"/>
  <c r="BQ341" i="36"/>
  <c r="AX341" i="36"/>
  <c r="BN344" i="36"/>
  <c r="AU344" i="36"/>
  <c r="BS347" i="36"/>
  <c r="AZ347" i="36"/>
  <c r="BP350" i="36"/>
  <c r="AW350" i="36"/>
  <c r="BM353" i="36"/>
  <c r="AT353" i="36"/>
  <c r="BU353" i="36"/>
  <c r="BB353" i="36"/>
  <c r="BR356" i="36"/>
  <c r="AY356" i="36"/>
  <c r="BO359" i="36"/>
  <c r="AV359" i="36"/>
  <c r="AS362" i="36"/>
  <c r="BL362" i="36"/>
  <c r="BT362" i="36"/>
  <c r="BA362" i="36"/>
  <c r="BQ365" i="36"/>
  <c r="AX365" i="36"/>
  <c r="BN368" i="36"/>
  <c r="AU368" i="36"/>
  <c r="BS371" i="36"/>
  <c r="AZ371" i="36"/>
  <c r="BP374" i="36"/>
  <c r="AW374" i="36"/>
  <c r="BM377" i="36"/>
  <c r="AT377" i="36"/>
  <c r="BU377" i="36"/>
  <c r="BB377" i="36"/>
  <c r="BR380" i="36"/>
  <c r="AY380" i="36"/>
  <c r="BO383" i="36"/>
  <c r="AV383" i="36"/>
  <c r="AS389" i="36"/>
  <c r="BL389" i="36"/>
  <c r="BA389" i="36"/>
  <c r="BT389" i="36"/>
  <c r="BQ392" i="36"/>
  <c r="AX392" i="36"/>
  <c r="BN395" i="36"/>
  <c r="AU395" i="36"/>
  <c r="BS398" i="36"/>
  <c r="AZ398" i="36"/>
  <c r="BP401" i="36"/>
  <c r="AW401" i="36"/>
  <c r="BM404" i="36"/>
  <c r="AT404" i="36"/>
  <c r="BB404" i="36"/>
  <c r="BU404" i="36"/>
  <c r="BR407" i="36"/>
  <c r="AY407" i="36"/>
  <c r="BO410" i="36"/>
  <c r="AV410" i="36"/>
  <c r="AS413" i="36"/>
  <c r="BL413" i="36"/>
  <c r="BA413" i="36"/>
  <c r="BT413" i="36"/>
  <c r="BQ416" i="36"/>
  <c r="AX416" i="36"/>
  <c r="BN419" i="36"/>
  <c r="AU419" i="36"/>
  <c r="BS422" i="36"/>
  <c r="AZ422" i="36"/>
  <c r="BP425" i="36"/>
  <c r="AW425" i="36"/>
  <c r="BM428" i="36"/>
  <c r="AT428" i="36"/>
  <c r="BB428" i="36"/>
  <c r="BU428" i="36"/>
  <c r="BR431" i="36"/>
  <c r="AY431" i="36"/>
  <c r="BO434" i="36"/>
  <c r="AV434" i="36"/>
  <c r="BL437" i="36"/>
  <c r="AS437" i="36"/>
  <c r="BT437" i="36"/>
  <c r="BA437" i="36"/>
  <c r="BQ440" i="36"/>
  <c r="AX440" i="36"/>
  <c r="BN443" i="36"/>
  <c r="AU443" i="36"/>
  <c r="B2" i="86"/>
  <c r="AH16" i="89"/>
  <c r="AA26" i="89"/>
  <c r="AL26" i="89"/>
  <c r="AD26" i="89"/>
  <c r="AJ190" i="86"/>
  <c r="AI26" i="98"/>
  <c r="BU413" i="57"/>
  <c r="BB413" i="57"/>
  <c r="BR416" i="57"/>
  <c r="AY416" i="57"/>
  <c r="BO419" i="57"/>
  <c r="AV419" i="57"/>
  <c r="BL422" i="57"/>
  <c r="AS422" i="57"/>
  <c r="BT422" i="57"/>
  <c r="BA422" i="57"/>
  <c r="BQ425" i="57"/>
  <c r="AX425" i="57"/>
  <c r="AU428" i="57"/>
  <c r="BN428" i="57"/>
  <c r="BS431" i="57"/>
  <c r="AZ431" i="57"/>
  <c r="BP434" i="57"/>
  <c r="AW434" i="57"/>
  <c r="BM437" i="57"/>
  <c r="AT437" i="57"/>
  <c r="BU437" i="57"/>
  <c r="BB437" i="57"/>
  <c r="AY440" i="57"/>
  <c r="BR440" i="57"/>
  <c r="BO443" i="57"/>
  <c r="AV443" i="57"/>
  <c r="BM266" i="36"/>
  <c r="AT266" i="36"/>
  <c r="BU266" i="36"/>
  <c r="BB266" i="36"/>
  <c r="BR269" i="36"/>
  <c r="AY269" i="36"/>
  <c r="BO272" i="36"/>
  <c r="AV272" i="36"/>
  <c r="BL275" i="36"/>
  <c r="AS275" i="36"/>
  <c r="BT275" i="36"/>
  <c r="BA275" i="36"/>
  <c r="BQ278" i="36"/>
  <c r="AX278" i="36"/>
  <c r="BN281" i="36"/>
  <c r="AU281" i="36"/>
  <c r="BS284" i="36"/>
  <c r="AZ284" i="36"/>
  <c r="AW287" i="36"/>
  <c r="BP287" i="36"/>
  <c r="BM290" i="36"/>
  <c r="AT290" i="36"/>
  <c r="BU290" i="36"/>
  <c r="BB290" i="36"/>
  <c r="BR293" i="36"/>
  <c r="AY293" i="36"/>
  <c r="BO296" i="36"/>
  <c r="AV296" i="36"/>
  <c r="BL299" i="36"/>
  <c r="AS299" i="36"/>
  <c r="BT299" i="36"/>
  <c r="BA299" i="36"/>
  <c r="BQ302" i="36"/>
  <c r="AX302" i="36"/>
  <c r="BN305" i="36"/>
  <c r="AU305" i="36"/>
  <c r="AZ308" i="36"/>
  <c r="BS308" i="36"/>
  <c r="AW311" i="36"/>
  <c r="BP311" i="36"/>
  <c r="AT314" i="36"/>
  <c r="BM314" i="36"/>
  <c r="BB314" i="36"/>
  <c r="BU314" i="36"/>
  <c r="BR317" i="36"/>
  <c r="AY317" i="36"/>
  <c r="AV320" i="36"/>
  <c r="BO320" i="36"/>
  <c r="AS323" i="36"/>
  <c r="BL323" i="36"/>
  <c r="BA323" i="36"/>
  <c r="BT323" i="36"/>
  <c r="BQ326" i="36"/>
  <c r="AX326" i="36"/>
  <c r="BN329" i="36"/>
  <c r="AU329" i="36"/>
  <c r="AZ332" i="36"/>
  <c r="BS332" i="36"/>
  <c r="AW335" i="36"/>
  <c r="BP335" i="36"/>
  <c r="BM338" i="36"/>
  <c r="AT338" i="36"/>
  <c r="BU338" i="36"/>
  <c r="BB338" i="36"/>
  <c r="BR341" i="36"/>
  <c r="AY341" i="36"/>
  <c r="AV344" i="36"/>
  <c r="BO344" i="36"/>
  <c r="AS347" i="36"/>
  <c r="BL347" i="36"/>
  <c r="BA347" i="36"/>
  <c r="BT347" i="36"/>
  <c r="BQ350" i="36"/>
  <c r="AX350" i="36"/>
  <c r="BN353" i="36"/>
  <c r="AU353" i="36"/>
  <c r="AZ356" i="36"/>
  <c r="BS356" i="36"/>
  <c r="BP359" i="36"/>
  <c r="AW359" i="36"/>
  <c r="BM362" i="36"/>
  <c r="AT362" i="36"/>
  <c r="BU362" i="36"/>
  <c r="BB362" i="36"/>
  <c r="BR365" i="36"/>
  <c r="AY365" i="36"/>
  <c r="BO368" i="36"/>
  <c r="AV368" i="36"/>
  <c r="BL371" i="36"/>
  <c r="AS371" i="36"/>
  <c r="BT371" i="36"/>
  <c r="BA371" i="36"/>
  <c r="BQ374" i="36"/>
  <c r="AX374" i="36"/>
  <c r="AU377" i="36"/>
  <c r="BN377" i="36"/>
  <c r="BS380" i="36"/>
  <c r="AZ380" i="36"/>
  <c r="BP383" i="36"/>
  <c r="AW383" i="36"/>
  <c r="BM389" i="36"/>
  <c r="AT389" i="36"/>
  <c r="BU389" i="36"/>
  <c r="BB389" i="36"/>
  <c r="BR392" i="36"/>
  <c r="AY392" i="36"/>
  <c r="AV395" i="36"/>
  <c r="BO395" i="36"/>
  <c r="BL398" i="36"/>
  <c r="AS398" i="36"/>
  <c r="BT398" i="36"/>
  <c r="BA398" i="36"/>
  <c r="BQ401" i="36"/>
  <c r="AX401" i="36"/>
  <c r="AU404" i="36"/>
  <c r="BN404" i="36"/>
  <c r="BS407" i="36"/>
  <c r="AZ407" i="36"/>
  <c r="BP410" i="36"/>
  <c r="AW410" i="36"/>
  <c r="BM413" i="36"/>
  <c r="AT413" i="36"/>
  <c r="BU413" i="36"/>
  <c r="BB413" i="36"/>
  <c r="BR416" i="36"/>
  <c r="AY416" i="36"/>
  <c r="AV419" i="36"/>
  <c r="BO419" i="36"/>
  <c r="BL422" i="36"/>
  <c r="AS422" i="36"/>
  <c r="BT422" i="36"/>
  <c r="BA422" i="36"/>
  <c r="BQ425" i="36"/>
  <c r="AX425" i="36"/>
  <c r="BN428" i="36"/>
  <c r="AU428" i="36"/>
  <c r="BS431" i="36"/>
  <c r="AZ431" i="36"/>
  <c r="BP434" i="36"/>
  <c r="AW434" i="36"/>
  <c r="BM437" i="36"/>
  <c r="AT437" i="36"/>
  <c r="BU437" i="36"/>
  <c r="BB437" i="36"/>
  <c r="BR440" i="36"/>
  <c r="AY440" i="36"/>
  <c r="BO443" i="36"/>
  <c r="AV443" i="36"/>
  <c r="P53" i="98"/>
  <c r="L11" i="90"/>
  <c r="AI18" i="98" s="1"/>
  <c r="CB42" i="90"/>
  <c r="BV68" i="57"/>
  <c r="BV56" i="57" s="1"/>
  <c r="BC56" i="57"/>
  <c r="BV74" i="57"/>
  <c r="BC74" i="57"/>
  <c r="BY77" i="57"/>
  <c r="BF77" i="57"/>
  <c r="BW83" i="57"/>
  <c r="BD83" i="57"/>
  <c r="BZ86" i="57"/>
  <c r="BG86" i="57"/>
  <c r="BX92" i="57"/>
  <c r="BE92" i="57"/>
  <c r="BC98" i="57"/>
  <c r="BV98" i="57"/>
  <c r="BY101" i="57"/>
  <c r="BF101" i="57"/>
  <c r="BW107" i="57"/>
  <c r="BD107" i="57"/>
  <c r="BZ110" i="57"/>
  <c r="BG110" i="57"/>
  <c r="BE116" i="57"/>
  <c r="BX116" i="57"/>
  <c r="BV122" i="57"/>
  <c r="BC122" i="57"/>
  <c r="BY125" i="57"/>
  <c r="BF125" i="57"/>
  <c r="BW131" i="57"/>
  <c r="BD131" i="57"/>
  <c r="BZ134" i="57"/>
  <c r="BG134" i="57"/>
  <c r="BX140" i="57"/>
  <c r="BE140" i="57"/>
  <c r="BV146" i="57"/>
  <c r="BC146" i="57"/>
  <c r="BY149" i="57"/>
  <c r="BF149" i="57"/>
  <c r="BW155" i="57"/>
  <c r="BD155" i="57"/>
  <c r="BZ158" i="57"/>
  <c r="BG158" i="57"/>
  <c r="BX164" i="57"/>
  <c r="BE164" i="57"/>
  <c r="BV170" i="57"/>
  <c r="BC170" i="57"/>
  <c r="BY173" i="57"/>
  <c r="BF173" i="57"/>
  <c r="BD179" i="57"/>
  <c r="BW179" i="57"/>
  <c r="BZ182" i="57"/>
  <c r="BG182" i="57"/>
  <c r="BX188" i="57"/>
  <c r="BE188" i="57"/>
  <c r="BV194" i="57"/>
  <c r="BC194" i="57"/>
  <c r="BY197" i="57"/>
  <c r="BF197" i="57"/>
  <c r="BW203" i="57"/>
  <c r="BD203" i="57"/>
  <c r="BZ206" i="57"/>
  <c r="BG206" i="57"/>
  <c r="BX212" i="57"/>
  <c r="BE212" i="57"/>
  <c r="BV218" i="57"/>
  <c r="BC218" i="57"/>
  <c r="BY221" i="57"/>
  <c r="BF221" i="57"/>
  <c r="BW227" i="57"/>
  <c r="BD227" i="57"/>
  <c r="BZ230" i="57"/>
  <c r="BG230" i="57"/>
  <c r="BX236" i="57"/>
  <c r="BE236" i="57"/>
  <c r="BC242" i="57"/>
  <c r="BV242" i="57"/>
  <c r="BY245" i="57"/>
  <c r="BF245" i="57"/>
  <c r="BW251" i="57"/>
  <c r="BD251" i="57"/>
  <c r="BG254" i="57"/>
  <c r="BZ254" i="57"/>
  <c r="BX260" i="57"/>
  <c r="BE260" i="57"/>
  <c r="BC266" i="57"/>
  <c r="BV266" i="57"/>
  <c r="BY269" i="57"/>
  <c r="BF269" i="57"/>
  <c r="BW275" i="57"/>
  <c r="BD275" i="57"/>
  <c r="BZ278" i="57"/>
  <c r="BG278" i="57"/>
  <c r="BX284" i="57"/>
  <c r="BE284" i="57"/>
  <c r="BV290" i="57"/>
  <c r="BC290" i="57"/>
  <c r="BF293" i="57"/>
  <c r="BY293" i="57"/>
  <c r="BW299" i="57"/>
  <c r="BD299" i="57"/>
  <c r="BZ302" i="57"/>
  <c r="BG302" i="57"/>
  <c r="BX308" i="57"/>
  <c r="BE308" i="57"/>
  <c r="BV314" i="57"/>
  <c r="BC314" i="57"/>
  <c r="BF317" i="57"/>
  <c r="BY317" i="57"/>
  <c r="BW323" i="57"/>
  <c r="BD323" i="57"/>
  <c r="BG326" i="57"/>
  <c r="BZ326" i="57"/>
  <c r="BE332" i="57"/>
  <c r="BX332" i="57"/>
  <c r="BV338" i="57"/>
  <c r="BC338" i="57"/>
  <c r="BY341" i="57"/>
  <c r="BF341" i="57"/>
  <c r="BW347" i="57"/>
  <c r="BD347" i="57"/>
  <c r="BZ350" i="57"/>
  <c r="BG350" i="57"/>
  <c r="BE356" i="57"/>
  <c r="BX356" i="57"/>
  <c r="BC362" i="57"/>
  <c r="BV362" i="57"/>
  <c r="BF365" i="57"/>
  <c r="BY365" i="57"/>
  <c r="BW371" i="57"/>
  <c r="BD371" i="57"/>
  <c r="BZ374" i="57"/>
  <c r="BG374" i="57"/>
  <c r="BX380" i="57"/>
  <c r="BE380" i="57"/>
  <c r="BV386" i="57"/>
  <c r="BC386" i="57"/>
  <c r="BY389" i="57"/>
  <c r="BF389" i="57"/>
  <c r="BD395" i="57"/>
  <c r="BW395" i="57"/>
  <c r="BG398" i="57"/>
  <c r="BZ398" i="57"/>
  <c r="BE404" i="57"/>
  <c r="BX404" i="57"/>
  <c r="BC410" i="57"/>
  <c r="BV410" i="57"/>
  <c r="BY413" i="57"/>
  <c r="BF413" i="57"/>
  <c r="BW419" i="57"/>
  <c r="BD419" i="57"/>
  <c r="BZ422" i="57"/>
  <c r="BG422" i="57"/>
  <c r="BX428" i="57"/>
  <c r="BE428" i="57"/>
  <c r="BV434" i="57"/>
  <c r="BC434" i="57"/>
  <c r="BY437" i="57"/>
  <c r="BF437" i="57"/>
  <c r="BW443" i="57"/>
  <c r="BD443" i="57"/>
  <c r="AF36" i="89"/>
  <c r="AK199" i="86"/>
  <c r="CB58" i="90"/>
  <c r="BQ58" i="90" s="1"/>
  <c r="AI36" i="98"/>
  <c r="CB90" i="90"/>
  <c r="AL22" i="57"/>
  <c r="BV269" i="36"/>
  <c r="BC269" i="36"/>
  <c r="BY272" i="36"/>
  <c r="BF272" i="36"/>
  <c r="BW278" i="36"/>
  <c r="BD278" i="36"/>
  <c r="BZ281" i="36"/>
  <c r="BG281" i="36"/>
  <c r="BE287" i="36"/>
  <c r="BX287" i="36"/>
  <c r="BV293" i="36"/>
  <c r="BC293" i="36"/>
  <c r="BF296" i="36"/>
  <c r="BY296" i="36"/>
  <c r="BW302" i="36"/>
  <c r="BD302" i="36"/>
  <c r="BZ305" i="36"/>
  <c r="BG305" i="36"/>
  <c r="BE311" i="36"/>
  <c r="BX311" i="36"/>
  <c r="BC317" i="36"/>
  <c r="BV317" i="36"/>
  <c r="BY320" i="36"/>
  <c r="BF320" i="36"/>
  <c r="BW326" i="36"/>
  <c r="BD326" i="36"/>
  <c r="BG329" i="36"/>
  <c r="BZ329" i="36"/>
  <c r="BE335" i="36"/>
  <c r="BX335" i="36"/>
  <c r="BC341" i="36"/>
  <c r="BV341" i="36"/>
  <c r="BY344" i="36"/>
  <c r="BF344" i="36"/>
  <c r="BW350" i="36"/>
  <c r="BD350" i="36"/>
  <c r="BG353" i="36"/>
  <c r="BZ353" i="36"/>
  <c r="BX359" i="36"/>
  <c r="BE359" i="36"/>
  <c r="BV365" i="36"/>
  <c r="BC365" i="36"/>
  <c r="BY368" i="36"/>
  <c r="BF368" i="36"/>
  <c r="BW374" i="36"/>
  <c r="BD374" i="36"/>
  <c r="BZ377" i="36"/>
  <c r="BG377" i="36"/>
  <c r="BX383" i="36"/>
  <c r="BE383" i="36"/>
  <c r="BV389" i="36"/>
  <c r="BC389" i="36"/>
  <c r="BY392" i="36"/>
  <c r="BF392" i="36"/>
  <c r="BW398" i="36"/>
  <c r="BD398" i="36"/>
  <c r="BZ401" i="36"/>
  <c r="BG401" i="36"/>
  <c r="BX407" i="36"/>
  <c r="BE407" i="36"/>
  <c r="BV413" i="36"/>
  <c r="BC413" i="36"/>
  <c r="BY416" i="36"/>
  <c r="BF416" i="36"/>
  <c r="BW422" i="36"/>
  <c r="BD422" i="36"/>
  <c r="BZ425" i="36"/>
  <c r="BG425" i="36"/>
  <c r="BX431" i="36"/>
  <c r="BE431" i="36"/>
  <c r="BV437" i="36"/>
  <c r="BC437" i="36"/>
  <c r="BY440" i="36"/>
  <c r="BF440" i="36"/>
  <c r="BY68" i="36"/>
  <c r="BY56" i="36" s="1"/>
  <c r="BF56" i="36"/>
  <c r="BW269" i="36"/>
  <c r="BD269" i="36"/>
  <c r="BZ272" i="36"/>
  <c r="BG272" i="36"/>
  <c r="BX278" i="36"/>
  <c r="BE278" i="36"/>
  <c r="BV284" i="36"/>
  <c r="BC284" i="36"/>
  <c r="BY287" i="36"/>
  <c r="BF287" i="36"/>
  <c r="BW293" i="36"/>
  <c r="BD293" i="36"/>
  <c r="BG296" i="36"/>
  <c r="BZ296" i="36"/>
  <c r="BX302" i="36"/>
  <c r="BE302" i="36"/>
  <c r="BV308" i="36"/>
  <c r="BC308" i="36"/>
  <c r="BY311" i="36"/>
  <c r="BF311" i="36"/>
  <c r="BW317" i="36"/>
  <c r="BD317" i="36"/>
  <c r="BZ320" i="36"/>
  <c r="BG320" i="36"/>
  <c r="BX326" i="36"/>
  <c r="BE326" i="36"/>
  <c r="BV332" i="36"/>
  <c r="BC332" i="36"/>
  <c r="BY335" i="36"/>
  <c r="BF335" i="36"/>
  <c r="BW341" i="36"/>
  <c r="BD341" i="36"/>
  <c r="BZ344" i="36"/>
  <c r="BG344" i="36"/>
  <c r="BX350" i="36"/>
  <c r="BE350" i="36"/>
  <c r="BV356" i="36"/>
  <c r="BC356" i="36"/>
  <c r="BY359" i="36"/>
  <c r="BF359" i="36"/>
  <c r="BW365" i="36"/>
  <c r="BD365" i="36"/>
  <c r="BZ368" i="36"/>
  <c r="BG368" i="36"/>
  <c r="BX374" i="36"/>
  <c r="BE374" i="36"/>
  <c r="BC380" i="36"/>
  <c r="BV380" i="36"/>
  <c r="BY383" i="36"/>
  <c r="BF383" i="36"/>
  <c r="BW389" i="36"/>
  <c r="BD389" i="36"/>
  <c r="BZ392" i="36"/>
  <c r="BG392" i="36"/>
  <c r="BX398" i="36"/>
  <c r="BE398" i="36"/>
  <c r="BC404" i="36"/>
  <c r="BV404" i="36"/>
  <c r="BY407" i="36"/>
  <c r="BF407" i="36"/>
  <c r="BW413" i="36"/>
  <c r="BD413" i="36"/>
  <c r="BZ416" i="36"/>
  <c r="BG416" i="36"/>
  <c r="BX422" i="36"/>
  <c r="BE422" i="36"/>
  <c r="BV428" i="36"/>
  <c r="BC428" i="36"/>
  <c r="BY431" i="36"/>
  <c r="BF431" i="36"/>
  <c r="BW437" i="36"/>
  <c r="BD437" i="36"/>
  <c r="BZ440" i="36"/>
  <c r="BG440" i="36"/>
  <c r="BE56" i="57"/>
  <c r="BX68" i="57"/>
  <c r="BX56" i="57" s="1"/>
  <c r="BY71" i="57"/>
  <c r="BF71" i="57"/>
  <c r="BW77" i="57"/>
  <c r="BD77" i="57"/>
  <c r="BZ80" i="57"/>
  <c r="BG80" i="57"/>
  <c r="BE86" i="57"/>
  <c r="BX86" i="57"/>
  <c r="BV92" i="57"/>
  <c r="BC92" i="57"/>
  <c r="BY95" i="57"/>
  <c r="BF95" i="57"/>
  <c r="BW101" i="57"/>
  <c r="BD101" i="57"/>
  <c r="BZ104" i="57"/>
  <c r="BG104" i="57"/>
  <c r="BX110" i="57"/>
  <c r="BE110" i="57"/>
  <c r="BV116" i="57"/>
  <c r="BC116" i="57"/>
  <c r="BY119" i="57"/>
  <c r="BF119" i="57"/>
  <c r="BW125" i="57"/>
  <c r="BD125" i="57"/>
  <c r="BZ128" i="57"/>
  <c r="BG128" i="57"/>
  <c r="BX134" i="57"/>
  <c r="BE134" i="57"/>
  <c r="BV140" i="57"/>
  <c r="BC140" i="57"/>
  <c r="BY143" i="57"/>
  <c r="BF143" i="57"/>
  <c r="BW149" i="57"/>
  <c r="BD149" i="57"/>
  <c r="BZ152" i="57"/>
  <c r="BG152" i="57"/>
  <c r="BX158" i="57"/>
  <c r="BE158" i="57"/>
  <c r="BV164" i="57"/>
  <c r="BC164" i="57"/>
  <c r="BY167" i="57"/>
  <c r="BF167" i="57"/>
  <c r="BW173" i="57"/>
  <c r="BD173" i="57"/>
  <c r="BZ176" i="57"/>
  <c r="BG176" i="57"/>
  <c r="BX182" i="57"/>
  <c r="BE182" i="57"/>
  <c r="BV188" i="57"/>
  <c r="BC188" i="57"/>
  <c r="BY191" i="57"/>
  <c r="BF191" i="57"/>
  <c r="BW197" i="57"/>
  <c r="BD197" i="57"/>
  <c r="BZ200" i="57"/>
  <c r="BG200" i="57"/>
  <c r="BX206" i="57"/>
  <c r="BE206" i="57"/>
  <c r="BV212" i="57"/>
  <c r="BC212" i="57"/>
  <c r="BY215" i="57"/>
  <c r="BF215" i="57"/>
  <c r="BW221" i="57"/>
  <c r="BD221" i="57"/>
  <c r="BG224" i="57"/>
  <c r="BZ224" i="57"/>
  <c r="BX230" i="57"/>
  <c r="BE230" i="57"/>
  <c r="BC236" i="57"/>
  <c r="BV236" i="57"/>
  <c r="BY239" i="57"/>
  <c r="BF239" i="57"/>
  <c r="BD245" i="57"/>
  <c r="BW245" i="57"/>
  <c r="BZ248" i="57"/>
  <c r="BG248" i="57"/>
  <c r="BX254" i="57"/>
  <c r="BE254" i="57"/>
  <c r="BV260" i="57"/>
  <c r="BC260" i="57"/>
  <c r="BY263" i="57"/>
  <c r="BF263" i="57"/>
  <c r="BD269" i="57"/>
  <c r="BW269" i="57"/>
  <c r="BZ272" i="57"/>
  <c r="BG272" i="57"/>
  <c r="BE278" i="57"/>
  <c r="BX278" i="57"/>
  <c r="BV284" i="57"/>
  <c r="BC284" i="57"/>
  <c r="BY287" i="57"/>
  <c r="BF287" i="57"/>
  <c r="BW293" i="57"/>
  <c r="BD293" i="57"/>
  <c r="BZ296" i="57"/>
  <c r="BG296" i="57"/>
  <c r="BE302" i="57"/>
  <c r="BX302" i="57"/>
  <c r="BV308" i="57"/>
  <c r="BC308" i="57"/>
  <c r="BY311" i="57"/>
  <c r="BF311" i="57"/>
  <c r="BW317" i="57"/>
  <c r="BD317" i="57"/>
  <c r="BZ320" i="57"/>
  <c r="BG320" i="57"/>
  <c r="BE326" i="57"/>
  <c r="BX326" i="57"/>
  <c r="BC332" i="57"/>
  <c r="BV332" i="57"/>
  <c r="BY335" i="57"/>
  <c r="BF335" i="57"/>
  <c r="BW341" i="57"/>
  <c r="BD341" i="57"/>
  <c r="BZ344" i="57"/>
  <c r="BG344" i="57"/>
  <c r="BX350" i="57"/>
  <c r="BE350" i="57"/>
  <c r="BV356" i="57"/>
  <c r="BC356" i="57"/>
  <c r="BF359" i="57"/>
  <c r="BY359" i="57"/>
  <c r="BW365" i="57"/>
  <c r="BD365" i="57"/>
  <c r="BG368" i="57"/>
  <c r="BZ368" i="57"/>
  <c r="BX374" i="57"/>
  <c r="BE374" i="57"/>
  <c r="BC380" i="57"/>
  <c r="BV380" i="57"/>
  <c r="BY383" i="57"/>
  <c r="BF383" i="57"/>
  <c r="BW389" i="57"/>
  <c r="BD389" i="57"/>
  <c r="BZ392" i="57"/>
  <c r="BG392" i="57"/>
  <c r="BE398" i="57"/>
  <c r="BX398" i="57"/>
  <c r="BV404" i="57"/>
  <c r="BC404" i="57"/>
  <c r="BF407" i="57"/>
  <c r="BY407" i="57"/>
  <c r="BW413" i="57"/>
  <c r="BD413" i="57"/>
  <c r="BZ416" i="57"/>
  <c r="BG416" i="57"/>
  <c r="BE422" i="57"/>
  <c r="BX422" i="57"/>
  <c r="BC428" i="57"/>
  <c r="BV428" i="57"/>
  <c r="BY431" i="57"/>
  <c r="BF431" i="57"/>
  <c r="BW437" i="57"/>
  <c r="BD437" i="57"/>
  <c r="BZ440" i="57"/>
  <c r="BG440" i="57"/>
  <c r="E127" i="112"/>
  <c r="AG93" i="89"/>
  <c r="D36" i="115"/>
  <c r="D37" i="115" s="1"/>
  <c r="BL110" i="36"/>
  <c r="AS110" i="36"/>
  <c r="BT110" i="36"/>
  <c r="BA110" i="36"/>
  <c r="BL113" i="36"/>
  <c r="AS113" i="36"/>
  <c r="BT113" i="36"/>
  <c r="BA113" i="36"/>
  <c r="BL134" i="36"/>
  <c r="AS134" i="36"/>
  <c r="BT134" i="36"/>
  <c r="BA134" i="36"/>
  <c r="BL137" i="36"/>
  <c r="AS137" i="36"/>
  <c r="BT137" i="36"/>
  <c r="BA137" i="36"/>
  <c r="BL140" i="36"/>
  <c r="AS140" i="36"/>
  <c r="BT140" i="36"/>
  <c r="BA140" i="36"/>
  <c r="BL143" i="36"/>
  <c r="AS143" i="36"/>
  <c r="BT143" i="36"/>
  <c r="BA143" i="36"/>
  <c r="BL146" i="36"/>
  <c r="AS146" i="36"/>
  <c r="BT146" i="36"/>
  <c r="BA146" i="36"/>
  <c r="BL149" i="36"/>
  <c r="AS149" i="36"/>
  <c r="BT149" i="36"/>
  <c r="BA149" i="36"/>
  <c r="BL152" i="36"/>
  <c r="AS152" i="36"/>
  <c r="BT152" i="36"/>
  <c r="BA152" i="36"/>
  <c r="BL155" i="36"/>
  <c r="AS155" i="36"/>
  <c r="BT155" i="36"/>
  <c r="BA155" i="36"/>
  <c r="BL158" i="36"/>
  <c r="AS158" i="36"/>
  <c r="BT158" i="36"/>
  <c r="BA158" i="36"/>
  <c r="BL161" i="36"/>
  <c r="AS161" i="36"/>
  <c r="BT161" i="36"/>
  <c r="BA161" i="36"/>
  <c r="BL164" i="36"/>
  <c r="AS164" i="36"/>
  <c r="BT164" i="36"/>
  <c r="BA164" i="36"/>
  <c r="BL167" i="36"/>
  <c r="AS167" i="36"/>
  <c r="BT167" i="36"/>
  <c r="BA167" i="36"/>
  <c r="BL170" i="36"/>
  <c r="AS170" i="36"/>
  <c r="BT170" i="36"/>
  <c r="BA170" i="36"/>
  <c r="BL173" i="36"/>
  <c r="AS173" i="36"/>
  <c r="BT173" i="36"/>
  <c r="BA173" i="36"/>
  <c r="BL176" i="36"/>
  <c r="AS176" i="36"/>
  <c r="BT176" i="36"/>
  <c r="BA176" i="36"/>
  <c r="BL179" i="36"/>
  <c r="AS179" i="36"/>
  <c r="BT179" i="36"/>
  <c r="BA179" i="36"/>
  <c r="BL182" i="36"/>
  <c r="AS182" i="36"/>
  <c r="BT182" i="36"/>
  <c r="BA182" i="36"/>
  <c r="BL185" i="36"/>
  <c r="AS185" i="36"/>
  <c r="BT185" i="36"/>
  <c r="BA185" i="36"/>
  <c r="BL188" i="36"/>
  <c r="AS188" i="36"/>
  <c r="BT188" i="36"/>
  <c r="BA188" i="36"/>
  <c r="BL191" i="36"/>
  <c r="AS191" i="36"/>
  <c r="BT191" i="36"/>
  <c r="BA191" i="36"/>
  <c r="BL194" i="36"/>
  <c r="AS194" i="36"/>
  <c r="BT194" i="36"/>
  <c r="BA194" i="36"/>
  <c r="BL197" i="36"/>
  <c r="AS197" i="36"/>
  <c r="BT197" i="36"/>
  <c r="BA197" i="36"/>
  <c r="BL200" i="36"/>
  <c r="AS200" i="36"/>
  <c r="BT200" i="36"/>
  <c r="BA200" i="36"/>
  <c r="BL203" i="36"/>
  <c r="AS203" i="36"/>
  <c r="BT203" i="36"/>
  <c r="BA203" i="36"/>
  <c r="BL206" i="36"/>
  <c r="AS206" i="36"/>
  <c r="BT206" i="36"/>
  <c r="BA206" i="36"/>
  <c r="BL209" i="36"/>
  <c r="AS209" i="36"/>
  <c r="BT209" i="36"/>
  <c r="BA209" i="36"/>
  <c r="BL212" i="36"/>
  <c r="AS212" i="36"/>
  <c r="BT212" i="36"/>
  <c r="BA212" i="36"/>
  <c r="BL215" i="36"/>
  <c r="AS215" i="36"/>
  <c r="BT215" i="36"/>
  <c r="BA215" i="36"/>
  <c r="BL218" i="36"/>
  <c r="AS218" i="36"/>
  <c r="BT218" i="36"/>
  <c r="BA218" i="36"/>
  <c r="BL221" i="36"/>
  <c r="AS221" i="36"/>
  <c r="BT221" i="36"/>
  <c r="BA221" i="36"/>
  <c r="AS224" i="36"/>
  <c r="BL224" i="36"/>
  <c r="BA224" i="36"/>
  <c r="BT224" i="36"/>
  <c r="BL227" i="36"/>
  <c r="AS227" i="36"/>
  <c r="BT227" i="36"/>
  <c r="BA227" i="36"/>
  <c r="BL230" i="36"/>
  <c r="AS230" i="36"/>
  <c r="BT230" i="36"/>
  <c r="BA230" i="36"/>
  <c r="AS233" i="36"/>
  <c r="BL233" i="36"/>
  <c r="BA233" i="36"/>
  <c r="BT233" i="36"/>
  <c r="BL236" i="36"/>
  <c r="AS236" i="36"/>
  <c r="BT236" i="36"/>
  <c r="BA236" i="36"/>
  <c r="BL239" i="36"/>
  <c r="AS239" i="36"/>
  <c r="BT239" i="36"/>
  <c r="BA239" i="36"/>
  <c r="BL242" i="36"/>
  <c r="AS242" i="36"/>
  <c r="BT242" i="36"/>
  <c r="BA242" i="36"/>
  <c r="AS245" i="36"/>
  <c r="BL245" i="36"/>
  <c r="BA245" i="36"/>
  <c r="BT245" i="36"/>
  <c r="BL248" i="36"/>
  <c r="AS248" i="36"/>
  <c r="BT248" i="36"/>
  <c r="BA248" i="36"/>
  <c r="BL251" i="36"/>
  <c r="AS251" i="36"/>
  <c r="BT251" i="36"/>
  <c r="BA251" i="36"/>
  <c r="BL254" i="36"/>
  <c r="AS254" i="36"/>
  <c r="BT254" i="36"/>
  <c r="BA254" i="36"/>
  <c r="AS257" i="36"/>
  <c r="BL257" i="36"/>
  <c r="BT257" i="36"/>
  <c r="BA257" i="36"/>
  <c r="BL260" i="36"/>
  <c r="AS260" i="36"/>
  <c r="BT260" i="36"/>
  <c r="BA260" i="36"/>
  <c r="BL263" i="36"/>
  <c r="AS263" i="36"/>
  <c r="BT263" i="36"/>
  <c r="BA263" i="36"/>
  <c r="BX269" i="36"/>
  <c r="BE269" i="36"/>
  <c r="BV275" i="36"/>
  <c r="BC275" i="36"/>
  <c r="BY278" i="36"/>
  <c r="BF278" i="36"/>
  <c r="BW284" i="36"/>
  <c r="BD284" i="36"/>
  <c r="BZ287" i="36"/>
  <c r="BG287" i="36"/>
  <c r="BX293" i="36"/>
  <c r="BE293" i="36"/>
  <c r="BV299" i="36"/>
  <c r="BC299" i="36"/>
  <c r="BY302" i="36"/>
  <c r="BF302" i="36"/>
  <c r="BD308" i="36"/>
  <c r="BW308" i="36"/>
  <c r="BG311" i="36"/>
  <c r="BZ311" i="36"/>
  <c r="BE317" i="36"/>
  <c r="BX317" i="36"/>
  <c r="BC323" i="36"/>
  <c r="BV323" i="36"/>
  <c r="BY326" i="36"/>
  <c r="BF326" i="36"/>
  <c r="BW332" i="36"/>
  <c r="BD332" i="36"/>
  <c r="BG335" i="36"/>
  <c r="BZ335" i="36"/>
  <c r="BE341" i="36"/>
  <c r="BX341" i="36"/>
  <c r="BC347" i="36"/>
  <c r="BV347" i="36"/>
  <c r="BY350" i="36"/>
  <c r="BF350" i="36"/>
  <c r="BW356" i="36"/>
  <c r="BD356" i="36"/>
  <c r="BZ359" i="36"/>
  <c r="BG359" i="36"/>
  <c r="BX365" i="36"/>
  <c r="BE365" i="36"/>
  <c r="BV371" i="36"/>
  <c r="BC371" i="36"/>
  <c r="BY374" i="36"/>
  <c r="BF374" i="36"/>
  <c r="BW380" i="36"/>
  <c r="BD380" i="36"/>
  <c r="BZ383" i="36"/>
  <c r="BG383" i="36"/>
  <c r="BX389" i="36"/>
  <c r="BE389" i="36"/>
  <c r="BV395" i="36"/>
  <c r="BC395" i="36"/>
  <c r="BY398" i="36"/>
  <c r="BF398" i="36"/>
  <c r="BW404" i="36"/>
  <c r="BD404" i="36"/>
  <c r="BZ407" i="36"/>
  <c r="BG407" i="36"/>
  <c r="BX413" i="36"/>
  <c r="BE413" i="36"/>
  <c r="BV419" i="36"/>
  <c r="BC419" i="36"/>
  <c r="BF422" i="36"/>
  <c r="BY422" i="36"/>
  <c r="BW428" i="36"/>
  <c r="BD428" i="36"/>
  <c r="BZ431" i="36"/>
  <c r="BG431" i="36"/>
  <c r="BX437" i="36"/>
  <c r="BE437" i="36"/>
  <c r="BV443" i="36"/>
  <c r="BC443" i="36"/>
  <c r="BZ71" i="57"/>
  <c r="BG71" i="57"/>
  <c r="BX77" i="57"/>
  <c r="BE77" i="57"/>
  <c r="BV83" i="57"/>
  <c r="BC83" i="57"/>
  <c r="BY86" i="57"/>
  <c r="BF86" i="57"/>
  <c r="BW92" i="57"/>
  <c r="BD92" i="57"/>
  <c r="BZ95" i="57"/>
  <c r="BG95" i="57"/>
  <c r="BX101" i="57"/>
  <c r="BE101" i="57"/>
  <c r="BV107" i="57"/>
  <c r="BC107" i="57"/>
  <c r="BF110" i="57"/>
  <c r="BY110" i="57"/>
  <c r="BD116" i="57"/>
  <c r="BW116" i="57"/>
  <c r="BZ119" i="57"/>
  <c r="BG119" i="57"/>
  <c r="BX125" i="57"/>
  <c r="BE125" i="57"/>
  <c r="BV131" i="57"/>
  <c r="BC131" i="57"/>
  <c r="BF134" i="57"/>
  <c r="BY134" i="57"/>
  <c r="BD140" i="57"/>
  <c r="BW140" i="57"/>
  <c r="BZ143" i="57"/>
  <c r="BG143" i="57"/>
  <c r="BX149" i="57"/>
  <c r="BE149" i="57"/>
  <c r="BV155" i="57"/>
  <c r="BC155" i="57"/>
  <c r="BF158" i="57"/>
  <c r="BY158" i="57"/>
  <c r="BD164" i="57"/>
  <c r="BW164" i="57"/>
  <c r="BZ167" i="57"/>
  <c r="BG167" i="57"/>
  <c r="BX173" i="57"/>
  <c r="BE173" i="57"/>
  <c r="BV179" i="57"/>
  <c r="BC179" i="57"/>
  <c r="BF182" i="57"/>
  <c r="BY182" i="57"/>
  <c r="BD188" i="57"/>
  <c r="BW188" i="57"/>
  <c r="BZ191" i="57"/>
  <c r="BG191" i="57"/>
  <c r="BX197" i="57"/>
  <c r="BE197" i="57"/>
  <c r="BC203" i="57"/>
  <c r="BV203" i="57"/>
  <c r="BF206" i="57"/>
  <c r="BY206" i="57"/>
  <c r="BW212" i="57"/>
  <c r="BD212" i="57"/>
  <c r="BZ215" i="57"/>
  <c r="BG215" i="57"/>
  <c r="BX221" i="57"/>
  <c r="BE221" i="57"/>
  <c r="BV227" i="57"/>
  <c r="BC227" i="57"/>
  <c r="BY230" i="57"/>
  <c r="BF230" i="57"/>
  <c r="BW236" i="57"/>
  <c r="BD236" i="57"/>
  <c r="BZ239" i="57"/>
  <c r="BG239" i="57"/>
  <c r="BX245" i="57"/>
  <c r="BE245" i="57"/>
  <c r="BV251" i="57"/>
  <c r="BC251" i="57"/>
  <c r="BY254" i="57"/>
  <c r="BF254" i="57"/>
  <c r="BD260" i="57"/>
  <c r="BW260" i="57"/>
  <c r="BZ263" i="57"/>
  <c r="BG263" i="57"/>
  <c r="BE269" i="57"/>
  <c r="BX269" i="57"/>
  <c r="BV275" i="57"/>
  <c r="BC275" i="57"/>
  <c r="BF278" i="57"/>
  <c r="BY278" i="57"/>
  <c r="BW284" i="57"/>
  <c r="BD284" i="57"/>
  <c r="BZ287" i="57"/>
  <c r="BG287" i="57"/>
  <c r="BX293" i="57"/>
  <c r="BE293" i="57"/>
  <c r="BV299" i="57"/>
  <c r="BC299" i="57"/>
  <c r="BY302" i="57"/>
  <c r="BF302" i="57"/>
  <c r="BW308" i="57"/>
  <c r="BD308" i="57"/>
  <c r="BZ311" i="57"/>
  <c r="BG311" i="57"/>
  <c r="BX317" i="57"/>
  <c r="BE317" i="57"/>
  <c r="BV323" i="57"/>
  <c r="BC323" i="57"/>
  <c r="BY326" i="57"/>
  <c r="BF326" i="57"/>
  <c r="BD332" i="57"/>
  <c r="BW332" i="57"/>
  <c r="BG335" i="57"/>
  <c r="BZ335" i="57"/>
  <c r="BE341" i="57"/>
  <c r="BX341" i="57"/>
  <c r="BV347" i="57"/>
  <c r="BC347" i="57"/>
  <c r="BY350" i="57"/>
  <c r="BF350" i="57"/>
  <c r="BW356" i="57"/>
  <c r="BD356" i="57"/>
  <c r="BZ359" i="57"/>
  <c r="BG359" i="57"/>
  <c r="BX365" i="57"/>
  <c r="BE365" i="57"/>
  <c r="BV371" i="57"/>
  <c r="BC371" i="57"/>
  <c r="BY374" i="57"/>
  <c r="BF374" i="57"/>
  <c r="BW380" i="57"/>
  <c r="BD380" i="57"/>
  <c r="BG383" i="57"/>
  <c r="BZ383" i="57"/>
  <c r="BX389" i="57"/>
  <c r="BE389" i="57"/>
  <c r="BC395" i="57"/>
  <c r="BV395" i="57"/>
  <c r="BF398" i="57"/>
  <c r="BY398" i="57"/>
  <c r="BD404" i="57"/>
  <c r="BW404" i="57"/>
  <c r="BG407" i="57"/>
  <c r="BZ407" i="57"/>
  <c r="BX413" i="57"/>
  <c r="BE413" i="57"/>
  <c r="BV419" i="57"/>
  <c r="BC419" i="57"/>
  <c r="BY422" i="57"/>
  <c r="BF422" i="57"/>
  <c r="BD428" i="57"/>
  <c r="BW428" i="57"/>
  <c r="BZ431" i="57"/>
  <c r="BG431" i="57"/>
  <c r="BE437" i="57"/>
  <c r="BX437" i="57"/>
  <c r="BV443" i="57"/>
  <c r="BC443" i="57"/>
  <c r="F21" i="115"/>
  <c r="BM110" i="36"/>
  <c r="AT110" i="36"/>
  <c r="BU110" i="36"/>
  <c r="BB110" i="36"/>
  <c r="BM113" i="36"/>
  <c r="AT113" i="36"/>
  <c r="BB113" i="36"/>
  <c r="BU113" i="36"/>
  <c r="BM134" i="36"/>
  <c r="AT134" i="36"/>
  <c r="BU134" i="36"/>
  <c r="BB134" i="36"/>
  <c r="BM137" i="36"/>
  <c r="AT137" i="36"/>
  <c r="BU137" i="36"/>
  <c r="BB137" i="36"/>
  <c r="BM140" i="36"/>
  <c r="AT140" i="36"/>
  <c r="BU140" i="36"/>
  <c r="BB140" i="36"/>
  <c r="BM143" i="36"/>
  <c r="AT143" i="36"/>
  <c r="BU143" i="36"/>
  <c r="BB143" i="36"/>
  <c r="BM146" i="36"/>
  <c r="AT146" i="36"/>
  <c r="BU146" i="36"/>
  <c r="BB146" i="36"/>
  <c r="BM149" i="36"/>
  <c r="AT149" i="36"/>
  <c r="BU149" i="36"/>
  <c r="BB149" i="36"/>
  <c r="BM152" i="36"/>
  <c r="AT152" i="36"/>
  <c r="BU152" i="36"/>
  <c r="BB152" i="36"/>
  <c r="BM155" i="36"/>
  <c r="AT155" i="36"/>
  <c r="BU155" i="36"/>
  <c r="BB155" i="36"/>
  <c r="BM158" i="36"/>
  <c r="AT158" i="36"/>
  <c r="BU158" i="36"/>
  <c r="BB158" i="36"/>
  <c r="BM161" i="36"/>
  <c r="AT161" i="36"/>
  <c r="BU161" i="36"/>
  <c r="BB161" i="36"/>
  <c r="BM164" i="36"/>
  <c r="AT164" i="36"/>
  <c r="BU164" i="36"/>
  <c r="BB164" i="36"/>
  <c r="AT167" i="36"/>
  <c r="BM167" i="36"/>
  <c r="BB167" i="36"/>
  <c r="BU167" i="36"/>
  <c r="BM170" i="36"/>
  <c r="AT170" i="36"/>
  <c r="BU170" i="36"/>
  <c r="BB170" i="36"/>
  <c r="BM173" i="36"/>
  <c r="AT173" i="36"/>
  <c r="BU173" i="36"/>
  <c r="BB173" i="36"/>
  <c r="BM176" i="36"/>
  <c r="AT176" i="36"/>
  <c r="BU176" i="36"/>
  <c r="BB176" i="36"/>
  <c r="BM179" i="36"/>
  <c r="AT179" i="36"/>
  <c r="BU179" i="36"/>
  <c r="BB179" i="36"/>
  <c r="BM182" i="36"/>
  <c r="AT182" i="36"/>
  <c r="BU182" i="36"/>
  <c r="BB182" i="36"/>
  <c r="BM185" i="36"/>
  <c r="AT185" i="36"/>
  <c r="BU185" i="36"/>
  <c r="BB185" i="36"/>
  <c r="BM188" i="36"/>
  <c r="AT188" i="36"/>
  <c r="BU188" i="36"/>
  <c r="BB188" i="36"/>
  <c r="BM191" i="36"/>
  <c r="AT191" i="36"/>
  <c r="BU191" i="36"/>
  <c r="BB191" i="36"/>
  <c r="BM194" i="36"/>
  <c r="AT194" i="36"/>
  <c r="BU194" i="36"/>
  <c r="BB194" i="36"/>
  <c r="BM197" i="36"/>
  <c r="AT197" i="36"/>
  <c r="BU197" i="36"/>
  <c r="BB197" i="36"/>
  <c r="BM200" i="36"/>
  <c r="AT200" i="36"/>
  <c r="BU200" i="36"/>
  <c r="BB200" i="36"/>
  <c r="BM203" i="36"/>
  <c r="AT203" i="36"/>
  <c r="BU203" i="36"/>
  <c r="BB203" i="36"/>
  <c r="BM206" i="36"/>
  <c r="AT206" i="36"/>
  <c r="BU206" i="36"/>
  <c r="BB206" i="36"/>
  <c r="BM209" i="36"/>
  <c r="AT209" i="36"/>
  <c r="BU209" i="36"/>
  <c r="BB209" i="36"/>
  <c r="BM212" i="36"/>
  <c r="AT212" i="36"/>
  <c r="BU212" i="36"/>
  <c r="BB212" i="36"/>
  <c r="AT215" i="36"/>
  <c r="BM215" i="36"/>
  <c r="BB215" i="36"/>
  <c r="BU215" i="36"/>
  <c r="AT218" i="36"/>
  <c r="BM218" i="36"/>
  <c r="BU218" i="36"/>
  <c r="BB218" i="36"/>
  <c r="AT221" i="36"/>
  <c r="BM221" i="36"/>
  <c r="BB221" i="36"/>
  <c r="BU221" i="36"/>
  <c r="BM224" i="36"/>
  <c r="AT224" i="36"/>
  <c r="BU224" i="36"/>
  <c r="BB224" i="36"/>
  <c r="BM227" i="36"/>
  <c r="AT227" i="36"/>
  <c r="BU227" i="36"/>
  <c r="BB227" i="36"/>
  <c r="BM230" i="36"/>
  <c r="AT230" i="36"/>
  <c r="BU230" i="36"/>
  <c r="BB230" i="36"/>
  <c r="AT233" i="36"/>
  <c r="BM233" i="36"/>
  <c r="BB233" i="36"/>
  <c r="BU233" i="36"/>
  <c r="BM236" i="36"/>
  <c r="AT236" i="36"/>
  <c r="BU236" i="36"/>
  <c r="BB236" i="36"/>
  <c r="BM239" i="36"/>
  <c r="AT239" i="36"/>
  <c r="BU239" i="36"/>
  <c r="BB239" i="36"/>
  <c r="BM242" i="36"/>
  <c r="AT242" i="36"/>
  <c r="BU242" i="36"/>
  <c r="BB242" i="36"/>
  <c r="AT245" i="36"/>
  <c r="BM245" i="36"/>
  <c r="BU245" i="36"/>
  <c r="BB245" i="36"/>
  <c r="BM248" i="36"/>
  <c r="AT248" i="36"/>
  <c r="BU248" i="36"/>
  <c r="BB248" i="36"/>
  <c r="BM251" i="36"/>
  <c r="AT251" i="36"/>
  <c r="BU251" i="36"/>
  <c r="BB251" i="36"/>
  <c r="BM254" i="36"/>
  <c r="AT254" i="36"/>
  <c r="BU254" i="36"/>
  <c r="BB254" i="36"/>
  <c r="AT257" i="36"/>
  <c r="BM257" i="36"/>
  <c r="BU257" i="36"/>
  <c r="BB257" i="36"/>
  <c r="BM260" i="36"/>
  <c r="AT260" i="36"/>
  <c r="BU260" i="36"/>
  <c r="BB260" i="36"/>
  <c r="BM263" i="36"/>
  <c r="AT263" i="36"/>
  <c r="BU263" i="36"/>
  <c r="BB263" i="36"/>
  <c r="BN110" i="36"/>
  <c r="AU110" i="36"/>
  <c r="BV110" i="36"/>
  <c r="BC110" i="36"/>
  <c r="BN113" i="36"/>
  <c r="AU113" i="36"/>
  <c r="BV113" i="36"/>
  <c r="BC113" i="36"/>
  <c r="BN134" i="36"/>
  <c r="AU134" i="36"/>
  <c r="BV134" i="36"/>
  <c r="BC134" i="36"/>
  <c r="BN137" i="36"/>
  <c r="AU137" i="36"/>
  <c r="BV137" i="36"/>
  <c r="BC137" i="36"/>
  <c r="BN140" i="36"/>
  <c r="AU140" i="36"/>
  <c r="BV140" i="36"/>
  <c r="BC140" i="36"/>
  <c r="BN143" i="36"/>
  <c r="AU143" i="36"/>
  <c r="BV143" i="36"/>
  <c r="BC143" i="36"/>
  <c r="BN146" i="36"/>
  <c r="AU146" i="36"/>
  <c r="BV146" i="36"/>
  <c r="BC146" i="36"/>
  <c r="BN149" i="36"/>
  <c r="AU149" i="36"/>
  <c r="BV149" i="36"/>
  <c r="BC149" i="36"/>
  <c r="BN152" i="36"/>
  <c r="AU152" i="36"/>
  <c r="BV152" i="36"/>
  <c r="BC152" i="36"/>
  <c r="BN155" i="36"/>
  <c r="AU155" i="36"/>
  <c r="BV155" i="36"/>
  <c r="BC155" i="36"/>
  <c r="BN158" i="36"/>
  <c r="AU158" i="36"/>
  <c r="BV158" i="36"/>
  <c r="BC158" i="36"/>
  <c r="BN161" i="36"/>
  <c r="AU161" i="36"/>
  <c r="BV161" i="36"/>
  <c r="BC161" i="36"/>
  <c r="BN164" i="36"/>
  <c r="AU164" i="36"/>
  <c r="BV164" i="36"/>
  <c r="BC164" i="36"/>
  <c r="BN167" i="36"/>
  <c r="AU167" i="36"/>
  <c r="BV167" i="36"/>
  <c r="BC167" i="36"/>
  <c r="BN170" i="36"/>
  <c r="AU170" i="36"/>
  <c r="BV170" i="36"/>
  <c r="BC170" i="36"/>
  <c r="BN173" i="36"/>
  <c r="AU173" i="36"/>
  <c r="BV173" i="36"/>
  <c r="BC173" i="36"/>
  <c r="BN176" i="36"/>
  <c r="AU176" i="36"/>
  <c r="BV176" i="36"/>
  <c r="BC176" i="36"/>
  <c r="BN179" i="36"/>
  <c r="AU179" i="36"/>
  <c r="BV179" i="36"/>
  <c r="BC179" i="36"/>
  <c r="BN182" i="36"/>
  <c r="AU182" i="36"/>
  <c r="BV182" i="36"/>
  <c r="BC182" i="36"/>
  <c r="BN185" i="36"/>
  <c r="AU185" i="36"/>
  <c r="BV185" i="36"/>
  <c r="BC185" i="36"/>
  <c r="BN188" i="36"/>
  <c r="AU188" i="36"/>
  <c r="BV188" i="36"/>
  <c r="BC188" i="36"/>
  <c r="BN191" i="36"/>
  <c r="AU191" i="36"/>
  <c r="BV191" i="36"/>
  <c r="BC191" i="36"/>
  <c r="BN194" i="36"/>
  <c r="AU194" i="36"/>
  <c r="BV194" i="36"/>
  <c r="BC194" i="36"/>
  <c r="BN197" i="36"/>
  <c r="AU197" i="36"/>
  <c r="BV197" i="36"/>
  <c r="BC197" i="36"/>
  <c r="BN200" i="36"/>
  <c r="AU200" i="36"/>
  <c r="BV200" i="36"/>
  <c r="BC200" i="36"/>
  <c r="BN203" i="36"/>
  <c r="AU203" i="36"/>
  <c r="BV203" i="36"/>
  <c r="BC203" i="36"/>
  <c r="BN206" i="36"/>
  <c r="AU206" i="36"/>
  <c r="BV206" i="36"/>
  <c r="BC206" i="36"/>
  <c r="BN209" i="36"/>
  <c r="AU209" i="36"/>
  <c r="BV209" i="36"/>
  <c r="BC209" i="36"/>
  <c r="BN212" i="36"/>
  <c r="AU212" i="36"/>
  <c r="BV212" i="36"/>
  <c r="BC212" i="36"/>
  <c r="AU215" i="36"/>
  <c r="BN215" i="36"/>
  <c r="BC215" i="36"/>
  <c r="BV215" i="36"/>
  <c r="BN218" i="36"/>
  <c r="AU218" i="36"/>
  <c r="BV218" i="36"/>
  <c r="BC218" i="36"/>
  <c r="BN221" i="36"/>
  <c r="AU221" i="36"/>
  <c r="BC221" i="36"/>
  <c r="BV221" i="36"/>
  <c r="AU224" i="36"/>
  <c r="BN224" i="36"/>
  <c r="BC224" i="36"/>
  <c r="BV224" i="36"/>
  <c r="BN227" i="36"/>
  <c r="AU227" i="36"/>
  <c r="BV227" i="36"/>
  <c r="BC227" i="36"/>
  <c r="BN230" i="36"/>
  <c r="AU230" i="36"/>
  <c r="BV230" i="36"/>
  <c r="BC230" i="36"/>
  <c r="BN233" i="36"/>
  <c r="AU233" i="36"/>
  <c r="BV233" i="36"/>
  <c r="BC233" i="36"/>
  <c r="AU236" i="36"/>
  <c r="BN236" i="36"/>
  <c r="BV236" i="36"/>
  <c r="BC236" i="36"/>
  <c r="BN239" i="36"/>
  <c r="AU239" i="36"/>
  <c r="BV239" i="36"/>
  <c r="BC239" i="36"/>
  <c r="BN242" i="36"/>
  <c r="AU242" i="36"/>
  <c r="BV242" i="36"/>
  <c r="BC242" i="36"/>
  <c r="BN245" i="36"/>
  <c r="AU245" i="36"/>
  <c r="BV245" i="36"/>
  <c r="BC245" i="36"/>
  <c r="AU248" i="36"/>
  <c r="BN248" i="36"/>
  <c r="BV248" i="36"/>
  <c r="BC248" i="36"/>
  <c r="BN251" i="36"/>
  <c r="AU251" i="36"/>
  <c r="BV251" i="36"/>
  <c r="BC251" i="36"/>
  <c r="BN254" i="36"/>
  <c r="AU254" i="36"/>
  <c r="BV254" i="36"/>
  <c r="BC254" i="36"/>
  <c r="BN257" i="36"/>
  <c r="AU257" i="36"/>
  <c r="BV257" i="36"/>
  <c r="BC257" i="36"/>
  <c r="BN260" i="36"/>
  <c r="AU260" i="36"/>
  <c r="BV260" i="36"/>
  <c r="BC260" i="36"/>
  <c r="BN263" i="36"/>
  <c r="AU263" i="36"/>
  <c r="BV263" i="36"/>
  <c r="BC263" i="36"/>
  <c r="BW266" i="36"/>
  <c r="BD266" i="36"/>
  <c r="BZ269" i="36"/>
  <c r="BG269" i="36"/>
  <c r="BX275" i="36"/>
  <c r="BE275" i="36"/>
  <c r="BV281" i="36"/>
  <c r="BC281" i="36"/>
  <c r="BY284" i="36"/>
  <c r="BF284" i="36"/>
  <c r="BW290" i="36"/>
  <c r="BD290" i="36"/>
  <c r="BZ293" i="36"/>
  <c r="BG293" i="36"/>
  <c r="BE299" i="36"/>
  <c r="BX299" i="36"/>
  <c r="BV305" i="36"/>
  <c r="BC305" i="36"/>
  <c r="BF308" i="36"/>
  <c r="BY308" i="36"/>
  <c r="BD314" i="36"/>
  <c r="BW314" i="36"/>
  <c r="BZ317" i="36"/>
  <c r="BG317" i="36"/>
  <c r="BX323" i="36"/>
  <c r="BE323" i="36"/>
  <c r="BV329" i="36"/>
  <c r="BC329" i="36"/>
  <c r="BF332" i="36"/>
  <c r="BY332" i="36"/>
  <c r="BD338" i="36"/>
  <c r="BW338" i="36"/>
  <c r="BZ341" i="36"/>
  <c r="BG341" i="36"/>
  <c r="BX347" i="36"/>
  <c r="BE347" i="36"/>
  <c r="BV353" i="36"/>
  <c r="BC353" i="36"/>
  <c r="BF356" i="36"/>
  <c r="BY356" i="36"/>
  <c r="BW362" i="36"/>
  <c r="BD362" i="36"/>
  <c r="BZ365" i="36"/>
  <c r="BG365" i="36"/>
  <c r="BX371" i="36"/>
  <c r="BE371" i="36"/>
  <c r="BC377" i="36"/>
  <c r="BV377" i="36"/>
  <c r="BY380" i="36"/>
  <c r="BF380" i="36"/>
  <c r="BW386" i="36"/>
  <c r="BD386" i="36"/>
  <c r="BZ389" i="36"/>
  <c r="BG389" i="36"/>
  <c r="BX395" i="36"/>
  <c r="BE395" i="36"/>
  <c r="BV401" i="36"/>
  <c r="BC401" i="36"/>
  <c r="BY404" i="36"/>
  <c r="BF404" i="36"/>
  <c r="BW410" i="36"/>
  <c r="BD410" i="36"/>
  <c r="BZ413" i="36"/>
  <c r="BG413" i="36"/>
  <c r="BX419" i="36"/>
  <c r="BE419" i="36"/>
  <c r="BV425" i="36"/>
  <c r="BC425" i="36"/>
  <c r="BY428" i="36"/>
  <c r="BF428" i="36"/>
  <c r="BW434" i="36"/>
  <c r="BD434" i="36"/>
  <c r="BZ437" i="36"/>
  <c r="BG437" i="36"/>
  <c r="BX443" i="36"/>
  <c r="BE443" i="36"/>
  <c r="BW74" i="57"/>
  <c r="BD74" i="57"/>
  <c r="BZ77" i="57"/>
  <c r="BG77" i="57"/>
  <c r="BX83" i="57"/>
  <c r="BE83" i="57"/>
  <c r="BV89" i="57"/>
  <c r="BC89" i="57"/>
  <c r="BY92" i="57"/>
  <c r="BF92" i="57"/>
  <c r="BW98" i="57"/>
  <c r="BD98" i="57"/>
  <c r="BG101" i="57"/>
  <c r="BZ101" i="57"/>
  <c r="BE107" i="57"/>
  <c r="BX107" i="57"/>
  <c r="BC113" i="57"/>
  <c r="BV113" i="57"/>
  <c r="BY116" i="57"/>
  <c r="BF116" i="57"/>
  <c r="BW122" i="57"/>
  <c r="BD122" i="57"/>
  <c r="BG125" i="57"/>
  <c r="BZ125" i="57"/>
  <c r="BE131" i="57"/>
  <c r="BX131" i="57"/>
  <c r="BC137" i="57"/>
  <c r="BV137" i="57"/>
  <c r="BY140" i="57"/>
  <c r="BF140" i="57"/>
  <c r="BW146" i="57"/>
  <c r="BD146" i="57"/>
  <c r="BG149" i="57"/>
  <c r="BZ149" i="57"/>
  <c r="BE155" i="57"/>
  <c r="BX155" i="57"/>
  <c r="BC161" i="57"/>
  <c r="BV161" i="57"/>
  <c r="BY164" i="57"/>
  <c r="BF164" i="57"/>
  <c r="BW170" i="57"/>
  <c r="BD170" i="57"/>
  <c r="BG173" i="57"/>
  <c r="BZ173" i="57"/>
  <c r="BX179" i="57"/>
  <c r="BE179" i="57"/>
  <c r="BV185" i="57"/>
  <c r="BC185" i="57"/>
  <c r="BY188" i="57"/>
  <c r="BF188" i="57"/>
  <c r="BW194" i="57"/>
  <c r="BD194" i="57"/>
  <c r="BZ197" i="57"/>
  <c r="BG197" i="57"/>
  <c r="BE203" i="57"/>
  <c r="BX203" i="57"/>
  <c r="BC209" i="57"/>
  <c r="BV209" i="57"/>
  <c r="BY212" i="57"/>
  <c r="BF212" i="57"/>
  <c r="BW218" i="57"/>
  <c r="BD218" i="57"/>
  <c r="BZ221" i="57"/>
  <c r="BG221" i="57"/>
  <c r="BX227" i="57"/>
  <c r="BE227" i="57"/>
  <c r="BV233" i="57"/>
  <c r="BC233" i="57"/>
  <c r="BF236" i="57"/>
  <c r="BY236" i="57"/>
  <c r="BW242" i="57"/>
  <c r="BD242" i="57"/>
  <c r="BZ245" i="57"/>
  <c r="BG245" i="57"/>
  <c r="BX251" i="57"/>
  <c r="BE251" i="57"/>
  <c r="BV257" i="57"/>
  <c r="BC257" i="57"/>
  <c r="BY260" i="57"/>
  <c r="BF260" i="57"/>
  <c r="BD266" i="57"/>
  <c r="BW266" i="57"/>
  <c r="BZ269" i="57"/>
  <c r="BG269" i="57"/>
  <c r="BX275" i="57"/>
  <c r="BE275" i="57"/>
  <c r="BV281" i="57"/>
  <c r="BC281" i="57"/>
  <c r="BY284" i="57"/>
  <c r="BF284" i="57"/>
  <c r="BW290" i="57"/>
  <c r="BD290" i="57"/>
  <c r="BZ293" i="57"/>
  <c r="BG293" i="57"/>
  <c r="BX299" i="57"/>
  <c r="BE299" i="57"/>
  <c r="BC305" i="57"/>
  <c r="BV305" i="57"/>
  <c r="BY308" i="57"/>
  <c r="BF308" i="57"/>
  <c r="BD314" i="57"/>
  <c r="BW314" i="57"/>
  <c r="BZ317" i="57"/>
  <c r="BG317" i="57"/>
  <c r="BX323" i="57"/>
  <c r="BE323" i="57"/>
  <c r="BC329" i="57"/>
  <c r="BV329" i="57"/>
  <c r="BF332" i="57"/>
  <c r="BY332" i="57"/>
  <c r="BW338" i="57"/>
  <c r="BD338" i="57"/>
  <c r="BZ341" i="57"/>
  <c r="BG341" i="57"/>
  <c r="BX347" i="57"/>
  <c r="BE347" i="57"/>
  <c r="BV353" i="57"/>
  <c r="BC353" i="57"/>
  <c r="BY356" i="57"/>
  <c r="BF356" i="57"/>
  <c r="BW362" i="57"/>
  <c r="BD362" i="57"/>
  <c r="BZ365" i="57"/>
  <c r="BG365" i="57"/>
  <c r="BX371" i="57"/>
  <c r="BE371" i="57"/>
  <c r="BV377" i="57"/>
  <c r="BC377" i="57"/>
  <c r="BF380" i="57"/>
  <c r="BY380" i="57"/>
  <c r="BW386" i="57"/>
  <c r="BD386" i="57"/>
  <c r="BZ389" i="57"/>
  <c r="BG389" i="57"/>
  <c r="BX395" i="57"/>
  <c r="BE395" i="57"/>
  <c r="BV401" i="57"/>
  <c r="BC401" i="57"/>
  <c r="BF404" i="57"/>
  <c r="BY404" i="57"/>
  <c r="BW410" i="57"/>
  <c r="BD410" i="57"/>
  <c r="BZ413" i="57"/>
  <c r="BG413" i="57"/>
  <c r="BX419" i="57"/>
  <c r="BE419" i="57"/>
  <c r="BV425" i="57"/>
  <c r="BC425" i="57"/>
  <c r="BF428" i="57"/>
  <c r="BY428" i="57"/>
  <c r="BW434" i="57"/>
  <c r="BD434" i="57"/>
  <c r="BZ437" i="57"/>
  <c r="BG437" i="57"/>
  <c r="BX443" i="57"/>
  <c r="BE443" i="57"/>
  <c r="H36" i="115"/>
  <c r="H37" i="115" s="1"/>
  <c r="AA462" i="36"/>
  <c r="BO110" i="36"/>
  <c r="AV110" i="36"/>
  <c r="BW110" i="36"/>
  <c r="BD110" i="36"/>
  <c r="BO113" i="36"/>
  <c r="AV113" i="36"/>
  <c r="BW113" i="36"/>
  <c r="BD113" i="36"/>
  <c r="AI461" i="36"/>
  <c r="O30" i="98" s="1"/>
  <c r="O32" i="98" s="1"/>
  <c r="AV134" i="36"/>
  <c r="BO134" i="36"/>
  <c r="BW134" i="36"/>
  <c r="BD134" i="36"/>
  <c r="BO137" i="36"/>
  <c r="AV137" i="36"/>
  <c r="BW137" i="36"/>
  <c r="BD137" i="36"/>
  <c r="BO140" i="36"/>
  <c r="AV140" i="36"/>
  <c r="BW140" i="36"/>
  <c r="BD140" i="36"/>
  <c r="BO143" i="36"/>
  <c r="AV143" i="36"/>
  <c r="BW143" i="36"/>
  <c r="BD143" i="36"/>
  <c r="BO146" i="36"/>
  <c r="AV146" i="36"/>
  <c r="BD146" i="36"/>
  <c r="BW146" i="36"/>
  <c r="BO149" i="36"/>
  <c r="AV149" i="36"/>
  <c r="BW149" i="36"/>
  <c r="BD149" i="36"/>
  <c r="BO152" i="36"/>
  <c r="AV152" i="36"/>
  <c r="BW152" i="36"/>
  <c r="BD152" i="36"/>
  <c r="BO155" i="36"/>
  <c r="AV155" i="36"/>
  <c r="BW155" i="36"/>
  <c r="BD155" i="36"/>
  <c r="AV158" i="36"/>
  <c r="BO158" i="36"/>
  <c r="BD158" i="36"/>
  <c r="BW158" i="36"/>
  <c r="BO161" i="36"/>
  <c r="AV161" i="36"/>
  <c r="BW161" i="36"/>
  <c r="BD161" i="36"/>
  <c r="BO164" i="36"/>
  <c r="AV164" i="36"/>
  <c r="BW164" i="36"/>
  <c r="BD164" i="36"/>
  <c r="BO167" i="36"/>
  <c r="AV167" i="36"/>
  <c r="BW167" i="36"/>
  <c r="BD167" i="36"/>
  <c r="BO170" i="36"/>
  <c r="AV170" i="36"/>
  <c r="BD170" i="36"/>
  <c r="BW170" i="36"/>
  <c r="BO173" i="36"/>
  <c r="AV173" i="36"/>
  <c r="BW173" i="36"/>
  <c r="BD173" i="36"/>
  <c r="BO176" i="36"/>
  <c r="AV176" i="36"/>
  <c r="BW176" i="36"/>
  <c r="BD176" i="36"/>
  <c r="BO179" i="36"/>
  <c r="AV179" i="36"/>
  <c r="BW179" i="36"/>
  <c r="BD179" i="36"/>
  <c r="BO182" i="36"/>
  <c r="AV182" i="36"/>
  <c r="BW182" i="36"/>
  <c r="BD182" i="36"/>
  <c r="BO185" i="36"/>
  <c r="AV185" i="36"/>
  <c r="BW185" i="36"/>
  <c r="BD185" i="36"/>
  <c r="BO188" i="36"/>
  <c r="AV188" i="36"/>
  <c r="BW188" i="36"/>
  <c r="BD188" i="36"/>
  <c r="BO191" i="36"/>
  <c r="AV191" i="36"/>
  <c r="BW191" i="36"/>
  <c r="BD191" i="36"/>
  <c r="BO194" i="36"/>
  <c r="AV194" i="36"/>
  <c r="BW194" i="36"/>
  <c r="BD194" i="36"/>
  <c r="BO197" i="36"/>
  <c r="AV197" i="36"/>
  <c r="BW197" i="36"/>
  <c r="BD197" i="36"/>
  <c r="BO200" i="36"/>
  <c r="AV200" i="36"/>
  <c r="BW200" i="36"/>
  <c r="BD200" i="36"/>
  <c r="BO203" i="36"/>
  <c r="AV203" i="36"/>
  <c r="BW203" i="36"/>
  <c r="BD203" i="36"/>
  <c r="BO206" i="36"/>
  <c r="AV206" i="36"/>
  <c r="BW206" i="36"/>
  <c r="BD206" i="36"/>
  <c r="BO209" i="36"/>
  <c r="AV209" i="36"/>
  <c r="BW209" i="36"/>
  <c r="BD209" i="36"/>
  <c r="BO212" i="36"/>
  <c r="AV212" i="36"/>
  <c r="BW212" i="36"/>
  <c r="BD212" i="36"/>
  <c r="BO215" i="36"/>
  <c r="AV215" i="36"/>
  <c r="BW215" i="36"/>
  <c r="BD215" i="36"/>
  <c r="BO218" i="36"/>
  <c r="AV218" i="36"/>
  <c r="BW218" i="36"/>
  <c r="BD218" i="36"/>
  <c r="BO221" i="36"/>
  <c r="AV221" i="36"/>
  <c r="BW221" i="36"/>
  <c r="BD221" i="36"/>
  <c r="AV224" i="36"/>
  <c r="BO224" i="36"/>
  <c r="BD224" i="36"/>
  <c r="BW224" i="36"/>
  <c r="BO227" i="36"/>
  <c r="AV227" i="36"/>
  <c r="BW227" i="36"/>
  <c r="BD227" i="36"/>
  <c r="BO230" i="36"/>
  <c r="AV230" i="36"/>
  <c r="BW230" i="36"/>
  <c r="BD230" i="36"/>
  <c r="BO233" i="36"/>
  <c r="AV233" i="36"/>
  <c r="BW233" i="36"/>
  <c r="BD233" i="36"/>
  <c r="AV236" i="36"/>
  <c r="BO236" i="36"/>
  <c r="BW236" i="36"/>
  <c r="BD236" i="36"/>
  <c r="BO239" i="36"/>
  <c r="AV239" i="36"/>
  <c r="BW239" i="36"/>
  <c r="BD239" i="36"/>
  <c r="BO242" i="36"/>
  <c r="AV242" i="36"/>
  <c r="BW242" i="36"/>
  <c r="BD242" i="36"/>
  <c r="BO245" i="36"/>
  <c r="AV245" i="36"/>
  <c r="BW245" i="36"/>
  <c r="BD245" i="36"/>
  <c r="BO248" i="36"/>
  <c r="AV248" i="36"/>
  <c r="BW248" i="36"/>
  <c r="BD248" i="36"/>
  <c r="BO251" i="36"/>
  <c r="AV251" i="36"/>
  <c r="BW251" i="36"/>
  <c r="BD251" i="36"/>
  <c r="BO254" i="36"/>
  <c r="AV254" i="36"/>
  <c r="BW254" i="36"/>
  <c r="BD254" i="36"/>
  <c r="BO257" i="36"/>
  <c r="AV257" i="36"/>
  <c r="BW257" i="36"/>
  <c r="BD257" i="36"/>
  <c r="BO260" i="36"/>
  <c r="AV260" i="36"/>
  <c r="BW260" i="36"/>
  <c r="BD260" i="36"/>
  <c r="BO263" i="36"/>
  <c r="AV263" i="36"/>
  <c r="BW263" i="36"/>
  <c r="BD263" i="36"/>
  <c r="BX266" i="36"/>
  <c r="BE266" i="36"/>
  <c r="BV272" i="36"/>
  <c r="BC272" i="36"/>
  <c r="BY275" i="36"/>
  <c r="BF275" i="36"/>
  <c r="BW281" i="36"/>
  <c r="BD281" i="36"/>
  <c r="BZ284" i="36"/>
  <c r="BG284" i="36"/>
  <c r="BX290" i="36"/>
  <c r="BE290" i="36"/>
  <c r="BV296" i="36"/>
  <c r="BC296" i="36"/>
  <c r="BY299" i="36"/>
  <c r="BF299" i="36"/>
  <c r="BW305" i="36"/>
  <c r="BD305" i="36"/>
  <c r="BZ308" i="36"/>
  <c r="BG308" i="36"/>
  <c r="BX314" i="36"/>
  <c r="BE314" i="36"/>
  <c r="BV320" i="36"/>
  <c r="BC320" i="36"/>
  <c r="BY323" i="36"/>
  <c r="BF323" i="36"/>
  <c r="BW329" i="36"/>
  <c r="BD329" i="36"/>
  <c r="BZ332" i="36"/>
  <c r="BG332" i="36"/>
  <c r="BX338" i="36"/>
  <c r="BE338" i="36"/>
  <c r="BV344" i="36"/>
  <c r="BC344" i="36"/>
  <c r="BY347" i="36"/>
  <c r="BF347" i="36"/>
  <c r="BW353" i="36"/>
  <c r="BD353" i="36"/>
  <c r="BZ356" i="36"/>
  <c r="BG356" i="36"/>
  <c r="BX362" i="36"/>
  <c r="BE362" i="36"/>
  <c r="BV368" i="36"/>
  <c r="BC368" i="36"/>
  <c r="BY371" i="36"/>
  <c r="BF371" i="36"/>
  <c r="BD377" i="36"/>
  <c r="BW377" i="36"/>
  <c r="BZ380" i="36"/>
  <c r="BG380" i="36"/>
  <c r="BX386" i="36"/>
  <c r="BE386" i="36"/>
  <c r="BC392" i="36"/>
  <c r="BV392" i="36"/>
  <c r="BY395" i="36"/>
  <c r="BF395" i="36"/>
  <c r="BW401" i="36"/>
  <c r="BD401" i="36"/>
  <c r="BZ404" i="36"/>
  <c r="BG404" i="36"/>
  <c r="BX410" i="36"/>
  <c r="BE410" i="36"/>
  <c r="BC416" i="36"/>
  <c r="BV416" i="36"/>
  <c r="BY419" i="36"/>
  <c r="BF419" i="36"/>
  <c r="BW425" i="36"/>
  <c r="BD425" i="36"/>
  <c r="BZ428" i="36"/>
  <c r="BG428" i="36"/>
  <c r="BX434" i="36"/>
  <c r="BE434" i="36"/>
  <c r="BV440" i="36"/>
  <c r="BC440" i="36"/>
  <c r="BY443" i="36"/>
  <c r="BF443" i="36"/>
  <c r="BX74" i="57"/>
  <c r="BE74" i="57"/>
  <c r="BV80" i="57"/>
  <c r="BC80" i="57"/>
  <c r="BY83" i="57"/>
  <c r="BF83" i="57"/>
  <c r="BW89" i="57"/>
  <c r="BD89" i="57"/>
  <c r="BZ92" i="57"/>
  <c r="BG92" i="57"/>
  <c r="BX98" i="57"/>
  <c r="BE98" i="57"/>
  <c r="BV104" i="57"/>
  <c r="BC104" i="57"/>
  <c r="BY107" i="57"/>
  <c r="BF107" i="57"/>
  <c r="BW113" i="57"/>
  <c r="BD113" i="57"/>
  <c r="BZ116" i="57"/>
  <c r="BG116" i="57"/>
  <c r="BX122" i="57"/>
  <c r="BE122" i="57"/>
  <c r="BV128" i="57"/>
  <c r="BC128" i="57"/>
  <c r="BY131" i="57"/>
  <c r="BF131" i="57"/>
  <c r="BW137" i="57"/>
  <c r="BD137" i="57"/>
  <c r="BZ140" i="57"/>
  <c r="BG140" i="57"/>
  <c r="BX146" i="57"/>
  <c r="BE146" i="57"/>
  <c r="BV152" i="57"/>
  <c r="BC152" i="57"/>
  <c r="BY155" i="57"/>
  <c r="BF155" i="57"/>
  <c r="BW161" i="57"/>
  <c r="BD161" i="57"/>
  <c r="BZ164" i="57"/>
  <c r="BG164" i="57"/>
  <c r="BX170" i="57"/>
  <c r="BE170" i="57"/>
  <c r="BV176" i="57"/>
  <c r="BC176" i="57"/>
  <c r="BY179" i="57"/>
  <c r="BF179" i="57"/>
  <c r="BW185" i="57"/>
  <c r="BD185" i="57"/>
  <c r="BG188" i="57"/>
  <c r="BZ188" i="57"/>
  <c r="BX194" i="57"/>
  <c r="BE194" i="57"/>
  <c r="BV200" i="57"/>
  <c r="BC200" i="57"/>
  <c r="BY203" i="57"/>
  <c r="BF203" i="57"/>
  <c r="BD209" i="57"/>
  <c r="BW209" i="57"/>
  <c r="BZ212" i="57"/>
  <c r="BG212" i="57"/>
  <c r="BX218" i="57"/>
  <c r="BE218" i="57"/>
  <c r="BV224" i="57"/>
  <c r="BC224" i="57"/>
  <c r="BF227" i="57"/>
  <c r="BY227" i="57"/>
  <c r="BW233" i="57"/>
  <c r="BD233" i="57"/>
  <c r="BZ236" i="57"/>
  <c r="BG236" i="57"/>
  <c r="BX242" i="57"/>
  <c r="BE242" i="57"/>
  <c r="BV248" i="57"/>
  <c r="BC248" i="57"/>
  <c r="BY251" i="57"/>
  <c r="BF251" i="57"/>
  <c r="BW257" i="57"/>
  <c r="BD257" i="57"/>
  <c r="BG260" i="57"/>
  <c r="BZ260" i="57"/>
  <c r="BX266" i="57"/>
  <c r="BE266" i="57"/>
  <c r="BV272" i="57"/>
  <c r="BC272" i="57"/>
  <c r="BF275" i="57"/>
  <c r="BY275" i="57"/>
  <c r="BD281" i="57"/>
  <c r="BW281" i="57"/>
  <c r="BG284" i="57"/>
  <c r="BZ284" i="57"/>
  <c r="BE290" i="57"/>
  <c r="BX290" i="57"/>
  <c r="BV296" i="57"/>
  <c r="BC296" i="57"/>
  <c r="BY299" i="57"/>
  <c r="BF299" i="57"/>
  <c r="BW305" i="57"/>
  <c r="BD305" i="57"/>
  <c r="BZ308" i="57"/>
  <c r="BG308" i="57"/>
  <c r="BX314" i="57"/>
  <c r="BE314" i="57"/>
  <c r="BV320" i="57"/>
  <c r="BC320" i="57"/>
  <c r="BY323" i="57"/>
  <c r="BF323" i="57"/>
  <c r="BD329" i="57"/>
  <c r="BW329" i="57"/>
  <c r="BZ332" i="57"/>
  <c r="BG332" i="57"/>
  <c r="BX338" i="57"/>
  <c r="BE338" i="57"/>
  <c r="BV344" i="57"/>
  <c r="BC344" i="57"/>
  <c r="BY347" i="57"/>
  <c r="BF347" i="57"/>
  <c r="BW353" i="57"/>
  <c r="BD353" i="57"/>
  <c r="BZ356" i="57"/>
  <c r="BG356" i="57"/>
  <c r="BE362" i="57"/>
  <c r="BX362" i="57"/>
  <c r="BC368" i="57"/>
  <c r="BV368" i="57"/>
  <c r="BY371" i="57"/>
  <c r="BF371" i="57"/>
  <c r="BW377" i="57"/>
  <c r="BD377" i="57"/>
  <c r="BG380" i="57"/>
  <c r="BZ380" i="57"/>
  <c r="BX386" i="57"/>
  <c r="BE386" i="57"/>
  <c r="BV392" i="57"/>
  <c r="BC392" i="57"/>
  <c r="BY395" i="57"/>
  <c r="BF395" i="57"/>
  <c r="BW401" i="57"/>
  <c r="BD401" i="57"/>
  <c r="BG404" i="57"/>
  <c r="BZ404" i="57"/>
  <c r="BX410" i="57"/>
  <c r="BE410" i="57"/>
  <c r="BV416" i="57"/>
  <c r="BC416" i="57"/>
  <c r="BY419" i="57"/>
  <c r="BF419" i="57"/>
  <c r="BW425" i="57"/>
  <c r="BD425" i="57"/>
  <c r="BG428" i="57"/>
  <c r="BZ428" i="57"/>
  <c r="BX434" i="57"/>
  <c r="BE434" i="57"/>
  <c r="BC440" i="57"/>
  <c r="BV440" i="57"/>
  <c r="BY443" i="57"/>
  <c r="BF443" i="57"/>
  <c r="D130" i="112"/>
  <c r="D140" i="112" s="1"/>
  <c r="AB462" i="36"/>
  <c r="AJ462" i="36"/>
  <c r="P31" i="98" s="1"/>
  <c r="AW110" i="36"/>
  <c r="BP110" i="36"/>
  <c r="BE110" i="36"/>
  <c r="BX110" i="36"/>
  <c r="BP113" i="36"/>
  <c r="AW113" i="36"/>
  <c r="BX113" i="36"/>
  <c r="BE113" i="36"/>
  <c r="AB461" i="36"/>
  <c r="H30" i="98" s="1"/>
  <c r="AW134" i="36"/>
  <c r="BP134" i="36"/>
  <c r="BE134" i="36"/>
  <c r="BX134" i="36"/>
  <c r="BP137" i="36"/>
  <c r="AW137" i="36"/>
  <c r="BX137" i="36"/>
  <c r="BE137" i="36"/>
  <c r="BP140" i="36"/>
  <c r="AW140" i="36"/>
  <c r="BX140" i="36"/>
  <c r="BE140" i="36"/>
  <c r="BP143" i="36"/>
  <c r="AW143" i="36"/>
  <c r="BX143" i="36"/>
  <c r="BE143" i="36"/>
  <c r="AW146" i="36"/>
  <c r="BP146" i="36"/>
  <c r="BE146" i="36"/>
  <c r="BX146" i="36"/>
  <c r="BP149" i="36"/>
  <c r="AW149" i="36"/>
  <c r="BX149" i="36"/>
  <c r="BE149" i="36"/>
  <c r="BP152" i="36"/>
  <c r="AW152" i="36"/>
  <c r="BX152" i="36"/>
  <c r="BE152" i="36"/>
  <c r="BP155" i="36"/>
  <c r="AW155" i="36"/>
  <c r="BX155" i="36"/>
  <c r="BE155" i="36"/>
  <c r="BP158" i="36"/>
  <c r="AW158" i="36"/>
  <c r="BX158" i="36"/>
  <c r="BE158" i="36"/>
  <c r="BP161" i="36"/>
  <c r="AW161" i="36"/>
  <c r="BX161" i="36"/>
  <c r="BE161" i="36"/>
  <c r="BP164" i="36"/>
  <c r="AW164" i="36"/>
  <c r="BX164" i="36"/>
  <c r="BE164" i="36"/>
  <c r="BP167" i="36"/>
  <c r="AW167" i="36"/>
  <c r="BX167" i="36"/>
  <c r="BE167" i="36"/>
  <c r="BP170" i="36"/>
  <c r="AW170" i="36"/>
  <c r="BX170" i="36"/>
  <c r="BE170" i="36"/>
  <c r="BP173" i="36"/>
  <c r="AW173" i="36"/>
  <c r="BX173" i="36"/>
  <c r="BE173" i="36"/>
  <c r="BP176" i="36"/>
  <c r="AW176" i="36"/>
  <c r="BX176" i="36"/>
  <c r="BE176" i="36"/>
  <c r="BP179" i="36"/>
  <c r="AW179" i="36"/>
  <c r="BX179" i="36"/>
  <c r="BE179" i="36"/>
  <c r="BP182" i="36"/>
  <c r="AW182" i="36"/>
  <c r="BX182" i="36"/>
  <c r="BE182" i="36"/>
  <c r="BP185" i="36"/>
  <c r="AW185" i="36"/>
  <c r="BX185" i="36"/>
  <c r="BE185" i="36"/>
  <c r="BP188" i="36"/>
  <c r="AW188" i="36"/>
  <c r="BX188" i="36"/>
  <c r="BE188" i="36"/>
  <c r="BP191" i="36"/>
  <c r="AW191" i="36"/>
  <c r="BX191" i="36"/>
  <c r="BE191" i="36"/>
  <c r="BP194" i="36"/>
  <c r="AW194" i="36"/>
  <c r="BX194" i="36"/>
  <c r="BE194" i="36"/>
  <c r="BP197" i="36"/>
  <c r="AW197" i="36"/>
  <c r="BX197" i="36"/>
  <c r="BE197" i="36"/>
  <c r="BP200" i="36"/>
  <c r="AW200" i="36"/>
  <c r="BX200" i="36"/>
  <c r="BE200" i="36"/>
  <c r="BP203" i="36"/>
  <c r="AW203" i="36"/>
  <c r="BX203" i="36"/>
  <c r="BE203" i="36"/>
  <c r="BP206" i="36"/>
  <c r="AW206" i="36"/>
  <c r="BX206" i="36"/>
  <c r="BE206" i="36"/>
  <c r="BP209" i="36"/>
  <c r="AW209" i="36"/>
  <c r="BX209" i="36"/>
  <c r="BE209" i="36"/>
  <c r="BP212" i="36"/>
  <c r="AW212" i="36"/>
  <c r="BX212" i="36"/>
  <c r="BE212" i="36"/>
  <c r="AW215" i="36"/>
  <c r="BP215" i="36"/>
  <c r="BE215" i="36"/>
  <c r="BX215" i="36"/>
  <c r="BP218" i="36"/>
  <c r="AW218" i="36"/>
  <c r="BX218" i="36"/>
  <c r="BE218" i="36"/>
  <c r="BP221" i="36"/>
  <c r="AW221" i="36"/>
  <c r="BX221" i="36"/>
  <c r="BE221" i="36"/>
  <c r="BP224" i="36"/>
  <c r="AW224" i="36"/>
  <c r="BX224" i="36"/>
  <c r="BE224" i="36"/>
  <c r="BP227" i="36"/>
  <c r="AW227" i="36"/>
  <c r="BX227" i="36"/>
  <c r="BE227" i="36"/>
  <c r="BP230" i="36"/>
  <c r="AW230" i="36"/>
  <c r="BX230" i="36"/>
  <c r="BE230" i="36"/>
  <c r="BP233" i="36"/>
  <c r="AW233" i="36"/>
  <c r="BX233" i="36"/>
  <c r="BE233" i="36"/>
  <c r="BP236" i="36"/>
  <c r="AW236" i="36"/>
  <c r="BX236" i="36"/>
  <c r="BE236" i="36"/>
  <c r="BP239" i="36"/>
  <c r="AW239" i="36"/>
  <c r="BE239" i="36"/>
  <c r="BX239" i="36"/>
  <c r="BP242" i="36"/>
  <c r="AW242" i="36"/>
  <c r="BX242" i="36"/>
  <c r="BE242" i="36"/>
  <c r="BP245" i="36"/>
  <c r="AW245" i="36"/>
  <c r="BX245" i="36"/>
  <c r="BE245" i="36"/>
  <c r="BP248" i="36"/>
  <c r="AW248" i="36"/>
  <c r="BX248" i="36"/>
  <c r="BE248" i="36"/>
  <c r="BP251" i="36"/>
  <c r="AW251" i="36"/>
  <c r="BE251" i="36"/>
  <c r="BX251" i="36"/>
  <c r="BP254" i="36"/>
  <c r="AW254" i="36"/>
  <c r="BX254" i="36"/>
  <c r="BE254" i="36"/>
  <c r="BP257" i="36"/>
  <c r="AW257" i="36"/>
  <c r="BX257" i="36"/>
  <c r="BE257" i="36"/>
  <c r="BP260" i="36"/>
  <c r="AW260" i="36"/>
  <c r="BX260" i="36"/>
  <c r="BE260" i="36"/>
  <c r="BP263" i="36"/>
  <c r="AW263" i="36"/>
  <c r="BX263" i="36"/>
  <c r="BE263" i="36"/>
  <c r="BY266" i="36"/>
  <c r="BF266" i="36"/>
  <c r="BW272" i="36"/>
  <c r="BD272" i="36"/>
  <c r="BZ275" i="36"/>
  <c r="BG275" i="36"/>
  <c r="BX281" i="36"/>
  <c r="BE281" i="36"/>
  <c r="BV287" i="36"/>
  <c r="BC287" i="36"/>
  <c r="BY290" i="36"/>
  <c r="BF290" i="36"/>
  <c r="BW296" i="36"/>
  <c r="BD296" i="36"/>
  <c r="BG299" i="36"/>
  <c r="BZ299" i="36"/>
  <c r="BX305" i="36"/>
  <c r="BE305" i="36"/>
  <c r="BC311" i="36"/>
  <c r="BV311" i="36"/>
  <c r="BF314" i="36"/>
  <c r="BY314" i="36"/>
  <c r="BD320" i="36"/>
  <c r="BW320" i="36"/>
  <c r="BZ323" i="36"/>
  <c r="BG323" i="36"/>
  <c r="BX329" i="36"/>
  <c r="BE329" i="36"/>
  <c r="BV335" i="36"/>
  <c r="BC335" i="36"/>
  <c r="BF338" i="36"/>
  <c r="BY338" i="36"/>
  <c r="BD344" i="36"/>
  <c r="BW344" i="36"/>
  <c r="BZ347" i="36"/>
  <c r="BG347" i="36"/>
  <c r="BX353" i="36"/>
  <c r="BE353" i="36"/>
  <c r="BV359" i="36"/>
  <c r="BC359" i="36"/>
  <c r="BY362" i="36"/>
  <c r="BF362" i="36"/>
  <c r="BW368" i="36"/>
  <c r="BD368" i="36"/>
  <c r="BZ371" i="36"/>
  <c r="BG371" i="36"/>
  <c r="BE377" i="36"/>
  <c r="BX377" i="36"/>
  <c r="BV383" i="36"/>
  <c r="BC383" i="36"/>
  <c r="BY386" i="36"/>
  <c r="BF386" i="36"/>
  <c r="BW392" i="36"/>
  <c r="BD392" i="36"/>
  <c r="BZ395" i="36"/>
  <c r="BG395" i="36"/>
  <c r="BX401" i="36"/>
  <c r="BE401" i="36"/>
  <c r="BV407" i="36"/>
  <c r="BC407" i="36"/>
  <c r="BF410" i="36"/>
  <c r="BY410" i="36"/>
  <c r="BW416" i="36"/>
  <c r="BD416" i="36"/>
  <c r="BZ419" i="36"/>
  <c r="BG419" i="36"/>
  <c r="BX425" i="36"/>
  <c r="BE425" i="36"/>
  <c r="BV431" i="36"/>
  <c r="BC431" i="36"/>
  <c r="BY434" i="36"/>
  <c r="BF434" i="36"/>
  <c r="BW440" i="36"/>
  <c r="BD440" i="36"/>
  <c r="BZ443" i="36"/>
  <c r="BG443" i="36"/>
  <c r="BV71" i="57"/>
  <c r="BC71" i="57"/>
  <c r="BY74" i="57"/>
  <c r="BF74" i="57"/>
  <c r="BW80" i="57"/>
  <c r="BD80" i="57"/>
  <c r="BZ83" i="57"/>
  <c r="BG83" i="57"/>
  <c r="BX89" i="57"/>
  <c r="BE89" i="57"/>
  <c r="BC95" i="57"/>
  <c r="BV95" i="57"/>
  <c r="BY98" i="57"/>
  <c r="BF98" i="57"/>
  <c r="BW104" i="57"/>
  <c r="BD104" i="57"/>
  <c r="BG107" i="57"/>
  <c r="BZ107" i="57"/>
  <c r="BE113" i="57"/>
  <c r="BX113" i="57"/>
  <c r="BC119" i="57"/>
  <c r="BV119" i="57"/>
  <c r="BY122" i="57"/>
  <c r="BF122" i="57"/>
  <c r="BW128" i="57"/>
  <c r="BD128" i="57"/>
  <c r="BG131" i="57"/>
  <c r="BZ131" i="57"/>
  <c r="BE137" i="57"/>
  <c r="BX137" i="57"/>
  <c r="BC143" i="57"/>
  <c r="BV143" i="57"/>
  <c r="BY146" i="57"/>
  <c r="BF146" i="57"/>
  <c r="BW152" i="57"/>
  <c r="BD152" i="57"/>
  <c r="BG155" i="57"/>
  <c r="BZ155" i="57"/>
  <c r="BE161" i="57"/>
  <c r="BX161" i="57"/>
  <c r="BC167" i="57"/>
  <c r="BV167" i="57"/>
  <c r="BY170" i="57"/>
  <c r="BF170" i="57"/>
  <c r="BW176" i="57"/>
  <c r="BD176" i="57"/>
  <c r="BG179" i="57"/>
  <c r="BZ179" i="57"/>
  <c r="BE185" i="57"/>
  <c r="BX185" i="57"/>
  <c r="BV191" i="57"/>
  <c r="BC191" i="57"/>
  <c r="BY194" i="57"/>
  <c r="BF194" i="57"/>
  <c r="BW200" i="57"/>
  <c r="BD200" i="57"/>
  <c r="BZ203" i="57"/>
  <c r="BG203" i="57"/>
  <c r="BE209" i="57"/>
  <c r="BX209" i="57"/>
  <c r="BV215" i="57"/>
  <c r="BC215" i="57"/>
  <c r="BY218" i="57"/>
  <c r="BF218" i="57"/>
  <c r="BD224" i="57"/>
  <c r="BW224" i="57"/>
  <c r="BG227" i="57"/>
  <c r="BZ227" i="57"/>
  <c r="BE233" i="57"/>
  <c r="BX233" i="57"/>
  <c r="BV239" i="57"/>
  <c r="BC239" i="57"/>
  <c r="BY242" i="57"/>
  <c r="BF242" i="57"/>
  <c r="BW248" i="57"/>
  <c r="BD248" i="57"/>
  <c r="BZ251" i="57"/>
  <c r="BG251" i="57"/>
  <c r="BX257" i="57"/>
  <c r="BE257" i="57"/>
  <c r="BV263" i="57"/>
  <c r="BC263" i="57"/>
  <c r="BY266" i="57"/>
  <c r="BF266" i="57"/>
  <c r="BW272" i="57"/>
  <c r="BD272" i="57"/>
  <c r="BZ275" i="57"/>
  <c r="BG275" i="57"/>
  <c r="BX281" i="57"/>
  <c r="BE281" i="57"/>
  <c r="BV287" i="57"/>
  <c r="BC287" i="57"/>
  <c r="BY290" i="57"/>
  <c r="BF290" i="57"/>
  <c r="BW296" i="57"/>
  <c r="BD296" i="57"/>
  <c r="BZ299" i="57"/>
  <c r="BG299" i="57"/>
  <c r="BX305" i="57"/>
  <c r="BE305" i="57"/>
  <c r="BV311" i="57"/>
  <c r="BC311" i="57"/>
  <c r="BY314" i="57"/>
  <c r="BF314" i="57"/>
  <c r="BW320" i="57"/>
  <c r="BD320" i="57"/>
  <c r="BZ323" i="57"/>
  <c r="BG323" i="57"/>
  <c r="BX329" i="57"/>
  <c r="BE329" i="57"/>
  <c r="BV335" i="57"/>
  <c r="BC335" i="57"/>
  <c r="BY338" i="57"/>
  <c r="BF338" i="57"/>
  <c r="BW344" i="57"/>
  <c r="BD344" i="57"/>
  <c r="BZ347" i="57"/>
  <c r="BG347" i="57"/>
  <c r="BX353" i="57"/>
  <c r="BE353" i="57"/>
  <c r="BV359" i="57"/>
  <c r="BC359" i="57"/>
  <c r="BF362" i="57"/>
  <c r="BY362" i="57"/>
  <c r="BW368" i="57"/>
  <c r="BD368" i="57"/>
  <c r="BZ371" i="57"/>
  <c r="BG371" i="57"/>
  <c r="BX377" i="57"/>
  <c r="BE377" i="57"/>
  <c r="BV383" i="57"/>
  <c r="BC383" i="57"/>
  <c r="BY386" i="57"/>
  <c r="BF386" i="57"/>
  <c r="BW392" i="57"/>
  <c r="BD392" i="57"/>
  <c r="BZ395" i="57"/>
  <c r="BG395" i="57"/>
  <c r="BX401" i="57"/>
  <c r="BE401" i="57"/>
  <c r="BV407" i="57"/>
  <c r="BC407" i="57"/>
  <c r="BY410" i="57"/>
  <c r="BF410" i="57"/>
  <c r="BW416" i="57"/>
  <c r="BD416" i="57"/>
  <c r="BZ419" i="57"/>
  <c r="BG419" i="57"/>
  <c r="BX425" i="57"/>
  <c r="BE425" i="57"/>
  <c r="BV431" i="57"/>
  <c r="BC431" i="57"/>
  <c r="BY434" i="57"/>
  <c r="BF434" i="57"/>
  <c r="BW440" i="57"/>
  <c r="BD440" i="57"/>
  <c r="BZ443" i="57"/>
  <c r="BG443" i="57"/>
  <c r="G14" i="86"/>
  <c r="AK462" i="36"/>
  <c r="Q31" i="98" s="1"/>
  <c r="Q32" i="98" s="1"/>
  <c r="AX110" i="36"/>
  <c r="BQ110" i="36"/>
  <c r="BF110" i="36"/>
  <c r="BY110" i="36"/>
  <c r="BQ113" i="36"/>
  <c r="AX113" i="36"/>
  <c r="BY113" i="36"/>
  <c r="BF113" i="36"/>
  <c r="BQ134" i="36"/>
  <c r="AX134" i="36"/>
  <c r="BY134" i="36"/>
  <c r="BF134" i="36"/>
  <c r="AX137" i="36"/>
  <c r="BQ137" i="36"/>
  <c r="BY137" i="36"/>
  <c r="BF137" i="36"/>
  <c r="BQ140" i="36"/>
  <c r="AX140" i="36"/>
  <c r="BY140" i="36"/>
  <c r="BF140" i="36"/>
  <c r="BQ143" i="36"/>
  <c r="AX143" i="36"/>
  <c r="BY143" i="36"/>
  <c r="BF143" i="36"/>
  <c r="BQ146" i="36"/>
  <c r="AX146" i="36"/>
  <c r="BY146" i="36"/>
  <c r="BF146" i="36"/>
  <c r="AX149" i="36"/>
  <c r="BQ149" i="36"/>
  <c r="BF149" i="36"/>
  <c r="BY149" i="36"/>
  <c r="BQ152" i="36"/>
  <c r="AX152" i="36"/>
  <c r="BY152" i="36"/>
  <c r="BF152" i="36"/>
  <c r="BQ155" i="36"/>
  <c r="AX155" i="36"/>
  <c r="BY155" i="36"/>
  <c r="BF155" i="36"/>
  <c r="BQ158" i="36"/>
  <c r="AX158" i="36"/>
  <c r="BY158" i="36"/>
  <c r="BF158" i="36"/>
  <c r="BQ161" i="36"/>
  <c r="AX161" i="36"/>
  <c r="BF161" i="36"/>
  <c r="BY161" i="36"/>
  <c r="BQ164" i="36"/>
  <c r="AX164" i="36"/>
  <c r="BY164" i="36"/>
  <c r="BF164" i="36"/>
  <c r="BQ167" i="36"/>
  <c r="AX167" i="36"/>
  <c r="BY167" i="36"/>
  <c r="BF167" i="36"/>
  <c r="BQ170" i="36"/>
  <c r="AX170" i="36"/>
  <c r="BY170" i="36"/>
  <c r="BF170" i="36"/>
  <c r="BQ173" i="36"/>
  <c r="AX173" i="36"/>
  <c r="BY173" i="36"/>
  <c r="BF173" i="36"/>
  <c r="BQ176" i="36"/>
  <c r="AX176" i="36"/>
  <c r="BY176" i="36"/>
  <c r="BF176" i="36"/>
  <c r="BQ179" i="36"/>
  <c r="AX179" i="36"/>
  <c r="BY179" i="36"/>
  <c r="BF179" i="36"/>
  <c r="BQ182" i="36"/>
  <c r="AX182" i="36"/>
  <c r="BY182" i="36"/>
  <c r="BF182" i="36"/>
  <c r="BQ185" i="36"/>
  <c r="AX185" i="36"/>
  <c r="BY185" i="36"/>
  <c r="BF185" i="36"/>
  <c r="BQ188" i="36"/>
  <c r="AX188" i="36"/>
  <c r="BY188" i="36"/>
  <c r="BF188" i="36"/>
  <c r="BQ191" i="36"/>
  <c r="AX191" i="36"/>
  <c r="BY191" i="36"/>
  <c r="BF191" i="36"/>
  <c r="BQ194" i="36"/>
  <c r="AX194" i="36"/>
  <c r="BY194" i="36"/>
  <c r="BF194" i="36"/>
  <c r="BQ197" i="36"/>
  <c r="AX197" i="36"/>
  <c r="BY197" i="36"/>
  <c r="BF197" i="36"/>
  <c r="BQ200" i="36"/>
  <c r="AX200" i="36"/>
  <c r="BY200" i="36"/>
  <c r="BF200" i="36"/>
  <c r="BQ203" i="36"/>
  <c r="AX203" i="36"/>
  <c r="BY203" i="36"/>
  <c r="BF203" i="36"/>
  <c r="BQ206" i="36"/>
  <c r="AX206" i="36"/>
  <c r="BY206" i="36"/>
  <c r="BF206" i="36"/>
  <c r="BQ209" i="36"/>
  <c r="AX209" i="36"/>
  <c r="BY209" i="36"/>
  <c r="BF209" i="36"/>
  <c r="BQ212" i="36"/>
  <c r="AX212" i="36"/>
  <c r="BY212" i="36"/>
  <c r="BF212" i="36"/>
  <c r="AX215" i="36"/>
  <c r="BQ215" i="36"/>
  <c r="BF215" i="36"/>
  <c r="BY215" i="36"/>
  <c r="BQ218" i="36"/>
  <c r="AX218" i="36"/>
  <c r="BY218" i="36"/>
  <c r="BF218" i="36"/>
  <c r="BQ221" i="36"/>
  <c r="AX221" i="36"/>
  <c r="BY221" i="36"/>
  <c r="BF221" i="36"/>
  <c r="BQ224" i="36"/>
  <c r="AX224" i="36"/>
  <c r="BY224" i="36"/>
  <c r="BF224" i="36"/>
  <c r="BQ227" i="36"/>
  <c r="AX227" i="36"/>
  <c r="BF227" i="36"/>
  <c r="BY227" i="36"/>
  <c r="BQ230" i="36"/>
  <c r="AX230" i="36"/>
  <c r="BY230" i="36"/>
  <c r="BF230" i="36"/>
  <c r="BQ233" i="36"/>
  <c r="AX233" i="36"/>
  <c r="BY233" i="36"/>
  <c r="BF233" i="36"/>
  <c r="BQ236" i="36"/>
  <c r="AX236" i="36"/>
  <c r="BY236" i="36"/>
  <c r="BF236" i="36"/>
  <c r="BQ239" i="36"/>
  <c r="AX239" i="36"/>
  <c r="BF239" i="36"/>
  <c r="BY239" i="36"/>
  <c r="BQ242" i="36"/>
  <c r="AX242" i="36"/>
  <c r="BY242" i="36"/>
  <c r="BF242" i="36"/>
  <c r="BQ245" i="36"/>
  <c r="AX245" i="36"/>
  <c r="BY245" i="36"/>
  <c r="BF245" i="36"/>
  <c r="BQ248" i="36"/>
  <c r="AX248" i="36"/>
  <c r="BY248" i="36"/>
  <c r="BF248" i="36"/>
  <c r="AX251" i="36"/>
  <c r="BQ251" i="36"/>
  <c r="BF251" i="36"/>
  <c r="BY251" i="36"/>
  <c r="BQ254" i="36"/>
  <c r="AX254" i="36"/>
  <c r="BY254" i="36"/>
  <c r="BF254" i="36"/>
  <c r="BQ257" i="36"/>
  <c r="AX257" i="36"/>
  <c r="BY257" i="36"/>
  <c r="BF257" i="36"/>
  <c r="BQ260" i="36"/>
  <c r="AX260" i="36"/>
  <c r="BY260" i="36"/>
  <c r="BF260" i="36"/>
  <c r="BQ263" i="36"/>
  <c r="AX263" i="36"/>
  <c r="BY263" i="36"/>
  <c r="BF263" i="36"/>
  <c r="BR110" i="36"/>
  <c r="AY110" i="36"/>
  <c r="BZ110" i="36"/>
  <c r="BG110" i="36"/>
  <c r="BR113" i="36"/>
  <c r="AY113" i="36"/>
  <c r="BZ113" i="36"/>
  <c r="BG113" i="36"/>
  <c r="BR134" i="36"/>
  <c r="AY134" i="36"/>
  <c r="BG134" i="36"/>
  <c r="BZ134" i="36"/>
  <c r="AY137" i="36"/>
  <c r="BR137" i="36"/>
  <c r="BZ137" i="36"/>
  <c r="BG137" i="36"/>
  <c r="BR140" i="36"/>
  <c r="AY140" i="36"/>
  <c r="BZ140" i="36"/>
  <c r="BG140" i="36"/>
  <c r="BR143" i="36"/>
  <c r="AY143" i="36"/>
  <c r="BZ143" i="36"/>
  <c r="BG143" i="36"/>
  <c r="BR146" i="36"/>
  <c r="AY146" i="36"/>
  <c r="BZ146" i="36"/>
  <c r="BG146" i="36"/>
  <c r="BR149" i="36"/>
  <c r="AY149" i="36"/>
  <c r="BZ149" i="36"/>
  <c r="BG149" i="36"/>
  <c r="BR152" i="36"/>
  <c r="AY152" i="36"/>
  <c r="BZ152" i="36"/>
  <c r="BG152" i="36"/>
  <c r="BR155" i="36"/>
  <c r="AY155" i="36"/>
  <c r="BZ155" i="36"/>
  <c r="BG155" i="36"/>
  <c r="BR158" i="36"/>
  <c r="AY158" i="36"/>
  <c r="BZ158" i="36"/>
  <c r="BG158" i="36"/>
  <c r="BR161" i="36"/>
  <c r="AY161" i="36"/>
  <c r="BZ161" i="36"/>
  <c r="BG161" i="36"/>
  <c r="BR164" i="36"/>
  <c r="AY164" i="36"/>
  <c r="BZ164" i="36"/>
  <c r="BG164" i="36"/>
  <c r="BR167" i="36"/>
  <c r="AY167" i="36"/>
  <c r="BZ167" i="36"/>
  <c r="BG167" i="36"/>
  <c r="BR170" i="36"/>
  <c r="AY170" i="36"/>
  <c r="BZ170" i="36"/>
  <c r="BG170" i="36"/>
  <c r="BR173" i="36"/>
  <c r="AY173" i="36"/>
  <c r="BZ173" i="36"/>
  <c r="BG173" i="36"/>
  <c r="BR176" i="36"/>
  <c r="AY176" i="36"/>
  <c r="BZ176" i="36"/>
  <c r="BG176" i="36"/>
  <c r="BR179" i="36"/>
  <c r="AY179" i="36"/>
  <c r="BZ179" i="36"/>
  <c r="BG179" i="36"/>
  <c r="BR182" i="36"/>
  <c r="AY182" i="36"/>
  <c r="BZ182" i="36"/>
  <c r="BG182" i="36"/>
  <c r="BR185" i="36"/>
  <c r="AY185" i="36"/>
  <c r="BZ185" i="36"/>
  <c r="BG185" i="36"/>
  <c r="BR188" i="36"/>
  <c r="AY188" i="36"/>
  <c r="BZ188" i="36"/>
  <c r="BG188" i="36"/>
  <c r="BR191" i="36"/>
  <c r="AY191" i="36"/>
  <c r="BZ191" i="36"/>
  <c r="BG191" i="36"/>
  <c r="BR194" i="36"/>
  <c r="AY194" i="36"/>
  <c r="BZ194" i="36"/>
  <c r="BG194" i="36"/>
  <c r="BR197" i="36"/>
  <c r="AY197" i="36"/>
  <c r="BZ197" i="36"/>
  <c r="BG197" i="36"/>
  <c r="BR200" i="36"/>
  <c r="AY200" i="36"/>
  <c r="BZ200" i="36"/>
  <c r="BG200" i="36"/>
  <c r="BR203" i="36"/>
  <c r="AY203" i="36"/>
  <c r="BZ203" i="36"/>
  <c r="BG203" i="36"/>
  <c r="BR206" i="36"/>
  <c r="AY206" i="36"/>
  <c r="BZ206" i="36"/>
  <c r="BG206" i="36"/>
  <c r="BR209" i="36"/>
  <c r="AY209" i="36"/>
  <c r="BZ209" i="36"/>
  <c r="BG209" i="36"/>
  <c r="BR212" i="36"/>
  <c r="AY212" i="36"/>
  <c r="BZ212" i="36"/>
  <c r="BG212" i="36"/>
  <c r="BR215" i="36"/>
  <c r="AY215" i="36"/>
  <c r="BZ215" i="36"/>
  <c r="BG215" i="36"/>
  <c r="BR218" i="36"/>
  <c r="AY218" i="36"/>
  <c r="BZ218" i="36"/>
  <c r="BG218" i="36"/>
  <c r="BR221" i="36"/>
  <c r="AY221" i="36"/>
  <c r="BZ221" i="36"/>
  <c r="BG221" i="36"/>
  <c r="BR224" i="36"/>
  <c r="AY224" i="36"/>
  <c r="BZ224" i="36"/>
  <c r="BG224" i="36"/>
  <c r="BR227" i="36"/>
  <c r="AY227" i="36"/>
  <c r="BZ227" i="36"/>
  <c r="BG227" i="36"/>
  <c r="AY230" i="36"/>
  <c r="BR230" i="36"/>
  <c r="BG230" i="36"/>
  <c r="BZ230" i="36"/>
  <c r="BR233" i="36"/>
  <c r="AY233" i="36"/>
  <c r="BZ233" i="36"/>
  <c r="BG233" i="36"/>
  <c r="BR236" i="36"/>
  <c r="AY236" i="36"/>
  <c r="BZ236" i="36"/>
  <c r="BG236" i="36"/>
  <c r="BR239" i="36"/>
  <c r="AY239" i="36"/>
  <c r="BZ239" i="36"/>
  <c r="BG239" i="36"/>
  <c r="AY242" i="36"/>
  <c r="BR242" i="36"/>
  <c r="BG242" i="36"/>
  <c r="BZ242" i="36"/>
  <c r="BR245" i="36"/>
  <c r="AY245" i="36"/>
  <c r="BZ245" i="36"/>
  <c r="BG245" i="36"/>
  <c r="BR248" i="36"/>
  <c r="AY248" i="36"/>
  <c r="BZ248" i="36"/>
  <c r="BG248" i="36"/>
  <c r="BR251" i="36"/>
  <c r="AY251" i="36"/>
  <c r="BZ251" i="36"/>
  <c r="BG251" i="36"/>
  <c r="AY254" i="36"/>
  <c r="BR254" i="36"/>
  <c r="BZ254" i="36"/>
  <c r="BG254" i="36"/>
  <c r="BR257" i="36"/>
  <c r="AY257" i="36"/>
  <c r="BZ257" i="36"/>
  <c r="BG257" i="36"/>
  <c r="BR260" i="36"/>
  <c r="AY260" i="36"/>
  <c r="BZ260" i="36"/>
  <c r="BG260" i="36"/>
  <c r="BR263" i="36"/>
  <c r="AY263" i="36"/>
  <c r="BZ263" i="36"/>
  <c r="BG263" i="36"/>
  <c r="BS110" i="36"/>
  <c r="AZ110" i="36"/>
  <c r="AZ113" i="36"/>
  <c r="BS113" i="36"/>
  <c r="BS134" i="36"/>
  <c r="AZ134" i="36"/>
  <c r="BS137" i="36"/>
  <c r="AZ137" i="36"/>
  <c r="BS140" i="36"/>
  <c r="AZ140" i="36"/>
  <c r="BS143" i="36"/>
  <c r="AZ143" i="36"/>
  <c r="BS146" i="36"/>
  <c r="AZ146" i="36"/>
  <c r="BS149" i="36"/>
  <c r="AZ149" i="36"/>
  <c r="BS152" i="36"/>
  <c r="AZ152" i="36"/>
  <c r="BS155" i="36"/>
  <c r="AZ155" i="36"/>
  <c r="BS158" i="36"/>
  <c r="AZ158" i="36"/>
  <c r="BS161" i="36"/>
  <c r="AZ161" i="36"/>
  <c r="BS164" i="36"/>
  <c r="AZ164" i="36"/>
  <c r="BS167" i="36"/>
  <c r="AZ167" i="36"/>
  <c r="BS170" i="36"/>
  <c r="AZ170" i="36"/>
  <c r="BS173" i="36"/>
  <c r="AZ173" i="36"/>
  <c r="BS176" i="36"/>
  <c r="AZ176" i="36"/>
  <c r="BS179" i="36"/>
  <c r="AZ179" i="36"/>
  <c r="BS182" i="36"/>
  <c r="AZ182" i="36"/>
  <c r="BS185" i="36"/>
  <c r="AZ185" i="36"/>
  <c r="BS188" i="36"/>
  <c r="AZ188" i="36"/>
  <c r="BS191" i="36"/>
  <c r="AZ191" i="36"/>
  <c r="BS194" i="36"/>
  <c r="AZ194" i="36"/>
  <c r="BS197" i="36"/>
  <c r="AZ197" i="36"/>
  <c r="BS200" i="36"/>
  <c r="AZ200" i="36"/>
  <c r="BS203" i="36"/>
  <c r="AZ203" i="36"/>
  <c r="BS206" i="36"/>
  <c r="AZ206" i="36"/>
  <c r="BS209" i="36"/>
  <c r="AZ209" i="36"/>
  <c r="BS212" i="36"/>
  <c r="AZ212" i="36"/>
  <c r="AZ215" i="36"/>
  <c r="BS215" i="36"/>
  <c r="BS218" i="36"/>
  <c r="AZ218" i="36"/>
  <c r="AZ221" i="36"/>
  <c r="BS221" i="36"/>
  <c r="BS224" i="36"/>
  <c r="AZ224" i="36"/>
  <c r="BS227" i="36"/>
  <c r="AZ227" i="36"/>
  <c r="AZ230" i="36"/>
  <c r="BS230" i="36"/>
  <c r="BS233" i="36"/>
  <c r="AZ233" i="36"/>
  <c r="BS236" i="36"/>
  <c r="AZ236" i="36"/>
  <c r="BS239" i="36"/>
  <c r="AZ239" i="36"/>
  <c r="AZ242" i="36"/>
  <c r="BS242" i="36"/>
  <c r="BS245" i="36"/>
  <c r="AZ245" i="36"/>
  <c r="BS248" i="36"/>
  <c r="AZ248" i="36"/>
  <c r="BS251" i="36"/>
  <c r="AZ251" i="36"/>
  <c r="AZ254" i="36"/>
  <c r="BS254" i="36"/>
  <c r="BS257" i="36"/>
  <c r="AZ257" i="36"/>
  <c r="BS260" i="36"/>
  <c r="AZ260" i="36"/>
  <c r="BS263" i="36"/>
  <c r="AZ263" i="36"/>
  <c r="AI35" i="89"/>
  <c r="AK85" i="98"/>
  <c r="R129" i="112"/>
  <c r="R150" i="112" s="1"/>
  <c r="M127" i="112"/>
  <c r="M148" i="112" s="1"/>
  <c r="M152" i="112" s="1"/>
  <c r="M23" i="112" s="1"/>
  <c r="T130" i="112"/>
  <c r="T151" i="112" s="1"/>
  <c r="V130" i="112"/>
  <c r="U127" i="112"/>
  <c r="W17" i="30"/>
  <c r="W19" i="42" s="1"/>
  <c r="Y17" i="30"/>
  <c r="Y19" i="42" s="1"/>
  <c r="AB9" i="98"/>
  <c r="AD42" i="41"/>
  <c r="AD76" i="41" s="1"/>
  <c r="AD28" i="45"/>
  <c r="AC42" i="41"/>
  <c r="AC76" i="41" s="1"/>
  <c r="Y28" i="45"/>
  <c r="AE42" i="41"/>
  <c r="AE76" i="41" s="1"/>
  <c r="AK194" i="86"/>
  <c r="Q59" i="98" s="1"/>
  <c r="AK165" i="86"/>
  <c r="AC165" i="86"/>
  <c r="AC194" i="86"/>
  <c r="I59" i="98" s="1"/>
  <c r="AK164" i="86"/>
  <c r="AK193" i="86"/>
  <c r="Q58" i="98" s="1"/>
  <c r="AG164" i="86"/>
  <c r="AG193" i="86"/>
  <c r="M58" i="98" s="1"/>
  <c r="D83" i="98"/>
  <c r="AI26" i="12"/>
  <c r="AE64" i="89"/>
  <c r="X64" i="89"/>
  <c r="AI95" i="98"/>
  <c r="AG14" i="89"/>
  <c r="X14" i="89"/>
  <c r="AH64" i="89"/>
  <c r="AB64" i="89"/>
  <c r="X93" i="89"/>
  <c r="AK52" i="89"/>
  <c r="AH93" i="89"/>
  <c r="AL52" i="89"/>
  <c r="Z52" i="89"/>
  <c r="X52" i="89"/>
  <c r="AE93" i="89"/>
  <c r="AK14" i="89"/>
  <c r="AJ95" i="98"/>
  <c r="AI26" i="89"/>
  <c r="AO85" i="98"/>
  <c r="AK36" i="89"/>
  <c r="AD36" i="89"/>
  <c r="AG26" i="89"/>
  <c r="AL35" i="89"/>
  <c r="AH85" i="98"/>
  <c r="AE36" i="89"/>
  <c r="AE13" i="89"/>
  <c r="AE35" i="89"/>
  <c r="AE85" i="98"/>
  <c r="AA37" i="89"/>
  <c r="AI13" i="36"/>
  <c r="AI455" i="36" s="1"/>
  <c r="AA28" i="45"/>
  <c r="AA42" i="41"/>
  <c r="AA76" i="41" s="1"/>
  <c r="Z42" i="41"/>
  <c r="Z76" i="41" s="1"/>
  <c r="Z28" i="45"/>
  <c r="X28" i="45"/>
  <c r="W42" i="41"/>
  <c r="W76" i="41" s="1"/>
  <c r="AC187" i="86"/>
  <c r="AC199" i="86" s="1"/>
  <c r="M130" i="112"/>
  <c r="U124" i="112"/>
  <c r="S130" i="112"/>
  <c r="Q130" i="112"/>
  <c r="Q151" i="112" s="1"/>
  <c r="Q129" i="112"/>
  <c r="R130" i="112"/>
  <c r="R151" i="112" s="1"/>
  <c r="P130" i="112"/>
  <c r="AB28" i="30"/>
  <c r="AB26" i="12"/>
  <c r="AS131" i="36"/>
  <c r="BA131" i="36"/>
  <c r="AT131" i="36"/>
  <c r="BB131" i="36"/>
  <c r="AU131" i="36"/>
  <c r="BC131" i="36"/>
  <c r="AV131" i="36"/>
  <c r="BD131" i="36"/>
  <c r="AW131" i="36"/>
  <c r="BE131" i="36"/>
  <c r="AX131" i="36"/>
  <c r="BF131" i="36"/>
  <c r="BS129" i="36"/>
  <c r="AY131" i="36"/>
  <c r="BS130" i="36"/>
  <c r="BG131" i="36"/>
  <c r="BS131" i="36"/>
  <c r="AZ131" i="36"/>
  <c r="AS128" i="36"/>
  <c r="BA128" i="36"/>
  <c r="AT128" i="36"/>
  <c r="BB128" i="36"/>
  <c r="AU128" i="36"/>
  <c r="BC128" i="36"/>
  <c r="AV128" i="36"/>
  <c r="BD128" i="36"/>
  <c r="BE128" i="36"/>
  <c r="AX128" i="36"/>
  <c r="BF128" i="36"/>
  <c r="AW128" i="36"/>
  <c r="AY128" i="36"/>
  <c r="BS126" i="36"/>
  <c r="BS127" i="36"/>
  <c r="BG128" i="36"/>
  <c r="BS128" i="36"/>
  <c r="AZ128" i="36"/>
  <c r="AS125" i="36"/>
  <c r="BA125" i="36"/>
  <c r="AT125" i="36"/>
  <c r="BB125" i="36"/>
  <c r="AU125" i="36"/>
  <c r="BC125" i="36"/>
  <c r="AV125" i="36"/>
  <c r="BD125" i="36"/>
  <c r="AW125" i="36"/>
  <c r="BE125" i="36"/>
  <c r="AX125" i="36"/>
  <c r="BF125" i="36"/>
  <c r="BS124" i="36"/>
  <c r="BS123" i="36"/>
  <c r="AY125" i="36"/>
  <c r="BG125" i="36"/>
  <c r="BS125" i="36"/>
  <c r="AZ125" i="36"/>
  <c r="AT122" i="36"/>
  <c r="BB122" i="36"/>
  <c r="AU122" i="36"/>
  <c r="BC122" i="36"/>
  <c r="AV122" i="36"/>
  <c r="BD122" i="36"/>
  <c r="AS122" i="36"/>
  <c r="BA122" i="36"/>
  <c r="AW122" i="36"/>
  <c r="BE122" i="36"/>
  <c r="AX122" i="36"/>
  <c r="BF122" i="36"/>
  <c r="BS120" i="36"/>
  <c r="BS121" i="36"/>
  <c r="AY122" i="36"/>
  <c r="BG122" i="36"/>
  <c r="AZ122" i="36"/>
  <c r="BS122" i="36"/>
  <c r="AS119" i="36"/>
  <c r="BA119" i="36"/>
  <c r="BB119" i="36"/>
  <c r="AU119" i="36"/>
  <c r="BC119" i="36"/>
  <c r="AV119" i="36"/>
  <c r="BD119" i="36"/>
  <c r="AW119" i="36"/>
  <c r="BE119" i="36"/>
  <c r="AX119" i="36"/>
  <c r="BF119" i="36"/>
  <c r="AT119" i="36"/>
  <c r="AY119" i="36"/>
  <c r="BS118" i="36"/>
  <c r="BS117" i="36"/>
  <c r="BG119" i="36"/>
  <c r="BS119" i="36"/>
  <c r="AZ119" i="36"/>
  <c r="AS116" i="36"/>
  <c r="BA116" i="36"/>
  <c r="AT116" i="36"/>
  <c r="BB116" i="36"/>
  <c r="AU116" i="36"/>
  <c r="BC116" i="36"/>
  <c r="AV116" i="36"/>
  <c r="BD116" i="36"/>
  <c r="AW116" i="36"/>
  <c r="BE116" i="36"/>
  <c r="AX116" i="36"/>
  <c r="BF116" i="36"/>
  <c r="BS115" i="36"/>
  <c r="BS114" i="36"/>
  <c r="AY116" i="36"/>
  <c r="BG116" i="36"/>
  <c r="BS116" i="36"/>
  <c r="AZ116" i="36"/>
  <c r="AS107" i="36"/>
  <c r="BA107" i="36"/>
  <c r="W462" i="36"/>
  <c r="AT107" i="36"/>
  <c r="BB107" i="36"/>
  <c r="BS107" i="36"/>
  <c r="AZ107" i="36"/>
  <c r="AU107" i="36"/>
  <c r="BC107" i="36"/>
  <c r="BD107" i="36"/>
  <c r="AW107" i="36"/>
  <c r="BE107" i="36"/>
  <c r="AV107" i="36"/>
  <c r="AE462" i="36"/>
  <c r="K31" i="98" s="1"/>
  <c r="AX107" i="36"/>
  <c r="BF107" i="36"/>
  <c r="AY107" i="36"/>
  <c r="BS106" i="36"/>
  <c r="BS105" i="36"/>
  <c r="BG107" i="36"/>
  <c r="AS104" i="36"/>
  <c r="BA104" i="36"/>
  <c r="AU104" i="36"/>
  <c r="BC104" i="36"/>
  <c r="AT104" i="36"/>
  <c r="BB104" i="36"/>
  <c r="AV104" i="36"/>
  <c r="BD104" i="36"/>
  <c r="AW104" i="36"/>
  <c r="BE104" i="36"/>
  <c r="AX104" i="36"/>
  <c r="BF104" i="36"/>
  <c r="BS102" i="36"/>
  <c r="BS103" i="36"/>
  <c r="AY104" i="36"/>
  <c r="BG104" i="36"/>
  <c r="BS104" i="36"/>
  <c r="AZ104" i="36"/>
  <c r="AS101" i="36"/>
  <c r="BA101" i="36"/>
  <c r="AT101" i="36"/>
  <c r="BB101" i="36"/>
  <c r="AU101" i="36"/>
  <c r="BC101" i="36"/>
  <c r="AV101" i="36"/>
  <c r="BD101" i="36"/>
  <c r="AW101" i="36"/>
  <c r="BE101" i="36"/>
  <c r="AX101" i="36"/>
  <c r="BF101" i="36"/>
  <c r="BS99" i="36"/>
  <c r="BS100" i="36"/>
  <c r="AY101" i="36"/>
  <c r="BG101" i="36"/>
  <c r="AZ101" i="36"/>
  <c r="BS101" i="36"/>
  <c r="AU98" i="36"/>
  <c r="BC98" i="36"/>
  <c r="AT98" i="36"/>
  <c r="BB98" i="36"/>
  <c r="AV98" i="36"/>
  <c r="BD98" i="36"/>
  <c r="BA98" i="36"/>
  <c r="AW98" i="36"/>
  <c r="BE98" i="36"/>
  <c r="AX98" i="36"/>
  <c r="BF98" i="36"/>
  <c r="AI462" i="36"/>
  <c r="O31" i="98" s="1"/>
  <c r="BS97" i="36"/>
  <c r="AY98" i="36"/>
  <c r="BS96" i="36"/>
  <c r="BG98" i="36"/>
  <c r="AS98" i="36"/>
  <c r="BS98" i="36"/>
  <c r="AZ98" i="36"/>
  <c r="AS95" i="36"/>
  <c r="BA95" i="36"/>
  <c r="AT95" i="36"/>
  <c r="BB95" i="36"/>
  <c r="AU95" i="36"/>
  <c r="BC95" i="36"/>
  <c r="AV95" i="36"/>
  <c r="BD95" i="36"/>
  <c r="AW95" i="36"/>
  <c r="BE95" i="36"/>
  <c r="AX95" i="36"/>
  <c r="BF95" i="36"/>
  <c r="AY95" i="36"/>
  <c r="BS93" i="36"/>
  <c r="BS94" i="36"/>
  <c r="BG95" i="36"/>
  <c r="BS95" i="36"/>
  <c r="AZ95" i="36"/>
  <c r="AS92" i="36"/>
  <c r="BA92" i="36"/>
  <c r="AT92" i="36"/>
  <c r="BB92" i="36"/>
  <c r="AU92" i="36"/>
  <c r="BC92" i="36"/>
  <c r="AV92" i="36"/>
  <c r="BD92" i="36"/>
  <c r="AW92" i="36"/>
  <c r="BE92" i="36"/>
  <c r="AX92" i="36"/>
  <c r="BF92" i="36"/>
  <c r="BS91" i="36"/>
  <c r="BS90" i="36"/>
  <c r="AY92" i="36"/>
  <c r="BG92" i="36"/>
  <c r="BS92" i="36"/>
  <c r="AZ92" i="36"/>
  <c r="AT89" i="36"/>
  <c r="AU89" i="36"/>
  <c r="BC89" i="36"/>
  <c r="BB89" i="36"/>
  <c r="AV89" i="36"/>
  <c r="BD89" i="36"/>
  <c r="AW89" i="36"/>
  <c r="BE89" i="36"/>
  <c r="Y461" i="36"/>
  <c r="E30" i="98" s="1"/>
  <c r="AX89" i="36"/>
  <c r="BF89" i="36"/>
  <c r="AS89" i="36"/>
  <c r="BA89" i="36"/>
  <c r="AY89" i="36"/>
  <c r="BS88" i="36"/>
  <c r="BS87" i="36"/>
  <c r="BG89" i="36"/>
  <c r="BS89" i="36"/>
  <c r="AZ89" i="36"/>
  <c r="AS86" i="36"/>
  <c r="BA86" i="36"/>
  <c r="AT86" i="36"/>
  <c r="BB86" i="36"/>
  <c r="AU86" i="36"/>
  <c r="BC86" i="36"/>
  <c r="AV86" i="36"/>
  <c r="BD86" i="36"/>
  <c r="AW86" i="36"/>
  <c r="BE86" i="36"/>
  <c r="AX86" i="36"/>
  <c r="BF86" i="36"/>
  <c r="BS84" i="36"/>
  <c r="BS85" i="36"/>
  <c r="AY86" i="36"/>
  <c r="BG86" i="36"/>
  <c r="AZ86" i="36"/>
  <c r="BS86" i="36"/>
  <c r="AS83" i="36"/>
  <c r="BA83" i="36"/>
  <c r="AU83" i="36"/>
  <c r="BC83" i="36"/>
  <c r="AV83" i="36"/>
  <c r="BD83" i="36"/>
  <c r="AW83" i="36"/>
  <c r="BE83" i="36"/>
  <c r="AX83" i="36"/>
  <c r="BF83" i="36"/>
  <c r="BB83" i="36"/>
  <c r="AY83" i="36"/>
  <c r="BS82" i="36"/>
  <c r="BS81" i="36"/>
  <c r="BG83" i="36"/>
  <c r="AT83" i="36"/>
  <c r="Y448" i="36"/>
  <c r="AZ83" i="36"/>
  <c r="BS83" i="36"/>
  <c r="BA80" i="36"/>
  <c r="AT80" i="36"/>
  <c r="BB80" i="36"/>
  <c r="Y462" i="36"/>
  <c r="E31" i="98" s="1"/>
  <c r="AU80" i="36"/>
  <c r="BC80" i="36"/>
  <c r="AV80" i="36"/>
  <c r="BD80" i="36"/>
  <c r="AS80" i="36"/>
  <c r="X462" i="36"/>
  <c r="AW80" i="36"/>
  <c r="BE80" i="36"/>
  <c r="AX80" i="36"/>
  <c r="BF80" i="36"/>
  <c r="AG462" i="36"/>
  <c r="M31" i="98" s="1"/>
  <c r="BS79" i="36"/>
  <c r="BS78" i="36"/>
  <c r="AY80" i="36"/>
  <c r="BG80" i="36"/>
  <c r="AF462" i="36"/>
  <c r="L31" i="98" s="1"/>
  <c r="BS80" i="36"/>
  <c r="AZ80" i="36"/>
  <c r="AS77" i="36"/>
  <c r="AK13" i="36"/>
  <c r="AK455" i="36" s="1"/>
  <c r="BA77" i="36"/>
  <c r="AT77" i="36"/>
  <c r="BB77" i="36"/>
  <c r="AW77" i="36"/>
  <c r="BE77" i="36"/>
  <c r="AU77" i="36"/>
  <c r="BC77" i="36"/>
  <c r="Z473" i="36"/>
  <c r="AV77" i="36"/>
  <c r="BX76" i="36"/>
  <c r="BD77" i="36"/>
  <c r="BS76" i="36"/>
  <c r="BS75" i="36"/>
  <c r="AY77" i="36"/>
  <c r="BG77" i="36"/>
  <c r="AX77" i="36"/>
  <c r="BF77" i="36"/>
  <c r="Z462" i="36"/>
  <c r="F31" i="98" s="1"/>
  <c r="AH462" i="36"/>
  <c r="N31" i="98" s="1"/>
  <c r="BS77" i="36"/>
  <c r="AZ77" i="36"/>
  <c r="AU74" i="36"/>
  <c r="BA74" i="36"/>
  <c r="Z461" i="36"/>
  <c r="F30" i="98" s="1"/>
  <c r="AS74" i="36"/>
  <c r="BB74" i="36"/>
  <c r="BC74" i="36"/>
  <c r="BS72" i="36"/>
  <c r="AY74" i="36"/>
  <c r="BS73" i="36"/>
  <c r="AW74" i="36"/>
  <c r="W13" i="36"/>
  <c r="W455" i="36" s="1"/>
  <c r="AH461" i="36"/>
  <c r="N30" i="98" s="1"/>
  <c r="BX72" i="36"/>
  <c r="BD74" i="36"/>
  <c r="BX74" i="36"/>
  <c r="BE74" i="36"/>
  <c r="AH13" i="36"/>
  <c r="AH455" i="36" s="1"/>
  <c r="BF74" i="36"/>
  <c r="AX74" i="36"/>
  <c r="AV74" i="36"/>
  <c r="AJ461" i="36"/>
  <c r="P30" i="98" s="1"/>
  <c r="P32" i="98" s="1"/>
  <c r="AJ13" i="36"/>
  <c r="BY73" i="36" s="1"/>
  <c r="BG74" i="36"/>
  <c r="BS74" i="36"/>
  <c r="AZ74" i="36"/>
  <c r="AT74" i="36"/>
  <c r="Y13" i="36"/>
  <c r="BN74" i="36" s="1"/>
  <c r="W461" i="36"/>
  <c r="AD461" i="36"/>
  <c r="J30" i="98" s="1"/>
  <c r="J32" i="98" s="1"/>
  <c r="BS70" i="36"/>
  <c r="BX70" i="36"/>
  <c r="AF13" i="36"/>
  <c r="AF455" i="36" s="1"/>
  <c r="X461" i="36"/>
  <c r="D30" i="98" s="1"/>
  <c r="AF461" i="36"/>
  <c r="L30" i="98" s="1"/>
  <c r="AG461" i="36"/>
  <c r="M30" i="98" s="1"/>
  <c r="AG13" i="36"/>
  <c r="BV70" i="36" s="1"/>
  <c r="AZ71" i="36"/>
  <c r="BS71" i="36"/>
  <c r="AA13" i="36"/>
  <c r="BP69" i="36" s="1"/>
  <c r="AV71" i="36"/>
  <c r="BG71" i="36"/>
  <c r="AX71" i="36"/>
  <c r="AC13" i="36"/>
  <c r="BR72" i="36" s="1"/>
  <c r="AL13" i="36"/>
  <c r="AL14" i="36" s="1"/>
  <c r="AL17" i="36" s="1"/>
  <c r="AS71" i="36"/>
  <c r="BC71" i="36"/>
  <c r="AE13" i="36"/>
  <c r="BT74" i="36" s="1"/>
  <c r="AC461" i="36"/>
  <c r="I30" i="98" s="1"/>
  <c r="AA461" i="36"/>
  <c r="AA463" i="36" s="1"/>
  <c r="AA464" i="36" s="1"/>
  <c r="X13" i="36"/>
  <c r="BM69" i="36" s="1"/>
  <c r="AT71" i="36"/>
  <c r="AL461" i="36"/>
  <c r="R30" i="98" s="1"/>
  <c r="R32" i="98" s="1"/>
  <c r="BX69" i="36"/>
  <c r="BD71" i="36"/>
  <c r="Z13" i="36"/>
  <c r="BO71" i="36" s="1"/>
  <c r="AU71" i="36"/>
  <c r="BA71" i="36"/>
  <c r="AY71" i="36"/>
  <c r="BS69" i="36"/>
  <c r="AB13" i="36"/>
  <c r="BQ70" i="36" s="1"/>
  <c r="AW71" i="36"/>
  <c r="BX71" i="36"/>
  <c r="BE71" i="36"/>
  <c r="BB71" i="36"/>
  <c r="AE461" i="36"/>
  <c r="K30" i="98" s="1"/>
  <c r="BF71" i="36"/>
  <c r="H31" i="98"/>
  <c r="H32" i="98" s="1"/>
  <c r="I31" i="98"/>
  <c r="G31" i="98"/>
  <c r="AG473" i="36"/>
  <c r="Z449" i="36"/>
  <c r="AC450" i="36"/>
  <c r="AH477" i="36"/>
  <c r="AH450" i="36"/>
  <c r="AE472" i="36"/>
  <c r="AI452" i="36"/>
  <c r="AD449" i="36"/>
  <c r="AG472" i="36"/>
  <c r="Y477" i="36"/>
  <c r="AD450" i="36"/>
  <c r="AJ450" i="36"/>
  <c r="X453" i="36"/>
  <c r="AH452" i="36"/>
  <c r="AB477" i="36"/>
  <c r="AD451" i="36"/>
  <c r="AA476" i="36"/>
  <c r="X473" i="36"/>
  <c r="AE453" i="36"/>
  <c r="AJ473" i="36"/>
  <c r="AL452" i="36"/>
  <c r="AA450" i="36"/>
  <c r="AB450" i="36"/>
  <c r="Z480" i="36"/>
  <c r="AJ477" i="36"/>
  <c r="AH453" i="36"/>
  <c r="Y476" i="36"/>
  <c r="AA452" i="36"/>
  <c r="AA480" i="36"/>
  <c r="AJ472" i="36"/>
  <c r="AK453" i="36"/>
  <c r="AG451" i="36"/>
  <c r="AC448" i="36"/>
  <c r="AB473" i="36"/>
  <c r="AC452" i="36"/>
  <c r="AI449" i="36"/>
  <c r="AD455" i="36"/>
  <c r="AD14" i="36"/>
  <c r="AD17" i="36" s="1"/>
  <c r="AE449" i="36"/>
  <c r="AF476" i="36"/>
  <c r="Y449" i="36"/>
  <c r="X472" i="36"/>
  <c r="AG450" i="36"/>
  <c r="X452" i="36"/>
  <c r="AE452" i="36"/>
  <c r="W453" i="36"/>
  <c r="AE480" i="36"/>
  <c r="AL476" i="36"/>
  <c r="AH451" i="36"/>
  <c r="AK450" i="36"/>
  <c r="AJ452" i="36"/>
  <c r="AI453" i="36"/>
  <c r="AD477" i="36"/>
  <c r="Z477" i="36"/>
  <c r="Z451" i="36"/>
  <c r="AE448" i="36"/>
  <c r="AB472" i="36"/>
  <c r="AG455" i="36"/>
  <c r="AG449" i="36"/>
  <c r="AE477" i="36"/>
  <c r="AB449" i="36"/>
  <c r="AC451" i="36"/>
  <c r="AA451" i="36"/>
  <c r="AE473" i="36"/>
  <c r="AF472" i="36"/>
  <c r="AB476" i="36"/>
  <c r="Y472" i="36"/>
  <c r="AD453" i="36"/>
  <c r="Y450" i="36"/>
  <c r="W451" i="36"/>
  <c r="W452" i="36"/>
  <c r="AD452" i="36"/>
  <c r="AG480" i="36"/>
  <c r="W476" i="36"/>
  <c r="AL480" i="36"/>
  <c r="AK476" i="36"/>
  <c r="AI473" i="36"/>
  <c r="AK472" i="36"/>
  <c r="AL453" i="36"/>
  <c r="AL450" i="36"/>
  <c r="AK452" i="36"/>
  <c r="AJ453" i="36"/>
  <c r="AI14" i="36"/>
  <c r="AI17" i="36" s="1"/>
  <c r="AC449" i="36"/>
  <c r="AA449" i="36"/>
  <c r="AG448" i="36"/>
  <c r="AC473" i="36"/>
  <c r="AC471" i="36" s="1"/>
  <c r="AA448" i="36"/>
  <c r="AE476" i="36"/>
  <c r="AA472" i="36"/>
  <c r="W473" i="36"/>
  <c r="Y451" i="36"/>
  <c r="X476" i="36"/>
  <c r="X451" i="36"/>
  <c r="AC453" i="36"/>
  <c r="AA453" i="36"/>
  <c r="AG452" i="36"/>
  <c r="Z452" i="36"/>
  <c r="W480" i="36"/>
  <c r="W472" i="36"/>
  <c r="AK480" i="36"/>
  <c r="AK477" i="36"/>
  <c r="AL477" i="36"/>
  <c r="AI450" i="36"/>
  <c r="AH449" i="36"/>
  <c r="AH448" i="36"/>
  <c r="AA473" i="36"/>
  <c r="W448" i="36"/>
  <c r="X449" i="36"/>
  <c r="AB452" i="36"/>
  <c r="X450" i="36"/>
  <c r="AE450" i="36"/>
  <c r="AF450" i="36"/>
  <c r="AF480" i="36"/>
  <c r="Y480" i="36"/>
  <c r="AH480" i="36"/>
  <c r="AI476" i="36"/>
  <c r="AH472" i="36"/>
  <c r="AI472" i="36"/>
  <c r="AI477" i="36"/>
  <c r="AL448" i="36"/>
  <c r="AL451" i="36"/>
  <c r="AI451" i="36"/>
  <c r="AF449" i="36"/>
  <c r="AC477" i="36"/>
  <c r="AA477" i="36"/>
  <c r="AD473" i="36"/>
  <c r="AD472" i="36"/>
  <c r="Z472" i="36"/>
  <c r="AG14" i="36"/>
  <c r="AG17" i="36" s="1"/>
  <c r="AF477" i="36"/>
  <c r="AF451" i="36"/>
  <c r="AE451" i="36"/>
  <c r="AF448" i="36"/>
  <c r="AD448" i="36"/>
  <c r="AD476" i="36"/>
  <c r="Z476" i="36"/>
  <c r="X448" i="36"/>
  <c r="W449" i="36"/>
  <c r="Z450" i="36"/>
  <c r="AG453" i="36"/>
  <c r="W450" i="36"/>
  <c r="Z453" i="36"/>
  <c r="AC480" i="36"/>
  <c r="X480" i="36"/>
  <c r="AJ476" i="36"/>
  <c r="AH473" i="36"/>
  <c r="AL473" i="36"/>
  <c r="AL449" i="36"/>
  <c r="AI448" i="36"/>
  <c r="AK448" i="36"/>
  <c r="AK449" i="36"/>
  <c r="AB451" i="36"/>
  <c r="AF473" i="36"/>
  <c r="AB448" i="36"/>
  <c r="Z448" i="36"/>
  <c r="AG476" i="36"/>
  <c r="AC476" i="36"/>
  <c r="Y473" i="36"/>
  <c r="W477" i="36"/>
  <c r="X477" i="36"/>
  <c r="AB453" i="36"/>
  <c r="Y453" i="36"/>
  <c r="AF453" i="36"/>
  <c r="Y452" i="36"/>
  <c r="AD480" i="36"/>
  <c r="AB480" i="36"/>
  <c r="AI480" i="36"/>
  <c r="AH476" i="36"/>
  <c r="AL472" i="36"/>
  <c r="AK473" i="36"/>
  <c r="AJ448" i="36"/>
  <c r="AJ449" i="36"/>
  <c r="AK451" i="36"/>
  <c r="AJ451" i="36"/>
  <c r="H41" i="45"/>
  <c r="I44" i="45"/>
  <c r="H48" i="45"/>
  <c r="H78" i="45"/>
  <c r="I62" i="45"/>
  <c r="H68" i="45"/>
  <c r="H47" i="45"/>
  <c r="H46" i="45"/>
  <c r="I58" i="45"/>
  <c r="I79" i="45"/>
  <c r="H57" i="45"/>
  <c r="H58" i="45"/>
  <c r="H74" i="45"/>
  <c r="H71" i="45"/>
  <c r="I65" i="45"/>
  <c r="I45" i="45"/>
  <c r="I75" i="45"/>
  <c r="H43" i="45"/>
  <c r="H67" i="45"/>
  <c r="I70" i="45"/>
  <c r="I57" i="45"/>
  <c r="I55" i="45"/>
  <c r="H52" i="45"/>
  <c r="H59" i="45"/>
  <c r="I56" i="45"/>
  <c r="H60" i="45"/>
  <c r="I41" i="45"/>
  <c r="I78" i="45"/>
  <c r="H75" i="45"/>
  <c r="I80" i="45"/>
  <c r="I68" i="45"/>
  <c r="H45" i="45"/>
  <c r="I72" i="45"/>
  <c r="I73" i="45"/>
  <c r="I42" i="45"/>
  <c r="I63" i="45"/>
  <c r="H64" i="45"/>
  <c r="I64" i="45"/>
  <c r="H53" i="45"/>
  <c r="H76" i="45"/>
  <c r="I53" i="45"/>
  <c r="I49" i="45"/>
  <c r="H44" i="45"/>
  <c r="H79" i="45"/>
  <c r="H66" i="45"/>
  <c r="H77" i="45"/>
  <c r="I66" i="45"/>
  <c r="H70" i="45"/>
  <c r="H56" i="45"/>
  <c r="I61" i="45"/>
  <c r="I52" i="45"/>
  <c r="I48" i="45"/>
  <c r="H65" i="45"/>
  <c r="I59" i="45"/>
  <c r="I50" i="45"/>
  <c r="I54" i="45"/>
  <c r="I51" i="45"/>
  <c r="H50" i="45"/>
  <c r="H80" i="45"/>
  <c r="I47" i="45"/>
  <c r="H72" i="45"/>
  <c r="I76" i="45"/>
  <c r="H51" i="45"/>
  <c r="H73" i="45"/>
  <c r="H69" i="45"/>
  <c r="I77" i="45"/>
  <c r="I43" i="45"/>
  <c r="H62" i="45"/>
  <c r="I60" i="45"/>
  <c r="H63" i="45"/>
  <c r="H49" i="45"/>
  <c r="AH28" i="45"/>
  <c r="AH42" i="41"/>
  <c r="AH76" i="41" s="1"/>
  <c r="AF28" i="45"/>
  <c r="AF42" i="41"/>
  <c r="AF76" i="41" s="1"/>
  <c r="AJ42" i="41"/>
  <c r="AJ76" i="41" s="1"/>
  <c r="AJ28" i="45"/>
  <c r="AL28" i="45"/>
  <c r="AL42" i="41"/>
  <c r="AL76" i="41" s="1"/>
  <c r="AK28" i="45"/>
  <c r="AI42" i="41"/>
  <c r="AI76" i="41" s="1"/>
  <c r="AG42" i="41"/>
  <c r="AG76" i="41" s="1"/>
  <c r="AB13" i="98"/>
  <c r="W25" i="45"/>
  <c r="W38" i="41" s="1"/>
  <c r="W72" i="41" s="1"/>
  <c r="W136" i="44" s="1"/>
  <c r="W247" i="44" s="1"/>
  <c r="W22" i="42"/>
  <c r="AA17" i="30"/>
  <c r="AA19" i="42" s="1"/>
  <c r="AA22" i="42" s="1"/>
  <c r="AC13" i="98"/>
  <c r="X17" i="30"/>
  <c r="X19" i="42" s="1"/>
  <c r="AA8" i="98"/>
  <c r="AA13" i="98" s="1"/>
  <c r="Y25" i="45"/>
  <c r="Y38" i="41" s="1"/>
  <c r="Y72" i="41" s="1"/>
  <c r="Y136" i="44" s="1"/>
  <c r="Y247" i="44" s="1"/>
  <c r="Y22" i="42"/>
  <c r="AD8" i="98"/>
  <c r="AD13" i="98" s="1"/>
  <c r="Z17" i="30"/>
  <c r="Z19" i="42" s="1"/>
  <c r="BR81" i="90"/>
  <c r="BM124" i="90"/>
  <c r="BL110" i="90"/>
  <c r="BK120" i="90"/>
  <c r="BI124" i="90"/>
  <c r="BR126" i="90"/>
  <c r="BQ98" i="90"/>
  <c r="BO123" i="90"/>
  <c r="BR113" i="90"/>
  <c r="BK103" i="90"/>
  <c r="BJ113" i="90"/>
  <c r="BI123" i="90"/>
  <c r="BP125" i="90"/>
  <c r="BQ126" i="90"/>
  <c r="BP71" i="90"/>
  <c r="BR67" i="90"/>
  <c r="BQ69" i="90"/>
  <c r="BR111" i="90"/>
  <c r="BQ111" i="90"/>
  <c r="BR114" i="90"/>
  <c r="BP104" i="90"/>
  <c r="BP98" i="90"/>
  <c r="BR104" i="90"/>
  <c r="BR94" i="90"/>
  <c r="BR125" i="90"/>
  <c r="BR61" i="90"/>
  <c r="BP110" i="90"/>
  <c r="BR110" i="90"/>
  <c r="BN104" i="90"/>
  <c r="BQ85" i="90"/>
  <c r="BQ104" i="90"/>
  <c r="BR103" i="90"/>
  <c r="BQ124" i="90"/>
  <c r="BM105" i="90"/>
  <c r="BR85" i="90"/>
  <c r="BQ83" i="90"/>
  <c r="BO125" i="90"/>
  <c r="BR69" i="90"/>
  <c r="BR82" i="90"/>
  <c r="BR53" i="90"/>
  <c r="BJ53" i="90"/>
  <c r="BP126" i="90"/>
  <c r="BQ71" i="90"/>
  <c r="BQ108" i="90"/>
  <c r="BR105" i="90"/>
  <c r="BQ96" i="90"/>
  <c r="BQ101" i="90"/>
  <c r="BQ53" i="90"/>
  <c r="BL96" i="90"/>
  <c r="BQ123" i="90"/>
  <c r="H23" i="90"/>
  <c r="H29" i="90" s="1"/>
  <c r="AG28" i="30" s="1"/>
  <c r="BV54" i="90"/>
  <c r="AI53" i="98"/>
  <c r="AA53" i="98"/>
  <c r="BC41" i="90"/>
  <c r="L23" i="90"/>
  <c r="L29" i="90" s="1"/>
  <c r="AK28" i="30" s="1"/>
  <c r="BF41" i="90"/>
  <c r="BX42" i="90"/>
  <c r="BM42" i="90" s="1"/>
  <c r="BB41" i="90"/>
  <c r="H12" i="90"/>
  <c r="AE19" i="98" s="1"/>
  <c r="G12" i="90"/>
  <c r="AD19" i="98" s="1"/>
  <c r="AD23" i="98" s="1"/>
  <c r="BK49" i="90"/>
  <c r="BL51" i="90"/>
  <c r="BO47" i="90"/>
  <c r="BR47" i="90"/>
  <c r="BL49" i="90"/>
  <c r="BM44" i="90"/>
  <c r="BR51" i="90"/>
  <c r="BO44" i="90"/>
  <c r="BO49" i="90"/>
  <c r="BN42" i="90"/>
  <c r="BJ49" i="90"/>
  <c r="BP49" i="90"/>
  <c r="BM51" i="90"/>
  <c r="BA41" i="90"/>
  <c r="BR48" i="90"/>
  <c r="BK43" i="90"/>
  <c r="CA43" i="90"/>
  <c r="BP43" i="90" s="1"/>
  <c r="BJ51" i="90"/>
  <c r="BG41" i="90"/>
  <c r="AB46" i="98"/>
  <c r="BK42" i="90"/>
  <c r="BX50" i="90"/>
  <c r="BM50" i="90" s="1"/>
  <c r="BQ51" i="90"/>
  <c r="K12" i="90"/>
  <c r="AH19" i="98" s="1"/>
  <c r="I12" i="90"/>
  <c r="AF19" i="98" s="1"/>
  <c r="AY41" i="90"/>
  <c r="BX45" i="90"/>
  <c r="BK44" i="90"/>
  <c r="CA45" i="90"/>
  <c r="BK50" i="90"/>
  <c r="L12" i="90"/>
  <c r="AI19" i="98" s="1"/>
  <c r="AI23" i="98" s="1"/>
  <c r="AC27" i="98"/>
  <c r="BE41" i="90"/>
  <c r="D12" i="90"/>
  <c r="D16" i="90" s="1"/>
  <c r="AX41" i="90"/>
  <c r="BQ49" i="90"/>
  <c r="BL42" i="90"/>
  <c r="BM43" i="90"/>
  <c r="BZ42" i="90"/>
  <c r="BL48" i="90"/>
  <c r="AJ27" i="98"/>
  <c r="AJ31" i="98" s="1"/>
  <c r="AA46" i="98"/>
  <c r="D23" i="90"/>
  <c r="D29" i="90" s="1"/>
  <c r="AC28" i="30" s="1"/>
  <c r="H13" i="90"/>
  <c r="AE20" i="98" s="1"/>
  <c r="CA42" i="90"/>
  <c r="BW45" i="90"/>
  <c r="BW41" i="90" s="1"/>
  <c r="BL50" i="90"/>
  <c r="AE28" i="98"/>
  <c r="AE31" i="98" s="1"/>
  <c r="AI35" i="98"/>
  <c r="AI39" i="98" s="1"/>
  <c r="BM46" i="90"/>
  <c r="BL47" i="90"/>
  <c r="BQ47" i="90"/>
  <c r="E12" i="90"/>
  <c r="AB19" i="98" s="1"/>
  <c r="AB23" i="98" s="1"/>
  <c r="F13" i="90"/>
  <c r="AC20" i="98" s="1"/>
  <c r="AC23" i="98" s="1"/>
  <c r="BR49" i="90"/>
  <c r="BJ47" i="90"/>
  <c r="BL44" i="90"/>
  <c r="BQ48" i="90"/>
  <c r="BN48" i="90"/>
  <c r="CB43" i="90"/>
  <c r="BQ43" i="90" s="1"/>
  <c r="J23" i="90"/>
  <c r="J29" i="90" s="1"/>
  <c r="AI28" i="30" s="1"/>
  <c r="BQ44" i="90"/>
  <c r="BO46" i="90"/>
  <c r="BL46" i="90"/>
  <c r="M23" i="90"/>
  <c r="M29" i="90" s="1"/>
  <c r="AL28" i="30" s="1"/>
  <c r="BN47" i="90"/>
  <c r="BO48" i="90"/>
  <c r="BP51" i="90"/>
  <c r="BI48" i="90"/>
  <c r="BV41" i="90"/>
  <c r="BP47" i="90"/>
  <c r="BR44" i="90"/>
  <c r="CB41" i="90"/>
  <c r="BL43" i="90"/>
  <c r="BK47" i="90"/>
  <c r="BT41" i="90"/>
  <c r="BN43" i="90"/>
  <c r="BR46" i="90"/>
  <c r="BK46" i="90"/>
  <c r="BN44" i="90"/>
  <c r="BO51" i="90"/>
  <c r="BQ46" i="90"/>
  <c r="BO43" i="90"/>
  <c r="BN46" i="90"/>
  <c r="BP44" i="90"/>
  <c r="BN51" i="90"/>
  <c r="BI44" i="90"/>
  <c r="BP48" i="90"/>
  <c r="BY41" i="90"/>
  <c r="AC46" i="98"/>
  <c r="AH46" i="98"/>
  <c r="AE46" i="98"/>
  <c r="AD46" i="98"/>
  <c r="AJ46" i="98"/>
  <c r="AG46" i="98"/>
  <c r="AI46" i="98"/>
  <c r="AF46" i="98"/>
  <c r="E23" i="90"/>
  <c r="E29" i="90" s="1"/>
  <c r="AD28" i="30" s="1"/>
  <c r="F23" i="90"/>
  <c r="F29" i="90" s="1"/>
  <c r="AE28" i="30" s="1"/>
  <c r="G23" i="90"/>
  <c r="G29" i="90" s="1"/>
  <c r="AF28" i="30" s="1"/>
  <c r="K23" i="90"/>
  <c r="K29" i="90" s="1"/>
  <c r="AJ28" i="30" s="1"/>
  <c r="I23" i="90"/>
  <c r="I29" i="90" s="1"/>
  <c r="AH28" i="30" s="1"/>
  <c r="AG23" i="98"/>
  <c r="AF23" i="98"/>
  <c r="AL65" i="30"/>
  <c r="AL16" i="30" s="1"/>
  <c r="AO12" i="98" s="1"/>
  <c r="AJ23" i="98"/>
  <c r="M16" i="90"/>
  <c r="AH18" i="98"/>
  <c r="J16" i="90"/>
  <c r="AJ60" i="98"/>
  <c r="AD31" i="98"/>
  <c r="AH31" i="98"/>
  <c r="AB31" i="98"/>
  <c r="AF39" i="98"/>
  <c r="AH39" i="98"/>
  <c r="AJ39" i="98"/>
  <c r="AB39" i="98"/>
  <c r="AH53" i="98"/>
  <c r="AJ53" i="98"/>
  <c r="AB53" i="98"/>
  <c r="AD53" i="98"/>
  <c r="AF53" i="98"/>
  <c r="AH60" i="98"/>
  <c r="AB60" i="98"/>
  <c r="AD60" i="98"/>
  <c r="AF60" i="98"/>
  <c r="AJ68" i="98"/>
  <c r="AB68" i="98"/>
  <c r="AD68" i="98"/>
  <c r="AF68" i="98"/>
  <c r="AH68" i="98"/>
  <c r="AD58" i="30"/>
  <c r="AD15" i="30" s="1"/>
  <c r="AG11" i="98" s="1"/>
  <c r="AF58" i="30"/>
  <c r="AF15" i="30" s="1"/>
  <c r="AI11" i="98" s="1"/>
  <c r="AI37" i="30"/>
  <c r="AI12" i="30" s="1"/>
  <c r="AL8" i="98" s="1"/>
  <c r="AK37" i="30"/>
  <c r="AK12" i="30" s="1"/>
  <c r="AN8" i="98" s="1"/>
  <c r="AC37" i="30"/>
  <c r="AC12" i="30" s="1"/>
  <c r="AF8" i="98" s="1"/>
  <c r="AG37" i="30"/>
  <c r="AG12" i="30" s="1"/>
  <c r="AJ8" i="98" s="1"/>
  <c r="AI44" i="30"/>
  <c r="AI13" i="30" s="1"/>
  <c r="AL9" i="98" s="1"/>
  <c r="AK44" i="30"/>
  <c r="AK13" i="30" s="1"/>
  <c r="AN9" i="98" s="1"/>
  <c r="AE44" i="30"/>
  <c r="AE13" i="30" s="1"/>
  <c r="AH9" i="98" s="1"/>
  <c r="AI51" i="30"/>
  <c r="AI14" i="30" s="1"/>
  <c r="AL10" i="98" s="1"/>
  <c r="AE51" i="30"/>
  <c r="AE14" i="30" s="1"/>
  <c r="AH10" i="98" s="1"/>
  <c r="AG51" i="30"/>
  <c r="AG14" i="30" s="1"/>
  <c r="AJ10" i="98" s="1"/>
  <c r="AD65" i="30"/>
  <c r="AD16" i="30" s="1"/>
  <c r="AG12" i="98" s="1"/>
  <c r="AF65" i="30"/>
  <c r="AF16" i="30" s="1"/>
  <c r="AI12" i="98" s="1"/>
  <c r="AH65" i="30"/>
  <c r="AH16" i="30" s="1"/>
  <c r="AK12" i="98" s="1"/>
  <c r="AH58" i="30"/>
  <c r="AH15" i="30" s="1"/>
  <c r="AK11" i="98" s="1"/>
  <c r="AL58" i="30"/>
  <c r="AL15" i="30" s="1"/>
  <c r="AO11" i="98" s="1"/>
  <c r="AF31" i="98"/>
  <c r="AF51" i="30"/>
  <c r="AF14" i="30" s="1"/>
  <c r="AI10" i="98" s="1"/>
  <c r="AK65" i="30"/>
  <c r="AK16" i="30" s="1"/>
  <c r="AN12" i="98" s="1"/>
  <c r="AJ58" i="30"/>
  <c r="AJ15" i="30" s="1"/>
  <c r="AM11" i="98" s="1"/>
  <c r="AE58" i="30"/>
  <c r="AE15" i="30" s="1"/>
  <c r="AH11" i="98" s="1"/>
  <c r="AG58" i="30"/>
  <c r="AG15" i="30" s="1"/>
  <c r="AJ11" i="98" s="1"/>
  <c r="AI58" i="30"/>
  <c r="AI15" i="30" s="1"/>
  <c r="AL11" i="98" s="1"/>
  <c r="AK58" i="30"/>
  <c r="AK15" i="30" s="1"/>
  <c r="AN11" i="98" s="1"/>
  <c r="AD37" i="30"/>
  <c r="AD12" i="30" s="1"/>
  <c r="AF37" i="30"/>
  <c r="AF12" i="30" s="1"/>
  <c r="AI8" i="98" s="1"/>
  <c r="AH37" i="30"/>
  <c r="AH12" i="30" s="1"/>
  <c r="AK8" i="98" s="1"/>
  <c r="AJ37" i="30"/>
  <c r="AJ12" i="30" s="1"/>
  <c r="AM8" i="98" s="1"/>
  <c r="AL44" i="30"/>
  <c r="AL13" i="30" s="1"/>
  <c r="AO9" i="98" s="1"/>
  <c r="AD44" i="30"/>
  <c r="AD13" i="30" s="1"/>
  <c r="AG9" i="98" s="1"/>
  <c r="AF44" i="30"/>
  <c r="AF13" i="30" s="1"/>
  <c r="AI9" i="98" s="1"/>
  <c r="AH44" i="30"/>
  <c r="AH13" i="30" s="1"/>
  <c r="AK9" i="98" s="1"/>
  <c r="AJ44" i="30"/>
  <c r="AJ13" i="30" s="1"/>
  <c r="AM9" i="98" s="1"/>
  <c r="AL51" i="30"/>
  <c r="AL14" i="30" s="1"/>
  <c r="AO10" i="98" s="1"/>
  <c r="AD51" i="30"/>
  <c r="AD14" i="30" s="1"/>
  <c r="AG10" i="98" s="1"/>
  <c r="AH51" i="30"/>
  <c r="AH14" i="30" s="1"/>
  <c r="AK10" i="98" s="1"/>
  <c r="AJ51" i="30"/>
  <c r="AJ14" i="30" s="1"/>
  <c r="AM10" i="98" s="1"/>
  <c r="AC58" i="30"/>
  <c r="AC15" i="30" s="1"/>
  <c r="AF11" i="98" s="1"/>
  <c r="AE65" i="30"/>
  <c r="AE16" i="30" s="1"/>
  <c r="AH12" i="98" s="1"/>
  <c r="AG65" i="30"/>
  <c r="AG16" i="30" s="1"/>
  <c r="AJ12" i="98" s="1"/>
  <c r="AI65" i="30"/>
  <c r="AI16" i="30" s="1"/>
  <c r="AL12" i="98" s="1"/>
  <c r="AI31" i="98"/>
  <c r="AG31" i="98"/>
  <c r="AC39" i="98"/>
  <c r="AE39" i="98"/>
  <c r="AG39" i="98"/>
  <c r="AE53" i="98"/>
  <c r="AG53" i="98"/>
  <c r="AC53" i="98"/>
  <c r="AE60" i="98"/>
  <c r="AG60" i="98"/>
  <c r="AI60" i="98"/>
  <c r="AA60" i="98"/>
  <c r="AC60" i="98"/>
  <c r="AG68" i="98"/>
  <c r="AI68" i="98"/>
  <c r="AA68" i="98"/>
  <c r="AC68" i="98"/>
  <c r="AE68" i="98"/>
  <c r="AD68" i="12"/>
  <c r="AD13" i="12" s="1"/>
  <c r="J92" i="98" s="1"/>
  <c r="J81" i="98"/>
  <c r="J83" i="98" s="1"/>
  <c r="AJ135" i="12"/>
  <c r="AK135" i="12"/>
  <c r="AH135" i="12"/>
  <c r="X29" i="12"/>
  <c r="X34" i="12" s="1"/>
  <c r="I81" i="98"/>
  <c r="AC68" i="12"/>
  <c r="AC13" i="12" s="1"/>
  <c r="I92" i="98" s="1"/>
  <c r="AH68" i="12"/>
  <c r="AH13" i="12" s="1"/>
  <c r="N81" i="98"/>
  <c r="N83" i="98" s="1"/>
  <c r="AI68" i="12"/>
  <c r="AI13" i="12" s="1"/>
  <c r="O81" i="98"/>
  <c r="O83" i="98" s="1"/>
  <c r="X135" i="12"/>
  <c r="AJ50" i="12"/>
  <c r="P70" i="98" s="1"/>
  <c r="P72" i="98" s="1"/>
  <c r="I83" i="98"/>
  <c r="N70" i="98"/>
  <c r="N72" i="98" s="1"/>
  <c r="AK50" i="12"/>
  <c r="Q70" i="98" s="1"/>
  <c r="Q72" i="98" s="1"/>
  <c r="AA135" i="12"/>
  <c r="AC135" i="12"/>
  <c r="AB29" i="12"/>
  <c r="AB34" i="12" s="1"/>
  <c r="H70" i="98"/>
  <c r="H72" i="98" s="1"/>
  <c r="AB57" i="12"/>
  <c r="AB12" i="12" s="1"/>
  <c r="E70" i="98"/>
  <c r="E72" i="98" s="1"/>
  <c r="Y29" i="12"/>
  <c r="Y34" i="12" s="1"/>
  <c r="E44" i="98" s="1"/>
  <c r="Y57" i="12"/>
  <c r="Y12" i="12" s="1"/>
  <c r="G70" i="98"/>
  <c r="G72" i="98" s="1"/>
  <c r="AA57" i="12"/>
  <c r="AA12" i="12" s="1"/>
  <c r="G89" i="98" s="1"/>
  <c r="AA29" i="12"/>
  <c r="AA29" i="86" s="1"/>
  <c r="AA34" i="86" s="1"/>
  <c r="M81" i="98"/>
  <c r="M83" i="98" s="1"/>
  <c r="AG68" i="12"/>
  <c r="AG13" i="12" s="1"/>
  <c r="AG57" i="12"/>
  <c r="AG12" i="12" s="1"/>
  <c r="M70" i="98"/>
  <c r="M72" i="98" s="1"/>
  <c r="AG29" i="12"/>
  <c r="AG87" i="86" s="1"/>
  <c r="AC57" i="12"/>
  <c r="AC12" i="12" s="1"/>
  <c r="I70" i="98"/>
  <c r="I72" i="98" s="1"/>
  <c r="AC29" i="12"/>
  <c r="AC87" i="86" s="1"/>
  <c r="AF29" i="12"/>
  <c r="AF87" i="86" s="1"/>
  <c r="AF57" i="12"/>
  <c r="AF12" i="12" s="1"/>
  <c r="L70" i="98"/>
  <c r="L72" i="98" s="1"/>
  <c r="AB68" i="12"/>
  <c r="AB13" i="12" s="1"/>
  <c r="H92" i="98" s="1"/>
  <c r="H81" i="98"/>
  <c r="H83" i="98" s="1"/>
  <c r="P81" i="98"/>
  <c r="P83" i="98" s="1"/>
  <c r="AJ68" i="12"/>
  <c r="AJ13" i="12" s="1"/>
  <c r="G81" i="98"/>
  <c r="G83" i="98" s="1"/>
  <c r="AA68" i="12"/>
  <c r="AA13" i="12" s="1"/>
  <c r="G92" i="98" s="1"/>
  <c r="AK68" i="12"/>
  <c r="AK13" i="12" s="1"/>
  <c r="Q81" i="98"/>
  <c r="Q83" i="98" s="1"/>
  <c r="AH90" i="12"/>
  <c r="AH15" i="12" s="1"/>
  <c r="AH29" i="12"/>
  <c r="AH87" i="86" s="1"/>
  <c r="AH92" i="86" s="1"/>
  <c r="AH145" i="86" s="1"/>
  <c r="Z57" i="12"/>
  <c r="Z12" i="12" s="1"/>
  <c r="F89" i="98" s="1"/>
  <c r="F70" i="98"/>
  <c r="F72" i="98" s="1"/>
  <c r="Z29" i="12"/>
  <c r="Z34" i="12" s="1"/>
  <c r="AD57" i="12"/>
  <c r="AD12" i="12" s="1"/>
  <c r="AD29" i="12"/>
  <c r="AD87" i="86" s="1"/>
  <c r="AD92" i="86" s="1"/>
  <c r="AD145" i="86" s="1"/>
  <c r="J70" i="98"/>
  <c r="J72" i="98" s="1"/>
  <c r="AE68" i="12"/>
  <c r="AE13" i="12" s="1"/>
  <c r="K92" i="98" s="1"/>
  <c r="K81" i="98"/>
  <c r="K83" i="98" s="1"/>
  <c r="F81" i="98"/>
  <c r="F83" i="98" s="1"/>
  <c r="Z68" i="12"/>
  <c r="Z13" i="12" s="1"/>
  <c r="F92" i="98" s="1"/>
  <c r="W57" i="12"/>
  <c r="W12" i="12" s="1"/>
  <c r="W17" i="12" s="1"/>
  <c r="W13" i="42" s="1"/>
  <c r="W29" i="12"/>
  <c r="W34" i="12" s="1"/>
  <c r="W14" i="42" s="1"/>
  <c r="AE57" i="12"/>
  <c r="AE12" i="12" s="1"/>
  <c r="K70" i="98"/>
  <c r="AE29" i="12"/>
  <c r="AE87" i="86" s="1"/>
  <c r="AE92" i="86" s="1"/>
  <c r="AE145" i="86" s="1"/>
  <c r="Y68" i="12"/>
  <c r="Y13" i="12" s="1"/>
  <c r="E81" i="98"/>
  <c r="E83" i="98" s="1"/>
  <c r="AI29" i="12"/>
  <c r="AI87" i="86" s="1"/>
  <c r="AI57" i="12"/>
  <c r="AI12" i="12" s="1"/>
  <c r="O70" i="98"/>
  <c r="O72" i="98" s="1"/>
  <c r="K72" i="98"/>
  <c r="AD135" i="12"/>
  <c r="Y135" i="12"/>
  <c r="X57" i="12"/>
  <c r="X12" i="12" s="1"/>
  <c r="AF68" i="12"/>
  <c r="AF13" i="12" s="1"/>
  <c r="X68" i="12"/>
  <c r="X13" i="12" s="1"/>
  <c r="R81" i="98"/>
  <c r="R83" i="98" s="1"/>
  <c r="AI135" i="12"/>
  <c r="AL135" i="12"/>
  <c r="AE135" i="12"/>
  <c r="Z135" i="12"/>
  <c r="AG135" i="12"/>
  <c r="W135" i="12"/>
  <c r="AL29" i="12"/>
  <c r="AF135" i="12"/>
  <c r="AB135" i="12"/>
  <c r="D70" i="98"/>
  <c r="D72" i="98" s="1"/>
  <c r="L83" i="98"/>
  <c r="R70" i="98"/>
  <c r="R72" i="98" s="1"/>
  <c r="AH91" i="86"/>
  <c r="AD195" i="86"/>
  <c r="J60" i="98" s="1"/>
  <c r="AD168" i="86"/>
  <c r="AL168" i="86"/>
  <c r="AL195" i="86"/>
  <c r="R60" i="98" s="1"/>
  <c r="AI195" i="86"/>
  <c r="O60" i="98" s="1"/>
  <c r="AI168" i="86"/>
  <c r="AE91" i="86"/>
  <c r="AJ91" i="86"/>
  <c r="AF195" i="86"/>
  <c r="L60" i="98" s="1"/>
  <c r="AF168" i="86"/>
  <c r="AG168" i="86"/>
  <c r="AG195" i="86"/>
  <c r="M60" i="98" s="1"/>
  <c r="AC168" i="86"/>
  <c r="AC195" i="86"/>
  <c r="I60" i="98" s="1"/>
  <c r="AK91" i="86"/>
  <c r="AJ194" i="86"/>
  <c r="P59" i="98" s="1"/>
  <c r="AJ165" i="86"/>
  <c r="AG194" i="86"/>
  <c r="M59" i="98" s="1"/>
  <c r="AG165" i="86"/>
  <c r="AF194" i="86"/>
  <c r="L59" i="98" s="1"/>
  <c r="AF165" i="86"/>
  <c r="AC34" i="12"/>
  <c r="AI194" i="86"/>
  <c r="O59" i="98" s="1"/>
  <c r="AD165" i="86"/>
  <c r="AE165" i="86"/>
  <c r="AF89" i="86"/>
  <c r="AI89" i="86"/>
  <c r="AH193" i="86"/>
  <c r="AH164" i="86"/>
  <c r="AL164" i="86"/>
  <c r="AL193" i="86"/>
  <c r="AD193" i="86"/>
  <c r="AD164" i="86"/>
  <c r="AE193" i="86"/>
  <c r="AE164" i="86"/>
  <c r="AC89" i="86"/>
  <c r="AJ193" i="86"/>
  <c r="AJ164" i="86"/>
  <c r="AG92" i="86"/>
  <c r="AG145" i="86" s="1"/>
  <c r="AJ26" i="12"/>
  <c r="AL26" i="12"/>
  <c r="AH26" i="12"/>
  <c r="AL17" i="12"/>
  <c r="AL13" i="42" s="1"/>
  <c r="Z26" i="12"/>
  <c r="AG26" i="12"/>
  <c r="W26" i="12"/>
  <c r="X26" i="12"/>
  <c r="AK26" i="12"/>
  <c r="Y26" i="12"/>
  <c r="AA26" i="12"/>
  <c r="AE26" i="12"/>
  <c r="AC26" i="12"/>
  <c r="AF26" i="12"/>
  <c r="AD26" i="12"/>
  <c r="R53" i="98"/>
  <c r="O53" i="98"/>
  <c r="N53" i="98"/>
  <c r="AH187" i="86"/>
  <c r="AH199" i="86" s="1"/>
  <c r="AL187" i="86"/>
  <c r="AL199" i="86" s="1"/>
  <c r="Q49" i="98"/>
  <c r="Q53" i="98" s="1"/>
  <c r="AJ187" i="86"/>
  <c r="AJ199" i="86" s="1"/>
  <c r="AF187" i="86"/>
  <c r="AF199" i="86" s="1"/>
  <c r="AD187" i="86"/>
  <c r="AD199" i="86" s="1"/>
  <c r="I49" i="98"/>
  <c r="I53" i="98" s="1"/>
  <c r="M53" i="98"/>
  <c r="L53" i="98"/>
  <c r="AE187" i="86"/>
  <c r="AE199" i="86" s="1"/>
  <c r="AG187" i="86"/>
  <c r="AG199" i="86" s="1"/>
  <c r="J53" i="98"/>
  <c r="K53" i="98"/>
  <c r="AC15" i="86"/>
  <c r="AF79" i="98" s="1"/>
  <c r="AF17" i="86"/>
  <c r="AI14" i="89"/>
  <c r="AI93" i="89"/>
  <c r="AC95" i="98"/>
  <c r="Z93" i="89"/>
  <c r="AF115" i="89"/>
  <c r="AB115" i="89"/>
  <c r="AJ90" i="98"/>
  <c r="AA16" i="89"/>
  <c r="AG16" i="89"/>
  <c r="AA115" i="89"/>
  <c r="AE115" i="89"/>
  <c r="AA104" i="89"/>
  <c r="Z15" i="89"/>
  <c r="AC104" i="89"/>
  <c r="AH95" i="98"/>
  <c r="AL93" i="89"/>
  <c r="AB93" i="89"/>
  <c r="AA93" i="89"/>
  <c r="AJ93" i="89"/>
  <c r="AK64" i="89"/>
  <c r="AF95" i="98"/>
  <c r="AA14" i="89"/>
  <c r="AK93" i="89"/>
  <c r="AC14" i="89"/>
  <c r="AO95" i="98"/>
  <c r="AF93" i="89"/>
  <c r="AL14" i="89"/>
  <c r="AD14" i="89"/>
  <c r="AD93" i="89"/>
  <c r="AH52" i="89"/>
  <c r="AC35" i="89"/>
  <c r="AD37" i="89" s="1"/>
  <c r="Y36" i="89"/>
  <c r="AJ35" i="89"/>
  <c r="AJ37" i="89" s="1"/>
  <c r="X36" i="89"/>
  <c r="AF85" i="98"/>
  <c r="Z37" i="89"/>
  <c r="AE37" i="89"/>
  <c r="AE79" i="98"/>
  <c r="W35" i="89"/>
  <c r="AB36" i="89"/>
  <c r="AC36" i="89"/>
  <c r="Z36" i="89"/>
  <c r="AK13" i="89"/>
  <c r="AG37" i="89"/>
  <c r="AB13" i="89"/>
  <c r="X13" i="89"/>
  <c r="AL36" i="89"/>
  <c r="AN85" i="98"/>
  <c r="AK35" i="89"/>
  <c r="AL37" i="89" s="1"/>
  <c r="AJ26" i="89"/>
  <c r="AC13" i="89"/>
  <c r="AB35" i="89"/>
  <c r="AB37" i="89" s="1"/>
  <c r="X35" i="89"/>
  <c r="AJ36" i="89"/>
  <c r="AH37" i="89"/>
  <c r="AF37" i="89"/>
  <c r="AK26" i="89"/>
  <c r="AI37" i="89"/>
  <c r="AF26" i="89"/>
  <c r="N89" i="112"/>
  <c r="O89" i="112" s="1"/>
  <c r="P89" i="112" s="1"/>
  <c r="CE83" i="90"/>
  <c r="CP83" i="90" s="1"/>
  <c r="AC87" i="56" s="1"/>
  <c r="CE129" i="90"/>
  <c r="CE122" i="90"/>
  <c r="CP122" i="90" s="1"/>
  <c r="AC126" i="56" s="1"/>
  <c r="CE61" i="90"/>
  <c r="CP61" i="90" s="1"/>
  <c r="AC65" i="56" s="1"/>
  <c r="AC39" i="93"/>
  <c r="AB49" i="114" s="1"/>
  <c r="CE66" i="90"/>
  <c r="CP66" i="90" s="1"/>
  <c r="AC70" i="56" s="1"/>
  <c r="AC85" i="41"/>
  <c r="AC96" i="44" s="1"/>
  <c r="CE94" i="90"/>
  <c r="CP94" i="90" s="1"/>
  <c r="AC98" i="56" s="1"/>
  <c r="CE65" i="90"/>
  <c r="CP65" i="90" s="1"/>
  <c r="AC69" i="56" s="1"/>
  <c r="AC38" i="40"/>
  <c r="AC91" i="41"/>
  <c r="H91" i="41"/>
  <c r="AD26" i="40"/>
  <c r="AD32" i="40" s="1"/>
  <c r="AD91" i="41" s="1"/>
  <c r="AD23" i="40"/>
  <c r="X186" i="44"/>
  <c r="X99" i="44"/>
  <c r="X191" i="44"/>
  <c r="X188" i="44"/>
  <c r="Y87" i="44"/>
  <c r="Y249" i="44" s="1"/>
  <c r="AB89" i="44"/>
  <c r="AB137" i="44" s="1"/>
  <c r="Y86" i="44"/>
  <c r="Y124" i="44" s="1"/>
  <c r="CE56" i="90"/>
  <c r="CP56" i="90" s="1"/>
  <c r="AC60" i="56" s="1"/>
  <c r="CE132" i="90"/>
  <c r="CE93" i="90"/>
  <c r="CP93" i="90" s="1"/>
  <c r="AC97" i="56" s="1"/>
  <c r="AB85" i="44"/>
  <c r="CE96" i="90"/>
  <c r="CP96" i="90" s="1"/>
  <c r="AC100" i="56" s="1"/>
  <c r="CE130" i="90"/>
  <c r="Y89" i="44"/>
  <c r="Y137" i="44" s="1"/>
  <c r="CE91" i="90"/>
  <c r="CP91" i="90" s="1"/>
  <c r="AC95" i="56" s="1"/>
  <c r="CE64" i="90"/>
  <c r="CP64" i="90" s="1"/>
  <c r="AC68" i="56" s="1"/>
  <c r="W84" i="44"/>
  <c r="W188" i="44"/>
  <c r="W189" i="44" s="1"/>
  <c r="W186" i="44"/>
  <c r="W193" i="44"/>
  <c r="W99" i="44"/>
  <c r="W191" i="44"/>
  <c r="AA99" i="44"/>
  <c r="AA84" i="44"/>
  <c r="AA188" i="44"/>
  <c r="AA191" i="44"/>
  <c r="AA193" i="44"/>
  <c r="AA186" i="44"/>
  <c r="W85" i="44"/>
  <c r="AA96" i="44"/>
  <c r="Z85" i="44"/>
  <c r="X85" i="44"/>
  <c r="W96" i="44"/>
  <c r="AA85" i="44"/>
  <c r="Z86" i="44"/>
  <c r="Z124" i="44" s="1"/>
  <c r="X89" i="44"/>
  <c r="X137" i="44" s="1"/>
  <c r="Z99" i="44"/>
  <c r="Z188" i="44"/>
  <c r="X193" i="44"/>
  <c r="X84" i="44"/>
  <c r="X126" i="44" s="1"/>
  <c r="AB96" i="44"/>
  <c r="AB87" i="44"/>
  <c r="AB125" i="44" s="1"/>
  <c r="AA87" i="44"/>
  <c r="AA249" i="44" s="1"/>
  <c r="Z96" i="44"/>
  <c r="Y85" i="44"/>
  <c r="X96" i="44"/>
  <c r="W87" i="44"/>
  <c r="W249" i="44" s="1"/>
  <c r="Z89" i="44"/>
  <c r="Z137" i="44" s="1"/>
  <c r="AA90" i="44"/>
  <c r="AA207" i="44" s="1"/>
  <c r="Z84" i="44"/>
  <c r="Z126" i="44" s="1"/>
  <c r="AB86" i="44"/>
  <c r="AB248" i="44" s="1"/>
  <c r="AA89" i="44"/>
  <c r="AA137" i="44" s="1"/>
  <c r="AA86" i="44"/>
  <c r="AA248" i="44" s="1"/>
  <c r="Z87" i="44"/>
  <c r="Z249" i="44" s="1"/>
  <c r="Y96" i="44"/>
  <c r="X87" i="44"/>
  <c r="X125" i="44" s="1"/>
  <c r="W89" i="44"/>
  <c r="W137" i="44" s="1"/>
  <c r="W86" i="44"/>
  <c r="W248" i="44" s="1"/>
  <c r="H16" i="91"/>
  <c r="R16" i="91" s="1"/>
  <c r="AB15" i="30" s="1"/>
  <c r="CE43" i="90"/>
  <c r="CP43" i="90" s="1"/>
  <c r="AC47" i="56" s="1"/>
  <c r="CE127" i="90"/>
  <c r="CE86" i="90"/>
  <c r="CP86" i="90" s="1"/>
  <c r="AC90" i="56" s="1"/>
  <c r="CE63" i="90"/>
  <c r="CP63" i="90" s="1"/>
  <c r="AC67" i="56" s="1"/>
  <c r="CE113" i="90"/>
  <c r="CP113" i="90" s="1"/>
  <c r="AC117" i="56" s="1"/>
  <c r="AB209" i="44"/>
  <c r="E101" i="112"/>
  <c r="AO25" i="112"/>
  <c r="AO77" i="112" s="1"/>
  <c r="E87" i="112"/>
  <c r="E88" i="112" s="1"/>
  <c r="I130" i="112"/>
  <c r="I140" i="112" s="1"/>
  <c r="J130" i="112"/>
  <c r="J151" i="112" s="1"/>
  <c r="K129" i="112"/>
  <c r="K150" i="112" s="1"/>
  <c r="N128" i="112"/>
  <c r="N149" i="112" s="1"/>
  <c r="P128" i="112"/>
  <c r="P149" i="112" s="1"/>
  <c r="O128" i="112"/>
  <c r="O149" i="112" s="1"/>
  <c r="O129" i="112"/>
  <c r="O150" i="112" s="1"/>
  <c r="R128" i="112"/>
  <c r="R149" i="112" s="1"/>
  <c r="V127" i="112"/>
  <c r="V148" i="112" s="1"/>
  <c r="T124" i="112"/>
  <c r="S129" i="112"/>
  <c r="F130" i="112"/>
  <c r="F151" i="112" s="1"/>
  <c r="G130" i="112"/>
  <c r="G140" i="112" s="1"/>
  <c r="G141" i="112" s="1"/>
  <c r="F7" i="112"/>
  <c r="W127" i="112"/>
  <c r="W148" i="112" s="1"/>
  <c r="U130" i="112"/>
  <c r="U151" i="112" s="1"/>
  <c r="N130" i="112"/>
  <c r="N151" i="112" s="1"/>
  <c r="O124" i="112"/>
  <c r="O130" i="112"/>
  <c r="O151" i="112" s="1"/>
  <c r="Q150" i="112"/>
  <c r="W130" i="112"/>
  <c r="W151" i="112" s="1"/>
  <c r="V128" i="112"/>
  <c r="V149" i="112" s="1"/>
  <c r="U128" i="112"/>
  <c r="U149" i="112" s="1"/>
  <c r="H140" i="112"/>
  <c r="H141" i="112" s="1"/>
  <c r="G129" i="112"/>
  <c r="G138" i="112" s="1"/>
  <c r="G139" i="112" s="1"/>
  <c r="E130" i="112"/>
  <c r="E151" i="112" s="1"/>
  <c r="F128" i="112"/>
  <c r="F136" i="112" s="1"/>
  <c r="F137" i="112" s="1"/>
  <c r="V151" i="112"/>
  <c r="S151" i="112"/>
  <c r="D151" i="112"/>
  <c r="H151" i="112"/>
  <c r="P151" i="112"/>
  <c r="E140" i="112"/>
  <c r="E141" i="112" s="1"/>
  <c r="L151" i="112"/>
  <c r="N124" i="112"/>
  <c r="T129" i="112"/>
  <c r="T150" i="112" s="1"/>
  <c r="S128" i="112"/>
  <c r="S149" i="112" s="1"/>
  <c r="D141" i="112"/>
  <c r="W129" i="112"/>
  <c r="W150" i="112" s="1"/>
  <c r="U129" i="112"/>
  <c r="U150" i="112" s="1"/>
  <c r="S124" i="112"/>
  <c r="K151" i="112"/>
  <c r="M124" i="112"/>
  <c r="P129" i="112"/>
  <c r="P150" i="112" s="1"/>
  <c r="Q124" i="112"/>
  <c r="R127" i="112"/>
  <c r="R148" i="112" s="1"/>
  <c r="W124" i="112"/>
  <c r="W128" i="112"/>
  <c r="W149" i="112" s="1"/>
  <c r="V129" i="112"/>
  <c r="V150" i="112" s="1"/>
  <c r="M151" i="112"/>
  <c r="N129" i="112"/>
  <c r="N150" i="112" s="1"/>
  <c r="J124" i="112"/>
  <c r="J128" i="112"/>
  <c r="J149" i="112" s="1"/>
  <c r="M128" i="112"/>
  <c r="M149" i="112" s="1"/>
  <c r="M129" i="112"/>
  <c r="M150" i="112" s="1"/>
  <c r="P127" i="112"/>
  <c r="O127" i="112"/>
  <c r="Q128" i="112"/>
  <c r="Q149" i="112" s="1"/>
  <c r="R124" i="112"/>
  <c r="V124" i="112"/>
  <c r="S127" i="112"/>
  <c r="S148" i="112" s="1"/>
  <c r="T127" i="112"/>
  <c r="T148" i="112" s="1"/>
  <c r="T128" i="112"/>
  <c r="T149" i="112" s="1"/>
  <c r="H129" i="112"/>
  <c r="H138" i="112" s="1"/>
  <c r="H139" i="112" s="1"/>
  <c r="D129" i="112"/>
  <c r="D138" i="112" s="1"/>
  <c r="D139" i="112" s="1"/>
  <c r="E129" i="112"/>
  <c r="E138" i="112" s="1"/>
  <c r="E139" i="112" s="1"/>
  <c r="F129" i="112"/>
  <c r="F138" i="112" s="1"/>
  <c r="F139" i="112" s="1"/>
  <c r="G128" i="112"/>
  <c r="G136" i="112" s="1"/>
  <c r="G137" i="112" s="1"/>
  <c r="H128" i="112"/>
  <c r="H149" i="112" s="1"/>
  <c r="D128" i="112"/>
  <c r="D136" i="112" s="1"/>
  <c r="D137" i="112" s="1"/>
  <c r="E128" i="112"/>
  <c r="G127" i="112"/>
  <c r="G148" i="112" s="1"/>
  <c r="H127" i="112"/>
  <c r="AH20" i="36"/>
  <c r="L128" i="112"/>
  <c r="L149" i="112" s="1"/>
  <c r="L129" i="112"/>
  <c r="L150" i="112" s="1"/>
  <c r="I128" i="112"/>
  <c r="I136" i="112" s="1"/>
  <c r="J127" i="112"/>
  <c r="J148" i="112" s="1"/>
  <c r="L127" i="112"/>
  <c r="L148" i="112" s="1"/>
  <c r="I129" i="112"/>
  <c r="I150" i="112" s="1"/>
  <c r="I124" i="112"/>
  <c r="J129" i="112"/>
  <c r="J150" i="112" s="1"/>
  <c r="K128" i="112"/>
  <c r="K149" i="112" s="1"/>
  <c r="K127" i="112"/>
  <c r="K131" i="112" s="1"/>
  <c r="Y455" i="57"/>
  <c r="Y14" i="57"/>
  <c r="Y17" i="57" s="1"/>
  <c r="X455" i="57"/>
  <c r="CE138" i="90"/>
  <c r="CE72" i="90"/>
  <c r="CP72" i="90" s="1"/>
  <c r="AC76" i="56" s="1"/>
  <c r="CE103" i="90"/>
  <c r="CP103" i="90" s="1"/>
  <c r="AC107" i="56" s="1"/>
  <c r="CE128" i="90"/>
  <c r="CE62" i="90"/>
  <c r="CP62" i="90" s="1"/>
  <c r="AC66" i="56" s="1"/>
  <c r="CE105" i="90"/>
  <c r="CP105" i="90" s="1"/>
  <c r="AC109" i="56" s="1"/>
  <c r="CE136" i="90"/>
  <c r="CE70" i="90"/>
  <c r="CP70" i="90" s="1"/>
  <c r="AC74" i="56" s="1"/>
  <c r="AF44" i="40"/>
  <c r="CE48" i="90"/>
  <c r="CP48" i="90" s="1"/>
  <c r="AC52" i="56" s="1"/>
  <c r="CE71" i="90"/>
  <c r="CP71" i="90" s="1"/>
  <c r="AC75" i="56" s="1"/>
  <c r="CE95" i="90"/>
  <c r="CP95" i="90" s="1"/>
  <c r="AC99" i="56" s="1"/>
  <c r="CE119" i="90"/>
  <c r="CP119" i="90" s="1"/>
  <c r="AC123" i="56" s="1"/>
  <c r="CE47" i="90"/>
  <c r="CP47" i="90" s="1"/>
  <c r="AC51" i="56" s="1"/>
  <c r="CE76" i="90"/>
  <c r="CP76" i="90" s="1"/>
  <c r="AC80" i="56" s="1"/>
  <c r="CE100" i="90"/>
  <c r="CP100" i="90" s="1"/>
  <c r="AC104" i="56" s="1"/>
  <c r="CE124" i="90"/>
  <c r="CP124" i="90" s="1"/>
  <c r="AC128" i="56" s="1"/>
  <c r="CE46" i="90"/>
  <c r="CP46" i="90" s="1"/>
  <c r="AC50" i="56" s="1"/>
  <c r="CE75" i="90"/>
  <c r="CP75" i="90" s="1"/>
  <c r="AC79" i="56" s="1"/>
  <c r="CE99" i="90"/>
  <c r="CP99" i="90" s="1"/>
  <c r="AC103" i="56" s="1"/>
  <c r="CE123" i="90"/>
  <c r="CP123" i="90" s="1"/>
  <c r="AC127" i="56" s="1"/>
  <c r="CE45" i="90"/>
  <c r="CP45" i="90" s="1"/>
  <c r="AC49" i="56" s="1"/>
  <c r="CE68" i="90"/>
  <c r="CP68" i="90" s="1"/>
  <c r="AC72" i="56" s="1"/>
  <c r="CE92" i="90"/>
  <c r="CP92" i="90" s="1"/>
  <c r="AC96" i="56" s="1"/>
  <c r="CE116" i="90"/>
  <c r="CP116" i="90" s="1"/>
  <c r="AC120" i="56" s="1"/>
  <c r="CE140" i="90"/>
  <c r="CE73" i="90"/>
  <c r="CP73" i="90" s="1"/>
  <c r="AC77" i="56" s="1"/>
  <c r="CE97" i="90"/>
  <c r="CP97" i="90" s="1"/>
  <c r="AC101" i="56" s="1"/>
  <c r="CE121" i="90"/>
  <c r="CP121" i="90" s="1"/>
  <c r="AC125" i="56" s="1"/>
  <c r="CE54" i="90"/>
  <c r="CP54" i="90" s="1"/>
  <c r="AC58" i="56" s="1"/>
  <c r="CE78" i="90"/>
  <c r="CP78" i="90" s="1"/>
  <c r="AC82" i="56" s="1"/>
  <c r="CE102" i="90"/>
  <c r="CP102" i="90" s="1"/>
  <c r="AC106" i="56" s="1"/>
  <c r="CE126" i="90"/>
  <c r="CP126" i="90" s="1"/>
  <c r="AC130" i="56" s="1"/>
  <c r="CE44" i="90"/>
  <c r="CP44" i="90" s="1"/>
  <c r="AC48" i="56" s="1"/>
  <c r="CE53" i="90"/>
  <c r="CP53" i="90" s="1"/>
  <c r="AC57" i="56" s="1"/>
  <c r="CE77" i="90"/>
  <c r="CP77" i="90" s="1"/>
  <c r="AC81" i="56" s="1"/>
  <c r="CE101" i="90"/>
  <c r="CP101" i="90" s="1"/>
  <c r="AC105" i="56" s="1"/>
  <c r="CE125" i="90"/>
  <c r="CP125" i="90" s="1"/>
  <c r="AC129" i="56" s="1"/>
  <c r="CE42" i="90"/>
  <c r="CP42" i="90" s="1"/>
  <c r="AC46" i="56" s="1"/>
  <c r="CE89" i="90"/>
  <c r="CP89" i="90" s="1"/>
  <c r="AC93" i="56" s="1"/>
  <c r="CE137" i="90"/>
  <c r="CE82" i="90"/>
  <c r="CP82" i="90" s="1"/>
  <c r="AC86" i="56" s="1"/>
  <c r="CE112" i="90"/>
  <c r="CP112" i="90" s="1"/>
  <c r="AC116" i="56" s="1"/>
  <c r="CE142" i="90"/>
  <c r="CE81" i="90"/>
  <c r="CP81" i="90" s="1"/>
  <c r="AC85" i="56" s="1"/>
  <c r="CE111" i="90"/>
  <c r="CP111" i="90" s="1"/>
  <c r="AC115" i="56" s="1"/>
  <c r="CE141" i="90"/>
  <c r="CE74" i="90"/>
  <c r="CP74" i="90" s="1"/>
  <c r="AC78" i="56" s="1"/>
  <c r="CE104" i="90"/>
  <c r="CP104" i="90" s="1"/>
  <c r="AC108" i="56" s="1"/>
  <c r="CE134" i="90"/>
  <c r="CE79" i="90"/>
  <c r="CP79" i="90" s="1"/>
  <c r="AC83" i="56" s="1"/>
  <c r="CE109" i="90"/>
  <c r="CP109" i="90" s="1"/>
  <c r="AC113" i="56" s="1"/>
  <c r="CE139" i="90"/>
  <c r="CE84" i="90"/>
  <c r="CP84" i="90" s="1"/>
  <c r="AC88" i="56" s="1"/>
  <c r="CE114" i="90"/>
  <c r="CP114" i="90" s="1"/>
  <c r="AC118" i="56" s="1"/>
  <c r="CE50" i="90"/>
  <c r="CP50" i="90" s="1"/>
  <c r="AC54" i="56" s="1"/>
  <c r="CE59" i="90"/>
  <c r="CP59" i="90" s="1"/>
  <c r="AC63" i="56" s="1"/>
  <c r="CE107" i="90"/>
  <c r="CP107" i="90" s="1"/>
  <c r="AC111" i="56" s="1"/>
  <c r="CE58" i="90"/>
  <c r="CP58" i="90" s="1"/>
  <c r="AC62" i="56" s="1"/>
  <c r="CE88" i="90"/>
  <c r="CP88" i="90" s="1"/>
  <c r="AC92" i="56" s="1"/>
  <c r="CE118" i="90"/>
  <c r="CP118" i="90" s="1"/>
  <c r="AC122" i="56" s="1"/>
  <c r="CE57" i="90"/>
  <c r="CP57" i="90" s="1"/>
  <c r="AC61" i="56" s="1"/>
  <c r="CE87" i="90"/>
  <c r="CP87" i="90" s="1"/>
  <c r="AC91" i="56" s="1"/>
  <c r="CE117" i="90"/>
  <c r="CP117" i="90" s="1"/>
  <c r="AC121" i="56" s="1"/>
  <c r="CE51" i="90"/>
  <c r="CP51" i="90" s="1"/>
  <c r="AC55" i="56" s="1"/>
  <c r="CE80" i="90"/>
  <c r="CP80" i="90" s="1"/>
  <c r="AC84" i="56" s="1"/>
  <c r="CE110" i="90"/>
  <c r="CP110" i="90" s="1"/>
  <c r="AC114" i="56" s="1"/>
  <c r="CE55" i="90"/>
  <c r="CP55" i="90" s="1"/>
  <c r="AC59" i="56" s="1"/>
  <c r="CE85" i="90"/>
  <c r="CP85" i="90" s="1"/>
  <c r="AC89" i="56" s="1"/>
  <c r="CE115" i="90"/>
  <c r="CP115" i="90" s="1"/>
  <c r="AC119" i="56" s="1"/>
  <c r="CE60" i="90"/>
  <c r="CP60" i="90" s="1"/>
  <c r="AC64" i="56" s="1"/>
  <c r="CE90" i="90"/>
  <c r="CP90" i="90" s="1"/>
  <c r="AC94" i="56" s="1"/>
  <c r="CE120" i="90"/>
  <c r="CP120" i="90" s="1"/>
  <c r="AC124" i="56" s="1"/>
  <c r="CE49" i="90"/>
  <c r="CP49" i="90" s="1"/>
  <c r="AC53" i="56" s="1"/>
  <c r="CE108" i="90"/>
  <c r="CP108" i="90" s="1"/>
  <c r="AC112" i="56" s="1"/>
  <c r="CE133" i="90"/>
  <c r="CE67" i="90"/>
  <c r="CP67" i="90" s="1"/>
  <c r="AC71" i="56" s="1"/>
  <c r="CE98" i="90"/>
  <c r="CP98" i="90" s="1"/>
  <c r="AC102" i="56" s="1"/>
  <c r="CE135" i="90"/>
  <c r="CE69" i="90"/>
  <c r="CP69" i="90" s="1"/>
  <c r="AC73" i="56" s="1"/>
  <c r="CE106" i="90"/>
  <c r="CP106" i="90" s="1"/>
  <c r="AC110" i="56" s="1"/>
  <c r="CE131" i="90"/>
  <c r="AD15" i="40"/>
  <c r="Y126" i="44"/>
  <c r="S150" i="112"/>
  <c r="I138" i="112"/>
  <c r="I149" i="112"/>
  <c r="O148" i="112"/>
  <c r="U148" i="112"/>
  <c r="P124" i="112"/>
  <c r="D124" i="112"/>
  <c r="E124" i="112"/>
  <c r="F124" i="112"/>
  <c r="N127" i="112"/>
  <c r="I127" i="112"/>
  <c r="K124" i="112"/>
  <c r="Q127" i="112"/>
  <c r="J108" i="112"/>
  <c r="J107" i="112"/>
  <c r="I108" i="112"/>
  <c r="G150" i="112"/>
  <c r="D150" i="112"/>
  <c r="D149" i="112"/>
  <c r="E136" i="112"/>
  <c r="E137" i="112" s="1"/>
  <c r="H134" i="112"/>
  <c r="H135" i="112" s="1"/>
  <c r="E134" i="112"/>
  <c r="E135" i="112" s="1"/>
  <c r="D127" i="112"/>
  <c r="E148" i="112"/>
  <c r="F127" i="112"/>
  <c r="G124" i="112"/>
  <c r="H124" i="112"/>
  <c r="AG20" i="36"/>
  <c r="AB20" i="36"/>
  <c r="AG20" i="57"/>
  <c r="AG22" i="57" s="1"/>
  <c r="AJ20" i="57"/>
  <c r="H9" i="5"/>
  <c r="H14" i="5"/>
  <c r="O21" i="91"/>
  <c r="Y17" i="86" s="1"/>
  <c r="E92" i="98" s="1"/>
  <c r="R21" i="91"/>
  <c r="K21" i="91"/>
  <c r="J21" i="91"/>
  <c r="L21" i="91"/>
  <c r="P21" i="91"/>
  <c r="I21" i="91"/>
  <c r="M21" i="91"/>
  <c r="W17" i="86" s="1"/>
  <c r="G9" i="91"/>
  <c r="H9" i="91" s="1"/>
  <c r="K22" i="91"/>
  <c r="I16" i="91"/>
  <c r="B2" i="41"/>
  <c r="B2" i="114"/>
  <c r="B11" i="91"/>
  <c r="B13" i="91"/>
  <c r="B12" i="91"/>
  <c r="B20" i="91"/>
  <c r="C20" i="91" s="1"/>
  <c r="F20" i="91" s="1"/>
  <c r="W19" i="34"/>
  <c r="B17" i="91"/>
  <c r="B8" i="91"/>
  <c r="B2" i="90"/>
  <c r="Z20" i="36"/>
  <c r="AG19" i="34"/>
  <c r="AL19" i="34"/>
  <c r="AB19" i="34"/>
  <c r="AA19" i="34"/>
  <c r="AE19" i="34"/>
  <c r="AJ19" i="34"/>
  <c r="Z90" i="44"/>
  <c r="Z123" i="44" s="1"/>
  <c r="Z19" i="34"/>
  <c r="AD20" i="36"/>
  <c r="W90" i="44"/>
  <c r="W207" i="44" s="1"/>
  <c r="D22" i="98"/>
  <c r="AE66" i="40"/>
  <c r="AC40" i="40"/>
  <c r="AK20" i="57"/>
  <c r="AK22" i="57" s="1"/>
  <c r="AK20" i="36"/>
  <c r="AI19" i="34"/>
  <c r="AK19" i="34"/>
  <c r="AA20" i="57"/>
  <c r="X19" i="34"/>
  <c r="AD19" i="34"/>
  <c r="AH19" i="34"/>
  <c r="X86" i="44"/>
  <c r="AF19" i="34"/>
  <c r="Y20" i="57"/>
  <c r="Y22" i="57" s="1"/>
  <c r="Y19" i="34"/>
  <c r="AC19" i="34"/>
  <c r="AE20" i="36"/>
  <c r="AB90" i="44"/>
  <c r="Y20" i="36"/>
  <c r="X20" i="36"/>
  <c r="W20" i="57"/>
  <c r="W22" i="57" s="1"/>
  <c r="AI20" i="36"/>
  <c r="AL20" i="36"/>
  <c r="Y207" i="44"/>
  <c r="Y123" i="44"/>
  <c r="AF20" i="57"/>
  <c r="AF22" i="57" s="1"/>
  <c r="AC20" i="57"/>
  <c r="AA20" i="36"/>
  <c r="X90" i="44"/>
  <c r="O22" i="91" l="1"/>
  <c r="Y19" i="86" s="1"/>
  <c r="BR43" i="90"/>
  <c r="AJ455" i="36"/>
  <c r="AC513" i="57"/>
  <c r="AL473" i="57"/>
  <c r="AL478" i="57" s="1"/>
  <c r="AA513" i="57"/>
  <c r="AA473" i="57"/>
  <c r="AA478" i="57" s="1"/>
  <c r="AH473" i="57"/>
  <c r="AH478" i="57" s="1"/>
  <c r="AH513" i="57"/>
  <c r="AH454" i="57"/>
  <c r="R22" i="91"/>
  <c r="P22" i="91"/>
  <c r="AG34" i="12"/>
  <c r="AG14" i="42" s="1"/>
  <c r="M22" i="91"/>
  <c r="W19" i="86" s="1"/>
  <c r="H150" i="112"/>
  <c r="AD38" i="40"/>
  <c r="AH34" i="12"/>
  <c r="AH14" i="42" s="1"/>
  <c r="BX41" i="90"/>
  <c r="AH456" i="57"/>
  <c r="AC514" i="57"/>
  <c r="AC519" i="57" s="1"/>
  <c r="BQ91" i="90"/>
  <c r="W466" i="57"/>
  <c r="W467" i="57"/>
  <c r="AH516" i="57"/>
  <c r="W516" i="57"/>
  <c r="W519" i="57" s="1"/>
  <c r="AF454" i="57"/>
  <c r="AI454" i="57"/>
  <c r="AE456" i="57"/>
  <c r="W514" i="57"/>
  <c r="W478" i="57"/>
  <c r="AE473" i="57"/>
  <c r="AE513" i="57"/>
  <c r="Y514" i="57"/>
  <c r="AJ454" i="57"/>
  <c r="BN107" i="90"/>
  <c r="BP107" i="90"/>
  <c r="BO107" i="90"/>
  <c r="AC516" i="57"/>
  <c r="AB473" i="57"/>
  <c r="AB478" i="57" s="1"/>
  <c r="Y473" i="57"/>
  <c r="Y478" i="57" s="1"/>
  <c r="Y513" i="57"/>
  <c r="AA515" i="57"/>
  <c r="BI79" i="90"/>
  <c r="BO79" i="90"/>
  <c r="BP79" i="90"/>
  <c r="BR79" i="90"/>
  <c r="I141" i="112"/>
  <c r="AC31" i="98"/>
  <c r="AB463" i="36"/>
  <c r="AB464" i="36" s="1"/>
  <c r="W513" i="57"/>
  <c r="W518" i="57" s="1"/>
  <c r="AH181" i="86"/>
  <c r="AH139" i="86"/>
  <c r="AH171" i="86"/>
  <c r="AH144" i="86"/>
  <c r="AH149" i="86"/>
  <c r="AH155" i="86"/>
  <c r="AC454" i="57"/>
  <c r="AC458" i="57" s="1"/>
  <c r="AB43" i="114" s="1"/>
  <c r="X473" i="57"/>
  <c r="AA514" i="57"/>
  <c r="AL516" i="57"/>
  <c r="N22" i="91"/>
  <c r="X19" i="86" s="1"/>
  <c r="L22" i="91"/>
  <c r="J22" i="91"/>
  <c r="I22" i="91"/>
  <c r="F149" i="112"/>
  <c r="J140" i="112"/>
  <c r="J141" i="112" s="1"/>
  <c r="F140" i="112"/>
  <c r="AE11" i="98"/>
  <c r="AK463" i="36"/>
  <c r="H61" i="98"/>
  <c r="AL515" i="57"/>
  <c r="AJ473" i="57"/>
  <c r="AJ514" i="57" s="1"/>
  <c r="Z454" i="57"/>
  <c r="Z458" i="57" s="1"/>
  <c r="W454" i="57"/>
  <c r="AC139" i="86"/>
  <c r="AC149" i="86"/>
  <c r="BQ56" i="90"/>
  <c r="AE514" i="57"/>
  <c r="I524" i="57"/>
  <c r="AH482" i="57"/>
  <c r="AF482" i="57"/>
  <c r="Z482" i="57"/>
  <c r="AJ482" i="57"/>
  <c r="AE482" i="57"/>
  <c r="AD482" i="57"/>
  <c r="Y482" i="57"/>
  <c r="X482" i="57"/>
  <c r="AL482" i="57"/>
  <c r="AB482" i="57"/>
  <c r="AC482" i="57"/>
  <c r="AK482" i="57"/>
  <c r="W482" i="57"/>
  <c r="I488" i="57"/>
  <c r="AI482" i="57"/>
  <c r="AA482" i="57"/>
  <c r="AG482" i="57"/>
  <c r="AI473" i="57"/>
  <c r="AI478" i="57" s="1"/>
  <c r="AI513" i="57"/>
  <c r="Z514" i="57"/>
  <c r="Z519" i="57" s="1"/>
  <c r="Z478" i="57"/>
  <c r="Y516" i="57"/>
  <c r="AK513" i="57"/>
  <c r="AK473" i="57"/>
  <c r="AK516" i="57" s="1"/>
  <c r="X454" i="57"/>
  <c r="X458" i="57" s="1"/>
  <c r="AD516" i="57"/>
  <c r="AL514" i="57"/>
  <c r="AA516" i="57"/>
  <c r="AL454" i="57"/>
  <c r="BN66" i="90"/>
  <c r="BO66" i="90"/>
  <c r="BR66" i="90"/>
  <c r="BQ66" i="90"/>
  <c r="BP50" i="90"/>
  <c r="CA41" i="90"/>
  <c r="BO50" i="90"/>
  <c r="BL58" i="90"/>
  <c r="BN80" i="90"/>
  <c r="Z515" i="57"/>
  <c r="Z518" i="57" s="1"/>
  <c r="AB515" i="57"/>
  <c r="AF473" i="57"/>
  <c r="AF513" i="57" s="1"/>
  <c r="AG473" i="57"/>
  <c r="AH514" i="57"/>
  <c r="AH519" i="57" s="1"/>
  <c r="AD513" i="57"/>
  <c r="AD473" i="57"/>
  <c r="AD478" i="57" s="1"/>
  <c r="AA454" i="57"/>
  <c r="AA458" i="57" s="1"/>
  <c r="AI516" i="57"/>
  <c r="Y454" i="57"/>
  <c r="Y458" i="57" s="1"/>
  <c r="BQ107" i="90"/>
  <c r="BQ75" i="90"/>
  <c r="BV59" i="57"/>
  <c r="BZ59" i="57"/>
  <c r="BZ63" i="57" s="1"/>
  <c r="BF59" i="57"/>
  <c r="AY59" i="57"/>
  <c r="G15" i="91"/>
  <c r="H15" i="91" s="1"/>
  <c r="C15" i="91"/>
  <c r="F15" i="91" s="1"/>
  <c r="I486" i="57"/>
  <c r="I522" i="57"/>
  <c r="AD480" i="57"/>
  <c r="AI480" i="57"/>
  <c r="AK480" i="57"/>
  <c r="AE480" i="57"/>
  <c r="W480" i="57"/>
  <c r="AJ480" i="57"/>
  <c r="AF480" i="57"/>
  <c r="AA480" i="57"/>
  <c r="AG480" i="57"/>
  <c r="Y480" i="57"/>
  <c r="AH480" i="57"/>
  <c r="X480" i="57"/>
  <c r="AB480" i="57"/>
  <c r="AC480" i="57"/>
  <c r="AL480" i="57"/>
  <c r="Z480" i="57"/>
  <c r="BI55" i="90"/>
  <c r="BO55" i="90"/>
  <c r="BQ55" i="90"/>
  <c r="AG155" i="86"/>
  <c r="AG181" i="86"/>
  <c r="AG149" i="86"/>
  <c r="AG144" i="86"/>
  <c r="AG171" i="86"/>
  <c r="AG139" i="86"/>
  <c r="BN50" i="90"/>
  <c r="BR50" i="90"/>
  <c r="BQ45" i="90"/>
  <c r="BY59" i="57"/>
  <c r="BY63" i="57" s="1"/>
  <c r="BB59" i="57"/>
  <c r="BL67" i="90"/>
  <c r="BP67" i="90"/>
  <c r="BR59" i="57"/>
  <c r="BR63" i="57" s="1"/>
  <c r="I481" i="36"/>
  <c r="I504" i="36"/>
  <c r="AG477" i="36"/>
  <c r="AW59" i="57"/>
  <c r="AH465" i="57"/>
  <c r="AH458" i="57" s="1"/>
  <c r="AG43" i="114" s="1"/>
  <c r="BM55" i="90"/>
  <c r="BN59" i="90"/>
  <c r="BQ59" i="90"/>
  <c r="BO59" i="90"/>
  <c r="BR59" i="90"/>
  <c r="BO78" i="90"/>
  <c r="X14" i="57"/>
  <c r="X17" i="57" s="1"/>
  <c r="X22" i="57" s="1"/>
  <c r="BU59" i="57"/>
  <c r="BU63" i="57" s="1"/>
  <c r="AK454" i="57"/>
  <c r="AK456" i="57" s="1"/>
  <c r="AK478" i="57"/>
  <c r="C18" i="91"/>
  <c r="F18" i="91" s="1"/>
  <c r="G18" i="91"/>
  <c r="H18" i="91" s="1"/>
  <c r="AX59" i="57"/>
  <c r="BP59" i="57"/>
  <c r="BP63" i="57" s="1"/>
  <c r="AK465" i="57"/>
  <c r="AK467" i="57" s="1"/>
  <c r="BN67" i="90"/>
  <c r="BM67" i="90"/>
  <c r="AK79" i="30"/>
  <c r="AL79" i="30"/>
  <c r="AE79" i="30"/>
  <c r="AF79" i="30"/>
  <c r="AG79" i="30"/>
  <c r="AC79" i="30"/>
  <c r="AH79" i="30"/>
  <c r="AI79" i="30"/>
  <c r="AJ79" i="30"/>
  <c r="AD79" i="30"/>
  <c r="BQ67" i="90"/>
  <c r="BL55" i="90"/>
  <c r="BM58" i="90"/>
  <c r="I151" i="112"/>
  <c r="BQ50" i="90"/>
  <c r="BQ90" i="90"/>
  <c r="BR90" i="90"/>
  <c r="BR55" i="90"/>
  <c r="AT59" i="57"/>
  <c r="W489" i="57"/>
  <c r="AJ489" i="57"/>
  <c r="AA489" i="57"/>
  <c r="AB489" i="57"/>
  <c r="X489" i="57"/>
  <c r="Y489" i="57"/>
  <c r="I534" i="57"/>
  <c r="AG489" i="57"/>
  <c r="AD489" i="57"/>
  <c r="AC489" i="57"/>
  <c r="AE489" i="57"/>
  <c r="I495" i="57"/>
  <c r="AH489" i="57"/>
  <c r="AK489" i="57"/>
  <c r="Z489" i="57"/>
  <c r="AL489" i="57"/>
  <c r="AI489" i="57"/>
  <c r="AF489" i="57"/>
  <c r="AZ59" i="57"/>
  <c r="BQ59" i="57"/>
  <c r="AB455" i="57"/>
  <c r="AB14" i="57"/>
  <c r="AB17" i="57" s="1"/>
  <c r="AB22" i="57" s="1"/>
  <c r="AI465" i="57"/>
  <c r="AI467" i="57"/>
  <c r="BN55" i="90"/>
  <c r="BO58" i="90"/>
  <c r="H136" i="112"/>
  <c r="H137" i="112" s="1"/>
  <c r="H131" i="112"/>
  <c r="BO42" i="90"/>
  <c r="AJ455" i="57"/>
  <c r="AJ456" i="57" s="1"/>
  <c r="AJ14" i="57"/>
  <c r="AJ17" i="57" s="1"/>
  <c r="AJ22" i="57" s="1"/>
  <c r="BD59" i="57"/>
  <c r="AU59" i="57"/>
  <c r="BM59" i="57"/>
  <c r="BM63" i="57" s="1"/>
  <c r="BA59" i="57"/>
  <c r="BS59" i="57"/>
  <c r="BS63" i="57" s="1"/>
  <c r="BQ63" i="57"/>
  <c r="AC455" i="57"/>
  <c r="AC456" i="57" s="1"/>
  <c r="AC14" i="57"/>
  <c r="AC17" i="57" s="1"/>
  <c r="AV59" i="57"/>
  <c r="AJ42" i="57"/>
  <c r="BO88" i="90"/>
  <c r="BP88" i="90"/>
  <c r="BR88" i="90"/>
  <c r="BN88" i="90"/>
  <c r="BQ88" i="90"/>
  <c r="BQ68" i="90"/>
  <c r="BR68" i="90"/>
  <c r="BP68" i="90"/>
  <c r="BK58" i="90"/>
  <c r="BK55" i="90"/>
  <c r="AD456" i="57"/>
  <c r="AA14" i="57"/>
  <c r="AA17" i="57" s="1"/>
  <c r="AC22" i="57"/>
  <c r="Q16" i="91"/>
  <c r="K16" i="91"/>
  <c r="F150" i="112"/>
  <c r="I16" i="90"/>
  <c r="I26" i="90" s="1"/>
  <c r="AG23" i="114" s="1"/>
  <c r="AI455" i="57"/>
  <c r="AI456" i="57" s="1"/>
  <c r="AI14" i="57"/>
  <c r="AI17" i="57" s="1"/>
  <c r="AI22" i="57" s="1"/>
  <c r="AI42" i="57"/>
  <c r="BW59" i="57"/>
  <c r="BW63" i="57" s="1"/>
  <c r="BN59" i="57"/>
  <c r="BN63" i="57" s="1"/>
  <c r="BT59" i="57"/>
  <c r="BT63" i="57" s="1"/>
  <c r="I507" i="36"/>
  <c r="I484" i="36"/>
  <c r="AJ480" i="36"/>
  <c r="BN78" i="90"/>
  <c r="BQ78" i="90"/>
  <c r="C10" i="91"/>
  <c r="F10" i="91" s="1"/>
  <c r="G10" i="91"/>
  <c r="H10" i="91" s="1"/>
  <c r="BO59" i="57"/>
  <c r="BO63" i="57" s="1"/>
  <c r="BJ55" i="90"/>
  <c r="BP78" i="90"/>
  <c r="BP55" i="90"/>
  <c r="AG475" i="36"/>
  <c r="BE59" i="57"/>
  <c r="I532" i="57"/>
  <c r="I493" i="57"/>
  <c r="AE487" i="57"/>
  <c r="AI487" i="57"/>
  <c r="AB487" i="57"/>
  <c r="W487" i="57"/>
  <c r="AG487" i="57"/>
  <c r="AC487" i="57"/>
  <c r="Z487" i="57"/>
  <c r="X487" i="57"/>
  <c r="AL487" i="57"/>
  <c r="Y487" i="57"/>
  <c r="AH487" i="57"/>
  <c r="AJ487" i="57"/>
  <c r="AA487" i="57"/>
  <c r="AK487" i="57"/>
  <c r="AD487" i="57"/>
  <c r="AF487" i="57"/>
  <c r="Z455" i="57"/>
  <c r="Z456" i="57" s="1"/>
  <c r="Z14" i="57"/>
  <c r="Z17" i="57" s="1"/>
  <c r="Z22" i="57" s="1"/>
  <c r="AS59" i="57"/>
  <c r="N21" i="91"/>
  <c r="X17" i="86" s="1"/>
  <c r="D92" i="98" s="1"/>
  <c r="Q21" i="91"/>
  <c r="BI58" i="90"/>
  <c r="BI41" i="90" s="1"/>
  <c r="D32" i="90" s="1"/>
  <c r="AC29" i="42" s="1"/>
  <c r="BR58" i="90"/>
  <c r="BP58" i="90"/>
  <c r="AF171" i="86"/>
  <c r="AF144" i="86"/>
  <c r="AF155" i="86"/>
  <c r="AF149" i="86"/>
  <c r="AF139" i="86"/>
  <c r="AF181" i="86"/>
  <c r="BP45" i="90"/>
  <c r="AA22" i="57"/>
  <c r="P16" i="91"/>
  <c r="H148" i="112"/>
  <c r="H152" i="112" s="1"/>
  <c r="O90" i="112"/>
  <c r="BC59" i="57"/>
  <c r="BG62" i="57" s="1"/>
  <c r="BG59" i="57"/>
  <c r="BX59" i="57"/>
  <c r="BX63" i="57" s="1"/>
  <c r="BL59" i="57"/>
  <c r="AJ465" i="57"/>
  <c r="AJ466" i="57" s="1"/>
  <c r="G14" i="91"/>
  <c r="H14" i="91" s="1"/>
  <c r="C14" i="91"/>
  <c r="F14" i="91" s="1"/>
  <c r="BO92" i="90"/>
  <c r="BR92" i="90"/>
  <c r="BQ92" i="90"/>
  <c r="BN58" i="90"/>
  <c r="AD83" i="30"/>
  <c r="AL83" i="30"/>
  <c r="AF83" i="30"/>
  <c r="AG83" i="30"/>
  <c r="AH83" i="30"/>
  <c r="AI83" i="30"/>
  <c r="AJ83" i="30"/>
  <c r="AC83" i="30"/>
  <c r="AK83" i="30"/>
  <c r="AE83" i="30"/>
  <c r="BJ80" i="90"/>
  <c r="BR80" i="90"/>
  <c r="BQ80" i="90"/>
  <c r="BP80" i="90"/>
  <c r="BO80" i="90"/>
  <c r="AC518" i="57"/>
  <c r="AE74" i="30"/>
  <c r="AE76" i="30" s="1"/>
  <c r="AE20" i="30" s="1"/>
  <c r="AE20" i="42" s="1"/>
  <c r="AE26" i="45" s="1"/>
  <c r="AG74" i="30"/>
  <c r="AG76" i="30" s="1"/>
  <c r="AG20" i="30" s="1"/>
  <c r="AG20" i="42" s="1"/>
  <c r="AH74" i="30"/>
  <c r="AH76" i="30" s="1"/>
  <c r="AH20" i="30" s="1"/>
  <c r="AH20" i="42" s="1"/>
  <c r="AH57" i="41" s="1"/>
  <c r="AH74" i="41" s="1"/>
  <c r="AH100" i="41" s="1"/>
  <c r="AI74" i="30"/>
  <c r="AI76" i="30" s="1"/>
  <c r="AI20" i="30" s="1"/>
  <c r="AI20" i="42" s="1"/>
  <c r="AJ74" i="30"/>
  <c r="AJ76" i="30" s="1"/>
  <c r="AJ20" i="30" s="1"/>
  <c r="AJ20" i="42" s="1"/>
  <c r="AJ57" i="41" s="1"/>
  <c r="AJ74" i="41" s="1"/>
  <c r="AJ100" i="41" s="1"/>
  <c r="AC74" i="30"/>
  <c r="AC76" i="30" s="1"/>
  <c r="AC20" i="30" s="1"/>
  <c r="AC20" i="42" s="1"/>
  <c r="AC57" i="41" s="1"/>
  <c r="AC74" i="41" s="1"/>
  <c r="AC100" i="41" s="1"/>
  <c r="AK74" i="30"/>
  <c r="AK76" i="30" s="1"/>
  <c r="AK20" i="30" s="1"/>
  <c r="AK20" i="42" s="1"/>
  <c r="AD74" i="30"/>
  <c r="AD76" i="30" s="1"/>
  <c r="AD20" i="30" s="1"/>
  <c r="AD20" i="42" s="1"/>
  <c r="AD26" i="45" s="1"/>
  <c r="AL74" i="30"/>
  <c r="AL76" i="30" s="1"/>
  <c r="AL20" i="30" s="1"/>
  <c r="AL20" i="42" s="1"/>
  <c r="AL57" i="41" s="1"/>
  <c r="AL74" i="41" s="1"/>
  <c r="AL100" i="41" s="1"/>
  <c r="AF74" i="30"/>
  <c r="AF76" i="30" s="1"/>
  <c r="AF20" i="30" s="1"/>
  <c r="AF20" i="42" s="1"/>
  <c r="AF57" i="41" s="1"/>
  <c r="AF74" i="41" s="1"/>
  <c r="AF100" i="41" s="1"/>
  <c r="F82" i="30"/>
  <c r="BM80" i="90"/>
  <c r="BP59" i="90"/>
  <c r="Y17" i="12"/>
  <c r="E43" i="98" s="1"/>
  <c r="AD17" i="12"/>
  <c r="AD13" i="42" s="1"/>
  <c r="AI17" i="12"/>
  <c r="AI13" i="42" s="1"/>
  <c r="X37" i="89"/>
  <c r="AC37" i="89"/>
  <c r="BX90" i="36"/>
  <c r="BX99" i="36"/>
  <c r="BG59" i="36"/>
  <c r="BX83" i="36"/>
  <c r="BX116" i="36"/>
  <c r="BX85" i="36"/>
  <c r="BX93" i="36"/>
  <c r="BX78" i="36"/>
  <c r="BX81" i="36"/>
  <c r="BX89" i="36"/>
  <c r="BX123" i="36"/>
  <c r="BX79" i="36"/>
  <c r="BX82" i="36"/>
  <c r="BX86" i="36"/>
  <c r="BX118" i="36"/>
  <c r="BX122" i="36"/>
  <c r="BX88" i="36"/>
  <c r="BX117" i="36"/>
  <c r="BX95" i="36"/>
  <c r="BX102" i="36"/>
  <c r="BX103" i="36"/>
  <c r="BX107" i="36"/>
  <c r="BX127" i="36"/>
  <c r="BX96" i="36"/>
  <c r="BX101" i="36"/>
  <c r="BX126" i="36"/>
  <c r="BX97" i="36"/>
  <c r="BX120" i="36"/>
  <c r="BX125" i="36"/>
  <c r="BX131" i="36"/>
  <c r="BX73" i="36"/>
  <c r="BX75" i="36"/>
  <c r="BX80" i="36"/>
  <c r="BX84" i="36"/>
  <c r="BX87" i="36"/>
  <c r="BX92" i="36"/>
  <c r="BX94" i="36"/>
  <c r="BX121" i="36"/>
  <c r="BX91" i="36"/>
  <c r="BX98" i="36"/>
  <c r="BX100" i="36"/>
  <c r="BX114" i="36"/>
  <c r="BX124" i="36"/>
  <c r="BX104" i="36"/>
  <c r="BX106" i="36"/>
  <c r="BX115" i="36"/>
  <c r="BX130" i="36"/>
  <c r="BT131" i="36"/>
  <c r="BX77" i="36"/>
  <c r="BX105" i="36"/>
  <c r="BX119" i="36"/>
  <c r="BX128" i="36"/>
  <c r="BX129" i="36"/>
  <c r="BY131" i="36"/>
  <c r="O131" i="112"/>
  <c r="W152" i="112"/>
  <c r="W68" i="112" s="1"/>
  <c r="U131" i="112"/>
  <c r="O152" i="112"/>
  <c r="O23" i="112" s="1"/>
  <c r="BL130" i="36"/>
  <c r="BW129" i="36"/>
  <c r="BV130" i="36"/>
  <c r="BW128" i="36"/>
  <c r="BL129" i="36"/>
  <c r="BY130" i="36"/>
  <c r="BV131" i="36"/>
  <c r="BU130" i="36"/>
  <c r="BZ131" i="36"/>
  <c r="BZ130" i="36"/>
  <c r="BY129" i="36"/>
  <c r="BW131" i="36"/>
  <c r="BU131" i="36"/>
  <c r="BZ129" i="36"/>
  <c r="BW130" i="36"/>
  <c r="BV129" i="36"/>
  <c r="BU129" i="36"/>
  <c r="BR127" i="36"/>
  <c r="BR131" i="36"/>
  <c r="BQ131" i="36"/>
  <c r="BP130" i="36"/>
  <c r="BN131" i="36"/>
  <c r="BN130" i="36"/>
  <c r="BL131" i="36"/>
  <c r="BL127" i="36"/>
  <c r="BT129" i="36"/>
  <c r="BQ130" i="36"/>
  <c r="BO131" i="36"/>
  <c r="BO129" i="36"/>
  <c r="BM131" i="36"/>
  <c r="BM130" i="36"/>
  <c r="BV128" i="36"/>
  <c r="BR130" i="36"/>
  <c r="BQ129" i="36"/>
  <c r="BP129" i="36"/>
  <c r="BM129" i="36"/>
  <c r="BT130" i="36"/>
  <c r="BR129" i="36"/>
  <c r="BP131" i="36"/>
  <c r="BO130" i="36"/>
  <c r="BN129" i="36"/>
  <c r="BZ71" i="36"/>
  <c r="BL126" i="36"/>
  <c r="BQ126" i="36"/>
  <c r="BR126" i="36"/>
  <c r="BT128" i="36"/>
  <c r="BU128" i="36"/>
  <c r="BU127" i="36"/>
  <c r="BZ128" i="36"/>
  <c r="BP128" i="36"/>
  <c r="BW127" i="36"/>
  <c r="BV127" i="36"/>
  <c r="BU126" i="36"/>
  <c r="AK14" i="36"/>
  <c r="AK17" i="36" s="1"/>
  <c r="BQ127" i="36"/>
  <c r="BQ128" i="36"/>
  <c r="BW126" i="36"/>
  <c r="BV126" i="36"/>
  <c r="BZ123" i="36"/>
  <c r="BZ127" i="36"/>
  <c r="BY126" i="36"/>
  <c r="BM127" i="36"/>
  <c r="BR128" i="36"/>
  <c r="BZ126" i="36"/>
  <c r="BO128" i="36"/>
  <c r="BN128" i="36"/>
  <c r="BM128" i="36"/>
  <c r="BT127" i="36"/>
  <c r="BP127" i="36"/>
  <c r="BO127" i="36"/>
  <c r="BN127" i="36"/>
  <c r="BM126" i="36"/>
  <c r="BL123" i="36"/>
  <c r="BT126" i="36"/>
  <c r="BY128" i="36"/>
  <c r="BY127" i="36"/>
  <c r="BP126" i="36"/>
  <c r="BO126" i="36"/>
  <c r="BN126" i="36"/>
  <c r="BL128" i="36"/>
  <c r="BV123" i="36"/>
  <c r="BU122" i="36"/>
  <c r="BL124" i="36"/>
  <c r="BZ124" i="36"/>
  <c r="BW125" i="36"/>
  <c r="BV125" i="36"/>
  <c r="BV124" i="36"/>
  <c r="BT125" i="36"/>
  <c r="L32" i="98"/>
  <c r="BZ121" i="36"/>
  <c r="BW122" i="36"/>
  <c r="BY123" i="36"/>
  <c r="BW123" i="36"/>
  <c r="BU124" i="36"/>
  <c r="BZ125" i="36"/>
  <c r="BY125" i="36"/>
  <c r="BY124" i="36"/>
  <c r="BW124" i="36"/>
  <c r="BU125" i="36"/>
  <c r="BU123" i="36"/>
  <c r="Y463" i="36"/>
  <c r="Y465" i="36" s="1"/>
  <c r="BR123" i="36"/>
  <c r="BN123" i="36"/>
  <c r="BL120" i="36"/>
  <c r="BR124" i="36"/>
  <c r="BP125" i="36"/>
  <c r="BO125" i="36"/>
  <c r="BN125" i="36"/>
  <c r="BN124" i="36"/>
  <c r="BL125" i="36"/>
  <c r="Z471" i="36"/>
  <c r="Z500" i="36" s="1"/>
  <c r="BT123" i="36"/>
  <c r="BQ123" i="36"/>
  <c r="BP123" i="36"/>
  <c r="BO123" i="36"/>
  <c r="BM124" i="36"/>
  <c r="BT124" i="36"/>
  <c r="BR125" i="36"/>
  <c r="BQ125" i="36"/>
  <c r="BQ124" i="36"/>
  <c r="BP124" i="36"/>
  <c r="BO124" i="36"/>
  <c r="BM125" i="36"/>
  <c r="BM123" i="36"/>
  <c r="BV122" i="36"/>
  <c r="BN117" i="36"/>
  <c r="BL121" i="36"/>
  <c r="BZ120" i="36"/>
  <c r="BU120" i="36"/>
  <c r="BU118" i="36"/>
  <c r="BY122" i="36"/>
  <c r="BY120" i="36"/>
  <c r="BU121" i="36"/>
  <c r="BW120" i="36"/>
  <c r="BV120" i="36"/>
  <c r="BZ122" i="36"/>
  <c r="BY121" i="36"/>
  <c r="BT122" i="36"/>
  <c r="BW121" i="36"/>
  <c r="BV121" i="36"/>
  <c r="BL117" i="36"/>
  <c r="BP118" i="36"/>
  <c r="BT120" i="36"/>
  <c r="BR120" i="36"/>
  <c r="BP122" i="36"/>
  <c r="BL122" i="36"/>
  <c r="BO122" i="36"/>
  <c r="BN122" i="36"/>
  <c r="BM122" i="36"/>
  <c r="BT121" i="36"/>
  <c r="BR121" i="36"/>
  <c r="BO117" i="36"/>
  <c r="BQ122" i="36"/>
  <c r="BQ120" i="36"/>
  <c r="BM121" i="36"/>
  <c r="BP121" i="36"/>
  <c r="BO120" i="36"/>
  <c r="BN120" i="36"/>
  <c r="BU114" i="36"/>
  <c r="BR122" i="36"/>
  <c r="BQ121" i="36"/>
  <c r="BM120" i="36"/>
  <c r="BP120" i="36"/>
  <c r="BO121" i="36"/>
  <c r="BN121" i="36"/>
  <c r="BL118" i="36"/>
  <c r="BM119" i="36"/>
  <c r="BR117" i="36"/>
  <c r="BP119" i="36"/>
  <c r="BO118" i="36"/>
  <c r="W463" i="36"/>
  <c r="W465" i="36" s="1"/>
  <c r="BU106" i="36"/>
  <c r="BZ119" i="36"/>
  <c r="BN118" i="36"/>
  <c r="BQ118" i="36"/>
  <c r="BO119" i="36"/>
  <c r="BN119" i="36"/>
  <c r="BT119" i="36"/>
  <c r="BR118" i="36"/>
  <c r="BQ117" i="36"/>
  <c r="BP117" i="36"/>
  <c r="BU117" i="36"/>
  <c r="BN107" i="36"/>
  <c r="BT118" i="36"/>
  <c r="BZ117" i="36"/>
  <c r="BU119" i="36"/>
  <c r="BY119" i="36"/>
  <c r="BW118" i="36"/>
  <c r="BV117" i="36"/>
  <c r="BL119" i="36"/>
  <c r="BQ119" i="36"/>
  <c r="BV114" i="36"/>
  <c r="BT117" i="36"/>
  <c r="BR119" i="36"/>
  <c r="BY118" i="36"/>
  <c r="BW119" i="36"/>
  <c r="BW117" i="36"/>
  <c r="BM118" i="36"/>
  <c r="BZ118" i="36"/>
  <c r="BY117" i="36"/>
  <c r="BV119" i="36"/>
  <c r="BV118" i="36"/>
  <c r="BM117" i="36"/>
  <c r="BL114" i="36"/>
  <c r="BM102" i="36"/>
  <c r="BZ106" i="36"/>
  <c r="BQ105" i="36"/>
  <c r="BL115" i="36"/>
  <c r="BY116" i="36"/>
  <c r="BW116" i="36"/>
  <c r="BV116" i="36"/>
  <c r="BV115" i="36"/>
  <c r="BU115" i="36"/>
  <c r="BM106" i="36"/>
  <c r="BZ116" i="36"/>
  <c r="BZ114" i="36"/>
  <c r="BY114" i="36"/>
  <c r="BW114" i="36"/>
  <c r="BU116" i="36"/>
  <c r="BT105" i="36"/>
  <c r="BZ115" i="36"/>
  <c r="BY115" i="36"/>
  <c r="BW115" i="36"/>
  <c r="BT116" i="36"/>
  <c r="BN103" i="36"/>
  <c r="BZ107" i="36"/>
  <c r="BR116" i="36"/>
  <c r="BQ116" i="36"/>
  <c r="BM116" i="36"/>
  <c r="BM114" i="36"/>
  <c r="BT102" i="36"/>
  <c r="BP106" i="36"/>
  <c r="BR114" i="36"/>
  <c r="BP116" i="36"/>
  <c r="BO116" i="36"/>
  <c r="BN116" i="36"/>
  <c r="BN114" i="36"/>
  <c r="BM115" i="36"/>
  <c r="BW106" i="36"/>
  <c r="BN106" i="36"/>
  <c r="BT114" i="36"/>
  <c r="BQ114" i="36"/>
  <c r="BP114" i="36"/>
  <c r="BO114" i="36"/>
  <c r="BN115" i="36"/>
  <c r="BT115" i="36"/>
  <c r="BR115" i="36"/>
  <c r="BQ115" i="36"/>
  <c r="BP115" i="36"/>
  <c r="BO115" i="36"/>
  <c r="BL116" i="36"/>
  <c r="BY107" i="36"/>
  <c r="BP107" i="36"/>
  <c r="BN102" i="36"/>
  <c r="BZ105" i="36"/>
  <c r="BO107" i="36"/>
  <c r="BW105" i="36"/>
  <c r="BM107" i="36"/>
  <c r="BL107" i="36"/>
  <c r="AF463" i="36"/>
  <c r="AF465" i="36" s="1"/>
  <c r="BB59" i="36"/>
  <c r="BO103" i="36"/>
  <c r="BP105" i="36"/>
  <c r="BQ106" i="36"/>
  <c r="BV107" i="36"/>
  <c r="BT106" i="36"/>
  <c r="BN105" i="36"/>
  <c r="BQ107" i="36"/>
  <c r="BV105" i="36"/>
  <c r="BM105" i="36"/>
  <c r="BO102" i="36"/>
  <c r="BR105" i="36"/>
  <c r="BY105" i="36"/>
  <c r="BW107" i="36"/>
  <c r="BO105" i="36"/>
  <c r="BV106" i="36"/>
  <c r="BT107" i="36"/>
  <c r="BL106" i="36"/>
  <c r="BR102" i="36"/>
  <c r="BR107" i="36"/>
  <c r="BR106" i="36"/>
  <c r="BY106" i="36"/>
  <c r="BO106" i="36"/>
  <c r="BU107" i="36"/>
  <c r="BU105" i="36"/>
  <c r="BL105" i="36"/>
  <c r="AX59" i="36"/>
  <c r="BL102" i="36"/>
  <c r="BV102" i="36"/>
  <c r="BV104" i="36"/>
  <c r="BU102" i="36"/>
  <c r="BL103" i="36"/>
  <c r="BY104" i="36"/>
  <c r="BW104" i="36"/>
  <c r="BW102" i="36"/>
  <c r="BU103" i="36"/>
  <c r="BZ102" i="36"/>
  <c r="BY102" i="36"/>
  <c r="BU104" i="36"/>
  <c r="BW103" i="36"/>
  <c r="BZ104" i="36"/>
  <c r="BZ103" i="36"/>
  <c r="BY103" i="36"/>
  <c r="BV103" i="36"/>
  <c r="BT104" i="36"/>
  <c r="BR104" i="36"/>
  <c r="BQ104" i="36"/>
  <c r="BP104" i="36"/>
  <c r="BP102" i="36"/>
  <c r="BM103" i="36"/>
  <c r="BQ102" i="36"/>
  <c r="BP103" i="36"/>
  <c r="BT103" i="36"/>
  <c r="BR103" i="36"/>
  <c r="BQ103" i="36"/>
  <c r="BO104" i="36"/>
  <c r="BM104" i="36"/>
  <c r="BN104" i="36"/>
  <c r="BL104" i="36"/>
  <c r="BL99" i="36"/>
  <c r="BY100" i="36"/>
  <c r="BV99" i="36"/>
  <c r="BL100" i="36"/>
  <c r="BY101" i="36"/>
  <c r="BW101" i="36"/>
  <c r="BW99" i="36"/>
  <c r="BT101" i="36"/>
  <c r="BW97" i="36"/>
  <c r="BZ99" i="36"/>
  <c r="BW100" i="36"/>
  <c r="BU101" i="36"/>
  <c r="BU99" i="36"/>
  <c r="BZ101" i="36"/>
  <c r="BZ100" i="36"/>
  <c r="BY99" i="36"/>
  <c r="BV101" i="36"/>
  <c r="BV100" i="36"/>
  <c r="BU100" i="36"/>
  <c r="BQ101" i="36"/>
  <c r="BQ99" i="36"/>
  <c r="BO99" i="36"/>
  <c r="BN99" i="36"/>
  <c r="BT99" i="36"/>
  <c r="BR101" i="36"/>
  <c r="BO101" i="36"/>
  <c r="BO100" i="36"/>
  <c r="BN100" i="36"/>
  <c r="BL101" i="36"/>
  <c r="BT100" i="36"/>
  <c r="BR99" i="36"/>
  <c r="BP101" i="36"/>
  <c r="BP99" i="36"/>
  <c r="BM99" i="36"/>
  <c r="AI463" i="36"/>
  <c r="AI465" i="36" s="1"/>
  <c r="BV96" i="36"/>
  <c r="BR100" i="36"/>
  <c r="BQ100" i="36"/>
  <c r="BP100" i="36"/>
  <c r="BN101" i="36"/>
  <c r="BM101" i="36"/>
  <c r="BM100" i="36"/>
  <c r="BL97" i="36"/>
  <c r="BR98" i="36"/>
  <c r="BR96" i="36"/>
  <c r="BQ96" i="36"/>
  <c r="BM96" i="36"/>
  <c r="BR97" i="36"/>
  <c r="BQ97" i="36"/>
  <c r="BW98" i="36"/>
  <c r="BU98" i="36"/>
  <c r="BV98" i="36"/>
  <c r="BM97" i="36"/>
  <c r="BL98" i="36"/>
  <c r="BQ98" i="36"/>
  <c r="BP98" i="36"/>
  <c r="BV97" i="36"/>
  <c r="BW96" i="36"/>
  <c r="BY98" i="36"/>
  <c r="BY97" i="36"/>
  <c r="BU96" i="36"/>
  <c r="BT96" i="36"/>
  <c r="BZ98" i="36"/>
  <c r="BZ96" i="36"/>
  <c r="BY96" i="36"/>
  <c r="BU97" i="36"/>
  <c r="BO98" i="36"/>
  <c r="BM98" i="36"/>
  <c r="BN98" i="36"/>
  <c r="BT97" i="36"/>
  <c r="BZ97" i="36"/>
  <c r="BP96" i="36"/>
  <c r="BN96" i="36"/>
  <c r="BO96" i="36"/>
  <c r="AW59" i="36"/>
  <c r="BL96" i="36"/>
  <c r="BT98" i="36"/>
  <c r="BP97" i="36"/>
  <c r="BN97" i="36"/>
  <c r="BO97" i="36"/>
  <c r="BL94" i="36"/>
  <c r="BU91" i="36"/>
  <c r="BL93" i="36"/>
  <c r="BY95" i="36"/>
  <c r="BW95" i="36"/>
  <c r="BV95" i="36"/>
  <c r="BU95" i="36"/>
  <c r="BU93" i="36"/>
  <c r="BY92" i="36"/>
  <c r="BZ93" i="36"/>
  <c r="BY93" i="36"/>
  <c r="BW93" i="36"/>
  <c r="BV93" i="36"/>
  <c r="BU94" i="36"/>
  <c r="BZ95" i="36"/>
  <c r="BZ94" i="36"/>
  <c r="BY94" i="36"/>
  <c r="BW94" i="36"/>
  <c r="BV94" i="36"/>
  <c r="BT95" i="36"/>
  <c r="BZ88" i="36"/>
  <c r="BN95" i="36"/>
  <c r="BM93" i="36"/>
  <c r="BZ89" i="36"/>
  <c r="BL90" i="36"/>
  <c r="BQ95" i="36"/>
  <c r="BQ93" i="36"/>
  <c r="BO95" i="36"/>
  <c r="BM95" i="36"/>
  <c r="BM94" i="36"/>
  <c r="BV90" i="36"/>
  <c r="BT94" i="36"/>
  <c r="BR93" i="36"/>
  <c r="BQ94" i="36"/>
  <c r="BP93" i="36"/>
  <c r="BO93" i="36"/>
  <c r="BN93" i="36"/>
  <c r="BL95" i="36"/>
  <c r="BV88" i="36"/>
  <c r="BT93" i="36"/>
  <c r="BR95" i="36"/>
  <c r="BR94" i="36"/>
  <c r="BP95" i="36"/>
  <c r="BP94" i="36"/>
  <c r="BO94" i="36"/>
  <c r="BN94" i="36"/>
  <c r="BL91" i="36"/>
  <c r="BW92" i="36"/>
  <c r="BV92" i="36"/>
  <c r="BV91" i="36"/>
  <c r="BU90" i="36"/>
  <c r="BQ89" i="36"/>
  <c r="BZ90" i="36"/>
  <c r="BY90" i="36"/>
  <c r="BW90" i="36"/>
  <c r="BZ92" i="36"/>
  <c r="BZ91" i="36"/>
  <c r="BY91" i="36"/>
  <c r="BW91" i="36"/>
  <c r="BU92" i="36"/>
  <c r="BT92" i="36"/>
  <c r="M32" i="98"/>
  <c r="BW89" i="36"/>
  <c r="BN90" i="36"/>
  <c r="BM91" i="36"/>
  <c r="F32" i="98"/>
  <c r="BU88" i="36"/>
  <c r="BY88" i="36"/>
  <c r="BR92" i="36"/>
  <c r="BQ92" i="36"/>
  <c r="BP92" i="36"/>
  <c r="BO92" i="36"/>
  <c r="BN92" i="36"/>
  <c r="BN91" i="36"/>
  <c r="BM90" i="36"/>
  <c r="E32" i="98"/>
  <c r="BT90" i="36"/>
  <c r="BR91" i="36"/>
  <c r="BQ91" i="36"/>
  <c r="BP90" i="36"/>
  <c r="BO90" i="36"/>
  <c r="BM92" i="36"/>
  <c r="BQ87" i="36"/>
  <c r="BV87" i="36"/>
  <c r="BT91" i="36"/>
  <c r="BR90" i="36"/>
  <c r="BQ90" i="36"/>
  <c r="BP91" i="36"/>
  <c r="BO91" i="36"/>
  <c r="BL92" i="36"/>
  <c r="BL88" i="36"/>
  <c r="BT89" i="36"/>
  <c r="BY89" i="36"/>
  <c r="BO87" i="36"/>
  <c r="BN89" i="36"/>
  <c r="AT59" i="36"/>
  <c r="BU87" i="36"/>
  <c r="BZ87" i="36"/>
  <c r="BY87" i="36"/>
  <c r="BU89" i="36"/>
  <c r="BO88" i="36"/>
  <c r="BL89" i="36"/>
  <c r="BW87" i="36"/>
  <c r="AV59" i="36"/>
  <c r="BT87" i="36"/>
  <c r="BR89" i="36"/>
  <c r="BM87" i="36"/>
  <c r="BR87" i="36"/>
  <c r="BQ88" i="36"/>
  <c r="BP88" i="36"/>
  <c r="BW88" i="36"/>
  <c r="BM89" i="36"/>
  <c r="BT88" i="36"/>
  <c r="BM88" i="36"/>
  <c r="BR88" i="36"/>
  <c r="BP89" i="36"/>
  <c r="BO89" i="36"/>
  <c r="BN87" i="36"/>
  <c r="BL87" i="36"/>
  <c r="BP87" i="36"/>
  <c r="BV89" i="36"/>
  <c r="BN88" i="36"/>
  <c r="BL82" i="36"/>
  <c r="BR83" i="36"/>
  <c r="BL84" i="36"/>
  <c r="BZ85" i="36"/>
  <c r="BY84" i="36"/>
  <c r="BU84" i="36"/>
  <c r="BL85" i="36"/>
  <c r="BY85" i="36"/>
  <c r="BW86" i="36"/>
  <c r="BV86" i="36"/>
  <c r="BU86" i="36"/>
  <c r="BU85" i="36"/>
  <c r="BT83" i="36"/>
  <c r="BZ86" i="36"/>
  <c r="BY86" i="36"/>
  <c r="BW84" i="36"/>
  <c r="BV84" i="36"/>
  <c r="BZ78" i="36"/>
  <c r="BN78" i="36"/>
  <c r="BM83" i="36"/>
  <c r="BZ82" i="36"/>
  <c r="BZ84" i="36"/>
  <c r="BW85" i="36"/>
  <c r="BV85" i="36"/>
  <c r="BT86" i="36"/>
  <c r="AB465" i="36"/>
  <c r="BW83" i="36"/>
  <c r="BQ84" i="36"/>
  <c r="BR75" i="36"/>
  <c r="BZ80" i="36"/>
  <c r="BP79" i="36"/>
  <c r="BQ86" i="36"/>
  <c r="BQ85" i="36"/>
  <c r="BO86" i="36"/>
  <c r="BN86" i="36"/>
  <c r="BM86" i="36"/>
  <c r="BM84" i="36"/>
  <c r="BT85" i="36"/>
  <c r="BR86" i="36"/>
  <c r="BR85" i="36"/>
  <c r="BP84" i="36"/>
  <c r="BO84" i="36"/>
  <c r="BN84" i="36"/>
  <c r="BM85" i="36"/>
  <c r="BY82" i="36"/>
  <c r="BW82" i="36"/>
  <c r="BT84" i="36"/>
  <c r="BR84" i="36"/>
  <c r="BP86" i="36"/>
  <c r="BP85" i="36"/>
  <c r="BO85" i="36"/>
  <c r="BN85" i="36"/>
  <c r="BL86" i="36"/>
  <c r="BQ75" i="36"/>
  <c r="BC59" i="36"/>
  <c r="BP76" i="36"/>
  <c r="BQ76" i="36"/>
  <c r="X463" i="36"/>
  <c r="X464" i="36" s="1"/>
  <c r="BY83" i="36"/>
  <c r="BV83" i="36"/>
  <c r="BU81" i="36"/>
  <c r="BZ79" i="36"/>
  <c r="BM78" i="36"/>
  <c r="BZ81" i="36"/>
  <c r="BY81" i="36"/>
  <c r="BW81" i="36"/>
  <c r="BU82" i="36"/>
  <c r="AH463" i="36"/>
  <c r="AH465" i="36" s="1"/>
  <c r="BN80" i="36"/>
  <c r="BN81" i="36"/>
  <c r="BL83" i="36"/>
  <c r="BF59" i="36"/>
  <c r="BO78" i="36"/>
  <c r="BT81" i="36"/>
  <c r="BN82" i="36"/>
  <c r="BU83" i="36"/>
  <c r="BQ83" i="36"/>
  <c r="BP83" i="36"/>
  <c r="BP82" i="36"/>
  <c r="BN83" i="36"/>
  <c r="BM82" i="36"/>
  <c r="BZ76" i="36"/>
  <c r="BY78" i="36"/>
  <c r="BT82" i="36"/>
  <c r="BV81" i="36"/>
  <c r="BR81" i="36"/>
  <c r="BQ81" i="36"/>
  <c r="BO83" i="36"/>
  <c r="BO81" i="36"/>
  <c r="BM81" i="36"/>
  <c r="AE14" i="36"/>
  <c r="AE17" i="36" s="1"/>
  <c r="AE22" i="36" s="1"/>
  <c r="AD463" i="36"/>
  <c r="AD464" i="36" s="1"/>
  <c r="BY79" i="36"/>
  <c r="BP78" i="36"/>
  <c r="BL81" i="36"/>
  <c r="BZ83" i="36"/>
  <c r="BV82" i="36"/>
  <c r="BR82" i="36"/>
  <c r="BQ82" i="36"/>
  <c r="BP81" i="36"/>
  <c r="BO82" i="36"/>
  <c r="BN79" i="36"/>
  <c r="AG463" i="36"/>
  <c r="AG464" i="36" s="1"/>
  <c r="BE59" i="36"/>
  <c r="BL75" i="36"/>
  <c r="BT78" i="36"/>
  <c r="BR80" i="36"/>
  <c r="BL80" i="36"/>
  <c r="BO79" i="36"/>
  <c r="BM80" i="36"/>
  <c r="D31" i="98"/>
  <c r="D32" i="98" s="1"/>
  <c r="BU70" i="36"/>
  <c r="BZ73" i="36"/>
  <c r="BT79" i="36"/>
  <c r="BR78" i="36"/>
  <c r="BP80" i="36"/>
  <c r="AC463" i="36"/>
  <c r="AC464" i="36" s="1"/>
  <c r="AS59" i="36"/>
  <c r="BL78" i="36"/>
  <c r="BR79" i="36"/>
  <c r="BQ78" i="36"/>
  <c r="BV80" i="36"/>
  <c r="BV78" i="36"/>
  <c r="BU78" i="36"/>
  <c r="AZ59" i="36"/>
  <c r="BZ74" i="36"/>
  <c r="BZ72" i="36"/>
  <c r="BT77" i="36"/>
  <c r="BL79" i="36"/>
  <c r="BQ80" i="36"/>
  <c r="BQ79" i="36"/>
  <c r="BW79" i="36"/>
  <c r="BV79" i="36"/>
  <c r="BU79" i="36"/>
  <c r="AJ463" i="36"/>
  <c r="AJ465" i="36" s="1"/>
  <c r="BS57" i="36"/>
  <c r="BW80" i="36"/>
  <c r="BW78" i="36"/>
  <c r="BZ69" i="36"/>
  <c r="BZ70" i="36"/>
  <c r="BY80" i="36"/>
  <c r="BM79" i="36"/>
  <c r="BO80" i="36"/>
  <c r="BU80" i="36"/>
  <c r="BT80" i="36"/>
  <c r="BN71" i="36"/>
  <c r="Y455" i="36"/>
  <c r="BW71" i="36"/>
  <c r="BN70" i="36"/>
  <c r="BW70" i="36"/>
  <c r="BN73" i="36"/>
  <c r="BT76" i="36"/>
  <c r="BW76" i="36"/>
  <c r="BU77" i="36"/>
  <c r="BU75" i="36"/>
  <c r="X455" i="36"/>
  <c r="AJ14" i="36"/>
  <c r="AJ17" i="36" s="1"/>
  <c r="AJ22" i="36" s="1"/>
  <c r="N32" i="98"/>
  <c r="AY59" i="36"/>
  <c r="BL70" i="36"/>
  <c r="BQ74" i="36"/>
  <c r="BZ75" i="36"/>
  <c r="BZ77" i="36"/>
  <c r="BY75" i="36"/>
  <c r="BV75" i="36"/>
  <c r="BU76" i="36"/>
  <c r="BN75" i="36"/>
  <c r="X14" i="36"/>
  <c r="X17" i="36" s="1"/>
  <c r="X83" i="44" s="1"/>
  <c r="X122" i="44" s="1"/>
  <c r="BU71" i="36"/>
  <c r="BV71" i="36"/>
  <c r="BR70" i="36"/>
  <c r="BS58" i="36"/>
  <c r="BV77" i="36"/>
  <c r="BY76" i="36"/>
  <c r="BV76" i="36"/>
  <c r="BM75" i="36"/>
  <c r="Y14" i="36"/>
  <c r="Y17" i="36" s="1"/>
  <c r="Y83" i="44" s="1"/>
  <c r="Y122" i="44" s="1"/>
  <c r="AH14" i="36"/>
  <c r="AH17" i="36" s="1"/>
  <c r="AH22" i="36" s="1"/>
  <c r="AL455" i="36"/>
  <c r="BV69" i="36"/>
  <c r="BU69" i="36"/>
  <c r="BW69" i="36"/>
  <c r="BU74" i="36"/>
  <c r="BT75" i="36"/>
  <c r="BY77" i="36"/>
  <c r="BR77" i="36"/>
  <c r="BO77" i="36"/>
  <c r="BO75" i="36"/>
  <c r="AF14" i="36"/>
  <c r="AF17" i="36" s="1"/>
  <c r="AF22" i="36" s="1"/>
  <c r="Z463" i="36"/>
  <c r="Z464" i="36" s="1"/>
  <c r="AU59" i="36"/>
  <c r="BN69" i="36"/>
  <c r="BS59" i="36"/>
  <c r="BS63" i="36" s="1"/>
  <c r="BL76" i="36"/>
  <c r="BP75" i="36"/>
  <c r="BO76" i="36"/>
  <c r="BP77" i="36"/>
  <c r="BM77" i="36"/>
  <c r="BL77" i="36"/>
  <c r="BR76" i="36"/>
  <c r="BN77" i="36"/>
  <c r="BN76" i="36"/>
  <c r="BM76" i="36"/>
  <c r="AG471" i="36"/>
  <c r="AG499" i="36" s="1"/>
  <c r="BD59" i="36"/>
  <c r="BN72" i="36"/>
  <c r="BQ77" i="36"/>
  <c r="BW77" i="36"/>
  <c r="BW75" i="36"/>
  <c r="W464" i="36"/>
  <c r="BY72" i="36"/>
  <c r="BR73" i="36"/>
  <c r="BQ73" i="36"/>
  <c r="BV72" i="36"/>
  <c r="BR71" i="36"/>
  <c r="BT72" i="36"/>
  <c r="BY74" i="36"/>
  <c r="BQ72" i="36"/>
  <c r="BV74" i="36"/>
  <c r="BV73" i="36"/>
  <c r="BU72" i="36"/>
  <c r="G30" i="98"/>
  <c r="G32" i="98" s="1"/>
  <c r="BA59" i="36"/>
  <c r="BQ71" i="36"/>
  <c r="BT73" i="36"/>
  <c r="BO74" i="36"/>
  <c r="BW72" i="36"/>
  <c r="BU73" i="36"/>
  <c r="W14" i="36"/>
  <c r="W17" i="36" s="1"/>
  <c r="W22" i="36" s="1"/>
  <c r="BY71" i="36"/>
  <c r="BY69" i="36"/>
  <c r="BT71" i="36"/>
  <c r="BP72" i="36"/>
  <c r="BW74" i="36"/>
  <c r="BP74" i="36"/>
  <c r="BW73" i="36"/>
  <c r="BL74" i="36"/>
  <c r="I32" i="98"/>
  <c r="BP73" i="36"/>
  <c r="BR74" i="36"/>
  <c r="BL72" i="36"/>
  <c r="BM72" i="36"/>
  <c r="BP71" i="36"/>
  <c r="BL71" i="36"/>
  <c r="BL69" i="36"/>
  <c r="BP70" i="36"/>
  <c r="BM74" i="36"/>
  <c r="BL73" i="36"/>
  <c r="BM73" i="36"/>
  <c r="BO72" i="36"/>
  <c r="BY70" i="36"/>
  <c r="BO73" i="36"/>
  <c r="AE463" i="36"/>
  <c r="AE464" i="36" s="1"/>
  <c r="BQ69" i="36"/>
  <c r="BT70" i="36"/>
  <c r="BM71" i="36"/>
  <c r="BO69" i="36"/>
  <c r="BM70" i="36"/>
  <c r="AL463" i="36"/>
  <c r="AL465" i="36" s="1"/>
  <c r="BO70" i="36"/>
  <c r="K32" i="98"/>
  <c r="AC455" i="36"/>
  <c r="AC14" i="36"/>
  <c r="AC17" i="36" s="1"/>
  <c r="AC22" i="36" s="1"/>
  <c r="AE455" i="36"/>
  <c r="AA455" i="36"/>
  <c r="AA14" i="36"/>
  <c r="AA17" i="36" s="1"/>
  <c r="AA83" i="44" s="1"/>
  <c r="AA205" i="44" s="1"/>
  <c r="AB455" i="36"/>
  <c r="AB14" i="36"/>
  <c r="AB17" i="36" s="1"/>
  <c r="AB83" i="44" s="1"/>
  <c r="BR69" i="36"/>
  <c r="BT69" i="36"/>
  <c r="Z455" i="36"/>
  <c r="Z14" i="36"/>
  <c r="Z17" i="36" s="1"/>
  <c r="Z83" i="44" s="1"/>
  <c r="Z205" i="44" s="1"/>
  <c r="AH475" i="36"/>
  <c r="AH504" i="36" s="1"/>
  <c r="AE471" i="36"/>
  <c r="AE474" i="36" s="1"/>
  <c r="W471" i="36"/>
  <c r="W474" i="36" s="1"/>
  <c r="AA475" i="36"/>
  <c r="AA503" i="36" s="1"/>
  <c r="AI464" i="36"/>
  <c r="AK464" i="36"/>
  <c r="AK465" i="36"/>
  <c r="AA465" i="36"/>
  <c r="X471" i="36"/>
  <c r="X500" i="36" s="1"/>
  <c r="AI22" i="36"/>
  <c r="AJ471" i="36"/>
  <c r="AJ499" i="36" s="1"/>
  <c r="AB475" i="36"/>
  <c r="AB504" i="36" s="1"/>
  <c r="W475" i="36"/>
  <c r="W478" i="36" s="1"/>
  <c r="Z475" i="36"/>
  <c r="Z504" i="36" s="1"/>
  <c r="Y475" i="36"/>
  <c r="Y478" i="36" s="1"/>
  <c r="AF471" i="36"/>
  <c r="AF499" i="36" s="1"/>
  <c r="AB471" i="36"/>
  <c r="AB500" i="36" s="1"/>
  <c r="Y471" i="36"/>
  <c r="Y474" i="36" s="1"/>
  <c r="AD22" i="36"/>
  <c r="AG22" i="36"/>
  <c r="AK22" i="36"/>
  <c r="X475" i="36"/>
  <c r="X503" i="36" s="1"/>
  <c r="AA471" i="36"/>
  <c r="Z454" i="36"/>
  <c r="AC475" i="36"/>
  <c r="AC503" i="36" s="1"/>
  <c r="AC474" i="36"/>
  <c r="AC499" i="36"/>
  <c r="AC500" i="36"/>
  <c r="X454" i="36"/>
  <c r="AL454" i="36"/>
  <c r="AC454" i="36"/>
  <c r="AL475" i="36"/>
  <c r="AL471" i="36"/>
  <c r="AL474" i="36" s="1"/>
  <c r="AF454" i="36"/>
  <c r="AA454" i="36"/>
  <c r="AK471" i="36"/>
  <c r="AK499" i="36" s="1"/>
  <c r="AE475" i="36"/>
  <c r="AE503" i="36" s="1"/>
  <c r="AD475" i="36"/>
  <c r="AD503" i="36" s="1"/>
  <c r="AI471" i="36"/>
  <c r="AI500" i="36" s="1"/>
  <c r="AI454" i="36"/>
  <c r="AK475" i="36"/>
  <c r="AK503" i="36" s="1"/>
  <c r="AJ454" i="36"/>
  <c r="AJ475" i="36"/>
  <c r="AJ503" i="36" s="1"/>
  <c r="AD454" i="36"/>
  <c r="AH471" i="36"/>
  <c r="AH474" i="36" s="1"/>
  <c r="AK454" i="36"/>
  <c r="AF475" i="36"/>
  <c r="AE454" i="36"/>
  <c r="W454" i="36"/>
  <c r="AB454" i="36"/>
  <c r="AL22" i="36"/>
  <c r="AD471" i="36"/>
  <c r="AD500" i="36" s="1"/>
  <c r="AI475" i="36"/>
  <c r="AI503" i="36" s="1"/>
  <c r="AG454" i="36"/>
  <c r="Y454" i="36"/>
  <c r="AH454" i="36"/>
  <c r="AG478" i="36"/>
  <c r="AG503" i="36"/>
  <c r="AG504" i="36"/>
  <c r="I82" i="45"/>
  <c r="AA25" i="45"/>
  <c r="AA38" i="41" s="1"/>
  <c r="AA72" i="41" s="1"/>
  <c r="AA136" i="44" s="1"/>
  <c r="AA247" i="44" s="1"/>
  <c r="Z25" i="45"/>
  <c r="Z38" i="41" s="1"/>
  <c r="Z72" i="41" s="1"/>
  <c r="Z136" i="44" s="1"/>
  <c r="Z247" i="44" s="1"/>
  <c r="Z22" i="42"/>
  <c r="X25" i="45"/>
  <c r="X38" i="41" s="1"/>
  <c r="X72" i="41" s="1"/>
  <c r="X136" i="44" s="1"/>
  <c r="X247" i="44" s="1"/>
  <c r="X22" i="42"/>
  <c r="BR54" i="90"/>
  <c r="BO54" i="90"/>
  <c r="BN54" i="90"/>
  <c r="BP54" i="90"/>
  <c r="BK54" i="90"/>
  <c r="BQ54" i="90"/>
  <c r="BL54" i="90"/>
  <c r="BM54" i="90"/>
  <c r="K16" i="90"/>
  <c r="K26" i="90" s="1"/>
  <c r="AI23" i="114" s="1"/>
  <c r="AH23" i="98"/>
  <c r="L16" i="90"/>
  <c r="L25" i="90" s="1"/>
  <c r="AE23" i="98"/>
  <c r="CP41" i="90"/>
  <c r="AC45" i="56"/>
  <c r="AC19" i="56" s="1"/>
  <c r="AC168" i="44" s="1"/>
  <c r="BQ42" i="90"/>
  <c r="H16" i="90"/>
  <c r="H26" i="90" s="1"/>
  <c r="AF23" i="114" s="1"/>
  <c r="G16" i="90"/>
  <c r="G26" i="90" s="1"/>
  <c r="AE23" i="114" s="1"/>
  <c r="E16" i="90"/>
  <c r="E25" i="90" s="1"/>
  <c r="D26" i="90"/>
  <c r="AB23" i="114" s="1"/>
  <c r="D25" i="90"/>
  <c r="BR42" i="90"/>
  <c r="BO45" i="90"/>
  <c r="BL45" i="90"/>
  <c r="BR45" i="90"/>
  <c r="BN45" i="90"/>
  <c r="F16" i="90"/>
  <c r="F26" i="90" s="1"/>
  <c r="AD23" i="114" s="1"/>
  <c r="AA19" i="98"/>
  <c r="AA23" i="98" s="1"/>
  <c r="BZ41" i="90"/>
  <c r="BP42" i="90"/>
  <c r="BM45" i="90"/>
  <c r="K25" i="90"/>
  <c r="J26" i="90"/>
  <c r="AH23" i="114" s="1"/>
  <c r="J25" i="90"/>
  <c r="G25" i="90"/>
  <c r="M26" i="90"/>
  <c r="AK23" i="114" s="1"/>
  <c r="M25" i="90"/>
  <c r="AC26" i="45"/>
  <c r="AE57" i="41"/>
  <c r="AE74" i="41" s="1"/>
  <c r="AE100" i="41" s="1"/>
  <c r="AN13" i="98"/>
  <c r="AD57" i="41"/>
  <c r="AD74" i="41" s="1"/>
  <c r="AD100" i="41" s="1"/>
  <c r="AJ13" i="98"/>
  <c r="AK13" i="98"/>
  <c r="AF13" i="98"/>
  <c r="AL26" i="45"/>
  <c r="AJ26" i="45"/>
  <c r="AD17" i="30"/>
  <c r="AD30" i="30" s="1"/>
  <c r="AC26" i="114" s="1"/>
  <c r="AK17" i="30"/>
  <c r="AK30" i="30" s="1"/>
  <c r="AJ26" i="114" s="1"/>
  <c r="AM13" i="98"/>
  <c r="AE17" i="30"/>
  <c r="AE29" i="30" s="1"/>
  <c r="AI13" i="98"/>
  <c r="AF17" i="30"/>
  <c r="AF19" i="42" s="1"/>
  <c r="AH13" i="98"/>
  <c r="AF26" i="45"/>
  <c r="AC17" i="30"/>
  <c r="AC19" i="42" s="1"/>
  <c r="AG17" i="30"/>
  <c r="AG30" i="30" s="1"/>
  <c r="AF26" i="114" s="1"/>
  <c r="AG8" i="98"/>
  <c r="AG13" i="98" s="1"/>
  <c r="AJ17" i="30"/>
  <c r="AJ29" i="30" s="1"/>
  <c r="AO13" i="98"/>
  <c r="AL17" i="30"/>
  <c r="AL29" i="30" s="1"/>
  <c r="AL13" i="98"/>
  <c r="AH17" i="30"/>
  <c r="AH19" i="42" s="1"/>
  <c r="AI17" i="30"/>
  <c r="AI29" i="30" s="1"/>
  <c r="Y13" i="42"/>
  <c r="AH146" i="86"/>
  <c r="AH147" i="86" s="1"/>
  <c r="AL27" i="12"/>
  <c r="AK20" i="114" s="1"/>
  <c r="AF34" i="12"/>
  <c r="L44" i="98" s="1"/>
  <c r="X14" i="42"/>
  <c r="D44" i="98"/>
  <c r="AJ57" i="12"/>
  <c r="AJ12" i="12" s="1"/>
  <c r="AJ17" i="12" s="1"/>
  <c r="AJ29" i="12"/>
  <c r="AJ87" i="86" s="1"/>
  <c r="AJ191" i="86" s="1"/>
  <c r="P56" i="98" s="1"/>
  <c r="AH17" i="12"/>
  <c r="AH37" i="12" s="1"/>
  <c r="AH98" i="86" s="1"/>
  <c r="F44" i="98"/>
  <c r="Z14" i="42"/>
  <c r="AE34" i="12"/>
  <c r="AE14" i="42" s="1"/>
  <c r="W37" i="12"/>
  <c r="W15" i="42" s="1"/>
  <c r="W95" i="44" s="1"/>
  <c r="W128" i="44" s="1"/>
  <c r="W166" i="44" s="1"/>
  <c r="AE17" i="12"/>
  <c r="K43" i="98" s="1"/>
  <c r="AG17" i="12"/>
  <c r="M43" i="98" s="1"/>
  <c r="AK57" i="12"/>
  <c r="AK12" i="12" s="1"/>
  <c r="AK17" i="12" s="1"/>
  <c r="AD27" i="12"/>
  <c r="AC20" i="114" s="1"/>
  <c r="AA34" i="12"/>
  <c r="AA14" i="42" s="1"/>
  <c r="AK29" i="12"/>
  <c r="AK87" i="86" s="1"/>
  <c r="AK191" i="86" s="1"/>
  <c r="Q56" i="98" s="1"/>
  <c r="AC17" i="12"/>
  <c r="AC37" i="12" s="1"/>
  <c r="Y37" i="12"/>
  <c r="Y15" i="42" s="1"/>
  <c r="Y95" i="44" s="1"/>
  <c r="Y128" i="44" s="1"/>
  <c r="Y166" i="44" s="1"/>
  <c r="X17" i="12"/>
  <c r="X13" i="42" s="1"/>
  <c r="AA17" i="12"/>
  <c r="G43" i="98" s="1"/>
  <c r="Y14" i="42"/>
  <c r="AF17" i="12"/>
  <c r="AF13" i="42" s="1"/>
  <c r="AB17" i="12"/>
  <c r="H86" i="98" s="1"/>
  <c r="AD34" i="12"/>
  <c r="AD14" i="42" s="1"/>
  <c r="AH166" i="86"/>
  <c r="AH191" i="86"/>
  <c r="N56" i="98" s="1"/>
  <c r="AG191" i="86"/>
  <c r="M56" i="98" s="1"/>
  <c r="M61" i="98" s="1"/>
  <c r="AG166" i="86"/>
  <c r="AC14" i="42"/>
  <c r="AE191" i="86"/>
  <c r="K56" i="98" s="1"/>
  <c r="AE166" i="86"/>
  <c r="I44" i="98"/>
  <c r="Z17" i="12"/>
  <c r="Z37" i="12" s="1"/>
  <c r="Z15" i="42" s="1"/>
  <c r="Z95" i="44" s="1"/>
  <c r="Z128" i="44" s="1"/>
  <c r="AI34" i="12"/>
  <c r="AI37" i="12" s="1"/>
  <c r="AI98" i="86" s="1"/>
  <c r="AD191" i="86"/>
  <c r="J56" i="98" s="1"/>
  <c r="AD166" i="86"/>
  <c r="H89" i="98"/>
  <c r="AL34" i="12"/>
  <c r="AL37" i="12" s="1"/>
  <c r="AL98" i="86" s="1"/>
  <c r="AL87" i="86"/>
  <c r="AF191" i="86"/>
  <c r="L56" i="98" s="1"/>
  <c r="AF166" i="86"/>
  <c r="AI191" i="86"/>
  <c r="O56" i="98" s="1"/>
  <c r="AI166" i="86"/>
  <c r="E45" i="98"/>
  <c r="AJ92" i="86"/>
  <c r="AJ145" i="86" s="1"/>
  <c r="AC191" i="86"/>
  <c r="I56" i="98" s="1"/>
  <c r="AC166" i="86"/>
  <c r="AB14" i="42"/>
  <c r="H44" i="98"/>
  <c r="AJ168" i="86"/>
  <c r="AJ195" i="86"/>
  <c r="P60" i="98" s="1"/>
  <c r="AK168" i="86"/>
  <c r="AK195" i="86"/>
  <c r="AH168" i="86"/>
  <c r="AH195" i="86"/>
  <c r="N60" i="98" s="1"/>
  <c r="AE168" i="86"/>
  <c r="AE195" i="86"/>
  <c r="K60" i="98" s="1"/>
  <c r="N44" i="98"/>
  <c r="M44" i="98"/>
  <c r="AE146" i="86"/>
  <c r="AE147" i="86" s="1"/>
  <c r="R58" i="98"/>
  <c r="K58" i="98"/>
  <c r="AI92" i="86"/>
  <c r="AI145" i="86" s="1"/>
  <c r="AI164" i="86"/>
  <c r="AI193" i="86"/>
  <c r="P58" i="98"/>
  <c r="J58" i="98"/>
  <c r="AC164" i="86"/>
  <c r="AC193" i="86"/>
  <c r="AC92" i="86"/>
  <c r="AC145" i="86" s="1"/>
  <c r="AD146" i="86" s="1"/>
  <c r="AD147" i="86" s="1"/>
  <c r="AF164" i="86"/>
  <c r="AF92" i="86"/>
  <c r="AF145" i="86" s="1"/>
  <c r="AF146" i="86" s="1"/>
  <c r="AF147" i="86" s="1"/>
  <c r="AF193" i="86"/>
  <c r="N58" i="98"/>
  <c r="AI27" i="12"/>
  <c r="AH20" i="114" s="1"/>
  <c r="O43" i="98"/>
  <c r="J43" i="98"/>
  <c r="R43" i="98"/>
  <c r="AF82" i="98"/>
  <c r="I89" i="98"/>
  <c r="AD15" i="86"/>
  <c r="L92" i="98"/>
  <c r="AG17" i="86"/>
  <c r="Z125" i="44"/>
  <c r="AK37" i="89"/>
  <c r="Y37" i="89"/>
  <c r="AC85" i="44"/>
  <c r="AC41" i="93"/>
  <c r="N90" i="112"/>
  <c r="AC191" i="44"/>
  <c r="AC186" i="44"/>
  <c r="AC89" i="44"/>
  <c r="AC137" i="44" s="1"/>
  <c r="AC110" i="41"/>
  <c r="AC87" i="44"/>
  <c r="AC90" i="44"/>
  <c r="AC207" i="44" s="1"/>
  <c r="AC109" i="41"/>
  <c r="AC193" i="44"/>
  <c r="AC84" i="44"/>
  <c r="AC188" i="44"/>
  <c r="AC99" i="44"/>
  <c r="Y125" i="44"/>
  <c r="Y206" i="44"/>
  <c r="Y139" i="44"/>
  <c r="AE26" i="40"/>
  <c r="AE32" i="40" s="1"/>
  <c r="AE23" i="40"/>
  <c r="Y248" i="44"/>
  <c r="W125" i="44"/>
  <c r="Z248" i="44"/>
  <c r="AB249" i="44"/>
  <c r="AB124" i="44"/>
  <c r="Z206" i="44"/>
  <c r="AB206" i="44"/>
  <c r="Z209" i="44"/>
  <c r="W139" i="44"/>
  <c r="AA125" i="44"/>
  <c r="W212" i="44"/>
  <c r="W222" i="44" s="1"/>
  <c r="W88" i="44"/>
  <c r="W130" i="44"/>
  <c r="X209" i="44"/>
  <c r="L10" i="91"/>
  <c r="I10" i="91"/>
  <c r="AA209" i="44"/>
  <c r="AA126" i="44"/>
  <c r="W209" i="44"/>
  <c r="W126" i="44"/>
  <c r="X249" i="44"/>
  <c r="AA123" i="44"/>
  <c r="AA124" i="44"/>
  <c r="AA206" i="44"/>
  <c r="W124" i="44"/>
  <c r="J16" i="91"/>
  <c r="R10" i="91"/>
  <c r="AB18" i="57" s="1"/>
  <c r="N10" i="91"/>
  <c r="X23" i="41" s="1"/>
  <c r="W195" i="44"/>
  <c r="I15" i="91"/>
  <c r="L16" i="91"/>
  <c r="O16" i="91"/>
  <c r="W206" i="44"/>
  <c r="N16" i="91"/>
  <c r="M16" i="91"/>
  <c r="L15" i="91"/>
  <c r="M10" i="91"/>
  <c r="W18" i="57" s="1"/>
  <c r="Q10" i="91"/>
  <c r="AA23" i="41" s="1"/>
  <c r="G9" i="98" s="1"/>
  <c r="R152" i="112"/>
  <c r="R68" i="112" s="1"/>
  <c r="E150" i="112"/>
  <c r="W131" i="112"/>
  <c r="W153" i="112" s="1"/>
  <c r="G151" i="112"/>
  <c r="R131" i="112"/>
  <c r="F141" i="112"/>
  <c r="G131" i="112"/>
  <c r="V131" i="112"/>
  <c r="F9" i="112"/>
  <c r="G7" i="112"/>
  <c r="Q89" i="112"/>
  <c r="P90" i="112"/>
  <c r="G134" i="112"/>
  <c r="G142" i="112" s="1"/>
  <c r="G149" i="112"/>
  <c r="M68" i="112"/>
  <c r="S131" i="112"/>
  <c r="E131" i="112"/>
  <c r="T131" i="112"/>
  <c r="P131" i="112"/>
  <c r="E149" i="112"/>
  <c r="P148" i="112"/>
  <c r="P152" i="112" s="1"/>
  <c r="P23" i="112" s="1"/>
  <c r="T152" i="112"/>
  <c r="K148" i="112"/>
  <c r="K152" i="112" s="1"/>
  <c r="K23" i="112" s="1"/>
  <c r="L152" i="112"/>
  <c r="L23" i="112" s="1"/>
  <c r="M131" i="112"/>
  <c r="M153" i="112" s="1"/>
  <c r="L131" i="112"/>
  <c r="V152" i="112"/>
  <c r="J152" i="112"/>
  <c r="J131" i="112"/>
  <c r="J153" i="112" s="1"/>
  <c r="Y456" i="57"/>
  <c r="X456" i="57"/>
  <c r="CE41" i="90"/>
  <c r="AE15" i="40"/>
  <c r="CF72" i="90"/>
  <c r="CQ72" i="90" s="1"/>
  <c r="AD76" i="56" s="1"/>
  <c r="CF96" i="90"/>
  <c r="CQ96" i="90" s="1"/>
  <c r="AD100" i="56" s="1"/>
  <c r="CF120" i="90"/>
  <c r="CQ120" i="90" s="1"/>
  <c r="AD124" i="56" s="1"/>
  <c r="CF42" i="90"/>
  <c r="CQ42" i="90" s="1"/>
  <c r="CF65" i="90"/>
  <c r="CQ65" i="90" s="1"/>
  <c r="AD69" i="56" s="1"/>
  <c r="CF89" i="90"/>
  <c r="CQ89" i="90" s="1"/>
  <c r="AD93" i="56" s="1"/>
  <c r="CF113" i="90"/>
  <c r="CQ113" i="90" s="1"/>
  <c r="AD117" i="56" s="1"/>
  <c r="CF137" i="90"/>
  <c r="CF70" i="90"/>
  <c r="CQ70" i="90" s="1"/>
  <c r="AD74" i="56" s="1"/>
  <c r="CF94" i="90"/>
  <c r="CQ94" i="90" s="1"/>
  <c r="AD98" i="56" s="1"/>
  <c r="CF118" i="90"/>
  <c r="CQ118" i="90" s="1"/>
  <c r="AD122" i="56" s="1"/>
  <c r="CF142" i="90"/>
  <c r="CF69" i="90"/>
  <c r="CQ69" i="90" s="1"/>
  <c r="AD73" i="56" s="1"/>
  <c r="CF93" i="90"/>
  <c r="CQ93" i="90" s="1"/>
  <c r="AD97" i="56" s="1"/>
  <c r="CF117" i="90"/>
  <c r="CQ117" i="90" s="1"/>
  <c r="AD121" i="56" s="1"/>
  <c r="CF141" i="90"/>
  <c r="CF50" i="90"/>
  <c r="CQ50" i="90" s="1"/>
  <c r="AD54" i="56" s="1"/>
  <c r="CF98" i="90"/>
  <c r="CQ98" i="90" s="1"/>
  <c r="AD102" i="56" s="1"/>
  <c r="CF91" i="90"/>
  <c r="CQ91" i="90" s="1"/>
  <c r="AD95" i="56" s="1"/>
  <c r="CF92" i="90"/>
  <c r="CQ92" i="90" s="1"/>
  <c r="AD96" i="56" s="1"/>
  <c r="CF56" i="90"/>
  <c r="CQ56" i="90" s="1"/>
  <c r="AD60" i="56" s="1"/>
  <c r="CF139" i="90"/>
  <c r="CF122" i="90"/>
  <c r="CQ122" i="90" s="1"/>
  <c r="AD126" i="56" s="1"/>
  <c r="CF115" i="90"/>
  <c r="CQ115" i="90" s="1"/>
  <c r="AD119" i="56" s="1"/>
  <c r="CF104" i="90"/>
  <c r="CQ104" i="90" s="1"/>
  <c r="AD108" i="56" s="1"/>
  <c r="CF54" i="90"/>
  <c r="CQ54" i="90" s="1"/>
  <c r="AD58" i="56" s="1"/>
  <c r="CF84" i="90"/>
  <c r="CQ84" i="90" s="1"/>
  <c r="AD88" i="56" s="1"/>
  <c r="CF114" i="90"/>
  <c r="CQ114" i="90" s="1"/>
  <c r="AD118" i="56" s="1"/>
  <c r="CF48" i="90"/>
  <c r="CQ48" i="90" s="1"/>
  <c r="AD52" i="56" s="1"/>
  <c r="CF77" i="90"/>
  <c r="CQ77" i="90" s="1"/>
  <c r="AD81" i="56" s="1"/>
  <c r="CF107" i="90"/>
  <c r="CQ107" i="90" s="1"/>
  <c r="AD111" i="56" s="1"/>
  <c r="CF47" i="90"/>
  <c r="CQ47" i="90" s="1"/>
  <c r="AD51" i="56" s="1"/>
  <c r="CF82" i="90"/>
  <c r="CQ82" i="90" s="1"/>
  <c r="AD86" i="56" s="1"/>
  <c r="CF112" i="90"/>
  <c r="CQ112" i="90" s="1"/>
  <c r="AD116" i="56" s="1"/>
  <c r="CF46" i="90"/>
  <c r="CQ46" i="90" s="1"/>
  <c r="AD50" i="56" s="1"/>
  <c r="CF81" i="90"/>
  <c r="CQ81" i="90" s="1"/>
  <c r="AD85" i="56" s="1"/>
  <c r="CF111" i="90"/>
  <c r="CQ111" i="90" s="1"/>
  <c r="AD115" i="56" s="1"/>
  <c r="CF45" i="90"/>
  <c r="CQ45" i="90" s="1"/>
  <c r="AD49" i="56" s="1"/>
  <c r="CF49" i="90"/>
  <c r="CQ49" i="90" s="1"/>
  <c r="AD53" i="56" s="1"/>
  <c r="CF62" i="90"/>
  <c r="CQ62" i="90" s="1"/>
  <c r="AD66" i="56" s="1"/>
  <c r="CF128" i="90"/>
  <c r="CF121" i="90"/>
  <c r="CQ121" i="90" s="1"/>
  <c r="AD125" i="56" s="1"/>
  <c r="CF86" i="90"/>
  <c r="CQ86" i="90" s="1"/>
  <c r="AD90" i="56" s="1"/>
  <c r="CF74" i="90"/>
  <c r="CQ74" i="90" s="1"/>
  <c r="AD78" i="56" s="1"/>
  <c r="CF60" i="90"/>
  <c r="CQ60" i="90" s="1"/>
  <c r="AD64" i="56" s="1"/>
  <c r="CF90" i="90"/>
  <c r="CQ90" i="90" s="1"/>
  <c r="AD94" i="56" s="1"/>
  <c r="CF126" i="90"/>
  <c r="CQ126" i="90" s="1"/>
  <c r="AD130" i="56" s="1"/>
  <c r="CF53" i="90"/>
  <c r="CQ53" i="90" s="1"/>
  <c r="AD57" i="56" s="1"/>
  <c r="CF83" i="90"/>
  <c r="CQ83" i="90" s="1"/>
  <c r="AD87" i="56" s="1"/>
  <c r="CF119" i="90"/>
  <c r="CQ119" i="90" s="1"/>
  <c r="AD123" i="56" s="1"/>
  <c r="CF58" i="90"/>
  <c r="CQ58" i="90" s="1"/>
  <c r="AD62" i="56" s="1"/>
  <c r="CF88" i="90"/>
  <c r="CQ88" i="90" s="1"/>
  <c r="AD92" i="56" s="1"/>
  <c r="CF124" i="90"/>
  <c r="CQ124" i="90" s="1"/>
  <c r="AD128" i="56" s="1"/>
  <c r="CF57" i="90"/>
  <c r="CQ57" i="90" s="1"/>
  <c r="AD61" i="56" s="1"/>
  <c r="CF87" i="90"/>
  <c r="CQ87" i="90" s="1"/>
  <c r="AD91" i="56" s="1"/>
  <c r="CF123" i="90"/>
  <c r="CQ123" i="90" s="1"/>
  <c r="AD127" i="56" s="1"/>
  <c r="CF51" i="90"/>
  <c r="CQ51" i="90" s="1"/>
  <c r="AD55" i="56" s="1"/>
  <c r="CF61" i="90"/>
  <c r="CQ61" i="90" s="1"/>
  <c r="AD65" i="56" s="1"/>
  <c r="CF127" i="90"/>
  <c r="CF73" i="90"/>
  <c r="CQ73" i="90" s="1"/>
  <c r="AD77" i="56" s="1"/>
  <c r="CF109" i="90"/>
  <c r="CQ109" i="90" s="1"/>
  <c r="AD113" i="56" s="1"/>
  <c r="CF140" i="90"/>
  <c r="CF80" i="90"/>
  <c r="CQ80" i="90" s="1"/>
  <c r="AD84" i="56" s="1"/>
  <c r="CF108" i="90"/>
  <c r="CQ108" i="90" s="1"/>
  <c r="AD112" i="56" s="1"/>
  <c r="CF71" i="90"/>
  <c r="CQ71" i="90" s="1"/>
  <c r="AD75" i="56" s="1"/>
  <c r="CF131" i="90"/>
  <c r="CF106" i="90"/>
  <c r="CQ106" i="90" s="1"/>
  <c r="AD110" i="56" s="1"/>
  <c r="CF75" i="90"/>
  <c r="CQ75" i="90" s="1"/>
  <c r="AD79" i="56" s="1"/>
  <c r="CF135" i="90"/>
  <c r="CF110" i="90"/>
  <c r="CQ110" i="90" s="1"/>
  <c r="AD114" i="56" s="1"/>
  <c r="CF85" i="90"/>
  <c r="CQ85" i="90" s="1"/>
  <c r="AD89" i="56" s="1"/>
  <c r="CF79" i="90"/>
  <c r="CQ79" i="90" s="1"/>
  <c r="AD83" i="56" s="1"/>
  <c r="CF66" i="90"/>
  <c r="CQ66" i="90" s="1"/>
  <c r="AD70" i="56" s="1"/>
  <c r="CF132" i="90"/>
  <c r="CF95" i="90"/>
  <c r="CQ95" i="90" s="1"/>
  <c r="AD99" i="56" s="1"/>
  <c r="CF64" i="90"/>
  <c r="CQ64" i="90" s="1"/>
  <c r="AD68" i="56" s="1"/>
  <c r="CF130" i="90"/>
  <c r="CF99" i="90"/>
  <c r="CQ99" i="90" s="1"/>
  <c r="AD103" i="56" s="1"/>
  <c r="CF44" i="90"/>
  <c r="CQ44" i="90" s="1"/>
  <c r="AD48" i="56" s="1"/>
  <c r="CF116" i="90"/>
  <c r="CQ116" i="90" s="1"/>
  <c r="AD120" i="56" s="1"/>
  <c r="CF68" i="90"/>
  <c r="CQ68" i="90" s="1"/>
  <c r="AD72" i="56" s="1"/>
  <c r="CF103" i="90"/>
  <c r="CQ103" i="90" s="1"/>
  <c r="AD107" i="56" s="1"/>
  <c r="CF78" i="90"/>
  <c r="CQ78" i="90" s="1"/>
  <c r="AD82" i="56" s="1"/>
  <c r="CF138" i="90"/>
  <c r="CF101" i="90"/>
  <c r="CQ101" i="90" s="1"/>
  <c r="AD105" i="56" s="1"/>
  <c r="CF76" i="90"/>
  <c r="CQ76" i="90" s="1"/>
  <c r="AD80" i="56" s="1"/>
  <c r="CF136" i="90"/>
  <c r="CF105" i="90"/>
  <c r="CQ105" i="90" s="1"/>
  <c r="AD109" i="56" s="1"/>
  <c r="CF43" i="90"/>
  <c r="CQ43" i="90" s="1"/>
  <c r="AD47" i="56" s="1"/>
  <c r="CF55" i="90"/>
  <c r="CQ55" i="90" s="1"/>
  <c r="AD59" i="56" s="1"/>
  <c r="CF97" i="90"/>
  <c r="CQ97" i="90" s="1"/>
  <c r="AD101" i="56" s="1"/>
  <c r="CF125" i="90"/>
  <c r="CQ125" i="90" s="1"/>
  <c r="AD129" i="56" s="1"/>
  <c r="CF134" i="90"/>
  <c r="CF100" i="90"/>
  <c r="CQ100" i="90" s="1"/>
  <c r="AD104" i="56" s="1"/>
  <c r="CF67" i="90"/>
  <c r="CQ67" i="90" s="1"/>
  <c r="AD71" i="56" s="1"/>
  <c r="CF59" i="90"/>
  <c r="CQ59" i="90" s="1"/>
  <c r="AD63" i="56" s="1"/>
  <c r="CF102" i="90"/>
  <c r="CQ102" i="90" s="1"/>
  <c r="AD106" i="56" s="1"/>
  <c r="CF63" i="90"/>
  <c r="CQ63" i="90" s="1"/>
  <c r="AD67" i="56" s="1"/>
  <c r="CF133" i="90"/>
  <c r="AD85" i="41"/>
  <c r="CF129" i="90"/>
  <c r="AD39" i="93"/>
  <c r="AG44" i="40"/>
  <c r="Z207" i="44"/>
  <c r="U152" i="112"/>
  <c r="U23" i="112" s="1"/>
  <c r="S152" i="112"/>
  <c r="I131" i="112"/>
  <c r="I134" i="112"/>
  <c r="I142" i="112" s="1"/>
  <c r="I148" i="112"/>
  <c r="I152" i="112" s="1"/>
  <c r="T68" i="112"/>
  <c r="N131" i="112"/>
  <c r="N148" i="112"/>
  <c r="N152" i="112" s="1"/>
  <c r="J68" i="112"/>
  <c r="J23" i="112"/>
  <c r="Q148" i="112"/>
  <c r="Q152" i="112" s="1"/>
  <c r="Q131" i="112"/>
  <c r="W23" i="112"/>
  <c r="K68" i="112"/>
  <c r="L68" i="112"/>
  <c r="K108" i="112"/>
  <c r="J136" i="112"/>
  <c r="J137" i="112" s="1"/>
  <c r="J138" i="112"/>
  <c r="J139" i="112" s="1"/>
  <c r="J134" i="112"/>
  <c r="I139" i="112"/>
  <c r="H142" i="112"/>
  <c r="K107" i="112"/>
  <c r="K140" i="112" s="1"/>
  <c r="I137" i="112"/>
  <c r="E143" i="112"/>
  <c r="F134" i="112"/>
  <c r="F142" i="112" s="1"/>
  <c r="F131" i="112"/>
  <c r="F148" i="112"/>
  <c r="F152" i="112" s="1"/>
  <c r="H143" i="112"/>
  <c r="D148" i="112"/>
  <c r="D152" i="112" s="1"/>
  <c r="D134" i="112"/>
  <c r="D142" i="112" s="1"/>
  <c r="D131" i="112"/>
  <c r="E152" i="112"/>
  <c r="E142" i="112"/>
  <c r="C11" i="91"/>
  <c r="F11" i="91" s="1"/>
  <c r="G11" i="91"/>
  <c r="H11" i="91" s="1"/>
  <c r="AB95" i="98"/>
  <c r="AB90" i="98"/>
  <c r="J9" i="91"/>
  <c r="L9" i="91"/>
  <c r="M9" i="91"/>
  <c r="W47" i="41" s="1"/>
  <c r="P9" i="91"/>
  <c r="Z47" i="41" s="1"/>
  <c r="C8" i="91"/>
  <c r="F8" i="91" s="1"/>
  <c r="G8" i="91"/>
  <c r="H8" i="91" s="1"/>
  <c r="Q20" i="91"/>
  <c r="N20" i="91"/>
  <c r="X15" i="86" s="1"/>
  <c r="J20" i="91"/>
  <c r="O20" i="91"/>
  <c r="Y15" i="86" s="1"/>
  <c r="Z13" i="86" s="1"/>
  <c r="I20" i="91"/>
  <c r="K20" i="91"/>
  <c r="M20" i="91"/>
  <c r="W15" i="86" s="1"/>
  <c r="L20" i="91"/>
  <c r="P20" i="91"/>
  <c r="R20" i="91"/>
  <c r="AA95" i="98"/>
  <c r="AA90" i="98"/>
  <c r="O9" i="91"/>
  <c r="Y47" i="41" s="1"/>
  <c r="K9" i="91"/>
  <c r="C17" i="91"/>
  <c r="F17" i="91" s="1"/>
  <c r="G17" i="91"/>
  <c r="H17" i="91" s="1"/>
  <c r="C12" i="91"/>
  <c r="F12" i="91" s="1"/>
  <c r="G12" i="91"/>
  <c r="H12" i="91" s="1"/>
  <c r="X18" i="57"/>
  <c r="X18" i="36"/>
  <c r="Q9" i="91"/>
  <c r="AA47" i="41" s="1"/>
  <c r="N9" i="91"/>
  <c r="X47" i="41" s="1"/>
  <c r="G13" i="91"/>
  <c r="H13" i="91" s="1"/>
  <c r="C13" i="91"/>
  <c r="F13" i="91" s="1"/>
  <c r="AA18" i="57"/>
  <c r="R9" i="91"/>
  <c r="AB47" i="41" s="1"/>
  <c r="I9" i="91"/>
  <c r="W123" i="44"/>
  <c r="AD40" i="40"/>
  <c r="AD42" i="40" s="1"/>
  <c r="AE40" i="40"/>
  <c r="AC42" i="40"/>
  <c r="AL40" i="40"/>
  <c r="AH40" i="40"/>
  <c r="AF40" i="40"/>
  <c r="AK40" i="40"/>
  <c r="AI40" i="40"/>
  <c r="AJ40" i="40"/>
  <c r="AG40" i="40"/>
  <c r="AB123" i="44"/>
  <c r="AB207" i="44"/>
  <c r="X124" i="44"/>
  <c r="X206" i="44"/>
  <c r="X248" i="44"/>
  <c r="X207" i="44"/>
  <c r="X123" i="44"/>
  <c r="Y464" i="36" l="1"/>
  <c r="AJ513" i="57"/>
  <c r="AA519" i="57"/>
  <c r="AE516" i="57"/>
  <c r="AE478" i="57"/>
  <c r="AF458" i="57"/>
  <c r="AE43" i="114" s="1"/>
  <c r="AF456" i="57"/>
  <c r="AL513" i="57"/>
  <c r="AL518" i="57" s="1"/>
  <c r="AB18" i="36"/>
  <c r="Y458" i="36"/>
  <c r="AW62" i="57"/>
  <c r="AG478" i="57"/>
  <c r="AG515" i="57"/>
  <c r="AG513" i="57"/>
  <c r="AG518" i="57" s="1"/>
  <c r="AG516" i="57"/>
  <c r="AG514" i="57"/>
  <c r="AG519" i="57" s="1"/>
  <c r="AK515" i="57"/>
  <c r="X513" i="57"/>
  <c r="X518" i="57" s="1"/>
  <c r="X516" i="57"/>
  <c r="X515" i="57"/>
  <c r="X478" i="57"/>
  <c r="AA456" i="57"/>
  <c r="X514" i="57"/>
  <c r="AB23" i="41"/>
  <c r="H9" i="98" s="1"/>
  <c r="R13" i="91"/>
  <c r="K153" i="112"/>
  <c r="AD196" i="86"/>
  <c r="AD201" i="86" s="1"/>
  <c r="AI514" i="57"/>
  <c r="AI519" i="57" s="1"/>
  <c r="AB514" i="57"/>
  <c r="Y515" i="57"/>
  <c r="AF515" i="57"/>
  <c r="AF518" i="57" s="1"/>
  <c r="AF478" i="57"/>
  <c r="AF514" i="57"/>
  <c r="AF519" i="57" s="1"/>
  <c r="AF516" i="57"/>
  <c r="W458" i="57"/>
  <c r="W456" i="57"/>
  <c r="Y518" i="57"/>
  <c r="AE515" i="57"/>
  <c r="AK514" i="57"/>
  <c r="AK519" i="57" s="1"/>
  <c r="AH515" i="57"/>
  <c r="AH518" i="57" s="1"/>
  <c r="R15" i="91"/>
  <c r="AE10" i="98" s="1"/>
  <c r="AI515" i="57"/>
  <c r="AI518" i="57" s="1"/>
  <c r="BP62" i="57"/>
  <c r="AK518" i="57"/>
  <c r="AE519" i="57"/>
  <c r="AE27" i="12"/>
  <c r="AD20" i="114" s="1"/>
  <c r="AG196" i="86"/>
  <c r="AG201" i="86" s="1"/>
  <c r="AH488" i="57"/>
  <c r="W488" i="57"/>
  <c r="AI488" i="57"/>
  <c r="Y488" i="57"/>
  <c r="AD488" i="57"/>
  <c r="X488" i="57"/>
  <c r="AA488" i="57"/>
  <c r="AC488" i="57"/>
  <c r="AG488" i="57"/>
  <c r="AK488" i="57"/>
  <c r="AB488" i="57"/>
  <c r="AL488" i="57"/>
  <c r="Z488" i="57"/>
  <c r="AF488" i="57"/>
  <c r="AE488" i="57"/>
  <c r="AJ488" i="57"/>
  <c r="I533" i="57"/>
  <c r="I494" i="57"/>
  <c r="AB516" i="57"/>
  <c r="AB513" i="57"/>
  <c r="AB518" i="57" s="1"/>
  <c r="Y519" i="57"/>
  <c r="AA518" i="57"/>
  <c r="N43" i="98"/>
  <c r="O18" i="91"/>
  <c r="AD518" i="57"/>
  <c r="AL458" i="57"/>
  <c r="AK43" i="114" s="1"/>
  <c r="AL456" i="57"/>
  <c r="AJ478" i="57"/>
  <c r="AJ515" i="57"/>
  <c r="AJ518" i="57" s="1"/>
  <c r="AJ516" i="57"/>
  <c r="AJ519" i="57" s="1"/>
  <c r="AL519" i="57"/>
  <c r="AD515" i="57"/>
  <c r="AE518" i="57"/>
  <c r="AD514" i="57"/>
  <c r="AD519" i="57" s="1"/>
  <c r="BJ41" i="90"/>
  <c r="E32" i="90" s="1"/>
  <c r="AD29" i="42" s="1"/>
  <c r="AB479" i="57"/>
  <c r="AB522" i="57" s="1"/>
  <c r="G135" i="112"/>
  <c r="G143" i="112" s="1"/>
  <c r="L153" i="112"/>
  <c r="J18" i="91"/>
  <c r="BK41" i="90"/>
  <c r="F32" i="90" s="1"/>
  <c r="AE29" i="42" s="1"/>
  <c r="X458" i="36"/>
  <c r="AG57" i="41"/>
  <c r="AG74" i="41" s="1"/>
  <c r="AG100" i="41" s="1"/>
  <c r="AG26" i="45"/>
  <c r="AB456" i="57"/>
  <c r="L18" i="91"/>
  <c r="I508" i="36"/>
  <c r="AB481" i="36"/>
  <c r="I485" i="36"/>
  <c r="AI481" i="36"/>
  <c r="Y481" i="36"/>
  <c r="AA481" i="36"/>
  <c r="AD481" i="36"/>
  <c r="AH481" i="36"/>
  <c r="AE481" i="36"/>
  <c r="AF481" i="36"/>
  <c r="W481" i="36"/>
  <c r="X481" i="36"/>
  <c r="AG481" i="36"/>
  <c r="AK481" i="36"/>
  <c r="AC481" i="36"/>
  <c r="AJ481" i="36"/>
  <c r="AL481" i="36"/>
  <c r="Z481" i="36"/>
  <c r="X479" i="57"/>
  <c r="X522" i="57"/>
  <c r="AE479" i="57"/>
  <c r="AE522" i="57" s="1"/>
  <c r="Q18" i="91"/>
  <c r="AD36" i="86" s="1"/>
  <c r="M18" i="91"/>
  <c r="F25" i="90"/>
  <c r="E26" i="90"/>
  <c r="AC23" i="114" s="1"/>
  <c r="AJ467" i="57"/>
  <c r="AJ458" i="57"/>
  <c r="AI43" i="114" s="1"/>
  <c r="I499" i="57"/>
  <c r="I541" i="57"/>
  <c r="AG493" i="57"/>
  <c r="Y493" i="57"/>
  <c r="AI493" i="57"/>
  <c r="AF493" i="57"/>
  <c r="AJ493" i="57"/>
  <c r="AA493" i="57"/>
  <c r="AC493" i="57"/>
  <c r="AH493" i="57"/>
  <c r="AK493" i="57"/>
  <c r="X493" i="57"/>
  <c r="W493" i="57"/>
  <c r="Z493" i="57"/>
  <c r="AD493" i="57"/>
  <c r="AL493" i="57"/>
  <c r="AE493" i="57"/>
  <c r="AB493" i="57"/>
  <c r="BU62" i="57"/>
  <c r="I501" i="57"/>
  <c r="I543" i="57"/>
  <c r="AK495" i="57"/>
  <c r="AB495" i="57"/>
  <c r="AH495" i="57"/>
  <c r="AG495" i="57"/>
  <c r="AF495" i="57"/>
  <c r="AC495" i="57"/>
  <c r="AA495" i="57"/>
  <c r="Z495" i="57"/>
  <c r="X495" i="57"/>
  <c r="W495" i="57"/>
  <c r="AL495" i="57"/>
  <c r="AI495" i="57"/>
  <c r="AJ495" i="57"/>
  <c r="AD495" i="57"/>
  <c r="Y495" i="57"/>
  <c r="AE495" i="57"/>
  <c r="AH479" i="57"/>
  <c r="AH522" i="57" s="1"/>
  <c r="AK479" i="57"/>
  <c r="AH467" i="57"/>
  <c r="W522" i="57"/>
  <c r="W479" i="57"/>
  <c r="N18" i="91"/>
  <c r="Q15" i="91"/>
  <c r="I18" i="91"/>
  <c r="I25" i="90"/>
  <c r="Z474" i="36"/>
  <c r="AK458" i="57"/>
  <c r="AJ43" i="114" s="1"/>
  <c r="Y479" i="57"/>
  <c r="Y522" i="57" s="1"/>
  <c r="AI479" i="57"/>
  <c r="BL63" i="57"/>
  <c r="AF82" i="30"/>
  <c r="AH82" i="30"/>
  <c r="AH84" i="30" s="1"/>
  <c r="AH21" i="30" s="1"/>
  <c r="AH21" i="42" s="1"/>
  <c r="AH22" i="42" s="1"/>
  <c r="AI82" i="30"/>
  <c r="AI84" i="30" s="1"/>
  <c r="AI21" i="30" s="1"/>
  <c r="AI21" i="42" s="1"/>
  <c r="AJ82" i="30"/>
  <c r="AC82" i="30"/>
  <c r="AC84" i="30" s="1"/>
  <c r="AC21" i="30" s="1"/>
  <c r="AC21" i="42" s="1"/>
  <c r="AC22" i="42" s="1"/>
  <c r="AK82" i="30"/>
  <c r="AD82" i="30"/>
  <c r="AD84" i="30" s="1"/>
  <c r="AD21" i="30" s="1"/>
  <c r="AD21" i="42" s="1"/>
  <c r="AD86" i="44" s="1"/>
  <c r="AL82" i="30"/>
  <c r="AE82" i="30"/>
  <c r="AG82" i="30"/>
  <c r="I511" i="36"/>
  <c r="I488" i="36"/>
  <c r="AE484" i="36"/>
  <c r="Y484" i="36"/>
  <c r="AD484" i="36"/>
  <c r="AG484" i="36"/>
  <c r="Z484" i="36"/>
  <c r="AI484" i="36"/>
  <c r="AL484" i="36"/>
  <c r="AC484" i="36"/>
  <c r="AF484" i="36"/>
  <c r="AH484" i="36"/>
  <c r="AB484" i="36"/>
  <c r="AK484" i="36"/>
  <c r="W484" i="36"/>
  <c r="AJ484" i="36"/>
  <c r="AA484" i="36"/>
  <c r="X484" i="36"/>
  <c r="AK84" i="30"/>
  <c r="AK21" i="30" s="1"/>
  <c r="AK21" i="42" s="1"/>
  <c r="K18" i="91"/>
  <c r="N15" i="91"/>
  <c r="P18" i="91"/>
  <c r="AK57" i="41"/>
  <c r="AK74" i="41" s="1"/>
  <c r="AK100" i="41" s="1"/>
  <c r="AK26" i="45"/>
  <c r="J10" i="91"/>
  <c r="O10" i="91"/>
  <c r="P10" i="91"/>
  <c r="K10" i="91"/>
  <c r="AG84" i="30"/>
  <c r="AG21" i="30" s="1"/>
  <c r="AG21" i="42" s="1"/>
  <c r="AG522" i="57"/>
  <c r="AG479" i="57"/>
  <c r="AD479" i="57"/>
  <c r="AD522" i="57" s="1"/>
  <c r="AJ84" i="30"/>
  <c r="AJ21" i="30" s="1"/>
  <c r="AJ21" i="42" s="1"/>
  <c r="W18" i="36"/>
  <c r="G152" i="112"/>
  <c r="M15" i="91"/>
  <c r="K15" i="91"/>
  <c r="R18" i="91"/>
  <c r="H25" i="90"/>
  <c r="Z499" i="36"/>
  <c r="AF84" i="30"/>
  <c r="AF21" i="30" s="1"/>
  <c r="AF21" i="42" s="1"/>
  <c r="AK466" i="57"/>
  <c r="AH466" i="57"/>
  <c r="Z479" i="57"/>
  <c r="Z522" i="57" s="1"/>
  <c r="AA479" i="57"/>
  <c r="AA522" i="57" s="1"/>
  <c r="AH26" i="45"/>
  <c r="AE84" i="30"/>
  <c r="AE21" i="30" s="1"/>
  <c r="AE21" i="42" s="1"/>
  <c r="AL479" i="57"/>
  <c r="AL522" i="57"/>
  <c r="AF479" i="57"/>
  <c r="AF522" i="57"/>
  <c r="I531" i="57"/>
  <c r="I492" i="57"/>
  <c r="AF486" i="57"/>
  <c r="AG486" i="57"/>
  <c r="AB486" i="57"/>
  <c r="AI486" i="57"/>
  <c r="AL486" i="57"/>
  <c r="AE486" i="57"/>
  <c r="AK486" i="57"/>
  <c r="AJ486" i="57"/>
  <c r="X486" i="57"/>
  <c r="AH486" i="57"/>
  <c r="W486" i="57"/>
  <c r="AA486" i="57"/>
  <c r="AD486" i="57"/>
  <c r="Z486" i="57"/>
  <c r="AC486" i="57"/>
  <c r="Y486" i="57"/>
  <c r="BZ62" i="57"/>
  <c r="BV63" i="57"/>
  <c r="O15" i="91"/>
  <c r="AI26" i="45"/>
  <c r="AI57" i="41"/>
  <c r="AI74" i="41" s="1"/>
  <c r="AI100" i="41" s="1"/>
  <c r="Q14" i="91"/>
  <c r="I14" i="91"/>
  <c r="N14" i="91"/>
  <c r="O14" i="91"/>
  <c r="R14" i="91"/>
  <c r="AE9" i="98" s="1"/>
  <c r="J14" i="91"/>
  <c r="M14" i="91"/>
  <c r="K14" i="91"/>
  <c r="L14" i="91"/>
  <c r="P14" i="91"/>
  <c r="AI466" i="57"/>
  <c r="AI458" i="57"/>
  <c r="AH43" i="114" s="1"/>
  <c r="AL84" i="30"/>
  <c r="AL21" i="30" s="1"/>
  <c r="AL21" i="42" s="1"/>
  <c r="BB62" i="57"/>
  <c r="AC479" i="57"/>
  <c r="AC522" i="57" s="1"/>
  <c r="AJ479" i="57"/>
  <c r="P15" i="91"/>
  <c r="J15" i="91"/>
  <c r="O68" i="112"/>
  <c r="R153" i="112"/>
  <c r="O153" i="112"/>
  <c r="AC13" i="42"/>
  <c r="AC27" i="12"/>
  <c r="AB20" i="114" s="1"/>
  <c r="F97" i="98"/>
  <c r="AG13" i="42"/>
  <c r="AG27" i="12"/>
  <c r="AF20" i="114" s="1"/>
  <c r="P43" i="98"/>
  <c r="AJ27" i="12"/>
  <c r="AI20" i="114" s="1"/>
  <c r="AJ13" i="42"/>
  <c r="AG37" i="12"/>
  <c r="AG98" i="86" s="1"/>
  <c r="I86" i="98"/>
  <c r="AF37" i="12"/>
  <c r="AF98" i="86" s="1"/>
  <c r="AH13" i="42"/>
  <c r="AA13" i="42"/>
  <c r="BX59" i="36"/>
  <c r="BX63" i="36" s="1"/>
  <c r="BX58" i="36"/>
  <c r="BX57" i="36"/>
  <c r="AF464" i="36"/>
  <c r="P68" i="112"/>
  <c r="P153" i="112"/>
  <c r="T153" i="112"/>
  <c r="AD465" i="36"/>
  <c r="AH464" i="36"/>
  <c r="X465" i="36"/>
  <c r="X22" i="36"/>
  <c r="AG500" i="36"/>
  <c r="AG474" i="36"/>
  <c r="AC465" i="36"/>
  <c r="BZ58" i="36"/>
  <c r="AE465" i="36"/>
  <c r="AJ464" i="36"/>
  <c r="AJ458" i="36"/>
  <c r="AI36" i="114" s="1"/>
  <c r="AW62" i="36"/>
  <c r="BU57" i="36"/>
  <c r="BW58" i="36"/>
  <c r="X205" i="44"/>
  <c r="BT59" i="36"/>
  <c r="BT63" i="36" s="1"/>
  <c r="BG62" i="36"/>
  <c r="Y205" i="44"/>
  <c r="Y22" i="36"/>
  <c r="BW57" i="36"/>
  <c r="BR57" i="36"/>
  <c r="BT58" i="36"/>
  <c r="BN59" i="36"/>
  <c r="BN63" i="36" s="1"/>
  <c r="BT57" i="36"/>
  <c r="AG465" i="36"/>
  <c r="BO58" i="36"/>
  <c r="BP58" i="36"/>
  <c r="BY57" i="36"/>
  <c r="BB62" i="36"/>
  <c r="BR58" i="36"/>
  <c r="BV58" i="36"/>
  <c r="BQ58" i="36"/>
  <c r="BM57" i="36"/>
  <c r="BQ59" i="36"/>
  <c r="BQ63" i="36" s="1"/>
  <c r="BV57" i="36"/>
  <c r="BZ59" i="36"/>
  <c r="BZ63" i="36" s="1"/>
  <c r="AE458" i="36"/>
  <c r="AD36" i="114" s="1"/>
  <c r="BQ57" i="36"/>
  <c r="BO59" i="36"/>
  <c r="BO63" i="36" s="1"/>
  <c r="BN58" i="36"/>
  <c r="BV59" i="36"/>
  <c r="BV63" i="36" s="1"/>
  <c r="BZ57" i="36"/>
  <c r="BP57" i="36"/>
  <c r="Z465" i="36"/>
  <c r="BM59" i="36"/>
  <c r="BM63" i="36" s="1"/>
  <c r="BP59" i="36"/>
  <c r="BP63" i="36" s="1"/>
  <c r="BU58" i="36"/>
  <c r="BW59" i="36"/>
  <c r="BW63" i="36" s="1"/>
  <c r="AH503" i="36"/>
  <c r="AA22" i="36"/>
  <c r="BL58" i="36"/>
  <c r="BY58" i="36"/>
  <c r="BL57" i="36"/>
  <c r="BU59" i="36"/>
  <c r="BU63" i="36" s="1"/>
  <c r="BY59" i="36"/>
  <c r="BY63" i="36" s="1"/>
  <c r="BN57" i="36"/>
  <c r="AL458" i="36"/>
  <c r="AK36" i="114" s="1"/>
  <c r="Z456" i="36"/>
  <c r="W83" i="44"/>
  <c r="W205" i="44" s="1"/>
  <c r="AL464" i="36"/>
  <c r="BM58" i="36"/>
  <c r="BR59" i="36"/>
  <c r="AC83" i="44"/>
  <c r="AC205" i="44" s="1"/>
  <c r="BO57" i="36"/>
  <c r="AA122" i="44"/>
  <c r="BL59" i="36"/>
  <c r="BL63" i="36" s="1"/>
  <c r="Z22" i="36"/>
  <c r="AB205" i="44"/>
  <c r="AB122" i="44"/>
  <c r="X474" i="36"/>
  <c r="Z122" i="44"/>
  <c r="AB22" i="36"/>
  <c r="AE500" i="36"/>
  <c r="AH478" i="36"/>
  <c r="AE499" i="36"/>
  <c r="W499" i="36"/>
  <c r="Z503" i="36"/>
  <c r="W500" i="36"/>
  <c r="AA504" i="36"/>
  <c r="AA478" i="36"/>
  <c r="AJ500" i="36"/>
  <c r="AJ474" i="36"/>
  <c r="X499" i="36"/>
  <c r="AB499" i="36"/>
  <c r="AB474" i="36"/>
  <c r="Z478" i="36"/>
  <c r="AF500" i="36"/>
  <c r="W503" i="36"/>
  <c r="W504" i="36"/>
  <c r="AF474" i="36"/>
  <c r="AB503" i="36"/>
  <c r="AB478" i="36"/>
  <c r="Y503" i="36"/>
  <c r="Y504" i="36"/>
  <c r="AC504" i="36"/>
  <c r="Y500" i="36"/>
  <c r="Y499" i="36"/>
  <c r="Z458" i="36"/>
  <c r="AC478" i="36"/>
  <c r="X478" i="36"/>
  <c r="AI499" i="36"/>
  <c r="X504" i="36"/>
  <c r="Y456" i="36"/>
  <c r="AD504" i="36"/>
  <c r="X456" i="36"/>
  <c r="AL499" i="36"/>
  <c r="AE504" i="36"/>
  <c r="AA474" i="36"/>
  <c r="AA499" i="36"/>
  <c r="AA500" i="36"/>
  <c r="AG458" i="36"/>
  <c r="AF36" i="114" s="1"/>
  <c r="AG456" i="36"/>
  <c r="AK500" i="36"/>
  <c r="AH499" i="36"/>
  <c r="AI458" i="36"/>
  <c r="AH36" i="114" s="1"/>
  <c r="AI456" i="36"/>
  <c r="AB456" i="36"/>
  <c r="AB458" i="36"/>
  <c r="AK474" i="36"/>
  <c r="AF458" i="36"/>
  <c r="AE36" i="114" s="1"/>
  <c r="AF456" i="36"/>
  <c r="AC458" i="36"/>
  <c r="AB36" i="114" s="1"/>
  <c r="AC456" i="36"/>
  <c r="W456" i="36"/>
  <c r="W458" i="36"/>
  <c r="AI474" i="36"/>
  <c r="AL500" i="36"/>
  <c r="AA456" i="36"/>
  <c r="AA458" i="36"/>
  <c r="AL504" i="36"/>
  <c r="AL478" i="36"/>
  <c r="AL503" i="36"/>
  <c r="AI478" i="36"/>
  <c r="AF478" i="36"/>
  <c r="AF503" i="36"/>
  <c r="AK478" i="36"/>
  <c r="AD478" i="36"/>
  <c r="AD456" i="36"/>
  <c r="AD458" i="36"/>
  <c r="AC36" i="114" s="1"/>
  <c r="AH458" i="36"/>
  <c r="AG36" i="114" s="1"/>
  <c r="AH456" i="36"/>
  <c r="AD474" i="36"/>
  <c r="AD499" i="36"/>
  <c r="AJ478" i="36"/>
  <c r="AJ504" i="36"/>
  <c r="AE456" i="36"/>
  <c r="AH500" i="36"/>
  <c r="AI504" i="36"/>
  <c r="AE478" i="36"/>
  <c r="AK504" i="36"/>
  <c r="AK458" i="36"/>
  <c r="AJ36" i="114" s="1"/>
  <c r="AK456" i="36"/>
  <c r="AF504" i="36"/>
  <c r="AJ456" i="36"/>
  <c r="AL456" i="36"/>
  <c r="AA139" i="44"/>
  <c r="Z139" i="44"/>
  <c r="BP41" i="90"/>
  <c r="K32" i="90" s="1"/>
  <c r="AJ29" i="42" s="1"/>
  <c r="BQ41" i="90"/>
  <c r="L32" i="90" s="1"/>
  <c r="AK29" i="42" s="1"/>
  <c r="X139" i="44"/>
  <c r="BM41" i="90"/>
  <c r="H32" i="90" s="1"/>
  <c r="AG29" i="42" s="1"/>
  <c r="BN41" i="90"/>
  <c r="I32" i="90" s="1"/>
  <c r="AH29" i="42" s="1"/>
  <c r="AC112" i="41"/>
  <c r="BL41" i="90"/>
  <c r="G32" i="90" s="1"/>
  <c r="AF29" i="42" s="1"/>
  <c r="BO41" i="90"/>
  <c r="J32" i="90" s="1"/>
  <c r="AI29" i="42" s="1"/>
  <c r="AB73" i="98"/>
  <c r="BR41" i="90"/>
  <c r="M32" i="90" s="1"/>
  <c r="AL29" i="42" s="1"/>
  <c r="L26" i="90"/>
  <c r="AJ23" i="114" s="1"/>
  <c r="AD46" i="56"/>
  <c r="AD45" i="56" s="1"/>
  <c r="AD19" i="56" s="1"/>
  <c r="CQ41" i="90"/>
  <c r="AL30" i="30"/>
  <c r="AK26" i="114" s="1"/>
  <c r="AL19" i="42"/>
  <c r="AL55" i="41" s="1"/>
  <c r="AH29" i="30"/>
  <c r="AC29" i="30"/>
  <c r="AI19" i="42"/>
  <c r="AI55" i="41" s="1"/>
  <c r="AH30" i="30"/>
  <c r="AG26" i="114" s="1"/>
  <c r="AD29" i="30"/>
  <c r="AD19" i="42"/>
  <c r="AD55" i="41" s="1"/>
  <c r="AF29" i="30"/>
  <c r="AI30" i="30"/>
  <c r="AH26" i="114" s="1"/>
  <c r="AE30" i="30"/>
  <c r="AD26" i="114" s="1"/>
  <c r="AE19" i="42"/>
  <c r="AE22" i="42" s="1"/>
  <c r="AG29" i="30"/>
  <c r="AG19" i="42"/>
  <c r="AG55" i="41" s="1"/>
  <c r="AK19" i="42"/>
  <c r="AK22" i="42" s="1"/>
  <c r="AC30" i="30"/>
  <c r="AB26" i="114" s="1"/>
  <c r="AK29" i="30"/>
  <c r="F38" i="98"/>
  <c r="AF30" i="30"/>
  <c r="AE26" i="114" s="1"/>
  <c r="AJ30" i="30"/>
  <c r="AI26" i="114" s="1"/>
  <c r="AJ19" i="42"/>
  <c r="AJ55" i="41" s="1"/>
  <c r="AF55" i="41"/>
  <c r="AF25" i="45"/>
  <c r="AF22" i="42"/>
  <c r="AC25" i="45"/>
  <c r="AC55" i="41"/>
  <c r="AH55" i="41"/>
  <c r="AH25" i="45"/>
  <c r="AJ166" i="86"/>
  <c r="L43" i="98"/>
  <c r="L45" i="98" s="1"/>
  <c r="AK34" i="12"/>
  <c r="Q44" i="98" s="1"/>
  <c r="AK92" i="86"/>
  <c r="AK145" i="86" s="1"/>
  <c r="AK146" i="86" s="1"/>
  <c r="AK147" i="86" s="1"/>
  <c r="AF14" i="42"/>
  <c r="AH27" i="12"/>
  <c r="AG20" i="114" s="1"/>
  <c r="AJ34" i="12"/>
  <c r="AJ14" i="42" s="1"/>
  <c r="P61" i="98"/>
  <c r="AJ196" i="86"/>
  <c r="AJ201" i="86" s="1"/>
  <c r="M45" i="98"/>
  <c r="AK166" i="86"/>
  <c r="D43" i="98"/>
  <c r="D45" i="98" s="1"/>
  <c r="AK13" i="42"/>
  <c r="AK27" i="12"/>
  <c r="AJ20" i="114" s="1"/>
  <c r="Q43" i="98"/>
  <c r="I97" i="98"/>
  <c r="AC98" i="86"/>
  <c r="X37" i="12"/>
  <c r="X15" i="42" s="1"/>
  <c r="X95" i="44" s="1"/>
  <c r="X128" i="44" s="1"/>
  <c r="X210" i="44" s="1"/>
  <c r="AF27" i="12"/>
  <c r="AE20" i="114" s="1"/>
  <c r="AA37" i="12"/>
  <c r="G44" i="98"/>
  <c r="G45" i="98" s="1"/>
  <c r="K44" i="98"/>
  <c r="K45" i="98" s="1"/>
  <c r="AE37" i="12"/>
  <c r="AE98" i="86" s="1"/>
  <c r="AE13" i="42"/>
  <c r="I43" i="98"/>
  <c r="I45" i="98" s="1"/>
  <c r="G86" i="98"/>
  <c r="AD37" i="12"/>
  <c r="AD98" i="86" s="1"/>
  <c r="J44" i="98"/>
  <c r="J45" i="98" s="1"/>
  <c r="N45" i="98"/>
  <c r="J61" i="98"/>
  <c r="AB13" i="42"/>
  <c r="AB37" i="12"/>
  <c r="H43" i="98"/>
  <c r="H45" i="98" s="1"/>
  <c r="F86" i="98"/>
  <c r="AI14" i="42"/>
  <c r="AL166" i="86"/>
  <c r="AL191" i="86"/>
  <c r="AL92" i="86"/>
  <c r="AL145" i="86" s="1"/>
  <c r="R44" i="98"/>
  <c r="R45" i="98" s="1"/>
  <c r="AL14" i="42"/>
  <c r="O44" i="98"/>
  <c r="O45" i="98" s="1"/>
  <c r="Z13" i="42"/>
  <c r="F43" i="98"/>
  <c r="F45" i="98" s="1"/>
  <c r="AH196" i="86"/>
  <c r="AH201" i="86" s="1"/>
  <c r="Y210" i="44"/>
  <c r="Q60" i="98"/>
  <c r="Q61" i="98" s="1"/>
  <c r="AK196" i="86"/>
  <c r="AE196" i="86"/>
  <c r="AE201" i="86" s="1"/>
  <c r="K61" i="98"/>
  <c r="N61" i="98"/>
  <c r="O58" i="98"/>
  <c r="O61" i="98" s="1"/>
  <c r="AI196" i="86"/>
  <c r="AI201" i="86" s="1"/>
  <c r="AG146" i="86"/>
  <c r="AG147" i="86" s="1"/>
  <c r="I58" i="98"/>
  <c r="I61" i="98" s="1"/>
  <c r="AC196" i="86"/>
  <c r="AC201" i="86" s="1"/>
  <c r="L58" i="98"/>
  <c r="L61" i="98" s="1"/>
  <c r="AF196" i="86"/>
  <c r="AF201" i="86" s="1"/>
  <c r="AI146" i="86"/>
  <c r="AI147" i="86" s="1"/>
  <c r="AJ146" i="86"/>
  <c r="AJ147" i="86" s="1"/>
  <c r="J89" i="98"/>
  <c r="AG82" i="98"/>
  <c r="AE15" i="86"/>
  <c r="AG79" i="98"/>
  <c r="J86" i="98"/>
  <c r="M92" i="98"/>
  <c r="AH17" i="86"/>
  <c r="AC125" i="44"/>
  <c r="AC249" i="44"/>
  <c r="AC123" i="44"/>
  <c r="AC126" i="44"/>
  <c r="AC209" i="44"/>
  <c r="W210" i="44"/>
  <c r="AE91" i="41"/>
  <c r="AE38" i="40"/>
  <c r="AE42" i="40"/>
  <c r="AF26" i="40"/>
  <c r="AF32" i="40" s="1"/>
  <c r="AF23" i="40"/>
  <c r="AA18" i="36"/>
  <c r="W98" i="44"/>
  <c r="W101" i="44" s="1"/>
  <c r="W213" i="44"/>
  <c r="W221" i="44" s="1"/>
  <c r="W223" i="44" s="1"/>
  <c r="W167" i="44"/>
  <c r="W131" i="44"/>
  <c r="W23" i="41"/>
  <c r="Z210" i="44"/>
  <c r="Z166" i="44"/>
  <c r="G68" i="112"/>
  <c r="G153" i="112"/>
  <c r="G23" i="112"/>
  <c r="G9" i="112"/>
  <c r="H7" i="112"/>
  <c r="K141" i="112"/>
  <c r="R23" i="112"/>
  <c r="U153" i="112"/>
  <c r="T23" i="112"/>
  <c r="U68" i="112"/>
  <c r="Q90" i="112"/>
  <c r="R89" i="112"/>
  <c r="F87" i="112"/>
  <c r="F88" i="112" s="1"/>
  <c r="F101" i="112"/>
  <c r="AP25" i="112"/>
  <c r="AP77" i="112" s="1"/>
  <c r="V23" i="112"/>
  <c r="V68" i="112"/>
  <c r="V153" i="112"/>
  <c r="I135" i="112"/>
  <c r="I143" i="112" s="1"/>
  <c r="AH44" i="40"/>
  <c r="AD186" i="44"/>
  <c r="AD99" i="44"/>
  <c r="AD188" i="44"/>
  <c r="AD83" i="44"/>
  <c r="AD193" i="44"/>
  <c r="AD109" i="41"/>
  <c r="AD84" i="44"/>
  <c r="AD110" i="41"/>
  <c r="AD191" i="44"/>
  <c r="AD85" i="44"/>
  <c r="AD96" i="44"/>
  <c r="AD87" i="44"/>
  <c r="AD89" i="44"/>
  <c r="AD137" i="44" s="1"/>
  <c r="AD90" i="44"/>
  <c r="CF41" i="90"/>
  <c r="CG43" i="90"/>
  <c r="CR43" i="90" s="1"/>
  <c r="AE47" i="56" s="1"/>
  <c r="CG66" i="90"/>
  <c r="CR66" i="90" s="1"/>
  <c r="AE70" i="56" s="1"/>
  <c r="CG90" i="90"/>
  <c r="CR90" i="90" s="1"/>
  <c r="AE94" i="56" s="1"/>
  <c r="CG114" i="90"/>
  <c r="CR114" i="90" s="1"/>
  <c r="AE118" i="56" s="1"/>
  <c r="CG138" i="90"/>
  <c r="CG59" i="90"/>
  <c r="CR59" i="90" s="1"/>
  <c r="AE63" i="56" s="1"/>
  <c r="CG83" i="90"/>
  <c r="CR83" i="90" s="1"/>
  <c r="AE87" i="56" s="1"/>
  <c r="CG107" i="90"/>
  <c r="CR107" i="90" s="1"/>
  <c r="AE111" i="56" s="1"/>
  <c r="CG131" i="90"/>
  <c r="CG64" i="90"/>
  <c r="CR64" i="90" s="1"/>
  <c r="AE68" i="56" s="1"/>
  <c r="CG88" i="90"/>
  <c r="CR88" i="90" s="1"/>
  <c r="AE92" i="56" s="1"/>
  <c r="CG112" i="90"/>
  <c r="CR112" i="90" s="1"/>
  <c r="AE116" i="56" s="1"/>
  <c r="CG136" i="90"/>
  <c r="CG63" i="90"/>
  <c r="CR63" i="90" s="1"/>
  <c r="AE67" i="56" s="1"/>
  <c r="CG87" i="90"/>
  <c r="CR87" i="90" s="1"/>
  <c r="AE91" i="56" s="1"/>
  <c r="CG111" i="90"/>
  <c r="CR111" i="90" s="1"/>
  <c r="AE115" i="56" s="1"/>
  <c r="CG135" i="90"/>
  <c r="CG68" i="90"/>
  <c r="CR68" i="90" s="1"/>
  <c r="AE72" i="56" s="1"/>
  <c r="CG92" i="90"/>
  <c r="CR92" i="90" s="1"/>
  <c r="AE96" i="56" s="1"/>
  <c r="CG116" i="90"/>
  <c r="CR116" i="90" s="1"/>
  <c r="AE120" i="56" s="1"/>
  <c r="CG140" i="90"/>
  <c r="CG73" i="90"/>
  <c r="CR73" i="90" s="1"/>
  <c r="AE77" i="56" s="1"/>
  <c r="CG97" i="90"/>
  <c r="CR97" i="90" s="1"/>
  <c r="AE101" i="56" s="1"/>
  <c r="CG60" i="90"/>
  <c r="CR60" i="90" s="1"/>
  <c r="AE64" i="56" s="1"/>
  <c r="CG96" i="90"/>
  <c r="CR96" i="90" s="1"/>
  <c r="AE100" i="56" s="1"/>
  <c r="CG126" i="90"/>
  <c r="CR126" i="90" s="1"/>
  <c r="AE130" i="56" s="1"/>
  <c r="CG53" i="90"/>
  <c r="CR53" i="90" s="1"/>
  <c r="AE57" i="56" s="1"/>
  <c r="CG89" i="90"/>
  <c r="CR89" i="90" s="1"/>
  <c r="AE93" i="56" s="1"/>
  <c r="CG119" i="90"/>
  <c r="CR119" i="90" s="1"/>
  <c r="AE123" i="56" s="1"/>
  <c r="CG58" i="90"/>
  <c r="CR58" i="90" s="1"/>
  <c r="AE62" i="56" s="1"/>
  <c r="CG94" i="90"/>
  <c r="CR94" i="90" s="1"/>
  <c r="AE98" i="56" s="1"/>
  <c r="CG124" i="90"/>
  <c r="CR124" i="90" s="1"/>
  <c r="AE128" i="56" s="1"/>
  <c r="CG57" i="90"/>
  <c r="CR57" i="90" s="1"/>
  <c r="AE61" i="56" s="1"/>
  <c r="CG93" i="90"/>
  <c r="CR93" i="90" s="1"/>
  <c r="AE97" i="56" s="1"/>
  <c r="CG123" i="90"/>
  <c r="CR123" i="90" s="1"/>
  <c r="AE127" i="56" s="1"/>
  <c r="CG62" i="90"/>
  <c r="CR62" i="90" s="1"/>
  <c r="AE66" i="56" s="1"/>
  <c r="CG98" i="90"/>
  <c r="CR98" i="90" s="1"/>
  <c r="AE102" i="56" s="1"/>
  <c r="CG128" i="90"/>
  <c r="CG67" i="90"/>
  <c r="CR67" i="90" s="1"/>
  <c r="AE71" i="56" s="1"/>
  <c r="CG103" i="90"/>
  <c r="CR103" i="90" s="1"/>
  <c r="AE107" i="56" s="1"/>
  <c r="CG127" i="90"/>
  <c r="CG44" i="90"/>
  <c r="CR44" i="90" s="1"/>
  <c r="AE48" i="56" s="1"/>
  <c r="AF15" i="40"/>
  <c r="CG72" i="90"/>
  <c r="CR72" i="90" s="1"/>
  <c r="AE76" i="56" s="1"/>
  <c r="CG102" i="90"/>
  <c r="CR102" i="90" s="1"/>
  <c r="AE106" i="56" s="1"/>
  <c r="CG132" i="90"/>
  <c r="CG65" i="90"/>
  <c r="CR65" i="90" s="1"/>
  <c r="AE69" i="56" s="1"/>
  <c r="CG95" i="90"/>
  <c r="CR95" i="90" s="1"/>
  <c r="AE99" i="56" s="1"/>
  <c r="CG125" i="90"/>
  <c r="CR125" i="90" s="1"/>
  <c r="AE129" i="56" s="1"/>
  <c r="CG70" i="90"/>
  <c r="CR70" i="90" s="1"/>
  <c r="AE74" i="56" s="1"/>
  <c r="CG100" i="90"/>
  <c r="CR100" i="90" s="1"/>
  <c r="AE104" i="56" s="1"/>
  <c r="CG130" i="90"/>
  <c r="CG69" i="90"/>
  <c r="CR69" i="90" s="1"/>
  <c r="AE73" i="56" s="1"/>
  <c r="CG99" i="90"/>
  <c r="CR99" i="90" s="1"/>
  <c r="AE103" i="56" s="1"/>
  <c r="CG129" i="90"/>
  <c r="CG74" i="90"/>
  <c r="CR74" i="90" s="1"/>
  <c r="AE78" i="56" s="1"/>
  <c r="CG104" i="90"/>
  <c r="CR104" i="90" s="1"/>
  <c r="AE108" i="56" s="1"/>
  <c r="CG134" i="90"/>
  <c r="CG79" i="90"/>
  <c r="CR79" i="90" s="1"/>
  <c r="AE83" i="56" s="1"/>
  <c r="CG109" i="90"/>
  <c r="CR109" i="90" s="1"/>
  <c r="AE113" i="56" s="1"/>
  <c r="CG133" i="90"/>
  <c r="CG51" i="90"/>
  <c r="CR51" i="90" s="1"/>
  <c r="AE55" i="56" s="1"/>
  <c r="CG49" i="90"/>
  <c r="CR49" i="90" s="1"/>
  <c r="AE53" i="56" s="1"/>
  <c r="CG108" i="90"/>
  <c r="CR108" i="90" s="1"/>
  <c r="AE112" i="56" s="1"/>
  <c r="CG71" i="90"/>
  <c r="CR71" i="90" s="1"/>
  <c r="AE75" i="56" s="1"/>
  <c r="CG137" i="90"/>
  <c r="CG106" i="90"/>
  <c r="CR106" i="90" s="1"/>
  <c r="AE110" i="56" s="1"/>
  <c r="CG75" i="90"/>
  <c r="CR75" i="90" s="1"/>
  <c r="AE79" i="56" s="1"/>
  <c r="CG141" i="90"/>
  <c r="CG110" i="90"/>
  <c r="CR110" i="90" s="1"/>
  <c r="AE114" i="56" s="1"/>
  <c r="CG85" i="90"/>
  <c r="CR85" i="90" s="1"/>
  <c r="AE89" i="56" s="1"/>
  <c r="CG139" i="90"/>
  <c r="CG54" i="90"/>
  <c r="CR54" i="90" s="1"/>
  <c r="AE58" i="56" s="1"/>
  <c r="CG120" i="90"/>
  <c r="CR120" i="90" s="1"/>
  <c r="AE124" i="56" s="1"/>
  <c r="CG77" i="90"/>
  <c r="CR77" i="90" s="1"/>
  <c r="AE81" i="56" s="1"/>
  <c r="CG47" i="90"/>
  <c r="CR47" i="90" s="1"/>
  <c r="AE51" i="56" s="1"/>
  <c r="CG118" i="90"/>
  <c r="CR118" i="90" s="1"/>
  <c r="AE122" i="56" s="1"/>
  <c r="CG81" i="90"/>
  <c r="CR81" i="90" s="1"/>
  <c r="AE85" i="56" s="1"/>
  <c r="CG56" i="90"/>
  <c r="CR56" i="90" s="1"/>
  <c r="AE60" i="56" s="1"/>
  <c r="CG122" i="90"/>
  <c r="CR122" i="90" s="1"/>
  <c r="AE126" i="56" s="1"/>
  <c r="CG91" i="90"/>
  <c r="CR91" i="90" s="1"/>
  <c r="AE95" i="56" s="1"/>
  <c r="CG50" i="90"/>
  <c r="CR50" i="90" s="1"/>
  <c r="AE54" i="56" s="1"/>
  <c r="CG78" i="90"/>
  <c r="CR78" i="90" s="1"/>
  <c r="AE82" i="56" s="1"/>
  <c r="CG42" i="90"/>
  <c r="CR42" i="90" s="1"/>
  <c r="CG101" i="90"/>
  <c r="CR101" i="90" s="1"/>
  <c r="AE105" i="56" s="1"/>
  <c r="CG76" i="90"/>
  <c r="CR76" i="90" s="1"/>
  <c r="AE80" i="56" s="1"/>
  <c r="CG142" i="90"/>
  <c r="CG105" i="90"/>
  <c r="CR105" i="90" s="1"/>
  <c r="AE109" i="56" s="1"/>
  <c r="CG80" i="90"/>
  <c r="CR80" i="90" s="1"/>
  <c r="AE84" i="56" s="1"/>
  <c r="CG55" i="90"/>
  <c r="CR55" i="90" s="1"/>
  <c r="AE59" i="56" s="1"/>
  <c r="CG115" i="90"/>
  <c r="CR115" i="90" s="1"/>
  <c r="AE119" i="56" s="1"/>
  <c r="CG45" i="90"/>
  <c r="CR45" i="90" s="1"/>
  <c r="AE49" i="56" s="1"/>
  <c r="CG82" i="90"/>
  <c r="CR82" i="90" s="1"/>
  <c r="AE86" i="56" s="1"/>
  <c r="CG61" i="90"/>
  <c r="CR61" i="90" s="1"/>
  <c r="AE65" i="56" s="1"/>
  <c r="AE39" i="93"/>
  <c r="CG84" i="90"/>
  <c r="CR84" i="90" s="1"/>
  <c r="AE88" i="56" s="1"/>
  <c r="CG46" i="90"/>
  <c r="CR46" i="90" s="1"/>
  <c r="AE50" i="56" s="1"/>
  <c r="CG121" i="90"/>
  <c r="CR121" i="90" s="1"/>
  <c r="AE125" i="56" s="1"/>
  <c r="CG113" i="90"/>
  <c r="CR113" i="90" s="1"/>
  <c r="AE117" i="56" s="1"/>
  <c r="CG48" i="90"/>
  <c r="CR48" i="90" s="1"/>
  <c r="AE52" i="56" s="1"/>
  <c r="CG117" i="90"/>
  <c r="CR117" i="90" s="1"/>
  <c r="AE121" i="56" s="1"/>
  <c r="AE85" i="41"/>
  <c r="CG86" i="90"/>
  <c r="CR86" i="90" s="1"/>
  <c r="AE90" i="56" s="1"/>
  <c r="AC49" i="114"/>
  <c r="AD41" i="93"/>
  <c r="S23" i="112"/>
  <c r="S153" i="112"/>
  <c r="S68" i="112"/>
  <c r="I68" i="112"/>
  <c r="I153" i="112"/>
  <c r="I23" i="112"/>
  <c r="Q23" i="112"/>
  <c r="Q68" i="112"/>
  <c r="Q153" i="112"/>
  <c r="N153" i="112"/>
  <c r="N68" i="112"/>
  <c r="N23" i="112"/>
  <c r="L108" i="112"/>
  <c r="L107" i="112"/>
  <c r="L140" i="112" s="1"/>
  <c r="J142" i="112"/>
  <c r="J135" i="112"/>
  <c r="J143" i="112" s="1"/>
  <c r="H144" i="112"/>
  <c r="H66" i="112" s="1"/>
  <c r="K134" i="112"/>
  <c r="K138" i="112"/>
  <c r="K139" i="112" s="1"/>
  <c r="K136" i="112"/>
  <c r="K137" i="112" s="1"/>
  <c r="H21" i="112"/>
  <c r="F23" i="112"/>
  <c r="F68" i="112"/>
  <c r="F153" i="112"/>
  <c r="H23" i="112"/>
  <c r="H153" i="112"/>
  <c r="H68" i="112"/>
  <c r="D23" i="112"/>
  <c r="D153" i="112"/>
  <c r="D68" i="112"/>
  <c r="E144" i="112"/>
  <c r="E21" i="112" s="1"/>
  <c r="G144" i="112"/>
  <c r="G21" i="112" s="1"/>
  <c r="E68" i="112"/>
  <c r="E153" i="112"/>
  <c r="E23" i="112"/>
  <c r="D135" i="112"/>
  <c r="D143" i="112" s="1"/>
  <c r="F135" i="112"/>
  <c r="F143" i="112" s="1"/>
  <c r="F144" i="112" s="1"/>
  <c r="F145" i="112" s="1"/>
  <c r="M13" i="91"/>
  <c r="N13" i="91"/>
  <c r="O13" i="91"/>
  <c r="Q13" i="91"/>
  <c r="P13" i="91"/>
  <c r="L13" i="91"/>
  <c r="J13" i="91"/>
  <c r="K13" i="91"/>
  <c r="I13" i="91"/>
  <c r="I8" i="91"/>
  <c r="K8" i="91"/>
  <c r="P8" i="91"/>
  <c r="L8" i="91"/>
  <c r="M8" i="91"/>
  <c r="W24" i="45" s="1"/>
  <c r="J8" i="91"/>
  <c r="N8" i="91"/>
  <c r="Q8" i="91"/>
  <c r="R8" i="91"/>
  <c r="O8" i="91"/>
  <c r="D9" i="98"/>
  <c r="N17" i="91"/>
  <c r="L17" i="91"/>
  <c r="K17" i="91"/>
  <c r="R17" i="91"/>
  <c r="AB16" i="30" s="1"/>
  <c r="Q17" i="91"/>
  <c r="P17" i="91"/>
  <c r="I17" i="91"/>
  <c r="M17" i="91"/>
  <c r="J17" i="91"/>
  <c r="O17" i="91"/>
  <c r="D89" i="98"/>
  <c r="AA82" i="98"/>
  <c r="D86" i="98"/>
  <c r="AA79" i="98"/>
  <c r="O12" i="91"/>
  <c r="Y16" i="45" s="1"/>
  <c r="N12" i="91"/>
  <c r="X16" i="45" s="1"/>
  <c r="L12" i="91"/>
  <c r="J12" i="91"/>
  <c r="K12" i="91"/>
  <c r="I12" i="91"/>
  <c r="P12" i="91"/>
  <c r="Z16" i="45" s="1"/>
  <c r="Q12" i="91"/>
  <c r="AA16" i="45" s="1"/>
  <c r="M12" i="91"/>
  <c r="W16" i="45" s="1"/>
  <c r="R12" i="91"/>
  <c r="AB16" i="45" s="1"/>
  <c r="AB82" i="98"/>
  <c r="E86" i="98"/>
  <c r="AB79" i="98"/>
  <c r="E89" i="98"/>
  <c r="E97" i="98"/>
  <c r="Y13" i="86"/>
  <c r="J11" i="91"/>
  <c r="O11" i="91"/>
  <c r="Y15" i="45" s="1"/>
  <c r="R11" i="91"/>
  <c r="AB15" i="45" s="1"/>
  <c r="M11" i="91"/>
  <c r="W15" i="45" s="1"/>
  <c r="P11" i="91"/>
  <c r="Z15" i="45" s="1"/>
  <c r="I11" i="91"/>
  <c r="Q11" i="91"/>
  <c r="AA15" i="45" s="1"/>
  <c r="K11" i="91"/>
  <c r="N11" i="91"/>
  <c r="X15" i="45" s="1"/>
  <c r="L11" i="91"/>
  <c r="AC58" i="62"/>
  <c r="AC38" i="62"/>
  <c r="AC28" i="62"/>
  <c r="AC36" i="62"/>
  <c r="AC56" i="62"/>
  <c r="AK30" i="57"/>
  <c r="AF30" i="57"/>
  <c r="AC66" i="62"/>
  <c r="AC26" i="62"/>
  <c r="AF30" i="36"/>
  <c r="AC48" i="62"/>
  <c r="AC46" i="62"/>
  <c r="AC68" i="62"/>
  <c r="AK30" i="36"/>
  <c r="AA17" i="45" l="1"/>
  <c r="AE12" i="98"/>
  <c r="AB17" i="30"/>
  <c r="X519" i="57"/>
  <c r="Y17" i="45"/>
  <c r="AB519" i="57"/>
  <c r="AB494" i="57"/>
  <c r="AH494" i="57"/>
  <c r="AK494" i="57"/>
  <c r="Y494" i="57"/>
  <c r="AC494" i="57"/>
  <c r="I542" i="57"/>
  <c r="X494" i="57"/>
  <c r="I500" i="57"/>
  <c r="AI494" i="57"/>
  <c r="AF494" i="57"/>
  <c r="AL494" i="57"/>
  <c r="AJ494" i="57"/>
  <c r="W494" i="57"/>
  <c r="AA494" i="57"/>
  <c r="AD494" i="57"/>
  <c r="Z494" i="57"/>
  <c r="AG494" i="57"/>
  <c r="AE494" i="57"/>
  <c r="AI56" i="41"/>
  <c r="AI73" i="41" s="1"/>
  <c r="AI99" i="41" s="1"/>
  <c r="AI27" i="45"/>
  <c r="AJ484" i="57"/>
  <c r="AJ525" i="57"/>
  <c r="AJ524" i="57"/>
  <c r="AJ523" i="57"/>
  <c r="AJ528" i="57" s="1"/>
  <c r="Z485" i="57"/>
  <c r="Z531" i="57" s="1"/>
  <c r="AE485" i="57"/>
  <c r="AK27" i="45"/>
  <c r="AK56" i="41"/>
  <c r="AK73" i="41" s="1"/>
  <c r="AK99" i="41" s="1"/>
  <c r="AI524" i="57"/>
  <c r="AI523" i="57"/>
  <c r="AI484" i="57"/>
  <c r="AI525" i="57"/>
  <c r="I507" i="57"/>
  <c r="AL501" i="57"/>
  <c r="AF501" i="57"/>
  <c r="AB501" i="57"/>
  <c r="AI501" i="57"/>
  <c r="AA501" i="57"/>
  <c r="AJ501" i="57"/>
  <c r="X501" i="57"/>
  <c r="I552" i="57"/>
  <c r="AC501" i="57"/>
  <c r="AK501" i="57"/>
  <c r="AG501" i="57"/>
  <c r="AE501" i="57"/>
  <c r="AH501" i="57"/>
  <c r="W501" i="57"/>
  <c r="AD501" i="57"/>
  <c r="Z501" i="57"/>
  <c r="Y501" i="57"/>
  <c r="AE523" i="57"/>
  <c r="AE524" i="57"/>
  <c r="AE527" i="57" s="1"/>
  <c r="AE525" i="57"/>
  <c r="AE484" i="57"/>
  <c r="AC479" i="36"/>
  <c r="AD479" i="36"/>
  <c r="AK524" i="57"/>
  <c r="AK523" i="57"/>
  <c r="AK484" i="57"/>
  <c r="AK525" i="57"/>
  <c r="AJ479" i="36"/>
  <c r="AC72" i="41"/>
  <c r="AC136" i="44" s="1"/>
  <c r="AC247" i="44" s="1"/>
  <c r="AC34" i="45"/>
  <c r="AC16" i="45" s="1"/>
  <c r="AC58" i="41" s="1"/>
  <c r="AJ522" i="57"/>
  <c r="AD485" i="57"/>
  <c r="AL485" i="57"/>
  <c r="AL531" i="57" s="1"/>
  <c r="AF524" i="57"/>
  <c r="AF527" i="57" s="1"/>
  <c r="AF484" i="57"/>
  <c r="AF525" i="57"/>
  <c r="AF523" i="57"/>
  <c r="AI522" i="57"/>
  <c r="AI527" i="57" s="1"/>
  <c r="AK522" i="57"/>
  <c r="AK479" i="36"/>
  <c r="AA479" i="36"/>
  <c r="AH479" i="36"/>
  <c r="AK14" i="42"/>
  <c r="AL72" i="41"/>
  <c r="AL34" i="45"/>
  <c r="AL16" i="45" s="1"/>
  <c r="AL58" i="41" s="1"/>
  <c r="AC524" i="57"/>
  <c r="AC527" i="57" s="1"/>
  <c r="AC525" i="57"/>
  <c r="AC484" i="57"/>
  <c r="AC523" i="57"/>
  <c r="AC528" i="57" s="1"/>
  <c r="AA485" i="57"/>
  <c r="AA531" i="57"/>
  <c r="AI485" i="57"/>
  <c r="AI531" i="57" s="1"/>
  <c r="AD523" i="57"/>
  <c r="AD525" i="57"/>
  <c r="AD524" i="57"/>
  <c r="AD527" i="57" s="1"/>
  <c r="AD484" i="57"/>
  <c r="I515" i="36"/>
  <c r="I492" i="36"/>
  <c r="AL488" i="36"/>
  <c r="Z488" i="36"/>
  <c r="AG488" i="36"/>
  <c r="AH488" i="36"/>
  <c r="W488" i="36"/>
  <c r="AI488" i="36"/>
  <c r="AF488" i="36"/>
  <c r="AK488" i="36"/>
  <c r="AD488" i="36"/>
  <c r="X488" i="36"/>
  <c r="AJ488" i="36"/>
  <c r="AB488" i="36"/>
  <c r="Y488" i="36"/>
  <c r="AA488" i="36"/>
  <c r="AE488" i="36"/>
  <c r="AC488" i="36"/>
  <c r="W484" i="57"/>
  <c r="W523" i="57"/>
  <c r="W525" i="57"/>
  <c r="W524" i="57"/>
  <c r="AG479" i="36"/>
  <c r="Y479" i="36"/>
  <c r="AB524" i="57"/>
  <c r="AB527" i="57" s="1"/>
  <c r="AB484" i="57"/>
  <c r="AB523" i="57"/>
  <c r="AB525" i="57"/>
  <c r="AC485" i="57"/>
  <c r="AC531" i="57" s="1"/>
  <c r="AH508" i="36"/>
  <c r="W485" i="57"/>
  <c r="W531" i="57"/>
  <c r="AB485" i="57"/>
  <c r="Z484" i="57"/>
  <c r="Z525" i="57"/>
  <c r="Z524" i="57"/>
  <c r="Z527" i="57" s="1"/>
  <c r="Z523" i="57"/>
  <c r="Y525" i="57"/>
  <c r="Y523" i="57"/>
  <c r="Y484" i="57"/>
  <c r="Y524" i="57"/>
  <c r="Y527" i="57" s="1"/>
  <c r="AH523" i="57"/>
  <c r="AH525" i="57"/>
  <c r="AH524" i="57"/>
  <c r="AH527" i="57" s="1"/>
  <c r="AH484" i="57"/>
  <c r="X479" i="36"/>
  <c r="AI479" i="36"/>
  <c r="AK485" i="57"/>
  <c r="AK531" i="57" s="1"/>
  <c r="AA523" i="57"/>
  <c r="AA524" i="57"/>
  <c r="AA527" i="57" s="1"/>
  <c r="AA484" i="57"/>
  <c r="AA525" i="57"/>
  <c r="Y18" i="36"/>
  <c r="Y23" i="41"/>
  <c r="Y18" i="57"/>
  <c r="AK37" i="12"/>
  <c r="AK98" i="86" s="1"/>
  <c r="AD72" i="41"/>
  <c r="AD136" i="44" s="1"/>
  <c r="AD139" i="44" s="1"/>
  <c r="AD34" i="45"/>
  <c r="AD16" i="45" s="1"/>
  <c r="AD58" i="41" s="1"/>
  <c r="AH485" i="57"/>
  <c r="AH531" i="57" s="1"/>
  <c r="AG485" i="57"/>
  <c r="AG531" i="57" s="1"/>
  <c r="AG484" i="57"/>
  <c r="AG524" i="57"/>
  <c r="AG527" i="57" s="1"/>
  <c r="AG523" i="57"/>
  <c r="AG525" i="57"/>
  <c r="W527" i="57"/>
  <c r="X523" i="57"/>
  <c r="X525" i="57"/>
  <c r="X484" i="57"/>
  <c r="X524" i="57"/>
  <c r="X527" i="57" s="1"/>
  <c r="W479" i="36"/>
  <c r="I489" i="36"/>
  <c r="I512" i="36"/>
  <c r="Y485" i="36"/>
  <c r="Y483" i="36" s="1"/>
  <c r="AC485" i="36"/>
  <c r="X485" i="36"/>
  <c r="X483" i="36" s="1"/>
  <c r="AD485" i="36"/>
  <c r="AG485" i="36"/>
  <c r="AG483" i="36" s="1"/>
  <c r="AJ485" i="36"/>
  <c r="AJ483" i="36" s="1"/>
  <c r="AA485" i="36"/>
  <c r="AA483" i="36" s="1"/>
  <c r="AK485" i="36"/>
  <c r="AI485" i="36"/>
  <c r="AF485" i="36"/>
  <c r="AB485" i="36"/>
  <c r="AB483" i="36" s="1"/>
  <c r="AL485" i="36"/>
  <c r="AL483" i="36" s="1"/>
  <c r="AH485" i="36"/>
  <c r="AH483" i="36" s="1"/>
  <c r="AE485" i="36"/>
  <c r="AE483" i="36" s="1"/>
  <c r="Z485" i="36"/>
  <c r="Z483" i="36" s="1"/>
  <c r="W485" i="36"/>
  <c r="AH72" i="41"/>
  <c r="AH34" i="45"/>
  <c r="AJ72" i="41"/>
  <c r="AJ34" i="45"/>
  <c r="AJ16" i="45" s="1"/>
  <c r="AJ58" i="41" s="1"/>
  <c r="AI72" i="41"/>
  <c r="AI34" i="45"/>
  <c r="AD56" i="41"/>
  <c r="AD73" i="41" s="1"/>
  <c r="AD99" i="41" s="1"/>
  <c r="AD108" i="41" s="1"/>
  <c r="AD27" i="45"/>
  <c r="X531" i="57"/>
  <c r="X485" i="57"/>
  <c r="AF485" i="57"/>
  <c r="AL484" i="57"/>
  <c r="AL524" i="57"/>
  <c r="AL527" i="57" s="1"/>
  <c r="AL523" i="57"/>
  <c r="AL525" i="57"/>
  <c r="W483" i="36"/>
  <c r="AH27" i="45"/>
  <c r="AH56" i="41"/>
  <c r="AH73" i="41" s="1"/>
  <c r="AH99" i="41" s="1"/>
  <c r="I550" i="57"/>
  <c r="I505" i="57"/>
  <c r="AK499" i="57"/>
  <c r="AB499" i="57"/>
  <c r="AC499" i="57"/>
  <c r="AI499" i="57"/>
  <c r="X499" i="57"/>
  <c r="Z499" i="57"/>
  <c r="AJ499" i="57"/>
  <c r="AE499" i="57"/>
  <c r="AD499" i="57"/>
  <c r="AL499" i="57"/>
  <c r="W499" i="57"/>
  <c r="AH499" i="57"/>
  <c r="AF499" i="57"/>
  <c r="AA499" i="57"/>
  <c r="Y499" i="57"/>
  <c r="AG499" i="57"/>
  <c r="Z479" i="36"/>
  <c r="AF479" i="36"/>
  <c r="AB479" i="36"/>
  <c r="AB508" i="36" s="1"/>
  <c r="AF72" i="41"/>
  <c r="AF34" i="45"/>
  <c r="AF16" i="45" s="1"/>
  <c r="AF58" i="41" s="1"/>
  <c r="AG72" i="41"/>
  <c r="AG34" i="45"/>
  <c r="AG16" i="45" s="1"/>
  <c r="AG58" i="41" s="1"/>
  <c r="AL56" i="41"/>
  <c r="AL73" i="41" s="1"/>
  <c r="AL99" i="41" s="1"/>
  <c r="AL27" i="45"/>
  <c r="Y485" i="57"/>
  <c r="Y531" i="57" s="1"/>
  <c r="AJ485" i="57"/>
  <c r="AJ531" i="57" s="1"/>
  <c r="I540" i="57"/>
  <c r="I498" i="57"/>
  <c r="AK492" i="57"/>
  <c r="AC492" i="57"/>
  <c r="X492" i="57"/>
  <c r="AE492" i="57"/>
  <c r="AH492" i="57"/>
  <c r="AJ492" i="57"/>
  <c r="AB492" i="57"/>
  <c r="AI492" i="57"/>
  <c r="AD492" i="57"/>
  <c r="AG492" i="57"/>
  <c r="AA492" i="57"/>
  <c r="AL492" i="57"/>
  <c r="Y492" i="57"/>
  <c r="Z492" i="57"/>
  <c r="W492" i="57"/>
  <c r="AF492" i="57"/>
  <c r="AE27" i="45"/>
  <c r="AE56" i="41"/>
  <c r="AE73" i="41" s="1"/>
  <c r="AE99" i="41" s="1"/>
  <c r="AF56" i="41"/>
  <c r="AF73" i="41" s="1"/>
  <c r="AF99" i="41" s="1"/>
  <c r="AF27" i="45"/>
  <c r="AJ56" i="41"/>
  <c r="AJ73" i="41" s="1"/>
  <c r="AJ99" i="41" s="1"/>
  <c r="AJ27" i="45"/>
  <c r="AG27" i="45"/>
  <c r="AG56" i="41"/>
  <c r="AG73" i="41" s="1"/>
  <c r="AG99" i="41" s="1"/>
  <c r="Z18" i="57"/>
  <c r="Z18" i="36"/>
  <c r="Z23" i="41"/>
  <c r="F9" i="98" s="1"/>
  <c r="AK483" i="36"/>
  <c r="AC56" i="41"/>
  <c r="AC73" i="41" s="1"/>
  <c r="AC99" i="41" s="1"/>
  <c r="AC108" i="41" s="1"/>
  <c r="AC27" i="45"/>
  <c r="AC86" i="44"/>
  <c r="AL479" i="36"/>
  <c r="AE479" i="36"/>
  <c r="BZ61" i="36"/>
  <c r="BU60" i="36"/>
  <c r="W165" i="44"/>
  <c r="W172" i="44" s="1"/>
  <c r="W174" i="44" s="1"/>
  <c r="W211" i="44" s="1"/>
  <c r="W215" i="44" s="1"/>
  <c r="W92" i="44"/>
  <c r="W103" i="44" s="1"/>
  <c r="W105" i="44" s="1"/>
  <c r="BZ60" i="36"/>
  <c r="BU61" i="36"/>
  <c r="AC122" i="44"/>
  <c r="W122" i="44"/>
  <c r="BP60" i="36"/>
  <c r="BZ62" i="36"/>
  <c r="BP61" i="36"/>
  <c r="BR63" i="36"/>
  <c r="BU62" i="36"/>
  <c r="BP62" i="36"/>
  <c r="AH16" i="45"/>
  <c r="AH58" i="41" s="1"/>
  <c r="AI16" i="45"/>
  <c r="AE46" i="56"/>
  <c r="AE45" i="56" s="1"/>
  <c r="AE19" i="56" s="1"/>
  <c r="CR41" i="90"/>
  <c r="AD168" i="44"/>
  <c r="AD112" i="41"/>
  <c r="AL22" i="42"/>
  <c r="AL25" i="45"/>
  <c r="AI25" i="45"/>
  <c r="AI22" i="42"/>
  <c r="AD22" i="42"/>
  <c r="AD25" i="45"/>
  <c r="AE25" i="45"/>
  <c r="AG22" i="42"/>
  <c r="AE55" i="41"/>
  <c r="AG25" i="45"/>
  <c r="AK55" i="41"/>
  <c r="AK25" i="45"/>
  <c r="AJ25" i="45"/>
  <c r="AJ22" i="42"/>
  <c r="X166" i="44"/>
  <c r="AK201" i="86"/>
  <c r="AJ37" i="12"/>
  <c r="AJ98" i="86" s="1"/>
  <c r="D97" i="98"/>
  <c r="AL146" i="86"/>
  <c r="AL147" i="86" s="1"/>
  <c r="P44" i="98"/>
  <c r="P45" i="98" s="1"/>
  <c r="AA169" i="86"/>
  <c r="AA161" i="86" s="1"/>
  <c r="G97" i="98"/>
  <c r="AA15" i="42"/>
  <c r="AA95" i="44" s="1"/>
  <c r="AA128" i="44" s="1"/>
  <c r="AA26" i="86"/>
  <c r="AA36" i="86" s="1"/>
  <c r="AA52" i="86" s="1"/>
  <c r="Q45" i="98"/>
  <c r="J97" i="98"/>
  <c r="E37" i="98"/>
  <c r="AB15" i="42"/>
  <c r="AB95" i="44" s="1"/>
  <c r="AB128" i="44" s="1"/>
  <c r="AB169" i="86"/>
  <c r="AB161" i="86" s="1"/>
  <c r="E38" i="98"/>
  <c r="R56" i="98"/>
  <c r="R61" i="98" s="1"/>
  <c r="AL196" i="86"/>
  <c r="AL201" i="86" s="1"/>
  <c r="AH82" i="98"/>
  <c r="K89" i="98"/>
  <c r="K97" i="98"/>
  <c r="AF15" i="86"/>
  <c r="AH79" i="98"/>
  <c r="K86" i="98"/>
  <c r="AI17" i="86"/>
  <c r="N92" i="98"/>
  <c r="AG23" i="40"/>
  <c r="AG26" i="40"/>
  <c r="AG32" i="40" s="1"/>
  <c r="AF91" i="41"/>
  <c r="AF38" i="40"/>
  <c r="AF42" i="40" s="1"/>
  <c r="Z17" i="45"/>
  <c r="Z41" i="41" s="1"/>
  <c r="W17" i="45"/>
  <c r="X17" i="45"/>
  <c r="X41" i="41" s="1"/>
  <c r="AB17" i="45"/>
  <c r="AB29" i="45" s="1"/>
  <c r="G87" i="112"/>
  <c r="G88" i="112" s="1"/>
  <c r="G101" i="112"/>
  <c r="AQ25" i="112"/>
  <c r="AQ77" i="112" s="1"/>
  <c r="L141" i="112"/>
  <c r="R90" i="112"/>
  <c r="S89" i="112"/>
  <c r="H9" i="112"/>
  <c r="I7" i="112"/>
  <c r="H145" i="112"/>
  <c r="I144" i="112"/>
  <c r="I21" i="112" s="1"/>
  <c r="I29" i="112" s="1"/>
  <c r="AD125" i="44"/>
  <c r="AD249" i="44"/>
  <c r="AE83" i="44"/>
  <c r="AE110" i="41"/>
  <c r="AE191" i="44"/>
  <c r="AE193" i="44"/>
  <c r="AE109" i="41"/>
  <c r="AE84" i="44"/>
  <c r="AE108" i="41"/>
  <c r="AE186" i="44"/>
  <c r="AE188" i="44"/>
  <c r="AE99" i="44"/>
  <c r="AE96" i="44"/>
  <c r="AE86" i="44"/>
  <c r="AE89" i="44"/>
  <c r="AE137" i="44" s="1"/>
  <c r="AE90" i="44"/>
  <c r="AE85" i="44"/>
  <c r="AE87" i="44"/>
  <c r="AD126" i="44"/>
  <c r="AD209" i="44"/>
  <c r="AI44" i="40"/>
  <c r="CG41" i="90"/>
  <c r="AD206" i="44"/>
  <c r="AD248" i="44"/>
  <c r="AD124" i="44"/>
  <c r="AC71" i="62"/>
  <c r="AD71" i="62" s="1"/>
  <c r="AD49" i="114"/>
  <c r="AE41" i="93"/>
  <c r="CH61" i="90"/>
  <c r="CS61" i="90" s="1"/>
  <c r="AF65" i="56" s="1"/>
  <c r="CH85" i="90"/>
  <c r="CS85" i="90" s="1"/>
  <c r="AF89" i="56" s="1"/>
  <c r="CH109" i="90"/>
  <c r="CS109" i="90" s="1"/>
  <c r="AF113" i="56" s="1"/>
  <c r="CH133" i="90"/>
  <c r="CH54" i="90"/>
  <c r="CS54" i="90" s="1"/>
  <c r="AF58" i="56" s="1"/>
  <c r="CH78" i="90"/>
  <c r="CS78" i="90" s="1"/>
  <c r="AF82" i="56" s="1"/>
  <c r="CH102" i="90"/>
  <c r="CS102" i="90" s="1"/>
  <c r="AF106" i="56" s="1"/>
  <c r="CH126" i="90"/>
  <c r="CS126" i="90" s="1"/>
  <c r="AF130" i="56" s="1"/>
  <c r="CH48" i="90"/>
  <c r="CS48" i="90" s="1"/>
  <c r="AF52" i="56" s="1"/>
  <c r="CH71" i="90"/>
  <c r="CS71" i="90" s="1"/>
  <c r="AF75" i="56" s="1"/>
  <c r="CH95" i="90"/>
  <c r="CS95" i="90" s="1"/>
  <c r="AF99" i="56" s="1"/>
  <c r="CH119" i="90"/>
  <c r="CS119" i="90" s="1"/>
  <c r="AF123" i="56" s="1"/>
  <c r="CH47" i="90"/>
  <c r="CS47" i="90" s="1"/>
  <c r="AF51" i="56" s="1"/>
  <c r="CH76" i="90"/>
  <c r="CS76" i="90" s="1"/>
  <c r="AF80" i="56" s="1"/>
  <c r="CH100" i="90"/>
  <c r="CS100" i="90" s="1"/>
  <c r="AF104" i="56" s="1"/>
  <c r="CH124" i="90"/>
  <c r="CS124" i="90" s="1"/>
  <c r="AF128" i="56" s="1"/>
  <c r="CH46" i="90"/>
  <c r="CS46" i="90" s="1"/>
  <c r="AF50" i="56" s="1"/>
  <c r="CH50" i="90"/>
  <c r="CS50" i="90" s="1"/>
  <c r="AF54" i="56" s="1"/>
  <c r="CH135" i="90"/>
  <c r="CH134" i="90"/>
  <c r="CH68" i="90"/>
  <c r="CS68" i="90" s="1"/>
  <c r="AF72" i="56" s="1"/>
  <c r="CH140" i="90"/>
  <c r="CH80" i="90"/>
  <c r="CS80" i="90" s="1"/>
  <c r="AF84" i="56" s="1"/>
  <c r="CH122" i="90"/>
  <c r="CS122" i="90" s="1"/>
  <c r="AF126" i="56" s="1"/>
  <c r="CH75" i="90"/>
  <c r="CS75" i="90" s="1"/>
  <c r="AF79" i="56" s="1"/>
  <c r="CH67" i="90"/>
  <c r="CS67" i="90" s="1"/>
  <c r="AF71" i="56" s="1"/>
  <c r="CH91" i="90"/>
  <c r="CS91" i="90" s="1"/>
  <c r="AF95" i="56" s="1"/>
  <c r="CH115" i="90"/>
  <c r="CS115" i="90" s="1"/>
  <c r="AF119" i="56" s="1"/>
  <c r="CH139" i="90"/>
  <c r="CH60" i="90"/>
  <c r="CS60" i="90" s="1"/>
  <c r="AF64" i="56" s="1"/>
  <c r="CH84" i="90"/>
  <c r="CS84" i="90" s="1"/>
  <c r="AF88" i="56" s="1"/>
  <c r="CH108" i="90"/>
  <c r="CS108" i="90" s="1"/>
  <c r="AF112" i="56" s="1"/>
  <c r="CH132" i="90"/>
  <c r="CH53" i="90"/>
  <c r="CS53" i="90" s="1"/>
  <c r="AF57" i="56" s="1"/>
  <c r="CH77" i="90"/>
  <c r="CS77" i="90" s="1"/>
  <c r="AF81" i="56" s="1"/>
  <c r="CH101" i="90"/>
  <c r="CS101" i="90" s="1"/>
  <c r="AF105" i="56" s="1"/>
  <c r="CH125" i="90"/>
  <c r="CS125" i="90" s="1"/>
  <c r="AF129" i="56" s="1"/>
  <c r="CH58" i="90"/>
  <c r="CS58" i="90" s="1"/>
  <c r="AF62" i="56" s="1"/>
  <c r="CH82" i="90"/>
  <c r="CS82" i="90" s="1"/>
  <c r="AF86" i="56" s="1"/>
  <c r="CH106" i="90"/>
  <c r="CS106" i="90" s="1"/>
  <c r="AF110" i="56" s="1"/>
  <c r="CH130" i="90"/>
  <c r="CH45" i="90"/>
  <c r="CS45" i="90" s="1"/>
  <c r="AF49" i="56" s="1"/>
  <c r="CH69" i="90"/>
  <c r="CS69" i="90" s="1"/>
  <c r="AF73" i="56" s="1"/>
  <c r="CH81" i="90"/>
  <c r="CS81" i="90" s="1"/>
  <c r="AF85" i="56" s="1"/>
  <c r="CH62" i="90"/>
  <c r="CS62" i="90" s="1"/>
  <c r="AF66" i="56" s="1"/>
  <c r="CH63" i="90"/>
  <c r="CS63" i="90" s="1"/>
  <c r="AF67" i="56" s="1"/>
  <c r="CH56" i="90"/>
  <c r="CS56" i="90" s="1"/>
  <c r="AF60" i="56" s="1"/>
  <c r="CH74" i="90"/>
  <c r="CS74" i="90" s="1"/>
  <c r="AF78" i="56" s="1"/>
  <c r="CH123" i="90"/>
  <c r="CS123" i="90" s="1"/>
  <c r="AF127" i="56" s="1"/>
  <c r="CH116" i="90"/>
  <c r="CS116" i="90" s="1"/>
  <c r="AF120" i="56" s="1"/>
  <c r="CH73" i="90"/>
  <c r="CS73" i="90" s="1"/>
  <c r="AF77" i="56" s="1"/>
  <c r="CH121" i="90"/>
  <c r="CS121" i="90" s="1"/>
  <c r="AF125" i="56" s="1"/>
  <c r="CH66" i="90"/>
  <c r="CS66" i="90" s="1"/>
  <c r="AF70" i="56" s="1"/>
  <c r="CH114" i="90"/>
  <c r="CS114" i="90" s="1"/>
  <c r="AF118" i="56" s="1"/>
  <c r="CH59" i="90"/>
  <c r="CS59" i="90" s="1"/>
  <c r="AF63" i="56" s="1"/>
  <c r="CH107" i="90"/>
  <c r="CS107" i="90" s="1"/>
  <c r="AF111" i="56" s="1"/>
  <c r="CH64" i="90"/>
  <c r="CS64" i="90" s="1"/>
  <c r="AF68" i="56" s="1"/>
  <c r="CH112" i="90"/>
  <c r="CS112" i="90" s="1"/>
  <c r="AF116" i="56" s="1"/>
  <c r="CH51" i="90"/>
  <c r="CS51" i="90" s="1"/>
  <c r="AF55" i="56" s="1"/>
  <c r="CH111" i="90"/>
  <c r="CS111" i="90" s="1"/>
  <c r="AF115" i="56" s="1"/>
  <c r="CH92" i="90"/>
  <c r="CS92" i="90" s="1"/>
  <c r="AF96" i="56" s="1"/>
  <c r="CH57" i="90"/>
  <c r="CS57" i="90" s="1"/>
  <c r="AF61" i="56" s="1"/>
  <c r="CH110" i="90"/>
  <c r="CS110" i="90" s="1"/>
  <c r="AF114" i="56" s="1"/>
  <c r="CH79" i="90"/>
  <c r="CS79" i="90" s="1"/>
  <c r="AF83" i="56" s="1"/>
  <c r="CH127" i="90"/>
  <c r="CH72" i="90"/>
  <c r="CS72" i="90" s="1"/>
  <c r="AF76" i="56" s="1"/>
  <c r="CH120" i="90"/>
  <c r="CS120" i="90" s="1"/>
  <c r="AF124" i="56" s="1"/>
  <c r="CH65" i="90"/>
  <c r="CS65" i="90" s="1"/>
  <c r="AF69" i="56" s="1"/>
  <c r="CH113" i="90"/>
  <c r="CS113" i="90" s="1"/>
  <c r="AF117" i="56" s="1"/>
  <c r="CH70" i="90"/>
  <c r="CS70" i="90" s="1"/>
  <c r="AF74" i="56" s="1"/>
  <c r="CH118" i="90"/>
  <c r="CS118" i="90" s="1"/>
  <c r="AF122" i="56" s="1"/>
  <c r="CH44" i="90"/>
  <c r="CS44" i="90" s="1"/>
  <c r="AF48" i="56" s="1"/>
  <c r="CH98" i="90"/>
  <c r="CS98" i="90" s="1"/>
  <c r="AF102" i="56" s="1"/>
  <c r="CH128" i="90"/>
  <c r="CH86" i="90"/>
  <c r="CS86" i="90" s="1"/>
  <c r="AF90" i="56" s="1"/>
  <c r="AG15" i="40"/>
  <c r="CH97" i="90"/>
  <c r="CS97" i="90" s="1"/>
  <c r="AF101" i="56" s="1"/>
  <c r="CH43" i="90"/>
  <c r="CS43" i="90" s="1"/>
  <c r="AF47" i="56" s="1"/>
  <c r="CH90" i="90"/>
  <c r="CS90" i="90" s="1"/>
  <c r="AF94" i="56" s="1"/>
  <c r="CH138" i="90"/>
  <c r="CH83" i="90"/>
  <c r="CS83" i="90" s="1"/>
  <c r="AF87" i="56" s="1"/>
  <c r="CH131" i="90"/>
  <c r="CH88" i="90"/>
  <c r="CS88" i="90" s="1"/>
  <c r="AF92" i="56" s="1"/>
  <c r="CH136" i="90"/>
  <c r="CH105" i="90"/>
  <c r="CS105" i="90" s="1"/>
  <c r="AF109" i="56" s="1"/>
  <c r="CH99" i="90"/>
  <c r="CS99" i="90" s="1"/>
  <c r="AF103" i="56" s="1"/>
  <c r="CH93" i="90"/>
  <c r="CS93" i="90" s="1"/>
  <c r="AF97" i="56" s="1"/>
  <c r="CH104" i="90"/>
  <c r="CS104" i="90" s="1"/>
  <c r="AF108" i="56" s="1"/>
  <c r="CH49" i="90"/>
  <c r="CS49" i="90" s="1"/>
  <c r="AF53" i="56" s="1"/>
  <c r="CH137" i="90"/>
  <c r="CH117" i="90"/>
  <c r="CS117" i="90" s="1"/>
  <c r="AF121" i="56" s="1"/>
  <c r="CH96" i="90"/>
  <c r="CS96" i="90" s="1"/>
  <c r="AF100" i="56" s="1"/>
  <c r="CH94" i="90"/>
  <c r="CS94" i="90" s="1"/>
  <c r="AF98" i="56" s="1"/>
  <c r="CH129" i="90"/>
  <c r="AF85" i="41"/>
  <c r="CH89" i="90"/>
  <c r="CS89" i="90" s="1"/>
  <c r="AF93" i="56" s="1"/>
  <c r="CH55" i="90"/>
  <c r="CS55" i="90" s="1"/>
  <c r="AF59" i="56" s="1"/>
  <c r="CH42" i="90"/>
  <c r="CS42" i="90" s="1"/>
  <c r="CH142" i="90"/>
  <c r="CH87" i="90"/>
  <c r="CS87" i="90" s="1"/>
  <c r="AF91" i="56" s="1"/>
  <c r="CH103" i="90"/>
  <c r="CS103" i="90" s="1"/>
  <c r="AF107" i="56" s="1"/>
  <c r="CH141" i="90"/>
  <c r="AF39" i="93"/>
  <c r="AD207" i="44"/>
  <c r="AD123" i="44"/>
  <c r="AD205" i="44"/>
  <c r="AD122" i="44"/>
  <c r="K142" i="112"/>
  <c r="K135" i="112"/>
  <c r="K143" i="112" s="1"/>
  <c r="M107" i="112"/>
  <c r="M140" i="112" s="1"/>
  <c r="F66" i="112"/>
  <c r="F71" i="112" s="1"/>
  <c r="F81" i="112" s="1"/>
  <c r="I66" i="112"/>
  <c r="L138" i="112"/>
  <c r="L139" i="112" s="1"/>
  <c r="L134" i="112"/>
  <c r="L136" i="112"/>
  <c r="L137" i="112" s="1"/>
  <c r="J144" i="112"/>
  <c r="J21" i="112" s="1"/>
  <c r="M108" i="112"/>
  <c r="G29" i="112"/>
  <c r="G26" i="112"/>
  <c r="E26" i="112"/>
  <c r="E29" i="112"/>
  <c r="D144" i="112"/>
  <c r="D66" i="112" s="1"/>
  <c r="E66" i="112"/>
  <c r="F21" i="112"/>
  <c r="G66" i="112"/>
  <c r="H71" i="112"/>
  <c r="H81" i="112" s="1"/>
  <c r="H70" i="112"/>
  <c r="H78" i="112" s="1"/>
  <c r="G145" i="112"/>
  <c r="E145" i="112"/>
  <c r="H29" i="112"/>
  <c r="H26" i="112"/>
  <c r="X29" i="45"/>
  <c r="Z29" i="45"/>
  <c r="AE8" i="98"/>
  <c r="AE13" i="98" s="1"/>
  <c r="W29" i="45"/>
  <c r="W30" i="45" s="1"/>
  <c r="W41" i="41"/>
  <c r="AA41" i="41"/>
  <c r="AA29" i="45"/>
  <c r="AB41" i="41"/>
  <c r="Y41" i="41"/>
  <c r="Y29" i="45"/>
  <c r="W12" i="45"/>
  <c r="W37" i="41"/>
  <c r="AC51" i="62"/>
  <c r="AD51" i="62" s="1"/>
  <c r="AC31" i="62"/>
  <c r="AD31" i="62" s="1"/>
  <c r="AC41" i="62"/>
  <c r="AD41" i="62" s="1"/>
  <c r="AC61" i="62"/>
  <c r="AD61" i="62" s="1"/>
  <c r="AC60" i="41"/>
  <c r="AJ527" i="57" l="1"/>
  <c r="AH528" i="57"/>
  <c r="AJ500" i="57"/>
  <c r="AI500" i="57"/>
  <c r="Y500" i="57"/>
  <c r="AG500" i="57"/>
  <c r="Z500" i="57"/>
  <c r="AA500" i="57"/>
  <c r="AF500" i="57"/>
  <c r="AL500" i="57"/>
  <c r="X500" i="57"/>
  <c r="I506" i="57"/>
  <c r="AB500" i="57"/>
  <c r="AK500" i="57"/>
  <c r="AE500" i="57"/>
  <c r="I551" i="57"/>
  <c r="W500" i="57"/>
  <c r="AD500" i="57"/>
  <c r="AH500" i="57"/>
  <c r="AC500" i="57"/>
  <c r="AD247" i="44"/>
  <c r="AC139" i="44"/>
  <c r="Z512" i="36"/>
  <c r="Z511" i="36"/>
  <c r="Z486" i="36"/>
  <c r="AA512" i="36"/>
  <c r="AA511" i="36"/>
  <c r="AA486" i="36"/>
  <c r="AE512" i="36"/>
  <c r="AE511" i="36"/>
  <c r="AE486" i="36"/>
  <c r="AL486" i="36"/>
  <c r="AL511" i="36"/>
  <c r="AB486" i="36"/>
  <c r="AB511" i="36"/>
  <c r="X512" i="36"/>
  <c r="X511" i="36"/>
  <c r="X486" i="36"/>
  <c r="Y512" i="36"/>
  <c r="Y486" i="36"/>
  <c r="Y511" i="36"/>
  <c r="Z507" i="36"/>
  <c r="Z508" i="36"/>
  <c r="Z482" i="36"/>
  <c r="AH511" i="36"/>
  <c r="AH486" i="36"/>
  <c r="AE72" i="41"/>
  <c r="AE136" i="44" s="1"/>
  <c r="AE247" i="44" s="1"/>
  <c r="AE34" i="45"/>
  <c r="AE16" i="45" s="1"/>
  <c r="AE58" i="41" s="1"/>
  <c r="AC124" i="44"/>
  <c r="AC248" i="44"/>
  <c r="AC206" i="44"/>
  <c r="AA491" i="57"/>
  <c r="AA540" i="57" s="1"/>
  <c r="X491" i="57"/>
  <c r="AL505" i="57"/>
  <c r="Z505" i="57"/>
  <c r="X505" i="57"/>
  <c r="AE505" i="57"/>
  <c r="AG505" i="57"/>
  <c r="AA505" i="57"/>
  <c r="AC505" i="57"/>
  <c r="AJ505" i="57"/>
  <c r="AB505" i="57"/>
  <c r="I559" i="57"/>
  <c r="AK505" i="57"/>
  <c r="Y505" i="57"/>
  <c r="W505" i="57"/>
  <c r="AI505" i="57"/>
  <c r="AH505" i="57"/>
  <c r="AF505" i="57"/>
  <c r="AD505" i="57"/>
  <c r="AI483" i="36"/>
  <c r="AI507" i="36"/>
  <c r="AI508" i="36"/>
  <c r="AI482" i="36"/>
  <c r="Y528" i="57"/>
  <c r="Z528" i="57"/>
  <c r="W490" i="57"/>
  <c r="W533" i="57"/>
  <c r="W536" i="57" s="1"/>
  <c r="W532" i="57"/>
  <c r="W534" i="57"/>
  <c r="AB528" i="57"/>
  <c r="AA490" i="57"/>
  <c r="AA533" i="57"/>
  <c r="AA532" i="57"/>
  <c r="AA534" i="57"/>
  <c r="AK527" i="57"/>
  <c r="Z533" i="57"/>
  <c r="Z536" i="57" s="1"/>
  <c r="Z490" i="57"/>
  <c r="Z532" i="57"/>
  <c r="Z534" i="57"/>
  <c r="AE507" i="36"/>
  <c r="AE482" i="36"/>
  <c r="AE508" i="36"/>
  <c r="AG491" i="57"/>
  <c r="AG540" i="57" s="1"/>
  <c r="AC491" i="57"/>
  <c r="AC540" i="57" s="1"/>
  <c r="W511" i="36"/>
  <c r="W486" i="36"/>
  <c r="W512" i="36"/>
  <c r="AK512" i="36"/>
  <c r="X528" i="57"/>
  <c r="AJ512" i="36"/>
  <c r="AJ486" i="36"/>
  <c r="AJ511" i="36"/>
  <c r="I519" i="36"/>
  <c r="Z492" i="36"/>
  <c r="AB492" i="36"/>
  <c r="AC492" i="36"/>
  <c r="W492" i="36"/>
  <c r="AI492" i="36"/>
  <c r="X492" i="36"/>
  <c r="AD492" i="36"/>
  <c r="AK492" i="36"/>
  <c r="AL492" i="36"/>
  <c r="AH492" i="36"/>
  <c r="AF492" i="36"/>
  <c r="AG492" i="36"/>
  <c r="Y492" i="36"/>
  <c r="AE492" i="36"/>
  <c r="AJ492" i="36"/>
  <c r="AA492" i="36"/>
  <c r="AD528" i="57"/>
  <c r="AD483" i="36"/>
  <c r="AE491" i="57"/>
  <c r="AE540" i="57" s="1"/>
  <c r="AA482" i="36"/>
  <c r="AA508" i="36"/>
  <c r="AA507" i="36"/>
  <c r="AD491" i="57"/>
  <c r="AD540" i="57" s="1"/>
  <c r="AK491" i="57"/>
  <c r="AK540" i="57" s="1"/>
  <c r="AF490" i="57"/>
  <c r="AF533" i="57"/>
  <c r="AF534" i="57"/>
  <c r="AF532" i="57"/>
  <c r="AF537" i="57" s="1"/>
  <c r="I493" i="36"/>
  <c r="I516" i="36"/>
  <c r="AC489" i="36"/>
  <c r="AC487" i="36" s="1"/>
  <c r="AA489" i="36"/>
  <c r="AI489" i="36"/>
  <c r="AH489" i="36"/>
  <c r="AE489" i="36"/>
  <c r="AK489" i="36"/>
  <c r="AK487" i="36" s="1"/>
  <c r="AK515" i="36" s="1"/>
  <c r="AF489" i="36"/>
  <c r="AL489" i="36"/>
  <c r="AB489" i="36"/>
  <c r="W489" i="36"/>
  <c r="Z489" i="36"/>
  <c r="Z487" i="36" s="1"/>
  <c r="AG489" i="36"/>
  <c r="X489" i="36"/>
  <c r="AJ489" i="36"/>
  <c r="Y489" i="36"/>
  <c r="AD489" i="36"/>
  <c r="AF487" i="36"/>
  <c r="AF515" i="36" s="1"/>
  <c r="AK508" i="36"/>
  <c r="AK482" i="36"/>
  <c r="AK507" i="36"/>
  <c r="AD507" i="36"/>
  <c r="AD508" i="36"/>
  <c r="AD482" i="36"/>
  <c r="AE528" i="57"/>
  <c r="AL507" i="36"/>
  <c r="AL482" i="36"/>
  <c r="AL508" i="36"/>
  <c r="AG512" i="36"/>
  <c r="AG486" i="36"/>
  <c r="AG511" i="36"/>
  <c r="AF491" i="57"/>
  <c r="AF540" i="57"/>
  <c r="AI491" i="57"/>
  <c r="I549" i="57"/>
  <c r="I504" i="57"/>
  <c r="AH498" i="57"/>
  <c r="AG498" i="57"/>
  <c r="X498" i="57"/>
  <c r="W498" i="57"/>
  <c r="AE498" i="57"/>
  <c r="AL498" i="57"/>
  <c r="AA498" i="57"/>
  <c r="AB498" i="57"/>
  <c r="AI498" i="57"/>
  <c r="Z498" i="57"/>
  <c r="AF498" i="57"/>
  <c r="AD498" i="57"/>
  <c r="AJ498" i="57"/>
  <c r="AC498" i="57"/>
  <c r="AK498" i="57"/>
  <c r="Y498" i="57"/>
  <c r="AB507" i="36"/>
  <c r="AB482" i="36"/>
  <c r="AF531" i="57"/>
  <c r="AG528" i="57"/>
  <c r="AA528" i="57"/>
  <c r="X507" i="36"/>
  <c r="X482" i="36"/>
  <c r="X508" i="36"/>
  <c r="Y482" i="36"/>
  <c r="Y507" i="36"/>
  <c r="Y508" i="36"/>
  <c r="AA487" i="36"/>
  <c r="AC483" i="36"/>
  <c r="AF483" i="36"/>
  <c r="AJ508" i="36"/>
  <c r="AJ507" i="36"/>
  <c r="AJ482" i="36"/>
  <c r="AK511" i="36"/>
  <c r="AK486" i="36"/>
  <c r="W491" i="57"/>
  <c r="W540" i="57" s="1"/>
  <c r="AB491" i="57"/>
  <c r="AB540" i="57"/>
  <c r="AF508" i="36"/>
  <c r="AF507" i="36"/>
  <c r="AF482" i="36"/>
  <c r="X490" i="57"/>
  <c r="X533" i="57"/>
  <c r="X532" i="57"/>
  <c r="X537" i="57" s="1"/>
  <c r="X534" i="57"/>
  <c r="AH512" i="36"/>
  <c r="W507" i="36"/>
  <c r="W482" i="36"/>
  <c r="W508" i="36"/>
  <c r="AG533" i="57"/>
  <c r="AG536" i="57" s="1"/>
  <c r="AG490" i="57"/>
  <c r="AG532" i="57"/>
  <c r="AG537" i="57" s="1"/>
  <c r="AG534" i="57"/>
  <c r="Y487" i="36"/>
  <c r="Y515" i="36" s="1"/>
  <c r="W487" i="36"/>
  <c r="AH507" i="36"/>
  <c r="AH482" i="36"/>
  <c r="AL533" i="57"/>
  <c r="AL536" i="57" s="1"/>
  <c r="AL490" i="57"/>
  <c r="AL532" i="57"/>
  <c r="AL534" i="57"/>
  <c r="AI528" i="57"/>
  <c r="AL491" i="57"/>
  <c r="AL540" i="57" s="1"/>
  <c r="Y533" i="57"/>
  <c r="Y536" i="57" s="1"/>
  <c r="Y490" i="57"/>
  <c r="Y532" i="57"/>
  <c r="Y534" i="57"/>
  <c r="F70" i="112"/>
  <c r="F78" i="112" s="1"/>
  <c r="Z540" i="57"/>
  <c r="Z491" i="57"/>
  <c r="AJ491" i="57"/>
  <c r="X536" i="57"/>
  <c r="AL512" i="36"/>
  <c r="AD512" i="36"/>
  <c r="E9" i="98"/>
  <c r="D37" i="98"/>
  <c r="AK490" i="57"/>
  <c r="AK533" i="57"/>
  <c r="AK536" i="57" s="1"/>
  <c r="AK534" i="57"/>
  <c r="AK532" i="57"/>
  <c r="AB490" i="57"/>
  <c r="AB533" i="57"/>
  <c r="AB534" i="57"/>
  <c r="AB532" i="57"/>
  <c r="AC533" i="57"/>
  <c r="AC536" i="57" s="1"/>
  <c r="AC490" i="57"/>
  <c r="AC532" i="57"/>
  <c r="AC534" i="57"/>
  <c r="AG508" i="36"/>
  <c r="AG507" i="36"/>
  <c r="AG482" i="36"/>
  <c r="AB487" i="36"/>
  <c r="AH487" i="36"/>
  <c r="AH515" i="36" s="1"/>
  <c r="AD490" i="57"/>
  <c r="AD533" i="57"/>
  <c r="AD532" i="57"/>
  <c r="AD534" i="57"/>
  <c r="AC507" i="36"/>
  <c r="AC508" i="36"/>
  <c r="AC482" i="36"/>
  <c r="AE490" i="57"/>
  <c r="AE533" i="57"/>
  <c r="AE532" i="57"/>
  <c r="AE537" i="57" s="1"/>
  <c r="AE534" i="57"/>
  <c r="AF512" i="36"/>
  <c r="AA536" i="57"/>
  <c r="F12" i="98"/>
  <c r="G12" i="98"/>
  <c r="H12" i="98"/>
  <c r="AK72" i="41"/>
  <c r="AK34" i="45"/>
  <c r="AK16" i="45" s="1"/>
  <c r="AK58" i="41" s="1"/>
  <c r="Y491" i="57"/>
  <c r="Y540" i="57"/>
  <c r="AH491" i="57"/>
  <c r="AH540" i="57" s="1"/>
  <c r="AJ490" i="57"/>
  <c r="AJ533" i="57"/>
  <c r="AJ536" i="57" s="1"/>
  <c r="AJ532" i="57"/>
  <c r="AJ534" i="57"/>
  <c r="AL528" i="57"/>
  <c r="AB512" i="36"/>
  <c r="AH533" i="57"/>
  <c r="AH536" i="57" s="1"/>
  <c r="AH490" i="57"/>
  <c r="AH532" i="57"/>
  <c r="AH534" i="57"/>
  <c r="AB531" i="57"/>
  <c r="W528" i="57"/>
  <c r="AJ487" i="36"/>
  <c r="AJ515" i="36" s="1"/>
  <c r="AG487" i="36"/>
  <c r="AG515" i="36"/>
  <c r="AI490" i="57"/>
  <c r="AI533" i="57"/>
  <c r="AI536" i="57" s="1"/>
  <c r="AI532" i="57"/>
  <c r="AI534" i="57"/>
  <c r="AF528" i="57"/>
  <c r="AD531" i="57"/>
  <c r="AK528" i="57"/>
  <c r="I561" i="57"/>
  <c r="AB507" i="57"/>
  <c r="AJ507" i="57"/>
  <c r="AA507" i="57"/>
  <c r="Z507" i="57"/>
  <c r="AH507" i="57"/>
  <c r="AD507" i="57"/>
  <c r="Y507" i="57"/>
  <c r="AF507" i="57"/>
  <c r="AG507" i="57"/>
  <c r="AL507" i="57"/>
  <c r="AI507" i="57"/>
  <c r="AK507" i="57"/>
  <c r="AC507" i="57"/>
  <c r="W507" i="57"/>
  <c r="X507" i="57"/>
  <c r="AE507" i="57"/>
  <c r="AE531" i="57"/>
  <c r="AE536" i="57" s="1"/>
  <c r="W107" i="44"/>
  <c r="W109" i="44" s="1"/>
  <c r="W141" i="44" s="1"/>
  <c r="AI58" i="41"/>
  <c r="AE112" i="41"/>
  <c r="AE168" i="44"/>
  <c r="AF46" i="56"/>
  <c r="AF45" i="56" s="1"/>
  <c r="AF19" i="56" s="1"/>
  <c r="CS41" i="90"/>
  <c r="AB54" i="86"/>
  <c r="AC54" i="86" s="1"/>
  <c r="AE36" i="86"/>
  <c r="AF36" i="86" s="1"/>
  <c r="AA210" i="44"/>
  <c r="AA166" i="44"/>
  <c r="AB166" i="44"/>
  <c r="AB210" i="44"/>
  <c r="L89" i="98"/>
  <c r="AI82" i="98"/>
  <c r="AG15" i="86"/>
  <c r="AI79" i="98"/>
  <c r="L97" i="98"/>
  <c r="L86" i="98"/>
  <c r="AJ17" i="86"/>
  <c r="O92" i="98"/>
  <c r="W245" i="44"/>
  <c r="W220" i="44"/>
  <c r="W225" i="44" s="1"/>
  <c r="W226" i="44" s="1"/>
  <c r="W129" i="44"/>
  <c r="W133" i="44" s="1"/>
  <c r="AG91" i="41"/>
  <c r="AG38" i="40"/>
  <c r="AG42" i="40" s="1"/>
  <c r="AH23" i="40"/>
  <c r="AH26" i="40"/>
  <c r="AH32" i="40" s="1"/>
  <c r="W237" i="44"/>
  <c r="W242" i="44" s="1"/>
  <c r="W243" i="44" s="1"/>
  <c r="AA74" i="98"/>
  <c r="S90" i="112"/>
  <c r="T89" i="112"/>
  <c r="I26" i="112"/>
  <c r="AS26" i="112" s="1"/>
  <c r="I9" i="112"/>
  <c r="J7" i="112"/>
  <c r="H101" i="112"/>
  <c r="AR25" i="112"/>
  <c r="AR77" i="112" s="1"/>
  <c r="H87" i="112"/>
  <c r="H88" i="112" s="1"/>
  <c r="M141" i="112"/>
  <c r="I145" i="112"/>
  <c r="CH41" i="90"/>
  <c r="AE123" i="44"/>
  <c r="AE207" i="44"/>
  <c r="AE209" i="44"/>
  <c r="AE126" i="44"/>
  <c r="AE205" i="44"/>
  <c r="AE122" i="44"/>
  <c r="CI55" i="90"/>
  <c r="CT55" i="90" s="1"/>
  <c r="AG59" i="56" s="1"/>
  <c r="CI79" i="90"/>
  <c r="CT79" i="90" s="1"/>
  <c r="AG83" i="56" s="1"/>
  <c r="CI103" i="90"/>
  <c r="CT103" i="90" s="1"/>
  <c r="AG107" i="56" s="1"/>
  <c r="AH15" i="40"/>
  <c r="CI61" i="90"/>
  <c r="CT61" i="90" s="1"/>
  <c r="AG65" i="56" s="1"/>
  <c r="CI85" i="90"/>
  <c r="CT85" i="90" s="1"/>
  <c r="AG89" i="56" s="1"/>
  <c r="CI109" i="90"/>
  <c r="CT109" i="90" s="1"/>
  <c r="AG113" i="56" s="1"/>
  <c r="CI133" i="90"/>
  <c r="CI54" i="90"/>
  <c r="CT54" i="90" s="1"/>
  <c r="AG58" i="56" s="1"/>
  <c r="CI78" i="90"/>
  <c r="CT78" i="90" s="1"/>
  <c r="AG82" i="56" s="1"/>
  <c r="CI102" i="90"/>
  <c r="CT102" i="90" s="1"/>
  <c r="AG106" i="56" s="1"/>
  <c r="CI126" i="90"/>
  <c r="CT126" i="90" s="1"/>
  <c r="AG130" i="56" s="1"/>
  <c r="CI48" i="90"/>
  <c r="CT48" i="90" s="1"/>
  <c r="AG52" i="56" s="1"/>
  <c r="CI71" i="90"/>
  <c r="CT71" i="90" s="1"/>
  <c r="AG75" i="56" s="1"/>
  <c r="CI95" i="90"/>
  <c r="CT95" i="90" s="1"/>
  <c r="AG99" i="56" s="1"/>
  <c r="CI119" i="90"/>
  <c r="CT119" i="90" s="1"/>
  <c r="AG123" i="56" s="1"/>
  <c r="CI47" i="90"/>
  <c r="CT47" i="90" s="1"/>
  <c r="AG51" i="56" s="1"/>
  <c r="CI76" i="90"/>
  <c r="CT76" i="90" s="1"/>
  <c r="AG80" i="56" s="1"/>
  <c r="CI100" i="90"/>
  <c r="CT100" i="90" s="1"/>
  <c r="AG104" i="56" s="1"/>
  <c r="CI124" i="90"/>
  <c r="CT124" i="90" s="1"/>
  <c r="AG128" i="56" s="1"/>
  <c r="CI57" i="90"/>
  <c r="CT57" i="90" s="1"/>
  <c r="AG61" i="56" s="1"/>
  <c r="CI81" i="90"/>
  <c r="CT81" i="90" s="1"/>
  <c r="AG85" i="56" s="1"/>
  <c r="CI105" i="90"/>
  <c r="CT105" i="90" s="1"/>
  <c r="AG109" i="56" s="1"/>
  <c r="CI129" i="90"/>
  <c r="CI62" i="90"/>
  <c r="CT62" i="90" s="1"/>
  <c r="AG66" i="56" s="1"/>
  <c r="CI86" i="90"/>
  <c r="CT86" i="90" s="1"/>
  <c r="AG90" i="56" s="1"/>
  <c r="CI110" i="90"/>
  <c r="CT110" i="90" s="1"/>
  <c r="AG114" i="56" s="1"/>
  <c r="CI134" i="90"/>
  <c r="CI46" i="90"/>
  <c r="CT46" i="90" s="1"/>
  <c r="AG50" i="56" s="1"/>
  <c r="CI50" i="90"/>
  <c r="CT50" i="90" s="1"/>
  <c r="AG54" i="56" s="1"/>
  <c r="CI97" i="90"/>
  <c r="CT97" i="90" s="1"/>
  <c r="AG101" i="56" s="1"/>
  <c r="CI139" i="90"/>
  <c r="CI66" i="90"/>
  <c r="CT66" i="90" s="1"/>
  <c r="AG70" i="56" s="1"/>
  <c r="CI96" i="90"/>
  <c r="CT96" i="90" s="1"/>
  <c r="AG100" i="56" s="1"/>
  <c r="CI132" i="90"/>
  <c r="CI59" i="90"/>
  <c r="CT59" i="90" s="1"/>
  <c r="AG63" i="56" s="1"/>
  <c r="CI89" i="90"/>
  <c r="CT89" i="90" s="1"/>
  <c r="AG93" i="56" s="1"/>
  <c r="CI125" i="90"/>
  <c r="CT125" i="90" s="1"/>
  <c r="AG129" i="56" s="1"/>
  <c r="CI64" i="90"/>
  <c r="CT64" i="90" s="1"/>
  <c r="AG68" i="56" s="1"/>
  <c r="CI94" i="90"/>
  <c r="CT94" i="90" s="1"/>
  <c r="AG98" i="56" s="1"/>
  <c r="CI130" i="90"/>
  <c r="CI69" i="90"/>
  <c r="CT69" i="90" s="1"/>
  <c r="AG73" i="56" s="1"/>
  <c r="CI99" i="90"/>
  <c r="CT99" i="90" s="1"/>
  <c r="AG103" i="56" s="1"/>
  <c r="CI135" i="90"/>
  <c r="CI74" i="90"/>
  <c r="CT74" i="90" s="1"/>
  <c r="AG78" i="56" s="1"/>
  <c r="CI104" i="90"/>
  <c r="CT104" i="90" s="1"/>
  <c r="AG108" i="56" s="1"/>
  <c r="CI140" i="90"/>
  <c r="CI67" i="90"/>
  <c r="CT67" i="90" s="1"/>
  <c r="AG71" i="56" s="1"/>
  <c r="CI115" i="90"/>
  <c r="CT115" i="90" s="1"/>
  <c r="AG119" i="56" s="1"/>
  <c r="CI43" i="90"/>
  <c r="CT43" i="90" s="1"/>
  <c r="AG47" i="56" s="1"/>
  <c r="CI72" i="90"/>
  <c r="CT72" i="90" s="1"/>
  <c r="AG76" i="56" s="1"/>
  <c r="CI108" i="90"/>
  <c r="CT108" i="90" s="1"/>
  <c r="AG112" i="56" s="1"/>
  <c r="CI138" i="90"/>
  <c r="CI65" i="90"/>
  <c r="CT65" i="90" s="1"/>
  <c r="AG69" i="56" s="1"/>
  <c r="CI101" i="90"/>
  <c r="CT101" i="90" s="1"/>
  <c r="AG105" i="56" s="1"/>
  <c r="CI131" i="90"/>
  <c r="CI70" i="90"/>
  <c r="CT70" i="90" s="1"/>
  <c r="AG74" i="56" s="1"/>
  <c r="CI106" i="90"/>
  <c r="CT106" i="90" s="1"/>
  <c r="AG110" i="56" s="1"/>
  <c r="CI136" i="90"/>
  <c r="CI75" i="90"/>
  <c r="CT75" i="90" s="1"/>
  <c r="AG79" i="56" s="1"/>
  <c r="CI111" i="90"/>
  <c r="CT111" i="90" s="1"/>
  <c r="AG115" i="56" s="1"/>
  <c r="CI141" i="90"/>
  <c r="CI80" i="90"/>
  <c r="CT80" i="90" s="1"/>
  <c r="AG84" i="56" s="1"/>
  <c r="CI116" i="90"/>
  <c r="CT116" i="90" s="1"/>
  <c r="AG120" i="56" s="1"/>
  <c r="CI45" i="90"/>
  <c r="CT45" i="90" s="1"/>
  <c r="AG49" i="56" s="1"/>
  <c r="CI73" i="90"/>
  <c r="CT73" i="90" s="1"/>
  <c r="AG77" i="56" s="1"/>
  <c r="CI121" i="90"/>
  <c r="CT121" i="90" s="1"/>
  <c r="AG125" i="56" s="1"/>
  <c r="CI49" i="90"/>
  <c r="CT49" i="90" s="1"/>
  <c r="AG53" i="56" s="1"/>
  <c r="CI84" i="90"/>
  <c r="CT84" i="90" s="1"/>
  <c r="AG88" i="56" s="1"/>
  <c r="CI114" i="90"/>
  <c r="CT114" i="90" s="1"/>
  <c r="AG118" i="56" s="1"/>
  <c r="CI42" i="90"/>
  <c r="CT42" i="90" s="1"/>
  <c r="CI77" i="90"/>
  <c r="CT77" i="90" s="1"/>
  <c r="AG81" i="56" s="1"/>
  <c r="CI107" i="90"/>
  <c r="CT107" i="90" s="1"/>
  <c r="AG111" i="56" s="1"/>
  <c r="CI137" i="90"/>
  <c r="CI82" i="90"/>
  <c r="CT82" i="90" s="1"/>
  <c r="AG86" i="56" s="1"/>
  <c r="CI112" i="90"/>
  <c r="CT112" i="90" s="1"/>
  <c r="AG116" i="56" s="1"/>
  <c r="CI142" i="90"/>
  <c r="CI87" i="90"/>
  <c r="CT87" i="90" s="1"/>
  <c r="AG91" i="56" s="1"/>
  <c r="CI117" i="90"/>
  <c r="CT117" i="90" s="1"/>
  <c r="AG121" i="56" s="1"/>
  <c r="CI56" i="90"/>
  <c r="CT56" i="90" s="1"/>
  <c r="AG60" i="56" s="1"/>
  <c r="CI92" i="90"/>
  <c r="CT92" i="90" s="1"/>
  <c r="AG96" i="56" s="1"/>
  <c r="CI122" i="90"/>
  <c r="CT122" i="90" s="1"/>
  <c r="AG126" i="56" s="1"/>
  <c r="CI51" i="90"/>
  <c r="CT51" i="90" s="1"/>
  <c r="AG55" i="56" s="1"/>
  <c r="CI44" i="90"/>
  <c r="CT44" i="90" s="1"/>
  <c r="AG48" i="56" s="1"/>
  <c r="CI90" i="90"/>
  <c r="CT90" i="90" s="1"/>
  <c r="AG94" i="56" s="1"/>
  <c r="CI113" i="90"/>
  <c r="CT113" i="90" s="1"/>
  <c r="AG117" i="56" s="1"/>
  <c r="CI63" i="90"/>
  <c r="CT63" i="90" s="1"/>
  <c r="AG67" i="56" s="1"/>
  <c r="CI98" i="90"/>
  <c r="CT98" i="90" s="1"/>
  <c r="AG102" i="56" s="1"/>
  <c r="AG85" i="41"/>
  <c r="CI91" i="90"/>
  <c r="CT91" i="90" s="1"/>
  <c r="AG95" i="56" s="1"/>
  <c r="CI120" i="90"/>
  <c r="CT120" i="90" s="1"/>
  <c r="AG124" i="56" s="1"/>
  <c r="CI58" i="90"/>
  <c r="CT58" i="90" s="1"/>
  <c r="AG62" i="56" s="1"/>
  <c r="CI93" i="90"/>
  <c r="CT93" i="90" s="1"/>
  <c r="AG97" i="56" s="1"/>
  <c r="CI128" i="90"/>
  <c r="CI60" i="90"/>
  <c r="CT60" i="90" s="1"/>
  <c r="AG64" i="56" s="1"/>
  <c r="CI118" i="90"/>
  <c r="CT118" i="90" s="1"/>
  <c r="AG122" i="56" s="1"/>
  <c r="CI127" i="90"/>
  <c r="CI53" i="90"/>
  <c r="CT53" i="90" s="1"/>
  <c r="AG57" i="56" s="1"/>
  <c r="CI88" i="90"/>
  <c r="CT88" i="90" s="1"/>
  <c r="AG92" i="56" s="1"/>
  <c r="CI123" i="90"/>
  <c r="CT123" i="90" s="1"/>
  <c r="AG127" i="56" s="1"/>
  <c r="AG39" i="93"/>
  <c r="CI83" i="90"/>
  <c r="CT83" i="90" s="1"/>
  <c r="AG87" i="56" s="1"/>
  <c r="CI68" i="90"/>
  <c r="CT68" i="90" s="1"/>
  <c r="AG72" i="56" s="1"/>
  <c r="AE249" i="44"/>
  <c r="AE125" i="44"/>
  <c r="AE206" i="44"/>
  <c r="AE248" i="44"/>
  <c r="AE124" i="44"/>
  <c r="AE49" i="114"/>
  <c r="AF41" i="93"/>
  <c r="AF110" i="41"/>
  <c r="AF109" i="41"/>
  <c r="AF186" i="44"/>
  <c r="AF99" i="44"/>
  <c r="AF84" i="44"/>
  <c r="AF188" i="44"/>
  <c r="AF83" i="44"/>
  <c r="AF191" i="44"/>
  <c r="AF193" i="44"/>
  <c r="AF108" i="41"/>
  <c r="AF86" i="44"/>
  <c r="AF90" i="44"/>
  <c r="AF89" i="44"/>
  <c r="AF137" i="44" s="1"/>
  <c r="AF136" i="44"/>
  <c r="AF96" i="44"/>
  <c r="AF87" i="44"/>
  <c r="AF85" i="44"/>
  <c r="AJ44" i="40"/>
  <c r="J145" i="112"/>
  <c r="J26" i="112"/>
  <c r="J29" i="112"/>
  <c r="N108" i="112"/>
  <c r="I70" i="112"/>
  <c r="I78" i="112" s="1"/>
  <c r="I71" i="112"/>
  <c r="I81" i="112" s="1"/>
  <c r="K144" i="112"/>
  <c r="K66" i="112" s="1"/>
  <c r="J66" i="112"/>
  <c r="L135" i="112"/>
  <c r="L143" i="112" s="1"/>
  <c r="L142" i="112"/>
  <c r="N107" i="112"/>
  <c r="N140" i="112" s="1"/>
  <c r="M136" i="112"/>
  <c r="M137" i="112" s="1"/>
  <c r="M134" i="112"/>
  <c r="M138" i="112"/>
  <c r="M139" i="112" s="1"/>
  <c r="AS28" i="112"/>
  <c r="I30" i="112"/>
  <c r="AS29" i="112" s="1"/>
  <c r="D71" i="112"/>
  <c r="D81" i="112" s="1"/>
  <c r="D70" i="112"/>
  <c r="D78" i="112" s="1"/>
  <c r="AO26" i="112"/>
  <c r="AR26" i="112"/>
  <c r="H27" i="112"/>
  <c r="AR27" i="112" s="1"/>
  <c r="AP78" i="112"/>
  <c r="F93" i="112"/>
  <c r="H30" i="112"/>
  <c r="AR29" i="112" s="1"/>
  <c r="AR28" i="112"/>
  <c r="H93" i="112"/>
  <c r="AR78" i="112"/>
  <c r="F29" i="112"/>
  <c r="F26" i="112"/>
  <c r="G27" i="112" s="1"/>
  <c r="AQ27" i="112" s="1"/>
  <c r="AP80" i="112"/>
  <c r="F96" i="112"/>
  <c r="AQ28" i="112"/>
  <c r="G71" i="112"/>
  <c r="G81" i="112" s="1"/>
  <c r="G70" i="112"/>
  <c r="G78" i="112" s="1"/>
  <c r="D145" i="112"/>
  <c r="AQ26" i="112"/>
  <c r="D21" i="112"/>
  <c r="AR80" i="112"/>
  <c r="H96" i="112"/>
  <c r="E71" i="112"/>
  <c r="E81" i="112" s="1"/>
  <c r="F82" i="112" s="1"/>
  <c r="AP81" i="112" s="1"/>
  <c r="E70" i="112"/>
  <c r="E78" i="112" s="1"/>
  <c r="F79" i="112" s="1"/>
  <c r="AP79" i="112" s="1"/>
  <c r="AO28" i="112"/>
  <c r="W13" i="45"/>
  <c r="X24" i="45"/>
  <c r="W79" i="41"/>
  <c r="Y75" i="41"/>
  <c r="Y49" i="41"/>
  <c r="AB75" i="41"/>
  <c r="AB49" i="41"/>
  <c r="W71" i="41"/>
  <c r="W43" i="41"/>
  <c r="W45" i="41" s="1"/>
  <c r="W232" i="44" s="1"/>
  <c r="W234" i="44" s="1"/>
  <c r="W235" i="44" s="1"/>
  <c r="AB29" i="30"/>
  <c r="AA73" i="98"/>
  <c r="F37" i="98"/>
  <c r="AB19" i="42"/>
  <c r="H97" i="98"/>
  <c r="AB30" i="30"/>
  <c r="AA26" i="114" s="1"/>
  <c r="AA75" i="41"/>
  <c r="AA49" i="41"/>
  <c r="X75" i="41"/>
  <c r="X49" i="41"/>
  <c r="W75" i="41"/>
  <c r="W49" i="41"/>
  <c r="Z75" i="41"/>
  <c r="Z49" i="41"/>
  <c r="AD54" i="41"/>
  <c r="AC62" i="41"/>
  <c r="W537" i="57" l="1"/>
  <c r="I27" i="112"/>
  <c r="AS27" i="112" s="1"/>
  <c r="AI506" i="57"/>
  <c r="AC506" i="57"/>
  <c r="AE506" i="57"/>
  <c r="AH506" i="57"/>
  <c r="AA506" i="57"/>
  <c r="AB506" i="57"/>
  <c r="AK506" i="57"/>
  <c r="AJ506" i="57"/>
  <c r="Z506" i="57"/>
  <c r="AG506" i="57"/>
  <c r="AF506" i="57"/>
  <c r="Y506" i="57"/>
  <c r="I560" i="57"/>
  <c r="AD506" i="57"/>
  <c r="X506" i="57"/>
  <c r="W506" i="57"/>
  <c r="AL506" i="57"/>
  <c r="AB537" i="57"/>
  <c r="AL537" i="57"/>
  <c r="Z537" i="57"/>
  <c r="AE139" i="44"/>
  <c r="Z516" i="36"/>
  <c r="Z490" i="36"/>
  <c r="Z515" i="36"/>
  <c r="AC515" i="36"/>
  <c r="AC490" i="36"/>
  <c r="AB490" i="36"/>
  <c r="AK537" i="57"/>
  <c r="AJ496" i="57"/>
  <c r="AJ542" i="57"/>
  <c r="AJ543" i="57"/>
  <c r="AJ541" i="57"/>
  <c r="AA515" i="36"/>
  <c r="AA490" i="36"/>
  <c r="Z497" i="57"/>
  <c r="AG497" i="57"/>
  <c r="AF496" i="57"/>
  <c r="AF542" i="57"/>
  <c r="AF541" i="57"/>
  <c r="AF543" i="57"/>
  <c r="AE496" i="57"/>
  <c r="AE542" i="57"/>
  <c r="AE543" i="57"/>
  <c r="AE541" i="57"/>
  <c r="X496" i="57"/>
  <c r="X542" i="57"/>
  <c r="X541" i="57"/>
  <c r="X543" i="57"/>
  <c r="Y497" i="57"/>
  <c r="Y549" i="57"/>
  <c r="AB536" i="57"/>
  <c r="Z496" i="57"/>
  <c r="Z542" i="57"/>
  <c r="Z541" i="57"/>
  <c r="Z543" i="57"/>
  <c r="AI549" i="57"/>
  <c r="AI497" i="57"/>
  <c r="AH497" i="57"/>
  <c r="AH549" i="57" s="1"/>
  <c r="AG516" i="36"/>
  <c r="AD496" i="57"/>
  <c r="AD542" i="57"/>
  <c r="AD545" i="57" s="1"/>
  <c r="AD543" i="57"/>
  <c r="AD541" i="57"/>
  <c r="AD486" i="36"/>
  <c r="AD511" i="36"/>
  <c r="AB497" i="57"/>
  <c r="AB549" i="57" s="1"/>
  <c r="AI504" i="57"/>
  <c r="AA504" i="57"/>
  <c r="W504" i="57"/>
  <c r="AH504" i="57"/>
  <c r="AJ504" i="57"/>
  <c r="AD504" i="57"/>
  <c r="AB504" i="57"/>
  <c r="AB509" i="57" s="1"/>
  <c r="AK504" i="57"/>
  <c r="AE504" i="57"/>
  <c r="Z504" i="57"/>
  <c r="AL504" i="57"/>
  <c r="AC504" i="57"/>
  <c r="X504" i="57"/>
  <c r="AF504" i="57"/>
  <c r="I558" i="57"/>
  <c r="AG504" i="57"/>
  <c r="Y504" i="57"/>
  <c r="AF490" i="36"/>
  <c r="AA496" i="57"/>
  <c r="AA542" i="57"/>
  <c r="AA545" i="57" s="1"/>
  <c r="AA543" i="57"/>
  <c r="AA541" i="57"/>
  <c r="AA546" i="57" s="1"/>
  <c r="AD536" i="57"/>
  <c r="AH537" i="57"/>
  <c r="W515" i="36"/>
  <c r="W490" i="36"/>
  <c r="AF511" i="36"/>
  <c r="AF486" i="36"/>
  <c r="AK497" i="57"/>
  <c r="AK549" i="57" s="1"/>
  <c r="AA497" i="57"/>
  <c r="AA549" i="57" s="1"/>
  <c r="AA509" i="57"/>
  <c r="AA539" i="57" s="1"/>
  <c r="AE487" i="36"/>
  <c r="W516" i="36"/>
  <c r="AA516" i="36"/>
  <c r="AI512" i="36"/>
  <c r="AI511" i="36"/>
  <c r="AI486" i="36"/>
  <c r="AI510" i="36"/>
  <c r="Z545" i="57"/>
  <c r="AK516" i="36"/>
  <c r="AK490" i="36"/>
  <c r="AC496" i="57"/>
  <c r="AC542" i="57"/>
  <c r="AC545" i="57" s="1"/>
  <c r="AC543" i="57"/>
  <c r="AC541" i="57"/>
  <c r="AL496" i="57"/>
  <c r="AL542" i="57"/>
  <c r="AL545" i="57" s="1"/>
  <c r="AL541" i="57"/>
  <c r="AL543" i="57"/>
  <c r="AF536" i="57"/>
  <c r="AC497" i="57"/>
  <c r="AL549" i="57"/>
  <c r="AL497" i="57"/>
  <c r="AI509" i="57"/>
  <c r="AI539" i="57" s="1"/>
  <c r="AB516" i="36"/>
  <c r="AC516" i="36"/>
  <c r="AC509" i="57"/>
  <c r="AC539" i="57" s="1"/>
  <c r="AG496" i="57"/>
  <c r="AG542" i="57"/>
  <c r="AG545" i="57" s="1"/>
  <c r="AG543" i="57"/>
  <c r="AG541" i="57"/>
  <c r="AH496" i="57"/>
  <c r="AH542" i="57"/>
  <c r="AH545" i="57" s="1"/>
  <c r="AH543" i="57"/>
  <c r="AH541" i="57"/>
  <c r="AG490" i="36"/>
  <c r="Y496" i="57"/>
  <c r="Y542" i="57"/>
  <c r="Y545" i="57" s="1"/>
  <c r="Y543" i="57"/>
  <c r="Y541" i="57"/>
  <c r="Y516" i="36"/>
  <c r="Y490" i="36"/>
  <c r="AB496" i="57"/>
  <c r="AB542" i="57"/>
  <c r="AB545" i="57" s="1"/>
  <c r="AB543" i="57"/>
  <c r="AB541" i="57"/>
  <c r="AJ497" i="57"/>
  <c r="AJ549" i="57"/>
  <c r="AE497" i="57"/>
  <c r="AE549" i="57" s="1"/>
  <c r="AI496" i="57"/>
  <c r="AI542" i="57"/>
  <c r="AI541" i="57"/>
  <c r="AI543" i="57"/>
  <c r="AL487" i="36"/>
  <c r="AI537" i="57"/>
  <c r="AJ537" i="57"/>
  <c r="AD537" i="57"/>
  <c r="AH516" i="36"/>
  <c r="AH490" i="36"/>
  <c r="AC537" i="57"/>
  <c r="E11" i="98"/>
  <c r="D11" i="98"/>
  <c r="AJ509" i="57"/>
  <c r="AJ539" i="57" s="1"/>
  <c r="Y537" i="57"/>
  <c r="W496" i="57"/>
  <c r="W542" i="57"/>
  <c r="W545" i="57" s="1"/>
  <c r="W541" i="57"/>
  <c r="W546" i="57" s="1"/>
  <c r="W543" i="57"/>
  <c r="AC512" i="36"/>
  <c r="AC486" i="36"/>
  <c r="AC511" i="36"/>
  <c r="AD497" i="57"/>
  <c r="W497" i="57"/>
  <c r="W549" i="57" s="1"/>
  <c r="AI540" i="57"/>
  <c r="AI545" i="57" s="1"/>
  <c r="AF516" i="36"/>
  <c r="I520" i="36"/>
  <c r="AB493" i="36"/>
  <c r="AA493" i="36"/>
  <c r="AA491" i="36" s="1"/>
  <c r="AF493" i="36"/>
  <c r="AF495" i="36" s="1"/>
  <c r="AF510" i="36" s="1"/>
  <c r="AI493" i="36"/>
  <c r="AI491" i="36" s="1"/>
  <c r="AE493" i="36"/>
  <c r="AJ493" i="36"/>
  <c r="AJ495" i="36" s="1"/>
  <c r="Z493" i="36"/>
  <c r="Z491" i="36" s="1"/>
  <c r="Z519" i="36" s="1"/>
  <c r="Y493" i="36"/>
  <c r="Y495" i="36" s="1"/>
  <c r="Y514" i="36" s="1"/>
  <c r="X493" i="36"/>
  <c r="X491" i="36" s="1"/>
  <c r="AC493" i="36"/>
  <c r="AC495" i="36" s="1"/>
  <c r="AG493" i="36"/>
  <c r="AG491" i="36" s="1"/>
  <c r="W493" i="36"/>
  <c r="AH493" i="36"/>
  <c r="AL493" i="36"/>
  <c r="AL491" i="36" s="1"/>
  <c r="AK493" i="36"/>
  <c r="AK491" i="36" s="1"/>
  <c r="AD493" i="36"/>
  <c r="AD491" i="36" s="1"/>
  <c r="AH491" i="36"/>
  <c r="AH519" i="36" s="1"/>
  <c r="AB491" i="36"/>
  <c r="AA537" i="57"/>
  <c r="AD487" i="36"/>
  <c r="AD495" i="36"/>
  <c r="AJ490" i="36"/>
  <c r="AJ514" i="36"/>
  <c r="AB515" i="36"/>
  <c r="AJ540" i="57"/>
  <c r="AJ545" i="57" s="1"/>
  <c r="AI487" i="36"/>
  <c r="AF497" i="57"/>
  <c r="AF549" i="57" s="1"/>
  <c r="X497" i="57"/>
  <c r="X549" i="57" s="1"/>
  <c r="AF545" i="57"/>
  <c r="AJ516" i="36"/>
  <c r="AK496" i="57"/>
  <c r="AK542" i="57"/>
  <c r="AK545" i="57" s="1"/>
  <c r="AK543" i="57"/>
  <c r="AK541" i="57"/>
  <c r="AK546" i="57" s="1"/>
  <c r="AE545" i="57"/>
  <c r="X487" i="36"/>
  <c r="X516" i="36" s="1"/>
  <c r="X540" i="57"/>
  <c r="X545" i="57" s="1"/>
  <c r="AI495" i="36"/>
  <c r="W143" i="44"/>
  <c r="W156" i="44" s="1"/>
  <c r="W157" i="44" s="1"/>
  <c r="X155" i="44" s="1"/>
  <c r="X187" i="44" s="1"/>
  <c r="W111" i="44"/>
  <c r="W246" i="44"/>
  <c r="W251" i="44" s="1"/>
  <c r="W252" i="44" s="1"/>
  <c r="AF168" i="44"/>
  <c r="AF112" i="41"/>
  <c r="AG46" i="56"/>
  <c r="AG45" i="56" s="1"/>
  <c r="AG19" i="56" s="1"/>
  <c r="CT41" i="90"/>
  <c r="AD54" i="86"/>
  <c r="AC61" i="86"/>
  <c r="M89" i="98"/>
  <c r="AJ79" i="98"/>
  <c r="M86" i="98"/>
  <c r="AJ82" i="98"/>
  <c r="AH15" i="86"/>
  <c r="M97" i="98"/>
  <c r="AK17" i="86"/>
  <c r="P92" i="98"/>
  <c r="AH91" i="41"/>
  <c r="AH38" i="40"/>
  <c r="AH42" i="40" s="1"/>
  <c r="AI23" i="40"/>
  <c r="AI26" i="40"/>
  <c r="AI32" i="40" s="1"/>
  <c r="N141" i="112"/>
  <c r="U89" i="112"/>
  <c r="T90" i="112"/>
  <c r="I87" i="112"/>
  <c r="I88" i="112" s="1"/>
  <c r="I101" i="112"/>
  <c r="AS25" i="112"/>
  <c r="AS77" i="112" s="1"/>
  <c r="J9" i="112"/>
  <c r="K7" i="112"/>
  <c r="AK44" i="40"/>
  <c r="AF139" i="44"/>
  <c r="AF247" i="44"/>
  <c r="CJ62" i="90"/>
  <c r="CU62" i="90" s="1"/>
  <c r="AH66" i="56" s="1"/>
  <c r="CJ86" i="90"/>
  <c r="CU86" i="90" s="1"/>
  <c r="AH90" i="56" s="1"/>
  <c r="CJ110" i="90"/>
  <c r="CU110" i="90" s="1"/>
  <c r="AH114" i="56" s="1"/>
  <c r="CJ134" i="90"/>
  <c r="CJ55" i="90"/>
  <c r="CU55" i="90" s="1"/>
  <c r="AH59" i="56" s="1"/>
  <c r="CJ79" i="90"/>
  <c r="CU79" i="90" s="1"/>
  <c r="AH83" i="56" s="1"/>
  <c r="CJ103" i="90"/>
  <c r="CU103" i="90" s="1"/>
  <c r="AH107" i="56" s="1"/>
  <c r="CJ127" i="90"/>
  <c r="CJ49" i="90"/>
  <c r="CU49" i="90" s="1"/>
  <c r="AH53" i="56" s="1"/>
  <c r="CJ72" i="90"/>
  <c r="CU72" i="90" s="1"/>
  <c r="AH76" i="56" s="1"/>
  <c r="CJ96" i="90"/>
  <c r="CU96" i="90" s="1"/>
  <c r="AH100" i="56" s="1"/>
  <c r="CJ120" i="90"/>
  <c r="CU120" i="90" s="1"/>
  <c r="AH124" i="56" s="1"/>
  <c r="CJ64" i="90"/>
  <c r="CU64" i="90" s="1"/>
  <c r="AH68" i="56" s="1"/>
  <c r="CJ59" i="90"/>
  <c r="CU59" i="90" s="1"/>
  <c r="AH63" i="56" s="1"/>
  <c r="CJ83" i="90"/>
  <c r="CU83" i="90" s="1"/>
  <c r="AH87" i="56" s="1"/>
  <c r="AI15" i="40"/>
  <c r="CJ80" i="90"/>
  <c r="CU80" i="90" s="1"/>
  <c r="AH84" i="56" s="1"/>
  <c r="CJ116" i="90"/>
  <c r="CU116" i="90" s="1"/>
  <c r="AH120" i="56" s="1"/>
  <c r="CJ44" i="90"/>
  <c r="CU44" i="90" s="1"/>
  <c r="AH48" i="56" s="1"/>
  <c r="CJ73" i="90"/>
  <c r="CU73" i="90" s="1"/>
  <c r="AH77" i="56" s="1"/>
  <c r="CJ109" i="90"/>
  <c r="CU109" i="90" s="1"/>
  <c r="AH113" i="56" s="1"/>
  <c r="CJ139" i="90"/>
  <c r="CJ66" i="90"/>
  <c r="CU66" i="90" s="1"/>
  <c r="AH70" i="56" s="1"/>
  <c r="CJ102" i="90"/>
  <c r="CU102" i="90" s="1"/>
  <c r="AH106" i="56" s="1"/>
  <c r="CJ132" i="90"/>
  <c r="CJ53" i="90"/>
  <c r="CU53" i="90" s="1"/>
  <c r="AH57" i="56" s="1"/>
  <c r="CJ89" i="90"/>
  <c r="CU89" i="90" s="1"/>
  <c r="AH93" i="56" s="1"/>
  <c r="CJ113" i="90"/>
  <c r="CU113" i="90" s="1"/>
  <c r="AH117" i="56" s="1"/>
  <c r="CJ137" i="90"/>
  <c r="CJ51" i="90"/>
  <c r="CU51" i="90" s="1"/>
  <c r="AH55" i="56" s="1"/>
  <c r="CJ69" i="90"/>
  <c r="CU69" i="90" s="1"/>
  <c r="AH73" i="56" s="1"/>
  <c r="CJ111" i="90"/>
  <c r="CU111" i="90" s="1"/>
  <c r="AH115" i="56" s="1"/>
  <c r="CJ99" i="90"/>
  <c r="CU99" i="90" s="1"/>
  <c r="AH103" i="56" s="1"/>
  <c r="CJ63" i="90"/>
  <c r="CU63" i="90" s="1"/>
  <c r="AH67" i="56" s="1"/>
  <c r="CJ129" i="90"/>
  <c r="CJ57" i="90"/>
  <c r="CU57" i="90" s="1"/>
  <c r="AH61" i="56" s="1"/>
  <c r="CJ58" i="90"/>
  <c r="CU58" i="90" s="1"/>
  <c r="AH62" i="56" s="1"/>
  <c r="CJ56" i="90"/>
  <c r="CU56" i="90" s="1"/>
  <c r="AH60" i="56" s="1"/>
  <c r="CJ92" i="90"/>
  <c r="CU92" i="90" s="1"/>
  <c r="AH96" i="56" s="1"/>
  <c r="CJ122" i="90"/>
  <c r="CU122" i="90" s="1"/>
  <c r="AH126" i="56" s="1"/>
  <c r="CJ50" i="90"/>
  <c r="CU50" i="90" s="1"/>
  <c r="AH54" i="56" s="1"/>
  <c r="CJ85" i="90"/>
  <c r="CU85" i="90" s="1"/>
  <c r="AH89" i="56" s="1"/>
  <c r="CJ115" i="90"/>
  <c r="CU115" i="90" s="1"/>
  <c r="AH119" i="56" s="1"/>
  <c r="CJ43" i="90"/>
  <c r="CU43" i="90" s="1"/>
  <c r="AH47" i="56" s="1"/>
  <c r="CJ78" i="90"/>
  <c r="CU78" i="90" s="1"/>
  <c r="AH82" i="56" s="1"/>
  <c r="CJ108" i="90"/>
  <c r="CU108" i="90" s="1"/>
  <c r="AH112" i="56" s="1"/>
  <c r="CJ138" i="90"/>
  <c r="CJ65" i="90"/>
  <c r="CU65" i="90" s="1"/>
  <c r="AH69" i="56" s="1"/>
  <c r="CJ95" i="90"/>
  <c r="CU95" i="90" s="1"/>
  <c r="AH99" i="56" s="1"/>
  <c r="CJ119" i="90"/>
  <c r="CU119" i="90" s="1"/>
  <c r="AH123" i="56" s="1"/>
  <c r="CJ47" i="90"/>
  <c r="CU47" i="90" s="1"/>
  <c r="AH51" i="56" s="1"/>
  <c r="CJ76" i="90"/>
  <c r="CU76" i="90" s="1"/>
  <c r="AH80" i="56" s="1"/>
  <c r="CJ105" i="90"/>
  <c r="CU105" i="90" s="1"/>
  <c r="AH109" i="56" s="1"/>
  <c r="CJ70" i="90"/>
  <c r="CU70" i="90" s="1"/>
  <c r="AH74" i="56" s="1"/>
  <c r="CJ135" i="90"/>
  <c r="CJ100" i="90"/>
  <c r="CU100" i="90" s="1"/>
  <c r="AH104" i="56" s="1"/>
  <c r="CJ124" i="90"/>
  <c r="CU124" i="90" s="1"/>
  <c r="AH128" i="56" s="1"/>
  <c r="CJ94" i="90"/>
  <c r="CU94" i="90" s="1"/>
  <c r="AH98" i="56" s="1"/>
  <c r="CJ75" i="90"/>
  <c r="CU75" i="90" s="1"/>
  <c r="AH79" i="56" s="1"/>
  <c r="CJ68" i="90"/>
  <c r="CU68" i="90" s="1"/>
  <c r="AH72" i="56" s="1"/>
  <c r="CJ98" i="90"/>
  <c r="CU98" i="90" s="1"/>
  <c r="AH102" i="56" s="1"/>
  <c r="CJ128" i="90"/>
  <c r="CJ61" i="90"/>
  <c r="CU61" i="90" s="1"/>
  <c r="AH65" i="56" s="1"/>
  <c r="CJ91" i="90"/>
  <c r="CU91" i="90" s="1"/>
  <c r="AH95" i="56" s="1"/>
  <c r="CJ121" i="90"/>
  <c r="CU121" i="90" s="1"/>
  <c r="AH125" i="56" s="1"/>
  <c r="CJ54" i="90"/>
  <c r="CU54" i="90" s="1"/>
  <c r="AH58" i="56" s="1"/>
  <c r="CJ84" i="90"/>
  <c r="CU84" i="90" s="1"/>
  <c r="AH88" i="56" s="1"/>
  <c r="CJ114" i="90"/>
  <c r="CU114" i="90" s="1"/>
  <c r="AH118" i="56" s="1"/>
  <c r="CJ42" i="90"/>
  <c r="CU42" i="90" s="1"/>
  <c r="CJ71" i="90"/>
  <c r="CU71" i="90" s="1"/>
  <c r="AH75" i="56" s="1"/>
  <c r="CJ101" i="90"/>
  <c r="CU101" i="90" s="1"/>
  <c r="AH105" i="56" s="1"/>
  <c r="CJ125" i="90"/>
  <c r="CU125" i="90" s="1"/>
  <c r="AH129" i="56" s="1"/>
  <c r="CJ46" i="90"/>
  <c r="CU46" i="90" s="1"/>
  <c r="AH50" i="56" s="1"/>
  <c r="CJ112" i="90"/>
  <c r="CU112" i="90" s="1"/>
  <c r="AH116" i="56" s="1"/>
  <c r="CJ141" i="90"/>
  <c r="CJ106" i="90"/>
  <c r="CU106" i="90" s="1"/>
  <c r="AH110" i="56" s="1"/>
  <c r="CJ136" i="90"/>
  <c r="CJ117" i="90"/>
  <c r="CU117" i="90" s="1"/>
  <c r="AH121" i="56" s="1"/>
  <c r="CJ81" i="90"/>
  <c r="CU81" i="90" s="1"/>
  <c r="AH85" i="56" s="1"/>
  <c r="CJ130" i="90"/>
  <c r="AH85" i="41"/>
  <c r="CJ104" i="90"/>
  <c r="CU104" i="90" s="1"/>
  <c r="AH108" i="56" s="1"/>
  <c r="CJ133" i="90"/>
  <c r="CJ48" i="90"/>
  <c r="CU48" i="90" s="1"/>
  <c r="AH52" i="56" s="1"/>
  <c r="CJ45" i="90"/>
  <c r="CU45" i="90" s="1"/>
  <c r="AH49" i="56" s="1"/>
  <c r="CJ118" i="90"/>
  <c r="CU118" i="90" s="1"/>
  <c r="AH122" i="56" s="1"/>
  <c r="AH39" i="93"/>
  <c r="CJ140" i="90"/>
  <c r="CJ60" i="90"/>
  <c r="CU60" i="90" s="1"/>
  <c r="AH64" i="56" s="1"/>
  <c r="CJ77" i="90"/>
  <c r="CU77" i="90" s="1"/>
  <c r="AH81" i="56" s="1"/>
  <c r="CJ87" i="90"/>
  <c r="CU87" i="90" s="1"/>
  <c r="AH91" i="56" s="1"/>
  <c r="CJ93" i="90"/>
  <c r="CU93" i="90" s="1"/>
  <c r="AH97" i="56" s="1"/>
  <c r="CJ74" i="90"/>
  <c r="CU74" i="90" s="1"/>
  <c r="AH78" i="56" s="1"/>
  <c r="CJ126" i="90"/>
  <c r="CU126" i="90" s="1"/>
  <c r="AH130" i="56" s="1"/>
  <c r="CJ142" i="90"/>
  <c r="CJ67" i="90"/>
  <c r="CU67" i="90" s="1"/>
  <c r="AH71" i="56" s="1"/>
  <c r="CJ90" i="90"/>
  <c r="CU90" i="90" s="1"/>
  <c r="AH94" i="56" s="1"/>
  <c r="CJ107" i="90"/>
  <c r="CU107" i="90" s="1"/>
  <c r="AH111" i="56" s="1"/>
  <c r="CJ123" i="90"/>
  <c r="CU123" i="90" s="1"/>
  <c r="AH127" i="56" s="1"/>
  <c r="CJ82" i="90"/>
  <c r="CU82" i="90" s="1"/>
  <c r="AH86" i="56" s="1"/>
  <c r="CJ97" i="90"/>
  <c r="CU97" i="90" s="1"/>
  <c r="AH101" i="56" s="1"/>
  <c r="CJ131" i="90"/>
  <c r="CJ88" i="90"/>
  <c r="CU88" i="90" s="1"/>
  <c r="AH92" i="56" s="1"/>
  <c r="AF205" i="44"/>
  <c r="AF122" i="44"/>
  <c r="CI41" i="90"/>
  <c r="AF124" i="44"/>
  <c r="AF248" i="44"/>
  <c r="AF206" i="44"/>
  <c r="AG41" i="93"/>
  <c r="AF49" i="114"/>
  <c r="AG84" i="44"/>
  <c r="AG83" i="44"/>
  <c r="AG109" i="41"/>
  <c r="AG191" i="44"/>
  <c r="AG108" i="41"/>
  <c r="AG193" i="44"/>
  <c r="AG110" i="41"/>
  <c r="AG99" i="44"/>
  <c r="AG188" i="44"/>
  <c r="AG186" i="44"/>
  <c r="AG87" i="44"/>
  <c r="AG90" i="44"/>
  <c r="AG85" i="44"/>
  <c r="AG96" i="44"/>
  <c r="AG86" i="44"/>
  <c r="AG136" i="44"/>
  <c r="AG89" i="44"/>
  <c r="AG137" i="44" s="1"/>
  <c r="AF126" i="44"/>
  <c r="AF209" i="44"/>
  <c r="AF125" i="44"/>
  <c r="AF249" i="44"/>
  <c r="AF207" i="44"/>
  <c r="AF123" i="44"/>
  <c r="K21" i="112"/>
  <c r="K26" i="112" s="1"/>
  <c r="K70" i="112"/>
  <c r="K78" i="112" s="1"/>
  <c r="K71" i="112"/>
  <c r="K81" i="112" s="1"/>
  <c r="M135" i="112"/>
  <c r="M143" i="112" s="1"/>
  <c r="M142" i="112"/>
  <c r="N138" i="112"/>
  <c r="N139" i="112" s="1"/>
  <c r="N134" i="112"/>
  <c r="N136" i="112"/>
  <c r="N137" i="112" s="1"/>
  <c r="J71" i="112"/>
  <c r="J81" i="112" s="1"/>
  <c r="J70" i="112"/>
  <c r="J78" i="112" s="1"/>
  <c r="O108" i="112"/>
  <c r="O107" i="112"/>
  <c r="O140" i="112" s="1"/>
  <c r="K145" i="112"/>
  <c r="AS80" i="112"/>
  <c r="I96" i="112"/>
  <c r="I82" i="112"/>
  <c r="AS81" i="112" s="1"/>
  <c r="AT28" i="112"/>
  <c r="J30" i="112"/>
  <c r="AT29" i="112" s="1"/>
  <c r="L144" i="112"/>
  <c r="L145" i="112" s="1"/>
  <c r="I93" i="112"/>
  <c r="I79" i="112"/>
  <c r="AS79" i="112" s="1"/>
  <c r="AS78" i="112"/>
  <c r="AT26" i="112"/>
  <c r="J27" i="112"/>
  <c r="AT27" i="112" s="1"/>
  <c r="D29" i="112"/>
  <c r="D26" i="112"/>
  <c r="AR95" i="112"/>
  <c r="G96" i="112"/>
  <c r="H97" i="112" s="1"/>
  <c r="AR96" i="112" s="1"/>
  <c r="G82" i="112"/>
  <c r="AQ81" i="112" s="1"/>
  <c r="AQ80" i="112"/>
  <c r="AP95" i="112"/>
  <c r="E82" i="112"/>
  <c r="AO81" i="112" s="1"/>
  <c r="AO80" i="112"/>
  <c r="E96" i="112"/>
  <c r="AQ78" i="112"/>
  <c r="G93" i="112"/>
  <c r="H94" i="112" s="1"/>
  <c r="AR94" i="112" s="1"/>
  <c r="G79" i="112"/>
  <c r="AQ79" i="112" s="1"/>
  <c r="AP28" i="112"/>
  <c r="F30" i="112"/>
  <c r="AP29" i="112" s="1"/>
  <c r="H82" i="112"/>
  <c r="AR81" i="112" s="1"/>
  <c r="H79" i="112"/>
  <c r="AR79" i="112" s="1"/>
  <c r="AN78" i="112"/>
  <c r="D93" i="112"/>
  <c r="AN93" i="112" s="1"/>
  <c r="E93" i="112"/>
  <c r="F94" i="112" s="1"/>
  <c r="AP94" i="112" s="1"/>
  <c r="E79" i="112"/>
  <c r="AO79" i="112" s="1"/>
  <c r="AO78" i="112"/>
  <c r="G30" i="112"/>
  <c r="AQ29" i="112" s="1"/>
  <c r="AP26" i="112"/>
  <c r="F27" i="112"/>
  <c r="AP27" i="112" s="1"/>
  <c r="AR93" i="112"/>
  <c r="AP93" i="112"/>
  <c r="AN80" i="112"/>
  <c r="D96" i="112"/>
  <c r="AN95" i="112" s="1"/>
  <c r="AB22" i="42"/>
  <c r="AB25" i="45"/>
  <c r="AB38" i="41" s="1"/>
  <c r="AB72" i="41" s="1"/>
  <c r="AB136" i="44" s="1"/>
  <c r="X30" i="45"/>
  <c r="X37" i="41"/>
  <c r="X12" i="45"/>
  <c r="W78" i="41"/>
  <c r="AC64" i="41"/>
  <c r="AD60" i="41"/>
  <c r="AG101" i="98"/>
  <c r="AA495" i="36" l="1"/>
  <c r="AA514" i="36" s="1"/>
  <c r="Y509" i="57"/>
  <c r="Z495" i="36"/>
  <c r="Z514" i="36" s="1"/>
  <c r="X495" i="36"/>
  <c r="O141" i="112"/>
  <c r="AL546" i="57"/>
  <c r="AF546" i="57"/>
  <c r="AD519" i="36"/>
  <c r="AD518" i="36"/>
  <c r="AD494" i="36"/>
  <c r="AK520" i="36"/>
  <c r="AK494" i="36"/>
  <c r="AK519" i="36"/>
  <c r="AB512" i="57"/>
  <c r="AB510" i="57"/>
  <c r="AB521" i="57"/>
  <c r="AB530" i="57"/>
  <c r="AB539" i="57"/>
  <c r="AL520" i="36"/>
  <c r="AL494" i="36"/>
  <c r="AL519" i="36"/>
  <c r="AI520" i="36"/>
  <c r="AI494" i="36"/>
  <c r="AI518" i="36"/>
  <c r="AI519" i="36"/>
  <c r="AG520" i="36"/>
  <c r="AG494" i="36"/>
  <c r="AG519" i="36"/>
  <c r="AC502" i="36"/>
  <c r="AC498" i="36"/>
  <c r="AC496" i="36"/>
  <c r="AC506" i="36"/>
  <c r="AC510" i="36"/>
  <c r="AC514" i="36"/>
  <c r="AA520" i="36"/>
  <c r="AA494" i="36"/>
  <c r="AA518" i="36"/>
  <c r="AA519" i="36"/>
  <c r="Y512" i="57"/>
  <c r="Y510" i="57"/>
  <c r="Y521" i="57"/>
  <c r="Y530" i="57"/>
  <c r="Y539" i="57"/>
  <c r="AD502" i="57"/>
  <c r="AD551" i="57"/>
  <c r="AD552" i="57"/>
  <c r="AD550" i="57"/>
  <c r="AF491" i="36"/>
  <c r="X498" i="36"/>
  <c r="X502" i="36"/>
  <c r="X496" i="36"/>
  <c r="X506" i="36"/>
  <c r="X510" i="36"/>
  <c r="AD515" i="36"/>
  <c r="AD490" i="36"/>
  <c r="AD514" i="36"/>
  <c r="AH520" i="36"/>
  <c r="AC491" i="36"/>
  <c r="AH546" i="57"/>
  <c r="AC510" i="57"/>
  <c r="AC512" i="57"/>
  <c r="AC521" i="57"/>
  <c r="AC530" i="57"/>
  <c r="AL502" i="57"/>
  <c r="AL551" i="57"/>
  <c r="AL552" i="57"/>
  <c r="AL550" i="57"/>
  <c r="AL555" i="57" s="1"/>
  <c r="X558" i="57"/>
  <c r="X503" i="57"/>
  <c r="X509" i="57"/>
  <c r="AJ503" i="57"/>
  <c r="AJ558" i="57" s="1"/>
  <c r="Z502" i="57"/>
  <c r="Z551" i="57"/>
  <c r="Z550" i="57"/>
  <c r="Z555" i="57" s="1"/>
  <c r="Z552" i="57"/>
  <c r="AK495" i="36"/>
  <c r="AK518" i="36" s="1"/>
  <c r="X519" i="36"/>
  <c r="X518" i="36"/>
  <c r="X494" i="36"/>
  <c r="AC548" i="57"/>
  <c r="AC502" i="57"/>
  <c r="AC551" i="57"/>
  <c r="AC552" i="57"/>
  <c r="AC550" i="57"/>
  <c r="AC555" i="57" s="1"/>
  <c r="AF514" i="36"/>
  <c r="AF502" i="57"/>
  <c r="AF551" i="57"/>
  <c r="AF554" i="57" s="1"/>
  <c r="AF552" i="57"/>
  <c r="AF550" i="57"/>
  <c r="AF555" i="57" s="1"/>
  <c r="W495" i="36"/>
  <c r="W502" i="57"/>
  <c r="W551" i="57"/>
  <c r="W554" i="57" s="1"/>
  <c r="W550" i="57"/>
  <c r="W552" i="57"/>
  <c r="W491" i="36"/>
  <c r="AL554" i="57"/>
  <c r="Y491" i="36"/>
  <c r="AK502" i="57"/>
  <c r="AK551" i="57"/>
  <c r="AK554" i="57" s="1"/>
  <c r="AK550" i="57"/>
  <c r="AK555" i="57" s="1"/>
  <c r="AK552" i="57"/>
  <c r="AC503" i="57"/>
  <c r="AH503" i="57"/>
  <c r="AH558" i="57" s="1"/>
  <c r="AH509" i="57"/>
  <c r="AD546" i="57"/>
  <c r="AI548" i="57"/>
  <c r="AI502" i="57"/>
  <c r="AI551" i="57"/>
  <c r="AI550" i="57"/>
  <c r="AI552" i="57"/>
  <c r="AE546" i="57"/>
  <c r="Z549" i="57"/>
  <c r="W503" i="57"/>
  <c r="W558" i="57"/>
  <c r="W509" i="57"/>
  <c r="AI554" i="57"/>
  <c r="X490" i="36"/>
  <c r="X514" i="36"/>
  <c r="X515" i="36"/>
  <c r="AI515" i="36"/>
  <c r="AI490" i="36"/>
  <c r="AI514" i="36"/>
  <c r="AI516" i="36"/>
  <c r="AC520" i="36"/>
  <c r="AD549" i="57"/>
  <c r="AG495" i="36"/>
  <c r="AG518" i="36" s="1"/>
  <c r="AL495" i="36"/>
  <c r="AL518" i="36" s="1"/>
  <c r="AG546" i="57"/>
  <c r="AC549" i="57"/>
  <c r="Z503" i="57"/>
  <c r="Z558" i="57" s="1"/>
  <c r="AA503" i="57"/>
  <c r="AA496" i="36"/>
  <c r="AA498" i="36"/>
  <c r="AA502" i="36"/>
  <c r="AA506" i="36"/>
  <c r="AA510" i="36"/>
  <c r="AH494" i="36"/>
  <c r="X520" i="36"/>
  <c r="AB520" i="36"/>
  <c r="AD516" i="36"/>
  <c r="Z502" i="36"/>
  <c r="Z498" i="36"/>
  <c r="Z496" i="36"/>
  <c r="Z510" i="36"/>
  <c r="Z506" i="36"/>
  <c r="AE515" i="36"/>
  <c r="AE490" i="36"/>
  <c r="Y503" i="57"/>
  <c r="Y558" i="57" s="1"/>
  <c r="AE503" i="57"/>
  <c r="AE509" i="57"/>
  <c r="AE548" i="57" s="1"/>
  <c r="AI503" i="57"/>
  <c r="AI558" i="57"/>
  <c r="Z546" i="57"/>
  <c r="Y554" i="57"/>
  <c r="AF496" i="36"/>
  <c r="AF502" i="36"/>
  <c r="AF498" i="36"/>
  <c r="AF506" i="36"/>
  <c r="AE502" i="57"/>
  <c r="AE551" i="57"/>
  <c r="AE554" i="57" s="1"/>
  <c r="AE550" i="57"/>
  <c r="AE555" i="57" s="1"/>
  <c r="AE552" i="57"/>
  <c r="AD498" i="36"/>
  <c r="AD502" i="36"/>
  <c r="AD496" i="36"/>
  <c r="AD506" i="36"/>
  <c r="AD520" i="36"/>
  <c r="Y498" i="36"/>
  <c r="Y496" i="36"/>
  <c r="Y502" i="36"/>
  <c r="Y510" i="36"/>
  <c r="Y506" i="36"/>
  <c r="AJ548" i="57"/>
  <c r="AJ502" i="57"/>
  <c r="AJ551" i="57"/>
  <c r="AJ554" i="57" s="1"/>
  <c r="AJ550" i="57"/>
  <c r="AJ552" i="57"/>
  <c r="AB495" i="36"/>
  <c r="AA512" i="57"/>
  <c r="AA510" i="57"/>
  <c r="AA521" i="57"/>
  <c r="AA530" i="57"/>
  <c r="AG503" i="57"/>
  <c r="AG558" i="57"/>
  <c r="AG509" i="57"/>
  <c r="AG548" i="57" s="1"/>
  <c r="AK503" i="57"/>
  <c r="AK509" i="57"/>
  <c r="AK548" i="57" s="1"/>
  <c r="AJ491" i="36"/>
  <c r="Y502" i="57"/>
  <c r="Y548" i="57"/>
  <c r="Y551" i="57"/>
  <c r="Y550" i="57"/>
  <c r="Y552" i="57"/>
  <c r="AJ546" i="57"/>
  <c r="AL503" i="57"/>
  <c r="AL509" i="57"/>
  <c r="K29" i="112"/>
  <c r="Z520" i="36"/>
  <c r="Z494" i="36"/>
  <c r="Z518" i="36"/>
  <c r="AJ510" i="57"/>
  <c r="AJ512" i="57"/>
  <c r="AJ521" i="57"/>
  <c r="AJ530" i="57"/>
  <c r="AL516" i="36"/>
  <c r="AL514" i="36"/>
  <c r="AL490" i="36"/>
  <c r="AL515" i="36"/>
  <c r="AI546" i="57"/>
  <c r="AB546" i="57"/>
  <c r="Y546" i="57"/>
  <c r="Z509" i="57"/>
  <c r="Z548" i="57" s="1"/>
  <c r="AA548" i="57"/>
  <c r="AA502" i="57"/>
  <c r="AA551" i="57"/>
  <c r="AA554" i="57" s="1"/>
  <c r="AA550" i="57"/>
  <c r="AA552" i="57"/>
  <c r="AB503" i="57"/>
  <c r="AE495" i="36"/>
  <c r="AG502" i="57"/>
  <c r="AG551" i="57"/>
  <c r="AG550" i="57"/>
  <c r="AG552" i="57"/>
  <c r="AH495" i="36"/>
  <c r="AB519" i="36"/>
  <c r="AB518" i="36"/>
  <c r="AB494" i="36"/>
  <c r="AI498" i="36"/>
  <c r="AI502" i="36"/>
  <c r="AI496" i="36"/>
  <c r="AI506" i="36"/>
  <c r="X548" i="57"/>
  <c r="X502" i="57"/>
  <c r="X551" i="57"/>
  <c r="X554" i="57" s="1"/>
  <c r="X550" i="57"/>
  <c r="X552" i="57"/>
  <c r="AJ498" i="36"/>
  <c r="AJ496" i="36"/>
  <c r="AJ502" i="36"/>
  <c r="AJ510" i="36"/>
  <c r="AJ506" i="36"/>
  <c r="AI512" i="57"/>
  <c r="AI510" i="57"/>
  <c r="AI521" i="57"/>
  <c r="AI530" i="57"/>
  <c r="AC546" i="57"/>
  <c r="AE491" i="36"/>
  <c r="AE520" i="36" s="1"/>
  <c r="AF503" i="57"/>
  <c r="AF558" i="57"/>
  <c r="AF509" i="57"/>
  <c r="AD503" i="57"/>
  <c r="AD509" i="57"/>
  <c r="AB502" i="57"/>
  <c r="AB548" i="57"/>
  <c r="AB551" i="57"/>
  <c r="AB554" i="57" s="1"/>
  <c r="AB552" i="57"/>
  <c r="AB550" i="57"/>
  <c r="AB555" i="57" s="1"/>
  <c r="AD510" i="36"/>
  <c r="AH502" i="57"/>
  <c r="AH548" i="57"/>
  <c r="AH551" i="57"/>
  <c r="AH554" i="57" s="1"/>
  <c r="AH550" i="57"/>
  <c r="AH552" i="57"/>
  <c r="X546" i="57"/>
  <c r="AE516" i="36"/>
  <c r="AG549" i="57"/>
  <c r="AG554" i="57" s="1"/>
  <c r="AH46" i="56"/>
  <c r="AH45" i="56" s="1"/>
  <c r="AH19" i="56" s="1"/>
  <c r="CU41" i="90"/>
  <c r="AG112" i="41"/>
  <c r="AG168" i="44"/>
  <c r="AC84" i="86"/>
  <c r="AC162" i="86"/>
  <c r="AD61" i="86"/>
  <c r="AE54" i="86"/>
  <c r="N97" i="98"/>
  <c r="N89" i="98"/>
  <c r="AK79" i="98"/>
  <c r="N86" i="98"/>
  <c r="AK82" i="98"/>
  <c r="AI15" i="86"/>
  <c r="Q92" i="98"/>
  <c r="AL17" i="86"/>
  <c r="R92" i="98" s="1"/>
  <c r="AI91" i="41"/>
  <c r="AI38" i="40"/>
  <c r="AI42" i="40" s="1"/>
  <c r="AJ23" i="40"/>
  <c r="AJ26" i="40"/>
  <c r="AJ32" i="40" s="1"/>
  <c r="W160" i="44"/>
  <c r="W161" i="44" s="1"/>
  <c r="X159" i="44" s="1"/>
  <c r="X192" i="44" s="1"/>
  <c r="X231" i="44"/>
  <c r="X189" i="44"/>
  <c r="X240" i="44"/>
  <c r="U90" i="112"/>
  <c r="V89" i="112"/>
  <c r="K9" i="112"/>
  <c r="L7" i="112"/>
  <c r="AT25" i="112"/>
  <c r="AT77" i="112" s="1"/>
  <c r="J87" i="112"/>
  <c r="J88" i="112" s="1"/>
  <c r="J101" i="112"/>
  <c r="AG205" i="44"/>
  <c r="AG122" i="44"/>
  <c r="AH99" i="44"/>
  <c r="AH90" i="44"/>
  <c r="AH110" i="41"/>
  <c r="AH108" i="41"/>
  <c r="AH186" i="44"/>
  <c r="AH191" i="44"/>
  <c r="AH193" i="44"/>
  <c r="AH188" i="44"/>
  <c r="AH109" i="41"/>
  <c r="AH83" i="44"/>
  <c r="AH84" i="44"/>
  <c r="AH96" i="44"/>
  <c r="AH136" i="44"/>
  <c r="AH87" i="44"/>
  <c r="AH85" i="44"/>
  <c r="AH89" i="44"/>
  <c r="AH137" i="44" s="1"/>
  <c r="AH86" i="44"/>
  <c r="AG126" i="44"/>
  <c r="AG209" i="44"/>
  <c r="CK56" i="90"/>
  <c r="CV56" i="90" s="1"/>
  <c r="AI60" i="56" s="1"/>
  <c r="CK80" i="90"/>
  <c r="CV80" i="90" s="1"/>
  <c r="AI84" i="56" s="1"/>
  <c r="CK104" i="90"/>
  <c r="CV104" i="90" s="1"/>
  <c r="AI108" i="56" s="1"/>
  <c r="CK128" i="90"/>
  <c r="CK50" i="90"/>
  <c r="CV50" i="90" s="1"/>
  <c r="AI54" i="56" s="1"/>
  <c r="CK73" i="90"/>
  <c r="CV73" i="90" s="1"/>
  <c r="AI77" i="56" s="1"/>
  <c r="CK97" i="90"/>
  <c r="CV97" i="90" s="1"/>
  <c r="AI101" i="56" s="1"/>
  <c r="CK121" i="90"/>
  <c r="CV121" i="90" s="1"/>
  <c r="AI125" i="56" s="1"/>
  <c r="CK43" i="90"/>
  <c r="CV43" i="90" s="1"/>
  <c r="AI47" i="56" s="1"/>
  <c r="CK66" i="90"/>
  <c r="CV66" i="90" s="1"/>
  <c r="AI70" i="56" s="1"/>
  <c r="CK90" i="90"/>
  <c r="CV90" i="90" s="1"/>
  <c r="AI94" i="56" s="1"/>
  <c r="CK114" i="90"/>
  <c r="CV114" i="90" s="1"/>
  <c r="AI118" i="56" s="1"/>
  <c r="CK138" i="90"/>
  <c r="CK59" i="90"/>
  <c r="CV59" i="90" s="1"/>
  <c r="AI63" i="56" s="1"/>
  <c r="CK83" i="90"/>
  <c r="CV83" i="90" s="1"/>
  <c r="AI87" i="56" s="1"/>
  <c r="CK107" i="90"/>
  <c r="CV107" i="90" s="1"/>
  <c r="AI111" i="56" s="1"/>
  <c r="CK131" i="90"/>
  <c r="CK70" i="90"/>
  <c r="CV70" i="90" s="1"/>
  <c r="AI74" i="56" s="1"/>
  <c r="CK94" i="90"/>
  <c r="CV94" i="90" s="1"/>
  <c r="AI98" i="56" s="1"/>
  <c r="CK118" i="90"/>
  <c r="CV118" i="90" s="1"/>
  <c r="AI122" i="56" s="1"/>
  <c r="CK142" i="90"/>
  <c r="CK75" i="90"/>
  <c r="CV75" i="90" s="1"/>
  <c r="AI79" i="56" s="1"/>
  <c r="CK99" i="90"/>
  <c r="CV99" i="90" s="1"/>
  <c r="AI103" i="56" s="1"/>
  <c r="CK123" i="90"/>
  <c r="CV123" i="90" s="1"/>
  <c r="AI127" i="56" s="1"/>
  <c r="CK47" i="90"/>
  <c r="CV47" i="90" s="1"/>
  <c r="AI51" i="56" s="1"/>
  <c r="AI39" i="93"/>
  <c r="CK62" i="90"/>
  <c r="CV62" i="90" s="1"/>
  <c r="AI66" i="56" s="1"/>
  <c r="CK86" i="90"/>
  <c r="CV86" i="90" s="1"/>
  <c r="AI90" i="56" s="1"/>
  <c r="CK110" i="90"/>
  <c r="CV110" i="90" s="1"/>
  <c r="AI114" i="56" s="1"/>
  <c r="CK134" i="90"/>
  <c r="CK55" i="90"/>
  <c r="CV55" i="90" s="1"/>
  <c r="AI59" i="56" s="1"/>
  <c r="CK79" i="90"/>
  <c r="CV79" i="90" s="1"/>
  <c r="AI83" i="56" s="1"/>
  <c r="CK103" i="90"/>
  <c r="CV103" i="90" s="1"/>
  <c r="AI107" i="56" s="1"/>
  <c r="CK127" i="90"/>
  <c r="CK49" i="90"/>
  <c r="CV49" i="90" s="1"/>
  <c r="AI53" i="56" s="1"/>
  <c r="CK72" i="90"/>
  <c r="CV72" i="90" s="1"/>
  <c r="AI76" i="56" s="1"/>
  <c r="CK96" i="90"/>
  <c r="CV96" i="90" s="1"/>
  <c r="AI100" i="56" s="1"/>
  <c r="CK120" i="90"/>
  <c r="CV120" i="90" s="1"/>
  <c r="AI124" i="56" s="1"/>
  <c r="CK42" i="90"/>
  <c r="CV42" i="90" s="1"/>
  <c r="CK65" i="90"/>
  <c r="CV65" i="90" s="1"/>
  <c r="AI69" i="56" s="1"/>
  <c r="CK89" i="90"/>
  <c r="CV89" i="90" s="1"/>
  <c r="AI93" i="56" s="1"/>
  <c r="CK113" i="90"/>
  <c r="CV113" i="90" s="1"/>
  <c r="AI117" i="56" s="1"/>
  <c r="CK137" i="90"/>
  <c r="CK76" i="90"/>
  <c r="CV76" i="90" s="1"/>
  <c r="AI80" i="56" s="1"/>
  <c r="CK45" i="90"/>
  <c r="CV45" i="90" s="1"/>
  <c r="AI49" i="56" s="1"/>
  <c r="CK92" i="90"/>
  <c r="CV92" i="90" s="1"/>
  <c r="AI96" i="56" s="1"/>
  <c r="CK140" i="90"/>
  <c r="CK85" i="90"/>
  <c r="CV85" i="90" s="1"/>
  <c r="AI89" i="56" s="1"/>
  <c r="CK133" i="90"/>
  <c r="CK78" i="90"/>
  <c r="CV78" i="90" s="1"/>
  <c r="AI82" i="56" s="1"/>
  <c r="CK126" i="90"/>
  <c r="CV126" i="90" s="1"/>
  <c r="AI130" i="56" s="1"/>
  <c r="CK71" i="90"/>
  <c r="CV71" i="90" s="1"/>
  <c r="AI75" i="56" s="1"/>
  <c r="CK119" i="90"/>
  <c r="CV119" i="90" s="1"/>
  <c r="AI123" i="56" s="1"/>
  <c r="CK82" i="90"/>
  <c r="CV82" i="90" s="1"/>
  <c r="AI86" i="56" s="1"/>
  <c r="CK112" i="90"/>
  <c r="CV112" i="90" s="1"/>
  <c r="AI116" i="56" s="1"/>
  <c r="CK57" i="90"/>
  <c r="CV57" i="90" s="1"/>
  <c r="AI61" i="56" s="1"/>
  <c r="CK87" i="90"/>
  <c r="CV87" i="90" s="1"/>
  <c r="AI91" i="56" s="1"/>
  <c r="CK117" i="90"/>
  <c r="CV117" i="90" s="1"/>
  <c r="AI121" i="56" s="1"/>
  <c r="CK46" i="90"/>
  <c r="CV46" i="90" s="1"/>
  <c r="AI50" i="56" s="1"/>
  <c r="CK51" i="90"/>
  <c r="CV51" i="90" s="1"/>
  <c r="AI55" i="56" s="1"/>
  <c r="CK98" i="90"/>
  <c r="CV98" i="90" s="1"/>
  <c r="AI102" i="56" s="1"/>
  <c r="CK44" i="90"/>
  <c r="CV44" i="90" s="1"/>
  <c r="AI48" i="56" s="1"/>
  <c r="CK91" i="90"/>
  <c r="CV91" i="90" s="1"/>
  <c r="AI95" i="56" s="1"/>
  <c r="CK139" i="90"/>
  <c r="CK84" i="90"/>
  <c r="CV84" i="90" s="1"/>
  <c r="AI88" i="56" s="1"/>
  <c r="CK132" i="90"/>
  <c r="CK77" i="90"/>
  <c r="CV77" i="90" s="1"/>
  <c r="AI81" i="56" s="1"/>
  <c r="CK125" i="90"/>
  <c r="CV125" i="90" s="1"/>
  <c r="AI129" i="56" s="1"/>
  <c r="CK88" i="90"/>
  <c r="CV88" i="90" s="1"/>
  <c r="AI92" i="56" s="1"/>
  <c r="CK124" i="90"/>
  <c r="CV124" i="90" s="1"/>
  <c r="AI128" i="56" s="1"/>
  <c r="CK63" i="90"/>
  <c r="CV63" i="90" s="1"/>
  <c r="AI67" i="56" s="1"/>
  <c r="CK93" i="90"/>
  <c r="CV93" i="90" s="1"/>
  <c r="AI97" i="56" s="1"/>
  <c r="CK129" i="90"/>
  <c r="AJ15" i="40"/>
  <c r="CK53" i="90"/>
  <c r="CV53" i="90" s="1"/>
  <c r="AI57" i="56" s="1"/>
  <c r="CK106" i="90"/>
  <c r="CV106" i="90" s="1"/>
  <c r="AI110" i="56" s="1"/>
  <c r="CK81" i="90"/>
  <c r="CV81" i="90" s="1"/>
  <c r="AI85" i="56" s="1"/>
  <c r="CK141" i="90"/>
  <c r="CK68" i="90"/>
  <c r="CV68" i="90" s="1"/>
  <c r="AI72" i="56" s="1"/>
  <c r="CK116" i="90"/>
  <c r="CV116" i="90" s="1"/>
  <c r="AI120" i="56" s="1"/>
  <c r="CK61" i="90"/>
  <c r="CV61" i="90" s="1"/>
  <c r="AI65" i="56" s="1"/>
  <c r="CK109" i="90"/>
  <c r="CV109" i="90" s="1"/>
  <c r="AI113" i="56" s="1"/>
  <c r="CK54" i="90"/>
  <c r="CV54" i="90" s="1"/>
  <c r="AI58" i="56" s="1"/>
  <c r="CK102" i="90"/>
  <c r="CV102" i="90" s="1"/>
  <c r="AI106" i="56" s="1"/>
  <c r="CK48" i="90"/>
  <c r="CV48" i="90" s="1"/>
  <c r="AI52" i="56" s="1"/>
  <c r="CK95" i="90"/>
  <c r="CV95" i="90" s="1"/>
  <c r="AI99" i="56" s="1"/>
  <c r="CK58" i="90"/>
  <c r="CV58" i="90" s="1"/>
  <c r="AI62" i="56" s="1"/>
  <c r="CK100" i="90"/>
  <c r="CV100" i="90" s="1"/>
  <c r="AI104" i="56" s="1"/>
  <c r="CK130" i="90"/>
  <c r="CK69" i="90"/>
  <c r="CV69" i="90" s="1"/>
  <c r="AI73" i="56" s="1"/>
  <c r="CK105" i="90"/>
  <c r="CV105" i="90" s="1"/>
  <c r="AI109" i="56" s="1"/>
  <c r="CK135" i="90"/>
  <c r="AI85" i="41"/>
  <c r="CK74" i="90"/>
  <c r="CV74" i="90" s="1"/>
  <c r="AI78" i="56" s="1"/>
  <c r="CK122" i="90"/>
  <c r="CV122" i="90" s="1"/>
  <c r="AI126" i="56" s="1"/>
  <c r="CK67" i="90"/>
  <c r="CV67" i="90" s="1"/>
  <c r="AI71" i="56" s="1"/>
  <c r="CK115" i="90"/>
  <c r="CV115" i="90" s="1"/>
  <c r="AI119" i="56" s="1"/>
  <c r="CK60" i="90"/>
  <c r="CV60" i="90" s="1"/>
  <c r="AI64" i="56" s="1"/>
  <c r="CK108" i="90"/>
  <c r="CV108" i="90" s="1"/>
  <c r="AI112" i="56" s="1"/>
  <c r="CK101" i="90"/>
  <c r="CV101" i="90" s="1"/>
  <c r="AI105" i="56" s="1"/>
  <c r="CK64" i="90"/>
  <c r="CV64" i="90" s="1"/>
  <c r="AI68" i="56" s="1"/>
  <c r="CK136" i="90"/>
  <c r="CK111" i="90"/>
  <c r="CV111" i="90" s="1"/>
  <c r="AI115" i="56" s="1"/>
  <c r="AG247" i="44"/>
  <c r="AG139" i="44"/>
  <c r="AG123" i="44"/>
  <c r="AG207" i="44"/>
  <c r="AG49" i="114"/>
  <c r="AH41" i="93"/>
  <c r="AG248" i="44"/>
  <c r="AG124" i="44"/>
  <c r="AG206" i="44"/>
  <c r="AG125" i="44"/>
  <c r="AG249" i="44"/>
  <c r="AL44" i="40"/>
  <c r="CJ41" i="90"/>
  <c r="L66" i="112"/>
  <c r="L70" i="112" s="1"/>
  <c r="L78" i="112" s="1"/>
  <c r="L21" i="112"/>
  <c r="L26" i="112" s="1"/>
  <c r="N135" i="112"/>
  <c r="N143" i="112" s="1"/>
  <c r="N142" i="112"/>
  <c r="AU28" i="112"/>
  <c r="K30" i="112"/>
  <c r="AU29" i="112" s="1"/>
  <c r="P107" i="112"/>
  <c r="P140" i="112" s="1"/>
  <c r="AT78" i="112"/>
  <c r="J79" i="112"/>
  <c r="AT79" i="112" s="1"/>
  <c r="J93" i="112"/>
  <c r="K27" i="112"/>
  <c r="AU27" i="112" s="1"/>
  <c r="AU26" i="112"/>
  <c r="I94" i="112"/>
  <c r="AS94" i="112" s="1"/>
  <c r="AS93" i="112"/>
  <c r="AS95" i="112"/>
  <c r="I97" i="112"/>
  <c r="AS96" i="112" s="1"/>
  <c r="O136" i="112"/>
  <c r="O137" i="112" s="1"/>
  <c r="O138" i="112"/>
  <c r="O139" i="112" s="1"/>
  <c r="O134" i="112"/>
  <c r="AT80" i="112"/>
  <c r="J82" i="112"/>
  <c r="AT81" i="112" s="1"/>
  <c r="J96" i="112"/>
  <c r="M144" i="112"/>
  <c r="M66" i="112" s="1"/>
  <c r="K82" i="112"/>
  <c r="AU81" i="112" s="1"/>
  <c r="K96" i="112"/>
  <c r="AU80" i="112"/>
  <c r="P108" i="112"/>
  <c r="AU78" i="112"/>
  <c r="K93" i="112"/>
  <c r="K79" i="112"/>
  <c r="AU79" i="112" s="1"/>
  <c r="AO95" i="112"/>
  <c r="E97" i="112"/>
  <c r="AO96" i="112" s="1"/>
  <c r="AO93" i="112"/>
  <c r="E94" i="112"/>
  <c r="AO94" i="112" s="1"/>
  <c r="AQ93" i="112"/>
  <c r="G94" i="112"/>
  <c r="AQ94" i="112" s="1"/>
  <c r="AN26" i="112"/>
  <c r="E27" i="112"/>
  <c r="AO27" i="112" s="1"/>
  <c r="F97" i="112"/>
  <c r="AP96" i="112" s="1"/>
  <c r="AQ95" i="112"/>
  <c r="G97" i="112"/>
  <c r="AQ96" i="112" s="1"/>
  <c r="AN28" i="112"/>
  <c r="E30" i="112"/>
  <c r="AO29" i="112" s="1"/>
  <c r="X13" i="45"/>
  <c r="Y24" i="45"/>
  <c r="X79" i="41"/>
  <c r="X71" i="41"/>
  <c r="X78" i="41" s="1"/>
  <c r="W81" i="41"/>
  <c r="W80" i="41"/>
  <c r="AB247" i="44"/>
  <c r="AB139" i="44"/>
  <c r="X43" i="41"/>
  <c r="X45" i="41" s="1"/>
  <c r="X232" i="44" s="1"/>
  <c r="AA100" i="98"/>
  <c r="AA102" i="98" s="1"/>
  <c r="AC66" i="41"/>
  <c r="AE54" i="41"/>
  <c r="AD62" i="41"/>
  <c r="Y555" i="57" l="1"/>
  <c r="AC554" i="57"/>
  <c r="AH555" i="57"/>
  <c r="AG555" i="57"/>
  <c r="W555" i="57"/>
  <c r="AD557" i="57"/>
  <c r="AD508" i="57"/>
  <c r="AD560" i="57"/>
  <c r="AD561" i="57"/>
  <c r="AD559" i="57"/>
  <c r="AD564" i="57" s="1"/>
  <c r="AD512" i="57"/>
  <c r="AD510" i="57"/>
  <c r="AD521" i="57"/>
  <c r="AD530" i="57"/>
  <c r="AD539" i="57"/>
  <c r="AK508" i="57"/>
  <c r="AK557" i="57"/>
  <c r="AK560" i="57"/>
  <c r="AK559" i="57"/>
  <c r="AK561" i="57"/>
  <c r="AE557" i="57"/>
  <c r="AE508" i="57"/>
  <c r="AE560" i="57"/>
  <c r="AE561" i="57"/>
  <c r="AE559" i="57"/>
  <c r="AA508" i="57"/>
  <c r="AA557" i="57"/>
  <c r="AA560" i="57"/>
  <c r="AA561" i="57"/>
  <c r="AA559" i="57"/>
  <c r="AA564" i="57" s="1"/>
  <c r="AC557" i="57"/>
  <c r="AC508" i="57"/>
  <c r="AC560" i="57"/>
  <c r="AC559" i="57"/>
  <c r="AC561" i="57"/>
  <c r="W519" i="36"/>
  <c r="W494" i="36"/>
  <c r="W518" i="36"/>
  <c r="X508" i="57"/>
  <c r="X557" i="57"/>
  <c r="X560" i="57"/>
  <c r="X561" i="57"/>
  <c r="X559" i="57"/>
  <c r="AF520" i="36"/>
  <c r="AF518" i="36"/>
  <c r="AF494" i="36"/>
  <c r="AF519" i="36"/>
  <c r="AD558" i="57"/>
  <c r="AD563" i="57" s="1"/>
  <c r="AA555" i="57"/>
  <c r="AK558" i="57"/>
  <c r="AK563" i="57" s="1"/>
  <c r="AB502" i="36"/>
  <c r="AB498" i="36"/>
  <c r="AB496" i="36"/>
  <c r="AB506" i="36"/>
  <c r="AB510" i="36"/>
  <c r="AB514" i="36"/>
  <c r="W510" i="57"/>
  <c r="W512" i="57"/>
  <c r="W521" i="57"/>
  <c r="W530" i="57"/>
  <c r="W539" i="57"/>
  <c r="X563" i="57"/>
  <c r="AD555" i="57"/>
  <c r="AF510" i="57"/>
  <c r="AF512" i="57"/>
  <c r="AF521" i="57"/>
  <c r="AF530" i="57"/>
  <c r="AF539" i="57"/>
  <c r="X555" i="57"/>
  <c r="AJ555" i="57"/>
  <c r="W508" i="57"/>
  <c r="W557" i="57"/>
  <c r="W560" i="57"/>
  <c r="W559" i="57"/>
  <c r="W564" i="57" s="1"/>
  <c r="W561" i="57"/>
  <c r="AF548" i="57"/>
  <c r="AE496" i="36"/>
  <c r="AE502" i="36"/>
  <c r="AE498" i="36"/>
  <c r="AE506" i="36"/>
  <c r="AE510" i="36"/>
  <c r="AG508" i="57"/>
  <c r="AG557" i="57"/>
  <c r="AG560" i="57"/>
  <c r="AG563" i="57" s="1"/>
  <c r="AG559" i="57"/>
  <c r="AG561" i="57"/>
  <c r="AE514" i="36"/>
  <c r="Z554" i="57"/>
  <c r="AH512" i="57"/>
  <c r="AH510" i="57"/>
  <c r="AH521" i="57"/>
  <c r="AH530" i="57"/>
  <c r="AH539" i="57"/>
  <c r="AC518" i="36"/>
  <c r="AC494" i="36"/>
  <c r="AC519" i="36"/>
  <c r="AD548" i="57"/>
  <c r="AF557" i="57"/>
  <c r="AF508" i="57"/>
  <c r="AF560" i="57"/>
  <c r="AF563" i="57" s="1"/>
  <c r="AF561" i="57"/>
  <c r="AF559" i="57"/>
  <c r="Z510" i="57"/>
  <c r="Z512" i="57"/>
  <c r="Z521" i="57"/>
  <c r="Z530" i="57"/>
  <c r="Z539" i="57"/>
  <c r="AL510" i="57"/>
  <c r="AL512" i="57"/>
  <c r="AL521" i="57"/>
  <c r="AL530" i="57"/>
  <c r="AL539" i="57"/>
  <c r="AI508" i="57"/>
  <c r="AI557" i="57"/>
  <c r="AI560" i="57"/>
  <c r="AI563" i="57" s="1"/>
  <c r="AI559" i="57"/>
  <c r="AI561" i="57"/>
  <c r="AL496" i="36"/>
  <c r="AL502" i="36"/>
  <c r="AL498" i="36"/>
  <c r="AL510" i="36"/>
  <c r="AL506" i="36"/>
  <c r="W548" i="57"/>
  <c r="AJ508" i="57"/>
  <c r="AJ557" i="57"/>
  <c r="AJ560" i="57"/>
  <c r="AJ563" i="57" s="1"/>
  <c r="AJ559" i="57"/>
  <c r="AJ564" i="57" s="1"/>
  <c r="AJ561" i="57"/>
  <c r="AG510" i="57"/>
  <c r="AG512" i="57"/>
  <c r="AG521" i="57"/>
  <c r="AG530" i="57"/>
  <c r="AG539" i="57"/>
  <c r="Y557" i="57"/>
  <c r="Y508" i="57"/>
  <c r="Y560" i="57"/>
  <c r="Y563" i="57" s="1"/>
  <c r="Y561" i="57"/>
  <c r="Y559" i="57"/>
  <c r="Z508" i="57"/>
  <c r="Z557" i="57"/>
  <c r="Z560" i="57"/>
  <c r="Z563" i="57" s="1"/>
  <c r="Z561" i="57"/>
  <c r="Z559" i="57"/>
  <c r="AH502" i="36"/>
  <c r="AH496" i="36"/>
  <c r="AH498" i="36"/>
  <c r="AH506" i="36"/>
  <c r="AH510" i="36"/>
  <c r="AH514" i="36"/>
  <c r="AB508" i="57"/>
  <c r="AB557" i="57"/>
  <c r="AB560" i="57"/>
  <c r="AB561" i="57"/>
  <c r="AB559" i="57"/>
  <c r="AL557" i="57"/>
  <c r="AL508" i="57"/>
  <c r="AL560" i="57"/>
  <c r="AL559" i="57"/>
  <c r="AL561" i="57"/>
  <c r="AJ520" i="36"/>
  <c r="AJ518" i="36"/>
  <c r="AJ494" i="36"/>
  <c r="AJ519" i="36"/>
  <c r="AE512" i="57"/>
  <c r="AE510" i="57"/>
  <c r="AE521" i="57"/>
  <c r="AE530" i="57"/>
  <c r="AE539" i="57"/>
  <c r="AG498" i="36"/>
  <c r="AG496" i="36"/>
  <c r="AG502" i="36"/>
  <c r="AG510" i="36"/>
  <c r="AG506" i="36"/>
  <c r="AG514" i="36"/>
  <c r="AH508" i="57"/>
  <c r="AH557" i="57"/>
  <c r="AH560" i="57"/>
  <c r="AH563" i="57" s="1"/>
  <c r="AH559" i="57"/>
  <c r="AH564" i="57" s="1"/>
  <c r="AH561" i="57"/>
  <c r="Y520" i="36"/>
  <c r="Y494" i="36"/>
  <c r="Y518" i="36"/>
  <c r="Y519" i="36"/>
  <c r="W498" i="36"/>
  <c r="W496" i="36"/>
  <c r="W502" i="36"/>
  <c r="W506" i="36"/>
  <c r="W510" i="36"/>
  <c r="W514" i="36"/>
  <c r="AK496" i="36"/>
  <c r="AK498" i="36"/>
  <c r="AK502" i="36"/>
  <c r="AK506" i="36"/>
  <c r="AK510" i="36"/>
  <c r="AK514" i="36"/>
  <c r="AL548" i="57"/>
  <c r="W563" i="57"/>
  <c r="AE519" i="36"/>
  <c r="AE494" i="36"/>
  <c r="AE518" i="36"/>
  <c r="AB558" i="57"/>
  <c r="AB563" i="57" s="1"/>
  <c r="AL558" i="57"/>
  <c r="AK510" i="57"/>
  <c r="AK512" i="57"/>
  <c r="AK521" i="57"/>
  <c r="AK530" i="57"/>
  <c r="AK539" i="57"/>
  <c r="AE558" i="57"/>
  <c r="AE563" i="57" s="1"/>
  <c r="AH518" i="36"/>
  <c r="AA558" i="57"/>
  <c r="AA563" i="57" s="1"/>
  <c r="AD554" i="57"/>
  <c r="AI555" i="57"/>
  <c r="AC558" i="57"/>
  <c r="AC563" i="57" s="1"/>
  <c r="W520" i="36"/>
  <c r="X512" i="57"/>
  <c r="X510" i="57"/>
  <c r="X521" i="57"/>
  <c r="X530" i="57"/>
  <c r="X539" i="57"/>
  <c r="AI46" i="56"/>
  <c r="AI45" i="56" s="1"/>
  <c r="AI19" i="56" s="1"/>
  <c r="CV41" i="90"/>
  <c r="AH168" i="44"/>
  <c r="AH112" i="41"/>
  <c r="AD84" i="86"/>
  <c r="AD162" i="86"/>
  <c r="AD169" i="86" s="1"/>
  <c r="AF54" i="86"/>
  <c r="AE61" i="86"/>
  <c r="AC169" i="86"/>
  <c r="AC172" i="86" s="1"/>
  <c r="AC95" i="86"/>
  <c r="AC140" i="86"/>
  <c r="AC150" i="86" s="1"/>
  <c r="AL82" i="98"/>
  <c r="AJ15" i="86"/>
  <c r="O89" i="98"/>
  <c r="O86" i="98"/>
  <c r="O97" i="98"/>
  <c r="AL79" i="98"/>
  <c r="X130" i="44"/>
  <c r="X88" i="44"/>
  <c r="X212" i="44"/>
  <c r="X222" i="44" s="1"/>
  <c r="X195" i="44"/>
  <c r="X238" i="44"/>
  <c r="X230" i="44"/>
  <c r="X234" i="44" s="1"/>
  <c r="X235" i="44" s="1"/>
  <c r="AJ91" i="41"/>
  <c r="AJ38" i="40"/>
  <c r="AJ42" i="40" s="1"/>
  <c r="AK26" i="40"/>
  <c r="AK32" i="40" s="1"/>
  <c r="AK23" i="40"/>
  <c r="K101" i="112"/>
  <c r="K87" i="112"/>
  <c r="K88" i="112" s="1"/>
  <c r="AU25" i="112"/>
  <c r="AU77" i="112" s="1"/>
  <c r="W89" i="112"/>
  <c r="W90" i="112" s="1"/>
  <c r="V90" i="112"/>
  <c r="M7" i="112"/>
  <c r="L9" i="112"/>
  <c r="L29" i="112"/>
  <c r="P141" i="112"/>
  <c r="L71" i="112"/>
  <c r="L81" i="112" s="1"/>
  <c r="L82" i="112" s="1"/>
  <c r="AV81" i="112" s="1"/>
  <c r="CK41" i="90"/>
  <c r="AH125" i="44"/>
  <c r="AH249" i="44"/>
  <c r="AH205" i="44"/>
  <c r="AH122" i="44"/>
  <c r="AH123" i="44"/>
  <c r="AH207" i="44"/>
  <c r="CL57" i="90"/>
  <c r="CW57" i="90" s="1"/>
  <c r="AJ61" i="56" s="1"/>
  <c r="CL81" i="90"/>
  <c r="CW81" i="90" s="1"/>
  <c r="AJ85" i="56" s="1"/>
  <c r="CL105" i="90"/>
  <c r="CW105" i="90" s="1"/>
  <c r="AJ109" i="56" s="1"/>
  <c r="CL129" i="90"/>
  <c r="CL51" i="90"/>
  <c r="CW51" i="90" s="1"/>
  <c r="AJ55" i="56" s="1"/>
  <c r="CL74" i="90"/>
  <c r="CW74" i="90" s="1"/>
  <c r="AJ78" i="56" s="1"/>
  <c r="CL98" i="90"/>
  <c r="CW98" i="90" s="1"/>
  <c r="AJ102" i="56" s="1"/>
  <c r="CL122" i="90"/>
  <c r="CW122" i="90" s="1"/>
  <c r="AJ126" i="56" s="1"/>
  <c r="CL44" i="90"/>
  <c r="CW44" i="90" s="1"/>
  <c r="AJ48" i="56" s="1"/>
  <c r="CL67" i="90"/>
  <c r="CW67" i="90" s="1"/>
  <c r="AJ71" i="56" s="1"/>
  <c r="CL91" i="90"/>
  <c r="CW91" i="90" s="1"/>
  <c r="AJ95" i="56" s="1"/>
  <c r="CL115" i="90"/>
  <c r="CW115" i="90" s="1"/>
  <c r="AJ119" i="56" s="1"/>
  <c r="CL139" i="90"/>
  <c r="CL60" i="90"/>
  <c r="CW60" i="90" s="1"/>
  <c r="AJ64" i="56" s="1"/>
  <c r="CL84" i="90"/>
  <c r="CW84" i="90" s="1"/>
  <c r="AJ88" i="56" s="1"/>
  <c r="CL108" i="90"/>
  <c r="CW108" i="90" s="1"/>
  <c r="AJ112" i="56" s="1"/>
  <c r="CL132" i="90"/>
  <c r="CL47" i="90"/>
  <c r="CW47" i="90" s="1"/>
  <c r="AJ51" i="56" s="1"/>
  <c r="CL119" i="90"/>
  <c r="CW119" i="90" s="1"/>
  <c r="AJ123" i="56" s="1"/>
  <c r="CL77" i="90"/>
  <c r="CW77" i="90" s="1"/>
  <c r="AJ81" i="56" s="1"/>
  <c r="CL125" i="90"/>
  <c r="CW125" i="90" s="1"/>
  <c r="AJ129" i="56" s="1"/>
  <c r="CL101" i="90"/>
  <c r="CW101" i="90" s="1"/>
  <c r="AJ105" i="56" s="1"/>
  <c r="CL107" i="90"/>
  <c r="CW107" i="90" s="1"/>
  <c r="AJ111" i="56" s="1"/>
  <c r="CL82" i="90"/>
  <c r="CW82" i="90" s="1"/>
  <c r="AJ86" i="56" s="1"/>
  <c r="CL94" i="90"/>
  <c r="CW94" i="90" s="1"/>
  <c r="AJ98" i="56" s="1"/>
  <c r="AK15" i="40"/>
  <c r="CL75" i="90"/>
  <c r="CW75" i="90" s="1"/>
  <c r="AJ79" i="56" s="1"/>
  <c r="CL111" i="90"/>
  <c r="CW111" i="90" s="1"/>
  <c r="AJ115" i="56" s="1"/>
  <c r="CL141" i="90"/>
  <c r="CL68" i="90"/>
  <c r="CW68" i="90" s="1"/>
  <c r="AJ72" i="56" s="1"/>
  <c r="CL104" i="90"/>
  <c r="CW104" i="90" s="1"/>
  <c r="AJ108" i="56" s="1"/>
  <c r="CL134" i="90"/>
  <c r="CL61" i="90"/>
  <c r="CW61" i="90" s="1"/>
  <c r="AJ65" i="56" s="1"/>
  <c r="CL97" i="90"/>
  <c r="CW97" i="90" s="1"/>
  <c r="AJ101" i="56" s="1"/>
  <c r="CL127" i="90"/>
  <c r="CL54" i="90"/>
  <c r="CW54" i="90" s="1"/>
  <c r="AJ58" i="56" s="1"/>
  <c r="CL90" i="90"/>
  <c r="CW90" i="90" s="1"/>
  <c r="AJ94" i="56" s="1"/>
  <c r="CL120" i="90"/>
  <c r="CW120" i="90" s="1"/>
  <c r="AJ124" i="56" s="1"/>
  <c r="CL48" i="90"/>
  <c r="CW48" i="90" s="1"/>
  <c r="AJ52" i="56" s="1"/>
  <c r="CL59" i="90"/>
  <c r="CW59" i="90" s="1"/>
  <c r="AJ63" i="56" s="1"/>
  <c r="CL95" i="90"/>
  <c r="CW95" i="90" s="1"/>
  <c r="AJ99" i="56" s="1"/>
  <c r="CL142" i="90"/>
  <c r="CL137" i="90"/>
  <c r="CL100" i="90"/>
  <c r="CW100" i="90" s="1"/>
  <c r="AJ104" i="56" s="1"/>
  <c r="CL118" i="90"/>
  <c r="CW118" i="90" s="1"/>
  <c r="AJ122" i="56" s="1"/>
  <c r="CL87" i="90"/>
  <c r="CW87" i="90" s="1"/>
  <c r="AJ91" i="56" s="1"/>
  <c r="CL117" i="90"/>
  <c r="CW117" i="90" s="1"/>
  <c r="AJ121" i="56" s="1"/>
  <c r="CL45" i="90"/>
  <c r="CW45" i="90" s="1"/>
  <c r="AJ49" i="56" s="1"/>
  <c r="CL80" i="90"/>
  <c r="CW80" i="90" s="1"/>
  <c r="AJ84" i="56" s="1"/>
  <c r="CL110" i="90"/>
  <c r="CW110" i="90" s="1"/>
  <c r="AJ114" i="56" s="1"/>
  <c r="CL140" i="90"/>
  <c r="CL73" i="90"/>
  <c r="CW73" i="90" s="1"/>
  <c r="AJ77" i="56" s="1"/>
  <c r="CL103" i="90"/>
  <c r="CW103" i="90" s="1"/>
  <c r="AJ107" i="56" s="1"/>
  <c r="CL133" i="90"/>
  <c r="CL66" i="90"/>
  <c r="CW66" i="90" s="1"/>
  <c r="AJ70" i="56" s="1"/>
  <c r="CL96" i="90"/>
  <c r="CW96" i="90" s="1"/>
  <c r="AJ100" i="56" s="1"/>
  <c r="CL126" i="90"/>
  <c r="CW126" i="90" s="1"/>
  <c r="AJ130" i="56" s="1"/>
  <c r="CL46" i="90"/>
  <c r="CW46" i="90" s="1"/>
  <c r="AJ50" i="56" s="1"/>
  <c r="CL76" i="90"/>
  <c r="CW76" i="90" s="1"/>
  <c r="AJ80" i="56" s="1"/>
  <c r="CL124" i="90"/>
  <c r="CW124" i="90" s="1"/>
  <c r="AJ128" i="56" s="1"/>
  <c r="CL58" i="90"/>
  <c r="CW58" i="90" s="1"/>
  <c r="AJ62" i="56" s="1"/>
  <c r="CL131" i="90"/>
  <c r="CL136" i="90"/>
  <c r="AJ85" i="41"/>
  <c r="CL99" i="90"/>
  <c r="CW99" i="90" s="1"/>
  <c r="AJ103" i="56" s="1"/>
  <c r="CL62" i="90"/>
  <c r="CW62" i="90" s="1"/>
  <c r="AJ66" i="56" s="1"/>
  <c r="CL128" i="90"/>
  <c r="CL85" i="90"/>
  <c r="CW85" i="90" s="1"/>
  <c r="AJ89" i="56" s="1"/>
  <c r="CL49" i="90"/>
  <c r="CW49" i="90" s="1"/>
  <c r="AJ53" i="56" s="1"/>
  <c r="CL78" i="90"/>
  <c r="CW78" i="90" s="1"/>
  <c r="AJ82" i="56" s="1"/>
  <c r="CL42" i="90"/>
  <c r="CW42" i="90" s="1"/>
  <c r="CL106" i="90"/>
  <c r="CW106" i="90" s="1"/>
  <c r="AJ110" i="56" s="1"/>
  <c r="CL64" i="90"/>
  <c r="CW64" i="90" s="1"/>
  <c r="AJ68" i="56" s="1"/>
  <c r="CL63" i="90"/>
  <c r="CW63" i="90" s="1"/>
  <c r="AJ67" i="56" s="1"/>
  <c r="CL93" i="90"/>
  <c r="CW93" i="90" s="1"/>
  <c r="AJ97" i="56" s="1"/>
  <c r="CL123" i="90"/>
  <c r="CW123" i="90" s="1"/>
  <c r="AJ127" i="56" s="1"/>
  <c r="CL56" i="90"/>
  <c r="CW56" i="90" s="1"/>
  <c r="AJ60" i="56" s="1"/>
  <c r="CL86" i="90"/>
  <c r="CW86" i="90" s="1"/>
  <c r="AJ90" i="56" s="1"/>
  <c r="CL116" i="90"/>
  <c r="CW116" i="90" s="1"/>
  <c r="AJ120" i="56" s="1"/>
  <c r="CL50" i="90"/>
  <c r="CW50" i="90" s="1"/>
  <c r="AJ54" i="56" s="1"/>
  <c r="CL79" i="90"/>
  <c r="CW79" i="90" s="1"/>
  <c r="AJ83" i="56" s="1"/>
  <c r="CL109" i="90"/>
  <c r="CW109" i="90" s="1"/>
  <c r="AJ113" i="56" s="1"/>
  <c r="CL43" i="90"/>
  <c r="CW43" i="90" s="1"/>
  <c r="AJ47" i="56" s="1"/>
  <c r="CL72" i="90"/>
  <c r="CW72" i="90" s="1"/>
  <c r="AJ76" i="56" s="1"/>
  <c r="CL102" i="90"/>
  <c r="CW102" i="90" s="1"/>
  <c r="AJ106" i="56" s="1"/>
  <c r="CL138" i="90"/>
  <c r="CL53" i="90"/>
  <c r="CW53" i="90" s="1"/>
  <c r="AJ57" i="56" s="1"/>
  <c r="CL112" i="90"/>
  <c r="CW112" i="90" s="1"/>
  <c r="AJ116" i="56" s="1"/>
  <c r="CL70" i="90"/>
  <c r="CW70" i="90" s="1"/>
  <c r="AJ74" i="56" s="1"/>
  <c r="CL88" i="90"/>
  <c r="CW88" i="90" s="1"/>
  <c r="AJ92" i="56" s="1"/>
  <c r="CL89" i="90"/>
  <c r="CW89" i="90" s="1"/>
  <c r="AJ93" i="56" s="1"/>
  <c r="CL130" i="90"/>
  <c r="AJ39" i="93"/>
  <c r="CL69" i="90"/>
  <c r="CW69" i="90" s="1"/>
  <c r="AJ73" i="56" s="1"/>
  <c r="CL135" i="90"/>
  <c r="CL92" i="90"/>
  <c r="CW92" i="90" s="1"/>
  <c r="AJ96" i="56" s="1"/>
  <c r="CL55" i="90"/>
  <c r="CW55" i="90" s="1"/>
  <c r="AJ59" i="56" s="1"/>
  <c r="CL121" i="90"/>
  <c r="CW121" i="90" s="1"/>
  <c r="AJ125" i="56" s="1"/>
  <c r="CL114" i="90"/>
  <c r="CW114" i="90" s="1"/>
  <c r="AJ118" i="56" s="1"/>
  <c r="CL83" i="90"/>
  <c r="CW83" i="90" s="1"/>
  <c r="AJ87" i="56" s="1"/>
  <c r="CL113" i="90"/>
  <c r="CW113" i="90" s="1"/>
  <c r="AJ117" i="56" s="1"/>
  <c r="CL71" i="90"/>
  <c r="CW71" i="90" s="1"/>
  <c r="AJ75" i="56" s="1"/>
  <c r="CL65" i="90"/>
  <c r="CW65" i="90" s="1"/>
  <c r="AJ69" i="56" s="1"/>
  <c r="AI41" i="93"/>
  <c r="AH49" i="114"/>
  <c r="AH206" i="44"/>
  <c r="AH248" i="44"/>
  <c r="AH124" i="44"/>
  <c r="AH247" i="44"/>
  <c r="AH139" i="44"/>
  <c r="AI109" i="41"/>
  <c r="AI188" i="44"/>
  <c r="AI108" i="41"/>
  <c r="AI83" i="44"/>
  <c r="AI99" i="44"/>
  <c r="AI191" i="44"/>
  <c r="AI193" i="44"/>
  <c r="AI186" i="44"/>
  <c r="AI84" i="44"/>
  <c r="AI110" i="41"/>
  <c r="AI89" i="44"/>
  <c r="AI137" i="44" s="1"/>
  <c r="AI86" i="44"/>
  <c r="AI136" i="44"/>
  <c r="AI90" i="44"/>
  <c r="AI96" i="44"/>
  <c r="AI85" i="44"/>
  <c r="AI87" i="44"/>
  <c r="AH209" i="44"/>
  <c r="AH126" i="44"/>
  <c r="M71" i="112"/>
  <c r="M81" i="112" s="1"/>
  <c r="M70" i="112"/>
  <c r="M78" i="112" s="1"/>
  <c r="AU93" i="112"/>
  <c r="K94" i="112"/>
  <c r="AU94" i="112" s="1"/>
  <c r="L27" i="112"/>
  <c r="AV27" i="112" s="1"/>
  <c r="AV26" i="112"/>
  <c r="M145" i="112"/>
  <c r="O135" i="112"/>
  <c r="O143" i="112" s="1"/>
  <c r="O142" i="112"/>
  <c r="P134" i="112"/>
  <c r="P138" i="112"/>
  <c r="P139" i="112" s="1"/>
  <c r="P136" i="112"/>
  <c r="P137" i="112" s="1"/>
  <c r="L30" i="112"/>
  <c r="AV29" i="112" s="1"/>
  <c r="AV28" i="112"/>
  <c r="M21" i="112"/>
  <c r="AT95" i="112"/>
  <c r="J97" i="112"/>
  <c r="AT96" i="112" s="1"/>
  <c r="AT93" i="112"/>
  <c r="J94" i="112"/>
  <c r="AT94" i="112" s="1"/>
  <c r="Q107" i="112"/>
  <c r="Q140" i="112" s="1"/>
  <c r="AV78" i="112"/>
  <c r="L93" i="112"/>
  <c r="L79" i="112"/>
  <c r="AV79" i="112" s="1"/>
  <c r="N144" i="112"/>
  <c r="N66" i="112" s="1"/>
  <c r="Q108" i="112"/>
  <c r="K97" i="112"/>
  <c r="AU96" i="112" s="1"/>
  <c r="AU95" i="112"/>
  <c r="Y71" i="41"/>
  <c r="Y78" i="41" s="1"/>
  <c r="X81" i="41"/>
  <c r="Y12" i="45"/>
  <c r="Y30" i="45"/>
  <c r="Y37" i="41"/>
  <c r="X80" i="41"/>
  <c r="AD64" i="41"/>
  <c r="AH101" i="98"/>
  <c r="AE60" i="41"/>
  <c r="AF54" i="41" s="1"/>
  <c r="Z564" i="57" l="1"/>
  <c r="AV80" i="112"/>
  <c r="AB564" i="57"/>
  <c r="Y564" i="57"/>
  <c r="AC564" i="57"/>
  <c r="AL564" i="57"/>
  <c r="AF564" i="57"/>
  <c r="AE564" i="57"/>
  <c r="AI564" i="57"/>
  <c r="AG564" i="57"/>
  <c r="AL563" i="57"/>
  <c r="X564" i="57"/>
  <c r="AK564" i="57"/>
  <c r="AC200" i="86"/>
  <c r="AJ46" i="56"/>
  <c r="AJ45" i="56" s="1"/>
  <c r="AJ19" i="56" s="1"/>
  <c r="CW41" i="90"/>
  <c r="AI168" i="44"/>
  <c r="AI112" i="41"/>
  <c r="AC99" i="86"/>
  <c r="AC40" i="12"/>
  <c r="AC100" i="86"/>
  <c r="AB15" i="114" s="1"/>
  <c r="AC15" i="42"/>
  <c r="AC157" i="86"/>
  <c r="AC179" i="86"/>
  <c r="AC178" i="86"/>
  <c r="AC175" i="86"/>
  <c r="AC176" i="86"/>
  <c r="AC174" i="86"/>
  <c r="AC177" i="86"/>
  <c r="AC173" i="86"/>
  <c r="AC198" i="86"/>
  <c r="AE84" i="86"/>
  <c r="AE162" i="86"/>
  <c r="AG54" i="86"/>
  <c r="AF61" i="86"/>
  <c r="AD172" i="86"/>
  <c r="AD179" i="86"/>
  <c r="AD178" i="86"/>
  <c r="AD173" i="86"/>
  <c r="AD174" i="86"/>
  <c r="AD175" i="86"/>
  <c r="AD177" i="86"/>
  <c r="AD176" i="86"/>
  <c r="AC156" i="86"/>
  <c r="AD140" i="86"/>
  <c r="AD95" i="86"/>
  <c r="AD156" i="86" s="1"/>
  <c r="P97" i="98"/>
  <c r="AM82" i="98"/>
  <c r="AK15" i="86"/>
  <c r="P89" i="98"/>
  <c r="P86" i="98"/>
  <c r="AM79" i="98"/>
  <c r="X131" i="44"/>
  <c r="X98" i="44"/>
  <c r="X101" i="44" s="1"/>
  <c r="X213" i="44"/>
  <c r="X221" i="44" s="1"/>
  <c r="X223" i="44" s="1"/>
  <c r="X167" i="44"/>
  <c r="AL26" i="40"/>
  <c r="AL32" i="40" s="1"/>
  <c r="AL23" i="40"/>
  <c r="AK91" i="41"/>
  <c r="AK38" i="40"/>
  <c r="AK42" i="40" s="1"/>
  <c r="X165" i="44"/>
  <c r="X92" i="44"/>
  <c r="AV25" i="112"/>
  <c r="AV77" i="112" s="1"/>
  <c r="L87" i="112"/>
  <c r="L88" i="112" s="1"/>
  <c r="L101" i="112"/>
  <c r="M9" i="112"/>
  <c r="N7" i="112"/>
  <c r="Q141" i="112"/>
  <c r="L96" i="112"/>
  <c r="AV95" i="112" s="1"/>
  <c r="AI249" i="44"/>
  <c r="AI125" i="44"/>
  <c r="AI248" i="44"/>
  <c r="AI206" i="44"/>
  <c r="AI124" i="44"/>
  <c r="AI205" i="44"/>
  <c r="AI122" i="44"/>
  <c r="AI49" i="114"/>
  <c r="AJ41" i="93"/>
  <c r="AI123" i="44"/>
  <c r="AI207" i="44"/>
  <c r="AJ191" i="44"/>
  <c r="AJ83" i="44"/>
  <c r="AJ188" i="44"/>
  <c r="AJ99" i="44"/>
  <c r="AJ109" i="41"/>
  <c r="AJ186" i="44"/>
  <c r="AJ108" i="41"/>
  <c r="AJ193" i="44"/>
  <c r="AJ89" i="44"/>
  <c r="AJ137" i="44" s="1"/>
  <c r="AJ136" i="44"/>
  <c r="AJ84" i="44"/>
  <c r="AJ110" i="41"/>
  <c r="AJ86" i="44"/>
  <c r="AJ96" i="44"/>
  <c r="AJ90" i="44"/>
  <c r="AJ85" i="44"/>
  <c r="AJ87" i="44"/>
  <c r="AI247" i="44"/>
  <c r="AI139" i="44"/>
  <c r="AI126" i="44"/>
  <c r="AI209" i="44"/>
  <c r="CL41" i="90"/>
  <c r="CM69" i="90"/>
  <c r="CX69" i="90" s="1"/>
  <c r="AK73" i="56" s="1"/>
  <c r="CM93" i="90"/>
  <c r="CX93" i="90" s="1"/>
  <c r="AK97" i="56" s="1"/>
  <c r="CM117" i="90"/>
  <c r="CX117" i="90" s="1"/>
  <c r="AK121" i="56" s="1"/>
  <c r="CM141" i="90"/>
  <c r="CM62" i="90"/>
  <c r="CX62" i="90" s="1"/>
  <c r="AK66" i="56" s="1"/>
  <c r="CM86" i="90"/>
  <c r="CX86" i="90" s="1"/>
  <c r="AK90" i="56" s="1"/>
  <c r="CM110" i="90"/>
  <c r="CX110" i="90" s="1"/>
  <c r="AK114" i="56" s="1"/>
  <c r="CM134" i="90"/>
  <c r="CM55" i="90"/>
  <c r="CX55" i="90" s="1"/>
  <c r="AK59" i="56" s="1"/>
  <c r="CM79" i="90"/>
  <c r="CX79" i="90" s="1"/>
  <c r="AK83" i="56" s="1"/>
  <c r="CM103" i="90"/>
  <c r="CX103" i="90" s="1"/>
  <c r="AK107" i="56" s="1"/>
  <c r="CM127" i="90"/>
  <c r="CM49" i="90"/>
  <c r="CX49" i="90" s="1"/>
  <c r="AK53" i="56" s="1"/>
  <c r="CM72" i="90"/>
  <c r="CX72" i="90" s="1"/>
  <c r="AK76" i="56" s="1"/>
  <c r="CM96" i="90"/>
  <c r="CX96" i="90" s="1"/>
  <c r="AK100" i="56" s="1"/>
  <c r="CM120" i="90"/>
  <c r="CX120" i="90" s="1"/>
  <c r="AK124" i="56" s="1"/>
  <c r="CM53" i="90"/>
  <c r="CX53" i="90" s="1"/>
  <c r="AK57" i="56" s="1"/>
  <c r="CM77" i="90"/>
  <c r="CX77" i="90" s="1"/>
  <c r="AK81" i="56" s="1"/>
  <c r="CM101" i="90"/>
  <c r="CX101" i="90" s="1"/>
  <c r="AK105" i="56" s="1"/>
  <c r="CM125" i="90"/>
  <c r="CX125" i="90" s="1"/>
  <c r="AK129" i="56" s="1"/>
  <c r="CM64" i="90"/>
  <c r="CX64" i="90" s="1"/>
  <c r="AK68" i="56" s="1"/>
  <c r="CM88" i="90"/>
  <c r="CX88" i="90" s="1"/>
  <c r="AK92" i="56" s="1"/>
  <c r="CM112" i="90"/>
  <c r="CX112" i="90" s="1"/>
  <c r="AK116" i="56" s="1"/>
  <c r="CM136" i="90"/>
  <c r="CM42" i="90"/>
  <c r="CX42" i="90" s="1"/>
  <c r="AK85" i="41"/>
  <c r="CM63" i="90"/>
  <c r="CX63" i="90" s="1"/>
  <c r="AK67" i="56" s="1"/>
  <c r="CM99" i="90"/>
  <c r="CX99" i="90" s="1"/>
  <c r="AK103" i="56" s="1"/>
  <c r="CM129" i="90"/>
  <c r="CM56" i="90"/>
  <c r="CX56" i="90" s="1"/>
  <c r="AK60" i="56" s="1"/>
  <c r="CM92" i="90"/>
  <c r="CX92" i="90" s="1"/>
  <c r="AK96" i="56" s="1"/>
  <c r="CM122" i="90"/>
  <c r="CX122" i="90" s="1"/>
  <c r="AK126" i="56" s="1"/>
  <c r="CM50" i="90"/>
  <c r="CX50" i="90" s="1"/>
  <c r="AK54" i="56" s="1"/>
  <c r="CM85" i="90"/>
  <c r="CX85" i="90" s="1"/>
  <c r="AK89" i="56" s="1"/>
  <c r="CM115" i="90"/>
  <c r="CX115" i="90" s="1"/>
  <c r="AK119" i="56" s="1"/>
  <c r="CM43" i="90"/>
  <c r="CX43" i="90" s="1"/>
  <c r="AK47" i="56" s="1"/>
  <c r="CM78" i="90"/>
  <c r="CX78" i="90" s="1"/>
  <c r="AK82" i="56" s="1"/>
  <c r="CM108" i="90"/>
  <c r="CX108" i="90" s="1"/>
  <c r="AK112" i="56" s="1"/>
  <c r="CM138" i="90"/>
  <c r="CM83" i="90"/>
  <c r="CX83" i="90" s="1"/>
  <c r="AK87" i="56" s="1"/>
  <c r="CM113" i="90"/>
  <c r="CX113" i="90" s="1"/>
  <c r="AK117" i="56" s="1"/>
  <c r="CM58" i="90"/>
  <c r="CX58" i="90" s="1"/>
  <c r="AK62" i="56" s="1"/>
  <c r="CM94" i="90"/>
  <c r="CX94" i="90" s="1"/>
  <c r="AK98" i="56" s="1"/>
  <c r="CM124" i="90"/>
  <c r="CX124" i="90" s="1"/>
  <c r="AK128" i="56" s="1"/>
  <c r="CM48" i="90"/>
  <c r="CX48" i="90" s="1"/>
  <c r="AK52" i="56" s="1"/>
  <c r="CM75" i="90"/>
  <c r="CX75" i="90" s="1"/>
  <c r="AK79" i="56" s="1"/>
  <c r="CM105" i="90"/>
  <c r="CX105" i="90" s="1"/>
  <c r="AK109" i="56" s="1"/>
  <c r="CM135" i="90"/>
  <c r="CM68" i="90"/>
  <c r="CX68" i="90" s="1"/>
  <c r="AK72" i="56" s="1"/>
  <c r="CM98" i="90"/>
  <c r="CX98" i="90" s="1"/>
  <c r="AK102" i="56" s="1"/>
  <c r="CM128" i="90"/>
  <c r="CM61" i="90"/>
  <c r="CX61" i="90" s="1"/>
  <c r="AK65" i="56" s="1"/>
  <c r="CM91" i="90"/>
  <c r="CX91" i="90" s="1"/>
  <c r="AK95" i="56" s="1"/>
  <c r="CM121" i="90"/>
  <c r="CX121" i="90" s="1"/>
  <c r="AK125" i="56" s="1"/>
  <c r="CM54" i="90"/>
  <c r="CX54" i="90" s="1"/>
  <c r="AK58" i="56" s="1"/>
  <c r="CM84" i="90"/>
  <c r="CX84" i="90" s="1"/>
  <c r="AK88" i="56" s="1"/>
  <c r="CM114" i="90"/>
  <c r="CX114" i="90" s="1"/>
  <c r="AK118" i="56" s="1"/>
  <c r="CM59" i="90"/>
  <c r="CX59" i="90" s="1"/>
  <c r="AK63" i="56" s="1"/>
  <c r="CM89" i="90"/>
  <c r="CX89" i="90" s="1"/>
  <c r="AK93" i="56" s="1"/>
  <c r="CM119" i="90"/>
  <c r="CX119" i="90" s="1"/>
  <c r="AK123" i="56" s="1"/>
  <c r="CM70" i="90"/>
  <c r="CX70" i="90" s="1"/>
  <c r="AK74" i="56" s="1"/>
  <c r="CM100" i="90"/>
  <c r="CX100" i="90" s="1"/>
  <c r="AK104" i="56" s="1"/>
  <c r="CM130" i="90"/>
  <c r="CM87" i="90"/>
  <c r="CX87" i="90" s="1"/>
  <c r="AK91" i="56" s="1"/>
  <c r="CM51" i="90"/>
  <c r="CX51" i="90" s="1"/>
  <c r="AK55" i="56" s="1"/>
  <c r="CM46" i="90"/>
  <c r="CX46" i="90" s="1"/>
  <c r="AK50" i="56" s="1"/>
  <c r="CM81" i="90"/>
  <c r="CX81" i="90" s="1"/>
  <c r="AK85" i="56" s="1"/>
  <c r="CM111" i="90"/>
  <c r="CX111" i="90" s="1"/>
  <c r="AK115" i="56" s="1"/>
  <c r="CM45" i="90"/>
  <c r="CX45" i="90" s="1"/>
  <c r="AK49" i="56" s="1"/>
  <c r="CM74" i="90"/>
  <c r="CX74" i="90" s="1"/>
  <c r="AK78" i="56" s="1"/>
  <c r="CM104" i="90"/>
  <c r="CX104" i="90" s="1"/>
  <c r="AK108" i="56" s="1"/>
  <c r="CM140" i="90"/>
  <c r="CM67" i="90"/>
  <c r="CX67" i="90" s="1"/>
  <c r="AK71" i="56" s="1"/>
  <c r="CM97" i="90"/>
  <c r="CX97" i="90" s="1"/>
  <c r="AK101" i="56" s="1"/>
  <c r="CM133" i="90"/>
  <c r="CM60" i="90"/>
  <c r="CX60" i="90" s="1"/>
  <c r="AK64" i="56" s="1"/>
  <c r="CM90" i="90"/>
  <c r="CX90" i="90" s="1"/>
  <c r="AK94" i="56" s="1"/>
  <c r="CM126" i="90"/>
  <c r="CX126" i="90" s="1"/>
  <c r="AK130" i="56" s="1"/>
  <c r="CM65" i="90"/>
  <c r="CX65" i="90" s="1"/>
  <c r="AK69" i="56" s="1"/>
  <c r="CM95" i="90"/>
  <c r="CX95" i="90" s="1"/>
  <c r="AK99" i="56" s="1"/>
  <c r="CM131" i="90"/>
  <c r="CM76" i="90"/>
  <c r="CX76" i="90" s="1"/>
  <c r="AK80" i="56" s="1"/>
  <c r="CM106" i="90"/>
  <c r="CX106" i="90" s="1"/>
  <c r="AK110" i="56" s="1"/>
  <c r="CM142" i="90"/>
  <c r="AK39" i="93"/>
  <c r="CM57" i="90"/>
  <c r="CX57" i="90" s="1"/>
  <c r="AK61" i="56" s="1"/>
  <c r="CM123" i="90"/>
  <c r="CX123" i="90" s="1"/>
  <c r="AK127" i="56" s="1"/>
  <c r="CM80" i="90"/>
  <c r="CX80" i="90" s="1"/>
  <c r="AK84" i="56" s="1"/>
  <c r="CM116" i="90"/>
  <c r="CX116" i="90" s="1"/>
  <c r="AK120" i="56" s="1"/>
  <c r="CM139" i="90"/>
  <c r="CM71" i="90"/>
  <c r="CX71" i="90" s="1"/>
  <c r="AK75" i="56" s="1"/>
  <c r="CM118" i="90"/>
  <c r="CX118" i="90" s="1"/>
  <c r="AK122" i="56" s="1"/>
  <c r="CM132" i="90"/>
  <c r="CM82" i="90"/>
  <c r="CX82" i="90" s="1"/>
  <c r="AK86" i="56" s="1"/>
  <c r="CM44" i="90"/>
  <c r="CX44" i="90" s="1"/>
  <c r="AK48" i="56" s="1"/>
  <c r="CM66" i="90"/>
  <c r="CX66" i="90" s="1"/>
  <c r="AK70" i="56" s="1"/>
  <c r="CM107" i="90"/>
  <c r="CX107" i="90" s="1"/>
  <c r="AK111" i="56" s="1"/>
  <c r="CM47" i="90"/>
  <c r="CX47" i="90" s="1"/>
  <c r="AK51" i="56" s="1"/>
  <c r="CM109" i="90"/>
  <c r="CX109" i="90" s="1"/>
  <c r="AK113" i="56" s="1"/>
  <c r="CM73" i="90"/>
  <c r="CX73" i="90" s="1"/>
  <c r="AK77" i="56" s="1"/>
  <c r="CM102" i="90"/>
  <c r="CX102" i="90" s="1"/>
  <c r="AK106" i="56" s="1"/>
  <c r="CM137" i="90"/>
  <c r="AL15" i="40"/>
  <c r="N21" i="112"/>
  <c r="N26" i="112" s="1"/>
  <c r="N145" i="112"/>
  <c r="N71" i="112"/>
  <c r="N81" i="112" s="1"/>
  <c r="N70" i="112"/>
  <c r="N78" i="112" s="1"/>
  <c r="Q138" i="112"/>
  <c r="Q139" i="112" s="1"/>
  <c r="Q134" i="112"/>
  <c r="Q136" i="112"/>
  <c r="Q137" i="112" s="1"/>
  <c r="L94" i="112"/>
  <c r="AV94" i="112" s="1"/>
  <c r="AV93" i="112"/>
  <c r="M29" i="112"/>
  <c r="M26" i="112"/>
  <c r="P135" i="112"/>
  <c r="P143" i="112" s="1"/>
  <c r="P142" i="112"/>
  <c r="AW78" i="112"/>
  <c r="M79" i="112"/>
  <c r="AW79" i="112" s="1"/>
  <c r="M93" i="112"/>
  <c r="AE62" i="41"/>
  <c r="AE64" i="41" s="1"/>
  <c r="R108" i="112"/>
  <c r="R107" i="112"/>
  <c r="R140" i="112" s="1"/>
  <c r="O144" i="112"/>
  <c r="O66" i="112" s="1"/>
  <c r="M82" i="112"/>
  <c r="AW81" i="112" s="1"/>
  <c r="AW80" i="112"/>
  <c r="M96" i="112"/>
  <c r="Y13" i="45"/>
  <c r="Y79" i="41"/>
  <c r="Y80" i="41" s="1"/>
  <c r="Z24" i="45"/>
  <c r="Y43" i="41"/>
  <c r="Y45" i="41" s="1"/>
  <c r="Y232" i="44" s="1"/>
  <c r="AB100" i="98"/>
  <c r="AB102" i="98" s="1"/>
  <c r="Z71" i="41"/>
  <c r="Z78" i="41" s="1"/>
  <c r="AD66" i="41"/>
  <c r="AI101" i="98"/>
  <c r="AF60" i="41"/>
  <c r="AG54" i="41" s="1"/>
  <c r="R141" i="112" l="1"/>
  <c r="AK46" i="56"/>
  <c r="AK45" i="56" s="1"/>
  <c r="AK19" i="56" s="1"/>
  <c r="CX41" i="90"/>
  <c r="AJ112" i="41"/>
  <c r="AJ168" i="44"/>
  <c r="X103" i="44"/>
  <c r="X107" i="44" s="1"/>
  <c r="X109" i="44" s="1"/>
  <c r="X141" i="44" s="1"/>
  <c r="AC158" i="86"/>
  <c r="AG61" i="86"/>
  <c r="AH54" i="86"/>
  <c r="AE169" i="86"/>
  <c r="AE172" i="86" s="1"/>
  <c r="AE95" i="86"/>
  <c r="AE156" i="86" s="1"/>
  <c r="AE140" i="86"/>
  <c r="AD40" i="12"/>
  <c r="AD157" i="86"/>
  <c r="AD158" i="86" s="1"/>
  <c r="AD100" i="86"/>
  <c r="AC15" i="114" s="1"/>
  <c r="AD15" i="42"/>
  <c r="AD99" i="86"/>
  <c r="AD150" i="86"/>
  <c r="AD141" i="86"/>
  <c r="AD142" i="86" s="1"/>
  <c r="AC15" i="41"/>
  <c r="AC102" i="41" s="1"/>
  <c r="AC111" i="41" s="1"/>
  <c r="AC95" i="44"/>
  <c r="AC128" i="44" s="1"/>
  <c r="AD198" i="86"/>
  <c r="AC41" i="12"/>
  <c r="AC42" i="12"/>
  <c r="AB18" i="114" s="1"/>
  <c r="AF84" i="86"/>
  <c r="AF162" i="86"/>
  <c r="AF169" i="86" s="1"/>
  <c r="Q86" i="98"/>
  <c r="Q89" i="98"/>
  <c r="AN82" i="98"/>
  <c r="AN79" i="98"/>
  <c r="AL15" i="86"/>
  <c r="Q97" i="98"/>
  <c r="AL91" i="41"/>
  <c r="AL38" i="40"/>
  <c r="AL42" i="40" s="1"/>
  <c r="X172" i="44"/>
  <c r="L97" i="112"/>
  <c r="AV96" i="112" s="1"/>
  <c r="Y81" i="41"/>
  <c r="O7" i="112"/>
  <c r="N9" i="112"/>
  <c r="M87" i="112"/>
  <c r="M88" i="112" s="1"/>
  <c r="M101" i="112"/>
  <c r="AW25" i="112"/>
  <c r="AW77" i="112" s="1"/>
  <c r="N29" i="112"/>
  <c r="AJ249" i="44"/>
  <c r="AJ125" i="44"/>
  <c r="AJ124" i="44"/>
  <c r="AJ248" i="44"/>
  <c r="AJ206" i="44"/>
  <c r="AK109" i="41"/>
  <c r="AK110" i="41"/>
  <c r="AK84" i="44"/>
  <c r="AK191" i="44"/>
  <c r="AK108" i="41"/>
  <c r="AK96" i="44"/>
  <c r="AK83" i="44"/>
  <c r="AK186" i="44"/>
  <c r="AK99" i="44"/>
  <c r="AK193" i="44"/>
  <c r="AK85" i="44"/>
  <c r="AK188" i="44"/>
  <c r="AK90" i="44"/>
  <c r="AK87" i="44"/>
  <c r="AK89" i="44"/>
  <c r="AK137" i="44" s="1"/>
  <c r="AK136" i="44"/>
  <c r="AK86" i="44"/>
  <c r="CM41" i="90"/>
  <c r="AJ207" i="44"/>
  <c r="AJ123" i="44"/>
  <c r="AJ126" i="44"/>
  <c r="AJ209" i="44"/>
  <c r="CN58" i="90"/>
  <c r="CY58" i="90" s="1"/>
  <c r="AL62" i="56" s="1"/>
  <c r="CN82" i="90"/>
  <c r="CY82" i="90" s="1"/>
  <c r="AL86" i="56" s="1"/>
  <c r="CN106" i="90"/>
  <c r="CY106" i="90" s="1"/>
  <c r="AL110" i="56" s="1"/>
  <c r="CN130" i="90"/>
  <c r="CN57" i="90"/>
  <c r="CY57" i="90" s="1"/>
  <c r="AL61" i="56" s="1"/>
  <c r="CN81" i="90"/>
  <c r="CY81" i="90" s="1"/>
  <c r="AL85" i="56" s="1"/>
  <c r="CN105" i="90"/>
  <c r="CY105" i="90" s="1"/>
  <c r="AL109" i="56" s="1"/>
  <c r="CN129" i="90"/>
  <c r="CN51" i="90"/>
  <c r="CY51" i="90" s="1"/>
  <c r="AL55" i="56" s="1"/>
  <c r="CN74" i="90"/>
  <c r="CY74" i="90" s="1"/>
  <c r="AL78" i="56" s="1"/>
  <c r="CN98" i="90"/>
  <c r="CY98" i="90" s="1"/>
  <c r="AL102" i="56" s="1"/>
  <c r="CN122" i="90"/>
  <c r="CY122" i="90" s="1"/>
  <c r="AL126" i="56" s="1"/>
  <c r="CN54" i="90"/>
  <c r="CY54" i="90" s="1"/>
  <c r="AL58" i="56" s="1"/>
  <c r="CN61" i="90"/>
  <c r="CY61" i="90" s="1"/>
  <c r="AL65" i="56" s="1"/>
  <c r="CN85" i="90"/>
  <c r="CY85" i="90" s="1"/>
  <c r="AL89" i="56" s="1"/>
  <c r="CN109" i="90"/>
  <c r="CY109" i="90" s="1"/>
  <c r="AL113" i="56" s="1"/>
  <c r="CN133" i="90"/>
  <c r="CN42" i="90"/>
  <c r="CY42" i="90" s="1"/>
  <c r="CN126" i="90"/>
  <c r="CY126" i="90" s="1"/>
  <c r="AL130" i="56" s="1"/>
  <c r="CN53" i="90"/>
  <c r="CY53" i="90" s="1"/>
  <c r="AL57" i="56" s="1"/>
  <c r="CN66" i="90"/>
  <c r="CY66" i="90" s="1"/>
  <c r="AL70" i="56" s="1"/>
  <c r="CN132" i="90"/>
  <c r="CN77" i="90"/>
  <c r="CY77" i="90" s="1"/>
  <c r="AL81" i="56" s="1"/>
  <c r="CN114" i="90"/>
  <c r="CY114" i="90" s="1"/>
  <c r="AL118" i="56" s="1"/>
  <c r="CN131" i="90"/>
  <c r="AL85" i="41"/>
  <c r="CN64" i="90"/>
  <c r="CY64" i="90" s="1"/>
  <c r="AL68" i="56" s="1"/>
  <c r="CN88" i="90"/>
  <c r="CY88" i="90" s="1"/>
  <c r="AL92" i="56" s="1"/>
  <c r="CN112" i="90"/>
  <c r="CY112" i="90" s="1"/>
  <c r="AL116" i="56" s="1"/>
  <c r="CN136" i="90"/>
  <c r="CN63" i="90"/>
  <c r="CY63" i="90" s="1"/>
  <c r="AL67" i="56" s="1"/>
  <c r="CN87" i="90"/>
  <c r="CY87" i="90" s="1"/>
  <c r="AL91" i="56" s="1"/>
  <c r="CN111" i="90"/>
  <c r="CY111" i="90" s="1"/>
  <c r="AL115" i="56" s="1"/>
  <c r="CN135" i="90"/>
  <c r="CN56" i="90"/>
  <c r="CY56" i="90" s="1"/>
  <c r="AL60" i="56" s="1"/>
  <c r="CN80" i="90"/>
  <c r="CY80" i="90" s="1"/>
  <c r="AL84" i="56" s="1"/>
  <c r="CN104" i="90"/>
  <c r="CY104" i="90" s="1"/>
  <c r="AL108" i="56" s="1"/>
  <c r="CN128" i="90"/>
  <c r="CN44" i="90"/>
  <c r="CY44" i="90" s="1"/>
  <c r="AL48" i="56" s="1"/>
  <c r="CN67" i="90"/>
  <c r="CY67" i="90" s="1"/>
  <c r="AL71" i="56" s="1"/>
  <c r="CN91" i="90"/>
  <c r="CY91" i="90" s="1"/>
  <c r="AL95" i="56" s="1"/>
  <c r="CN115" i="90"/>
  <c r="CY115" i="90" s="1"/>
  <c r="AL119" i="56" s="1"/>
  <c r="CN139" i="90"/>
  <c r="CN48" i="90"/>
  <c r="CY48" i="90" s="1"/>
  <c r="AL52" i="56" s="1"/>
  <c r="CN108" i="90"/>
  <c r="CY108" i="90" s="1"/>
  <c r="AL112" i="56" s="1"/>
  <c r="CN83" i="90"/>
  <c r="CY83" i="90" s="1"/>
  <c r="AL87" i="56" s="1"/>
  <c r="CN138" i="90"/>
  <c r="CN84" i="90"/>
  <c r="CY84" i="90" s="1"/>
  <c r="AL88" i="56" s="1"/>
  <c r="CN113" i="90"/>
  <c r="CY113" i="90" s="1"/>
  <c r="AL117" i="56" s="1"/>
  <c r="CN102" i="90"/>
  <c r="CY102" i="90" s="1"/>
  <c r="AL106" i="56" s="1"/>
  <c r="CN72" i="90"/>
  <c r="CY72" i="90" s="1"/>
  <c r="AL76" i="56" s="1"/>
  <c r="AL39" i="93"/>
  <c r="CN70" i="90"/>
  <c r="CY70" i="90" s="1"/>
  <c r="AL74" i="56" s="1"/>
  <c r="CN94" i="90"/>
  <c r="CY94" i="90" s="1"/>
  <c r="AL98" i="56" s="1"/>
  <c r="CN118" i="90"/>
  <c r="CY118" i="90" s="1"/>
  <c r="AL122" i="56" s="1"/>
  <c r="CN142" i="90"/>
  <c r="CN69" i="90"/>
  <c r="CY69" i="90" s="1"/>
  <c r="AL73" i="56" s="1"/>
  <c r="CN93" i="90"/>
  <c r="CY93" i="90" s="1"/>
  <c r="AL97" i="56" s="1"/>
  <c r="CN117" i="90"/>
  <c r="CY117" i="90" s="1"/>
  <c r="AL121" i="56" s="1"/>
  <c r="CN141" i="90"/>
  <c r="CN62" i="90"/>
  <c r="CY62" i="90" s="1"/>
  <c r="AL66" i="56" s="1"/>
  <c r="CN86" i="90"/>
  <c r="CY86" i="90" s="1"/>
  <c r="AL90" i="56" s="1"/>
  <c r="CN110" i="90"/>
  <c r="CY110" i="90" s="1"/>
  <c r="AL114" i="56" s="1"/>
  <c r="CN134" i="90"/>
  <c r="CN50" i="90"/>
  <c r="CY50" i="90" s="1"/>
  <c r="AL54" i="56" s="1"/>
  <c r="CN73" i="90"/>
  <c r="CY73" i="90" s="1"/>
  <c r="AL77" i="56" s="1"/>
  <c r="CN97" i="90"/>
  <c r="CY97" i="90" s="1"/>
  <c r="AL101" i="56" s="1"/>
  <c r="CN121" i="90"/>
  <c r="CY121" i="90" s="1"/>
  <c r="AL125" i="56" s="1"/>
  <c r="CN43" i="90"/>
  <c r="CY43" i="90" s="1"/>
  <c r="AL47" i="56" s="1"/>
  <c r="CN47" i="90"/>
  <c r="CY47" i="90" s="1"/>
  <c r="AL51" i="56" s="1"/>
  <c r="CN60" i="90"/>
  <c r="CY60" i="90" s="1"/>
  <c r="AL64" i="56" s="1"/>
  <c r="CN119" i="90"/>
  <c r="CY119" i="90" s="1"/>
  <c r="AL123" i="56" s="1"/>
  <c r="CN95" i="90"/>
  <c r="CY95" i="90" s="1"/>
  <c r="AL99" i="56" s="1"/>
  <c r="CN120" i="90"/>
  <c r="CY120" i="90" s="1"/>
  <c r="AL124" i="56" s="1"/>
  <c r="CN137" i="90"/>
  <c r="CN71" i="90"/>
  <c r="CY71" i="90" s="1"/>
  <c r="AL75" i="56" s="1"/>
  <c r="CN65" i="90"/>
  <c r="CY65" i="90" s="1"/>
  <c r="AL69" i="56" s="1"/>
  <c r="CN124" i="90"/>
  <c r="CY124" i="90" s="1"/>
  <c r="AL128" i="56" s="1"/>
  <c r="CN123" i="90"/>
  <c r="CY123" i="90" s="1"/>
  <c r="AL127" i="56" s="1"/>
  <c r="CN116" i="90"/>
  <c r="CY116" i="90" s="1"/>
  <c r="AL120" i="56" s="1"/>
  <c r="CN103" i="90"/>
  <c r="CY103" i="90" s="1"/>
  <c r="AL107" i="56" s="1"/>
  <c r="CN125" i="90"/>
  <c r="CY125" i="90" s="1"/>
  <c r="AL129" i="56" s="1"/>
  <c r="CN78" i="90"/>
  <c r="CY78" i="90" s="1"/>
  <c r="AL82" i="56" s="1"/>
  <c r="CN96" i="90"/>
  <c r="CY96" i="90" s="1"/>
  <c r="AL100" i="56" s="1"/>
  <c r="CN46" i="90"/>
  <c r="CY46" i="90" s="1"/>
  <c r="AL50" i="56" s="1"/>
  <c r="CN45" i="90"/>
  <c r="CY45" i="90" s="1"/>
  <c r="AL49" i="56" s="1"/>
  <c r="CN140" i="90"/>
  <c r="CN127" i="90"/>
  <c r="CN101" i="90"/>
  <c r="CY101" i="90" s="1"/>
  <c r="AL105" i="56" s="1"/>
  <c r="CN107" i="90"/>
  <c r="CY107" i="90" s="1"/>
  <c r="AL111" i="56" s="1"/>
  <c r="CN100" i="90"/>
  <c r="CY100" i="90" s="1"/>
  <c r="AL104" i="56" s="1"/>
  <c r="CN99" i="90"/>
  <c r="CY99" i="90" s="1"/>
  <c r="AL103" i="56" s="1"/>
  <c r="CN92" i="90"/>
  <c r="CY92" i="90" s="1"/>
  <c r="AL96" i="56" s="1"/>
  <c r="CN79" i="90"/>
  <c r="CY79" i="90" s="1"/>
  <c r="AL83" i="56" s="1"/>
  <c r="CN90" i="90"/>
  <c r="CY90" i="90" s="1"/>
  <c r="AL94" i="56" s="1"/>
  <c r="CN76" i="90"/>
  <c r="CY76" i="90" s="1"/>
  <c r="AL80" i="56" s="1"/>
  <c r="CN75" i="90"/>
  <c r="CY75" i="90" s="1"/>
  <c r="AL79" i="56" s="1"/>
  <c r="CN68" i="90"/>
  <c r="CY68" i="90" s="1"/>
  <c r="AL72" i="56" s="1"/>
  <c r="CN55" i="90"/>
  <c r="CY55" i="90" s="1"/>
  <c r="AL59" i="56" s="1"/>
  <c r="CN49" i="90"/>
  <c r="CY49" i="90" s="1"/>
  <c r="AL53" i="56" s="1"/>
  <c r="CN59" i="90"/>
  <c r="CY59" i="90" s="1"/>
  <c r="AL63" i="56" s="1"/>
  <c r="CN89" i="90"/>
  <c r="CY89" i="90" s="1"/>
  <c r="AL93" i="56" s="1"/>
  <c r="AK41" i="93"/>
  <c r="AJ49" i="114"/>
  <c r="AJ247" i="44"/>
  <c r="AJ139" i="44"/>
  <c r="AJ122" i="44"/>
  <c r="AJ205" i="44"/>
  <c r="O21" i="112"/>
  <c r="O26" i="112" s="1"/>
  <c r="O70" i="112"/>
  <c r="O78" i="112" s="1"/>
  <c r="O71" i="112"/>
  <c r="O81" i="112" s="1"/>
  <c r="M27" i="112"/>
  <c r="AW27" i="112" s="1"/>
  <c r="AW26" i="112"/>
  <c r="S108" i="112"/>
  <c r="AW28" i="112"/>
  <c r="M30" i="112"/>
  <c r="AW29" i="112" s="1"/>
  <c r="N30" i="112"/>
  <c r="AX29" i="112" s="1"/>
  <c r="AX28" i="112"/>
  <c r="O145" i="112"/>
  <c r="R138" i="112"/>
  <c r="R139" i="112" s="1"/>
  <c r="R136" i="112"/>
  <c r="R137" i="112" s="1"/>
  <c r="R134" i="112"/>
  <c r="P144" i="112"/>
  <c r="P21" i="112" s="1"/>
  <c r="N27" i="112"/>
  <c r="AX27" i="112" s="1"/>
  <c r="AX26" i="112"/>
  <c r="AW95" i="112"/>
  <c r="M97" i="112"/>
  <c r="AW96" i="112" s="1"/>
  <c r="S107" i="112"/>
  <c r="S140" i="112" s="1"/>
  <c r="AW93" i="112"/>
  <c r="M94" i="112"/>
  <c r="AW94" i="112" s="1"/>
  <c r="Q142" i="112"/>
  <c r="Q135" i="112"/>
  <c r="Q143" i="112" s="1"/>
  <c r="AX78" i="112"/>
  <c r="N79" i="112"/>
  <c r="AX79" i="112" s="1"/>
  <c r="N93" i="112"/>
  <c r="N82" i="112"/>
  <c r="AX81" i="112" s="1"/>
  <c r="N96" i="112"/>
  <c r="AX80" i="112"/>
  <c r="Z37" i="41"/>
  <c r="Z30" i="45"/>
  <c r="Z12" i="45"/>
  <c r="AA71" i="41"/>
  <c r="AA78" i="41" s="1"/>
  <c r="AF62" i="41"/>
  <c r="AE66" i="41"/>
  <c r="AG60" i="41"/>
  <c r="AH54" i="41" s="1"/>
  <c r="AJ101" i="98"/>
  <c r="AL46" i="56" l="1"/>
  <c r="AL45" i="56" s="1"/>
  <c r="AL19" i="56" s="1"/>
  <c r="CY41" i="90"/>
  <c r="AK112" i="41"/>
  <c r="AK168" i="44"/>
  <c r="X246" i="44"/>
  <c r="X105" i="44"/>
  <c r="X111" i="44" s="1"/>
  <c r="AC166" i="44"/>
  <c r="AC210" i="44"/>
  <c r="AD41" i="12"/>
  <c r="AD42" i="12"/>
  <c r="AC18" i="114" s="1"/>
  <c r="AE141" i="86"/>
  <c r="AE142" i="86" s="1"/>
  <c r="AE150" i="86"/>
  <c r="AF172" i="86"/>
  <c r="AF175" i="86"/>
  <c r="AF177" i="86"/>
  <c r="AF178" i="86"/>
  <c r="AF173" i="86"/>
  <c r="AF179" i="86"/>
  <c r="AF176" i="86"/>
  <c r="AF174" i="86"/>
  <c r="AD151" i="86"/>
  <c r="AD152" i="86" s="1"/>
  <c r="AD200" i="86"/>
  <c r="AE40" i="12"/>
  <c r="AE157" i="86"/>
  <c r="AE158" i="86" s="1"/>
  <c r="AE15" i="42"/>
  <c r="AE100" i="86"/>
  <c r="AD15" i="114" s="1"/>
  <c r="AE99" i="86"/>
  <c r="AF140" i="86"/>
  <c r="AF95" i="86"/>
  <c r="AF156" i="86" s="1"/>
  <c r="AD95" i="44"/>
  <c r="AD128" i="44" s="1"/>
  <c r="AD15" i="41"/>
  <c r="AD102" i="41" s="1"/>
  <c r="AD111" i="41" s="1"/>
  <c r="AE174" i="86"/>
  <c r="AE179" i="86"/>
  <c r="AE175" i="86"/>
  <c r="AE176" i="86"/>
  <c r="AE178" i="86"/>
  <c r="AE173" i="86"/>
  <c r="AE177" i="86"/>
  <c r="AE198" i="86"/>
  <c r="AI54" i="86"/>
  <c r="AH61" i="86"/>
  <c r="AG84" i="86"/>
  <c r="AG162" i="86"/>
  <c r="AG169" i="86" s="1"/>
  <c r="R86" i="98"/>
  <c r="AO79" i="98"/>
  <c r="AO82" i="98"/>
  <c r="R97" i="98"/>
  <c r="R89" i="98"/>
  <c r="X174" i="44"/>
  <c r="Y169" i="44"/>
  <c r="S141" i="112"/>
  <c r="AX25" i="112"/>
  <c r="AX77" i="112" s="1"/>
  <c r="N87" i="112"/>
  <c r="N88" i="112" s="1"/>
  <c r="N101" i="112"/>
  <c r="O9" i="112"/>
  <c r="P7" i="112"/>
  <c r="O29" i="112"/>
  <c r="AY28" i="112" s="1"/>
  <c r="AK205" i="44"/>
  <c r="AK122" i="44"/>
  <c r="AK209" i="44"/>
  <c r="AK126" i="44"/>
  <c r="AK49" i="114"/>
  <c r="AL41" i="93"/>
  <c r="AK125" i="44"/>
  <c r="AK249" i="44"/>
  <c r="AK248" i="44"/>
  <c r="AK124" i="44"/>
  <c r="AK206" i="44"/>
  <c r="AK123" i="44"/>
  <c r="AK207" i="44"/>
  <c r="AL83" i="44"/>
  <c r="AL188" i="44"/>
  <c r="AL99" i="44"/>
  <c r="AL109" i="41"/>
  <c r="AL108" i="41"/>
  <c r="AL110" i="41"/>
  <c r="AL193" i="44"/>
  <c r="AL90" i="44"/>
  <c r="AL186" i="44"/>
  <c r="AL191" i="44"/>
  <c r="AL84" i="44"/>
  <c r="AL96" i="44"/>
  <c r="AL86" i="44"/>
  <c r="AL136" i="44"/>
  <c r="AL87" i="44"/>
  <c r="AL85" i="44"/>
  <c r="AL89" i="44"/>
  <c r="AL137" i="44" s="1"/>
  <c r="CN41" i="90"/>
  <c r="AK247" i="44"/>
  <c r="AK139" i="44"/>
  <c r="P145" i="112"/>
  <c r="P26" i="112"/>
  <c r="P29" i="112"/>
  <c r="AX95" i="112"/>
  <c r="N97" i="112"/>
  <c r="AX96" i="112" s="1"/>
  <c r="S138" i="112"/>
  <c r="S139" i="112" s="1"/>
  <c r="S136" i="112"/>
  <c r="S137" i="112" s="1"/>
  <c r="S134" i="112"/>
  <c r="AY26" i="112"/>
  <c r="O27" i="112"/>
  <c r="AY27" i="112" s="1"/>
  <c r="P66" i="112"/>
  <c r="R142" i="112"/>
  <c r="R135" i="112"/>
  <c r="R143" i="112" s="1"/>
  <c r="O82" i="112"/>
  <c r="AY81" i="112" s="1"/>
  <c r="O96" i="112"/>
  <c r="AY80" i="112"/>
  <c r="AX93" i="112"/>
  <c r="N94" i="112"/>
  <c r="AX94" i="112" s="1"/>
  <c r="Q144" i="112"/>
  <c r="Q21" i="112" s="1"/>
  <c r="T107" i="112"/>
  <c r="T140" i="112" s="1"/>
  <c r="O30" i="112"/>
  <c r="AY29" i="112" s="1"/>
  <c r="T108" i="112"/>
  <c r="O79" i="112"/>
  <c r="AY79" i="112" s="1"/>
  <c r="AY78" i="112"/>
  <c r="O93" i="112"/>
  <c r="AG62" i="41"/>
  <c r="AG64" i="41" s="1"/>
  <c r="Z13" i="45"/>
  <c r="AA24" i="45"/>
  <c r="Z79" i="41"/>
  <c r="AB71" i="41"/>
  <c r="AB78" i="41" s="1"/>
  <c r="AC100" i="98"/>
  <c r="AC102" i="98" s="1"/>
  <c r="Z43" i="41"/>
  <c r="Z45" i="41" s="1"/>
  <c r="Z232" i="44" s="1"/>
  <c r="AK101" i="98"/>
  <c r="AH60" i="41"/>
  <c r="AI54" i="41" s="1"/>
  <c r="AF64" i="41"/>
  <c r="AF198" i="86" l="1"/>
  <c r="AL168" i="44"/>
  <c r="AL112" i="41"/>
  <c r="AF141" i="86"/>
  <c r="AF142" i="86" s="1"/>
  <c r="AF150" i="86"/>
  <c r="AH84" i="86"/>
  <c r="AH162" i="86"/>
  <c r="AH169" i="86" s="1"/>
  <c r="AE200" i="86"/>
  <c r="AE151" i="86"/>
  <c r="AE152" i="86" s="1"/>
  <c r="AG140" i="86"/>
  <c r="AG95" i="86"/>
  <c r="AI61" i="86"/>
  <c r="AJ54" i="86"/>
  <c r="AE15" i="41"/>
  <c r="AE102" i="41" s="1"/>
  <c r="AE111" i="41" s="1"/>
  <c r="AE95" i="44"/>
  <c r="AE128" i="44" s="1"/>
  <c r="AD166" i="44"/>
  <c r="AD210" i="44"/>
  <c r="AE42" i="12"/>
  <c r="AD18" i="114" s="1"/>
  <c r="AE41" i="12"/>
  <c r="AG172" i="86"/>
  <c r="AG178" i="86"/>
  <c r="AG177" i="86"/>
  <c r="AG174" i="86"/>
  <c r="AG176" i="86"/>
  <c r="AG173" i="86"/>
  <c r="AG179" i="86"/>
  <c r="AG175" i="86"/>
  <c r="AF15" i="42"/>
  <c r="AF100" i="86"/>
  <c r="AE15" i="114" s="1"/>
  <c r="AF40" i="12"/>
  <c r="AF157" i="86"/>
  <c r="AF158" i="86" s="1"/>
  <c r="AF99" i="86"/>
  <c r="X129" i="44"/>
  <c r="X133" i="44" s="1"/>
  <c r="X143" i="44" s="1"/>
  <c r="X156" i="44" s="1"/>
  <c r="X157" i="44" s="1"/>
  <c r="Y155" i="44" s="1"/>
  <c r="Y187" i="44" s="1"/>
  <c r="X211" i="44"/>
  <c r="X215" i="44" s="1"/>
  <c r="O87" i="112"/>
  <c r="O88" i="112" s="1"/>
  <c r="O101" i="112"/>
  <c r="AY25" i="112"/>
  <c r="AY77" i="112" s="1"/>
  <c r="Q7" i="112"/>
  <c r="P9" i="112"/>
  <c r="T141" i="112"/>
  <c r="Q66" i="112"/>
  <c r="AL125" i="44"/>
  <c r="AL249" i="44"/>
  <c r="AL247" i="44"/>
  <c r="AL139" i="44"/>
  <c r="AL126" i="44"/>
  <c r="AL209" i="44"/>
  <c r="AL124" i="44"/>
  <c r="AL206" i="44"/>
  <c r="AL248" i="44"/>
  <c r="AL122" i="44"/>
  <c r="AL205" i="44"/>
  <c r="AL207" i="44"/>
  <c r="AL123" i="44"/>
  <c r="Q145" i="112"/>
  <c r="Q29" i="112"/>
  <c r="Q26" i="112"/>
  <c r="U108" i="112"/>
  <c r="T136" i="112"/>
  <c r="T137" i="112" s="1"/>
  <c r="T138" i="112"/>
  <c r="T139" i="112" s="1"/>
  <c r="T134" i="112"/>
  <c r="R144" i="112"/>
  <c r="R145" i="112" s="1"/>
  <c r="S142" i="112"/>
  <c r="S135" i="112"/>
  <c r="S143" i="112" s="1"/>
  <c r="AY93" i="112"/>
  <c r="O94" i="112"/>
  <c r="AY94" i="112" s="1"/>
  <c r="U107" i="112"/>
  <c r="U140" i="112" s="1"/>
  <c r="AY95" i="112"/>
  <c r="O97" i="112"/>
  <c r="AY96" i="112" s="1"/>
  <c r="P71" i="112"/>
  <c r="P81" i="112" s="1"/>
  <c r="P70" i="112"/>
  <c r="P78" i="112" s="1"/>
  <c r="AZ28" i="112"/>
  <c r="P30" i="112"/>
  <c r="AZ29" i="112" s="1"/>
  <c r="Q71" i="112"/>
  <c r="Q81" i="112" s="1"/>
  <c r="Q70" i="112"/>
  <c r="Q78" i="112" s="1"/>
  <c r="AZ26" i="112"/>
  <c r="P27" i="112"/>
  <c r="AZ27" i="112" s="1"/>
  <c r="AH62" i="41"/>
  <c r="AH64" i="41" s="1"/>
  <c r="AC71" i="41"/>
  <c r="AA37" i="41"/>
  <c r="AA12" i="45"/>
  <c r="AA30" i="45"/>
  <c r="Z80" i="41"/>
  <c r="Z81" i="41"/>
  <c r="AG66" i="41"/>
  <c r="AF66" i="41"/>
  <c r="AI60" i="41"/>
  <c r="AJ54" i="41" s="1"/>
  <c r="AL101" i="98"/>
  <c r="AG40" i="12" l="1"/>
  <c r="AG99" i="86"/>
  <c r="AG157" i="86"/>
  <c r="AG15" i="42"/>
  <c r="AG100" i="86"/>
  <c r="AF15" i="114" s="1"/>
  <c r="AF42" i="12"/>
  <c r="AE18" i="114" s="1"/>
  <c r="AF41" i="12"/>
  <c r="AE166" i="44"/>
  <c r="AE210" i="44"/>
  <c r="AK54" i="86"/>
  <c r="AJ61" i="86"/>
  <c r="AH95" i="86"/>
  <c r="AH156" i="86" s="1"/>
  <c r="AH140" i="86"/>
  <c r="AG150" i="86"/>
  <c r="AG141" i="86"/>
  <c r="AG142" i="86" s="1"/>
  <c r="AF95" i="44"/>
  <c r="AF128" i="44" s="1"/>
  <c r="AF15" i="41"/>
  <c r="AF102" i="41" s="1"/>
  <c r="AF111" i="41" s="1"/>
  <c r="AH172" i="86"/>
  <c r="AH176" i="86"/>
  <c r="AH173" i="86"/>
  <c r="AH179" i="86"/>
  <c r="AH177" i="86"/>
  <c r="AH174" i="86"/>
  <c r="AH178" i="86"/>
  <c r="AH175" i="86"/>
  <c r="AG198" i="86"/>
  <c r="AI84" i="86"/>
  <c r="AI162" i="86"/>
  <c r="AI169" i="86" s="1"/>
  <c r="AF200" i="86"/>
  <c r="AF151" i="86"/>
  <c r="AF152" i="86" s="1"/>
  <c r="AG156" i="86"/>
  <c r="AG158" i="86" s="1"/>
  <c r="X160" i="44"/>
  <c r="X161" i="44" s="1"/>
  <c r="Y159" i="44" s="1"/>
  <c r="Y192" i="44" s="1"/>
  <c r="Y195" i="44" s="1"/>
  <c r="X237" i="44"/>
  <c r="X242" i="44" s="1"/>
  <c r="X243" i="44" s="1"/>
  <c r="X220" i="44"/>
  <c r="X225" i="44" s="1"/>
  <c r="X245" i="44"/>
  <c r="X251" i="44" s="1"/>
  <c r="P101" i="112"/>
  <c r="P87" i="112"/>
  <c r="P88" i="112" s="1"/>
  <c r="AZ25" i="112"/>
  <c r="AZ77" i="112" s="1"/>
  <c r="R7" i="112"/>
  <c r="Q9" i="112"/>
  <c r="U141" i="112"/>
  <c r="P82" i="112"/>
  <c r="AZ81" i="112" s="1"/>
  <c r="AZ80" i="112"/>
  <c r="P96" i="112"/>
  <c r="R21" i="112"/>
  <c r="T142" i="112"/>
  <c r="T135" i="112"/>
  <c r="T143" i="112" s="1"/>
  <c r="W107" i="112"/>
  <c r="W140" i="112" s="1"/>
  <c r="V107" i="112"/>
  <c r="V140" i="112" s="1"/>
  <c r="V108" i="112"/>
  <c r="R66" i="112"/>
  <c r="BA26" i="112"/>
  <c r="Q27" i="112"/>
  <c r="BA27" i="112" s="1"/>
  <c r="BA80" i="112"/>
  <c r="Q82" i="112"/>
  <c r="BA81" i="112" s="1"/>
  <c r="Q96" i="112"/>
  <c r="S144" i="112"/>
  <c r="S66" i="112" s="1"/>
  <c r="BA78" i="112"/>
  <c r="Q79" i="112"/>
  <c r="BA79" i="112" s="1"/>
  <c r="Q93" i="112"/>
  <c r="AZ78" i="112"/>
  <c r="P93" i="112"/>
  <c r="P79" i="112"/>
  <c r="AZ79" i="112" s="1"/>
  <c r="U138" i="112"/>
  <c r="U139" i="112" s="1"/>
  <c r="U136" i="112"/>
  <c r="U137" i="112" s="1"/>
  <c r="U134" i="112"/>
  <c r="BA28" i="112"/>
  <c r="Q30" i="112"/>
  <c r="BA29" i="112" s="1"/>
  <c r="AA43" i="41"/>
  <c r="AA45" i="41" s="1"/>
  <c r="AA232" i="44" s="1"/>
  <c r="AD100" i="98"/>
  <c r="AD102" i="98" s="1"/>
  <c r="AA79" i="41"/>
  <c r="AB24" i="45"/>
  <c r="AA13" i="45"/>
  <c r="AJ60" i="41"/>
  <c r="AK54" i="41" s="1"/>
  <c r="AM101" i="98"/>
  <c r="AI62" i="41"/>
  <c r="AH66" i="41"/>
  <c r="Y240" i="44"/>
  <c r="Y231" i="44"/>
  <c r="Y189" i="44"/>
  <c r="AH198" i="86" l="1"/>
  <c r="AG151" i="86"/>
  <c r="AG152" i="86" s="1"/>
  <c r="AG200" i="86"/>
  <c r="AI172" i="86"/>
  <c r="AI174" i="86"/>
  <c r="AI178" i="86"/>
  <c r="AI179" i="86"/>
  <c r="AI175" i="86"/>
  <c r="AI177" i="86"/>
  <c r="AI173" i="86"/>
  <c r="AI176" i="86"/>
  <c r="AH157" i="86"/>
  <c r="AH158" i="86" s="1"/>
  <c r="AH40" i="12"/>
  <c r="AH99" i="86"/>
  <c r="AH100" i="86"/>
  <c r="AG15" i="114" s="1"/>
  <c r="AH15" i="42"/>
  <c r="AJ84" i="86"/>
  <c r="AJ162" i="86"/>
  <c r="AG15" i="41"/>
  <c r="AG95" i="44"/>
  <c r="AG128" i="44" s="1"/>
  <c r="AK61" i="86"/>
  <c r="AL54" i="86"/>
  <c r="AL61" i="86" s="1"/>
  <c r="AI140" i="86"/>
  <c r="AI95" i="86"/>
  <c r="AH150" i="86"/>
  <c r="AH141" i="86"/>
  <c r="AH142" i="86" s="1"/>
  <c r="AF210" i="44"/>
  <c r="AF166" i="44"/>
  <c r="AG42" i="12"/>
  <c r="AF18" i="114" s="1"/>
  <c r="AG41" i="12"/>
  <c r="Y238" i="44"/>
  <c r="Y230" i="44"/>
  <c r="Y234" i="44" s="1"/>
  <c r="Y235" i="44" s="1"/>
  <c r="X252" i="44"/>
  <c r="D105" i="98"/>
  <c r="D101" i="98"/>
  <c r="X226" i="44"/>
  <c r="R9" i="112"/>
  <c r="S7" i="112"/>
  <c r="Q101" i="112"/>
  <c r="Q87" i="112"/>
  <c r="Q88" i="112" s="1"/>
  <c r="BA25" i="112"/>
  <c r="BA77" i="112" s="1"/>
  <c r="V141" i="112"/>
  <c r="S21" i="112"/>
  <c r="S26" i="112" s="1"/>
  <c r="S145" i="112"/>
  <c r="R29" i="112"/>
  <c r="R26" i="112"/>
  <c r="BA93" i="112"/>
  <c r="Q94" i="112"/>
  <c r="BA94" i="112" s="1"/>
  <c r="R71" i="112"/>
  <c r="R81" i="112" s="1"/>
  <c r="R70" i="112"/>
  <c r="R78" i="112" s="1"/>
  <c r="W134" i="112"/>
  <c r="W136" i="112"/>
  <c r="W138" i="112"/>
  <c r="AZ95" i="112"/>
  <c r="P97" i="112"/>
  <c r="AZ96" i="112" s="1"/>
  <c r="V136" i="112"/>
  <c r="V137" i="112" s="1"/>
  <c r="V134" i="112"/>
  <c r="V138" i="112"/>
  <c r="V139" i="112" s="1"/>
  <c r="S70" i="112"/>
  <c r="S78" i="112" s="1"/>
  <c r="S71" i="112"/>
  <c r="S81" i="112" s="1"/>
  <c r="BA95" i="112"/>
  <c r="Q97" i="112"/>
  <c r="BA96" i="112" s="1"/>
  <c r="U142" i="112"/>
  <c r="U135" i="112"/>
  <c r="U143" i="112" s="1"/>
  <c r="AZ93" i="112"/>
  <c r="P94" i="112"/>
  <c r="AZ94" i="112" s="1"/>
  <c r="W108" i="112"/>
  <c r="W141" i="112" s="1"/>
  <c r="T144" i="112"/>
  <c r="T145" i="112" s="1"/>
  <c r="AA80" i="41"/>
  <c r="AA81" i="41"/>
  <c r="AB30" i="45"/>
  <c r="AB12" i="45"/>
  <c r="AB37" i="41"/>
  <c r="AJ62" i="41"/>
  <c r="AI64" i="41"/>
  <c r="AN101" i="98"/>
  <c r="AK60" i="41"/>
  <c r="AL54" i="41" s="1"/>
  <c r="Y130" i="44"/>
  <c r="Y88" i="44"/>
  <c r="Y212" i="44"/>
  <c r="Y222" i="44" s="1"/>
  <c r="Y98" i="44"/>
  <c r="Y101" i="44" s="1"/>
  <c r="Y131" i="44"/>
  <c r="Y167" i="44"/>
  <c r="Y213" i="44"/>
  <c r="Y221" i="44" s="1"/>
  <c r="T21" i="112" l="1"/>
  <c r="S29" i="112"/>
  <c r="AC42" i="45"/>
  <c r="AC44" i="45"/>
  <c r="AC48" i="45"/>
  <c r="AC49" i="45"/>
  <c r="AC43" i="45"/>
  <c r="AC41" i="45"/>
  <c r="AC45" i="45"/>
  <c r="AC46" i="45"/>
  <c r="AC47" i="45"/>
  <c r="AI198" i="86"/>
  <c r="AI15" i="42"/>
  <c r="AI100" i="86"/>
  <c r="AH15" i="114" s="1"/>
  <c r="AI99" i="86"/>
  <c r="AI40" i="12"/>
  <c r="AI157" i="86"/>
  <c r="AK162" i="86"/>
  <c r="AK169" i="86" s="1"/>
  <c r="AK84" i="86"/>
  <c r="AI156" i="86"/>
  <c r="AJ95" i="86"/>
  <c r="AJ156" i="86" s="1"/>
  <c r="AJ140" i="86"/>
  <c r="AL84" i="86"/>
  <c r="AL162" i="86"/>
  <c r="AL169" i="86" s="1"/>
  <c r="AG210" i="44"/>
  <c r="AG166" i="44"/>
  <c r="AG102" i="41"/>
  <c r="AG111" i="41" s="1"/>
  <c r="D19" i="98"/>
  <c r="AH15" i="41"/>
  <c r="AH102" i="41" s="1"/>
  <c r="AH111" i="41" s="1"/>
  <c r="AH95" i="44"/>
  <c r="AH128" i="44" s="1"/>
  <c r="AI150" i="86"/>
  <c r="AI141" i="86"/>
  <c r="AI142" i="86" s="1"/>
  <c r="AH42" i="12"/>
  <c r="AG18" i="114" s="1"/>
  <c r="AH41" i="12"/>
  <c r="AH151" i="86"/>
  <c r="AH152" i="86" s="1"/>
  <c r="AH200" i="86"/>
  <c r="AJ169" i="86"/>
  <c r="AJ172" i="86" s="1"/>
  <c r="T7" i="112"/>
  <c r="S9" i="112"/>
  <c r="R87" i="112"/>
  <c r="R88" i="112" s="1"/>
  <c r="R101" i="112"/>
  <c r="BB25" i="112"/>
  <c r="BB77" i="112" s="1"/>
  <c r="T66" i="112"/>
  <c r="T70" i="112" s="1"/>
  <c r="T78" i="112" s="1"/>
  <c r="T71" i="112"/>
  <c r="T81" i="112" s="1"/>
  <c r="BB78" i="112"/>
  <c r="R93" i="112"/>
  <c r="R79" i="112"/>
  <c r="BB79" i="112" s="1"/>
  <c r="V135" i="112"/>
  <c r="V143" i="112" s="1"/>
  <c r="V142" i="112"/>
  <c r="W139" i="112"/>
  <c r="R96" i="112"/>
  <c r="R82" i="112"/>
  <c r="BB81" i="112" s="1"/>
  <c r="BB80" i="112"/>
  <c r="T26" i="112"/>
  <c r="T29" i="112"/>
  <c r="S96" i="112"/>
  <c r="BC80" i="112"/>
  <c r="S82" i="112"/>
  <c r="BC81" i="112" s="1"/>
  <c r="W137" i="112"/>
  <c r="BC28" i="112"/>
  <c r="S30" i="112"/>
  <c r="BC29" i="112" s="1"/>
  <c r="R27" i="112"/>
  <c r="BB27" i="112" s="1"/>
  <c r="BB26" i="112"/>
  <c r="U144" i="112"/>
  <c r="U145" i="112" s="1"/>
  <c r="BC78" i="112"/>
  <c r="S93" i="112"/>
  <c r="S79" i="112"/>
  <c r="BC79" i="112" s="1"/>
  <c r="W135" i="112"/>
  <c r="W142" i="112"/>
  <c r="BC26" i="112"/>
  <c r="S27" i="112"/>
  <c r="BC27" i="112" s="1"/>
  <c r="BB28" i="112"/>
  <c r="R30" i="112"/>
  <c r="BB29" i="112" s="1"/>
  <c r="AJ64" i="41"/>
  <c r="AJ66" i="41" s="1"/>
  <c r="AB43" i="41"/>
  <c r="AC37" i="41" s="1"/>
  <c r="AE100" i="98"/>
  <c r="AE102" i="98" s="1"/>
  <c r="AB13" i="45"/>
  <c r="AB79" i="41"/>
  <c r="G84" i="45"/>
  <c r="AC24" i="45"/>
  <c r="Y223" i="44"/>
  <c r="AL60" i="41"/>
  <c r="AL62" i="41" s="1"/>
  <c r="AO101" i="98"/>
  <c r="AK62" i="41"/>
  <c r="AI66" i="41"/>
  <c r="Y92" i="44"/>
  <c r="Y103" i="44" s="1"/>
  <c r="Y165" i="44"/>
  <c r="Y172" i="44" s="1"/>
  <c r="AD41" i="45" l="1"/>
  <c r="AE41" i="45" s="1"/>
  <c r="AC82" i="45"/>
  <c r="AD48" i="45"/>
  <c r="AE48" i="45" s="1"/>
  <c r="AF48" i="45" s="1"/>
  <c r="AG48" i="45" s="1"/>
  <c r="AD45" i="45"/>
  <c r="AD44" i="45"/>
  <c r="AE44" i="45" s="1"/>
  <c r="AD46" i="45"/>
  <c r="AE46" i="45" s="1"/>
  <c r="AF46" i="45" s="1"/>
  <c r="AG46" i="45" s="1"/>
  <c r="AD43" i="45"/>
  <c r="AE43" i="45" s="1"/>
  <c r="AF43" i="45" s="1"/>
  <c r="AD49" i="45"/>
  <c r="AE49" i="45" s="1"/>
  <c r="AF49" i="45" s="1"/>
  <c r="AD47" i="45"/>
  <c r="AE47" i="45" s="1"/>
  <c r="AD42" i="45"/>
  <c r="AE42" i="45" s="1"/>
  <c r="AB45" i="41"/>
  <c r="AB232" i="44" s="1"/>
  <c r="AL172" i="86"/>
  <c r="AL178" i="86"/>
  <c r="AL174" i="86"/>
  <c r="AL175" i="86"/>
  <c r="AL176" i="86"/>
  <c r="AL179" i="86"/>
  <c r="AL177" i="86"/>
  <c r="AL173" i="86"/>
  <c r="AL140" i="86"/>
  <c r="AL95" i="86"/>
  <c r="AL156" i="86" s="1"/>
  <c r="AH166" i="44"/>
  <c r="AH210" i="44"/>
  <c r="AI200" i="86"/>
  <c r="AI151" i="86"/>
  <c r="AI152" i="86" s="1"/>
  <c r="AJ150" i="86"/>
  <c r="AJ141" i="86"/>
  <c r="AJ142" i="86" s="1"/>
  <c r="AJ15" i="42"/>
  <c r="AJ40" i="12"/>
  <c r="AJ99" i="86"/>
  <c r="AJ100" i="86"/>
  <c r="AI15" i="114" s="1"/>
  <c r="AJ157" i="86"/>
  <c r="AJ158" i="86" s="1"/>
  <c r="AI15" i="41"/>
  <c r="AI102" i="41" s="1"/>
  <c r="AI111" i="41" s="1"/>
  <c r="AI95" i="44"/>
  <c r="AI128" i="44" s="1"/>
  <c r="AK95" i="86"/>
  <c r="AK156" i="86" s="1"/>
  <c r="AK140" i="86"/>
  <c r="AK172" i="86"/>
  <c r="AK177" i="86"/>
  <c r="AK178" i="86"/>
  <c r="AK174" i="86"/>
  <c r="AK176" i="86"/>
  <c r="AK175" i="86"/>
  <c r="AK173" i="86"/>
  <c r="AK179" i="86"/>
  <c r="AI41" i="12"/>
  <c r="AI42" i="12"/>
  <c r="AH18" i="114" s="1"/>
  <c r="AJ175" i="86"/>
  <c r="AJ179" i="86"/>
  <c r="AJ176" i="86"/>
  <c r="AJ173" i="86"/>
  <c r="AJ177" i="86"/>
  <c r="AJ174" i="86"/>
  <c r="AJ178" i="86"/>
  <c r="AJ198" i="86"/>
  <c r="AI158" i="86"/>
  <c r="S87" i="112"/>
  <c r="S88" i="112" s="1"/>
  <c r="S101" i="112"/>
  <c r="BC25" i="112"/>
  <c r="BC77" i="112" s="1"/>
  <c r="T9" i="112"/>
  <c r="U7" i="112"/>
  <c r="W143" i="112"/>
  <c r="W144" i="112" s="1"/>
  <c r="W66" i="112" s="1"/>
  <c r="U21" i="112"/>
  <c r="BD26" i="112"/>
  <c r="T27" i="112"/>
  <c r="BD27" i="112" s="1"/>
  <c r="BB93" i="112"/>
  <c r="R94" i="112"/>
  <c r="BB94" i="112" s="1"/>
  <c r="BC93" i="112"/>
  <c r="S94" i="112"/>
  <c r="BC94" i="112" s="1"/>
  <c r="U66" i="112"/>
  <c r="V144" i="112"/>
  <c r="V66" i="112" s="1"/>
  <c r="BC95" i="112"/>
  <c r="S97" i="112"/>
  <c r="BC96" i="112" s="1"/>
  <c r="T93" i="112"/>
  <c r="T79" i="112"/>
  <c r="BD79" i="112" s="1"/>
  <c r="BD78" i="112"/>
  <c r="T30" i="112"/>
  <c r="BD29" i="112" s="1"/>
  <c r="BD28" i="112"/>
  <c r="BB95" i="112"/>
  <c r="R97" i="112"/>
  <c r="BB96" i="112" s="1"/>
  <c r="BD80" i="112"/>
  <c r="T82" i="112"/>
  <c r="BD81" i="112" s="1"/>
  <c r="T96" i="112"/>
  <c r="AC12" i="45"/>
  <c r="AC37" i="45" s="1"/>
  <c r="AB80" i="41"/>
  <c r="AB81" i="41"/>
  <c r="AF100" i="98"/>
  <c r="AF102" i="98" s="1"/>
  <c r="G85" i="45"/>
  <c r="AB29" i="114"/>
  <c r="AK64" i="41"/>
  <c r="AL64" i="41"/>
  <c r="Y105" i="44"/>
  <c r="Y107" i="44"/>
  <c r="Y109" i="44" s="1"/>
  <c r="Z169" i="44"/>
  <c r="Y174" i="44"/>
  <c r="AF41" i="45" l="1"/>
  <c r="AG41" i="45" s="1"/>
  <c r="AC15" i="45"/>
  <c r="AF44" i="45"/>
  <c r="AG44" i="45" s="1"/>
  <c r="AH44" i="45" s="1"/>
  <c r="AF42" i="45"/>
  <c r="AG42" i="45" s="1"/>
  <c r="AE45" i="45"/>
  <c r="AF45" i="45" s="1"/>
  <c r="AH46" i="45"/>
  <c r="AI46" i="45" s="1"/>
  <c r="AF47" i="45"/>
  <c r="AG47" i="45" s="1"/>
  <c r="AK198" i="86"/>
  <c r="AG49" i="45"/>
  <c r="AH49" i="45" s="1"/>
  <c r="AG43" i="45"/>
  <c r="AH43" i="45" s="1"/>
  <c r="AH41" i="45"/>
  <c r="AI41" i="45" s="1"/>
  <c r="AH48" i="45"/>
  <c r="AI48" i="45" s="1"/>
  <c r="AJ48" i="45" s="1"/>
  <c r="AC28" i="42"/>
  <c r="AC30" i="42" s="1"/>
  <c r="AC41" i="41"/>
  <c r="AC17" i="45"/>
  <c r="AD82" i="45"/>
  <c r="AJ42" i="12"/>
  <c r="AI18" i="114" s="1"/>
  <c r="AJ41" i="12"/>
  <c r="AK150" i="86"/>
  <c r="AK141" i="86"/>
  <c r="AK142" i="86" s="1"/>
  <c r="AJ15" i="41"/>
  <c r="AJ102" i="41" s="1"/>
  <c r="AJ111" i="41" s="1"/>
  <c r="AJ95" i="44"/>
  <c r="AJ128" i="44" s="1"/>
  <c r="AK40" i="12"/>
  <c r="AK100" i="86"/>
  <c r="AJ15" i="114" s="1"/>
  <c r="AK99" i="86"/>
  <c r="AK15" i="42"/>
  <c r="AK157" i="86"/>
  <c r="AL40" i="12"/>
  <c r="AL15" i="42"/>
  <c r="AL157" i="86"/>
  <c r="AL158" i="86" s="1"/>
  <c r="AL100" i="86"/>
  <c r="AK15" i="114" s="1"/>
  <c r="AL99" i="86"/>
  <c r="AI210" i="44"/>
  <c r="AI166" i="44"/>
  <c r="AJ151" i="86"/>
  <c r="AJ152" i="86" s="1"/>
  <c r="AJ200" i="86"/>
  <c r="AL150" i="86"/>
  <c r="AL141" i="86"/>
  <c r="AL142" i="86" s="1"/>
  <c r="AK158" i="86"/>
  <c r="AL198" i="86"/>
  <c r="T101" i="112"/>
  <c r="BD25" i="112"/>
  <c r="BD77" i="112" s="1"/>
  <c r="T87" i="112"/>
  <c r="T88" i="112" s="1"/>
  <c r="V7" i="112"/>
  <c r="U9" i="112"/>
  <c r="W145" i="112"/>
  <c r="W21" i="112"/>
  <c r="W29" i="112" s="1"/>
  <c r="V145" i="112"/>
  <c r="V21" i="112"/>
  <c r="V29" i="112" s="1"/>
  <c r="W70" i="112"/>
  <c r="W78" i="112" s="1"/>
  <c r="W71" i="112"/>
  <c r="W81" i="112" s="1"/>
  <c r="V71" i="112"/>
  <c r="V81" i="112" s="1"/>
  <c r="V70" i="112"/>
  <c r="V78" i="112" s="1"/>
  <c r="BD93" i="112"/>
  <c r="T94" i="112"/>
  <c r="BD94" i="112" s="1"/>
  <c r="U71" i="112"/>
  <c r="U81" i="112" s="1"/>
  <c r="U70" i="112"/>
  <c r="U78" i="112" s="1"/>
  <c r="T97" i="112"/>
  <c r="BD96" i="112" s="1"/>
  <c r="BD95" i="112"/>
  <c r="U26" i="112"/>
  <c r="U29" i="112"/>
  <c r="Y111" i="44"/>
  <c r="AL66" i="41"/>
  <c r="AK66" i="41"/>
  <c r="Y246" i="44"/>
  <c r="Y141" i="44"/>
  <c r="Y129" i="44"/>
  <c r="Y133" i="44" s="1"/>
  <c r="Y211" i="44"/>
  <c r="Y215" i="44" s="1"/>
  <c r="AE82" i="45" l="1"/>
  <c r="AH42" i="45"/>
  <c r="AI42" i="45" s="1"/>
  <c r="AJ42" i="45" s="1"/>
  <c r="AK42" i="45" s="1"/>
  <c r="AL42" i="45" s="1"/>
  <c r="AH47" i="45"/>
  <c r="AI47" i="45" s="1"/>
  <c r="AJ47" i="45" s="1"/>
  <c r="AK47" i="45" s="1"/>
  <c r="AL47" i="45" s="1"/>
  <c r="AF82" i="45"/>
  <c r="AK48" i="45"/>
  <c r="AL48" i="45" s="1"/>
  <c r="AG45" i="45"/>
  <c r="AG82" i="45" s="1"/>
  <c r="AI49" i="45"/>
  <c r="AJ49" i="45" s="1"/>
  <c r="AJ46" i="45"/>
  <c r="AK46" i="45" s="1"/>
  <c r="AL46" i="45" s="1"/>
  <c r="AC17" i="41"/>
  <c r="AC29" i="45"/>
  <c r="AC30" i="45" s="1"/>
  <c r="AI44" i="45"/>
  <c r="AI43" i="45"/>
  <c r="AJ43" i="45" s="1"/>
  <c r="AK43" i="45" s="1"/>
  <c r="AL43" i="45" s="1"/>
  <c r="AC75" i="41"/>
  <c r="AC78" i="41" s="1"/>
  <c r="AD71" i="41" s="1"/>
  <c r="AC43" i="41"/>
  <c r="AJ41" i="45"/>
  <c r="AK41" i="12"/>
  <c r="AK42" i="12"/>
  <c r="AJ18" i="114" s="1"/>
  <c r="AL200" i="86"/>
  <c r="AL151" i="86"/>
  <c r="AL152" i="86" s="1"/>
  <c r="AJ166" i="44"/>
  <c r="AJ210" i="44"/>
  <c r="AL42" i="12"/>
  <c r="AK18" i="114" s="1"/>
  <c r="AL41" i="12"/>
  <c r="AK95" i="44"/>
  <c r="AK128" i="44" s="1"/>
  <c r="AK15" i="41"/>
  <c r="AK102" i="41" s="1"/>
  <c r="AK111" i="41" s="1"/>
  <c r="AK151" i="86"/>
  <c r="AK152" i="86" s="1"/>
  <c r="AK200" i="86"/>
  <c r="AL95" i="44"/>
  <c r="AL128" i="44" s="1"/>
  <c r="AL15" i="41"/>
  <c r="AL102" i="41" s="1"/>
  <c r="AL111" i="41" s="1"/>
  <c r="W7" i="112"/>
  <c r="W9" i="112" s="1"/>
  <c r="V9" i="112"/>
  <c r="W26" i="112"/>
  <c r="BG26" i="112" s="1"/>
  <c r="BE25" i="112"/>
  <c r="BE77" i="112" s="1"/>
  <c r="U87" i="112"/>
  <c r="U88" i="112" s="1"/>
  <c r="U101" i="112"/>
  <c r="V26" i="112"/>
  <c r="BF26" i="112" s="1"/>
  <c r="U30" i="112"/>
  <c r="BE29" i="112" s="1"/>
  <c r="BE28" i="112"/>
  <c r="V93" i="112"/>
  <c r="V79" i="112"/>
  <c r="BF79" i="112" s="1"/>
  <c r="BF78" i="112"/>
  <c r="BE26" i="112"/>
  <c r="U27" i="112"/>
  <c r="BE27" i="112" s="1"/>
  <c r="V30" i="112"/>
  <c r="BF29" i="112" s="1"/>
  <c r="BF28" i="112"/>
  <c r="V82" i="112"/>
  <c r="BF81" i="112" s="1"/>
  <c r="V96" i="112"/>
  <c r="BF80" i="112"/>
  <c r="BG28" i="112"/>
  <c r="W30" i="112"/>
  <c r="BG29" i="112" s="1"/>
  <c r="U93" i="112"/>
  <c r="BE78" i="112"/>
  <c r="U79" i="112"/>
  <c r="BE79" i="112" s="1"/>
  <c r="W82" i="112"/>
  <c r="BG81" i="112" s="1"/>
  <c r="BG80" i="112"/>
  <c r="W96" i="112"/>
  <c r="BE80" i="112"/>
  <c r="U96" i="112"/>
  <c r="U82" i="112"/>
  <c r="BE81" i="112" s="1"/>
  <c r="W93" i="112"/>
  <c r="BG78" i="112"/>
  <c r="W79" i="112"/>
  <c r="BG79" i="112" s="1"/>
  <c r="Y143" i="44"/>
  <c r="Y156" i="44" s="1"/>
  <c r="Y157" i="44" s="1"/>
  <c r="Z155" i="44" s="1"/>
  <c r="Y237" i="44"/>
  <c r="Y242" i="44" s="1"/>
  <c r="Y243" i="44" s="1"/>
  <c r="Y220" i="44"/>
  <c r="Y225" i="44" s="1"/>
  <c r="Y245" i="44"/>
  <c r="Y251" i="44" s="1"/>
  <c r="AH45" i="45" l="1"/>
  <c r="AH82" i="45" s="1"/>
  <c r="AI45" i="45"/>
  <c r="AJ45" i="45" s="1"/>
  <c r="AK45" i="45" s="1"/>
  <c r="AL45" i="45" s="1"/>
  <c r="AK49" i="45"/>
  <c r="AL49" i="45" s="1"/>
  <c r="V27" i="112"/>
  <c r="BF27" i="112" s="1"/>
  <c r="W27" i="112"/>
  <c r="BG27" i="112" s="1"/>
  <c r="AC13" i="45"/>
  <c r="AD24" i="45"/>
  <c r="AC79" i="41"/>
  <c r="AJ44" i="45"/>
  <c r="AD37" i="41"/>
  <c r="AC45" i="41"/>
  <c r="AK41" i="45"/>
  <c r="AL210" i="44"/>
  <c r="AL166" i="44"/>
  <c r="AK166" i="44"/>
  <c r="AK210" i="44"/>
  <c r="BF25" i="112"/>
  <c r="BF77" i="112" s="1"/>
  <c r="V101" i="112"/>
  <c r="V87" i="112"/>
  <c r="V88" i="112" s="1"/>
  <c r="W87" i="112"/>
  <c r="W88" i="112" s="1"/>
  <c r="W101" i="112"/>
  <c r="BG25" i="112"/>
  <c r="BG77" i="112" s="1"/>
  <c r="BG93" i="112"/>
  <c r="W94" i="112"/>
  <c r="BG94" i="112" s="1"/>
  <c r="U97" i="112"/>
  <c r="BE96" i="112" s="1"/>
  <c r="BE95" i="112"/>
  <c r="BG95" i="112"/>
  <c r="W97" i="112"/>
  <c r="BG96" i="112" s="1"/>
  <c r="U94" i="112"/>
  <c r="BE94" i="112" s="1"/>
  <c r="BE93" i="112"/>
  <c r="V97" i="112"/>
  <c r="BF96" i="112" s="1"/>
  <c r="BF95" i="112"/>
  <c r="BF93" i="112"/>
  <c r="V94" i="112"/>
  <c r="BF94" i="112" s="1"/>
  <c r="Z187" i="44"/>
  <c r="Y226" i="44"/>
  <c r="E101" i="98"/>
  <c r="Y160" i="44"/>
  <c r="Y161" i="44" s="1"/>
  <c r="Z159" i="44" s="1"/>
  <c r="Y252" i="44"/>
  <c r="E105" i="98"/>
  <c r="AI82" i="45" l="1"/>
  <c r="AG100" i="98"/>
  <c r="AG102" i="98" s="1"/>
  <c r="AK44" i="45"/>
  <c r="AL44" i="45" s="1"/>
  <c r="AC47" i="41"/>
  <c r="AC232" i="44"/>
  <c r="AC103" i="41"/>
  <c r="AC104" i="41" s="1"/>
  <c r="AC114" i="41" s="1"/>
  <c r="AD12" i="45"/>
  <c r="AD37" i="45" s="1"/>
  <c r="AD15" i="45" s="1"/>
  <c r="AJ82" i="45"/>
  <c r="AC80" i="41"/>
  <c r="AB46" i="114" s="1"/>
  <c r="AC81" i="41"/>
  <c r="AL41" i="45"/>
  <c r="Z192" i="44"/>
  <c r="Z189" i="44"/>
  <c r="Z231" i="44"/>
  <c r="Z240" i="44"/>
  <c r="AD41" i="41" l="1"/>
  <c r="AD28" i="42"/>
  <c r="AD30" i="42" s="1"/>
  <c r="AD17" i="45"/>
  <c r="AK82" i="45"/>
  <c r="AL82" i="45"/>
  <c r="AC49" i="41"/>
  <c r="AC16" i="41"/>
  <c r="AC98" i="41" s="1"/>
  <c r="AC107" i="41" s="1"/>
  <c r="AC116" i="41" s="1"/>
  <c r="Z130" i="44"/>
  <c r="Z88" i="44"/>
  <c r="Z212" i="44"/>
  <c r="Z222" i="44" s="1"/>
  <c r="Z195" i="44"/>
  <c r="Z238" i="44"/>
  <c r="Z230" i="44"/>
  <c r="Z234" i="44" s="1"/>
  <c r="Z235" i="44" s="1"/>
  <c r="AD17" i="41" l="1"/>
  <c r="AD29" i="45"/>
  <c r="AD30" i="45" s="1"/>
  <c r="AD75" i="41"/>
  <c r="AD78" i="41" s="1"/>
  <c r="AE71" i="41" s="1"/>
  <c r="AD43" i="41"/>
  <c r="AC23" i="41"/>
  <c r="I9" i="98" s="1"/>
  <c r="AC117" i="41"/>
  <c r="AC118" i="41" s="1"/>
  <c r="AC120" i="41" s="1"/>
  <c r="AC122" i="41" s="1"/>
  <c r="AD115" i="41"/>
  <c r="Z167" i="44"/>
  <c r="Z131" i="44"/>
  <c r="Z98" i="44"/>
  <c r="Z101" i="44" s="1"/>
  <c r="Z213" i="44"/>
  <c r="Z221" i="44" s="1"/>
  <c r="Z223" i="44" s="1"/>
  <c r="Z165" i="44"/>
  <c r="Z92" i="44"/>
  <c r="AC18" i="57" l="1"/>
  <c r="AC18" i="36"/>
  <c r="AE37" i="41"/>
  <c r="AH100" i="98" s="1"/>
  <c r="AH102" i="98" s="1"/>
  <c r="AD45" i="41"/>
  <c r="AD79" i="41"/>
  <c r="AD80" i="41" s="1"/>
  <c r="AC46" i="114" s="1"/>
  <c r="AE24" i="45"/>
  <c r="AE12" i="45" s="1"/>
  <c r="AE37" i="45" s="1"/>
  <c r="AE15" i="45" s="1"/>
  <c r="AD13" i="45"/>
  <c r="Z172" i="44"/>
  <c r="AA169" i="44" s="1"/>
  <c r="Z103" i="44"/>
  <c r="AD81" i="41" l="1"/>
  <c r="AD232" i="44"/>
  <c r="AD47" i="41"/>
  <c r="AD103" i="41"/>
  <c r="AD104" i="41" s="1"/>
  <c r="AD114" i="41" s="1"/>
  <c r="AE28" i="42"/>
  <c r="AE30" i="42" s="1"/>
  <c r="AE17" i="45"/>
  <c r="AE29" i="45" s="1"/>
  <c r="AE30" i="45" s="1"/>
  <c r="AE41" i="41"/>
  <c r="AE75" i="41" s="1"/>
  <c r="AE78" i="41" s="1"/>
  <c r="AF71" i="41" s="1"/>
  <c r="Z174" i="44"/>
  <c r="Z211" i="44" s="1"/>
  <c r="Z215" i="44" s="1"/>
  <c r="Z107" i="44"/>
  <c r="Z109" i="44" s="1"/>
  <c r="Z105" i="44"/>
  <c r="AE17" i="41" l="1"/>
  <c r="AD49" i="41"/>
  <c r="AD16" i="41"/>
  <c r="AE43" i="41"/>
  <c r="AF37" i="41" s="1"/>
  <c r="AE45" i="41"/>
  <c r="AE13" i="45"/>
  <c r="AE79" i="41"/>
  <c r="AF24" i="45"/>
  <c r="Z129" i="44"/>
  <c r="Z133" i="44" s="1"/>
  <c r="Z111" i="44"/>
  <c r="Z246" i="44"/>
  <c r="Z141" i="44"/>
  <c r="Z245" i="44"/>
  <c r="Z237" i="44"/>
  <c r="Z242" i="44" s="1"/>
  <c r="Z243" i="44" s="1"/>
  <c r="Z220" i="44"/>
  <c r="Z225" i="44" s="1"/>
  <c r="AD98" i="41" l="1"/>
  <c r="AD107" i="41" s="1"/>
  <c r="AD116" i="41" s="1"/>
  <c r="AD23" i="41"/>
  <c r="AF12" i="45"/>
  <c r="AE47" i="41"/>
  <c r="AE103" i="41"/>
  <c r="AE104" i="41" s="1"/>
  <c r="AE114" i="41" s="1"/>
  <c r="AE232" i="44"/>
  <c r="AE80" i="41"/>
  <c r="AD46" i="114" s="1"/>
  <c r="AE81" i="41"/>
  <c r="AI100" i="98"/>
  <c r="AI102" i="98" s="1"/>
  <c r="Z143" i="44"/>
  <c r="Z156" i="44" s="1"/>
  <c r="Z157" i="44" s="1"/>
  <c r="AA155" i="44" s="1"/>
  <c r="D24" i="98"/>
  <c r="Z251" i="44"/>
  <c r="Z252" i="44" s="1"/>
  <c r="F101" i="98"/>
  <c r="Z226" i="44"/>
  <c r="J9" i="98" l="1"/>
  <c r="AD18" i="57"/>
  <c r="AD18" i="36"/>
  <c r="AE115" i="41"/>
  <c r="AD117" i="41"/>
  <c r="AD118" i="41" s="1"/>
  <c r="AD120" i="41" s="1"/>
  <c r="AD122" i="41" s="1"/>
  <c r="AF37" i="45"/>
  <c r="AF15" i="45" s="1"/>
  <c r="AE49" i="41"/>
  <c r="AE16" i="41"/>
  <c r="F105" i="98"/>
  <c r="AA187" i="44"/>
  <c r="Z160" i="44"/>
  <c r="Z161" i="44" s="1"/>
  <c r="AA159" i="44" s="1"/>
  <c r="AF41" i="41" l="1"/>
  <c r="AF75" i="41" s="1"/>
  <c r="AF78" i="41" s="1"/>
  <c r="AF28" i="42"/>
  <c r="AF30" i="42" s="1"/>
  <c r="AF17" i="45"/>
  <c r="AF29" i="45" s="1"/>
  <c r="AF30" i="45" s="1"/>
  <c r="AE98" i="41"/>
  <c r="AE107" i="41" s="1"/>
  <c r="AE116" i="41" s="1"/>
  <c r="AE23" i="41"/>
  <c r="AA192" i="44"/>
  <c r="AA189" i="44"/>
  <c r="AA240" i="44"/>
  <c r="AA231" i="44"/>
  <c r="AF17" i="41" l="1"/>
  <c r="AF43" i="41"/>
  <c r="K9" i="98"/>
  <c r="AE18" i="57"/>
  <c r="AE18" i="36"/>
  <c r="AF79" i="41"/>
  <c r="AF80" i="41" s="1"/>
  <c r="AE46" i="114" s="1"/>
  <c r="AG24" i="45"/>
  <c r="AF13" i="45"/>
  <c r="AG71" i="41"/>
  <c r="AF115" i="41"/>
  <c r="AE117" i="41"/>
  <c r="AE118" i="41" s="1"/>
  <c r="AE120" i="41" s="1"/>
  <c r="AE122" i="41" s="1"/>
  <c r="AG37" i="41"/>
  <c r="AF45" i="41"/>
  <c r="AC39" i="114"/>
  <c r="AB39" i="114"/>
  <c r="AA130" i="44"/>
  <c r="AA212" i="44"/>
  <c r="AA222" i="44" s="1"/>
  <c r="AA88" i="44"/>
  <c r="AA230" i="44"/>
  <c r="AA234" i="44" s="1"/>
  <c r="AA235" i="44" s="1"/>
  <c r="AA195" i="44"/>
  <c r="AA238" i="44"/>
  <c r="AG12" i="45" l="1"/>
  <c r="AF232" i="44"/>
  <c r="AF47" i="41"/>
  <c r="AF103" i="41"/>
  <c r="AF104" i="41" s="1"/>
  <c r="AF114" i="41" s="1"/>
  <c r="AJ100" i="98"/>
  <c r="AJ102" i="98" s="1"/>
  <c r="AF81" i="41"/>
  <c r="AA165" i="44"/>
  <c r="AA92" i="44"/>
  <c r="AA167" i="44"/>
  <c r="AA213" i="44"/>
  <c r="AA221" i="44" s="1"/>
  <c r="AA223" i="44" s="1"/>
  <c r="AA98" i="44"/>
  <c r="AA101" i="44" s="1"/>
  <c r="AA131" i="44"/>
  <c r="AG37" i="45" l="1"/>
  <c r="AG15" i="45" s="1"/>
  <c r="AF49" i="41"/>
  <c r="AF16" i="41"/>
  <c r="AA103" i="44"/>
  <c r="AA107" i="44" s="1"/>
  <c r="AA109" i="44" s="1"/>
  <c r="AA172" i="44"/>
  <c r="AG28" i="42" l="1"/>
  <c r="AG30" i="42" s="1"/>
  <c r="AG17" i="45"/>
  <c r="AG41" i="41"/>
  <c r="AG75" i="41" s="1"/>
  <c r="AG78" i="41" s="1"/>
  <c r="AF98" i="41"/>
  <c r="AF107" i="41" s="1"/>
  <c r="AF116" i="41" s="1"/>
  <c r="AF23" i="41"/>
  <c r="AG29" i="45"/>
  <c r="AG30" i="45" s="1"/>
  <c r="AG17" i="41"/>
  <c r="D21" i="98" s="1"/>
  <c r="AB74" i="98"/>
  <c r="AA105" i="44"/>
  <c r="AA111" i="44" s="1"/>
  <c r="AA141" i="44"/>
  <c r="AA246" i="44"/>
  <c r="AA174" i="44"/>
  <c r="AB169" i="44"/>
  <c r="AG43" i="41" l="1"/>
  <c r="AF117" i="41"/>
  <c r="AF118" i="41" s="1"/>
  <c r="AF120" i="41" s="1"/>
  <c r="AF122" i="41" s="1"/>
  <c r="AG115" i="41"/>
  <c r="AH37" i="41"/>
  <c r="AG45" i="41"/>
  <c r="AF18" i="36"/>
  <c r="AF18" i="57"/>
  <c r="L9" i="98"/>
  <c r="AH71" i="41"/>
  <c r="AH24" i="45"/>
  <c r="AG13" i="45"/>
  <c r="AG79" i="41"/>
  <c r="AG80" i="41" s="1"/>
  <c r="AF46" i="114" s="1"/>
  <c r="AA129" i="44"/>
  <c r="AA133" i="44" s="1"/>
  <c r="AA143" i="44" s="1"/>
  <c r="AA211" i="44"/>
  <c r="AA215" i="44" s="1"/>
  <c r="AG103" i="41" l="1"/>
  <c r="AG104" i="41" s="1"/>
  <c r="AG114" i="41" s="1"/>
  <c r="AG232" i="44"/>
  <c r="AG47" i="41"/>
  <c r="AG81" i="41"/>
  <c r="AH12" i="45"/>
  <c r="AK100" i="98"/>
  <c r="AK102" i="98" s="1"/>
  <c r="AA245" i="44"/>
  <c r="AA251" i="44" s="1"/>
  <c r="AA237" i="44"/>
  <c r="AA242" i="44" s="1"/>
  <c r="AA243" i="44" s="1"/>
  <c r="AA220" i="44"/>
  <c r="AA225" i="44" s="1"/>
  <c r="AA156" i="44"/>
  <c r="AA157" i="44" s="1"/>
  <c r="AB155" i="44" s="1"/>
  <c r="AH37" i="45" l="1"/>
  <c r="AH15" i="45" s="1"/>
  <c r="AG49" i="41"/>
  <c r="AG16" i="41"/>
  <c r="AA160" i="44"/>
  <c r="AA161" i="44" s="1"/>
  <c r="AB159" i="44" s="1"/>
  <c r="AB192" i="44" s="1"/>
  <c r="G101" i="98"/>
  <c r="AA226" i="44"/>
  <c r="AB187" i="44"/>
  <c r="AA252" i="44"/>
  <c r="G105" i="98"/>
  <c r="AH41" i="41" l="1"/>
  <c r="AH17" i="45"/>
  <c r="AH28" i="42"/>
  <c r="AH30" i="42" s="1"/>
  <c r="AH29" i="45"/>
  <c r="AH30" i="45" s="1"/>
  <c r="AH17" i="41"/>
  <c r="AH75" i="41"/>
  <c r="AH78" i="41" s="1"/>
  <c r="AH43" i="41"/>
  <c r="AG98" i="41"/>
  <c r="AG107" i="41" s="1"/>
  <c r="AG116" i="41" s="1"/>
  <c r="D20" i="98"/>
  <c r="D25" i="98" s="1"/>
  <c r="AB189" i="44"/>
  <c r="AB240" i="44"/>
  <c r="AB231" i="44"/>
  <c r="AB195" i="44"/>
  <c r="AB238" i="44"/>
  <c r="AB230" i="44"/>
  <c r="AI37" i="41" l="1"/>
  <c r="AH45" i="41"/>
  <c r="AH115" i="41"/>
  <c r="AG117" i="41"/>
  <c r="AG118" i="41" s="1"/>
  <c r="AG120" i="41" s="1"/>
  <c r="AG122" i="41" s="1"/>
  <c r="AG23" i="41" s="1"/>
  <c r="AI71" i="41"/>
  <c r="AI24" i="45"/>
  <c r="AH79" i="41"/>
  <c r="AH80" i="41" s="1"/>
  <c r="AG46" i="114" s="1"/>
  <c r="AH13" i="45"/>
  <c r="AB234" i="44"/>
  <c r="AB235" i="44" s="1"/>
  <c r="AB131" i="44"/>
  <c r="AB98" i="44"/>
  <c r="AB101" i="44" s="1"/>
  <c r="AB213" i="44"/>
  <c r="AB221" i="44" s="1"/>
  <c r="AB167" i="44"/>
  <c r="AB130" i="44"/>
  <c r="AB88" i="44"/>
  <c r="AB212" i="44"/>
  <c r="AB222" i="44" s="1"/>
  <c r="M9" i="98" l="1"/>
  <c r="AG18" i="36"/>
  <c r="AF31" i="36" s="1"/>
  <c r="AG18" i="57"/>
  <c r="AF31" i="57" s="1"/>
  <c r="D38" i="98"/>
  <c r="AI12" i="45"/>
  <c r="AH81" i="41"/>
  <c r="AH47" i="41"/>
  <c r="AH103" i="41"/>
  <c r="AH104" i="41" s="1"/>
  <c r="AH114" i="41" s="1"/>
  <c r="AH232" i="44"/>
  <c r="AL100" i="98"/>
  <c r="AL102" i="98" s="1"/>
  <c r="AB223" i="44"/>
  <c r="AB92" i="44"/>
  <c r="AB103" i="44" s="1"/>
  <c r="AB165" i="44"/>
  <c r="AB172" i="44" s="1"/>
  <c r="AB174" i="44" s="1"/>
  <c r="AI37" i="45" l="1"/>
  <c r="AI15" i="45" s="1"/>
  <c r="AH49" i="41"/>
  <c r="AH16" i="41"/>
  <c r="AH98" i="41" s="1"/>
  <c r="AH107" i="41" s="1"/>
  <c r="AH116" i="41" s="1"/>
  <c r="AF32" i="57"/>
  <c r="AD34" i="57"/>
  <c r="AF32" i="36"/>
  <c r="AD34" i="36"/>
  <c r="I13" i="98"/>
  <c r="M13" i="98"/>
  <c r="K13" i="98"/>
  <c r="J13" i="98"/>
  <c r="L13" i="98"/>
  <c r="AB211" i="44"/>
  <c r="AB215" i="44" s="1"/>
  <c r="AB129" i="44"/>
  <c r="AB133" i="44" s="1"/>
  <c r="AB107" i="44"/>
  <c r="AB109" i="44" s="1"/>
  <c r="AB105" i="44"/>
  <c r="AI41" i="41" l="1"/>
  <c r="AI17" i="45"/>
  <c r="AI28" i="42"/>
  <c r="AI30" i="42" s="1"/>
  <c r="AI17" i="41"/>
  <c r="AI29" i="45"/>
  <c r="AI30" i="45" s="1"/>
  <c r="AI75" i="41"/>
  <c r="AI78" i="41" s="1"/>
  <c r="AI43" i="41"/>
  <c r="AH117" i="41"/>
  <c r="AH118" i="41" s="1"/>
  <c r="AH120" i="41" s="1"/>
  <c r="AH122" i="41" s="1"/>
  <c r="AH20" i="41" s="1"/>
  <c r="AH23" i="41" s="1"/>
  <c r="AI115" i="41"/>
  <c r="AB32" i="114"/>
  <c r="AC32" i="114"/>
  <c r="AB111" i="44"/>
  <c r="AB246" i="44"/>
  <c r="AB141" i="44"/>
  <c r="AB143" i="44" s="1"/>
  <c r="AB245" i="44"/>
  <c r="AB237" i="44"/>
  <c r="AB242" i="44" s="1"/>
  <c r="AB243" i="44" s="1"/>
  <c r="AB220" i="44"/>
  <c r="AB225" i="44" s="1"/>
  <c r="AH18" i="36" l="1"/>
  <c r="N9" i="98"/>
  <c r="AH18" i="57"/>
  <c r="AJ37" i="41"/>
  <c r="AI45" i="41"/>
  <c r="AJ71" i="41"/>
  <c r="AI81" i="41"/>
  <c r="AI13" i="45"/>
  <c r="AJ24" i="45"/>
  <c r="AI79" i="41"/>
  <c r="AI80" i="41" s="1"/>
  <c r="AH46" i="114" s="1"/>
  <c r="AB251" i="44"/>
  <c r="AB252" i="44" s="1"/>
  <c r="AB156" i="44"/>
  <c r="AB157" i="44" s="1"/>
  <c r="AC155" i="44" s="1"/>
  <c r="H101" i="98"/>
  <c r="AB226" i="44"/>
  <c r="AM100" i="98" l="1"/>
  <c r="AM102" i="98" s="1"/>
  <c r="AI232" i="44"/>
  <c r="AI103" i="41"/>
  <c r="AI104" i="41" s="1"/>
  <c r="AI114" i="41" s="1"/>
  <c r="AI47" i="41"/>
  <c r="AJ12" i="45"/>
  <c r="H105" i="98"/>
  <c r="AC187" i="44"/>
  <c r="AB160" i="44"/>
  <c r="AB161" i="44" s="1"/>
  <c r="AC159" i="44" s="1"/>
  <c r="AJ37" i="45" l="1"/>
  <c r="AJ15" i="45" s="1"/>
  <c r="AI16" i="41"/>
  <c r="AI98" i="41" s="1"/>
  <c r="AI107" i="41" s="1"/>
  <c r="AI116" i="41" s="1"/>
  <c r="AI49" i="41"/>
  <c r="AC192" i="44"/>
  <c r="AC231" i="44"/>
  <c r="AC240" i="44"/>
  <c r="AC189" i="44"/>
  <c r="AJ17" i="45" l="1"/>
  <c r="AJ17" i="41" s="1"/>
  <c r="AJ41" i="41"/>
  <c r="AJ75" i="41" s="1"/>
  <c r="AJ78" i="41" s="1"/>
  <c r="AJ28" i="42"/>
  <c r="AJ30" i="42" s="1"/>
  <c r="AJ43" i="41"/>
  <c r="AI117" i="41"/>
  <c r="AI118" i="41" s="1"/>
  <c r="AI120" i="41" s="1"/>
  <c r="AI122" i="41" s="1"/>
  <c r="AI20" i="41" s="1"/>
  <c r="AI23" i="41" s="1"/>
  <c r="AJ115" i="41"/>
  <c r="AC130" i="44"/>
  <c r="AC88" i="44"/>
  <c r="AC212" i="44"/>
  <c r="AC222" i="44" s="1"/>
  <c r="AC238" i="44"/>
  <c r="AC195" i="44"/>
  <c r="AC230" i="44"/>
  <c r="AC234" i="44" s="1"/>
  <c r="AC235" i="44" s="1"/>
  <c r="AB57" i="114" s="1"/>
  <c r="AJ29" i="45" l="1"/>
  <c r="AJ30" i="45" s="1"/>
  <c r="AK24" i="45" s="1"/>
  <c r="O9" i="98"/>
  <c r="AI18" i="36"/>
  <c r="AI18" i="57"/>
  <c r="AK37" i="41"/>
  <c r="AJ45" i="41"/>
  <c r="AK71" i="41"/>
  <c r="AC165" i="44"/>
  <c r="AC92" i="44"/>
  <c r="AC167" i="44"/>
  <c r="AC131" i="44"/>
  <c r="AC98" i="44"/>
  <c r="AC101" i="44" s="1"/>
  <c r="AC213" i="44"/>
  <c r="AC221" i="44" s="1"/>
  <c r="AC223" i="44" s="1"/>
  <c r="AJ79" i="41" l="1"/>
  <c r="AJ80" i="41" s="1"/>
  <c r="AI46" i="114" s="1"/>
  <c r="AJ13" i="45"/>
  <c r="AJ103" i="41"/>
  <c r="AJ104" i="41" s="1"/>
  <c r="AJ114" i="41" s="1"/>
  <c r="AJ47" i="41"/>
  <c r="AJ232" i="44"/>
  <c r="AN100" i="98"/>
  <c r="AN102" i="98" s="1"/>
  <c r="AK12" i="45"/>
  <c r="AC103" i="44"/>
  <c r="AC172" i="44"/>
  <c r="AJ81" i="41" l="1"/>
  <c r="AK37" i="45"/>
  <c r="AK15" i="45" s="1"/>
  <c r="AJ49" i="41"/>
  <c r="AJ16" i="41"/>
  <c r="AJ98" i="41" s="1"/>
  <c r="AJ107" i="41" s="1"/>
  <c r="AJ116" i="41" s="1"/>
  <c r="AD169" i="44"/>
  <c r="AC174" i="44"/>
  <c r="AC105" i="44"/>
  <c r="AC107" i="44"/>
  <c r="AC109" i="44" s="1"/>
  <c r="AK28" i="42" l="1"/>
  <c r="AK30" i="42" s="1"/>
  <c r="AK41" i="41"/>
  <c r="AK43" i="41" s="1"/>
  <c r="AK17" i="45"/>
  <c r="AK115" i="41"/>
  <c r="AJ117" i="41"/>
  <c r="AJ118" i="41" s="1"/>
  <c r="AJ120" i="41" s="1"/>
  <c r="AJ122" i="41" s="1"/>
  <c r="AJ20" i="41" s="1"/>
  <c r="AJ23" i="41" s="1"/>
  <c r="AK17" i="41"/>
  <c r="AK29" i="45"/>
  <c r="AK30" i="45" s="1"/>
  <c r="AK75" i="41"/>
  <c r="AK78" i="41" s="1"/>
  <c r="AC246" i="44"/>
  <c r="AC141" i="44"/>
  <c r="AC111" i="44"/>
  <c r="AC129" i="44"/>
  <c r="AC133" i="44" s="1"/>
  <c r="AC211" i="44"/>
  <c r="AC215" i="44" s="1"/>
  <c r="AL24" i="45" l="1"/>
  <c r="AK13" i="45"/>
  <c r="AK79" i="41"/>
  <c r="AK80" i="41" s="1"/>
  <c r="AJ46" i="114" s="1"/>
  <c r="AL71" i="41"/>
  <c r="AK81" i="41"/>
  <c r="P9" i="98"/>
  <c r="AJ18" i="57"/>
  <c r="AJ18" i="36"/>
  <c r="AL37" i="41"/>
  <c r="AK45" i="41"/>
  <c r="AC143" i="44"/>
  <c r="AC156" i="44" s="1"/>
  <c r="AC157" i="44" s="1"/>
  <c r="AD155" i="44" s="1"/>
  <c r="AC220" i="44"/>
  <c r="AC225" i="44" s="1"/>
  <c r="AC237" i="44"/>
  <c r="AC242" i="44" s="1"/>
  <c r="AC243" i="44" s="1"/>
  <c r="AB58" i="114" s="1"/>
  <c r="AC245" i="44"/>
  <c r="AC251" i="44" s="1"/>
  <c r="AK232" i="44" l="1"/>
  <c r="AK103" i="41"/>
  <c r="AK104" i="41" s="1"/>
  <c r="AK114" i="41" s="1"/>
  <c r="AK47" i="41"/>
  <c r="AO100" i="98"/>
  <c r="AO102" i="98" s="1"/>
  <c r="AL12" i="45"/>
  <c r="AD187" i="44"/>
  <c r="I101" i="98"/>
  <c r="AC226" i="44"/>
  <c r="AB54" i="114" s="1"/>
  <c r="I105" i="98"/>
  <c r="AC252" i="44"/>
  <c r="AB59" i="114" s="1"/>
  <c r="AC160" i="44"/>
  <c r="AC161" i="44" s="1"/>
  <c r="AD159" i="44" s="1"/>
  <c r="AL37" i="45" l="1"/>
  <c r="AL15" i="45" s="1"/>
  <c r="AK16" i="41"/>
  <c r="AK98" i="41" s="1"/>
  <c r="AK107" i="41" s="1"/>
  <c r="AK116" i="41" s="1"/>
  <c r="AK49" i="41"/>
  <c r="AD192" i="44"/>
  <c r="AD231" i="44"/>
  <c r="AD189" i="44"/>
  <c r="AD240" i="44"/>
  <c r="AL41" i="41" l="1"/>
  <c r="AL17" i="45"/>
  <c r="AL28" i="42"/>
  <c r="AL30" i="42" s="1"/>
  <c r="AL115" i="41"/>
  <c r="AK117" i="41"/>
  <c r="AK118" i="41" s="1"/>
  <c r="AK120" i="41" s="1"/>
  <c r="AK122" i="41" s="1"/>
  <c r="AK20" i="41" s="1"/>
  <c r="AK23" i="41" s="1"/>
  <c r="AL17" i="41"/>
  <c r="AL29" i="45"/>
  <c r="AL30" i="45" s="1"/>
  <c r="AL75" i="41"/>
  <c r="AL78" i="41" s="1"/>
  <c r="AL43" i="41"/>
  <c r="AL45" i="41" s="1"/>
  <c r="AD130" i="44"/>
  <c r="AD88" i="44"/>
  <c r="AD212" i="44"/>
  <c r="AD222" i="44" s="1"/>
  <c r="AD230" i="44"/>
  <c r="AD234" i="44" s="1"/>
  <c r="AD235" i="44" s="1"/>
  <c r="AC57" i="114" s="1"/>
  <c r="AD238" i="44"/>
  <c r="AD195" i="44"/>
  <c r="AL47" i="41" l="1"/>
  <c r="AL232" i="44"/>
  <c r="AL103" i="41"/>
  <c r="AL104" i="41" s="1"/>
  <c r="AL114" i="41" s="1"/>
  <c r="AL13" i="45"/>
  <c r="AL79" i="41"/>
  <c r="AL80" i="41" s="1"/>
  <c r="AK46" i="114" s="1"/>
  <c r="AK18" i="57"/>
  <c r="AK18" i="36"/>
  <c r="Q9" i="98"/>
  <c r="AD167" i="44"/>
  <c r="AD131" i="44"/>
  <c r="AD213" i="44"/>
  <c r="AD221" i="44" s="1"/>
  <c r="AD223" i="44" s="1"/>
  <c r="AD98" i="44"/>
  <c r="AD101" i="44" s="1"/>
  <c r="AD165" i="44"/>
  <c r="AD92" i="44"/>
  <c r="AL16" i="41" l="1"/>
  <c r="AL98" i="41" s="1"/>
  <c r="AL107" i="41" s="1"/>
  <c r="AL116" i="41" s="1"/>
  <c r="AL117" i="41" s="1"/>
  <c r="AL118" i="41" s="1"/>
  <c r="AL120" i="41" s="1"/>
  <c r="AL122" i="41" s="1"/>
  <c r="AL20" i="41" s="1"/>
  <c r="AL23" i="41" s="1"/>
  <c r="AL49" i="41"/>
  <c r="AL81" i="41"/>
  <c r="AD172" i="44"/>
  <c r="AD174" i="44" s="1"/>
  <c r="AD103" i="44"/>
  <c r="AL18" i="36" l="1"/>
  <c r="AK31" i="36" s="1"/>
  <c r="AL18" i="57"/>
  <c r="AK31" i="57" s="1"/>
  <c r="R9" i="98"/>
  <c r="AE169" i="44"/>
  <c r="AD211" i="44"/>
  <c r="AD215" i="44" s="1"/>
  <c r="AD129" i="44"/>
  <c r="AD133" i="44" s="1"/>
  <c r="AD105" i="44"/>
  <c r="AD107" i="44"/>
  <c r="AD109" i="44" s="1"/>
  <c r="AK32" i="57" l="1"/>
  <c r="AI34" i="57"/>
  <c r="AC41" i="114" s="1"/>
  <c r="R14" i="98"/>
  <c r="O14" i="98"/>
  <c r="N14" i="98"/>
  <c r="P14" i="98"/>
  <c r="Q14" i="98"/>
  <c r="AI34" i="36"/>
  <c r="AK32" i="36"/>
  <c r="AD111" i="44"/>
  <c r="AD141" i="44"/>
  <c r="AD143" i="44" s="1"/>
  <c r="AD246" i="44"/>
  <c r="AD237" i="44"/>
  <c r="AD242" i="44" s="1"/>
  <c r="AD243" i="44" s="1"/>
  <c r="AC58" i="114" s="1"/>
  <c r="AD245" i="44"/>
  <c r="AD220" i="44"/>
  <c r="AD225" i="44" s="1"/>
  <c r="AB34" i="114" l="1"/>
  <c r="AC34" i="114"/>
  <c r="AD156" i="44"/>
  <c r="AD157" i="44" s="1"/>
  <c r="AE155" i="44" s="1"/>
  <c r="J101" i="98"/>
  <c r="AD226" i="44"/>
  <c r="AC54" i="114" s="1"/>
  <c r="AD251" i="44"/>
  <c r="I9" i="114" l="1"/>
  <c r="AE187" i="44"/>
  <c r="J105" i="98"/>
  <c r="AD252" i="44"/>
  <c r="AC59" i="114" s="1"/>
  <c r="AD160" i="44"/>
  <c r="AD161" i="44" s="1"/>
  <c r="AE159" i="44" s="1"/>
  <c r="AE192" i="44" l="1"/>
  <c r="AE189" i="44"/>
  <c r="AE231" i="44"/>
  <c r="AE240" i="44"/>
  <c r="AE88" i="44" l="1"/>
  <c r="AE212" i="44"/>
  <c r="AE222" i="44" s="1"/>
  <c r="AE130" i="44"/>
  <c r="AE238" i="44"/>
  <c r="AE195" i="44"/>
  <c r="AE230" i="44"/>
  <c r="AE234" i="44" s="1"/>
  <c r="AE235" i="44" s="1"/>
  <c r="AD57" i="114" s="1"/>
  <c r="AE213" i="44" l="1"/>
  <c r="AE221" i="44" s="1"/>
  <c r="AE223" i="44" s="1"/>
  <c r="AE131" i="44"/>
  <c r="AE98" i="44"/>
  <c r="AE101" i="44" s="1"/>
  <c r="AE167" i="44"/>
  <c r="AE92" i="44"/>
  <c r="AE165" i="44"/>
  <c r="AE103" i="44" l="1"/>
  <c r="AE107" i="44" s="1"/>
  <c r="AE109" i="44" s="1"/>
  <c r="AE172" i="44"/>
  <c r="AE105" i="44" l="1"/>
  <c r="AE111" i="44" s="1"/>
  <c r="AE141" i="44"/>
  <c r="AE246" i="44"/>
  <c r="AE174" i="44"/>
  <c r="AF169" i="44"/>
  <c r="AE129" i="44" l="1"/>
  <c r="AE133" i="44" s="1"/>
  <c r="AE143" i="44" s="1"/>
  <c r="AE211" i="44"/>
  <c r="AE215" i="44" s="1"/>
  <c r="AE237" i="44" l="1"/>
  <c r="AE242" i="44" s="1"/>
  <c r="AE243" i="44" s="1"/>
  <c r="AD58" i="114" s="1"/>
  <c r="AE245" i="44"/>
  <c r="AE251" i="44" s="1"/>
  <c r="AE220" i="44"/>
  <c r="AE225" i="44" s="1"/>
  <c r="AE156" i="44"/>
  <c r="AE157" i="44" s="1"/>
  <c r="AF155" i="44" s="1"/>
  <c r="AF187" i="44" l="1"/>
  <c r="AE226" i="44"/>
  <c r="AD54" i="114" s="1"/>
  <c r="K101" i="98"/>
  <c r="AE160" i="44"/>
  <c r="AE161" i="44" s="1"/>
  <c r="AF159" i="44" s="1"/>
  <c r="AE252" i="44"/>
  <c r="AD59" i="114" s="1"/>
  <c r="K105" i="98"/>
  <c r="AF192" i="44" l="1"/>
  <c r="AF231" i="44"/>
  <c r="AF240" i="44"/>
  <c r="AF189" i="44"/>
  <c r="AF88" i="44" l="1"/>
  <c r="AF130" i="44"/>
  <c r="AF212" i="44"/>
  <c r="AF222" i="44" s="1"/>
  <c r="AF195" i="44"/>
  <c r="AF230" i="44"/>
  <c r="AF234" i="44" s="1"/>
  <c r="AF235" i="44" s="1"/>
  <c r="AE57" i="114" s="1"/>
  <c r="AF238" i="44"/>
  <c r="AF213" i="44" l="1"/>
  <c r="AF221" i="44" s="1"/>
  <c r="AF223" i="44" s="1"/>
  <c r="AF167" i="44"/>
  <c r="AF98" i="44"/>
  <c r="AF101" i="44" s="1"/>
  <c r="AF131" i="44"/>
  <c r="AF165" i="44"/>
  <c r="AF92" i="44"/>
  <c r="AF103" i="44" l="1"/>
  <c r="AF105" i="44" s="1"/>
  <c r="AF172" i="44"/>
  <c r="AF107" i="44" l="1"/>
  <c r="AF109" i="44" s="1"/>
  <c r="AF111" i="44" s="1"/>
  <c r="AF174" i="44"/>
  <c r="AG169" i="44"/>
  <c r="AF141" i="44" l="1"/>
  <c r="AF246" i="44"/>
  <c r="AF211" i="44"/>
  <c r="AF215" i="44" s="1"/>
  <c r="AF129" i="44"/>
  <c r="AF133" i="44" s="1"/>
  <c r="AF143" i="44" l="1"/>
  <c r="AF156" i="44" s="1"/>
  <c r="AF157" i="44" s="1"/>
  <c r="AG155" i="44" s="1"/>
  <c r="AF237" i="44"/>
  <c r="AF242" i="44" s="1"/>
  <c r="AF243" i="44" s="1"/>
  <c r="AE58" i="114" s="1"/>
  <c r="AF245" i="44"/>
  <c r="AF251" i="44" s="1"/>
  <c r="AF220" i="44"/>
  <c r="AF225" i="44" s="1"/>
  <c r="AG187" i="44" l="1"/>
  <c r="L105" i="98"/>
  <c r="AF252" i="44"/>
  <c r="AE59" i="114" s="1"/>
  <c r="L101" i="98"/>
  <c r="AF226" i="44"/>
  <c r="AE54" i="114" s="1"/>
  <c r="AF160" i="44"/>
  <c r="AF161" i="44" s="1"/>
  <c r="AG159" i="44" s="1"/>
  <c r="AG192" i="44" l="1"/>
  <c r="AG240" i="44"/>
  <c r="AG189" i="44"/>
  <c r="AG231" i="44"/>
  <c r="AG130" i="44" l="1"/>
  <c r="AG88" i="44"/>
  <c r="AG212" i="44"/>
  <c r="AG222" i="44" s="1"/>
  <c r="AG230" i="44"/>
  <c r="AG234" i="44" s="1"/>
  <c r="AG235" i="44" s="1"/>
  <c r="AF57" i="114" s="1"/>
  <c r="AG238" i="44"/>
  <c r="AG195" i="44"/>
  <c r="AG131" i="44" l="1"/>
  <c r="AG167" i="44"/>
  <c r="AG98" i="44"/>
  <c r="AG101" i="44" s="1"/>
  <c r="AG213" i="44"/>
  <c r="AG221" i="44" s="1"/>
  <c r="AG223" i="44" s="1"/>
  <c r="AG92" i="44"/>
  <c r="AG165" i="44"/>
  <c r="AG172" i="44" l="1"/>
  <c r="AG174" i="44" s="1"/>
  <c r="AG103" i="44"/>
  <c r="AH169" i="44" l="1"/>
  <c r="AG107" i="44"/>
  <c r="AG109" i="44" s="1"/>
  <c r="AG105" i="44"/>
  <c r="AG129" i="44"/>
  <c r="AG133" i="44" s="1"/>
  <c r="AG211" i="44"/>
  <c r="AG215" i="44" s="1"/>
  <c r="AG111" i="44" l="1"/>
  <c r="AG245" i="44"/>
  <c r="AG237" i="44"/>
  <c r="AG242" i="44" s="1"/>
  <c r="AG243" i="44" s="1"/>
  <c r="AF58" i="114" s="1"/>
  <c r="AG220" i="44"/>
  <c r="AG225" i="44" s="1"/>
  <c r="AG141" i="44"/>
  <c r="AG143" i="44" s="1"/>
  <c r="AG246" i="44"/>
  <c r="AG156" i="44" l="1"/>
  <c r="AG157" i="44" s="1"/>
  <c r="AH155" i="44" s="1"/>
  <c r="AG251" i="44"/>
  <c r="M101" i="98"/>
  <c r="AG226" i="44"/>
  <c r="AF54" i="114" s="1"/>
  <c r="M105" i="98" l="1"/>
  <c r="AG252" i="44"/>
  <c r="AF59" i="114" s="1"/>
  <c r="AH187" i="44"/>
  <c r="AG160" i="44"/>
  <c r="AG161" i="44" s="1"/>
  <c r="AH159" i="44" s="1"/>
  <c r="AH189" i="44" l="1"/>
  <c r="AH231" i="44"/>
  <c r="AH240" i="44"/>
  <c r="AH192" i="44"/>
  <c r="AH238" i="44" l="1"/>
  <c r="AH195" i="44"/>
  <c r="AH230" i="44"/>
  <c r="AH234" i="44" s="1"/>
  <c r="AH235" i="44" s="1"/>
  <c r="AG57" i="114" s="1"/>
  <c r="AH130" i="44"/>
  <c r="AH212" i="44"/>
  <c r="AH222" i="44" s="1"/>
  <c r="AH88" i="44"/>
  <c r="AH92" i="44" l="1"/>
  <c r="AH165" i="44"/>
  <c r="AH98" i="44"/>
  <c r="AH101" i="44" s="1"/>
  <c r="AH213" i="44"/>
  <c r="AH221" i="44" s="1"/>
  <c r="AH223" i="44" s="1"/>
  <c r="AH131" i="44"/>
  <c r="AH167" i="44"/>
  <c r="AH172" i="44" l="1"/>
  <c r="AI169" i="44" s="1"/>
  <c r="AH103" i="44"/>
  <c r="AH174" i="44" l="1"/>
  <c r="AH129" i="44" s="1"/>
  <c r="AH133" i="44" s="1"/>
  <c r="AH107" i="44"/>
  <c r="AH109" i="44" s="1"/>
  <c r="AH105" i="44"/>
  <c r="AH211" i="44" l="1"/>
  <c r="AH215" i="44" s="1"/>
  <c r="AH245" i="44" s="1"/>
  <c r="AH111" i="44"/>
  <c r="AH246" i="44"/>
  <c r="AH141" i="44"/>
  <c r="AH143" i="44" s="1"/>
  <c r="AH220" i="44" l="1"/>
  <c r="AH225" i="44" s="1"/>
  <c r="AH226" i="44" s="1"/>
  <c r="AG54" i="114" s="1"/>
  <c r="AH237" i="44"/>
  <c r="AH242" i="44" s="1"/>
  <c r="AH243" i="44" s="1"/>
  <c r="AG58" i="114" s="1"/>
  <c r="AH251" i="44"/>
  <c r="AH252" i="44" s="1"/>
  <c r="AG59" i="114" s="1"/>
  <c r="AH156" i="44"/>
  <c r="AH157" i="44" s="1"/>
  <c r="AI155" i="44" s="1"/>
  <c r="N101" i="98" l="1"/>
  <c r="N105" i="98"/>
  <c r="AI187" i="44"/>
  <c r="AH160" i="44"/>
  <c r="AH161" i="44" s="1"/>
  <c r="AI159" i="44" s="1"/>
  <c r="AI192" i="44" l="1"/>
  <c r="AI240" i="44"/>
  <c r="AI231" i="44"/>
  <c r="AI189" i="44"/>
  <c r="AI195" i="44" l="1"/>
  <c r="AI230" i="44"/>
  <c r="AI234" i="44" s="1"/>
  <c r="AI235" i="44" s="1"/>
  <c r="AH57" i="114" s="1"/>
  <c r="AI238" i="44"/>
  <c r="AI212" i="44"/>
  <c r="AI222" i="44" s="1"/>
  <c r="AI88" i="44"/>
  <c r="AI130" i="44"/>
  <c r="AI92" i="44" l="1"/>
  <c r="AI165" i="44"/>
  <c r="AI167" i="44"/>
  <c r="AI98" i="44"/>
  <c r="AI101" i="44" s="1"/>
  <c r="AI131" i="44"/>
  <c r="AI213" i="44"/>
  <c r="AI221" i="44" s="1"/>
  <c r="AI223" i="44" s="1"/>
  <c r="AI172" i="44" l="1"/>
  <c r="AI103" i="44"/>
  <c r="AI107" i="44" l="1"/>
  <c r="AI109" i="44" s="1"/>
  <c r="AI105" i="44"/>
  <c r="AJ169" i="44"/>
  <c r="AI174" i="44"/>
  <c r="AI111" i="44" l="1"/>
  <c r="AI129" i="44"/>
  <c r="AI133" i="44" s="1"/>
  <c r="AI211" i="44"/>
  <c r="AI215" i="44" s="1"/>
  <c r="AI246" i="44"/>
  <c r="AI141" i="44"/>
  <c r="AI237" i="44" l="1"/>
  <c r="AI242" i="44" s="1"/>
  <c r="AI243" i="44" s="1"/>
  <c r="AH58" i="114" s="1"/>
  <c r="AI220" i="44"/>
  <c r="AI225" i="44" s="1"/>
  <c r="AI245" i="44"/>
  <c r="AI251" i="44" s="1"/>
  <c r="AI143" i="44"/>
  <c r="AI156" i="44" l="1"/>
  <c r="AI157" i="44" s="1"/>
  <c r="AJ155" i="44" s="1"/>
  <c r="AI252" i="44"/>
  <c r="AH59" i="114" s="1"/>
  <c r="O105" i="98"/>
  <c r="O101" i="98"/>
  <c r="AI226" i="44"/>
  <c r="AH54" i="114" s="1"/>
  <c r="AJ187" i="44" l="1"/>
  <c r="AI160" i="44"/>
  <c r="AI161" i="44" s="1"/>
  <c r="AJ159" i="44" s="1"/>
  <c r="AJ192" i="44" l="1"/>
  <c r="AJ240" i="44"/>
  <c r="AJ231" i="44"/>
  <c r="AJ189" i="44"/>
  <c r="AJ130" i="44" l="1"/>
  <c r="AJ88" i="44"/>
  <c r="AJ212" i="44"/>
  <c r="AJ222" i="44" s="1"/>
  <c r="AJ195" i="44"/>
  <c r="AJ238" i="44"/>
  <c r="AJ230" i="44"/>
  <c r="AJ234" i="44" s="1"/>
  <c r="AJ235" i="44" s="1"/>
  <c r="AI57" i="114" s="1"/>
  <c r="AJ167" i="44" l="1"/>
  <c r="AJ131" i="44"/>
  <c r="AJ213" i="44"/>
  <c r="AJ221" i="44" s="1"/>
  <c r="AJ223" i="44" s="1"/>
  <c r="AJ98" i="44"/>
  <c r="AJ101" i="44" s="1"/>
  <c r="AJ92" i="44"/>
  <c r="AJ165" i="44"/>
  <c r="AJ172" i="44" l="1"/>
  <c r="AK169" i="44" s="1"/>
  <c r="AJ103" i="44"/>
  <c r="AJ174" i="44" l="1"/>
  <c r="AJ211" i="44" s="1"/>
  <c r="AJ215" i="44" s="1"/>
  <c r="AJ105" i="44"/>
  <c r="AJ107" i="44"/>
  <c r="AJ109" i="44" s="1"/>
  <c r="AJ129" i="44" l="1"/>
  <c r="AJ133" i="44" s="1"/>
  <c r="AJ246" i="44"/>
  <c r="AJ141" i="44"/>
  <c r="AJ245" i="44"/>
  <c r="AJ237" i="44"/>
  <c r="AJ242" i="44" s="1"/>
  <c r="AJ243" i="44" s="1"/>
  <c r="AI58" i="114" s="1"/>
  <c r="AJ220" i="44"/>
  <c r="AJ225" i="44" s="1"/>
  <c r="AJ111" i="44"/>
  <c r="AJ143" i="44" l="1"/>
  <c r="AJ156" i="44" s="1"/>
  <c r="AJ157" i="44" s="1"/>
  <c r="AK155" i="44" s="1"/>
  <c r="AJ251" i="44"/>
  <c r="AJ252" i="44" s="1"/>
  <c r="AI59" i="114" s="1"/>
  <c r="P101" i="98"/>
  <c r="AJ226" i="44"/>
  <c r="AI54" i="114" s="1"/>
  <c r="P105" i="98" l="1"/>
  <c r="AK187" i="44"/>
  <c r="AJ160" i="44"/>
  <c r="AJ161" i="44" s="1"/>
  <c r="AK159" i="44" s="1"/>
  <c r="AK192" i="44" l="1"/>
  <c r="AK231" i="44"/>
  <c r="AK189" i="44"/>
  <c r="AK240" i="44"/>
  <c r="AK88" i="44" l="1"/>
  <c r="AK130" i="44"/>
  <c r="AK212" i="44"/>
  <c r="AK222" i="44" s="1"/>
  <c r="AK230" i="44"/>
  <c r="AK234" i="44" s="1"/>
  <c r="AK235" i="44" s="1"/>
  <c r="AJ57" i="114" s="1"/>
  <c r="AK238" i="44"/>
  <c r="AK195" i="44"/>
  <c r="AK131" i="44" l="1"/>
  <c r="AK167" i="44"/>
  <c r="AK213" i="44"/>
  <c r="AK221" i="44" s="1"/>
  <c r="AK223" i="44" s="1"/>
  <c r="AK98" i="44"/>
  <c r="AK101" i="44" s="1"/>
  <c r="AK92" i="44"/>
  <c r="AK165" i="44"/>
  <c r="AK172" i="44" l="1"/>
  <c r="AK174" i="44" s="1"/>
  <c r="AK103" i="44"/>
  <c r="AL169" i="44" l="1"/>
  <c r="AK107" i="44"/>
  <c r="AK109" i="44" s="1"/>
  <c r="AK105" i="44"/>
  <c r="AK129" i="44"/>
  <c r="AK133" i="44" s="1"/>
  <c r="AK211" i="44"/>
  <c r="AK215" i="44" s="1"/>
  <c r="AK111" i="44" l="1"/>
  <c r="AK245" i="44"/>
  <c r="AK220" i="44"/>
  <c r="AK225" i="44" s="1"/>
  <c r="AK237" i="44"/>
  <c r="AK242" i="44" s="1"/>
  <c r="AK243" i="44" s="1"/>
  <c r="AJ58" i="114" s="1"/>
  <c r="AK141" i="44"/>
  <c r="AK143" i="44" s="1"/>
  <c r="AK246" i="44"/>
  <c r="AK156" i="44" l="1"/>
  <c r="AK157" i="44" s="1"/>
  <c r="AL155" i="44" s="1"/>
  <c r="Q101" i="98"/>
  <c r="AK226" i="44"/>
  <c r="AJ54" i="114" s="1"/>
  <c r="AK251" i="44"/>
  <c r="AL187" i="44" l="1"/>
  <c r="AK252" i="44"/>
  <c r="AJ59" i="114" s="1"/>
  <c r="Q105" i="98"/>
  <c r="AK160" i="44"/>
  <c r="AK161" i="44" s="1"/>
  <c r="AL159" i="44" s="1"/>
  <c r="AL192" i="44" l="1"/>
  <c r="AL189" i="44"/>
  <c r="AL231" i="44"/>
  <c r="AL240" i="44"/>
  <c r="AL130" i="44" l="1"/>
  <c r="AL212" i="44"/>
  <c r="AL222" i="44" s="1"/>
  <c r="AL88" i="44"/>
  <c r="AL238" i="44"/>
  <c r="AL195" i="44"/>
  <c r="AL230" i="44"/>
  <c r="AL234" i="44" s="1"/>
  <c r="AL235" i="44" s="1"/>
  <c r="AK57" i="114" s="1"/>
  <c r="AL165" i="44" l="1"/>
  <c r="AL92" i="44"/>
  <c r="AL131" i="44"/>
  <c r="AL167" i="44"/>
  <c r="AL98" i="44"/>
  <c r="AL101" i="44" s="1"/>
  <c r="AL213" i="44"/>
  <c r="AL221" i="44" s="1"/>
  <c r="AL223" i="44" s="1"/>
  <c r="AL103" i="44" l="1"/>
  <c r="AL107" i="44" s="1"/>
  <c r="AL109" i="44" s="1"/>
  <c r="AL172" i="44"/>
  <c r="AL174" i="44" s="1"/>
  <c r="AL105" i="44" l="1"/>
  <c r="AL111" i="44" s="1"/>
  <c r="AL246" i="44"/>
  <c r="AL141" i="44"/>
  <c r="AL211" i="44"/>
  <c r="AL215" i="44" s="1"/>
  <c r="AL129" i="44"/>
  <c r="AL133" i="44" s="1"/>
  <c r="AL143" i="44" l="1"/>
  <c r="AL156" i="44" s="1"/>
  <c r="AL157" i="44" s="1"/>
  <c r="AL237" i="44"/>
  <c r="AL242" i="44" s="1"/>
  <c r="AL243" i="44" s="1"/>
  <c r="AK58" i="114" s="1"/>
  <c r="AL245" i="44"/>
  <c r="AL251" i="44" s="1"/>
  <c r="AL220" i="44"/>
  <c r="AL225" i="44" s="1"/>
  <c r="AL160" i="44" l="1"/>
  <c r="AL161" i="44" s="1"/>
  <c r="AL226" i="44"/>
  <c r="AK54" i="114" s="1"/>
  <c r="R101" i="98"/>
  <c r="R105" i="98"/>
  <c r="AL252" i="44"/>
  <c r="AK59" i="114" s="1"/>
  <c r="I11" i="114" l="1"/>
</calcChain>
</file>

<file path=xl/sharedStrings.xml><?xml version="1.0" encoding="utf-8"?>
<sst xmlns="http://schemas.openxmlformats.org/spreadsheetml/2006/main" count="6696" uniqueCount="1230">
  <si>
    <t>Go to Table of Contents</t>
  </si>
  <si>
    <t>Table of Contents</t>
  </si>
  <si>
    <t>Section &amp; Sheet Titles</t>
  </si>
  <si>
    <t>FO</t>
  </si>
  <si>
    <t>Essential Services Commission</t>
  </si>
  <si>
    <t>Operations &amp; Maintenance</t>
  </si>
  <si>
    <t>Treatment</t>
  </si>
  <si>
    <t>Customer Service and billing</t>
  </si>
  <si>
    <t>GSL Payments</t>
  </si>
  <si>
    <t>Licence Fees</t>
  </si>
  <si>
    <t>Corporate</t>
  </si>
  <si>
    <t>Other operating expenditure</t>
  </si>
  <si>
    <t>Growth</t>
  </si>
  <si>
    <t>Headworks</t>
  </si>
  <si>
    <t>Pipelines/network</t>
  </si>
  <si>
    <t>Licence fees</t>
  </si>
  <si>
    <t>Department of Human Services</t>
  </si>
  <si>
    <t>Environment Protection Authority</t>
  </si>
  <si>
    <t>Gifted assets</t>
  </si>
  <si>
    <t>Proceeds from disposals</t>
  </si>
  <si>
    <t>Government contributions</t>
  </si>
  <si>
    <t>Water</t>
  </si>
  <si>
    <t>Sewerage</t>
  </si>
  <si>
    <t>Customer contributions</t>
  </si>
  <si>
    <t>Gross capital expenditure</t>
  </si>
  <si>
    <t>Net capital expenditure</t>
  </si>
  <si>
    <t>Depreciation</t>
  </si>
  <si>
    <t>Operating expenditure</t>
  </si>
  <si>
    <t>[Service]</t>
  </si>
  <si>
    <t>Revenue forecast</t>
  </si>
  <si>
    <t>Non-tariff revenue</t>
  </si>
  <si>
    <t>Contract revenue</t>
  </si>
  <si>
    <t>Trade Waste Contract Revenue</t>
  </si>
  <si>
    <t>Sewerage Contract Revenue</t>
  </si>
  <si>
    <t>Water Contract Revenue</t>
  </si>
  <si>
    <t>Recycled Water Contract Revenue</t>
  </si>
  <si>
    <t>Miscellaneous Services</t>
  </si>
  <si>
    <t>Other Revenue</t>
  </si>
  <si>
    <t>Revenue not collected</t>
  </si>
  <si>
    <t>Tariff revenue</t>
  </si>
  <si>
    <t>PQR</t>
  </si>
  <si>
    <t>Service</t>
  </si>
  <si>
    <t>District</t>
  </si>
  <si>
    <t>Tariff Description</t>
  </si>
  <si>
    <t>Unit</t>
  </si>
  <si>
    <t>Price</t>
  </si>
  <si>
    <t>Qty</t>
  </si>
  <si>
    <t>Rev</t>
  </si>
  <si>
    <t>kL</t>
  </si>
  <si>
    <t>Inflation assumptions</t>
  </si>
  <si>
    <t>Inflation factor</t>
  </si>
  <si>
    <t>Risk Free Rate (Real)</t>
  </si>
  <si>
    <t>Debt Premium</t>
  </si>
  <si>
    <t>Equity Premium</t>
  </si>
  <si>
    <t>Equity Beta</t>
  </si>
  <si>
    <t>Gearing (Debt/Assets)</t>
  </si>
  <si>
    <t>Forecast Inflation</t>
  </si>
  <si>
    <t>Franking credit value</t>
  </si>
  <si>
    <t>'Vanilla' After Tax WACC (Real)</t>
  </si>
  <si>
    <t>Operating Expenditure Summary</t>
  </si>
  <si>
    <t>FIRST REG PERIOD</t>
  </si>
  <si>
    <t>SECOND REG PERIOD</t>
  </si>
  <si>
    <t>Gifted Assets</t>
  </si>
  <si>
    <t>Straight Line</t>
  </si>
  <si>
    <t>Declining Balance</t>
  </si>
  <si>
    <t>Regulatory Depreciation</t>
  </si>
  <si>
    <t>Closing asset base</t>
  </si>
  <si>
    <t>Return on assets</t>
  </si>
  <si>
    <t>Total Non Prescribed Services</t>
  </si>
  <si>
    <t>Revenue</t>
  </si>
  <si>
    <t>Revenue Summary</t>
  </si>
  <si>
    <t>Total prescribed revenue</t>
  </si>
  <si>
    <t>Net prescribed revenue</t>
  </si>
  <si>
    <t>Revenue requirement</t>
  </si>
  <si>
    <t>Non-prescribed revenue</t>
  </si>
  <si>
    <t>TOTAL REVENUE</t>
  </si>
  <si>
    <t>NPV Revenue Requirement</t>
  </si>
  <si>
    <t>NPV Net Prescribed Revenue</t>
  </si>
  <si>
    <t>Variance</t>
  </si>
  <si>
    <t>March quarter annual CPI</t>
  </si>
  <si>
    <t>Inflation</t>
  </si>
  <si>
    <t>Parameters</t>
  </si>
  <si>
    <t>Revenue requirement and RAV outputs</t>
  </si>
  <si>
    <t>Benchmark tax liability</t>
  </si>
  <si>
    <t>Total revenue requirement</t>
  </si>
  <si>
    <t>Revenue requirement detail</t>
  </si>
  <si>
    <t>Opening asset base</t>
  </si>
  <si>
    <t>less regulatory depreciation</t>
  </si>
  <si>
    <t>Average asset base</t>
  </si>
  <si>
    <t>2004-05</t>
  </si>
  <si>
    <t>plus capital expenditure</t>
  </si>
  <si>
    <t>less customer contributions</t>
  </si>
  <si>
    <t>less government contributions</t>
  </si>
  <si>
    <t>less disposals</t>
  </si>
  <si>
    <t>Return on assets (new)</t>
  </si>
  <si>
    <t>Return on and of new assets</t>
  </si>
  <si>
    <t>Rolled forward RAV</t>
  </si>
  <si>
    <t>Forecast inflation</t>
  </si>
  <si>
    <t>Gearing</t>
  </si>
  <si>
    <t>Tax rate</t>
  </si>
  <si>
    <t>Cost of debt (nominal)</t>
  </si>
  <si>
    <t>Taxation calculation</t>
  </si>
  <si>
    <t>Operating &amp; maintenance expenditure</t>
  </si>
  <si>
    <t>Average RAV</t>
  </si>
  <si>
    <t>Debt (60% of ARAV)</t>
  </si>
  <si>
    <t>$m (MOD)</t>
  </si>
  <si>
    <t>Tax depreciation (new)</t>
  </si>
  <si>
    <t>Tax depreciation (existing)</t>
  </si>
  <si>
    <t>Interest</t>
  </si>
  <si>
    <t>Tax losses brought forward</t>
  </si>
  <si>
    <t>Benchmark gross tax liability</t>
  </si>
  <si>
    <t>Franking benefit</t>
  </si>
  <si>
    <t>Benchmark tax liability (MOD)</t>
  </si>
  <si>
    <t>Benchmark tax liability (real)</t>
  </si>
  <si>
    <t>Opening cash balance</t>
  </si>
  <si>
    <t>Interest earned</t>
  </si>
  <si>
    <t>Opening debt balance</t>
  </si>
  <si>
    <t>Interest incurred</t>
  </si>
  <si>
    <t>Book depreciation</t>
  </si>
  <si>
    <t>Finance and tax summary</t>
  </si>
  <si>
    <t>Cash and Debt</t>
  </si>
  <si>
    <t>Tax depreciation - existing assets</t>
  </si>
  <si>
    <t>Financial indicators</t>
  </si>
  <si>
    <t>Above figures include contributions from:</t>
  </si>
  <si>
    <t>Cash, debt and tax assumptions</t>
  </si>
  <si>
    <t>Dividends - whole of business</t>
  </si>
  <si>
    <t>$m, MOD</t>
  </si>
  <si>
    <t>Revenue from ordinary activities</t>
  </si>
  <si>
    <t>(less income not received)</t>
  </si>
  <si>
    <t>Government and developer contributed assets</t>
  </si>
  <si>
    <t>Developer cash contributions</t>
  </si>
  <si>
    <t>Government cash contributions</t>
  </si>
  <si>
    <t>Investment income</t>
  </si>
  <si>
    <t>Proceeds from asset disposal</t>
  </si>
  <si>
    <t>Expenditure from ordinary activities</t>
  </si>
  <si>
    <t>Interest expense</t>
  </si>
  <si>
    <t>Written down value of assets disposed</t>
  </si>
  <si>
    <t>Profit from ordinary activities (before tax)</t>
  </si>
  <si>
    <t>Return to government</t>
  </si>
  <si>
    <t>Dividend payments (offset)</t>
  </si>
  <si>
    <t>Retained revenue</t>
  </si>
  <si>
    <t>Adjusted cash flow statement</t>
  </si>
  <si>
    <t>Operating Activities</t>
  </si>
  <si>
    <t>Customer cash contributions</t>
  </si>
  <si>
    <t>Payments to suppliers and employees (opex)</t>
  </si>
  <si>
    <t>Income tax paid</t>
  </si>
  <si>
    <t>Interest received</t>
  </si>
  <si>
    <t>Interest paid</t>
  </si>
  <si>
    <t xml:space="preserve">Net cash inflows from operating activities </t>
  </si>
  <si>
    <t>Investing activities</t>
  </si>
  <si>
    <t>Payment for property, plant, equipment and WIP (capex)</t>
  </si>
  <si>
    <t>Proceeds from sale of property, plant and equipment</t>
  </si>
  <si>
    <t xml:space="preserve">Net cash (outflow) from investing activities </t>
  </si>
  <si>
    <t>Dividend payable</t>
  </si>
  <si>
    <t>Net cash (outflow) for cash or debt</t>
  </si>
  <si>
    <t>Adjusted cash and debt</t>
  </si>
  <si>
    <t>Target cash balance</t>
  </si>
  <si>
    <t>Target Cash ($)</t>
  </si>
  <si>
    <t>Cash at the beginning of the financial year</t>
  </si>
  <si>
    <t>Increase in Cash</t>
  </si>
  <si>
    <t>Cash at the end of the financial year</t>
  </si>
  <si>
    <t>Debt at the beginning of the financial year</t>
  </si>
  <si>
    <t>Increase in Debt</t>
  </si>
  <si>
    <t>Debt at the end of the financial year</t>
  </si>
  <si>
    <t>TAX PAYABLE CALCULATION</t>
  </si>
  <si>
    <t>less Opex</t>
  </si>
  <si>
    <t>less Interest</t>
  </si>
  <si>
    <t>less Tax Depreciation</t>
  </si>
  <si>
    <t>less Tax Losses brought forward</t>
  </si>
  <si>
    <t>Taxable Income</t>
  </si>
  <si>
    <t>Tax Payable</t>
  </si>
  <si>
    <t>Interest adjustments</t>
  </si>
  <si>
    <t>Marginal Interest Rate - Borrowings :</t>
  </si>
  <si>
    <t>Marginal Interest Rate - Cash :</t>
  </si>
  <si>
    <t>Forecast Cash (opening)</t>
  </si>
  <si>
    <t>Adjusted Cash</t>
  </si>
  <si>
    <t>Forecast Interest Earned</t>
  </si>
  <si>
    <t>Adjusted Interest Earned</t>
  </si>
  <si>
    <t>Forecast Debt  (opening)</t>
  </si>
  <si>
    <t>Adjusted Debt</t>
  </si>
  <si>
    <t>Forecast Interest Paid</t>
  </si>
  <si>
    <t>Adjusted Interest Paid</t>
  </si>
  <si>
    <t>Funds from operations ($m)</t>
  </si>
  <si>
    <t>less Income not received</t>
  </si>
  <si>
    <t>less Total operating expenditure</t>
  </si>
  <si>
    <t>less Income tax paid</t>
  </si>
  <si>
    <t>plus Interest revenue</t>
  </si>
  <si>
    <t>less Interest expense</t>
  </si>
  <si>
    <t>FFO interest cover (times)</t>
  </si>
  <si>
    <t xml:space="preserve">FFO  </t>
  </si>
  <si>
    <t>plus Interest expense</t>
  </si>
  <si>
    <t>less Interest revenue</t>
  </si>
  <si>
    <t>divided by Net interest expense</t>
  </si>
  <si>
    <t>FFO</t>
  </si>
  <si>
    <t>(divided by Non-current interest bearing liabilities</t>
  </si>
  <si>
    <t>plus Current interest bearing liabilities</t>
  </si>
  <si>
    <t>less cash assets)</t>
  </si>
  <si>
    <t>Interest bearing liabilities</t>
  </si>
  <si>
    <t>less cash assets</t>
  </si>
  <si>
    <t>divided by Average regulatory asset base</t>
  </si>
  <si>
    <t>Internal financing ratio (%)</t>
  </si>
  <si>
    <t>less Dividends</t>
  </si>
  <si>
    <t>(divided by Gross capital expenditure</t>
  </si>
  <si>
    <t>less Customer cash contributions</t>
  </si>
  <si>
    <t>less Government cash contributions)</t>
  </si>
  <si>
    <t>Funds from operations</t>
  </si>
  <si>
    <t>Total revenue from ordinary activities</t>
  </si>
  <si>
    <t>Total expenditure from ordinary activities</t>
  </si>
  <si>
    <t>Asset disposals</t>
  </si>
  <si>
    <t>Rolled forward asset base</t>
  </si>
  <si>
    <t>Asset class</t>
  </si>
  <si>
    <t>Remaining Life</t>
  </si>
  <si>
    <t>Book Value</t>
  </si>
  <si>
    <t>% of total</t>
  </si>
  <si>
    <t>Total assets</t>
  </si>
  <si>
    <t>Existing assets detail</t>
  </si>
  <si>
    <t>Return on and of existing assets</t>
  </si>
  <si>
    <t>New capital expenditure</t>
  </si>
  <si>
    <t>Prescribed revenue</t>
  </si>
  <si>
    <t>Category</t>
  </si>
  <si>
    <t>Type</t>
  </si>
  <si>
    <t>2003-04</t>
  </si>
  <si>
    <t>kg</t>
  </si>
  <si>
    <t>Adjustments to financial indicator inputs</t>
  </si>
  <si>
    <t>[Note: any adjustments due to non-prescribed services should be included on the Non Prescribed worksheet, rather than below]</t>
  </si>
  <si>
    <t>Operating expenditure adjustments</t>
  </si>
  <si>
    <t>Operating cash flow adjustments</t>
  </si>
  <si>
    <t>Investing cash flow adjustments</t>
  </si>
  <si>
    <t>Revenue adjustments</t>
  </si>
  <si>
    <t>All adjustments must be defined and explained</t>
  </si>
  <si>
    <t>Other non-prescribed revenue</t>
  </si>
  <si>
    <t>Operating expenditure (prescribed)</t>
  </si>
  <si>
    <t>Operating expenditure (non-prescribed)</t>
  </si>
  <si>
    <t>plus non-prescribed revenue</t>
  </si>
  <si>
    <t>Prima facie income tax expense</t>
  </si>
  <si>
    <t>1st period</t>
  </si>
  <si>
    <t>Revenue forecast (tariff basket)</t>
  </si>
  <si>
    <t>Revenue forecast (price caps)</t>
  </si>
  <si>
    <t>Price caps</t>
  </si>
  <si>
    <t>Renewals</t>
  </si>
  <si>
    <t>Adjustments from last period</t>
  </si>
  <si>
    <t>Adjustments Summary</t>
  </si>
  <si>
    <t>Total adjustments required</t>
  </si>
  <si>
    <t>Additional expenses incurred to be carried forward</t>
  </si>
  <si>
    <t>Melbourne Water</t>
  </si>
  <si>
    <t>City West Water</t>
  </si>
  <si>
    <t>South East Water</t>
  </si>
  <si>
    <t>Yarra Valley Water</t>
  </si>
  <si>
    <t>RegDepEx</t>
  </si>
  <si>
    <t>RegDepNew</t>
  </si>
  <si>
    <t>RoA</t>
  </si>
  <si>
    <t>plus Gross capex</t>
  </si>
  <si>
    <t>less Government contributions</t>
  </si>
  <si>
    <t>less Customer contributions</t>
  </si>
  <si>
    <t>less Proceeds from disposals</t>
  </si>
  <si>
    <t>less Regulatory depreciation</t>
  </si>
  <si>
    <t>Revenue Req</t>
  </si>
  <si>
    <t>Regulatory depreciation - New Assets</t>
  </si>
  <si>
    <t>Regulatory depreciation - Total</t>
  </si>
  <si>
    <t>Expenditure Summary</t>
  </si>
  <si>
    <t>Operating Expenditure</t>
  </si>
  <si>
    <t>Total Gross Capital Expenditure</t>
  </si>
  <si>
    <t>Total Government Contributions</t>
  </si>
  <si>
    <t>Total Customer Contributions</t>
  </si>
  <si>
    <t>Total Net Capital Expenditure</t>
  </si>
  <si>
    <t>Net capital expenditure - non-prescribed</t>
  </si>
  <si>
    <t>Revenue cap services</t>
  </si>
  <si>
    <t>Allocation of carried forward expenses (NPV of cash flows should equate to net present cost to recover)</t>
  </si>
  <si>
    <t>NPV:</t>
  </si>
  <si>
    <t>less disposals (all disposals included in existing assets)</t>
  </si>
  <si>
    <t>Before tax net income</t>
  </si>
  <si>
    <t>Dividend plus tax equivalents benchmark</t>
  </si>
  <si>
    <t>2012-13</t>
  </si>
  <si>
    <t>Form of price control</t>
  </si>
  <si>
    <t>THIRD REG PERIOD</t>
  </si>
  <si>
    <t>Recycled Water</t>
  </si>
  <si>
    <t>Government contribution to operations</t>
  </si>
  <si>
    <t>BL</t>
  </si>
  <si>
    <t>Depreciation Method</t>
  </si>
  <si>
    <t>Straight line</t>
  </si>
  <si>
    <t>Method of Depreciation</t>
  </si>
  <si>
    <t>Service by Asset Class</t>
  </si>
  <si>
    <t>Service by Cost Driver</t>
  </si>
  <si>
    <t>Non-scheduled tariff revenue</t>
  </si>
  <si>
    <t>Other non-scheduled tariff revenue</t>
  </si>
  <si>
    <t>[Not prescribed service 10]</t>
  </si>
  <si>
    <t>[Not prescribed service 11]</t>
  </si>
  <si>
    <t>[Not prescribed service 12]</t>
  </si>
  <si>
    <t>[Not prescribed service 13]</t>
  </si>
  <si>
    <t>[Not prescribed service 14]</t>
  </si>
  <si>
    <t>[Not prescribed service 15]</t>
  </si>
  <si>
    <t>Other inputs required for the calculation of indicators</t>
  </si>
  <si>
    <t>Depreciation deferral</t>
  </si>
  <si>
    <t>Accumulated capex</t>
  </si>
  <si>
    <t>2013-14</t>
  </si>
  <si>
    <t>[Year finalised?]</t>
  </si>
  <si>
    <t>Ongoing</t>
  </si>
  <si>
    <t>Labour assumptions</t>
  </si>
  <si>
    <t>Annual growth in labour costs for current FTEs</t>
  </si>
  <si>
    <t>Cost per FTE</t>
  </si>
  <si>
    <t>Total FTEs</t>
  </si>
  <si>
    <t>Annual growth in total labour costs</t>
  </si>
  <si>
    <t>Energy assumptions</t>
  </si>
  <si>
    <t>Electricity - traditional sources</t>
  </si>
  <si>
    <t>Large sites</t>
  </si>
  <si>
    <t>Total kWh</t>
  </si>
  <si>
    <t>Medium sites</t>
  </si>
  <si>
    <t>Small sites</t>
  </si>
  <si>
    <t>% increase p.a.</t>
  </si>
  <si>
    <t>BASE LOAD</t>
  </si>
  <si>
    <t>NEW PROJECTS</t>
  </si>
  <si>
    <t>TOTAL ENERGY COSTS</t>
  </si>
  <si>
    <t>Chemical cost assumptions</t>
  </si>
  <si>
    <t>Total chemical costs</t>
  </si>
  <si>
    <t>Other chemical costs</t>
  </si>
  <si>
    <t>Sewerage and trade waste related chemical costs</t>
  </si>
  <si>
    <t>Service for pricing by Asset Class</t>
  </si>
  <si>
    <t>Trade Waste</t>
  </si>
  <si>
    <t>Tariff - fixed or variable</t>
  </si>
  <si>
    <t>[Price]</t>
  </si>
  <si>
    <t>Fixed</t>
  </si>
  <si>
    <t>Variable</t>
  </si>
  <si>
    <t>Pricing Unit</t>
  </si>
  <si>
    <t>[Pricing Unit]</t>
  </si>
  <si>
    <t>cust</t>
  </si>
  <si>
    <t>Water related chemical costs</t>
  </si>
  <si>
    <t>General Lookup</t>
  </si>
  <si>
    <t>Total prescribed opex</t>
  </si>
  <si>
    <t>Environment Contribution</t>
  </si>
  <si>
    <t>2nd period</t>
  </si>
  <si>
    <t>Actual and forecast labour costs for current FTEs ($m)</t>
  </si>
  <si>
    <t>Cost per FTE ($000)</t>
  </si>
  <si>
    <t>Total electricity costs ($m)</t>
  </si>
  <si>
    <t>Average c/kWh</t>
  </si>
  <si>
    <t>2014-15</t>
  </si>
  <si>
    <t>2015-16</t>
  </si>
  <si>
    <t>2016-17</t>
  </si>
  <si>
    <t>2017-18</t>
  </si>
  <si>
    <t>Current FTEs (at 30 June)</t>
  </si>
  <si>
    <t>Annual growth in total labour costs per FTE</t>
  </si>
  <si>
    <t>Increase or decrease in  labour costs ($m)</t>
  </si>
  <si>
    <t>Total labour costs ($m)</t>
  </si>
  <si>
    <t>Greenhouse Gas Offsets</t>
  </si>
  <si>
    <t>IT cost assumptions</t>
  </si>
  <si>
    <t>Water related IT costs</t>
  </si>
  <si>
    <t>Sewerage and trade waste related IT costs</t>
  </si>
  <si>
    <t>Other IT costs</t>
  </si>
  <si>
    <t>$m</t>
  </si>
  <si>
    <t>$</t>
  </si>
  <si>
    <t>Total IT costs</t>
  </si>
  <si>
    <t>Non Prescribed Services</t>
  </si>
  <si>
    <t>Non Prescribed Services summary</t>
  </si>
  <si>
    <t>Rural water</t>
  </si>
  <si>
    <t>Rural Water</t>
  </si>
  <si>
    <t>Bulk Water</t>
  </si>
  <si>
    <t>Total Bulk water</t>
  </si>
  <si>
    <t>Revenue Cap</t>
  </si>
  <si>
    <t>[Price Control]</t>
  </si>
  <si>
    <t>2018-19</t>
  </si>
  <si>
    <t>2019-20</t>
  </si>
  <si>
    <t>2020-21</t>
  </si>
  <si>
    <t>2021-22</t>
  </si>
  <si>
    <t>2022-23</t>
  </si>
  <si>
    <t>Previous period adjustments</t>
  </si>
  <si>
    <t>[Adjustment 1]</t>
  </si>
  <si>
    <t>[Adjustment 2]</t>
  </si>
  <si>
    <t>[Adjustment 3]</t>
  </si>
  <si>
    <t>[Adjustment 4]</t>
  </si>
  <si>
    <t>[Adjustment 5]</t>
  </si>
  <si>
    <t>[Adjustment 6]</t>
  </si>
  <si>
    <t>[Adjustment 7]</t>
  </si>
  <si>
    <t>[Adjustment 8]</t>
  </si>
  <si>
    <t>[Adjustment 9]</t>
  </si>
  <si>
    <t>Form of price control selected</t>
  </si>
  <si>
    <t>Change in FTEs in future periods (net no. annual change)</t>
  </si>
  <si>
    <t>Revenue cap / Hybrid Tariff Basket</t>
  </si>
  <si>
    <t>Key Assumptions Price Control</t>
  </si>
  <si>
    <t>Barwon Water</t>
  </si>
  <si>
    <t>Coliban Water</t>
  </si>
  <si>
    <t>Non-prescribed revenue offset of revenue requirement</t>
  </si>
  <si>
    <t>Central Highlands Water</t>
  </si>
  <si>
    <t>East Gippsland Water</t>
  </si>
  <si>
    <t>Gippsland Water</t>
  </si>
  <si>
    <t>Goulburn Valley Water</t>
  </si>
  <si>
    <t>North East Water</t>
  </si>
  <si>
    <t>South Gippsland Water</t>
  </si>
  <si>
    <t>Wannon Water</t>
  </si>
  <si>
    <t>Western Water</t>
  </si>
  <si>
    <t>Ml</t>
  </si>
  <si>
    <t xml:space="preserve">Financial Model Template </t>
  </si>
  <si>
    <t>External temporary water purchases</t>
  </si>
  <si>
    <t>External bulk charges (excl. temporary purchases)</t>
  </si>
  <si>
    <t>External bulk water charges (excl. temporary purchases)</t>
  </si>
  <si>
    <t>Tax liability</t>
  </si>
  <si>
    <t>[Not prescribed service 9]</t>
  </si>
  <si>
    <t>[Not prescribed service 8]</t>
  </si>
  <si>
    <t>[Not prescribed service 7]</t>
  </si>
  <si>
    <t>add taxable income adjustment</t>
  </si>
  <si>
    <t>Interest paid adjustments</t>
  </si>
  <si>
    <t>plus developer charges</t>
  </si>
  <si>
    <t>plus operating adjustments</t>
  </si>
  <si>
    <t>Interest payment adjustments</t>
  </si>
  <si>
    <t>RP3</t>
  </si>
  <si>
    <t>Water Business:</t>
  </si>
  <si>
    <t>Regulatory Period:</t>
  </si>
  <si>
    <t>Model Name:</t>
  </si>
  <si>
    <t>Model Key:</t>
  </si>
  <si>
    <t>BLUE</t>
  </si>
  <si>
    <t>NOTES / INSTRUCTIONS</t>
  </si>
  <si>
    <t>GREY</t>
  </si>
  <si>
    <t>WHITE</t>
  </si>
  <si>
    <t>FORMULA / HARDCODED VALUES</t>
  </si>
  <si>
    <t>ORANGE</t>
  </si>
  <si>
    <t>FORMULA DIFFERENT TO ADJACENT CELL</t>
  </si>
  <si>
    <t>RED</t>
  </si>
  <si>
    <t>ERROR CHECK</t>
  </si>
  <si>
    <t>[Month]</t>
  </si>
  <si>
    <t>[Year]</t>
  </si>
  <si>
    <t>[Version]</t>
  </si>
  <si>
    <t>Jun</t>
  </si>
  <si>
    <t xml:space="preserve"> - v1</t>
  </si>
  <si>
    <t xml:space="preserve"> &lt;&lt; Select</t>
  </si>
  <si>
    <t>Jan</t>
  </si>
  <si>
    <t>Feb</t>
  </si>
  <si>
    <t>Mar</t>
  </si>
  <si>
    <t>Apr</t>
  </si>
  <si>
    <t>May</t>
  </si>
  <si>
    <t>Jul</t>
  </si>
  <si>
    <t>Aug</t>
  </si>
  <si>
    <t>Sep</t>
  </si>
  <si>
    <t>Oct</t>
  </si>
  <si>
    <t>Nov</t>
  </si>
  <si>
    <t>Dec</t>
  </si>
  <si>
    <t>[Decision]</t>
  </si>
  <si>
    <t>Draft</t>
  </si>
  <si>
    <t>Final</t>
  </si>
  <si>
    <t>ESC USE ONLY</t>
  </si>
  <si>
    <t>CWW</t>
  </si>
  <si>
    <t>SEW</t>
  </si>
  <si>
    <t>YVW</t>
  </si>
  <si>
    <t>BW</t>
  </si>
  <si>
    <t>CGW</t>
  </si>
  <si>
    <t>CHW</t>
  </si>
  <si>
    <t>CW</t>
  </si>
  <si>
    <t>EGW</t>
  </si>
  <si>
    <t>GVW</t>
  </si>
  <si>
    <t>GWMW</t>
  </si>
  <si>
    <t>GWM Water</t>
  </si>
  <si>
    <t>NEW</t>
  </si>
  <si>
    <t>SGW</t>
  </si>
  <si>
    <t>WNW</t>
  </si>
  <si>
    <t>WPW</t>
  </si>
  <si>
    <t>Westernport Water</t>
  </si>
  <si>
    <t>WW</t>
  </si>
  <si>
    <t>SRW</t>
  </si>
  <si>
    <t>[Business]</t>
  </si>
  <si>
    <t>Decision type:</t>
  </si>
  <si>
    <t>FIFTH REG PERIOD</t>
  </si>
  <si>
    <t>3rd period</t>
  </si>
  <si>
    <t>Cost of Debt</t>
  </si>
  <si>
    <t>Return on Equity</t>
  </si>
  <si>
    <t>Difference</t>
  </si>
  <si>
    <t>Water business self-assessment</t>
  </si>
  <si>
    <t>Leading</t>
  </si>
  <si>
    <t>Advanced</t>
  </si>
  <si>
    <t>Standard</t>
  </si>
  <si>
    <t>Basic</t>
  </si>
  <si>
    <t xml:space="preserve">Risk </t>
  </si>
  <si>
    <t>[Select]</t>
  </si>
  <si>
    <t>ESC assessment of submission</t>
  </si>
  <si>
    <t>Engagement</t>
  </si>
  <si>
    <t>Management</t>
  </si>
  <si>
    <t>Outcomes</t>
  </si>
  <si>
    <t>Total Score</t>
  </si>
  <si>
    <t>Rating</t>
  </si>
  <si>
    <t>Business self assessment</t>
  </si>
  <si>
    <t>downgrading</t>
  </si>
  <si>
    <t>Test</t>
  </si>
  <si>
    <t>Total controllable operating expenditure</t>
  </si>
  <si>
    <t>Total prescribed operating expenditure</t>
  </si>
  <si>
    <t>Other non-controllable</t>
  </si>
  <si>
    <t>Total non-controllable operating expenditure</t>
  </si>
  <si>
    <t>[Non-controllable 2]</t>
  </si>
  <si>
    <t>[Non-controllable 3]</t>
  </si>
  <si>
    <t>[Non-controllable 4]</t>
  </si>
  <si>
    <t>[Non-controllable 5]</t>
  </si>
  <si>
    <t>[Non-controllable 6]</t>
  </si>
  <si>
    <t>[Non-controllable 7]</t>
  </si>
  <si>
    <t>[Non-controllable 8]</t>
  </si>
  <si>
    <t>[Non-controllable 9]</t>
  </si>
  <si>
    <t>[Non-controllable 10]</t>
  </si>
  <si>
    <t>Customer growth forecast (% per annum)</t>
  </si>
  <si>
    <t>Baseline Forecast</t>
  </si>
  <si>
    <t>Operating expenditure - reconciliation</t>
  </si>
  <si>
    <t>Total changes required to baseline operating expenditure</t>
  </si>
  <si>
    <t>Non-controllable operating expenditure</t>
  </si>
  <si>
    <t>Change - $</t>
  </si>
  <si>
    <t>Change - %</t>
  </si>
  <si>
    <t>Controllable opex - %</t>
  </si>
  <si>
    <t>Non-controllable opex - %</t>
  </si>
  <si>
    <t>Adjusted baseline opex</t>
  </si>
  <si>
    <t>External bulk water charges</t>
  </si>
  <si>
    <t>Total Non-controllable operating expenditure</t>
  </si>
  <si>
    <t>Operating Expenditure - Breakdown</t>
  </si>
  <si>
    <t>Operating Expenditure - Forecast</t>
  </si>
  <si>
    <t>To reconcile to 'Opex_Breakdown' tab row 37 &gt;&gt;</t>
  </si>
  <si>
    <t xml:space="preserve">Fixed </t>
  </si>
  <si>
    <t>Reconciliation</t>
  </si>
  <si>
    <t>Other Sources</t>
  </si>
  <si>
    <t>see reconciliation below</t>
  </si>
  <si>
    <t>Description</t>
  </si>
  <si>
    <t>By Cost Driver</t>
  </si>
  <si>
    <t>Improvements / Compliance</t>
  </si>
  <si>
    <t>Total prescribed capex</t>
  </si>
  <si>
    <t>Top 10 Major Projects</t>
  </si>
  <si>
    <t>Significant projects</t>
  </si>
  <si>
    <t>Capital Programs / Allocation</t>
  </si>
  <si>
    <t>Other Capital expenditure</t>
  </si>
  <si>
    <t>Tax Depreciation</t>
  </si>
  <si>
    <t>Nominal,$</t>
  </si>
  <si>
    <t>2023-24</t>
  </si>
  <si>
    <t>2024-25</t>
  </si>
  <si>
    <t>2025-26</t>
  </si>
  <si>
    <t>2026-27</t>
  </si>
  <si>
    <t>2027-28</t>
  </si>
  <si>
    <t>Project/program Name</t>
  </si>
  <si>
    <t>Asset category</t>
  </si>
  <si>
    <t>Capital type</t>
  </si>
  <si>
    <t>Year asset operational</t>
  </si>
  <si>
    <t>[Capital type]</t>
  </si>
  <si>
    <t>Capital Expenditure - Forecast Input</t>
  </si>
  <si>
    <t>Capital Expenditure - Asset Category Breakdown</t>
  </si>
  <si>
    <t>Rolled forward regulatory asset base (RAB)</t>
  </si>
  <si>
    <t>Capital Expenditure Summary</t>
  </si>
  <si>
    <t>CHECK</t>
  </si>
  <si>
    <t>Net capital expenditure - Improvements / Compliance</t>
  </si>
  <si>
    <t>GREEN</t>
  </si>
  <si>
    <t>Average Asset life</t>
  </si>
  <si>
    <t>Business to provide separate depreciation reconciliation workbook if (new assets) override is used</t>
  </si>
  <si>
    <t>RAB Rolled forward</t>
  </si>
  <si>
    <t>Tax depreciation - new assets</t>
  </si>
  <si>
    <t>Tax depreciation - new assets (incl non-prescribed)</t>
  </si>
  <si>
    <t>Tax depreciation - existing assets (incl non-prescribed)</t>
  </si>
  <si>
    <t>By Capital Type</t>
  </si>
  <si>
    <t>Asset life (Regulatory)</t>
  </si>
  <si>
    <t>Asset life (Tax)</t>
  </si>
  <si>
    <t>Source</t>
  </si>
  <si>
    <t>[Source]</t>
  </si>
  <si>
    <t>Total External Bulk Charges</t>
  </si>
  <si>
    <t>Expenditure - Detail</t>
  </si>
  <si>
    <t>Regulatory depreciation of assets</t>
  </si>
  <si>
    <t>Return on assets (existing)</t>
  </si>
  <si>
    <t>Input Summary</t>
  </si>
  <si>
    <t>Price control - Fifth period</t>
  </si>
  <si>
    <t>Total tariff revenue</t>
  </si>
  <si>
    <t>Price cap - Fixed</t>
  </si>
  <si>
    <t xml:space="preserve">Price cap - Variable </t>
  </si>
  <si>
    <t xml:space="preserve">Revenue cap - Fixed </t>
  </si>
  <si>
    <t>Revenue cap - Variable</t>
  </si>
  <si>
    <t>[Asset category]</t>
  </si>
  <si>
    <t>Lower Murray Water - Urban</t>
  </si>
  <si>
    <t>LMW-U</t>
  </si>
  <si>
    <t>Lower Murray Water - Rural</t>
  </si>
  <si>
    <t>Southern Rural Water</t>
  </si>
  <si>
    <t>LMW-R</t>
  </si>
  <si>
    <t>Total capital expenditure</t>
  </si>
  <si>
    <t>Total operating expenditure</t>
  </si>
  <si>
    <t>MODEL PARAMETERS / ASSUMPTIONS</t>
  </si>
  <si>
    <t>Revenue requirement - Building Blocks</t>
  </si>
  <si>
    <t>Major cost driver</t>
  </si>
  <si>
    <t>[Major Cost Driver]</t>
  </si>
  <si>
    <t>Cost of debt</t>
  </si>
  <si>
    <t>Re-financing weightings - average 10 yrs</t>
  </si>
  <si>
    <t xml:space="preserve">Cost of debt - 10 year trailing average  </t>
  </si>
  <si>
    <t>Forecast variations to baseline operating expenditure (above or below baseline)</t>
  </si>
  <si>
    <t>Price cap services</t>
  </si>
  <si>
    <t>Cost efficiency improvement rate (% per annum)</t>
  </si>
  <si>
    <t>Forecast variations to baseline operating expenditure</t>
  </si>
  <si>
    <t>Third Reg period Opex</t>
  </si>
  <si>
    <r>
      <t xml:space="preserve">Cost of debt - 10 year trailing average </t>
    </r>
    <r>
      <rPr>
        <sz val="9"/>
        <color theme="8"/>
        <rFont val="Calibri"/>
        <family val="2"/>
        <scheme val="minor"/>
      </rPr>
      <t>(Nominal)</t>
    </r>
  </si>
  <si>
    <r>
      <t xml:space="preserve">WACC assumptions </t>
    </r>
    <r>
      <rPr>
        <sz val="9"/>
        <color theme="8"/>
        <rFont val="Calibri"/>
        <family val="2"/>
        <scheme val="minor"/>
      </rPr>
      <t>(retained for historical purposes only)</t>
    </r>
  </si>
  <si>
    <r>
      <t xml:space="preserve">Regulatory Rate of Return (RRR) - </t>
    </r>
    <r>
      <rPr>
        <sz val="9"/>
        <color theme="8"/>
        <rFont val="Calibri"/>
        <family val="2"/>
        <scheme val="minor"/>
      </rPr>
      <t>Nominal</t>
    </r>
  </si>
  <si>
    <r>
      <t xml:space="preserve">Regulatory Rate of Return (RRR) - </t>
    </r>
    <r>
      <rPr>
        <sz val="9"/>
        <color theme="8"/>
        <rFont val="Calibri"/>
        <family val="2"/>
        <scheme val="minor"/>
      </rPr>
      <t>Real</t>
    </r>
  </si>
  <si>
    <r>
      <t xml:space="preserve">RRR </t>
    </r>
    <r>
      <rPr>
        <sz val="9"/>
        <rFont val="Calibri"/>
        <family val="2"/>
        <scheme val="minor"/>
      </rPr>
      <t>(real)</t>
    </r>
  </si>
  <si>
    <r>
      <t xml:space="preserve">ESSENTIAL SERVICES </t>
    </r>
    <r>
      <rPr>
        <sz val="11"/>
        <rFont val="Calibri"/>
        <family val="2"/>
        <scheme val="minor"/>
      </rPr>
      <t>COMMISSION</t>
    </r>
  </si>
  <si>
    <r>
      <t xml:space="preserve">External bulk charges </t>
    </r>
    <r>
      <rPr>
        <sz val="9"/>
        <color theme="8"/>
        <rFont val="Calibri"/>
        <family val="2"/>
        <scheme val="minor"/>
      </rPr>
      <t>(excl. temporary purchases)</t>
    </r>
  </si>
  <si>
    <r>
      <t xml:space="preserve">Depreciation override </t>
    </r>
    <r>
      <rPr>
        <sz val="9"/>
        <rFont val="Calibri"/>
        <family val="2"/>
        <scheme val="minor"/>
      </rPr>
      <t>(New assets)</t>
    </r>
    <r>
      <rPr>
        <b/>
        <sz val="9"/>
        <rFont val="Calibri"/>
        <family val="2"/>
        <scheme val="minor"/>
      </rPr>
      <t>:</t>
    </r>
  </si>
  <si>
    <r>
      <t xml:space="preserve">Depreciation override </t>
    </r>
    <r>
      <rPr>
        <sz val="9"/>
        <rFont val="Calibri"/>
        <family val="2"/>
        <scheme val="minor"/>
      </rPr>
      <t>(Existing assets)</t>
    </r>
    <r>
      <rPr>
        <b/>
        <sz val="9"/>
        <rFont val="Calibri"/>
        <family val="2"/>
        <scheme val="minor"/>
      </rPr>
      <t>:</t>
    </r>
  </si>
  <si>
    <r>
      <t>Total regulatory depreciation</t>
    </r>
    <r>
      <rPr>
        <sz val="9"/>
        <rFont val="Calibri"/>
        <family val="2"/>
        <scheme val="minor"/>
      </rPr>
      <t xml:space="preserve"> (Existing assets)</t>
    </r>
    <r>
      <rPr>
        <b/>
        <sz val="9"/>
        <rFont val="Calibri"/>
        <family val="2"/>
        <scheme val="minor"/>
      </rPr>
      <t>:</t>
    </r>
  </si>
  <si>
    <r>
      <rPr>
        <u/>
        <sz val="9"/>
        <rFont val="Calibri"/>
        <family val="2"/>
        <scheme val="minor"/>
      </rPr>
      <t>Non-Prescribed</t>
    </r>
    <r>
      <rPr>
        <sz val="9"/>
        <rFont val="Calibri"/>
        <family val="2"/>
        <scheme val="minor"/>
      </rPr>
      <t xml:space="preserve"> Tax Depreciation - new assets</t>
    </r>
  </si>
  <si>
    <r>
      <t xml:space="preserve">Revenue adjustments </t>
    </r>
    <r>
      <rPr>
        <vertAlign val="superscript"/>
        <sz val="9"/>
        <rFont val="Calibri"/>
        <family val="2"/>
        <scheme val="minor"/>
      </rPr>
      <t>1</t>
    </r>
  </si>
  <si>
    <r>
      <t xml:space="preserve">Expenditure adjustments </t>
    </r>
    <r>
      <rPr>
        <vertAlign val="superscript"/>
        <sz val="9"/>
        <rFont val="Calibri"/>
        <family val="2"/>
        <scheme val="minor"/>
      </rPr>
      <t>2</t>
    </r>
  </si>
  <si>
    <r>
      <t xml:space="preserve">Operating Adjustments </t>
    </r>
    <r>
      <rPr>
        <vertAlign val="superscript"/>
        <sz val="9"/>
        <rFont val="Calibri"/>
        <family val="2"/>
        <scheme val="minor"/>
      </rPr>
      <t>3</t>
    </r>
  </si>
  <si>
    <r>
      <t xml:space="preserve">Investing adjustments </t>
    </r>
    <r>
      <rPr>
        <vertAlign val="superscript"/>
        <sz val="9"/>
        <rFont val="Calibri"/>
        <family val="2"/>
        <scheme val="minor"/>
      </rPr>
      <t>4</t>
    </r>
  </si>
  <si>
    <t>Goulburn-Murray Water</t>
  </si>
  <si>
    <t>WACC - HISTORIC</t>
  </si>
  <si>
    <t>SGW1</t>
  </si>
  <si>
    <t>SGW2</t>
  </si>
  <si>
    <t>SGW3</t>
  </si>
  <si>
    <t>WW1</t>
  </si>
  <si>
    <t>WW2</t>
  </si>
  <si>
    <t>WW3</t>
  </si>
  <si>
    <t>diff model</t>
  </si>
  <si>
    <t>Secondary Indicators</t>
  </si>
  <si>
    <t>Primary Indicator</t>
  </si>
  <si>
    <t>&gt; 10 per cent</t>
  </si>
  <si>
    <t>&gt; 35 per cent</t>
  </si>
  <si>
    <t>&lt; 70 per cent</t>
  </si>
  <si>
    <t>&gt; 1.5 times</t>
  </si>
  <si>
    <t>FFO / Net debt (%)</t>
  </si>
  <si>
    <t>Net Debt / RAV (Gearing) (%)</t>
  </si>
  <si>
    <t>Marginal Interest Rate - Borrowings</t>
  </si>
  <si>
    <t>Marginal Interest Rate - Cash</t>
  </si>
  <si>
    <t>ESC to update prior to final decision</t>
  </si>
  <si>
    <t>Only for Metro businesses</t>
  </si>
  <si>
    <t>Controllable</t>
  </si>
  <si>
    <t>only</t>
  </si>
  <si>
    <t>INDICATORS - HISTORIC</t>
  </si>
  <si>
    <r>
      <t xml:space="preserve">Total </t>
    </r>
    <r>
      <rPr>
        <b/>
        <u/>
        <sz val="9"/>
        <color theme="0" tint="-0.249977111117893"/>
        <rFont val="Calibri"/>
        <family val="2"/>
        <scheme val="minor"/>
      </rPr>
      <t>controllable</t>
    </r>
    <r>
      <rPr>
        <b/>
        <sz val="9"/>
        <color theme="0" tint="-0.249977111117893"/>
        <rFont val="Calibri"/>
        <family val="2"/>
        <scheme val="minor"/>
      </rPr>
      <t xml:space="preserve"> opex</t>
    </r>
  </si>
  <si>
    <r>
      <t xml:space="preserve">Total </t>
    </r>
    <r>
      <rPr>
        <b/>
        <u/>
        <sz val="9"/>
        <color theme="0" tint="-0.249977111117893"/>
        <rFont val="Calibri"/>
        <family val="2"/>
        <scheme val="minor"/>
      </rPr>
      <t>non-controllable</t>
    </r>
    <r>
      <rPr>
        <b/>
        <sz val="9"/>
        <color theme="0" tint="-0.249977111117893"/>
        <rFont val="Calibri"/>
        <family val="2"/>
        <scheme val="minor"/>
      </rPr>
      <t xml:space="preserve"> opex</t>
    </r>
  </si>
  <si>
    <r>
      <t xml:space="preserve">Total </t>
    </r>
    <r>
      <rPr>
        <b/>
        <u/>
        <sz val="9"/>
        <color theme="0" tint="-0.249977111117893"/>
        <rFont val="Calibri"/>
        <family val="2"/>
        <scheme val="minor"/>
      </rPr>
      <t>prescribed</t>
    </r>
    <r>
      <rPr>
        <b/>
        <sz val="9"/>
        <color theme="0" tint="-0.249977111117893"/>
        <rFont val="Calibri"/>
        <family val="2"/>
        <scheme val="minor"/>
      </rPr>
      <t xml:space="preserve"> opex</t>
    </r>
  </si>
  <si>
    <r>
      <t xml:space="preserve">Controllable </t>
    </r>
    <r>
      <rPr>
        <b/>
        <u/>
        <sz val="9"/>
        <color theme="0" tint="-0.249977111117893"/>
        <rFont val="Calibri"/>
        <family val="2"/>
        <scheme val="minor"/>
      </rPr>
      <t>vs.</t>
    </r>
    <r>
      <rPr>
        <b/>
        <sz val="9"/>
        <color theme="0" tint="-0.249977111117893"/>
        <rFont val="Calibri"/>
        <family val="2"/>
        <scheme val="minor"/>
      </rPr>
      <t xml:space="preserve"> Non-controllable opex - %</t>
    </r>
  </si>
  <si>
    <t>Guaranteed Service Levels (GSL)</t>
  </si>
  <si>
    <t>Guaranteed Service Levels</t>
  </si>
  <si>
    <t>Number of GSL applicable events for each GSL indicator</t>
  </si>
  <si>
    <t>ACTUAL</t>
  </si>
  <si>
    <t>FORECAST</t>
  </si>
  <si>
    <t>GSL 1</t>
  </si>
  <si>
    <t>GSL 2</t>
  </si>
  <si>
    <t>GSL 3</t>
  </si>
  <si>
    <t>GSL 4</t>
  </si>
  <si>
    <t>GSL 5</t>
  </si>
  <si>
    <t>GSL 6</t>
  </si>
  <si>
    <t>GSL 7</t>
  </si>
  <si>
    <t>GSL 8</t>
  </si>
  <si>
    <t>GSL 9</t>
  </si>
  <si>
    <t>GSL 10</t>
  </si>
  <si>
    <t>GSL 11</t>
  </si>
  <si>
    <t>GSL 12</t>
  </si>
  <si>
    <t>GSL 13</t>
  </si>
  <si>
    <t>GSL 14</t>
  </si>
  <si>
    <t>GSL 15</t>
  </si>
  <si>
    <t>GSL 16</t>
  </si>
  <si>
    <t>GSL 17</t>
  </si>
  <si>
    <t>GSL 18</t>
  </si>
  <si>
    <t>GSL 19</t>
  </si>
  <si>
    <t>GSL 20</t>
  </si>
  <si>
    <t>$,nominal</t>
  </si>
  <si>
    <t>Proposed</t>
  </si>
  <si>
    <t>Current</t>
  </si>
  <si>
    <t>GSL payment/rebate</t>
  </si>
  <si>
    <t>Outcome 1</t>
  </si>
  <si>
    <t>Output 1</t>
  </si>
  <si>
    <t>Output 2</t>
  </si>
  <si>
    <t>Output 3</t>
  </si>
  <si>
    <t>Output 4</t>
  </si>
  <si>
    <t>Output 5</t>
  </si>
  <si>
    <t>Output 6</t>
  </si>
  <si>
    <t>Output 7</t>
  </si>
  <si>
    <t>Output 8</t>
  </si>
  <si>
    <t>Output 9</t>
  </si>
  <si>
    <t>Output 10</t>
  </si>
  <si>
    <t>Outcome 2</t>
  </si>
  <si>
    <t>Outcome 3</t>
  </si>
  <si>
    <t>Outcome 4</t>
  </si>
  <si>
    <t>Outcome 5</t>
  </si>
  <si>
    <t>Outcome 6</t>
  </si>
  <si>
    <t>Minimum flow rates</t>
  </si>
  <si>
    <t>20mm</t>
  </si>
  <si>
    <t>25mm</t>
  </si>
  <si>
    <t>32mm</t>
  </si>
  <si>
    <t>40mm</t>
  </si>
  <si>
    <t>50mm</t>
  </si>
  <si>
    <t>Business proposed outcomes and outputs</t>
  </si>
  <si>
    <t>Number of unplanned water supply interruptions for each customer in any 12 month period</t>
  </si>
  <si>
    <t>Number of sewer blockages for each customer in any 12 month period</t>
  </si>
  <si>
    <t>Hours from notification to attend water bursts and leaks, and sewer spills and blockages</t>
  </si>
  <si>
    <t>Hours to restore an interruption to water services</t>
  </si>
  <si>
    <t>Hours for clearance of sewer blockages in the water business's pipe</t>
  </si>
  <si>
    <t>Hours for containment of sewer spills</t>
  </si>
  <si>
    <t>Other</t>
  </si>
  <si>
    <t>Outcome 7</t>
  </si>
  <si>
    <t>Outcome 10</t>
  </si>
  <si>
    <t>Outcome 9</t>
  </si>
  <si>
    <t>Outcome 8</t>
  </si>
  <si>
    <t>%</t>
  </si>
  <si>
    <t>Fixed %</t>
  </si>
  <si>
    <t>Total</t>
  </si>
  <si>
    <t>Check</t>
  </si>
  <si>
    <t>Variable %</t>
  </si>
  <si>
    <r>
      <rPr>
        <b/>
        <sz val="9"/>
        <rFont val="Calibri"/>
        <family val="2"/>
        <scheme val="minor"/>
      </rPr>
      <t>Tariff Revenue</t>
    </r>
    <r>
      <rPr>
        <sz val="9"/>
        <rFont val="Calibri"/>
        <family val="2"/>
        <scheme val="minor"/>
      </rPr>
      <t xml:space="preserve"> - Fixed vs. Variable</t>
    </r>
  </si>
  <si>
    <r>
      <rPr>
        <b/>
        <sz val="9"/>
        <rFont val="Calibri"/>
        <family val="2"/>
        <scheme val="minor"/>
      </rPr>
      <t>Tariff Revenue</t>
    </r>
    <r>
      <rPr>
        <sz val="9"/>
        <rFont val="Calibri"/>
        <family val="2"/>
        <scheme val="minor"/>
      </rPr>
      <t xml:space="preserve"> - By Service</t>
    </r>
  </si>
  <si>
    <t>&lt;&lt; Now data entry field</t>
  </si>
  <si>
    <t>Capital Expenditure</t>
  </si>
  <si>
    <t>Regulatory depreciation - Existing Assets</t>
  </si>
  <si>
    <t>Total Prescribed Operating Expenditure</t>
  </si>
  <si>
    <t>Regulatory Depreciation - Total</t>
  </si>
  <si>
    <t>Regulatory Depreciation - Existing Assets</t>
  </si>
  <si>
    <t>Regulatory Depreciation - New Assets</t>
  </si>
  <si>
    <t>Proceeds from Disposals</t>
  </si>
  <si>
    <t xml:space="preserve">Bulk Water </t>
  </si>
  <si>
    <t>Net capital expenditure - Renewals</t>
  </si>
  <si>
    <t>Net capital expenditure - Growth</t>
  </si>
  <si>
    <t>Government Contributions</t>
  </si>
  <si>
    <t>Customer Contributions</t>
  </si>
  <si>
    <t>Total Labour costs</t>
  </si>
  <si>
    <t>Total Energy costs</t>
  </si>
  <si>
    <t>Total Chemical costs</t>
  </si>
  <si>
    <t xml:space="preserve">Examples of standards required by Customer Service Code </t>
  </si>
  <si>
    <t>Total metered volume of water delivered to customers (ML) - [BED 10]</t>
  </si>
  <si>
    <t>Residential, Non-Residential &amp; Recycled (Residential &amp; Non-Residential)</t>
  </si>
  <si>
    <t>$,million (nominal)</t>
  </si>
  <si>
    <t>$,million (real)</t>
  </si>
  <si>
    <t>$, (nominal)</t>
  </si>
  <si>
    <t>Check to GSL Payments (Opex_Breakdown)(real)</t>
  </si>
  <si>
    <r>
      <t xml:space="preserve">Water customers (No.) - </t>
    </r>
    <r>
      <rPr>
        <i/>
        <sz val="9"/>
        <rFont val="Calibri"/>
        <family val="2"/>
        <scheme val="minor"/>
      </rPr>
      <t xml:space="preserve">Residential &amp; Non-Residential </t>
    </r>
    <r>
      <rPr>
        <sz val="9"/>
        <rFont val="Calibri"/>
        <family val="2"/>
        <scheme val="minor"/>
      </rPr>
      <t>- [BED 1]</t>
    </r>
  </si>
  <si>
    <r>
      <t xml:space="preserve">Sewer customers (No.) - </t>
    </r>
    <r>
      <rPr>
        <i/>
        <sz val="9"/>
        <rFont val="Calibri"/>
        <family val="2"/>
        <scheme val="minor"/>
      </rPr>
      <t>Residential &amp; Non-Residential</t>
    </r>
    <r>
      <rPr>
        <sz val="9"/>
        <rFont val="Calibri"/>
        <family val="2"/>
        <scheme val="minor"/>
      </rPr>
      <t xml:space="preserve"> - [BED 2]</t>
    </r>
  </si>
  <si>
    <t>Water customers (No.) - Residential &amp; Non-Residential - [BED 1]</t>
  </si>
  <si>
    <t>Sewer customers (No.) - Residential &amp; Non-Residential - [BED 2]</t>
  </si>
  <si>
    <t>REVENUE REQUIREMENT</t>
  </si>
  <si>
    <t>CAPITAL EXPENDITURE</t>
  </si>
  <si>
    <t>Revenue requirement ($m)</t>
  </si>
  <si>
    <t>3rd Reg Period</t>
  </si>
  <si>
    <t>4th Reg Period</t>
  </si>
  <si>
    <t>5th Reg Period</t>
  </si>
  <si>
    <t>Total prescribed capital expenditure by service category ($m)</t>
  </si>
  <si>
    <t>Values</t>
  </si>
  <si>
    <t>Reg period average</t>
  </si>
  <si>
    <t>REVENUE REQUIREMENT - BUILDING BLOCKS</t>
  </si>
  <si>
    <t>Total prescribed capital expenditure by cost driver ($m)</t>
  </si>
  <si>
    <t>Net capital expenditure - renewals</t>
  </si>
  <si>
    <t>Net capital expenditure - growth</t>
  </si>
  <si>
    <t>Total prescribed capital expenditure by cost driver - Water ($m)</t>
  </si>
  <si>
    <t>VARIABLE COSTS VS FIXED COSTS</t>
  </si>
  <si>
    <t>Total tariff revenue - Fixed vs Variable ($m)</t>
  </si>
  <si>
    <t>Total prescribed capital expenditure by cost driver - Sewerage ($m)</t>
  </si>
  <si>
    <t xml:space="preserve">Total revenue requirement </t>
  </si>
  <si>
    <t>4th regulatory period</t>
  </si>
  <si>
    <t>OPERATING EXPENDITURE</t>
  </si>
  <si>
    <t>Total prescribed capital expenditure by capital type ($m)</t>
  </si>
  <si>
    <t>Total prescribed operating expenditure ($m)</t>
  </si>
  <si>
    <t>Controllable opex</t>
  </si>
  <si>
    <t>Non-controllable opex</t>
  </si>
  <si>
    <t>Forecast variations to baseline operating expenditure ($m)</t>
  </si>
  <si>
    <t>Total prescribed capital expenditure by capital type - Water ($m)</t>
  </si>
  <si>
    <t>Non-controllable operating expenditure ($m)</t>
  </si>
  <si>
    <t>Total prescribed capital expenditure by capital type - Sewerage ($m)</t>
  </si>
  <si>
    <t>License fees</t>
  </si>
  <si>
    <t>Environmental Contribution</t>
  </si>
  <si>
    <t>Capital programs / Allocation and other capital expenditure by service category ($m)</t>
  </si>
  <si>
    <t>Total prescribed operating expenditure - Water ($m)</t>
  </si>
  <si>
    <t>Operations and maintenance</t>
  </si>
  <si>
    <t>Customer service and billing</t>
  </si>
  <si>
    <t>Corporate costs</t>
  </si>
  <si>
    <t>Total capital programs / allocations</t>
  </si>
  <si>
    <t>CAPITAL EXPENDITURE VS REGULATORY DEPRECIATION</t>
  </si>
  <si>
    <t>Total prescribed opex - Water</t>
  </si>
  <si>
    <t>Capital expenditure</t>
  </si>
  <si>
    <t>Total prescribed operating expenditure - Sewerage ($m)</t>
  </si>
  <si>
    <t>Regulatory depreciation</t>
  </si>
  <si>
    <t>LABOUR COSTS</t>
  </si>
  <si>
    <t>Labour costs per water connections</t>
  </si>
  <si>
    <t>FTE's per water connections</t>
  </si>
  <si>
    <t>Total prescribed opex - Sewerage</t>
  </si>
  <si>
    <t>Controllable opex per water connections</t>
  </si>
  <si>
    <t>Average unit labour cost (labour costs per FTE)</t>
  </si>
  <si>
    <t>CHEMICAL COSTS</t>
  </si>
  <si>
    <t>Controllable water opex per water connections</t>
  </si>
  <si>
    <t>Chemical costs per water volume</t>
  </si>
  <si>
    <t>Controllable sewerage opex per sewerage connections</t>
  </si>
  <si>
    <t>ENERGY COSTS</t>
  </si>
  <si>
    <t>TOTEX</t>
  </si>
  <si>
    <t>Energy costs per water volume</t>
  </si>
  <si>
    <t>Total prescribed expenditure per water connections</t>
  </si>
  <si>
    <t>COMPOSITION OF RAV</t>
  </si>
  <si>
    <t>INTEREST COVER</t>
  </si>
  <si>
    <t xml:space="preserve">Existing assets </t>
  </si>
  <si>
    <t>Interest cover</t>
  </si>
  <si>
    <t>New assets</t>
  </si>
  <si>
    <t>INTERNAL FINANCING RATIO</t>
  </si>
  <si>
    <t>Internal financing ratio</t>
  </si>
  <si>
    <t xml:space="preserve">CPI index re-referenced in 2012-13, shaded values have been hardcoded to lock in RAB value. </t>
  </si>
  <si>
    <t>Tariff revenue efficiency rebate</t>
  </si>
  <si>
    <t>Reg Depreciation Method</t>
  </si>
  <si>
    <t>Average Annual Household Bill</t>
  </si>
  <si>
    <t>Q</t>
  </si>
  <si>
    <t>T</t>
  </si>
  <si>
    <t>Avg. annual consumption (kL per household)</t>
  </si>
  <si>
    <t>Supply charge Water (annual)</t>
  </si>
  <si>
    <t>Tier 1</t>
  </si>
  <si>
    <t>Tier 2</t>
  </si>
  <si>
    <t>Tier 3</t>
  </si>
  <si>
    <t>Supply charge Wastewater (annual)</t>
  </si>
  <si>
    <t>Volumetric wastewater</t>
  </si>
  <si>
    <t>Water Fixed</t>
  </si>
  <si>
    <t>Water Variable</t>
  </si>
  <si>
    <t>Sewerage Fixed</t>
  </si>
  <si>
    <t>Sewerage Variable</t>
  </si>
  <si>
    <t>Total Household Bill - Maximum</t>
  </si>
  <si>
    <t>Owner Occupier</t>
  </si>
  <si>
    <t>Owner Occupier Bill</t>
  </si>
  <si>
    <t>YoY Change</t>
  </si>
  <si>
    <t>OB - YoY Change</t>
  </si>
  <si>
    <t>Tenant Bill</t>
  </si>
  <si>
    <t>Tenant</t>
  </si>
  <si>
    <t>TB - YoY Change</t>
  </si>
  <si>
    <t>Zero Line</t>
  </si>
  <si>
    <t>Adjustments to Max. Prices (show / hide)</t>
  </si>
  <si>
    <t>1. Carbon Tax Reduction</t>
  </si>
  <si>
    <t>2. Efficiency Savings - Tariff Reduction</t>
  </si>
  <si>
    <t>3. Other adjustments</t>
  </si>
  <si>
    <t>4. Efficiency Savings - Rebate</t>
  </si>
  <si>
    <t>Total Household Bill - Actual</t>
  </si>
  <si>
    <t>Workings (show / hide)</t>
  </si>
  <si>
    <t>Inclining Blocks</t>
  </si>
  <si>
    <t>First block</t>
  </si>
  <si>
    <t>Middle Block</t>
  </si>
  <si>
    <t>Third Block</t>
  </si>
  <si>
    <t>Relative</t>
  </si>
  <si>
    <t>T1</t>
  </si>
  <si>
    <t>T2</t>
  </si>
  <si>
    <t>T3</t>
  </si>
  <si>
    <t>Monthly Load Profile</t>
  </si>
  <si>
    <t>Periodic Consumption</t>
  </si>
  <si>
    <t>P1</t>
  </si>
  <si>
    <t>P2</t>
  </si>
  <si>
    <t>P3</t>
  </si>
  <si>
    <t>P4</t>
  </si>
  <si>
    <t>Consumption by Tier</t>
  </si>
  <si>
    <t>All</t>
  </si>
  <si>
    <t>Variable Wastewater</t>
  </si>
  <si>
    <t>% of water</t>
  </si>
  <si>
    <t>Sewerage Disposal Charge</t>
  </si>
  <si>
    <t>Month</t>
  </si>
  <si>
    <t>SI</t>
  </si>
  <si>
    <t>No. Days</t>
  </si>
  <si>
    <t>S.I * Days</t>
  </si>
  <si>
    <t>SF</t>
  </si>
  <si>
    <t>DF</t>
  </si>
  <si>
    <t>SI = Seasonal Index</t>
  </si>
  <si>
    <t>SF = Seasonal Factor; number of days in metering period divided by (seasonal indices X days in the month)</t>
  </si>
  <si>
    <t>DF = Discharge Factor</t>
  </si>
  <si>
    <t>Quantity</t>
  </si>
  <si>
    <t>Price - Avg. YoY Growth for each Reg Period</t>
  </si>
  <si>
    <t>Price - Wgt. Avg. YoY Growth for each Reg Period</t>
  </si>
  <si>
    <t>Quantity -  Avg. YoY Growth for each Reg Period</t>
  </si>
  <si>
    <t>Quantity -  Wgt. Avg. YoY Growth for each Reg Period</t>
  </si>
  <si>
    <t>Revenue -  Avg. YoY Growth for each Reg Period</t>
  </si>
  <si>
    <t>Revenue -  Wgt. Avg. YoY Growth for each Reg Period</t>
  </si>
  <si>
    <t>CPI Adjustment to Actual Prices (Show / Hide)</t>
  </si>
  <si>
    <t>Year</t>
  </si>
  <si>
    <t>Dollars</t>
  </si>
  <si>
    <t>CPI Index</t>
  </si>
  <si>
    <r>
      <t xml:space="preserve">PREMO Graded Scoring System </t>
    </r>
    <r>
      <rPr>
        <sz val="9"/>
        <color theme="0"/>
        <rFont val="Calibri"/>
        <family val="2"/>
        <scheme val="minor"/>
      </rPr>
      <t>(for reference only)</t>
    </r>
  </si>
  <si>
    <t>RRR (real)</t>
  </si>
  <si>
    <r>
      <t xml:space="preserve">Regulatory Rate of Return (RRR) </t>
    </r>
    <r>
      <rPr>
        <sz val="9"/>
        <color theme="8"/>
        <rFont val="Calibri"/>
        <family val="2"/>
        <scheme val="minor"/>
      </rPr>
      <t>[retained for historical purposes only]</t>
    </r>
  </si>
  <si>
    <t>This worksheet outlines the key cost drivers of operating expenditure - capitalised costs are excluded. This tab does not link to the Rev&amp;RAV_FO worksheet</t>
  </si>
  <si>
    <t>&lt;&lt;&lt; Contact commission staff if the pre-populated values should be adjusted</t>
  </si>
  <si>
    <t>Total Controllable Operating Expenditure</t>
  </si>
  <si>
    <t>Total Non-controllable Operating Expenditure</t>
  </si>
  <si>
    <t>Business to provide separate depreciation reconciliation workbook if (existing assets) override is used</t>
  </si>
  <si>
    <t>&lt;&lt;&lt;Enter a breakdown of each asset class with its</t>
  </si>
  <si>
    <t>respective remaining asset life</t>
  </si>
  <si>
    <t>Enter negative figures only&gt;&gt;&gt;</t>
  </si>
  <si>
    <t>Actuals</t>
  </si>
  <si>
    <t>Forecast</t>
  </si>
  <si>
    <t>Business must inform ESC in advance before completing this tab</t>
  </si>
  <si>
    <t>DATA FROM 2018 DECISION OR PERFORMANCE REPORT</t>
  </si>
  <si>
    <t>Model Quality Check</t>
  </si>
  <si>
    <t>Dashboard - Pricing</t>
  </si>
  <si>
    <t>Dashboard - Opex</t>
  </si>
  <si>
    <t>Dashboard - Capex</t>
  </si>
  <si>
    <t>Dashboard - Data</t>
  </si>
  <si>
    <t>Household Bill</t>
  </si>
  <si>
    <t xml:space="preserve">  Model ready for submission:</t>
  </si>
  <si>
    <t>1.</t>
  </si>
  <si>
    <t>2.</t>
  </si>
  <si>
    <t>Opex_FO</t>
  </si>
  <si>
    <t>3.</t>
  </si>
  <si>
    <t>Opex_Breakdown</t>
  </si>
  <si>
    <t>Reconciliation of Opex by service and function</t>
  </si>
  <si>
    <t>4.</t>
  </si>
  <si>
    <t>Capex_FO input</t>
  </si>
  <si>
    <t>Reconciliation of total prescribed capex between cost driver and capital type</t>
  </si>
  <si>
    <t>5.</t>
  </si>
  <si>
    <t>Capex_FO_AC</t>
  </si>
  <si>
    <t>6.</t>
  </si>
  <si>
    <t>RollForward_FO</t>
  </si>
  <si>
    <t>Reconciliation of existing assets book value to RAB</t>
  </si>
  <si>
    <t>7.</t>
  </si>
  <si>
    <t>RevenuePriceCap_FO</t>
  </si>
  <si>
    <t>Tariff revenue reconciliation</t>
  </si>
  <si>
    <t>8.</t>
  </si>
  <si>
    <t>RevenueTariffBasket_FO</t>
  </si>
  <si>
    <t>9.</t>
  </si>
  <si>
    <t>Rev&amp;RAV_FO</t>
  </si>
  <si>
    <t>Rolled forward RAV reconciliation</t>
  </si>
  <si>
    <t>GSL</t>
  </si>
  <si>
    <t>Reconciliation to 'Opex_Breakdown' tab row 23</t>
  </si>
  <si>
    <t>(If No, please ensure that the error check is corrected at the source)</t>
  </si>
  <si>
    <t>Adjusted baseline controllable operating expenditure (Forecast)</t>
  </si>
  <si>
    <t>2023-24 to 2027-28 (Fifth)</t>
  </si>
  <si>
    <t>Water Price Review - 2023</t>
  </si>
  <si>
    <t>SIXTH REG PERIOD</t>
  </si>
  <si>
    <r>
      <t xml:space="preserve">PREMO Assessment Matrix </t>
    </r>
    <r>
      <rPr>
        <sz val="9"/>
        <color theme="8"/>
        <rFont val="Calibri"/>
        <family val="2"/>
        <scheme val="minor"/>
      </rPr>
      <t>(linked to Regulatory Rate of Return calculation above)</t>
    </r>
  </si>
  <si>
    <r>
      <t xml:space="preserve">Water business self-assessment </t>
    </r>
    <r>
      <rPr>
        <sz val="9"/>
        <color theme="1"/>
        <rFont val="Calibri"/>
        <family val="2"/>
        <scheme val="minor"/>
      </rPr>
      <t>(Maximum allowable ROE)</t>
    </r>
  </si>
  <si>
    <r>
      <t>ROE Override</t>
    </r>
    <r>
      <rPr>
        <b/>
        <i/>
        <sz val="9"/>
        <color theme="1"/>
        <rFont val="Calibri"/>
        <family val="2"/>
        <scheme val="minor"/>
      </rPr>
      <t xml:space="preserve"> </t>
    </r>
    <r>
      <rPr>
        <sz val="9"/>
        <color theme="1"/>
        <rFont val="Calibri"/>
        <family val="2"/>
        <scheme val="minor"/>
      </rPr>
      <t>(Must be less than Maximum allowable ROE)</t>
    </r>
  </si>
  <si>
    <t>$m, 01/01/23</t>
  </si>
  <si>
    <t>5th period</t>
  </si>
  <si>
    <t>RAV (Opening Base)</t>
  </si>
  <si>
    <t>Number</t>
  </si>
  <si>
    <t>Total controllable opex</t>
  </si>
  <si>
    <t>ML</t>
  </si>
  <si>
    <t>ID</t>
  </si>
  <si>
    <t>Index</t>
  </si>
  <si>
    <t>Parameter 1</t>
  </si>
  <si>
    <t>Parameter 2</t>
  </si>
  <si>
    <t>Water business 1</t>
  </si>
  <si>
    <t>Water business 2</t>
  </si>
  <si>
    <t>Fourth reg period opex</t>
  </si>
  <si>
    <t>2028-29</t>
  </si>
  <si>
    <t>2029-30</t>
  </si>
  <si>
    <t>2030-31</t>
  </si>
  <si>
    <t>2031-32</t>
  </si>
  <si>
    <t>2032-33</t>
  </si>
  <si>
    <t>RP5</t>
  </si>
  <si>
    <t>Enter 2017-18 closing balance here&gt;&gt;&gt;</t>
  </si>
  <si>
    <t>Price control - Sixth period</t>
  </si>
  <si>
    <t>5th reg period</t>
  </si>
  <si>
    <t>DIFFERENCES BETWEEN REGULATORY PERIOD 4 AND REGULATORY PERIOD 5 (REV RAV, OPEX, CAPEX)</t>
  </si>
  <si>
    <t>5th regulatory period</t>
  </si>
  <si>
    <t>6th Reg Period</t>
  </si>
  <si>
    <t>To reconcile to 'Opex_FO' tab row 95&gt;&gt;</t>
  </si>
  <si>
    <t>Net baseline opex growth</t>
  </si>
  <si>
    <t>Baseline year - total prescribed operating expenditure in 2021-22:</t>
  </si>
  <si>
    <t>Less non-controllable expenditure items incurred in 2021-22:</t>
  </si>
  <si>
    <t>Comparison with approved 2021-22 total controllable opex</t>
  </si>
  <si>
    <t>Baseline year - total controllable operating expenditure in 2021-22:</t>
  </si>
  <si>
    <t>Adjustments for non-recurring expenditure items incurred in 2021-22 and any efficiency savings to be realised from 2021-22:</t>
  </si>
  <si>
    <t>Adjusted baseline controllable operating expenditure (2021-22)</t>
  </si>
  <si>
    <t>REGULATORY RATE OF RETURN</t>
  </si>
  <si>
    <t>SGW4A</t>
  </si>
  <si>
    <t>SGW4B</t>
  </si>
  <si>
    <t>WW4A</t>
  </si>
  <si>
    <t>WW4B</t>
  </si>
  <si>
    <t>Reconciliation to 'Opex_Breakdown' tab row 37</t>
  </si>
  <si>
    <t>Reconciliation to 'Opex_FO' tab row 95</t>
  </si>
  <si>
    <t>Urban Water</t>
  </si>
  <si>
    <t>Bulk water - headworks</t>
  </si>
  <si>
    <t>Domestic and stock</t>
  </si>
  <si>
    <t>Surface water diversions</t>
  </si>
  <si>
    <t>Groundwater diversions</t>
  </si>
  <si>
    <t>($, 2022-23)</t>
  </si>
  <si>
    <t>PURPLE</t>
  </si>
  <si>
    <t>Secondary indicators</t>
  </si>
  <si>
    <t>FFO interest cover</t>
  </si>
  <si>
    <t>Net debt / RAV</t>
  </si>
  <si>
    <t>FFO / Net debt</t>
  </si>
  <si>
    <t xml:space="preserve">  All financial indicators satisfied:</t>
  </si>
  <si>
    <t>Estimate</t>
  </si>
  <si>
    <t>&lt;&lt;&lt;Enter negative figures only</t>
  </si>
  <si>
    <t>Simple Moving Averages</t>
  </si>
  <si>
    <t>Year-over-Year (YoY) Growth Rate</t>
  </si>
  <si>
    <t>Revenue-Weighted Moving Averages</t>
  </si>
  <si>
    <t>Revenue-Weighted YoY Growth Rate</t>
  </si>
  <si>
    <t>Depreciation of asset base as at 1/7/23</t>
  </si>
  <si>
    <t>COST EFFICIENCY AND CUSTOMER GROWTH</t>
  </si>
  <si>
    <t>Irrigation</t>
  </si>
  <si>
    <t>Drainage</t>
  </si>
  <si>
    <t>Bulk water services</t>
  </si>
  <si>
    <t>LMW-R4</t>
  </si>
  <si>
    <t>CWW2</t>
  </si>
  <si>
    <t>CWW3</t>
  </si>
  <si>
    <t>SEW2</t>
  </si>
  <si>
    <t>SEW3</t>
  </si>
  <si>
    <t>YVW2</t>
  </si>
  <si>
    <t>YVW3</t>
  </si>
  <si>
    <t>BW2</t>
  </si>
  <si>
    <t>BW3</t>
  </si>
  <si>
    <t>CGW2</t>
  </si>
  <si>
    <t>CGW3</t>
  </si>
  <si>
    <t>CHW2</t>
  </si>
  <si>
    <t>CHW3</t>
  </si>
  <si>
    <t>CW2</t>
  </si>
  <si>
    <t>CW3</t>
  </si>
  <si>
    <t>EGW2</t>
  </si>
  <si>
    <t>EGW3</t>
  </si>
  <si>
    <t>GVW2</t>
  </si>
  <si>
    <t>GVW3</t>
  </si>
  <si>
    <t>LMW-U2</t>
  </si>
  <si>
    <t>LMW-U3</t>
  </si>
  <si>
    <t>NEW2</t>
  </si>
  <si>
    <t>NEW3</t>
  </si>
  <si>
    <t>WNW2</t>
  </si>
  <si>
    <t>WNW3</t>
  </si>
  <si>
    <t>WPW2</t>
  </si>
  <si>
    <t>WPW3</t>
  </si>
  <si>
    <t>GWMW3</t>
  </si>
  <si>
    <t>GWMW4</t>
  </si>
  <si>
    <t>LMW-R2</t>
  </si>
  <si>
    <t>LMW-R3</t>
  </si>
  <si>
    <t>SRW2</t>
  </si>
  <si>
    <t>SRW3</t>
  </si>
  <si>
    <t>BW1</t>
  </si>
  <si>
    <t>CHW1</t>
  </si>
  <si>
    <t>CWW1</t>
  </si>
  <si>
    <t>CW1</t>
  </si>
  <si>
    <t>EGW1</t>
  </si>
  <si>
    <t>CGW1</t>
  </si>
  <si>
    <t>GVW1</t>
  </si>
  <si>
    <t>GWMW1</t>
  </si>
  <si>
    <t>GWMW2</t>
  </si>
  <si>
    <t>LMW-U1</t>
  </si>
  <si>
    <t>LMW-R1</t>
  </si>
  <si>
    <t>NEW1</t>
  </si>
  <si>
    <t>SEW1</t>
  </si>
  <si>
    <t>SRW1</t>
  </si>
  <si>
    <t>WNW1</t>
  </si>
  <si>
    <t>WPW1</t>
  </si>
  <si>
    <t>YVW1</t>
  </si>
  <si>
    <t>CWW4</t>
  </si>
  <si>
    <t>SEW4</t>
  </si>
  <si>
    <t>YVW4</t>
  </si>
  <si>
    <t>SRW4</t>
  </si>
  <si>
    <t>WPW4</t>
  </si>
  <si>
    <t>WNW4</t>
  </si>
  <si>
    <t>NEW4</t>
  </si>
  <si>
    <t>LMW-U4</t>
  </si>
  <si>
    <t>GVW4</t>
  </si>
  <si>
    <t>EGW4</t>
  </si>
  <si>
    <t>CW4</t>
  </si>
  <si>
    <t>CHW4</t>
  </si>
  <si>
    <t>CGW4</t>
  </si>
  <si>
    <t>BW4</t>
  </si>
  <si>
    <t>Licence applications</t>
  </si>
  <si>
    <t>Proposed - controllable operating expenditure</t>
  </si>
  <si>
    <t>DD adjustments</t>
  </si>
  <si>
    <t>FD adjustments</t>
  </si>
  <si>
    <t>Total adjustments</t>
  </si>
  <si>
    <t>Final decision - controllable operating expenditure</t>
  </si>
  <si>
    <t>Proposed - non-controllable operating expenditure</t>
  </si>
  <si>
    <t>Final decision - non-controllable operating expenditure</t>
  </si>
  <si>
    <t>Proposed - total operating expenditure</t>
  </si>
  <si>
    <t>Final decision - total operating expenditure</t>
  </si>
  <si>
    <t>Proposed - capital expenditure</t>
  </si>
  <si>
    <t>Draft decision - capital expenditure</t>
  </si>
  <si>
    <t>$m 2022-23</t>
  </si>
  <si>
    <t>xx</t>
  </si>
  <si>
    <t>[Capex Item - Significant Project / Capital Program / Other Capex]</t>
  </si>
  <si>
    <t>Tariff Revenue - By Service and Type</t>
  </si>
  <si>
    <t>[Not prescribed service 1]</t>
  </si>
  <si>
    <t>[Not prescribed service 2]</t>
  </si>
  <si>
    <t>[Not prescribed service 3]</t>
  </si>
  <si>
    <t>[Not prescribed service 4]</t>
  </si>
  <si>
    <t>[Not prescribed service 5]</t>
  </si>
  <si>
    <t>[Not prescribed service 6]</t>
  </si>
  <si>
    <t>Enter positive values</t>
  </si>
  <si>
    <t>Output descriptor</t>
  </si>
  <si>
    <t xml:space="preserve"> Unit of measurement</t>
  </si>
  <si>
    <t>LMW-RRAV (Opening Base)</t>
  </si>
  <si>
    <t>LMW-RRoA</t>
  </si>
  <si>
    <t>LMW-RRevenue Req</t>
  </si>
  <si>
    <t>LMW-RRegDepEx</t>
  </si>
  <si>
    <t>LMW-RRegDepNew</t>
  </si>
  <si>
    <t>LMW-RTotal prescribed capexIrrigation</t>
  </si>
  <si>
    <t>LMW-RTotal prescribed capexDrainage</t>
  </si>
  <si>
    <t>LMW-RTotal prescribed capexDomestic and stock</t>
  </si>
  <si>
    <t>LMW-RTotal prescribed capexSurface water diversions</t>
  </si>
  <si>
    <t>LMW-RTotal prescribed capexGroundwater diversions</t>
  </si>
  <si>
    <t>LMW-RTotal prescribed capexBulk water services</t>
  </si>
  <si>
    <t>LMW-RTotal controllable opex</t>
  </si>
  <si>
    <t>Reconciliation to 'Capex_FO input' tab row 29</t>
  </si>
  <si>
    <t>FOURTH REG PERIOD</t>
  </si>
  <si>
    <t>4th period</t>
  </si>
  <si>
    <t>RP4</t>
  </si>
  <si>
    <t>per 2018 determination model</t>
  </si>
  <si>
    <t>Greater Western Water</t>
  </si>
  <si>
    <t>GWW</t>
  </si>
  <si>
    <t>Household Bill - Actual ($22-23)</t>
  </si>
  <si>
    <t>Storm damange from P&amp;L spreadsheet</t>
  </si>
  <si>
    <t>Switchboard from P&amp;L spreadsheet</t>
  </si>
  <si>
    <t>Price submission costs</t>
  </si>
  <si>
    <t>Additional pumping $1.6M Pat Russell (index these $ by Chris's exp. Power Cost)</t>
  </si>
  <si>
    <t>Support for vulnerable customers</t>
  </si>
  <si>
    <t>Traditional Owners Uplift</t>
  </si>
  <si>
    <t>More frequent billing (including digital metering)</t>
  </si>
  <si>
    <t>Rainwater Tank Maintenance Program</t>
  </si>
  <si>
    <t>Move old stockpile of Biosolids (Carsten)</t>
  </si>
  <si>
    <t>Sewerage Treatment Plant Lagoon Biosolids Remediation</t>
  </si>
  <si>
    <t>Additional 1% FTE per annum ( 2 FTE per annum)</t>
  </si>
  <si>
    <t>Purchase of temporary water entitlements (Water)</t>
  </si>
  <si>
    <t>Bulk charges</t>
  </si>
  <si>
    <t>Septic Disposal Bulk Fees</t>
  </si>
  <si>
    <t>Ballarat Water Growth Project - Northern Growth Area</t>
  </si>
  <si>
    <t>Ballarat Sewer Growth Project - Ballarat West UGZ southern section</t>
  </si>
  <si>
    <t>Ballarat Sewer Build - Ballarat South Outfall Project</t>
  </si>
  <si>
    <t>White Swan Dam Safety Improvement</t>
  </si>
  <si>
    <t>Daylesford Superpipe Raw Water Interconnection</t>
  </si>
  <si>
    <t>Ballarat Sewer Build - Ballarat East Trunk Sewer (Stage 2)</t>
  </si>
  <si>
    <t>Daylesford Water Treatment Plant Upgrade</t>
  </si>
  <si>
    <t>Regional Recycled Water Scheme Upgrades</t>
  </si>
  <si>
    <t>Ballarat Sewer Growth Project - Northern growth area</t>
  </si>
  <si>
    <t>Digital Water Metering</t>
  </si>
  <si>
    <t>Growth &amp; Development Upsizing &amp; Efficiency Program</t>
  </si>
  <si>
    <t>ICT Business Solutions Enhancements</t>
  </si>
  <si>
    <t>Water Main Renewals Program</t>
  </si>
  <si>
    <t>Clear Water Storage Tank Rehabilitation Program</t>
  </si>
  <si>
    <t>Sewer Gravity Main Renewals Program</t>
  </si>
  <si>
    <t>Ballarat South Sewer Treatment Plant Upgrades</t>
  </si>
  <si>
    <t>Cardigan Village Sewer Treatment Plant Capacity Improvements</t>
  </si>
  <si>
    <t>Ballarat North Sewer Treatment Plant Upgrades</t>
  </si>
  <si>
    <t>Integrated Water Management Program</t>
  </si>
  <si>
    <t>Waubra Water Treatment Plant Upgrade</t>
  </si>
  <si>
    <t>Fleet &amp; Major Plant Replacement Program</t>
  </si>
  <si>
    <t>Water Network - Network Rehabilitation</t>
  </si>
  <si>
    <t>Ballarat Water Growth Project - Ballarat West UGZ southern section</t>
  </si>
  <si>
    <t>Major Water Main Renewal  - Colac Rd Trunk Main</t>
  </si>
  <si>
    <t>White Swan Water Treatment Plant UV upgrade</t>
  </si>
  <si>
    <t>Regional Sewer Treatment Plant Upgrades</t>
  </si>
  <si>
    <t>Strategic Land Acquisitions</t>
  </si>
  <si>
    <t>Raw Water Main Renewals Program</t>
  </si>
  <si>
    <t>Sewer Network - SPS Optimisation</t>
  </si>
  <si>
    <t>Sewer Network - Gravity Network Rehabilitation</t>
  </si>
  <si>
    <t>Water Treatment Plant - PPP Site Upgrades</t>
  </si>
  <si>
    <t>Water Network - Monitoring &amp; Control Rehabilitation</t>
  </si>
  <si>
    <t>Regional Sewer Network Growth Project</t>
  </si>
  <si>
    <t>Sewer Treatment Plant Lagoon Biosolids Remediation</t>
  </si>
  <si>
    <t>Sewer Network - SPS Rehabilitation</t>
  </si>
  <si>
    <t>Major Water Main Renewal - White Swan Trunk Main</t>
  </si>
  <si>
    <t>Water Network - Tanks Optimisation</t>
  </si>
  <si>
    <t>Maryborough Works Depot Modernisation</t>
  </si>
  <si>
    <t>Ballarat Sewer Growth Project - Western &amp; North-Western growth area</t>
  </si>
  <si>
    <t>Water Network - Monitoring &amp; Control Optimisation</t>
  </si>
  <si>
    <t>Source Water Management Program</t>
  </si>
  <si>
    <t>Water Network - Network Optimisation</t>
  </si>
  <si>
    <t>Greenhouse Gas Emissions Reduction Program</t>
  </si>
  <si>
    <t>Sites &amp; Facilities Security Upgrades</t>
  </si>
  <si>
    <t>Catchment Management Program</t>
  </si>
  <si>
    <t>Dam Safety Improvement Program</t>
  </si>
  <si>
    <t>Water Network Rationalisation program</t>
  </si>
  <si>
    <t>Water Network - WPS Optimisation</t>
  </si>
  <si>
    <t>Major Water Main Renewal - Balanee Rd Trunk Main</t>
  </si>
  <si>
    <t>Sewer Network - Monitoring &amp; Control Optimisation</t>
  </si>
  <si>
    <t>Regional Water Network Growth Project</t>
  </si>
  <si>
    <t>Major Water Main Renewal - Norman Street Trunk Main</t>
  </si>
  <si>
    <t>Environmental Groundwater Monitoring Program</t>
  </si>
  <si>
    <t>Sites &amp; Facilities Minor Asset Replacements</t>
  </si>
  <si>
    <t>Small Plant Replacement Program</t>
  </si>
  <si>
    <t>Water Network - WPS Rehabilitation</t>
  </si>
  <si>
    <t>Sewer Network - Sewer Rising Main Renewals Program</t>
  </si>
  <si>
    <t>Ballarat Water Growth Project - Western &amp; North-Western growth area</t>
  </si>
  <si>
    <t>Small System Water Treatment Supply Upgrades</t>
  </si>
  <si>
    <t>New Water Meter Connections Program</t>
  </si>
  <si>
    <t>Digital Meter Replacement Program</t>
  </si>
  <si>
    <t>Laboratory Equipment Replacements</t>
  </si>
  <si>
    <t xml:space="preserve">Community, Festival &amp; Events Program </t>
  </si>
  <si>
    <t>Sewer Servicing - Pressure Sewer Backlog</t>
  </si>
  <si>
    <t>Sewer Network - Gravity Network Optimisation</t>
  </si>
  <si>
    <t>Sewer Network - Monitoring &amp; Control Rehabilitation</t>
  </si>
  <si>
    <t>Small Town Sewerage Schemes</t>
  </si>
  <si>
    <t>Small Town Water Schemes</t>
  </si>
  <si>
    <t>Ballarat Sewer Build - Specimen Vale Upgrade</t>
  </si>
  <si>
    <t>Ballarat West Water Treatment Plant Upgrades</t>
  </si>
  <si>
    <t>Digital Water Metering Modernisation Program</t>
  </si>
  <si>
    <t>Regulated Supply Water Quality Upgrades</t>
  </si>
  <si>
    <t>Water Resource Security - Northern Victoria</t>
  </si>
  <si>
    <t>Learmonth Road Office Modernisation</t>
  </si>
  <si>
    <t>Sewer Network - Ballarat South Outfall Sewer Relining</t>
  </si>
  <si>
    <t>Water Resource Security - Forest Hill</t>
  </si>
  <si>
    <t>Water Network Monitoring Enhancement</t>
  </si>
  <si>
    <t>Sewer Network Monitoring Enhancement</t>
  </si>
  <si>
    <t>Maryborough Raw Water Augmentation</t>
  </si>
  <si>
    <t>White Swan - Lal Lal Interconnection Project</t>
  </si>
  <si>
    <t>White Swan Water Treatment Plant capacity upgrade</t>
  </si>
  <si>
    <t>Ballarat Sewer Growth Project - Future Growth Areas</t>
  </si>
  <si>
    <t>Ballarat Water Growth Project - Future Growth Areas</t>
  </si>
  <si>
    <t>Major Water Main Renewal - Musical Gully Trunk Main</t>
  </si>
  <si>
    <t>Buildings</t>
  </si>
  <si>
    <t>Plant &amp; Equipment</t>
  </si>
  <si>
    <t>Water Treatment Plants</t>
  </si>
  <si>
    <t>Water Mains</t>
  </si>
  <si>
    <t>Reservoirs</t>
  </si>
  <si>
    <t>Water infrastructure - other</t>
  </si>
  <si>
    <t>Wastewater treatment plants</t>
  </si>
  <si>
    <t>Wastewater mains</t>
  </si>
  <si>
    <t>Wastewater infrastructure - other</t>
  </si>
  <si>
    <t>Residential</t>
  </si>
  <si>
    <t>Res + Non-Res</t>
  </si>
  <si>
    <t>Non- Residential</t>
  </si>
  <si>
    <t>Major</t>
  </si>
  <si>
    <t>Minor</t>
  </si>
  <si>
    <t>Service Charge</t>
  </si>
  <si>
    <t>Usage 0-175kL</t>
  </si>
  <si>
    <t>Usage &gt;175kL</t>
  </si>
  <si>
    <t>Usage</t>
  </si>
  <si>
    <t>Service Charge - vacant</t>
  </si>
  <si>
    <t>BOD</t>
  </si>
  <si>
    <t>Suspended Solids</t>
  </si>
  <si>
    <t>Volume</t>
  </si>
  <si>
    <t>A</t>
  </si>
  <si>
    <t>B</t>
  </si>
  <si>
    <t>Fire Services Charge</t>
  </si>
  <si>
    <t>Information Statements</t>
  </si>
  <si>
    <t>Meter Cost</t>
  </si>
  <si>
    <t>Plumbing Consent Fee</t>
  </si>
  <si>
    <t>Special Meter Read</t>
  </si>
  <si>
    <t>Water Tapping Fees</t>
  </si>
  <si>
    <t>Failure to provide clean drinking water with the presence of dirtt water (more than 5 turbidity units) as the result of a CHW fault not restored within 8 hours</t>
  </si>
  <si>
    <t>Failure to rectify an unplanned interruption to a customers water supply within 4 hours of becoming aware of the interruption</t>
  </si>
  <si>
    <t>Exceeding 3 water supply interruptions to a customer in any 12-month period</t>
  </si>
  <si>
    <t>Failure to repair leaking water service within 3 business days of becoming aware of the leak</t>
  </si>
  <si>
    <t>In the event of a sewer sill within customers house, which is caused by CHW, the annual wastewater service fee will be refunded as a rebate</t>
  </si>
  <si>
    <t>Failure to rectify sewer interruption within 3 hours of becoming aware of the interruption</t>
  </si>
  <si>
    <t>Exceeding 1 sewer supply interruption in any 12-month period</t>
  </si>
  <si>
    <t>Restricting the water supply of, or taking legal action against a residential customer prior to taking reasonable endeavours to contact the customer and provide information about help that is available if the customer is experiencing difficulties paying</t>
  </si>
  <si>
    <t>Customer care</t>
  </si>
  <si>
    <t>Equity</t>
  </si>
  <si>
    <t>Sustainability</t>
  </si>
  <si>
    <t>First call resolution</t>
  </si>
  <si>
    <t>Net positive score</t>
  </si>
  <si>
    <t>More frequent billing</t>
  </si>
  <si>
    <t>Priority guaranteed service levels</t>
  </si>
  <si>
    <t>Funding regional growth</t>
  </si>
  <si>
    <t>Improved water quality for customers in towns without access to potable water</t>
  </si>
  <si>
    <t>Impact of vulnerable customer support programs</t>
  </si>
  <si>
    <t>Traditional owner partnerships</t>
  </si>
  <si>
    <t>Renewable energy</t>
  </si>
  <si>
    <t>Greenhouse gas emissions reduction</t>
  </si>
  <si>
    <t>Recycled water</t>
  </si>
  <si>
    <t>Water efficiency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</si>
</sst>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44" formatCode="_-&quot;$&quot;* #,##0.00_-;\-&quot;$&quot;* #,##0.00_-;_-&quot;$&quot;* &quot;-&quot;??_-;_-@_-"/>
    <numFmt numFmtId="43" formatCode="_-* #,##0.00_-;\-* #,##0.00_-;_-* &quot;-&quot;??_-;_-@_-"/>
    <numFmt numFmtId="164" formatCode="_(###0_);\(###0\);_(###0_)"/>
    <numFmt numFmtId="165" formatCode="_(#,##0.0_);\(#,##0.0\);_(&quot;-&quot;_)"/>
    <numFmt numFmtId="166" formatCode="_(#,##0.0%_);\(#,##0.0%\);_(&quot;-&quot;_)"/>
    <numFmt numFmtId="167" formatCode="_(#,##0.0\x_);\(#,##0.0\x\);_(&quot;-&quot;_)"/>
    <numFmt numFmtId="168" formatCode="_(&quot;$&quot;#,##0.0_);\(&quot;$&quot;#,##0.0\);_(&quot;-&quot;_)"/>
    <numFmt numFmtId="169" formatCode="_)d\-mmm\-yy_)"/>
    <numFmt numFmtId="170" formatCode="_(#,##0_);\(#,##0\);_(&quot;-&quot;_)"/>
    <numFmt numFmtId="171" formatCode="0.0"/>
    <numFmt numFmtId="172" formatCode="_(#,##0.00_);\(#,##0.00\);_(&quot;-&quot;_)"/>
    <numFmt numFmtId="173" formatCode="0.0%"/>
    <numFmt numFmtId="174" formatCode="_(#,##0.000_);\(#,##0.000\);_(&quot;-&quot;_)"/>
    <numFmt numFmtId="175" formatCode="_(#,##0.000000_);\(#,##0.000000\);_(&quot;-&quot;_)"/>
    <numFmt numFmtId="176" formatCode="0.000000"/>
    <numFmt numFmtId="177" formatCode="0.000"/>
    <numFmt numFmtId="178" formatCode="0.0000000"/>
    <numFmt numFmtId="179" formatCode="#,##0.0_ ;\-#,##0.0\ "/>
    <numFmt numFmtId="180" formatCode="0.000%"/>
    <numFmt numFmtId="181" formatCode="\+0.0%;\-0.0%"/>
    <numFmt numFmtId="182" formatCode="&quot;$&quot;#,##0.0"/>
    <numFmt numFmtId="183" formatCode="#,##0.0"/>
    <numFmt numFmtId="184" formatCode="#,##0.00_ ;\-#,##0.00\ "/>
    <numFmt numFmtId="185" formatCode="#,##0.000"/>
    <numFmt numFmtId="186" formatCode="_-* #,##0_-;\-* #,##0_-;_-* &quot;-&quot;??_-;_-@_-"/>
    <numFmt numFmtId="187" formatCode="_(#,##0.0%_);\(#,##0.0%\);_(&quot;-&quot;_);_)@_)"/>
    <numFmt numFmtId="188" formatCode="_(#,##0.00%_);\(#,##0.00%\);_(&quot;-&quot;_);_)@_)"/>
    <numFmt numFmtId="189" formatCode="0.0000"/>
    <numFmt numFmtId="190" formatCode="_-* #,##0.0_-;\-* #,##0.0_-;_-* &quot;-&quot;??_-;_-@_-"/>
    <numFmt numFmtId="191" formatCode="#,##0.0000_ ;\-#,##0.0000\ "/>
    <numFmt numFmtId="192" formatCode="_-* #,##0.000000_-;\-* #,##0.000000_-;_-* &quot;-&quot;??_-;_-@_-"/>
    <numFmt numFmtId="193" formatCode="_-* #,##0.0000_-;\-* #,##0.0000_-;_-* &quot;-&quot;??_-;_-@_-"/>
    <numFmt numFmtId="194" formatCode="_(#,##0.0000_);\(#,##0.0000\);_(&quot;-&quot;_)"/>
    <numFmt numFmtId="195" formatCode="_-* #,##0.00000_-;\-* #,##0.00000_-;_-* &quot;-&quot;??_-;_-@_-"/>
    <numFmt numFmtId="196" formatCode="_(#,##0.00000_);\(#,##0.00000\);_(&quot;-&quot;_)"/>
    <numFmt numFmtId="197" formatCode="#,##0.00000"/>
    <numFmt numFmtId="198" formatCode="_-* #,##0.0000000_-;\-* #,##0.0000000_-;_-* &quot;-&quot;??_-;_-@_-"/>
    <numFmt numFmtId="199" formatCode="[Green][=0]&quot;OK&quot;;[Red]&quot;Error&quot;"/>
    <numFmt numFmtId="200" formatCode="[Green][=0]&quot;YES&quot;;[Red]&quot;NO&quot;"/>
    <numFmt numFmtId="201" formatCode="0.00000"/>
  </numFmts>
  <fonts count="137" x14ac:knownFonts="1">
    <font>
      <sz val="8"/>
      <name val="Arial"/>
    </font>
    <font>
      <sz val="11"/>
      <color theme="1"/>
      <name val="Calibri"/>
      <family val="2"/>
      <scheme val="minor"/>
    </font>
    <font>
      <sz val="8"/>
      <name val="Arial"/>
      <family val="2"/>
    </font>
    <font>
      <b/>
      <sz val="14"/>
      <name val="Arial"/>
      <family val="2"/>
    </font>
    <font>
      <b/>
      <sz val="13"/>
      <name val="Arial"/>
      <family val="2"/>
    </font>
    <font>
      <b/>
      <sz val="12"/>
      <name val="Arial"/>
      <family val="2"/>
    </font>
    <font>
      <b/>
      <sz val="10"/>
      <name val="Arial"/>
      <family val="2"/>
    </font>
    <font>
      <b/>
      <sz val="9"/>
      <name val="Arial"/>
      <family val="2"/>
    </font>
    <font>
      <b/>
      <sz val="8"/>
      <name val="Arial"/>
      <family val="2"/>
    </font>
    <font>
      <b/>
      <u/>
      <sz val="8"/>
      <color indexed="56"/>
      <name val="Arial"/>
      <family val="2"/>
    </font>
    <font>
      <b/>
      <sz val="10"/>
      <color indexed="56"/>
      <name val="Wingdings"/>
      <charset val="2"/>
    </font>
    <font>
      <b/>
      <u/>
      <sz val="9.5"/>
      <color indexed="56"/>
      <name val="Arial"/>
      <family val="2"/>
    </font>
    <font>
      <b/>
      <u/>
      <sz val="9"/>
      <color indexed="56"/>
      <name val="Arial"/>
      <family val="2"/>
    </font>
    <font>
      <b/>
      <u/>
      <sz val="7.5"/>
      <color indexed="56"/>
      <name val="Arial"/>
      <family val="2"/>
    </font>
    <font>
      <b/>
      <sz val="14"/>
      <color indexed="60"/>
      <name val="Arial"/>
      <family val="2"/>
    </font>
    <font>
      <b/>
      <sz val="8"/>
      <color indexed="60"/>
      <name val="Arial"/>
      <family val="2"/>
    </font>
    <font>
      <sz val="8"/>
      <color indexed="60"/>
      <name val="Arial"/>
      <family val="2"/>
    </font>
    <font>
      <sz val="8"/>
      <color indexed="9"/>
      <name val="Arial"/>
      <family val="2"/>
    </font>
    <font>
      <b/>
      <sz val="10"/>
      <color indexed="60"/>
      <name val="Arial"/>
      <family val="2"/>
    </font>
    <font>
      <sz val="8"/>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52"/>
      <name val="Calibri"/>
      <family val="2"/>
    </font>
    <font>
      <b/>
      <sz val="11"/>
      <color indexed="8"/>
      <name val="Calibri"/>
      <family val="2"/>
    </font>
    <font>
      <sz val="11"/>
      <color indexed="10"/>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60"/>
      <name val="Calibri"/>
      <family val="2"/>
    </font>
    <font>
      <b/>
      <sz val="11"/>
      <color indexed="63"/>
      <name val="Calibri"/>
      <family val="2"/>
    </font>
    <font>
      <sz val="10"/>
      <color indexed="8"/>
      <name val="Arial"/>
      <family val="2"/>
    </font>
    <font>
      <b/>
      <sz val="18"/>
      <color indexed="56"/>
      <name val="Cambria"/>
      <family val="2"/>
    </font>
    <font>
      <sz val="11"/>
      <color theme="1"/>
      <name val="Calibri"/>
      <family val="2"/>
      <scheme val="minor"/>
    </font>
    <font>
      <sz val="11"/>
      <color rgb="FF9C0006"/>
      <name val="Calibri"/>
      <family val="2"/>
      <scheme val="minor"/>
    </font>
    <font>
      <b/>
      <sz val="8"/>
      <color theme="0"/>
      <name val="Arial"/>
      <family val="2"/>
    </font>
    <font>
      <b/>
      <sz val="8"/>
      <color theme="8"/>
      <name val="Arial"/>
      <family val="2"/>
    </font>
    <font>
      <sz val="10"/>
      <name val="Arial"/>
      <family val="2"/>
    </font>
    <font>
      <sz val="10"/>
      <color theme="1"/>
      <name val="Arial"/>
      <family val="2"/>
    </font>
    <font>
      <sz val="11"/>
      <color theme="0" tint="-0.499984740745262"/>
      <name val="Calibri"/>
      <family val="2"/>
      <scheme val="minor"/>
    </font>
    <font>
      <sz val="11"/>
      <name val="Calibri"/>
      <family val="2"/>
      <scheme val="minor"/>
    </font>
    <font>
      <sz val="8"/>
      <color theme="1"/>
      <name val="Tahoma"/>
      <family val="2"/>
    </font>
    <font>
      <sz val="10"/>
      <name val="Tahoma"/>
      <family val="2"/>
    </font>
    <font>
      <sz val="8"/>
      <name val="Calibri"/>
      <family val="2"/>
      <scheme val="minor"/>
    </font>
    <font>
      <sz val="10"/>
      <name val="Calibri"/>
      <family val="2"/>
      <scheme val="minor"/>
    </font>
    <font>
      <sz val="8"/>
      <name val="Cambria"/>
      <family val="2"/>
      <scheme val="major"/>
    </font>
    <font>
      <b/>
      <sz val="8"/>
      <name val="Cambria"/>
      <family val="2"/>
      <scheme val="major"/>
    </font>
    <font>
      <sz val="10"/>
      <color rgb="FFFF0000"/>
      <name val="Calibri"/>
      <family val="2"/>
      <scheme val="minor"/>
    </font>
    <font>
      <sz val="9"/>
      <color theme="1"/>
      <name val="Calibri"/>
      <family val="2"/>
      <scheme val="minor"/>
    </font>
    <font>
      <b/>
      <sz val="9"/>
      <color theme="1"/>
      <name val="Calibri"/>
      <family val="2"/>
      <scheme val="minor"/>
    </font>
    <font>
      <sz val="10"/>
      <color theme="0" tint="-0.499984740745262"/>
      <name val="Calibri"/>
      <family val="2"/>
      <scheme val="minor"/>
    </font>
    <font>
      <b/>
      <sz val="10"/>
      <color theme="0" tint="-0.499984740745262"/>
      <name val="Calibri"/>
      <family val="2"/>
      <scheme val="minor"/>
    </font>
    <font>
      <u/>
      <sz val="8"/>
      <color theme="0" tint="-0.499984740745262"/>
      <name val="Calibri"/>
      <family val="2"/>
      <scheme val="minor"/>
    </font>
    <font>
      <b/>
      <sz val="10"/>
      <color indexed="56"/>
      <name val="Calibri"/>
      <family val="2"/>
      <scheme val="minor"/>
    </font>
    <font>
      <sz val="8"/>
      <color theme="0" tint="-0.499984740745262"/>
      <name val="Calibri"/>
      <family val="2"/>
      <scheme val="minor"/>
    </font>
    <font>
      <sz val="10"/>
      <color indexed="9"/>
      <name val="Calibri"/>
      <family val="2"/>
      <scheme val="minor"/>
    </font>
    <font>
      <b/>
      <sz val="10"/>
      <name val="Calibri"/>
      <family val="2"/>
      <scheme val="minor"/>
    </font>
    <font>
      <sz val="9"/>
      <color indexed="9"/>
      <name val="Calibri"/>
      <family val="2"/>
      <scheme val="minor"/>
    </font>
    <font>
      <b/>
      <sz val="9"/>
      <color theme="8"/>
      <name val="Calibri"/>
      <family val="2"/>
      <scheme val="minor"/>
    </font>
    <font>
      <sz val="9"/>
      <name val="Calibri"/>
      <family val="2"/>
      <scheme val="minor"/>
    </font>
    <font>
      <u/>
      <sz val="9"/>
      <color theme="0" tint="-0.499984740745262"/>
      <name val="Calibri"/>
      <family val="2"/>
      <scheme val="minor"/>
    </font>
    <font>
      <b/>
      <u/>
      <sz val="9"/>
      <color indexed="56"/>
      <name val="Calibri"/>
      <family val="2"/>
      <scheme val="minor"/>
    </font>
    <font>
      <b/>
      <sz val="9"/>
      <color indexed="56"/>
      <name val="Calibri"/>
      <family val="2"/>
      <scheme val="minor"/>
    </font>
    <font>
      <b/>
      <sz val="9"/>
      <name val="Calibri"/>
      <family val="2"/>
      <scheme val="minor"/>
    </font>
    <font>
      <b/>
      <sz val="9"/>
      <color indexed="59"/>
      <name val="Calibri"/>
      <family val="2"/>
      <scheme val="minor"/>
    </font>
    <font>
      <sz val="9"/>
      <color indexed="63"/>
      <name val="Calibri"/>
      <family val="2"/>
      <scheme val="minor"/>
    </font>
    <font>
      <b/>
      <sz val="9"/>
      <color indexed="63"/>
      <name val="Calibri"/>
      <family val="2"/>
      <scheme val="minor"/>
    </font>
    <font>
      <b/>
      <sz val="9"/>
      <color theme="0"/>
      <name val="Calibri"/>
      <family val="2"/>
      <scheme val="minor"/>
    </font>
    <font>
      <sz val="9"/>
      <color rgb="FFFF0000"/>
      <name val="Calibri"/>
      <family val="2"/>
      <scheme val="minor"/>
    </font>
    <font>
      <sz val="9"/>
      <color theme="8"/>
      <name val="Calibri"/>
      <family val="2"/>
      <scheme val="minor"/>
    </font>
    <font>
      <b/>
      <sz val="9"/>
      <color indexed="60"/>
      <name val="Calibri"/>
      <family val="2"/>
      <scheme val="minor"/>
    </font>
    <font>
      <sz val="9"/>
      <color indexed="26"/>
      <name val="Calibri"/>
      <family val="2"/>
      <scheme val="minor"/>
    </font>
    <font>
      <sz val="9"/>
      <color theme="0" tint="-0.499984740745262"/>
      <name val="Calibri"/>
      <family val="2"/>
      <scheme val="minor"/>
    </font>
    <font>
      <b/>
      <sz val="9"/>
      <color theme="0" tint="-0.34998626667073579"/>
      <name val="Calibri"/>
      <family val="2"/>
      <scheme val="minor"/>
    </font>
    <font>
      <sz val="9"/>
      <color theme="0" tint="-0.34998626667073579"/>
      <name val="Calibri"/>
      <family val="2"/>
      <scheme val="minor"/>
    </font>
    <font>
      <sz val="9"/>
      <color theme="0"/>
      <name val="Calibri"/>
      <family val="2"/>
      <scheme val="minor"/>
    </font>
    <font>
      <b/>
      <sz val="11"/>
      <color theme="8"/>
      <name val="Calibri"/>
      <family val="2"/>
      <scheme val="minor"/>
    </font>
    <font>
      <b/>
      <sz val="11"/>
      <color indexed="60"/>
      <name val="Calibri"/>
      <family val="2"/>
      <scheme val="minor"/>
    </font>
    <font>
      <b/>
      <sz val="11"/>
      <name val="Calibri"/>
      <family val="2"/>
      <scheme val="minor"/>
    </font>
    <font>
      <u/>
      <sz val="11"/>
      <color indexed="56"/>
      <name val="Calibri"/>
      <family val="2"/>
      <scheme val="minor"/>
    </font>
    <font>
      <b/>
      <sz val="9"/>
      <color indexed="10"/>
      <name val="Calibri"/>
      <family val="2"/>
      <scheme val="minor"/>
    </font>
    <font>
      <i/>
      <sz val="9"/>
      <name val="Calibri"/>
      <family val="2"/>
      <scheme val="minor"/>
    </font>
    <font>
      <i/>
      <sz val="9"/>
      <color rgb="FFFF0000"/>
      <name val="Calibri"/>
      <family val="2"/>
      <scheme val="minor"/>
    </font>
    <font>
      <i/>
      <sz val="9"/>
      <color theme="0" tint="-0.249977111117893"/>
      <name val="Calibri"/>
      <family val="2"/>
      <scheme val="minor"/>
    </font>
    <font>
      <i/>
      <sz val="9"/>
      <color theme="0" tint="-0.14999847407452621"/>
      <name val="Calibri"/>
      <family val="2"/>
      <scheme val="minor"/>
    </font>
    <font>
      <sz val="9"/>
      <color theme="0" tint="-0.249977111117893"/>
      <name val="Calibri"/>
      <family val="2"/>
      <scheme val="minor"/>
    </font>
    <font>
      <sz val="9"/>
      <color theme="0" tint="-4.9989318521683403E-2"/>
      <name val="Calibri"/>
      <family val="2"/>
      <scheme val="minor"/>
    </font>
    <font>
      <i/>
      <sz val="9"/>
      <color indexed="10"/>
      <name val="Calibri"/>
      <family val="2"/>
      <scheme val="minor"/>
    </font>
    <font>
      <sz val="9"/>
      <color indexed="10"/>
      <name val="Calibri"/>
      <family val="2"/>
      <scheme val="minor"/>
    </font>
    <font>
      <sz val="9"/>
      <color indexed="60"/>
      <name val="Calibri"/>
      <family val="2"/>
      <scheme val="minor"/>
    </font>
    <font>
      <sz val="9"/>
      <color indexed="22"/>
      <name val="Calibri"/>
      <family val="2"/>
      <scheme val="minor"/>
    </font>
    <font>
      <b/>
      <sz val="9"/>
      <color indexed="9"/>
      <name val="Calibri"/>
      <family val="2"/>
      <scheme val="minor"/>
    </font>
    <font>
      <u/>
      <sz val="9"/>
      <name val="Calibri"/>
      <family val="2"/>
      <scheme val="minor"/>
    </font>
    <font>
      <sz val="9"/>
      <color indexed="59"/>
      <name val="Calibri"/>
      <family val="2"/>
      <scheme val="minor"/>
    </font>
    <font>
      <sz val="9"/>
      <color rgb="FF9C0006"/>
      <name val="Calibri"/>
      <family val="2"/>
      <scheme val="minor"/>
    </font>
    <font>
      <vertAlign val="superscript"/>
      <sz val="9"/>
      <name val="Calibri"/>
      <family val="2"/>
      <scheme val="minor"/>
    </font>
    <font>
      <sz val="8"/>
      <color rgb="FF000000"/>
      <name val="Tahoma"/>
      <family val="2"/>
    </font>
    <font>
      <b/>
      <sz val="9"/>
      <color theme="0" tint="-0.249977111117893"/>
      <name val="Calibri"/>
      <family val="2"/>
      <scheme val="minor"/>
    </font>
    <font>
      <b/>
      <u/>
      <sz val="9"/>
      <color theme="0" tint="-0.249977111117893"/>
      <name val="Calibri"/>
      <family val="2"/>
      <scheme val="minor"/>
    </font>
    <font>
      <b/>
      <sz val="10"/>
      <color theme="8"/>
      <name val="Calibri"/>
      <family val="2"/>
      <scheme val="minor"/>
    </font>
    <font>
      <b/>
      <sz val="9"/>
      <color theme="0" tint="-0.499984740745262"/>
      <name val="Calibri"/>
      <family val="2"/>
      <scheme val="minor"/>
    </font>
    <font>
      <i/>
      <sz val="9"/>
      <color theme="0" tint="-0.34998626667073579"/>
      <name val="Calibri"/>
      <family val="2"/>
      <scheme val="minor"/>
    </font>
    <font>
      <sz val="8"/>
      <color theme="0"/>
      <name val="Arial"/>
      <family val="2"/>
    </font>
    <font>
      <b/>
      <sz val="10"/>
      <color theme="0"/>
      <name val="Arial"/>
      <family val="2"/>
    </font>
    <font>
      <sz val="8"/>
      <color rgb="FF0000FF"/>
      <name val="Arial"/>
      <family val="2"/>
    </font>
    <font>
      <b/>
      <sz val="8"/>
      <color rgb="FF0000FF"/>
      <name val="Arial"/>
      <family val="2"/>
    </font>
    <font>
      <sz val="10"/>
      <name val="Verdana"/>
      <family val="2"/>
    </font>
    <font>
      <i/>
      <sz val="8"/>
      <name val="Arial"/>
      <family val="2"/>
    </font>
    <font>
      <i/>
      <sz val="8"/>
      <color theme="0"/>
      <name val="Arial"/>
      <family val="2"/>
    </font>
    <font>
      <b/>
      <sz val="8"/>
      <color theme="9" tint="-0.499984740745262"/>
      <name val="Arial"/>
      <family val="2"/>
    </font>
    <font>
      <sz val="8"/>
      <color theme="9" tint="-0.499984740745262"/>
      <name val="Arial"/>
      <family val="2"/>
    </font>
    <font>
      <b/>
      <sz val="8"/>
      <color rgb="FFC00000"/>
      <name val="Arial"/>
      <family val="2"/>
    </font>
    <font>
      <b/>
      <sz val="9"/>
      <color rgb="FFC00000"/>
      <name val="Calibri"/>
      <family val="2"/>
      <scheme val="minor"/>
    </font>
    <font>
      <sz val="9"/>
      <color rgb="FFC00000"/>
      <name val="Calibri"/>
      <family val="2"/>
      <scheme val="minor"/>
    </font>
    <font>
      <i/>
      <sz val="9"/>
      <color rgb="FFC00000"/>
      <name val="Calibri"/>
      <family val="2"/>
      <scheme val="minor"/>
    </font>
    <font>
      <i/>
      <sz val="9"/>
      <color theme="0"/>
      <name val="Calibri"/>
      <family val="2"/>
      <scheme val="minor"/>
    </font>
    <font>
      <b/>
      <sz val="8"/>
      <color theme="1"/>
      <name val="Arial"/>
      <family val="2"/>
    </font>
    <font>
      <sz val="8"/>
      <color theme="1"/>
      <name val="Arial"/>
      <family val="2"/>
    </font>
    <font>
      <sz val="9"/>
      <color theme="9" tint="-0.499984740745262"/>
      <name val="Calibri"/>
      <family val="2"/>
      <scheme val="minor"/>
    </font>
    <font>
      <b/>
      <sz val="9"/>
      <color rgb="FFFF0000"/>
      <name val="Calibri"/>
      <family val="2"/>
      <scheme val="minor"/>
    </font>
    <font>
      <b/>
      <sz val="9"/>
      <color rgb="FF7030A0"/>
      <name val="Calibri"/>
      <family val="2"/>
      <scheme val="minor"/>
    </font>
    <font>
      <b/>
      <i/>
      <sz val="9"/>
      <color theme="1"/>
      <name val="Calibri"/>
      <family val="2"/>
      <scheme val="minor"/>
    </font>
    <font>
      <sz val="9"/>
      <color theme="0" tint="-0.14999847407452621"/>
      <name val="Calibri"/>
      <family val="2"/>
      <scheme val="minor"/>
    </font>
    <font>
      <b/>
      <sz val="9"/>
      <color theme="0" tint="-0.14999847407452621"/>
      <name val="Calibri"/>
      <family val="2"/>
      <scheme val="minor"/>
    </font>
    <font>
      <sz val="10"/>
      <color theme="1"/>
      <name val="Calibri"/>
      <family val="2"/>
      <scheme val="minor"/>
    </font>
    <font>
      <b/>
      <sz val="9"/>
      <color rgb="FFFFFFFF"/>
      <name val="Calibri"/>
      <family val="2"/>
      <scheme val="minor"/>
    </font>
    <font>
      <b/>
      <sz val="9"/>
      <color rgb="FF0000FF"/>
      <name val="Calibri"/>
      <family val="2"/>
      <scheme val="minor"/>
    </font>
    <font>
      <i/>
      <sz val="9"/>
      <color theme="1"/>
      <name val="Calibri"/>
      <family val="2"/>
      <scheme val="minor"/>
    </font>
    <font>
      <i/>
      <sz val="9"/>
      <color rgb="FF0000FF"/>
      <name val="Calibri"/>
      <family val="2"/>
      <scheme val="minor"/>
    </font>
    <font>
      <b/>
      <i/>
      <sz val="9"/>
      <name val="Calibri"/>
      <family val="2"/>
      <scheme val="minor"/>
    </font>
    <font>
      <b/>
      <i/>
      <sz val="9"/>
      <color rgb="FFC00000"/>
      <name val="Calibri"/>
      <family val="2"/>
      <scheme val="minor"/>
    </font>
  </fonts>
  <fills count="69">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62"/>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63"/>
        <bgColor indexed="64"/>
      </patternFill>
    </fill>
    <fill>
      <patternFill patternType="solid">
        <fgColor rgb="FFFFC7CE"/>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lightGray">
        <fgColor indexed="9"/>
        <bgColor indexed="26"/>
      </patternFill>
    </fill>
    <fill>
      <patternFill patternType="lightGray">
        <fgColor indexed="9"/>
        <bgColor theme="0"/>
      </patternFill>
    </fill>
    <fill>
      <patternFill patternType="solid">
        <fgColor theme="0" tint="-0.249977111117893"/>
        <bgColor indexed="64"/>
      </patternFill>
    </fill>
    <fill>
      <patternFill patternType="solid">
        <fgColor theme="1"/>
        <bgColor indexed="64"/>
      </patternFill>
    </fill>
    <fill>
      <patternFill patternType="solid">
        <fgColor theme="4" tint="0.79998168889431442"/>
        <bgColor indexed="64"/>
      </patternFill>
    </fill>
    <fill>
      <patternFill patternType="solid">
        <fgColor theme="6" tint="-0.499984740745262"/>
        <bgColor indexed="64"/>
      </patternFill>
    </fill>
    <fill>
      <patternFill patternType="solid">
        <fgColor theme="6" tint="0.59999389629810485"/>
        <bgColor indexed="64"/>
      </patternFill>
    </fill>
    <fill>
      <patternFill patternType="solid">
        <fgColor theme="9" tint="-0.499984740745262"/>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7" tint="-0.49998474074526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bgColor indexed="64"/>
      </patternFill>
    </fill>
    <fill>
      <patternFill patternType="lightUp">
        <fgColor theme="5" tint="0.39994506668294322"/>
        <bgColor theme="5" tint="0.79989013336588644"/>
      </patternFill>
    </fill>
    <fill>
      <patternFill patternType="solid">
        <fgColor rgb="FFFFFFFF"/>
        <bgColor indexed="64"/>
      </patternFill>
    </fill>
    <fill>
      <patternFill patternType="solid">
        <fgColor rgb="FFDAEEF3"/>
        <bgColor indexed="64"/>
      </patternFill>
    </fill>
    <fill>
      <patternFill patternType="solid">
        <fgColor rgb="FFFDE9D9"/>
        <bgColor indexed="64"/>
      </patternFill>
    </fill>
    <fill>
      <patternFill patternType="solid">
        <fgColor rgb="FFF2F2F2"/>
        <bgColor indexed="64"/>
      </patternFill>
    </fill>
    <fill>
      <patternFill patternType="solid">
        <fgColor rgb="FFD9D9D9"/>
        <bgColor indexed="64"/>
      </patternFill>
    </fill>
    <fill>
      <patternFill patternType="solid">
        <fgColor rgb="FFEBF1DE"/>
        <bgColor indexed="64"/>
      </patternFill>
    </fill>
    <fill>
      <patternFill patternType="solid">
        <fgColor rgb="FFB7DEE8"/>
        <bgColor indexed="64"/>
      </patternFill>
    </fill>
    <fill>
      <patternFill patternType="solid">
        <fgColor rgb="FFD8E4BC"/>
        <bgColor indexed="64"/>
      </patternFill>
    </fill>
    <fill>
      <patternFill patternType="solid">
        <fgColor rgb="FFDCE6F1"/>
        <bgColor indexed="64"/>
      </patternFill>
    </fill>
    <fill>
      <patternFill patternType="solid">
        <fgColor rgb="FFB8CCE4"/>
        <bgColor indexed="64"/>
      </patternFill>
    </fill>
    <fill>
      <patternFill patternType="solid">
        <fgColor rgb="FFBFBFBF"/>
        <bgColor indexed="64"/>
      </patternFill>
    </fill>
    <fill>
      <patternFill patternType="solid">
        <fgColor rgb="FFCCC0DA"/>
        <bgColor indexed="64"/>
      </patternFill>
    </fill>
    <fill>
      <patternFill patternType="solid">
        <fgColor rgb="FFFCD5B4"/>
        <bgColor indexed="64"/>
      </patternFill>
    </fill>
    <fill>
      <patternFill patternType="solid">
        <fgColor rgb="FFB1A0C7"/>
        <bgColor indexed="64"/>
      </patternFill>
    </fill>
    <fill>
      <patternFill patternType="solid">
        <fgColor rgb="FFE4DFEC"/>
        <bgColor indexed="64"/>
      </patternFill>
    </fill>
    <fill>
      <patternFill patternType="solid">
        <fgColor rgb="FF4986A0"/>
        <bgColor indexed="64"/>
      </patternFill>
    </fill>
  </fills>
  <borders count="143">
    <border>
      <left/>
      <right/>
      <top/>
      <bottom/>
      <diagonal/>
    </border>
    <border>
      <left style="medium">
        <color indexed="18"/>
      </left>
      <right style="medium">
        <color indexed="18"/>
      </right>
      <top style="medium">
        <color indexed="18"/>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hair">
        <color auto="1"/>
      </left>
      <right/>
      <top/>
      <bottom/>
      <diagonal/>
    </border>
    <border>
      <left/>
      <right style="hair">
        <color auto="1"/>
      </right>
      <top/>
      <bottom/>
      <diagonal/>
    </border>
    <border>
      <left style="hair">
        <color auto="1"/>
      </left>
      <right/>
      <top/>
      <bottom style="thin">
        <color indexed="64"/>
      </bottom>
      <diagonal/>
    </border>
    <border>
      <left/>
      <right style="hair">
        <color auto="1"/>
      </right>
      <top/>
      <bottom style="thin">
        <color indexed="64"/>
      </bottom>
      <diagonal/>
    </border>
    <border>
      <left style="hair">
        <color auto="1"/>
      </left>
      <right/>
      <top style="medium">
        <color indexed="64"/>
      </top>
      <bottom/>
      <diagonal/>
    </border>
    <border>
      <left/>
      <right style="hair">
        <color auto="1"/>
      </right>
      <top style="medium">
        <color indexed="64"/>
      </top>
      <bottom/>
      <diagonal/>
    </border>
    <border>
      <left style="hair">
        <color auto="1"/>
      </left>
      <right/>
      <top/>
      <bottom style="medium">
        <color indexed="64"/>
      </bottom>
      <diagonal/>
    </border>
    <border>
      <left/>
      <right style="hair">
        <color auto="1"/>
      </right>
      <top/>
      <bottom style="medium">
        <color indexed="64"/>
      </bottom>
      <diagonal/>
    </border>
    <border>
      <left style="hair">
        <color auto="1"/>
      </left>
      <right/>
      <top style="thin">
        <color indexed="64"/>
      </top>
      <bottom/>
      <diagonal/>
    </border>
    <border>
      <left/>
      <right style="hair">
        <color auto="1"/>
      </right>
      <top style="thin">
        <color indexed="64"/>
      </top>
      <bottom/>
      <diagonal/>
    </border>
    <border>
      <left/>
      <right/>
      <top style="hair">
        <color indexed="64"/>
      </top>
      <bottom/>
      <diagonal/>
    </border>
    <border>
      <left style="hair">
        <color auto="1"/>
      </left>
      <right/>
      <top style="hair">
        <color indexed="64"/>
      </top>
      <bottom/>
      <diagonal/>
    </border>
    <border>
      <left/>
      <right style="hair">
        <color auto="1"/>
      </right>
      <top style="hair">
        <color indexed="64"/>
      </top>
      <bottom/>
      <diagonal/>
    </border>
    <border>
      <left/>
      <right/>
      <top/>
      <bottom style="hair">
        <color auto="1"/>
      </bottom>
      <diagonal/>
    </border>
    <border>
      <left style="hair">
        <color auto="1"/>
      </left>
      <right/>
      <top/>
      <bottom style="hair">
        <color auto="1"/>
      </bottom>
      <diagonal/>
    </border>
    <border>
      <left/>
      <right style="hair">
        <color auto="1"/>
      </right>
      <top/>
      <bottom style="hair">
        <color auto="1"/>
      </bottom>
      <diagonal/>
    </border>
    <border>
      <left/>
      <right/>
      <top style="hair">
        <color indexed="64"/>
      </top>
      <bottom style="hair">
        <color indexed="64"/>
      </bottom>
      <diagonal/>
    </border>
    <border>
      <left style="hair">
        <color auto="1"/>
      </left>
      <right/>
      <top style="hair">
        <color indexed="64"/>
      </top>
      <bottom style="hair">
        <color indexed="64"/>
      </bottom>
      <diagonal/>
    </border>
    <border>
      <left/>
      <right style="hair">
        <color auto="1"/>
      </right>
      <top style="hair">
        <color indexed="64"/>
      </top>
      <bottom style="hair">
        <color indexed="64"/>
      </bottom>
      <diagonal/>
    </border>
    <border>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bottom style="thin">
        <color indexed="64"/>
      </bottom>
      <diagonal/>
    </border>
    <border>
      <left style="hair">
        <color auto="1"/>
      </left>
      <right/>
      <top style="thin">
        <color indexed="64"/>
      </top>
      <bottom style="thin">
        <color indexed="64"/>
      </bottom>
      <diagonal/>
    </border>
    <border>
      <left/>
      <right style="hair">
        <color auto="1"/>
      </right>
      <top style="thin">
        <color indexed="64"/>
      </top>
      <bottom style="thin">
        <color indexed="64"/>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249977111117893"/>
      </left>
      <right/>
      <top style="thin">
        <color theme="0" tint="-0.34998626667073579"/>
      </top>
      <bottom/>
      <diagonal/>
    </border>
    <border>
      <left style="thin">
        <color theme="0" tint="-0.249977111117893"/>
      </left>
      <right/>
      <top/>
      <bottom/>
      <diagonal/>
    </border>
    <border>
      <left style="thin">
        <color theme="0" tint="-0.249977111117893"/>
      </left>
      <right/>
      <top/>
      <bottom style="thin">
        <color theme="0" tint="-0.34998626667073579"/>
      </bottom>
      <diagonal/>
    </border>
    <border>
      <left/>
      <right style="thin">
        <color theme="0" tint="-0.34998626667073579"/>
      </right>
      <top/>
      <bottom style="thin">
        <color indexed="64"/>
      </bottom>
      <diagonal/>
    </border>
    <border>
      <left/>
      <right/>
      <top/>
      <bottom style="medium">
        <color rgb="FFFFFFFF"/>
      </bottom>
      <diagonal/>
    </border>
    <border>
      <left style="thin">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style="thin">
        <color indexed="64"/>
      </top>
      <bottom/>
      <diagonal/>
    </border>
    <border>
      <left/>
      <right style="dotted">
        <color indexed="64"/>
      </right>
      <top/>
      <bottom style="thin">
        <color indexed="64"/>
      </bottom>
      <diagonal/>
    </border>
    <border>
      <left/>
      <right style="dotted">
        <color indexed="64"/>
      </right>
      <top/>
      <bottom style="medium">
        <color indexed="64"/>
      </bottom>
      <diagonal/>
    </border>
  </borders>
  <cellStyleXfs count="223">
    <xf numFmtId="0" fontId="0" fillId="0" borderId="0"/>
    <xf numFmtId="0" fontId="21" fillId="2" borderId="0" applyNumberFormat="0" applyBorder="0" applyAlignment="0" applyProtection="0"/>
    <xf numFmtId="0" fontId="21" fillId="4"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3"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9" borderId="0" applyNumberFormat="0" applyBorder="0" applyAlignment="0" applyProtection="0"/>
    <xf numFmtId="0" fontId="21" fillId="13" borderId="0" applyNumberFormat="0" applyBorder="0" applyAlignment="0" applyProtection="0"/>
    <xf numFmtId="0" fontId="22" fillId="15" borderId="0" applyNumberFormat="0" applyBorder="0" applyAlignment="0" applyProtection="0"/>
    <xf numFmtId="0" fontId="22" fillId="10" borderId="0" applyNumberFormat="0" applyBorder="0" applyAlignment="0" applyProtection="0"/>
    <xf numFmtId="0" fontId="22" fillId="12" borderId="0" applyNumberFormat="0" applyBorder="0" applyAlignment="0" applyProtection="0"/>
    <xf numFmtId="0" fontId="22" fillId="17"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17"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168" fontId="2" fillId="0" borderId="1">
      <alignment horizontal="center" vertical="center"/>
      <protection locked="0"/>
    </xf>
    <xf numFmtId="168" fontId="19" fillId="0" borderId="1">
      <alignment horizontal="center" vertical="center"/>
      <protection locked="0"/>
    </xf>
    <xf numFmtId="15" fontId="2" fillId="0" borderId="1">
      <alignment horizontal="center" vertical="center"/>
      <protection locked="0"/>
    </xf>
    <xf numFmtId="15" fontId="19" fillId="0" borderId="1">
      <alignment horizontal="center" vertical="center"/>
      <protection locked="0"/>
    </xf>
    <xf numFmtId="167" fontId="2" fillId="0" borderId="1">
      <alignment horizontal="center" vertical="center"/>
      <protection locked="0"/>
    </xf>
    <xf numFmtId="167" fontId="19" fillId="0" borderId="1">
      <alignment horizontal="center" vertical="center"/>
      <protection locked="0"/>
    </xf>
    <xf numFmtId="165" fontId="2" fillId="0" borderId="1">
      <alignment horizontal="center" vertical="center"/>
      <protection locked="0"/>
    </xf>
    <xf numFmtId="165" fontId="19" fillId="0" borderId="1">
      <alignment horizontal="center" vertical="center"/>
      <protection locked="0"/>
    </xf>
    <xf numFmtId="166" fontId="2" fillId="0" borderId="1">
      <alignment horizontal="center" vertical="center"/>
      <protection locked="0"/>
    </xf>
    <xf numFmtId="166" fontId="19" fillId="0" borderId="1">
      <alignment horizontal="center" vertical="center"/>
      <protection locked="0"/>
    </xf>
    <xf numFmtId="164" fontId="2" fillId="0" borderId="1">
      <alignment horizontal="center" vertical="center"/>
      <protection locked="0"/>
    </xf>
    <xf numFmtId="164" fontId="19" fillId="0" borderId="1">
      <alignment horizontal="center" vertical="center"/>
      <protection locked="0"/>
    </xf>
    <xf numFmtId="0" fontId="2" fillId="0" borderId="1">
      <alignment vertical="center"/>
      <protection locked="0"/>
    </xf>
    <xf numFmtId="0" fontId="19" fillId="0" borderId="1">
      <alignment vertical="center"/>
      <protection locked="0"/>
    </xf>
    <xf numFmtId="168" fontId="2" fillId="0" borderId="1">
      <alignment horizontal="right" vertical="center"/>
      <protection locked="0"/>
    </xf>
    <xf numFmtId="168" fontId="19" fillId="0" borderId="1">
      <alignment horizontal="right" vertical="center"/>
      <protection locked="0"/>
    </xf>
    <xf numFmtId="169" fontId="2" fillId="0" borderId="1">
      <alignment horizontal="right" vertical="center"/>
      <protection locked="0"/>
    </xf>
    <xf numFmtId="169" fontId="19" fillId="0" borderId="1">
      <alignment horizontal="right" vertical="center"/>
      <protection locked="0"/>
    </xf>
    <xf numFmtId="167" fontId="2" fillId="0" borderId="1">
      <alignment horizontal="right" vertical="center"/>
      <protection locked="0"/>
    </xf>
    <xf numFmtId="167" fontId="19" fillId="0" borderId="1">
      <alignment horizontal="right" vertical="center"/>
      <protection locked="0"/>
    </xf>
    <xf numFmtId="165" fontId="2" fillId="0" borderId="1">
      <alignment horizontal="right" vertical="center"/>
      <protection locked="0"/>
    </xf>
    <xf numFmtId="165" fontId="19" fillId="0" borderId="1">
      <alignment horizontal="right" vertical="center"/>
      <protection locked="0"/>
    </xf>
    <xf numFmtId="166" fontId="2" fillId="0" borderId="1">
      <alignment horizontal="right" vertical="center"/>
      <protection locked="0"/>
    </xf>
    <xf numFmtId="166" fontId="19" fillId="0" borderId="1">
      <alignment horizontal="right" vertical="center"/>
      <protection locked="0"/>
    </xf>
    <xf numFmtId="164" fontId="2" fillId="0" borderId="1">
      <alignment horizontal="right" vertical="center"/>
      <protection locked="0"/>
    </xf>
    <xf numFmtId="164" fontId="19" fillId="0" borderId="1">
      <alignment horizontal="right" vertical="center"/>
      <protection locked="0"/>
    </xf>
    <xf numFmtId="0" fontId="40" fillId="26" borderId="0" applyNumberFormat="0" applyBorder="0" applyAlignment="0" applyProtection="0"/>
    <xf numFmtId="0" fontId="23" fillId="4" borderId="0" applyNumberFormat="0" applyBorder="0" applyAlignment="0" applyProtection="0"/>
    <xf numFmtId="0" fontId="24" fillId="22" borderId="2" applyNumberFormat="0" applyAlignment="0" applyProtection="0"/>
    <xf numFmtId="0" fontId="2" fillId="0" borderId="0" applyNumberFormat="0" applyFont="0" applyFill="0" applyBorder="0">
      <alignment horizontal="center" vertical="center"/>
      <protection locked="0"/>
    </xf>
    <xf numFmtId="0" fontId="19" fillId="0" borderId="0" applyNumberFormat="0" applyFont="0" applyFill="0" applyBorder="0">
      <alignment horizontal="center" vertical="center"/>
      <protection locked="0"/>
    </xf>
    <xf numFmtId="168" fontId="2" fillId="0" borderId="0" applyFill="0" applyBorder="0">
      <alignment horizontal="center" vertical="center"/>
    </xf>
    <xf numFmtId="168" fontId="19" fillId="0" borderId="0" applyFill="0" applyBorder="0">
      <alignment horizontal="center" vertical="center"/>
    </xf>
    <xf numFmtId="15" fontId="2" fillId="0" borderId="0" applyFill="0" applyBorder="0">
      <alignment horizontal="center" vertical="center"/>
    </xf>
    <xf numFmtId="15" fontId="19" fillId="0" borderId="0" applyFill="0" applyBorder="0">
      <alignment horizontal="center" vertical="center"/>
    </xf>
    <xf numFmtId="167" fontId="2" fillId="0" borderId="0" applyFill="0" applyBorder="0">
      <alignment horizontal="center" vertical="center"/>
    </xf>
    <xf numFmtId="167" fontId="19" fillId="0" borderId="0" applyFill="0" applyBorder="0">
      <alignment horizontal="center" vertical="center"/>
    </xf>
    <xf numFmtId="165" fontId="2" fillId="0" borderId="0" applyFill="0" applyBorder="0">
      <alignment horizontal="center" vertical="center"/>
    </xf>
    <xf numFmtId="165" fontId="19" fillId="0" borderId="0" applyFill="0" applyBorder="0">
      <alignment horizontal="center" vertical="center"/>
    </xf>
    <xf numFmtId="166" fontId="2" fillId="0" borderId="0" applyFill="0" applyBorder="0">
      <alignment horizontal="center" vertical="center"/>
    </xf>
    <xf numFmtId="166" fontId="19" fillId="0" borderId="0" applyFill="0" applyBorder="0">
      <alignment horizontal="center" vertical="center"/>
    </xf>
    <xf numFmtId="164" fontId="2" fillId="0" borderId="0" applyFill="0" applyBorder="0">
      <alignment horizontal="center" vertical="center"/>
    </xf>
    <xf numFmtId="164" fontId="19" fillId="0" borderId="0" applyFill="0" applyBorder="0">
      <alignment horizontal="center" vertical="center"/>
    </xf>
    <xf numFmtId="0" fontId="25" fillId="23" borderId="3" applyNumberFormat="0" applyAlignment="0" applyProtection="0"/>
    <xf numFmtId="43" fontId="2"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6" fillId="0" borderId="0" applyFill="0" applyBorder="0">
      <alignment vertical="center"/>
    </xf>
    <xf numFmtId="0" fontId="31" fillId="0" borderId="4" applyNumberFormat="0" applyFill="0" applyAlignment="0" applyProtection="0"/>
    <xf numFmtId="0" fontId="7" fillId="0" borderId="0" applyFill="0" applyBorder="0">
      <alignment vertical="center"/>
    </xf>
    <xf numFmtId="0" fontId="32" fillId="0" borderId="5" applyNumberFormat="0" applyFill="0" applyAlignment="0" applyProtection="0"/>
    <xf numFmtId="0" fontId="8" fillId="0" borderId="0" applyFill="0" applyBorder="0">
      <alignment vertical="center"/>
    </xf>
    <xf numFmtId="0" fontId="33" fillId="0" borderId="6" applyNumberFormat="0" applyFill="0" applyAlignment="0" applyProtection="0"/>
    <xf numFmtId="0" fontId="2" fillId="0" borderId="0" applyFill="0" applyBorder="0">
      <alignment vertical="center"/>
    </xf>
    <xf numFmtId="0" fontId="33" fillId="0" borderId="0" applyNumberFormat="0" applyFill="0" applyBorder="0" applyAlignment="0" applyProtection="0"/>
    <xf numFmtId="0" fontId="10" fillId="0" borderId="0" applyFill="0" applyBorder="0">
      <alignment horizontal="center" vertical="center"/>
      <protection locked="0"/>
    </xf>
    <xf numFmtId="0" fontId="10" fillId="0" borderId="0" applyFill="0" applyBorder="0">
      <alignment horizontal="center" vertical="center"/>
      <protection locked="0"/>
    </xf>
    <xf numFmtId="0" fontId="9" fillId="0" borderId="0" applyFill="0" applyBorder="0">
      <alignment horizontal="left" vertical="center"/>
      <protection locked="0"/>
    </xf>
    <xf numFmtId="0" fontId="9" fillId="0" borderId="0" applyFill="0" applyBorder="0">
      <alignment horizontal="left" vertical="center"/>
      <protection locked="0"/>
    </xf>
    <xf numFmtId="0" fontId="9" fillId="0" borderId="0" applyFill="0" applyBorder="0">
      <alignment horizontal="left" vertical="center"/>
      <protection locked="0"/>
    </xf>
    <xf numFmtId="0" fontId="34" fillId="3" borderId="2" applyNumberFormat="0" applyAlignment="0" applyProtection="0"/>
    <xf numFmtId="0" fontId="28" fillId="0" borderId="7" applyNumberFormat="0" applyFill="0" applyAlignment="0" applyProtection="0"/>
    <xf numFmtId="0" fontId="8" fillId="0" borderId="8" applyFill="0">
      <alignment horizontal="center" vertical="center"/>
    </xf>
    <xf numFmtId="0" fontId="8" fillId="0" borderId="8" applyFill="0">
      <alignment horizontal="center" vertical="center"/>
    </xf>
    <xf numFmtId="0" fontId="2" fillId="0" borderId="8" applyFill="0">
      <alignment horizontal="center" vertical="center"/>
    </xf>
    <xf numFmtId="0" fontId="19" fillId="0" borderId="8" applyFill="0">
      <alignment horizontal="center" vertical="center"/>
    </xf>
    <xf numFmtId="170" fontId="2" fillId="0" borderId="8" applyFill="0">
      <alignment horizontal="center" vertical="center"/>
    </xf>
    <xf numFmtId="170" fontId="19" fillId="0" borderId="8" applyFill="0">
      <alignment horizontal="center" vertical="center"/>
    </xf>
    <xf numFmtId="0" fontId="5" fillId="0" borderId="0" applyFill="0" applyBorder="0">
      <alignment horizontal="left" vertical="center"/>
    </xf>
    <xf numFmtId="0" fontId="5" fillId="0" borderId="0" applyFill="0" applyBorder="0">
      <alignment horizontal="left" vertical="center"/>
    </xf>
    <xf numFmtId="0" fontId="5" fillId="0" borderId="0" applyFill="0" applyBorder="0">
      <alignment horizontal="left" vertical="center"/>
    </xf>
    <xf numFmtId="0" fontId="35" fillId="11" borderId="0" applyNumberFormat="0" applyBorder="0" applyAlignment="0" applyProtection="0"/>
    <xf numFmtId="0" fontId="19" fillId="0" borderId="0"/>
    <xf numFmtId="0" fontId="19" fillId="0" borderId="0"/>
    <xf numFmtId="0" fontId="21" fillId="5" borderId="10" applyNumberFormat="0" applyFont="0" applyAlignment="0" applyProtection="0"/>
    <xf numFmtId="0" fontId="36" fillId="22" borderId="11" applyNumberFormat="0" applyAlignment="0" applyProtection="0"/>
    <xf numFmtId="9" fontId="2" fillId="0" borderId="0" applyFont="0" applyFill="0" applyBorder="0" applyAlignment="0" applyProtection="0"/>
    <xf numFmtId="9" fontId="19" fillId="0" borderId="0" applyFont="0" applyFill="0" applyBorder="0" applyAlignment="0" applyProtection="0"/>
    <xf numFmtId="0" fontId="8" fillId="0" borderId="0" applyFill="0" applyBorder="0">
      <alignment vertical="center"/>
    </xf>
    <xf numFmtId="0" fontId="8" fillId="0" borderId="0" applyFill="0" applyBorder="0">
      <alignment vertical="center"/>
    </xf>
    <xf numFmtId="168" fontId="2" fillId="0" borderId="0" applyFill="0" applyBorder="0">
      <alignment horizontal="right" vertical="center"/>
    </xf>
    <xf numFmtId="168" fontId="19" fillId="0" borderId="0" applyFill="0" applyBorder="0">
      <alignment horizontal="right" vertical="center"/>
    </xf>
    <xf numFmtId="169" fontId="2" fillId="0" borderId="0" applyFill="0" applyBorder="0">
      <alignment horizontal="right" vertical="center"/>
    </xf>
    <xf numFmtId="169" fontId="19" fillId="0" borderId="0" applyFill="0" applyBorder="0">
      <alignment horizontal="right" vertical="center"/>
    </xf>
    <xf numFmtId="167" fontId="2" fillId="0" borderId="0" applyFill="0" applyBorder="0">
      <alignment horizontal="right" vertical="center"/>
    </xf>
    <xf numFmtId="167" fontId="19" fillId="0" borderId="0" applyFill="0" applyBorder="0">
      <alignment horizontal="right" vertical="center"/>
    </xf>
    <xf numFmtId="165" fontId="2" fillId="0" borderId="0" applyFill="0" applyBorder="0">
      <alignment horizontal="right" vertical="center"/>
    </xf>
    <xf numFmtId="165" fontId="19" fillId="0" borderId="0" applyFill="0" applyBorder="0">
      <alignment horizontal="right" vertical="center"/>
    </xf>
    <xf numFmtId="165" fontId="19" fillId="0" borderId="0" applyFill="0" applyBorder="0">
      <alignment horizontal="right" vertical="center"/>
    </xf>
    <xf numFmtId="165" fontId="19" fillId="0" borderId="0" applyFill="0" applyBorder="0">
      <alignment horizontal="right" vertical="center"/>
    </xf>
    <xf numFmtId="165" fontId="19" fillId="0" borderId="0" applyFill="0" applyBorder="0">
      <alignment horizontal="right" vertical="center"/>
    </xf>
    <xf numFmtId="166" fontId="2" fillId="0" borderId="0" applyFill="0" applyBorder="0">
      <alignment horizontal="right" vertical="center"/>
    </xf>
    <xf numFmtId="166" fontId="19" fillId="0" borderId="0" applyFill="0" applyBorder="0">
      <alignment horizontal="right" vertical="center"/>
    </xf>
    <xf numFmtId="164" fontId="2" fillId="0" borderId="0" applyFill="0" applyBorder="0">
      <alignment horizontal="right" vertical="center"/>
    </xf>
    <xf numFmtId="164" fontId="19" fillId="0" borderId="0" applyFill="0" applyBorder="0">
      <alignment horizontal="right" vertical="center"/>
    </xf>
    <xf numFmtId="0" fontId="4" fillId="0" borderId="0" applyFill="0" applyBorder="0">
      <alignment horizontal="left" vertical="center"/>
    </xf>
    <xf numFmtId="0" fontId="4" fillId="0" borderId="0" applyFill="0" applyBorder="0">
      <alignment horizontal="left" vertical="center"/>
    </xf>
    <xf numFmtId="0" fontId="3" fillId="0" borderId="0" applyFill="0" applyBorder="0">
      <alignment horizontal="left" vertical="center"/>
    </xf>
    <xf numFmtId="0" fontId="3" fillId="0" borderId="0" applyFill="0" applyBorder="0">
      <alignment horizontal="left" vertical="center"/>
    </xf>
    <xf numFmtId="0" fontId="3" fillId="0" borderId="0" applyFill="0" applyBorder="0">
      <alignment horizontal="left" vertical="center"/>
    </xf>
    <xf numFmtId="0" fontId="37" fillId="0" borderId="0">
      <alignment vertical="top"/>
    </xf>
    <xf numFmtId="0" fontId="38" fillId="0" borderId="0" applyNumberFormat="0" applyFill="0" applyBorder="0" applyAlignment="0" applyProtection="0"/>
    <xf numFmtId="0" fontId="11" fillId="0" borderId="0" applyFill="0" applyBorder="0">
      <alignment horizontal="left" vertical="center"/>
      <protection locked="0"/>
    </xf>
    <xf numFmtId="0" fontId="11" fillId="0" borderId="0" applyFill="0" applyBorder="0">
      <alignment horizontal="left" vertical="center"/>
      <protection locked="0"/>
    </xf>
    <xf numFmtId="0" fontId="12" fillId="0" borderId="0" applyFill="0" applyBorder="0">
      <alignment horizontal="left" vertical="center"/>
      <protection locked="0"/>
    </xf>
    <xf numFmtId="0" fontId="12" fillId="0" borderId="0" applyFill="0" applyBorder="0">
      <alignment horizontal="left" vertical="center"/>
      <protection locked="0"/>
    </xf>
    <xf numFmtId="0" fontId="9" fillId="0" borderId="0" applyFill="0" applyBorder="0">
      <alignment horizontal="left" vertical="center"/>
      <protection locked="0"/>
    </xf>
    <xf numFmtId="0" fontId="9" fillId="0" borderId="0" applyFill="0" applyBorder="0">
      <alignment horizontal="left" vertical="center"/>
      <protection locked="0"/>
    </xf>
    <xf numFmtId="0" fontId="13" fillId="0" borderId="0" applyFill="0" applyBorder="0">
      <alignment horizontal="left" vertical="center"/>
      <protection locked="0"/>
    </xf>
    <xf numFmtId="0" fontId="13" fillId="0" borderId="0" applyFill="0" applyBorder="0">
      <alignment horizontal="left" vertical="center"/>
      <protection locked="0"/>
    </xf>
    <xf numFmtId="0" fontId="29" fillId="0" borderId="12" applyNumberFormat="0" applyFill="0" applyAlignment="0" applyProtection="0"/>
    <xf numFmtId="0" fontId="30" fillId="0" borderId="0" applyNumberFormat="0" applyFill="0" applyBorder="0" applyAlignment="0" applyProtection="0"/>
    <xf numFmtId="0" fontId="19" fillId="0" borderId="0"/>
    <xf numFmtId="0" fontId="6" fillId="0" borderId="0" applyFill="0" applyBorder="0">
      <alignment vertical="center"/>
    </xf>
    <xf numFmtId="0" fontId="43" fillId="34" borderId="0" applyNumberFormat="0" applyFont="0" applyBorder="0" applyAlignment="0">
      <protection hidden="1"/>
    </xf>
    <xf numFmtId="0" fontId="39" fillId="0" borderId="0"/>
    <xf numFmtId="0" fontId="19" fillId="0" borderId="0" applyFill="0" applyBorder="0">
      <alignment vertical="center"/>
    </xf>
    <xf numFmtId="0" fontId="19" fillId="0" borderId="0"/>
    <xf numFmtId="0" fontId="19" fillId="0" borderId="0"/>
    <xf numFmtId="0" fontId="19" fillId="0" borderId="0"/>
    <xf numFmtId="0" fontId="19" fillId="0" borderId="1">
      <alignment vertical="center"/>
      <protection locked="0"/>
    </xf>
    <xf numFmtId="43" fontId="47" fillId="0" borderId="0" applyFont="0" applyFill="0" applyBorder="0" applyAlignment="0" applyProtection="0"/>
    <xf numFmtId="43" fontId="43" fillId="0" borderId="0" applyFont="0" applyFill="0" applyBorder="0" applyAlignment="0" applyProtection="0"/>
    <xf numFmtId="43" fontId="48" fillId="0" borderId="0" applyFont="0" applyFill="0" applyBorder="0" applyAlignment="0" applyProtection="0"/>
    <xf numFmtId="43" fontId="1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7" fillId="0" borderId="0" applyFill="0" applyBorder="0">
      <alignment vertical="center"/>
    </xf>
    <xf numFmtId="0" fontId="19" fillId="0" borderId="0"/>
    <xf numFmtId="0" fontId="44" fillId="0" borderId="0"/>
    <xf numFmtId="0" fontId="19" fillId="0" borderId="0"/>
    <xf numFmtId="0" fontId="19" fillId="0" borderId="0"/>
    <xf numFmtId="0" fontId="48" fillId="0" borderId="0"/>
    <xf numFmtId="0" fontId="49" fillId="0" borderId="0" applyFill="0" applyBorder="0">
      <alignment vertical="center"/>
    </xf>
    <xf numFmtId="0" fontId="47" fillId="0" borderId="0"/>
    <xf numFmtId="9" fontId="48" fillId="0" borderId="0" applyFont="0" applyFill="0" applyBorder="0" applyAlignment="0" applyProtection="0"/>
    <xf numFmtId="9" fontId="44" fillId="0" borderId="0" applyFont="0" applyFill="0" applyBorder="0" applyAlignment="0" applyProtection="0"/>
    <xf numFmtId="165" fontId="19" fillId="0" borderId="0" applyFill="0" applyBorder="0">
      <alignment horizontal="right" vertical="center"/>
    </xf>
    <xf numFmtId="165" fontId="19" fillId="0" borderId="0" applyFill="0" applyBorder="0">
      <alignment horizontal="right" vertical="center"/>
    </xf>
    <xf numFmtId="165" fontId="19" fillId="0" borderId="0" applyFill="0" applyBorder="0">
      <alignment horizontal="right" vertical="center"/>
    </xf>
    <xf numFmtId="187" fontId="49" fillId="0" borderId="9">
      <alignment vertical="center"/>
      <protection locked="0"/>
    </xf>
    <xf numFmtId="187" fontId="49" fillId="0" borderId="0" applyFill="0" applyBorder="0">
      <alignment vertical="center"/>
    </xf>
    <xf numFmtId="0" fontId="51" fillId="0" borderId="0" applyFill="0" applyBorder="0">
      <alignment vertical="center"/>
    </xf>
    <xf numFmtId="0" fontId="52" fillId="0" borderId="0" applyFill="0" applyBorder="0">
      <alignment vertical="center"/>
    </xf>
    <xf numFmtId="0" fontId="2" fillId="0" borderId="0"/>
    <xf numFmtId="0" fontId="2" fillId="0" borderId="0"/>
    <xf numFmtId="0" fontId="2" fillId="0" borderId="0"/>
    <xf numFmtId="0" fontId="2" fillId="0" borderId="1">
      <alignment vertical="center"/>
      <protection locked="0"/>
    </xf>
    <xf numFmtId="0" fontId="2" fillId="0" borderId="0" applyFill="0" applyBorder="0">
      <alignment vertical="center"/>
    </xf>
    <xf numFmtId="0" fontId="43" fillId="0" borderId="0"/>
    <xf numFmtId="0" fontId="112" fillId="0" borderId="0"/>
    <xf numFmtId="168" fontId="2" fillId="0" borderId="1">
      <alignment horizontal="center" vertical="center"/>
      <protection locked="0"/>
    </xf>
    <xf numFmtId="15" fontId="2" fillId="0" borderId="1">
      <alignment horizontal="center" vertical="center"/>
      <protection locked="0"/>
    </xf>
    <xf numFmtId="167" fontId="2" fillId="0" borderId="1">
      <alignment horizontal="center" vertical="center"/>
      <protection locked="0"/>
    </xf>
    <xf numFmtId="165" fontId="2" fillId="0" borderId="1">
      <alignment horizontal="center" vertical="center"/>
      <protection locked="0"/>
    </xf>
    <xf numFmtId="166" fontId="2" fillId="0" borderId="1">
      <alignment horizontal="center" vertical="center"/>
      <protection locked="0"/>
    </xf>
    <xf numFmtId="164" fontId="2" fillId="0" borderId="1">
      <alignment horizontal="center" vertical="center"/>
      <protection locked="0"/>
    </xf>
    <xf numFmtId="0" fontId="2" fillId="0" borderId="1">
      <alignment vertical="center"/>
      <protection locked="0"/>
    </xf>
    <xf numFmtId="0" fontId="2" fillId="0" borderId="1">
      <alignment vertical="center"/>
      <protection locked="0"/>
    </xf>
    <xf numFmtId="168" fontId="2" fillId="0" borderId="1">
      <alignment horizontal="right" vertical="center"/>
      <protection locked="0"/>
    </xf>
    <xf numFmtId="169" fontId="2" fillId="0" borderId="1">
      <alignment horizontal="right" vertical="center"/>
      <protection locked="0"/>
    </xf>
    <xf numFmtId="167" fontId="2" fillId="0" borderId="1">
      <alignment horizontal="right" vertical="center"/>
      <protection locked="0"/>
    </xf>
    <xf numFmtId="165" fontId="2" fillId="0" borderId="1">
      <alignment horizontal="right" vertical="center"/>
      <protection locked="0"/>
    </xf>
    <xf numFmtId="166" fontId="2" fillId="0" borderId="1">
      <alignment horizontal="right" vertical="center"/>
      <protection locked="0"/>
    </xf>
    <xf numFmtId="164" fontId="2" fillId="0" borderId="1">
      <alignment horizontal="right" vertical="center"/>
      <protection locked="0"/>
    </xf>
    <xf numFmtId="0" fontId="2" fillId="0" borderId="0" applyNumberFormat="0" applyFont="0" applyFill="0" applyBorder="0">
      <alignment horizontal="center" vertical="center"/>
      <protection locked="0"/>
    </xf>
    <xf numFmtId="168" fontId="2" fillId="0" borderId="0" applyFill="0" applyBorder="0">
      <alignment horizontal="center" vertical="center"/>
    </xf>
    <xf numFmtId="15" fontId="2" fillId="0" borderId="0" applyFill="0" applyBorder="0">
      <alignment horizontal="center" vertical="center"/>
    </xf>
    <xf numFmtId="167" fontId="2" fillId="0" borderId="0" applyFill="0" applyBorder="0">
      <alignment horizontal="center" vertical="center"/>
    </xf>
    <xf numFmtId="165" fontId="2" fillId="0" borderId="0" applyFill="0" applyBorder="0">
      <alignment horizontal="center" vertical="center"/>
    </xf>
    <xf numFmtId="166" fontId="2" fillId="0" borderId="0" applyFill="0" applyBorder="0">
      <alignment horizontal="center" vertical="center"/>
    </xf>
    <xf numFmtId="164" fontId="2" fillId="0" borderId="0" applyFill="0" applyBorder="0">
      <alignment horizontal="center" vertical="center"/>
    </xf>
    <xf numFmtId="43" fontId="2" fillId="0" borderId="0" applyFont="0" applyFill="0" applyBorder="0" applyAlignment="0" applyProtection="0"/>
    <xf numFmtId="0" fontId="2" fillId="0" borderId="0" applyFill="0" applyBorder="0">
      <alignment vertical="center"/>
    </xf>
    <xf numFmtId="0" fontId="2" fillId="0" borderId="8" applyFill="0">
      <alignment horizontal="center" vertical="center"/>
    </xf>
    <xf numFmtId="170" fontId="2" fillId="0" borderId="8" applyFill="0">
      <alignment horizontal="center"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9" fontId="2" fillId="0" borderId="0" applyFont="0" applyFill="0" applyBorder="0" applyAlignment="0" applyProtection="0"/>
    <xf numFmtId="168" fontId="2" fillId="0" borderId="0" applyFill="0" applyBorder="0">
      <alignment horizontal="right" vertical="center"/>
    </xf>
    <xf numFmtId="169" fontId="2" fillId="0" borderId="0" applyFill="0" applyBorder="0">
      <alignment horizontal="right" vertical="center"/>
    </xf>
    <xf numFmtId="167" fontId="2" fillId="0" borderId="0" applyFill="0" applyBorder="0">
      <alignment horizontal="right" vertical="center"/>
    </xf>
    <xf numFmtId="165" fontId="2" fillId="0" borderId="0" applyFill="0" applyBorder="0">
      <alignment horizontal="right" vertical="center"/>
    </xf>
    <xf numFmtId="165" fontId="2" fillId="0" borderId="0" applyFill="0" applyBorder="0">
      <alignment horizontal="right" vertical="center"/>
    </xf>
    <xf numFmtId="165" fontId="2" fillId="0" borderId="0" applyFill="0" applyBorder="0">
      <alignment horizontal="right" vertical="center"/>
    </xf>
    <xf numFmtId="165" fontId="2" fillId="0" borderId="0" applyFill="0" applyBorder="0">
      <alignment horizontal="right" vertical="center"/>
    </xf>
    <xf numFmtId="165" fontId="2" fillId="0" borderId="0" applyFill="0" applyBorder="0">
      <alignment horizontal="right" vertical="center"/>
    </xf>
    <xf numFmtId="165" fontId="2" fillId="0" borderId="0" applyFill="0" applyBorder="0">
      <alignment horizontal="right" vertical="center"/>
    </xf>
    <xf numFmtId="165" fontId="2" fillId="0" borderId="0" applyFill="0" applyBorder="0">
      <alignment horizontal="right" vertical="center"/>
    </xf>
    <xf numFmtId="166" fontId="2" fillId="0" borderId="0" applyFill="0" applyBorder="0">
      <alignment horizontal="right" vertical="center"/>
    </xf>
    <xf numFmtId="164" fontId="2" fillId="0" borderId="0" applyFill="0" applyBorder="0">
      <alignment horizontal="right" vertical="center"/>
    </xf>
    <xf numFmtId="44" fontId="2" fillId="0" borderId="0" applyFont="0" applyFill="0" applyBorder="0" applyAlignment="0" applyProtection="0"/>
  </cellStyleXfs>
  <cellXfs count="2436">
    <xf numFmtId="0" fontId="0" fillId="0" borderId="0" xfId="0"/>
    <xf numFmtId="0" fontId="49" fillId="27" borderId="0" xfId="0" applyFont="1" applyFill="1"/>
    <xf numFmtId="0" fontId="49" fillId="29" borderId="0" xfId="0" applyFont="1" applyFill="1"/>
    <xf numFmtId="0" fontId="50" fillId="29" borderId="0" xfId="0" applyFont="1" applyFill="1"/>
    <xf numFmtId="0" fontId="65" fillId="0" borderId="0" xfId="0" applyFont="1" applyProtection="1">
      <protection locked="0"/>
    </xf>
    <xf numFmtId="0" fontId="61" fillId="27" borderId="0" xfId="0" applyFont="1" applyFill="1" applyProtection="1"/>
    <xf numFmtId="0" fontId="50" fillId="27" borderId="0" xfId="0" applyFont="1" applyFill="1" applyProtection="1"/>
    <xf numFmtId="0" fontId="46" fillId="27" borderId="0" xfId="0" applyFont="1" applyFill="1" applyProtection="1"/>
    <xf numFmtId="0" fontId="50" fillId="28" borderId="30" xfId="0" applyFont="1" applyFill="1" applyBorder="1" applyProtection="1"/>
    <xf numFmtId="0" fontId="50" fillId="28" borderId="0" xfId="0" applyFont="1" applyFill="1" applyAlignment="1" applyProtection="1">
      <alignment horizontal="center"/>
    </xf>
    <xf numFmtId="0" fontId="50" fillId="28" borderId="0" xfId="0" applyFont="1" applyFill="1" applyProtection="1"/>
    <xf numFmtId="0" fontId="83" fillId="27" borderId="0" xfId="122" applyFont="1" applyFill="1" applyProtection="1">
      <alignment horizontal="left" vertical="center"/>
    </xf>
    <xf numFmtId="0" fontId="84" fillId="27" borderId="0" xfId="76" applyFont="1" applyFill="1" applyAlignment="1" applyProtection="1">
      <alignment horizontal="left" vertical="center"/>
    </xf>
    <xf numFmtId="0" fontId="50" fillId="28" borderId="0" xfId="0" applyFont="1" applyFill="1" applyBorder="1" applyAlignment="1" applyProtection="1">
      <alignment horizontal="center"/>
    </xf>
    <xf numFmtId="0" fontId="50" fillId="28" borderId="0" xfId="0" applyFont="1" applyFill="1" applyBorder="1" applyProtection="1"/>
    <xf numFmtId="0" fontId="46" fillId="27" borderId="0" xfId="122" applyFont="1" applyFill="1" applyProtection="1">
      <alignment horizontal="left" vertical="center"/>
    </xf>
    <xf numFmtId="0" fontId="50" fillId="28" borderId="0" xfId="0" applyFont="1" applyFill="1" applyBorder="1" applyAlignment="1" applyProtection="1">
      <alignment vertical="center"/>
    </xf>
    <xf numFmtId="0" fontId="84" fillId="29" borderId="0" xfId="93" applyFont="1" applyFill="1">
      <alignment horizontal="left" vertical="center"/>
    </xf>
    <xf numFmtId="0" fontId="46" fillId="29" borderId="0" xfId="0" applyFont="1" applyFill="1"/>
    <xf numFmtId="0" fontId="50" fillId="29" borderId="0" xfId="0" applyFont="1" applyFill="1" applyBorder="1"/>
    <xf numFmtId="0" fontId="46" fillId="28" borderId="30" xfId="0" applyFont="1" applyFill="1" applyBorder="1" applyProtection="1"/>
    <xf numFmtId="0" fontId="84" fillId="29" borderId="0" xfId="122" applyFont="1" applyFill="1" applyProtection="1">
      <alignment horizontal="left" vertical="center"/>
    </xf>
    <xf numFmtId="0" fontId="84" fillId="29" borderId="0" xfId="0" applyFont="1" applyFill="1" applyProtection="1"/>
    <xf numFmtId="0" fontId="56" fillId="29" borderId="0" xfId="0" applyFont="1" applyFill="1" applyAlignment="1" applyProtection="1">
      <alignment horizontal="left"/>
      <protection hidden="1"/>
    </xf>
    <xf numFmtId="0" fontId="59" fillId="29" borderId="0" xfId="80" applyFont="1" applyFill="1" applyBorder="1">
      <alignment horizontal="center" vertical="center"/>
      <protection locked="0"/>
    </xf>
    <xf numFmtId="0" fontId="46" fillId="29" borderId="0" xfId="72" applyFont="1" applyFill="1" applyBorder="1" applyAlignment="1" applyProtection="1">
      <alignment horizontal="left" vertical="center"/>
    </xf>
    <xf numFmtId="0" fontId="45" fillId="29" borderId="0" xfId="0" applyFont="1" applyFill="1" applyBorder="1" applyProtection="1">
      <protection hidden="1"/>
    </xf>
    <xf numFmtId="0" fontId="56" fillId="28" borderId="0" xfId="0" applyFont="1" applyFill="1" applyProtection="1"/>
    <xf numFmtId="0" fontId="56" fillId="28" borderId="0" xfId="0" applyFont="1" applyFill="1" applyAlignment="1" applyProtection="1">
      <alignment horizontal="center"/>
    </xf>
    <xf numFmtId="0" fontId="62" fillId="29" borderId="0" xfId="0" applyFont="1" applyFill="1" applyAlignment="1">
      <alignment horizontal="left" indent="1"/>
    </xf>
    <xf numFmtId="0" fontId="62" fillId="29" borderId="0" xfId="0" applyFont="1" applyFill="1"/>
    <xf numFmtId="0" fontId="56" fillId="29" borderId="0" xfId="0" applyFont="1" applyFill="1" applyProtection="1">
      <protection hidden="1"/>
    </xf>
    <xf numFmtId="0" fontId="62" fillId="29" borderId="8" xfId="0" applyFont="1" applyFill="1" applyBorder="1" applyAlignment="1" applyProtection="1">
      <alignment vertical="center"/>
    </xf>
    <xf numFmtId="0" fontId="62" fillId="29" borderId="8" xfId="0" applyFont="1" applyFill="1" applyBorder="1" applyAlignment="1" applyProtection="1">
      <alignment horizontal="center" vertical="center"/>
    </xf>
    <xf numFmtId="0" fontId="62" fillId="29" borderId="8" xfId="0" applyFont="1" applyFill="1" applyBorder="1" applyAlignment="1" applyProtection="1">
      <alignment horizontal="right" vertical="center"/>
    </xf>
    <xf numFmtId="0" fontId="49" fillId="29" borderId="0" xfId="0" quotePrefix="1" applyFont="1" applyFill="1"/>
    <xf numFmtId="0" fontId="60" fillId="29" borderId="0" xfId="0" applyFont="1" applyFill="1" applyProtection="1">
      <protection hidden="1"/>
    </xf>
    <xf numFmtId="0" fontId="56" fillId="28" borderId="8" xfId="0" applyFont="1" applyFill="1" applyBorder="1" applyProtection="1"/>
    <xf numFmtId="0" fontId="56" fillId="28" borderId="8" xfId="0" applyFont="1" applyFill="1" applyBorder="1" applyAlignment="1" applyProtection="1">
      <alignment horizontal="center"/>
    </xf>
    <xf numFmtId="0" fontId="56" fillId="28" borderId="8" xfId="0" applyFont="1" applyFill="1" applyBorder="1" applyAlignment="1" applyProtection="1">
      <alignment horizontal="right"/>
    </xf>
    <xf numFmtId="0" fontId="85" fillId="29" borderId="0" xfId="131" quotePrefix="1" applyFont="1" applyFill="1">
      <alignment horizontal="left" vertical="center"/>
      <protection locked="0"/>
    </xf>
    <xf numFmtId="0" fontId="56" fillId="28" borderId="8" xfId="0" quotePrefix="1" applyFont="1" applyFill="1" applyBorder="1" applyAlignment="1" applyProtection="1">
      <alignment horizontal="right"/>
    </xf>
    <xf numFmtId="0" fontId="46" fillId="29" borderId="0" xfId="0" applyFont="1" applyFill="1" applyProtection="1"/>
    <xf numFmtId="0" fontId="50" fillId="29" borderId="0" xfId="0" applyFont="1" applyFill="1" applyProtection="1"/>
    <xf numFmtId="0" fontId="50" fillId="29" borderId="57" xfId="0" applyFont="1" applyFill="1" applyBorder="1" applyProtection="1"/>
    <xf numFmtId="0" fontId="50" fillId="29" borderId="58" xfId="0" applyFont="1" applyFill="1" applyBorder="1" applyProtection="1"/>
    <xf numFmtId="0" fontId="50" fillId="29" borderId="59" xfId="0" applyFont="1" applyFill="1" applyBorder="1" applyProtection="1"/>
    <xf numFmtId="0" fontId="50" fillId="29" borderId="60" xfId="0" applyFont="1" applyFill="1" applyBorder="1" applyProtection="1"/>
    <xf numFmtId="0" fontId="50" fillId="31" borderId="8" xfId="38" applyFont="1" applyFill="1" applyBorder="1" applyAlignment="1" applyProtection="1">
      <alignment horizontal="center" vertical="center"/>
    </xf>
    <xf numFmtId="0" fontId="50" fillId="29" borderId="0" xfId="0" applyFont="1" applyFill="1" applyBorder="1" applyAlignment="1" applyProtection="1">
      <alignment horizontal="left" vertical="center" indent="2"/>
    </xf>
    <xf numFmtId="0" fontId="50" fillId="29" borderId="61" xfId="0" applyFont="1" applyFill="1" applyBorder="1" applyProtection="1"/>
    <xf numFmtId="0" fontId="50" fillId="29" borderId="0" xfId="0" applyFont="1" applyFill="1" applyBorder="1" applyAlignment="1" applyProtection="1">
      <alignment vertical="center"/>
    </xf>
    <xf numFmtId="0" fontId="50" fillId="29" borderId="0" xfId="0" applyFont="1" applyFill="1" applyBorder="1" applyAlignment="1" applyProtection="1">
      <alignment horizontal="left" indent="2"/>
    </xf>
    <xf numFmtId="0" fontId="50" fillId="29" borderId="0" xfId="0" applyFont="1" applyFill="1" applyBorder="1" applyProtection="1"/>
    <xf numFmtId="0" fontId="50" fillId="28" borderId="8" xfId="0" applyFont="1" applyFill="1" applyBorder="1" applyAlignment="1" applyProtection="1">
      <alignment horizontal="center" vertical="center"/>
    </xf>
    <xf numFmtId="0" fontId="50" fillId="27" borderId="8" xfId="0" applyFont="1" applyFill="1" applyBorder="1" applyAlignment="1" applyProtection="1">
      <alignment horizontal="center" vertical="center"/>
    </xf>
    <xf numFmtId="0" fontId="50" fillId="33" borderId="8" xfId="0" applyFont="1" applyFill="1" applyBorder="1" applyAlignment="1">
      <alignment horizontal="center" vertical="center"/>
    </xf>
    <xf numFmtId="0" fontId="62" fillId="28" borderId="8" xfId="0" applyFont="1" applyFill="1" applyBorder="1" applyAlignment="1" applyProtection="1">
      <alignment horizontal="right" vertical="center"/>
    </xf>
    <xf numFmtId="0" fontId="56" fillId="28" borderId="8" xfId="0" applyFont="1" applyFill="1" applyBorder="1" applyAlignment="1" applyProtection="1">
      <alignment horizontal="left"/>
    </xf>
    <xf numFmtId="0" fontId="53" fillId="30" borderId="8" xfId="0" applyFont="1" applyFill="1" applyBorder="1" applyAlignment="1" applyProtection="1">
      <alignment horizontal="center" vertical="center"/>
    </xf>
    <xf numFmtId="0" fontId="50" fillId="29" borderId="62" xfId="0" applyFont="1" applyFill="1" applyBorder="1" applyProtection="1"/>
    <xf numFmtId="0" fontId="50" fillId="29" borderId="63" xfId="0" applyFont="1" applyFill="1" applyBorder="1" applyProtection="1"/>
    <xf numFmtId="0" fontId="50" fillId="29" borderId="64" xfId="0" applyFont="1" applyFill="1" applyBorder="1" applyProtection="1"/>
    <xf numFmtId="0" fontId="65" fillId="0" borderId="0" xfId="0" applyFont="1" applyAlignment="1" applyProtection="1">
      <alignment horizontal="left"/>
    </xf>
    <xf numFmtId="0" fontId="65" fillId="27" borderId="24" xfId="0" applyFont="1" applyFill="1" applyBorder="1" applyProtection="1"/>
    <xf numFmtId="0" fontId="65" fillId="0" borderId="26" xfId="0" applyFont="1" applyBorder="1" applyProtection="1"/>
    <xf numFmtId="0" fontId="65" fillId="0" borderId="24" xfId="0" applyFont="1" applyBorder="1" applyProtection="1"/>
    <xf numFmtId="0" fontId="65" fillId="0" borderId="25" xfId="0" applyFont="1" applyBorder="1" applyProtection="1"/>
    <xf numFmtId="0" fontId="72" fillId="0" borderId="0" xfId="103" applyFont="1" applyAlignment="1" applyProtection="1">
      <alignment horizontal="right" vertical="center"/>
    </xf>
    <xf numFmtId="0" fontId="81" fillId="0" borderId="0" xfId="103" applyFont="1" applyAlignment="1" applyProtection="1">
      <alignment horizontal="right" vertical="center"/>
    </xf>
    <xf numFmtId="0" fontId="64" fillId="0" borderId="13" xfId="103" applyFont="1" applyBorder="1" applyAlignment="1" applyProtection="1">
      <alignment horizontal="right" vertical="center"/>
    </xf>
    <xf numFmtId="0" fontId="65" fillId="0" borderId="0" xfId="0" applyFont="1" applyBorder="1" applyAlignment="1" applyProtection="1">
      <alignment horizontal="center" vertical="center"/>
    </xf>
    <xf numFmtId="0" fontId="65" fillId="0" borderId="0" xfId="0" applyFont="1" applyBorder="1" applyProtection="1"/>
    <xf numFmtId="0" fontId="65" fillId="0" borderId="0" xfId="0" applyFont="1" applyProtection="1"/>
    <xf numFmtId="0" fontId="67" fillId="0" borderId="0" xfId="82" applyFont="1" applyAlignment="1" applyProtection="1">
      <alignment vertical="center"/>
    </xf>
    <xf numFmtId="0" fontId="68" fillId="0" borderId="0" xfId="80" applyFont="1" applyAlignment="1" applyProtection="1">
      <alignment horizontal="right" vertical="center"/>
    </xf>
    <xf numFmtId="0" fontId="68" fillId="0" borderId="0" xfId="80" applyFont="1" applyAlignment="1" applyProtection="1">
      <alignment horizontal="left" vertical="center"/>
    </xf>
    <xf numFmtId="0" fontId="65" fillId="27" borderId="0" xfId="0" applyFont="1" applyFill="1" applyProtection="1"/>
    <xf numFmtId="0" fontId="65" fillId="0" borderId="13" xfId="0" applyFont="1" applyBorder="1" applyProtection="1"/>
    <xf numFmtId="0" fontId="65" fillId="0" borderId="27" xfId="0" applyFont="1" applyBorder="1" applyProtection="1"/>
    <xf numFmtId="0" fontId="65" fillId="0" borderId="28" xfId="0" applyFont="1" applyBorder="1" applyProtection="1"/>
    <xf numFmtId="0" fontId="69" fillId="0" borderId="28" xfId="0" applyFont="1" applyBorder="1" applyProtection="1"/>
    <xf numFmtId="0" fontId="65" fillId="27" borderId="28" xfId="0" applyFont="1" applyFill="1" applyBorder="1" applyProtection="1"/>
    <xf numFmtId="0" fontId="65" fillId="0" borderId="29" xfId="0" applyFont="1" applyBorder="1" applyProtection="1"/>
    <xf numFmtId="0" fontId="65" fillId="27" borderId="0" xfId="0" applyFont="1" applyFill="1" applyBorder="1" applyProtection="1"/>
    <xf numFmtId="0" fontId="65" fillId="0" borderId="14" xfId="0" applyFont="1" applyBorder="1" applyProtection="1"/>
    <xf numFmtId="0" fontId="65" fillId="0" borderId="30" xfId="0" applyFont="1" applyBorder="1" applyProtection="1"/>
    <xf numFmtId="0" fontId="87" fillId="0" borderId="0" xfId="0" applyFont="1" applyBorder="1" applyProtection="1"/>
    <xf numFmtId="2" fontId="65" fillId="0" borderId="0" xfId="0" applyNumberFormat="1" applyFont="1" applyBorder="1" applyProtection="1"/>
    <xf numFmtId="0" fontId="65" fillId="27" borderId="0" xfId="0" applyFont="1" applyFill="1" applyBorder="1" applyAlignment="1" applyProtection="1">
      <alignment horizontal="left"/>
    </xf>
    <xf numFmtId="171" fontId="65" fillId="0" borderId="0" xfId="0" applyNumberFormat="1" applyFont="1" applyBorder="1" applyProtection="1"/>
    <xf numFmtId="0" fontId="74" fillId="0" borderId="0" xfId="0" applyFont="1" applyProtection="1"/>
    <xf numFmtId="0" fontId="65" fillId="0" borderId="31" xfId="0" applyFont="1" applyBorder="1" applyProtection="1"/>
    <xf numFmtId="0" fontId="88" fillId="0" borderId="13" xfId="0" applyFont="1" applyFill="1" applyBorder="1" applyProtection="1"/>
    <xf numFmtId="0" fontId="65" fillId="0" borderId="15" xfId="0" applyFont="1" applyBorder="1" applyProtection="1"/>
    <xf numFmtId="0" fontId="87" fillId="0" borderId="0" xfId="0" quotePrefix="1" applyFont="1" applyFill="1" applyBorder="1" applyProtection="1"/>
    <xf numFmtId="0" fontId="69" fillId="27" borderId="0" xfId="0" applyFont="1" applyFill="1" applyBorder="1" applyAlignment="1" applyProtection="1">
      <alignment horizontal="left"/>
    </xf>
    <xf numFmtId="0" fontId="87" fillId="0" borderId="0" xfId="0" applyFont="1" applyBorder="1" applyAlignment="1" applyProtection="1">
      <alignment horizontal="left" indent="1"/>
    </xf>
    <xf numFmtId="0" fontId="65" fillId="27" borderId="0" xfId="0" applyFont="1" applyFill="1" applyAlignment="1" applyProtection="1"/>
    <xf numFmtId="2" fontId="65" fillId="27" borderId="33" xfId="0" applyNumberFormat="1" applyFont="1" applyFill="1" applyBorder="1" applyProtection="1"/>
    <xf numFmtId="2" fontId="65" fillId="27" borderId="0" xfId="0" applyNumberFormat="1" applyFont="1" applyFill="1" applyBorder="1" applyProtection="1"/>
    <xf numFmtId="0" fontId="74" fillId="0" borderId="0" xfId="0" applyFont="1" applyBorder="1" applyProtection="1"/>
    <xf numFmtId="0" fontId="65" fillId="0" borderId="0" xfId="0" applyFont="1" applyFill="1" applyBorder="1" applyProtection="1"/>
    <xf numFmtId="0" fontId="69" fillId="0" borderId="0" xfId="0" applyFont="1" applyProtection="1"/>
    <xf numFmtId="172" fontId="90" fillId="0" borderId="0" xfId="0" applyNumberFormat="1" applyFont="1" applyBorder="1" applyProtection="1"/>
    <xf numFmtId="0" fontId="69" fillId="0" borderId="0" xfId="0" applyFont="1" applyBorder="1" applyProtection="1"/>
    <xf numFmtId="0" fontId="65" fillId="27" borderId="14" xfId="0" applyFont="1" applyFill="1" applyBorder="1" applyProtection="1"/>
    <xf numFmtId="0" fontId="69" fillId="27" borderId="0" xfId="0" applyFont="1" applyFill="1" applyBorder="1" applyAlignment="1" applyProtection="1">
      <alignment horizontal="left" indent="1"/>
    </xf>
    <xf numFmtId="0" fontId="69" fillId="27" borderId="0" xfId="0" applyFont="1" applyFill="1" applyBorder="1" applyProtection="1"/>
    <xf numFmtId="0" fontId="65" fillId="0" borderId="0" xfId="0" applyFont="1" applyBorder="1" applyAlignment="1" applyProtection="1">
      <alignment horizontal="right"/>
    </xf>
    <xf numFmtId="0" fontId="65" fillId="0" borderId="14" xfId="0" applyFont="1" applyFill="1" applyBorder="1" applyProtection="1"/>
    <xf numFmtId="172" fontId="65" fillId="27" borderId="24" xfId="0" applyNumberFormat="1" applyFont="1" applyFill="1" applyBorder="1" applyProtection="1"/>
    <xf numFmtId="172" fontId="65" fillId="27" borderId="25" xfId="0" applyNumberFormat="1" applyFont="1" applyFill="1" applyBorder="1" applyProtection="1"/>
    <xf numFmtId="172" fontId="65" fillId="27" borderId="26" xfId="0" applyNumberFormat="1" applyFont="1" applyFill="1" applyBorder="1" applyProtection="1"/>
    <xf numFmtId="172" fontId="69" fillId="27" borderId="0" xfId="0" applyNumberFormat="1" applyFont="1" applyFill="1" applyBorder="1" applyProtection="1"/>
    <xf numFmtId="0" fontId="65" fillId="27" borderId="0" xfId="0" applyFont="1" applyFill="1" applyBorder="1" applyAlignment="1" applyProtection="1">
      <alignment horizontal="left" indent="3"/>
    </xf>
    <xf numFmtId="0" fontId="65" fillId="27" borderId="0" xfId="0" applyFont="1" applyFill="1" applyAlignment="1" applyProtection="1">
      <alignment horizontal="left" indent="2"/>
    </xf>
    <xf numFmtId="0" fontId="65" fillId="0" borderId="0" xfId="0" applyFont="1" applyFill="1" applyBorder="1" applyAlignment="1" applyProtection="1">
      <alignment horizontal="left" indent="2"/>
    </xf>
    <xf numFmtId="172" fontId="65" fillId="27" borderId="0" xfId="0" applyNumberFormat="1" applyFont="1" applyFill="1" applyBorder="1" applyProtection="1"/>
    <xf numFmtId="0" fontId="78" fillId="27" borderId="0" xfId="0" applyFont="1" applyFill="1" applyBorder="1" applyProtection="1"/>
    <xf numFmtId="0" fontId="65" fillId="27" borderId="0" xfId="0" applyFont="1" applyFill="1" applyBorder="1" applyAlignment="1" applyProtection="1"/>
    <xf numFmtId="0" fontId="91" fillId="0" borderId="13" xfId="0" applyFont="1" applyBorder="1" applyProtection="1"/>
    <xf numFmtId="173" fontId="91" fillId="0" borderId="13" xfId="102" applyNumberFormat="1" applyFont="1" applyBorder="1" applyProtection="1"/>
    <xf numFmtId="0" fontId="78" fillId="27" borderId="0" xfId="0" applyFont="1" applyFill="1" applyProtection="1"/>
    <xf numFmtId="0" fontId="63" fillId="24" borderId="0" xfId="0" applyFont="1" applyFill="1" applyProtection="1"/>
    <xf numFmtId="172" fontId="65" fillId="0" borderId="0" xfId="0" applyNumberFormat="1" applyFont="1" applyProtection="1"/>
    <xf numFmtId="0" fontId="65" fillId="0" borderId="0" xfId="0" applyFont="1" applyFill="1" applyProtection="1"/>
    <xf numFmtId="0" fontId="69" fillId="24" borderId="0" xfId="0" applyFont="1" applyFill="1" applyProtection="1"/>
    <xf numFmtId="0" fontId="69" fillId="27" borderId="0" xfId="0" applyFont="1" applyFill="1" applyProtection="1"/>
    <xf numFmtId="0" fontId="65" fillId="27" borderId="0" xfId="0" applyFont="1" applyFill="1" applyBorder="1" applyAlignment="1" applyProtection="1">
      <alignment horizontal="left" indent="1"/>
    </xf>
    <xf numFmtId="171" fontId="65" fillId="0" borderId="0" xfId="0" applyNumberFormat="1" applyFont="1" applyProtection="1"/>
    <xf numFmtId="0" fontId="56" fillId="30" borderId="8" xfId="0" applyFont="1" applyFill="1" applyBorder="1" applyAlignment="1" applyProtection="1">
      <alignment horizontal="left"/>
    </xf>
    <xf numFmtId="0" fontId="56" fillId="30" borderId="8" xfId="0" applyFont="1" applyFill="1" applyBorder="1" applyAlignment="1" applyProtection="1">
      <alignment horizontal="right"/>
    </xf>
    <xf numFmtId="0" fontId="50" fillId="32" borderId="8" xfId="0" applyFont="1" applyFill="1" applyBorder="1" applyAlignment="1" applyProtection="1">
      <alignment horizontal="center" vertical="center"/>
    </xf>
    <xf numFmtId="0" fontId="91" fillId="0" borderId="0" xfId="0" applyFont="1" applyProtection="1"/>
    <xf numFmtId="0" fontId="103" fillId="0" borderId="0" xfId="0" applyFont="1" applyAlignment="1" applyProtection="1">
      <alignment horizontal="right" indent="1"/>
    </xf>
    <xf numFmtId="0" fontId="91" fillId="0" borderId="0" xfId="0" applyFont="1" applyAlignment="1" applyProtection="1">
      <alignment horizontal="right" indent="1"/>
    </xf>
    <xf numFmtId="0" fontId="91" fillId="27" borderId="0" xfId="0" applyFont="1" applyFill="1" applyAlignment="1" applyProtection="1">
      <alignment horizontal="right" indent="1"/>
    </xf>
    <xf numFmtId="0" fontId="103" fillId="27" borderId="0" xfId="0" applyFont="1" applyFill="1" applyAlignment="1" applyProtection="1">
      <alignment horizontal="right" indent="1"/>
    </xf>
    <xf numFmtId="0" fontId="91" fillId="0" borderId="28" xfId="0" applyFont="1" applyBorder="1" applyProtection="1"/>
    <xf numFmtId="0" fontId="91" fillId="27" borderId="0" xfId="0" applyFont="1" applyFill="1" applyProtection="1"/>
    <xf numFmtId="0" fontId="91" fillId="0" borderId="0" xfId="0" applyFont="1" applyFill="1" applyProtection="1"/>
    <xf numFmtId="0" fontId="103" fillId="29" borderId="0" xfId="0" applyNumberFormat="1" applyFont="1" applyFill="1" applyBorder="1" applyAlignment="1" applyProtection="1">
      <alignment horizontal="right"/>
    </xf>
    <xf numFmtId="0" fontId="106" fillId="0" borderId="0" xfId="0" applyFont="1" applyBorder="1" applyProtection="1"/>
    <xf numFmtId="0" fontId="69" fillId="29" borderId="65" xfId="0" applyFont="1" applyFill="1" applyBorder="1" applyAlignment="1" applyProtection="1">
      <alignment horizontal="right"/>
    </xf>
    <xf numFmtId="0" fontId="69" fillId="29" borderId="66" xfId="0" applyFont="1" applyFill="1" applyBorder="1" applyAlignment="1" applyProtection="1">
      <alignment horizontal="right"/>
    </xf>
    <xf numFmtId="0" fontId="69" fillId="29" borderId="66" xfId="0" applyFont="1" applyFill="1" applyBorder="1" applyProtection="1"/>
    <xf numFmtId="0" fontId="69" fillId="29" borderId="67" xfId="0" applyFont="1" applyFill="1" applyBorder="1" applyProtection="1"/>
    <xf numFmtId="2" fontId="78" fillId="29" borderId="98" xfId="0" applyNumberFormat="1" applyFont="1" applyFill="1" applyBorder="1" applyAlignment="1" applyProtection="1">
      <alignment horizontal="right" indent="1"/>
    </xf>
    <xf numFmtId="0" fontId="65" fillId="29" borderId="99" xfId="0" applyFont="1" applyFill="1" applyBorder="1" applyProtection="1"/>
    <xf numFmtId="0" fontId="65" fillId="29" borderId="68" xfId="0" applyFont="1" applyFill="1" applyBorder="1" applyProtection="1"/>
    <xf numFmtId="0" fontId="65" fillId="29" borderId="69" xfId="0" applyFont="1" applyFill="1" applyBorder="1" applyAlignment="1" applyProtection="1">
      <alignment horizontal="right"/>
    </xf>
    <xf numFmtId="0" fontId="65" fillId="29" borderId="69" xfId="0" applyFont="1" applyFill="1" applyBorder="1" applyProtection="1"/>
    <xf numFmtId="0" fontId="65" fillId="29" borderId="70" xfId="0" applyFont="1" applyFill="1" applyBorder="1" applyProtection="1"/>
    <xf numFmtId="0" fontId="65" fillId="27" borderId="30" xfId="0" applyFont="1" applyFill="1" applyBorder="1" applyProtection="1"/>
    <xf numFmtId="0" fontId="69" fillId="0" borderId="25" xfId="0" applyFont="1" applyBorder="1" applyAlignment="1" applyProtection="1">
      <alignment horizontal="center"/>
    </xf>
    <xf numFmtId="0" fontId="107" fillId="27" borderId="0" xfId="0" applyFont="1" applyFill="1" applyBorder="1" applyProtection="1"/>
    <xf numFmtId="0" fontId="63" fillId="0" borderId="0" xfId="0" applyFont="1" applyProtection="1"/>
    <xf numFmtId="0" fontId="82" fillId="0" borderId="0" xfId="122" applyFont="1" applyProtection="1">
      <alignment horizontal="left" vertical="center"/>
    </xf>
    <xf numFmtId="177" fontId="65" fillId="0" borderId="0" xfId="0" applyNumberFormat="1" applyFont="1" applyProtection="1"/>
    <xf numFmtId="0" fontId="57" fillId="0" borderId="0" xfId="93" applyFont="1" applyAlignment="1" applyProtection="1">
      <alignment horizontal="left" vertical="center"/>
    </xf>
    <xf numFmtId="0" fontId="65" fillId="25" borderId="0" xfId="0" applyFont="1" applyFill="1" applyProtection="1"/>
    <xf numFmtId="177" fontId="65" fillId="25" borderId="0" xfId="0" applyNumberFormat="1" applyFont="1" applyFill="1" applyProtection="1"/>
    <xf numFmtId="175" fontId="65" fillId="24" borderId="0" xfId="0" applyNumberFormat="1" applyFont="1" applyFill="1" applyAlignment="1" applyProtection="1">
      <alignment vertical="center"/>
    </xf>
    <xf numFmtId="0" fontId="67" fillId="0" borderId="0" xfId="82" applyFont="1" applyProtection="1">
      <alignment horizontal="left" vertical="center"/>
    </xf>
    <xf numFmtId="0" fontId="68" fillId="0" borderId="0" xfId="80" applyFont="1" applyProtection="1">
      <alignment horizontal="center" vertical="center"/>
    </xf>
    <xf numFmtId="0" fontId="70" fillId="0" borderId="0" xfId="103" applyFont="1" applyAlignment="1" applyProtection="1">
      <alignment horizontal="left" vertical="center"/>
    </xf>
    <xf numFmtId="0" fontId="71" fillId="0" borderId="0" xfId="0" applyFont="1" applyProtection="1"/>
    <xf numFmtId="0" fontId="70" fillId="0" borderId="13" xfId="103" applyFont="1" applyBorder="1" applyAlignment="1" applyProtection="1">
      <alignment horizontal="left" vertical="center"/>
    </xf>
    <xf numFmtId="0" fontId="71" fillId="0" borderId="13" xfId="0" applyFont="1" applyBorder="1" applyProtection="1"/>
    <xf numFmtId="0" fontId="65" fillId="0" borderId="16" xfId="0" applyFont="1" applyBorder="1" applyProtection="1"/>
    <xf numFmtId="0" fontId="65" fillId="0" borderId="17" xfId="0" applyFont="1" applyBorder="1" applyProtection="1"/>
    <xf numFmtId="0" fontId="65" fillId="0" borderId="18" xfId="0" applyFont="1" applyBorder="1" applyProtection="1"/>
    <xf numFmtId="0" fontId="65" fillId="0" borderId="19" xfId="0" applyFont="1" applyBorder="1" applyProtection="1"/>
    <xf numFmtId="0" fontId="64" fillId="0" borderId="0" xfId="72" applyFont="1" applyFill="1" applyBorder="1" applyProtection="1">
      <alignment vertical="center"/>
    </xf>
    <xf numFmtId="0" fontId="65" fillId="0" borderId="20" xfId="0" applyFont="1" applyBorder="1" applyProtection="1"/>
    <xf numFmtId="10" fontId="65" fillId="32" borderId="0" xfId="111" applyNumberFormat="1" applyFont="1" applyFill="1" applyBorder="1" applyProtection="1">
      <alignment horizontal="right" vertical="center"/>
    </xf>
    <xf numFmtId="10" fontId="65" fillId="0" borderId="0" xfId="112" applyNumberFormat="1" applyFont="1" applyFill="1" applyBorder="1" applyProtection="1">
      <alignment horizontal="right" vertical="center"/>
    </xf>
    <xf numFmtId="165" fontId="65" fillId="0" borderId="0" xfId="111" applyFont="1" applyBorder="1" applyProtection="1">
      <alignment horizontal="right" vertical="center"/>
    </xf>
    <xf numFmtId="0" fontId="65" fillId="0" borderId="21" xfId="0" applyFont="1" applyBorder="1" applyProtection="1"/>
    <xf numFmtId="0" fontId="65" fillId="0" borderId="22" xfId="0" applyFont="1" applyBorder="1" applyProtection="1"/>
    <xf numFmtId="165" fontId="65" fillId="0" borderId="22" xfId="111" applyFont="1" applyBorder="1" applyProtection="1">
      <alignment horizontal="right" vertical="center"/>
    </xf>
    <xf numFmtId="0" fontId="65" fillId="0" borderId="23" xfId="0" applyFont="1" applyBorder="1" applyProtection="1"/>
    <xf numFmtId="0" fontId="65" fillId="27" borderId="19" xfId="0" applyFont="1" applyFill="1" applyBorder="1" applyAlignment="1" applyProtection="1">
      <alignment vertical="center"/>
    </xf>
    <xf numFmtId="0" fontId="65" fillId="0" borderId="0" xfId="167" applyFont="1" applyFill="1" applyAlignment="1" applyProtection="1">
      <alignment vertical="center"/>
    </xf>
    <xf numFmtId="0" fontId="74" fillId="27" borderId="0" xfId="0" applyFont="1" applyFill="1" applyBorder="1" applyAlignment="1" applyProtection="1">
      <alignment vertical="center"/>
    </xf>
    <xf numFmtId="0" fontId="65" fillId="27" borderId="0" xfId="0" applyFont="1" applyFill="1" applyBorder="1" applyAlignment="1" applyProtection="1">
      <alignment vertical="center"/>
    </xf>
    <xf numFmtId="0" fontId="65" fillId="27" borderId="0" xfId="0" applyFont="1" applyFill="1" applyAlignment="1" applyProtection="1">
      <alignment vertical="center"/>
    </xf>
    <xf numFmtId="0" fontId="65" fillId="27" borderId="19" xfId="0" applyFont="1" applyFill="1" applyBorder="1" applyProtection="1"/>
    <xf numFmtId="0" fontId="65" fillId="0" borderId="0" xfId="167" applyFont="1" applyFill="1" applyProtection="1">
      <alignment vertical="center"/>
    </xf>
    <xf numFmtId="0" fontId="74" fillId="27" borderId="0" xfId="0" applyFont="1" applyFill="1" applyBorder="1" applyProtection="1"/>
    <xf numFmtId="187" fontId="65" fillId="0" borderId="0" xfId="166" applyNumberFormat="1" applyFont="1" applyFill="1" applyBorder="1" applyProtection="1">
      <alignment vertical="center"/>
    </xf>
    <xf numFmtId="0" fontId="65" fillId="27" borderId="20" xfId="0" applyFont="1" applyFill="1" applyBorder="1" applyProtection="1"/>
    <xf numFmtId="0" fontId="54" fillId="0" borderId="0" xfId="140" applyFont="1" applyProtection="1"/>
    <xf numFmtId="0" fontId="54" fillId="0" borderId="0" xfId="140" applyFont="1" applyBorder="1" applyProtection="1"/>
    <xf numFmtId="0" fontId="65" fillId="0" borderId="0" xfId="168" applyFont="1" applyFill="1" applyProtection="1">
      <alignment vertical="center"/>
    </xf>
    <xf numFmtId="0" fontId="65" fillId="27" borderId="21" xfId="0" applyFont="1" applyFill="1" applyBorder="1" applyProtection="1"/>
    <xf numFmtId="0" fontId="65" fillId="27" borderId="22" xfId="0" applyFont="1" applyFill="1" applyBorder="1" applyProtection="1"/>
    <xf numFmtId="0" fontId="74" fillId="27" borderId="22" xfId="0" applyFont="1" applyFill="1" applyBorder="1" applyProtection="1"/>
    <xf numFmtId="0" fontId="65" fillId="27" borderId="23" xfId="0" applyFont="1" applyFill="1" applyBorder="1" applyProtection="1"/>
    <xf numFmtId="0" fontId="74" fillId="27" borderId="0" xfId="0" applyFont="1" applyFill="1" applyProtection="1"/>
    <xf numFmtId="0" fontId="64" fillId="0" borderId="19" xfId="138" applyFont="1" applyFill="1" applyBorder="1" applyAlignment="1" applyProtection="1">
      <alignment horizontal="left" vertical="center" indent="1"/>
    </xf>
    <xf numFmtId="0" fontId="64" fillId="0" borderId="0" xfId="0" applyFont="1" applyBorder="1" applyAlignment="1" applyProtection="1">
      <alignment horizontal="right" wrapText="1"/>
    </xf>
    <xf numFmtId="0" fontId="55" fillId="35" borderId="16" xfId="139" applyFont="1" applyFill="1" applyBorder="1" applyAlignment="1" applyProtection="1">
      <alignment horizontal="left" indent="1"/>
    </xf>
    <xf numFmtId="0" fontId="55" fillId="35" borderId="17" xfId="139" applyFont="1" applyFill="1" applyBorder="1" applyAlignment="1" applyProtection="1">
      <alignment horizontal="left" indent="1"/>
    </xf>
    <xf numFmtId="0" fontId="55" fillId="35" borderId="0" xfId="139" applyFont="1" applyFill="1" applyBorder="1" applyAlignment="1" applyProtection="1">
      <alignment horizontal="left" indent="1"/>
    </xf>
    <xf numFmtId="0" fontId="65" fillId="24" borderId="0" xfId="0" applyFont="1" applyFill="1" applyBorder="1" applyProtection="1"/>
    <xf numFmtId="0" fontId="76" fillId="0" borderId="0" xfId="72" applyFont="1" applyFill="1" applyBorder="1" applyProtection="1">
      <alignment vertical="center"/>
    </xf>
    <xf numFmtId="0" fontId="65" fillId="0" borderId="0" xfId="0" applyFont="1" applyBorder="1" applyAlignment="1" applyProtection="1">
      <alignment horizontal="left"/>
    </xf>
    <xf numFmtId="0" fontId="79" fillId="29" borderId="0" xfId="0" applyFont="1" applyFill="1" applyBorder="1" applyAlignment="1" applyProtection="1">
      <alignment vertical="top"/>
    </xf>
    <xf numFmtId="165" fontId="65" fillId="31" borderId="25" xfId="111" applyFont="1" applyFill="1" applyBorder="1" applyProtection="1">
      <alignment horizontal="right" vertical="center"/>
      <protection locked="0"/>
    </xf>
    <xf numFmtId="0" fontId="77" fillId="0" borderId="0" xfId="54" applyFont="1" applyFill="1" applyBorder="1" applyProtection="1">
      <alignment horizontal="center" vertical="center"/>
      <protection locked="0"/>
    </xf>
    <xf numFmtId="0" fontId="65" fillId="0" borderId="0" xfId="0" applyFont="1" applyFill="1" applyBorder="1" applyProtection="1">
      <protection locked="0"/>
    </xf>
    <xf numFmtId="0" fontId="65" fillId="0" borderId="22" xfId="0" applyFont="1" applyBorder="1" applyProtection="1">
      <protection locked="0"/>
    </xf>
    <xf numFmtId="10" fontId="65" fillId="0" borderId="0" xfId="111" applyNumberFormat="1" applyFont="1" applyBorder="1" applyProtection="1">
      <alignment horizontal="right" vertical="center"/>
    </xf>
    <xf numFmtId="183" fontId="65" fillId="0" borderId="0" xfId="111" applyNumberFormat="1" applyFont="1" applyBorder="1" applyProtection="1">
      <alignment horizontal="right" vertical="center"/>
    </xf>
    <xf numFmtId="182" fontId="65" fillId="0" borderId="0" xfId="111" applyNumberFormat="1" applyFont="1" applyBorder="1" applyProtection="1">
      <alignment horizontal="right" vertical="center"/>
    </xf>
    <xf numFmtId="10" fontId="65" fillId="0" borderId="0" xfId="111" applyNumberFormat="1" applyFont="1" applyFill="1" applyBorder="1" applyProtection="1">
      <alignment horizontal="right" vertical="center"/>
    </xf>
    <xf numFmtId="174" fontId="65" fillId="0" borderId="0" xfId="111" applyNumberFormat="1" applyFont="1" applyFill="1" applyBorder="1" applyProtection="1">
      <alignment horizontal="right" vertical="center"/>
    </xf>
    <xf numFmtId="174" fontId="86" fillId="0" borderId="0" xfId="111" applyNumberFormat="1" applyFont="1" applyFill="1" applyBorder="1" applyAlignment="1" applyProtection="1">
      <alignment horizontal="left" vertical="center"/>
    </xf>
    <xf numFmtId="174" fontId="65" fillId="0" borderId="0" xfId="111" applyNumberFormat="1" applyFont="1" applyBorder="1" applyProtection="1">
      <alignment horizontal="right" vertical="center"/>
    </xf>
    <xf numFmtId="165" fontId="65" fillId="27" borderId="0" xfId="111" applyFont="1" applyFill="1" applyBorder="1" applyProtection="1">
      <alignment horizontal="right" vertical="center"/>
    </xf>
    <xf numFmtId="0" fontId="65" fillId="0" borderId="19" xfId="0" applyFont="1" applyFill="1" applyBorder="1" applyProtection="1"/>
    <xf numFmtId="165" fontId="65" fillId="0" borderId="0" xfId="111" applyFont="1" applyFill="1" applyBorder="1" applyProtection="1">
      <alignment horizontal="right" vertical="center"/>
    </xf>
    <xf numFmtId="0" fontId="65" fillId="0" borderId="20" xfId="0" applyFont="1" applyFill="1" applyBorder="1" applyProtection="1"/>
    <xf numFmtId="174" fontId="69" fillId="0" borderId="0" xfId="111" applyNumberFormat="1" applyFont="1" applyBorder="1" applyProtection="1">
      <alignment horizontal="right" vertical="center"/>
    </xf>
    <xf numFmtId="0" fontId="64" fillId="0" borderId="0" xfId="0" applyFont="1" applyBorder="1" applyProtection="1"/>
    <xf numFmtId="0" fontId="69" fillId="0" borderId="0" xfId="0" applyFont="1" applyFill="1" applyBorder="1" applyProtection="1"/>
    <xf numFmtId="165" fontId="69" fillId="0" borderId="0" xfId="111" applyFont="1" applyBorder="1" applyProtection="1">
      <alignment horizontal="right" vertical="center"/>
    </xf>
    <xf numFmtId="172" fontId="69" fillId="0" borderId="0" xfId="111" applyNumberFormat="1" applyFont="1" applyBorder="1" applyProtection="1">
      <alignment horizontal="right" vertical="center"/>
    </xf>
    <xf numFmtId="0" fontId="64" fillId="27" borderId="0" xfId="0" applyFont="1" applyFill="1" applyBorder="1" applyProtection="1"/>
    <xf numFmtId="0" fontId="65" fillId="27" borderId="17" xfId="0" applyFont="1" applyFill="1" applyBorder="1" applyProtection="1"/>
    <xf numFmtId="165" fontId="65" fillId="27" borderId="22" xfId="111" applyFont="1" applyFill="1" applyBorder="1" applyProtection="1">
      <alignment horizontal="right" vertical="center"/>
    </xf>
    <xf numFmtId="165" fontId="65" fillId="31" borderId="26" xfId="111" applyFont="1" applyFill="1" applyBorder="1" applyProtection="1">
      <alignment horizontal="right" vertical="center"/>
      <protection locked="0"/>
    </xf>
    <xf numFmtId="165" fontId="65" fillId="31" borderId="13" xfId="111" applyFont="1" applyFill="1" applyBorder="1" applyProtection="1">
      <alignment horizontal="right" vertical="center"/>
      <protection locked="0"/>
    </xf>
    <xf numFmtId="170" fontId="65" fillId="31" borderId="24" xfId="111" applyNumberFormat="1" applyFont="1" applyFill="1" applyBorder="1" applyProtection="1">
      <alignment horizontal="right" vertical="center"/>
      <protection locked="0"/>
    </xf>
    <xf numFmtId="170" fontId="65" fillId="31" borderId="25" xfId="111" applyNumberFormat="1" applyFont="1" applyFill="1" applyBorder="1" applyProtection="1">
      <alignment horizontal="right" vertical="center"/>
      <protection locked="0"/>
    </xf>
    <xf numFmtId="170" fontId="65" fillId="31" borderId="26" xfId="111" applyNumberFormat="1" applyFont="1" applyFill="1" applyBorder="1" applyProtection="1">
      <alignment horizontal="right" vertical="center"/>
      <protection locked="0"/>
    </xf>
    <xf numFmtId="174" fontId="65" fillId="31" borderId="31" xfId="111" applyNumberFormat="1" applyFont="1" applyFill="1" applyBorder="1" applyProtection="1">
      <alignment horizontal="right" vertical="center"/>
      <protection locked="0"/>
    </xf>
    <xf numFmtId="174" fontId="65" fillId="31" borderId="13" xfId="111" applyNumberFormat="1" applyFont="1" applyFill="1" applyBorder="1" applyProtection="1">
      <alignment horizontal="right" vertical="center"/>
      <protection locked="0"/>
    </xf>
    <xf numFmtId="174" fontId="65" fillId="31" borderId="15" xfId="111" applyNumberFormat="1" applyFont="1" applyFill="1" applyBorder="1" applyProtection="1">
      <alignment horizontal="right" vertical="center"/>
      <protection locked="0"/>
    </xf>
    <xf numFmtId="165" fontId="65" fillId="31" borderId="15" xfId="111" applyFont="1" applyFill="1" applyBorder="1" applyProtection="1">
      <alignment horizontal="right" vertical="center"/>
      <protection locked="0"/>
    </xf>
    <xf numFmtId="0" fontId="64" fillId="0" borderId="30" xfId="138" applyFont="1" applyFill="1" applyBorder="1" applyAlignment="1" applyProtection="1">
      <alignment horizontal="left" vertical="center" indent="1"/>
    </xf>
    <xf numFmtId="0" fontId="78" fillId="0" borderId="0" xfId="0" applyFont="1" applyProtection="1"/>
    <xf numFmtId="0" fontId="106" fillId="29" borderId="98" xfId="0" applyFont="1" applyFill="1" applyBorder="1" applyAlignment="1" applyProtection="1">
      <alignment horizontal="right" indent="1"/>
    </xf>
    <xf numFmtId="0" fontId="106" fillId="29" borderId="0" xfId="0" applyFont="1" applyFill="1" applyBorder="1" applyAlignment="1" applyProtection="1">
      <alignment horizontal="center"/>
    </xf>
    <xf numFmtId="0" fontId="69" fillId="29" borderId="99" xfId="0" applyFont="1" applyFill="1" applyBorder="1" applyProtection="1"/>
    <xf numFmtId="0" fontId="78" fillId="29" borderId="98" xfId="0" applyFont="1" applyFill="1" applyBorder="1" applyProtection="1"/>
    <xf numFmtId="0" fontId="78" fillId="29" borderId="0" xfId="0" applyFont="1" applyFill="1" applyBorder="1" applyAlignment="1" applyProtection="1">
      <alignment horizontal="center"/>
    </xf>
    <xf numFmtId="172" fontId="74" fillId="27" borderId="0" xfId="112" applyNumberFormat="1" applyFont="1" applyFill="1" applyBorder="1" applyAlignment="1" applyProtection="1">
      <alignment horizontal="left" vertical="center"/>
    </xf>
    <xf numFmtId="172" fontId="91" fillId="27" borderId="0" xfId="112" applyNumberFormat="1" applyFont="1" applyFill="1" applyBorder="1" applyProtection="1">
      <alignment horizontal="right" vertical="center"/>
    </xf>
    <xf numFmtId="181" fontId="91" fillId="27" borderId="0" xfId="112" applyNumberFormat="1" applyFont="1" applyFill="1" applyBorder="1" applyProtection="1">
      <alignment horizontal="right" vertical="center"/>
    </xf>
    <xf numFmtId="0" fontId="65" fillId="31" borderId="25" xfId="0" applyFont="1" applyFill="1" applyBorder="1" applyProtection="1">
      <protection locked="0"/>
    </xf>
    <xf numFmtId="0" fontId="65" fillId="31" borderId="26" xfId="0" applyFont="1" applyFill="1" applyBorder="1" applyProtection="1">
      <protection locked="0"/>
    </xf>
    <xf numFmtId="172" fontId="65" fillId="31" borderId="24" xfId="114" applyNumberFormat="1" applyFont="1" applyFill="1" applyBorder="1" applyAlignment="1" applyProtection="1">
      <alignment horizontal="left" vertical="center" indent="1"/>
      <protection locked="0"/>
    </xf>
    <xf numFmtId="0" fontId="65" fillId="31" borderId="25" xfId="38" applyFont="1" applyFill="1" applyBorder="1" applyProtection="1">
      <alignment vertical="center"/>
      <protection locked="0"/>
    </xf>
    <xf numFmtId="0" fontId="65" fillId="31" borderId="26" xfId="38" applyFont="1" applyFill="1" applyBorder="1" applyProtection="1">
      <alignment vertical="center"/>
      <protection locked="0"/>
    </xf>
    <xf numFmtId="0" fontId="87" fillId="0" borderId="0" xfId="0" applyFont="1" applyBorder="1" applyProtection="1">
      <protection locked="0"/>
    </xf>
    <xf numFmtId="0" fontId="65" fillId="0" borderId="0" xfId="0" applyFont="1" applyBorder="1" applyProtection="1">
      <protection locked="0"/>
    </xf>
    <xf numFmtId="172" fontId="65" fillId="31" borderId="34" xfId="114" applyNumberFormat="1" applyFont="1" applyFill="1" applyBorder="1" applyAlignment="1" applyProtection="1">
      <alignment vertical="center"/>
      <protection locked="0"/>
    </xf>
    <xf numFmtId="172" fontId="65" fillId="31" borderId="35" xfId="114" applyNumberFormat="1" applyFont="1" applyFill="1" applyBorder="1" applyAlignment="1" applyProtection="1">
      <alignment vertical="center"/>
      <protection locked="0"/>
    </xf>
    <xf numFmtId="0" fontId="65" fillId="31" borderId="8" xfId="37" applyFont="1" applyFill="1" applyBorder="1" applyAlignment="1" applyProtection="1">
      <alignment horizontal="left" vertical="center"/>
      <protection locked="0"/>
    </xf>
    <xf numFmtId="172" fontId="65" fillId="31" borderId="30" xfId="114" applyNumberFormat="1" applyFont="1" applyFill="1" applyBorder="1" applyAlignment="1" applyProtection="1">
      <alignment vertical="center"/>
      <protection locked="0"/>
    </xf>
    <xf numFmtId="172" fontId="65" fillId="31" borderId="0" xfId="114" applyNumberFormat="1" applyFont="1" applyFill="1" applyBorder="1" applyAlignment="1" applyProtection="1">
      <alignment vertical="center"/>
      <protection locked="0"/>
    </xf>
    <xf numFmtId="172" fontId="65" fillId="31" borderId="14" xfId="114" applyNumberFormat="1" applyFont="1" applyFill="1" applyBorder="1" applyAlignment="1" applyProtection="1">
      <alignment vertical="center"/>
      <protection locked="0"/>
    </xf>
    <xf numFmtId="0" fontId="65" fillId="24" borderId="0" xfId="0" applyFont="1" applyFill="1" applyProtection="1"/>
    <xf numFmtId="176" fontId="65" fillId="0" borderId="0" xfId="0" applyNumberFormat="1" applyFont="1" applyFill="1" applyBorder="1" applyProtection="1"/>
    <xf numFmtId="0" fontId="65" fillId="0" borderId="13" xfId="0" applyFont="1" applyFill="1" applyBorder="1" applyProtection="1"/>
    <xf numFmtId="0" fontId="70" fillId="0" borderId="13" xfId="103" applyFont="1" applyBorder="1" applyAlignment="1" applyProtection="1">
      <alignment horizontal="right" vertical="center"/>
    </xf>
    <xf numFmtId="0" fontId="65" fillId="27" borderId="16" xfId="0" applyFont="1" applyFill="1" applyBorder="1" applyProtection="1"/>
    <xf numFmtId="0" fontId="65" fillId="27" borderId="18" xfId="0" applyFont="1" applyFill="1" applyBorder="1" applyProtection="1"/>
    <xf numFmtId="0" fontId="64" fillId="27" borderId="0" xfId="72" applyFont="1" applyFill="1" applyBorder="1" applyProtection="1">
      <alignment vertical="center"/>
    </xf>
    <xf numFmtId="0" fontId="76" fillId="27" borderId="0" xfId="72" applyFont="1" applyFill="1" applyBorder="1" applyProtection="1">
      <alignment vertical="center"/>
    </xf>
    <xf numFmtId="0" fontId="65" fillId="27" borderId="0" xfId="141" applyFont="1" applyFill="1" applyBorder="1" applyAlignment="1" applyProtection="1">
      <alignment horizontal="left" vertical="center" indent="1"/>
    </xf>
    <xf numFmtId="0" fontId="65" fillId="27" borderId="0" xfId="142" applyFont="1" applyFill="1" applyBorder="1" applyAlignment="1" applyProtection="1"/>
    <xf numFmtId="172" fontId="65" fillId="27" borderId="0" xfId="111" applyNumberFormat="1" applyFont="1" applyFill="1" applyBorder="1" applyProtection="1">
      <alignment horizontal="right" vertical="center"/>
    </xf>
    <xf numFmtId="172" fontId="65" fillId="27" borderId="32" xfId="111" applyNumberFormat="1" applyFont="1" applyFill="1" applyBorder="1" applyProtection="1">
      <alignment horizontal="right" vertical="center"/>
    </xf>
    <xf numFmtId="172" fontId="69" fillId="27" borderId="32" xfId="111" applyNumberFormat="1" applyFont="1" applyFill="1" applyBorder="1" applyProtection="1">
      <alignment horizontal="right" vertical="center"/>
    </xf>
    <xf numFmtId="0" fontId="87" fillId="27" borderId="0" xfId="142" applyFont="1" applyFill="1" applyBorder="1" applyProtection="1"/>
    <xf numFmtId="172" fontId="65" fillId="27" borderId="0" xfId="112" applyNumberFormat="1" applyFont="1" applyFill="1" applyBorder="1" applyProtection="1">
      <alignment horizontal="right" vertical="center"/>
    </xf>
    <xf numFmtId="0" fontId="65" fillId="27" borderId="0" xfId="142" applyFont="1" applyFill="1" applyBorder="1" applyProtection="1"/>
    <xf numFmtId="0" fontId="69" fillId="27" borderId="0" xfId="142" applyFont="1" applyFill="1" applyBorder="1" applyProtection="1"/>
    <xf numFmtId="172" fontId="92" fillId="27" borderId="0" xfId="112" applyNumberFormat="1" applyFont="1" applyFill="1" applyBorder="1" applyProtection="1">
      <alignment horizontal="right" vertical="center"/>
    </xf>
    <xf numFmtId="172" fontId="80" fillId="27" borderId="0" xfId="112" applyNumberFormat="1" applyFont="1" applyFill="1" applyBorder="1" applyProtection="1">
      <alignment horizontal="right" vertical="center"/>
    </xf>
    <xf numFmtId="0" fontId="87" fillId="27" borderId="0" xfId="0" applyFont="1" applyFill="1" applyBorder="1" applyProtection="1"/>
    <xf numFmtId="0" fontId="87" fillId="0" borderId="0" xfId="0" applyFont="1" applyProtection="1"/>
    <xf numFmtId="0" fontId="87" fillId="27" borderId="19" xfId="0" applyFont="1" applyFill="1" applyBorder="1" applyProtection="1"/>
    <xf numFmtId="172" fontId="87" fillId="27" borderId="0" xfId="112" applyNumberFormat="1" applyFont="1" applyFill="1" applyBorder="1" applyProtection="1">
      <alignment horizontal="right" vertical="center"/>
    </xf>
    <xf numFmtId="181" fontId="93" fillId="27" borderId="0" xfId="112" applyNumberFormat="1" applyFont="1" applyFill="1" applyBorder="1" applyProtection="1">
      <alignment horizontal="right" vertical="center"/>
    </xf>
    <xf numFmtId="181" fontId="80" fillId="27" borderId="0" xfId="112" applyNumberFormat="1" applyFont="1" applyFill="1" applyBorder="1" applyProtection="1">
      <alignment horizontal="right" vertical="center"/>
    </xf>
    <xf numFmtId="0" fontId="87" fillId="27" borderId="20" xfId="0" applyFont="1" applyFill="1" applyBorder="1" applyProtection="1"/>
    <xf numFmtId="0" fontId="86" fillId="27" borderId="22" xfId="0" applyFont="1" applyFill="1" applyBorder="1" applyProtection="1"/>
    <xf numFmtId="0" fontId="94" fillId="27" borderId="22" xfId="0" applyFont="1" applyFill="1" applyBorder="1" applyProtection="1"/>
    <xf numFmtId="172" fontId="65" fillId="27" borderId="22" xfId="111" applyNumberFormat="1" applyFont="1" applyFill="1" applyBorder="1" applyProtection="1">
      <alignment horizontal="right" vertical="center"/>
    </xf>
    <xf numFmtId="172" fontId="65" fillId="0" borderId="0" xfId="111" applyNumberFormat="1" applyFont="1" applyProtection="1">
      <alignment horizontal="right" vertical="center"/>
    </xf>
    <xf numFmtId="172" fontId="65" fillId="25" borderId="0" xfId="111" applyNumberFormat="1" applyFont="1" applyFill="1" applyProtection="1">
      <alignment horizontal="right" vertical="center"/>
    </xf>
    <xf numFmtId="0" fontId="64" fillId="0" borderId="0" xfId="72" applyFont="1" applyProtection="1">
      <alignment vertical="center"/>
    </xf>
    <xf numFmtId="172" fontId="65" fillId="0" borderId="0" xfId="111" applyNumberFormat="1" applyFont="1" applyFill="1" applyBorder="1" applyProtection="1">
      <alignment horizontal="right" vertical="center"/>
    </xf>
    <xf numFmtId="172" fontId="65" fillId="0" borderId="0" xfId="111" applyNumberFormat="1" applyFont="1" applyFill="1" applyBorder="1" applyAlignment="1" applyProtection="1">
      <alignment horizontal="right" vertical="center"/>
    </xf>
    <xf numFmtId="10" fontId="65" fillId="0" borderId="0" xfId="101" applyNumberFormat="1" applyFont="1" applyProtection="1"/>
    <xf numFmtId="0" fontId="64" fillId="0" borderId="0" xfId="74" applyFont="1" applyFill="1" applyProtection="1">
      <alignment vertical="center"/>
    </xf>
    <xf numFmtId="172" fontId="65" fillId="24" borderId="0" xfId="111" applyNumberFormat="1" applyFont="1" applyFill="1" applyProtection="1">
      <alignment horizontal="right" vertical="center"/>
    </xf>
    <xf numFmtId="172" fontId="65" fillId="0" borderId="0" xfId="111" applyNumberFormat="1" applyFont="1" applyFill="1" applyProtection="1">
      <alignment horizontal="right" vertical="center"/>
    </xf>
    <xf numFmtId="0" fontId="65" fillId="0" borderId="0" xfId="78" applyFont="1" applyFill="1" applyProtection="1">
      <alignment vertical="center"/>
    </xf>
    <xf numFmtId="172" fontId="65" fillId="27" borderId="27" xfId="111" applyNumberFormat="1" applyFont="1" applyFill="1" applyBorder="1" applyProtection="1">
      <alignment horizontal="right" vertical="center"/>
    </xf>
    <xf numFmtId="172" fontId="65" fillId="27" borderId="28" xfId="111" applyNumberFormat="1" applyFont="1" applyFill="1" applyBorder="1" applyProtection="1">
      <alignment horizontal="right" vertical="center"/>
    </xf>
    <xf numFmtId="172" fontId="65" fillId="27" borderId="29" xfId="111" applyNumberFormat="1" applyFont="1" applyFill="1" applyBorder="1" applyProtection="1">
      <alignment horizontal="right" vertical="center"/>
    </xf>
    <xf numFmtId="172" fontId="65" fillId="27" borderId="30" xfId="111" applyNumberFormat="1" applyFont="1" applyFill="1" applyBorder="1" applyProtection="1">
      <alignment horizontal="right" vertical="center"/>
    </xf>
    <xf numFmtId="172" fontId="65" fillId="27" borderId="14" xfId="111" applyNumberFormat="1" applyFont="1" applyFill="1" applyBorder="1" applyProtection="1">
      <alignment horizontal="right" vertical="center"/>
    </xf>
    <xf numFmtId="172" fontId="65" fillId="27" borderId="31" xfId="111" applyNumberFormat="1" applyFont="1" applyFill="1" applyBorder="1" applyProtection="1">
      <alignment horizontal="right" vertical="center"/>
    </xf>
    <xf numFmtId="172" fontId="65" fillId="27" borderId="13" xfId="111" applyNumberFormat="1" applyFont="1" applyFill="1" applyBorder="1" applyProtection="1">
      <alignment horizontal="right" vertical="center"/>
    </xf>
    <xf numFmtId="172" fontId="65" fillId="27" borderId="15" xfId="111" applyNumberFormat="1" applyFont="1" applyFill="1" applyBorder="1" applyProtection="1">
      <alignment horizontal="right" vertical="center"/>
    </xf>
    <xf numFmtId="0" fontId="76" fillId="0" borderId="0" xfId="74" applyFont="1" applyFill="1" applyProtection="1">
      <alignment vertical="center"/>
    </xf>
    <xf numFmtId="0" fontId="64" fillId="27" borderId="0" xfId="74" applyFont="1" applyFill="1" applyProtection="1">
      <alignment vertical="center"/>
    </xf>
    <xf numFmtId="0" fontId="76" fillId="27" borderId="0" xfId="74" applyFont="1" applyFill="1" applyProtection="1">
      <alignment vertical="center"/>
    </xf>
    <xf numFmtId="172" fontId="65" fillId="24" borderId="0" xfId="111" applyNumberFormat="1" applyFont="1" applyFill="1" applyBorder="1" applyProtection="1">
      <alignment horizontal="right" vertical="center"/>
    </xf>
    <xf numFmtId="172" fontId="65" fillId="27" borderId="24" xfId="111" applyNumberFormat="1" applyFont="1" applyFill="1" applyBorder="1" applyProtection="1">
      <alignment horizontal="right" vertical="center"/>
    </xf>
    <xf numFmtId="172" fontId="65" fillId="27" borderId="25" xfId="111" applyNumberFormat="1" applyFont="1" applyFill="1" applyBorder="1" applyProtection="1">
      <alignment horizontal="right" vertical="center"/>
    </xf>
    <xf numFmtId="172" fontId="65" fillId="27" borderId="26" xfId="111" applyNumberFormat="1" applyFont="1" applyFill="1" applyBorder="1" applyProtection="1">
      <alignment horizontal="right" vertical="center"/>
    </xf>
    <xf numFmtId="0" fontId="95" fillId="0" borderId="0" xfId="78" applyFont="1" applyFill="1" applyProtection="1">
      <alignment vertical="center"/>
    </xf>
    <xf numFmtId="165" fontId="65" fillId="27" borderId="0" xfId="111" applyFont="1" applyFill="1" applyProtection="1">
      <alignment horizontal="right" vertical="center"/>
    </xf>
    <xf numFmtId="165" fontId="65" fillId="0" borderId="0" xfId="111" applyFont="1" applyProtection="1">
      <alignment horizontal="right" vertical="center"/>
    </xf>
    <xf numFmtId="0" fontId="65" fillId="27" borderId="29" xfId="0" applyFont="1" applyFill="1" applyBorder="1" applyProtection="1"/>
    <xf numFmtId="0" fontId="65" fillId="27" borderId="13" xfId="0" applyFont="1" applyFill="1" applyBorder="1" applyProtection="1"/>
    <xf numFmtId="0" fontId="65" fillId="27" borderId="15" xfId="0" applyFont="1" applyFill="1" applyBorder="1" applyProtection="1"/>
    <xf numFmtId="0" fontId="75" fillId="27" borderId="0" xfId="74" applyFont="1" applyFill="1" applyBorder="1" applyProtection="1">
      <alignment vertical="center"/>
    </xf>
    <xf numFmtId="172" fontId="69" fillId="27" borderId="0" xfId="112" applyNumberFormat="1" applyFont="1" applyFill="1" applyBorder="1" applyProtection="1">
      <alignment horizontal="right" vertical="center"/>
    </xf>
    <xf numFmtId="0" fontId="69" fillId="27" borderId="0" xfId="0" applyFont="1" applyFill="1" applyBorder="1" applyAlignment="1" applyProtection="1">
      <alignment horizontal="left" vertical="center"/>
    </xf>
    <xf numFmtId="0" fontId="69" fillId="27" borderId="0" xfId="0" applyFont="1" applyFill="1" applyBorder="1" applyAlignment="1" applyProtection="1">
      <alignment horizontal="center" vertical="center"/>
    </xf>
    <xf numFmtId="0" fontId="65" fillId="29" borderId="0" xfId="0" applyFont="1" applyFill="1" applyProtection="1"/>
    <xf numFmtId="0" fontId="65" fillId="29" borderId="0" xfId="0" applyFont="1" applyFill="1" applyBorder="1" applyProtection="1"/>
    <xf numFmtId="0" fontId="103" fillId="29" borderId="0" xfId="0" applyFont="1" applyFill="1" applyProtection="1"/>
    <xf numFmtId="0" fontId="91" fillId="29" borderId="0" xfId="0" applyFont="1" applyFill="1" applyProtection="1"/>
    <xf numFmtId="0" fontId="65" fillId="29" borderId="13" xfId="0" applyFont="1" applyFill="1" applyBorder="1" applyProtection="1"/>
    <xf numFmtId="0" fontId="65" fillId="27" borderId="0" xfId="0" applyFont="1" applyFill="1" applyBorder="1" applyAlignment="1" applyProtection="1">
      <alignment horizontal="center" vertical="center"/>
    </xf>
    <xf numFmtId="172" fontId="65" fillId="31" borderId="27" xfId="111" applyNumberFormat="1" applyFont="1" applyFill="1" applyBorder="1" applyProtection="1">
      <alignment horizontal="right" vertical="center"/>
      <protection locked="0"/>
    </xf>
    <xf numFmtId="172" fontId="65" fillId="31" borderId="28" xfId="111" applyNumberFormat="1" applyFont="1" applyFill="1" applyBorder="1" applyProtection="1">
      <alignment horizontal="right" vertical="center"/>
      <protection locked="0"/>
    </xf>
    <xf numFmtId="172" fontId="65" fillId="31" borderId="29" xfId="111" applyNumberFormat="1" applyFont="1" applyFill="1" applyBorder="1" applyProtection="1">
      <alignment horizontal="right" vertical="center"/>
      <protection locked="0"/>
    </xf>
    <xf numFmtId="172" fontId="65" fillId="31" borderId="30" xfId="111" applyNumberFormat="1" applyFont="1" applyFill="1" applyBorder="1" applyProtection="1">
      <alignment horizontal="right" vertical="center"/>
      <protection locked="0"/>
    </xf>
    <xf numFmtId="172" fontId="65" fillId="31" borderId="0" xfId="111" applyNumberFormat="1" applyFont="1" applyFill="1" applyBorder="1" applyProtection="1">
      <alignment horizontal="right" vertical="center"/>
      <protection locked="0"/>
    </xf>
    <xf numFmtId="172" fontId="65" fillId="31" borderId="14" xfId="111" applyNumberFormat="1" applyFont="1" applyFill="1" applyBorder="1" applyProtection="1">
      <alignment horizontal="right" vertical="center"/>
      <protection locked="0"/>
    </xf>
    <xf numFmtId="172" fontId="65" fillId="31" borderId="31" xfId="111" applyNumberFormat="1" applyFont="1" applyFill="1" applyBorder="1" applyProtection="1">
      <alignment horizontal="right" vertical="center"/>
      <protection locked="0"/>
    </xf>
    <xf numFmtId="172" fontId="65" fillId="31" borderId="13" xfId="111" applyNumberFormat="1" applyFont="1" applyFill="1" applyBorder="1" applyProtection="1">
      <alignment horizontal="right" vertical="center"/>
      <protection locked="0"/>
    </xf>
    <xf numFmtId="172" fontId="65" fillId="31" borderId="15" xfId="111" applyNumberFormat="1" applyFont="1" applyFill="1" applyBorder="1" applyProtection="1">
      <alignment horizontal="right" vertical="center"/>
      <protection locked="0"/>
    </xf>
    <xf numFmtId="172" fontId="65" fillId="31" borderId="24" xfId="111" applyNumberFormat="1" applyFont="1" applyFill="1" applyBorder="1" applyProtection="1">
      <alignment horizontal="right" vertical="center"/>
      <protection locked="0"/>
    </xf>
    <xf numFmtId="172" fontId="65" fillId="31" borderId="25" xfId="111" applyNumberFormat="1" applyFont="1" applyFill="1" applyBorder="1" applyProtection="1">
      <alignment horizontal="right" vertical="center"/>
      <protection locked="0"/>
    </xf>
    <xf numFmtId="172" fontId="65" fillId="31" borderId="26" xfId="111" applyNumberFormat="1" applyFont="1" applyFill="1" applyBorder="1" applyProtection="1">
      <alignment horizontal="right" vertical="center"/>
      <protection locked="0"/>
    </xf>
    <xf numFmtId="172" fontId="65" fillId="31" borderId="8" xfId="111" applyNumberFormat="1" applyFont="1" applyFill="1" applyBorder="1" applyProtection="1">
      <alignment horizontal="right" vertical="center"/>
      <protection locked="0"/>
    </xf>
    <xf numFmtId="0" fontId="65" fillId="27" borderId="28" xfId="0" applyFont="1" applyFill="1" applyBorder="1" applyProtection="1">
      <protection locked="0"/>
    </xf>
    <xf numFmtId="0" fontId="65" fillId="27" borderId="29" xfId="0" applyFont="1" applyFill="1" applyBorder="1" applyProtection="1">
      <protection locked="0"/>
    </xf>
    <xf numFmtId="0" fontId="65" fillId="0" borderId="27" xfId="0" applyFont="1" applyBorder="1" applyProtection="1">
      <protection locked="0"/>
    </xf>
    <xf numFmtId="0" fontId="65" fillId="0" borderId="28" xfId="0" applyFont="1" applyBorder="1" applyProtection="1">
      <protection locked="0"/>
    </xf>
    <xf numFmtId="2" fontId="65" fillId="31" borderId="27" xfId="0" applyNumberFormat="1" applyFont="1" applyFill="1" applyBorder="1" applyProtection="1">
      <protection locked="0"/>
    </xf>
    <xf numFmtId="2" fontId="65" fillId="31" borderId="28" xfId="0" applyNumberFormat="1" applyFont="1" applyFill="1" applyBorder="1" applyProtection="1">
      <protection locked="0"/>
    </xf>
    <xf numFmtId="2" fontId="65" fillId="31" borderId="29" xfId="0" applyNumberFormat="1" applyFont="1" applyFill="1" applyBorder="1" applyProtection="1">
      <protection locked="0"/>
    </xf>
    <xf numFmtId="0" fontId="65" fillId="27" borderId="0" xfId="0" applyFont="1" applyFill="1" applyBorder="1" applyProtection="1">
      <protection locked="0"/>
    </xf>
    <xf numFmtId="0" fontId="65" fillId="27" borderId="14" xfId="0" applyFont="1" applyFill="1" applyBorder="1" applyProtection="1">
      <protection locked="0"/>
    </xf>
    <xf numFmtId="0" fontId="65" fillId="0" borderId="30" xfId="0" applyFont="1" applyBorder="1" applyProtection="1">
      <protection locked="0"/>
    </xf>
    <xf numFmtId="2" fontId="65" fillId="31" borderId="30" xfId="0" applyNumberFormat="1" applyFont="1" applyFill="1" applyBorder="1" applyProtection="1">
      <protection locked="0"/>
    </xf>
    <xf numFmtId="2" fontId="65" fillId="31" borderId="0" xfId="0" applyNumberFormat="1" applyFont="1" applyFill="1" applyBorder="1" applyProtection="1">
      <protection locked="0"/>
    </xf>
    <xf numFmtId="2" fontId="65" fillId="31" borderId="14" xfId="0" applyNumberFormat="1" applyFont="1" applyFill="1" applyBorder="1" applyProtection="1">
      <protection locked="0"/>
    </xf>
    <xf numFmtId="0" fontId="65" fillId="27" borderId="13" xfId="0" applyFont="1" applyFill="1" applyBorder="1" applyProtection="1">
      <protection locked="0"/>
    </xf>
    <xf numFmtId="0" fontId="65" fillId="27" borderId="15" xfId="0" applyFont="1" applyFill="1" applyBorder="1" applyProtection="1">
      <protection locked="0"/>
    </xf>
    <xf numFmtId="0" fontId="65" fillId="0" borderId="31" xfId="0" applyFont="1" applyBorder="1" applyProtection="1">
      <protection locked="0"/>
    </xf>
    <xf numFmtId="0" fontId="65" fillId="0" borderId="13" xfId="0" applyFont="1" applyBorder="1" applyProtection="1">
      <protection locked="0"/>
    </xf>
    <xf numFmtId="2" fontId="65" fillId="31" borderId="31" xfId="0" applyNumberFormat="1" applyFont="1" applyFill="1" applyBorder="1" applyProtection="1">
      <protection locked="0"/>
    </xf>
    <xf numFmtId="2" fontId="65" fillId="31" borderId="13" xfId="0" applyNumberFormat="1" applyFont="1" applyFill="1" applyBorder="1" applyProtection="1">
      <protection locked="0"/>
    </xf>
    <xf numFmtId="2" fontId="65" fillId="31" borderId="15" xfId="0" applyNumberFormat="1" applyFont="1" applyFill="1" applyBorder="1" applyProtection="1">
      <protection locked="0"/>
    </xf>
    <xf numFmtId="0" fontId="65" fillId="31" borderId="8" xfId="0" applyFont="1" applyFill="1" applyBorder="1" applyAlignment="1" applyProtection="1">
      <alignment horizontal="left" vertical="center"/>
      <protection locked="0"/>
    </xf>
    <xf numFmtId="0" fontId="65" fillId="31" borderId="33" xfId="0" applyFont="1" applyFill="1" applyBorder="1" applyAlignment="1" applyProtection="1">
      <alignment horizontal="center" vertical="center"/>
      <protection locked="0"/>
    </xf>
    <xf numFmtId="0" fontId="65" fillId="29" borderId="27" xfId="0" applyFont="1" applyFill="1" applyBorder="1" applyProtection="1">
      <protection locked="0"/>
    </xf>
    <xf numFmtId="0" fontId="65" fillId="29" borderId="28" xfId="0" applyFont="1" applyFill="1" applyBorder="1" applyProtection="1">
      <protection locked="0"/>
    </xf>
    <xf numFmtId="0" fontId="65" fillId="29" borderId="30" xfId="0" applyFont="1" applyFill="1" applyBorder="1" applyProtection="1">
      <protection locked="0"/>
    </xf>
    <xf numFmtId="0" fontId="65" fillId="29" borderId="0" xfId="0" applyFont="1" applyFill="1" applyBorder="1" applyProtection="1">
      <protection locked="0"/>
    </xf>
    <xf numFmtId="0" fontId="65" fillId="31" borderId="8" xfId="0" applyFont="1" applyFill="1" applyBorder="1" applyAlignment="1" applyProtection="1">
      <alignment horizontal="center" vertical="center"/>
      <protection locked="0"/>
    </xf>
    <xf numFmtId="0" fontId="65" fillId="29" borderId="13" xfId="0" applyFont="1" applyFill="1" applyBorder="1" applyProtection="1">
      <protection locked="0"/>
    </xf>
    <xf numFmtId="0" fontId="65" fillId="0" borderId="0" xfId="143" applyFont="1" applyProtection="1"/>
    <xf numFmtId="0" fontId="58" fillId="0" borderId="0" xfId="82" applyFont="1" applyAlignment="1" applyProtection="1">
      <alignment vertical="center"/>
    </xf>
    <xf numFmtId="0" fontId="65" fillId="27" borderId="16" xfId="143" applyFont="1" applyFill="1" applyBorder="1" applyProtection="1"/>
    <xf numFmtId="0" fontId="65" fillId="27" borderId="17" xfId="143" applyFont="1" applyFill="1" applyBorder="1" applyProtection="1"/>
    <xf numFmtId="0" fontId="65" fillId="27" borderId="19" xfId="143" applyFont="1" applyFill="1" applyBorder="1" applyProtection="1"/>
    <xf numFmtId="0" fontId="65" fillId="27" borderId="25" xfId="0" applyFont="1" applyFill="1" applyBorder="1" applyProtection="1"/>
    <xf numFmtId="0" fontId="65" fillId="27" borderId="0" xfId="143" applyFont="1" applyFill="1" applyBorder="1" applyProtection="1"/>
    <xf numFmtId="0" fontId="69" fillId="27" borderId="28" xfId="0" applyFont="1" applyFill="1" applyBorder="1" applyAlignment="1" applyProtection="1">
      <alignment horizontal="center"/>
    </xf>
    <xf numFmtId="0" fontId="64" fillId="27" borderId="0" xfId="144" applyFont="1" applyFill="1" applyBorder="1" applyProtection="1"/>
    <xf numFmtId="0" fontId="65" fillId="27" borderId="0" xfId="144" applyFont="1" applyFill="1" applyBorder="1" applyAlignment="1" applyProtection="1">
      <alignment horizontal="left" indent="1"/>
    </xf>
    <xf numFmtId="2" fontId="65" fillId="27" borderId="0" xfId="143" applyNumberFormat="1" applyFont="1" applyFill="1" applyBorder="1" applyProtection="1"/>
    <xf numFmtId="0" fontId="69" fillId="27" borderId="0" xfId="144" applyFont="1" applyFill="1" applyBorder="1" applyProtection="1"/>
    <xf numFmtId="0" fontId="65" fillId="27" borderId="0" xfId="143" applyFont="1" applyFill="1" applyBorder="1" applyAlignment="1" applyProtection="1">
      <alignment horizontal="left" indent="1"/>
    </xf>
    <xf numFmtId="0" fontId="65" fillId="27" borderId="0" xfId="143" applyFont="1" applyFill="1" applyBorder="1" applyAlignment="1" applyProtection="1">
      <alignment horizontal="right"/>
    </xf>
    <xf numFmtId="173" fontId="65" fillId="27" borderId="0" xfId="101" applyNumberFormat="1" applyFont="1" applyFill="1" applyBorder="1" applyProtection="1"/>
    <xf numFmtId="0" fontId="65" fillId="27" borderId="21" xfId="143" applyFont="1" applyFill="1" applyBorder="1" applyProtection="1"/>
    <xf numFmtId="0" fontId="69" fillId="27" borderId="22" xfId="0" applyFont="1" applyFill="1" applyBorder="1" applyProtection="1"/>
    <xf numFmtId="0" fontId="65" fillId="27" borderId="22" xfId="143" applyFont="1" applyFill="1" applyBorder="1" applyProtection="1"/>
    <xf numFmtId="2" fontId="65" fillId="27" borderId="22" xfId="143" applyNumberFormat="1" applyFont="1" applyFill="1" applyBorder="1" applyProtection="1"/>
    <xf numFmtId="173" fontId="65" fillId="0" borderId="0" xfId="101" applyNumberFormat="1" applyFont="1" applyProtection="1"/>
    <xf numFmtId="0" fontId="69" fillId="0" borderId="0" xfId="143" applyFont="1" applyProtection="1"/>
    <xf numFmtId="0" fontId="55" fillId="0" borderId="0" xfId="143" applyFont="1" applyBorder="1" applyAlignment="1" applyProtection="1"/>
    <xf numFmtId="0" fontId="64" fillId="0" borderId="0" xfId="103" applyFont="1" applyBorder="1" applyAlignment="1" applyProtection="1">
      <alignment horizontal="right" vertical="top"/>
    </xf>
    <xf numFmtId="0" fontId="75" fillId="0" borderId="0" xfId="143" applyFont="1" applyProtection="1"/>
    <xf numFmtId="0" fontId="55" fillId="0" borderId="0" xfId="143" applyFont="1" applyBorder="1" applyAlignment="1" applyProtection="1">
      <alignment vertical="top"/>
    </xf>
    <xf numFmtId="0" fontId="55" fillId="0" borderId="54" xfId="143" applyFont="1" applyBorder="1" applyAlignment="1" applyProtection="1">
      <alignment vertical="top"/>
    </xf>
    <xf numFmtId="0" fontId="55" fillId="0" borderId="56" xfId="143" applyFont="1" applyBorder="1" applyAlignment="1" applyProtection="1">
      <alignment vertical="top"/>
    </xf>
    <xf numFmtId="0" fontId="55" fillId="0" borderId="51" xfId="143" applyFont="1" applyBorder="1" applyAlignment="1" applyProtection="1">
      <alignment horizontal="center" vertical="top" wrapText="1"/>
    </xf>
    <xf numFmtId="0" fontId="65" fillId="0" borderId="0" xfId="143" applyFont="1" applyAlignment="1" applyProtection="1">
      <alignment vertical="top"/>
    </xf>
    <xf numFmtId="0" fontId="55" fillId="0" borderId="55" xfId="143" applyFont="1" applyBorder="1" applyAlignment="1" applyProtection="1"/>
    <xf numFmtId="0" fontId="65" fillId="31" borderId="53" xfId="143" applyFont="1" applyFill="1" applyBorder="1" applyProtection="1">
      <protection locked="0"/>
    </xf>
    <xf numFmtId="0" fontId="65" fillId="31" borderId="44" xfId="143" applyFont="1" applyFill="1" applyBorder="1" applyProtection="1">
      <protection locked="0"/>
    </xf>
    <xf numFmtId="0" fontId="55" fillId="0" borderId="0" xfId="143" applyFont="1" applyBorder="1" applyAlignment="1" applyProtection="1">
      <protection locked="0"/>
    </xf>
    <xf numFmtId="0" fontId="65" fillId="0" borderId="0" xfId="143" applyFont="1" applyProtection="1">
      <protection locked="0"/>
    </xf>
    <xf numFmtId="2" fontId="65" fillId="24" borderId="0" xfId="0" applyNumberFormat="1" applyFont="1" applyFill="1" applyProtection="1"/>
    <xf numFmtId="176" fontId="65" fillId="24" borderId="0" xfId="0" applyNumberFormat="1" applyFont="1" applyFill="1" applyProtection="1"/>
    <xf numFmtId="0" fontId="74" fillId="27" borderId="0" xfId="0" applyFont="1" applyFill="1" applyAlignment="1" applyProtection="1">
      <alignment horizontal="left"/>
    </xf>
    <xf numFmtId="0" fontId="65" fillId="24" borderId="13" xfId="0" applyFont="1" applyFill="1" applyBorder="1" applyProtection="1"/>
    <xf numFmtId="172" fontId="65" fillId="0" borderId="0" xfId="0" applyNumberFormat="1" applyFont="1" applyBorder="1" applyProtection="1"/>
    <xf numFmtId="0" fontId="87" fillId="0" borderId="19" xfId="0" applyFont="1" applyBorder="1" applyProtection="1"/>
    <xf numFmtId="172" fontId="87" fillId="27" borderId="17" xfId="111" applyNumberFormat="1" applyFont="1" applyFill="1" applyBorder="1" applyProtection="1">
      <alignment horizontal="right" vertical="center"/>
    </xf>
    <xf numFmtId="172" fontId="87" fillId="27" borderId="0" xfId="111" applyNumberFormat="1" applyFont="1" applyFill="1" applyBorder="1" applyProtection="1">
      <alignment horizontal="right" vertical="center"/>
    </xf>
    <xf numFmtId="0" fontId="87" fillId="0" borderId="20" xfId="0" applyFont="1" applyBorder="1" applyProtection="1"/>
    <xf numFmtId="172" fontId="65" fillId="0" borderId="22" xfId="111" applyNumberFormat="1" applyFont="1" applyBorder="1" applyProtection="1">
      <alignment horizontal="right" vertical="center"/>
    </xf>
    <xf numFmtId="172" fontId="65" fillId="0" borderId="0" xfId="112" applyNumberFormat="1" applyFont="1" applyProtection="1">
      <alignment horizontal="right" vertical="center"/>
    </xf>
    <xf numFmtId="2" fontId="65" fillId="24" borderId="0" xfId="0" applyNumberFormat="1" applyFont="1" applyFill="1" applyBorder="1" applyProtection="1"/>
    <xf numFmtId="172" fontId="65" fillId="24" borderId="0" xfId="111" applyNumberFormat="1" applyFont="1" applyFill="1" applyBorder="1" applyAlignment="1" applyProtection="1">
      <alignment horizontal="right" vertical="center"/>
    </xf>
    <xf numFmtId="172" fontId="65" fillId="27" borderId="0" xfId="111" applyNumberFormat="1" applyFont="1" applyFill="1" applyProtection="1">
      <alignment horizontal="right" vertical="center"/>
    </xf>
    <xf numFmtId="0" fontId="65" fillId="27" borderId="33" xfId="0" applyFont="1" applyFill="1" applyBorder="1" applyProtection="1"/>
    <xf numFmtId="172" fontId="65" fillId="27" borderId="34" xfId="111" applyNumberFormat="1" applyFont="1" applyFill="1" applyBorder="1" applyProtection="1">
      <alignment horizontal="right" vertical="center"/>
    </xf>
    <xf numFmtId="172" fontId="65" fillId="27" borderId="35" xfId="111" applyNumberFormat="1" applyFont="1" applyFill="1" applyBorder="1" applyProtection="1">
      <alignment horizontal="right" vertical="center"/>
    </xf>
    <xf numFmtId="0" fontId="76" fillId="27" borderId="27" xfId="74" applyFont="1" applyFill="1" applyBorder="1" applyProtection="1">
      <alignment vertical="center"/>
    </xf>
    <xf numFmtId="0" fontId="64" fillId="27" borderId="0" xfId="74" applyFont="1" applyFill="1" applyBorder="1" applyProtection="1">
      <alignment vertical="center"/>
    </xf>
    <xf numFmtId="0" fontId="76" fillId="27" borderId="0" xfId="74" applyFont="1" applyFill="1" applyBorder="1" applyProtection="1">
      <alignment vertical="center"/>
    </xf>
    <xf numFmtId="0" fontId="95" fillId="27" borderId="0" xfId="78" applyFont="1" applyFill="1" applyBorder="1" applyProtection="1">
      <alignment vertical="center"/>
    </xf>
    <xf numFmtId="2" fontId="65" fillId="27" borderId="34" xfId="111" applyNumberFormat="1" applyFont="1" applyFill="1" applyBorder="1" applyProtection="1">
      <alignment horizontal="right" vertical="center"/>
    </xf>
    <xf numFmtId="0" fontId="65" fillId="27" borderId="31" xfId="0" applyFont="1" applyFill="1" applyBorder="1" applyProtection="1"/>
    <xf numFmtId="172" fontId="65" fillId="27" borderId="8" xfId="111" applyNumberFormat="1" applyFont="1" applyFill="1" applyBorder="1" applyProtection="1">
      <alignment horizontal="right" vertical="center"/>
    </xf>
    <xf numFmtId="172" fontId="65" fillId="27" borderId="33" xfId="111" applyNumberFormat="1" applyFont="1" applyFill="1" applyBorder="1" applyProtection="1">
      <alignment horizontal="right" vertical="center"/>
    </xf>
    <xf numFmtId="0" fontId="65" fillId="0" borderId="0" xfId="78" applyFont="1" applyFill="1" applyBorder="1" applyProtection="1">
      <alignment vertical="center"/>
    </xf>
    <xf numFmtId="172" fontId="65" fillId="31" borderId="33" xfId="111" applyNumberFormat="1" applyFont="1" applyFill="1" applyBorder="1" applyProtection="1">
      <alignment horizontal="right" vertical="center"/>
      <protection locked="0"/>
    </xf>
    <xf numFmtId="172" fontId="65" fillId="31" borderId="34" xfId="111" applyNumberFormat="1" applyFont="1" applyFill="1" applyBorder="1" applyProtection="1">
      <alignment horizontal="right" vertical="center"/>
      <protection locked="0"/>
    </xf>
    <xf numFmtId="172" fontId="65" fillId="31" borderId="35" xfId="111" applyNumberFormat="1" applyFont="1" applyFill="1" applyBorder="1" applyProtection="1">
      <alignment horizontal="right" vertical="center"/>
      <protection locked="0"/>
    </xf>
    <xf numFmtId="0" fontId="66" fillId="0" borderId="0" xfId="82" applyFont="1" applyProtection="1">
      <alignment horizontal="left" vertical="center"/>
    </xf>
    <xf numFmtId="165" fontId="65" fillId="0" borderId="13" xfId="111" applyFont="1" applyBorder="1" applyProtection="1">
      <alignment horizontal="right" vertical="center"/>
    </xf>
    <xf numFmtId="165" fontId="65" fillId="0" borderId="0" xfId="111" applyFont="1" applyFill="1" applyProtection="1">
      <alignment horizontal="right" vertical="center"/>
    </xf>
    <xf numFmtId="0" fontId="65" fillId="0" borderId="16" xfId="0" applyFont="1" applyFill="1" applyBorder="1" applyProtection="1"/>
    <xf numFmtId="0" fontId="65" fillId="0" borderId="17" xfId="0" applyFont="1" applyFill="1" applyBorder="1" applyProtection="1"/>
    <xf numFmtId="165" fontId="65" fillId="0" borderId="17" xfId="111" applyFont="1" applyFill="1" applyBorder="1" applyProtection="1">
      <alignment horizontal="right" vertical="center"/>
    </xf>
    <xf numFmtId="0" fontId="65" fillId="0" borderId="18" xfId="0" applyFont="1" applyFill="1" applyBorder="1" applyProtection="1"/>
    <xf numFmtId="0" fontId="65" fillId="0" borderId="19" xfId="37" applyFont="1" applyFill="1" applyBorder="1" applyProtection="1">
      <alignment vertical="center"/>
    </xf>
    <xf numFmtId="0" fontId="64" fillId="0" borderId="0" xfId="74" applyFont="1" applyFill="1" applyBorder="1" applyProtection="1">
      <alignment vertical="center"/>
    </xf>
    <xf numFmtId="0" fontId="69" fillId="0" borderId="19" xfId="78" applyFont="1" applyFill="1" applyBorder="1" applyProtection="1">
      <alignment vertical="center"/>
    </xf>
    <xf numFmtId="172" fontId="65" fillId="0" borderId="0" xfId="0" applyNumberFormat="1" applyFont="1" applyFill="1" applyBorder="1" applyProtection="1"/>
    <xf numFmtId="0" fontId="76" fillId="0" borderId="0" xfId="72" applyFont="1" applyProtection="1">
      <alignment vertical="center"/>
    </xf>
    <xf numFmtId="0" fontId="65" fillId="0" borderId="21" xfId="0" applyFont="1" applyFill="1" applyBorder="1" applyProtection="1"/>
    <xf numFmtId="0" fontId="65" fillId="0" borderId="22" xfId="0" applyFont="1" applyFill="1" applyBorder="1" applyProtection="1"/>
    <xf numFmtId="165" fontId="65" fillId="0" borderId="22" xfId="111" applyFont="1" applyFill="1" applyBorder="1" applyProtection="1">
      <alignment horizontal="right" vertical="center"/>
    </xf>
    <xf numFmtId="172" fontId="65" fillId="0" borderId="22" xfId="0" applyNumberFormat="1" applyFont="1" applyFill="1" applyBorder="1" applyProtection="1"/>
    <xf numFmtId="0" fontId="65" fillId="0" borderId="23" xfId="0" applyFont="1" applyFill="1" applyBorder="1" applyProtection="1"/>
    <xf numFmtId="165" fontId="69" fillId="0" borderId="0" xfId="111" applyFont="1" applyFill="1" applyBorder="1" applyProtection="1">
      <alignment horizontal="right" vertical="center"/>
    </xf>
    <xf numFmtId="172" fontId="69" fillId="0" borderId="0" xfId="0" applyNumberFormat="1" applyFont="1" applyFill="1" applyBorder="1" applyProtection="1"/>
    <xf numFmtId="172" fontId="65" fillId="0" borderId="0" xfId="0" quotePrefix="1" applyNumberFormat="1" applyFont="1" applyFill="1" applyBorder="1" applyProtection="1"/>
    <xf numFmtId="0" fontId="71" fillId="0" borderId="0" xfId="0" applyFont="1" applyFill="1" applyProtection="1"/>
    <xf numFmtId="0" fontId="71" fillId="0" borderId="13" xfId="0" applyFont="1" applyFill="1" applyBorder="1" applyProtection="1"/>
    <xf numFmtId="0" fontId="96" fillId="0" borderId="0" xfId="0" applyFont="1" applyProtection="1"/>
    <xf numFmtId="172" fontId="65" fillId="0" borderId="0" xfId="111" applyNumberFormat="1" applyFont="1" applyBorder="1" applyProtection="1">
      <alignment horizontal="right" vertical="center"/>
    </xf>
    <xf numFmtId="172" fontId="71" fillId="27" borderId="0" xfId="111" applyNumberFormat="1" applyFont="1" applyFill="1" applyProtection="1">
      <alignment horizontal="right" vertical="center"/>
    </xf>
    <xf numFmtId="0" fontId="94" fillId="0" borderId="0" xfId="0" applyFont="1" applyProtection="1"/>
    <xf numFmtId="172" fontId="65" fillId="27" borderId="0" xfId="0" applyNumberFormat="1" applyFont="1" applyFill="1" applyProtection="1"/>
    <xf numFmtId="0" fontId="69" fillId="0" borderId="0" xfId="78" applyFont="1" applyFill="1" applyBorder="1" applyProtection="1">
      <alignment vertical="center"/>
    </xf>
    <xf numFmtId="172" fontId="65" fillId="27" borderId="0" xfId="112" applyNumberFormat="1" applyFont="1" applyFill="1" applyProtection="1">
      <alignment horizontal="right" vertical="center"/>
    </xf>
    <xf numFmtId="172" fontId="69" fillId="27" borderId="0" xfId="0" applyNumberFormat="1" applyFont="1" applyFill="1" applyBorder="1" applyAlignment="1" applyProtection="1">
      <alignment horizontal="right" indent="1"/>
    </xf>
    <xf numFmtId="172" fontId="65" fillId="25" borderId="0" xfId="0" applyNumberFormat="1" applyFont="1" applyFill="1" applyBorder="1" applyProtection="1"/>
    <xf numFmtId="172" fontId="69" fillId="0" borderId="0" xfId="0" applyNumberFormat="1" applyFont="1" applyFill="1" applyBorder="1" applyAlignment="1" applyProtection="1">
      <alignment horizontal="right" indent="1"/>
    </xf>
    <xf numFmtId="2" fontId="65" fillId="0" borderId="0" xfId="0" applyNumberFormat="1" applyFont="1" applyProtection="1"/>
    <xf numFmtId="0" fontId="69" fillId="0" borderId="0" xfId="0" applyFont="1" applyBorder="1" applyAlignment="1" applyProtection="1">
      <alignment vertical="top"/>
    </xf>
    <xf numFmtId="0" fontId="69" fillId="0" borderId="0" xfId="0" applyFont="1" applyBorder="1" applyAlignment="1" applyProtection="1">
      <alignment horizontal="right" vertical="top" wrapText="1"/>
    </xf>
    <xf numFmtId="0" fontId="69" fillId="0" borderId="0" xfId="0" applyFont="1" applyAlignment="1" applyProtection="1">
      <alignment horizontal="right" vertical="top" wrapText="1"/>
    </xf>
    <xf numFmtId="173" fontId="65" fillId="0" borderId="0" xfId="0" applyNumberFormat="1" applyFont="1" applyProtection="1"/>
    <xf numFmtId="2" fontId="65" fillId="27" borderId="0" xfId="0" applyNumberFormat="1" applyFont="1" applyFill="1" applyProtection="1"/>
    <xf numFmtId="172" fontId="69" fillId="24" borderId="0" xfId="0" applyNumberFormat="1" applyFont="1" applyFill="1" applyBorder="1" applyProtection="1"/>
    <xf numFmtId="0" fontId="69" fillId="0" borderId="0" xfId="0" applyFont="1" applyAlignment="1" applyProtection="1">
      <alignment horizontal="right" indent="1"/>
    </xf>
    <xf numFmtId="0" fontId="80" fillId="29" borderId="0" xfId="0" applyFont="1" applyFill="1" applyBorder="1" applyAlignment="1" applyProtection="1">
      <alignment horizontal="right"/>
    </xf>
    <xf numFmtId="2" fontId="65" fillId="0" borderId="0" xfId="0" applyNumberFormat="1" applyFont="1" applyFill="1" applyBorder="1" applyProtection="1"/>
    <xf numFmtId="0" fontId="80" fillId="29" borderId="0" xfId="0" applyFont="1" applyFill="1" applyAlignment="1" applyProtection="1">
      <alignment horizontal="right"/>
    </xf>
    <xf numFmtId="0" fontId="69" fillId="0" borderId="0" xfId="0" applyFont="1" applyAlignment="1" applyProtection="1">
      <alignment horizontal="right"/>
    </xf>
    <xf numFmtId="171" fontId="69" fillId="0" borderId="0" xfId="0" applyNumberFormat="1" applyFont="1" applyProtection="1"/>
    <xf numFmtId="172" fontId="65" fillId="31" borderId="24" xfId="0" applyNumberFormat="1" applyFont="1" applyFill="1" applyBorder="1" applyProtection="1">
      <protection locked="0"/>
    </xf>
    <xf numFmtId="172" fontId="65" fillId="31" borderId="25" xfId="0" applyNumberFormat="1" applyFont="1" applyFill="1" applyBorder="1" applyProtection="1">
      <protection locked="0"/>
    </xf>
    <xf numFmtId="172" fontId="65" fillId="31" borderId="26" xfId="0" applyNumberFormat="1" applyFont="1" applyFill="1" applyBorder="1" applyProtection="1">
      <protection locked="0"/>
    </xf>
    <xf numFmtId="172" fontId="65" fillId="31" borderId="24" xfId="111" applyNumberFormat="1" applyFont="1" applyFill="1" applyBorder="1" applyAlignment="1" applyProtection="1">
      <alignment vertical="center"/>
      <protection locked="0"/>
    </xf>
    <xf numFmtId="172" fontId="65" fillId="31" borderId="26" xfId="111" applyNumberFormat="1" applyFont="1" applyFill="1" applyBorder="1" applyAlignment="1" applyProtection="1">
      <alignment vertical="center"/>
      <protection locked="0"/>
    </xf>
    <xf numFmtId="172" fontId="65" fillId="31" borderId="8" xfId="111" applyNumberFormat="1" applyFont="1" applyFill="1" applyBorder="1" applyAlignment="1" applyProtection="1">
      <alignment vertical="center"/>
      <protection locked="0"/>
    </xf>
    <xf numFmtId="0" fontId="70" fillId="27" borderId="13" xfId="103" applyFont="1" applyFill="1" applyBorder="1" applyAlignment="1" applyProtection="1">
      <alignment horizontal="right" vertical="center"/>
    </xf>
    <xf numFmtId="0" fontId="96" fillId="24" borderId="0" xfId="0" applyFont="1" applyFill="1" applyProtection="1"/>
    <xf numFmtId="172" fontId="94" fillId="0" borderId="0" xfId="111" applyNumberFormat="1" applyFont="1" applyProtection="1">
      <alignment horizontal="right" vertical="center"/>
    </xf>
    <xf numFmtId="172" fontId="94" fillId="27" borderId="0" xfId="111" applyNumberFormat="1" applyFont="1" applyFill="1" applyProtection="1">
      <alignment horizontal="right" vertical="center"/>
    </xf>
    <xf numFmtId="172" fontId="71" fillId="0" borderId="0" xfId="111" applyNumberFormat="1" applyFont="1" applyProtection="1">
      <alignment horizontal="right" vertical="center"/>
    </xf>
    <xf numFmtId="172" fontId="71" fillId="0" borderId="0" xfId="111" applyNumberFormat="1" applyFont="1" applyFill="1" applyProtection="1">
      <alignment horizontal="right" vertical="center"/>
    </xf>
    <xf numFmtId="172" fontId="65" fillId="0" borderId="0" xfId="111" applyNumberFormat="1" applyFont="1" applyFill="1" applyAlignment="1" applyProtection="1">
      <alignment horizontal="left" vertical="center"/>
    </xf>
    <xf numFmtId="0" fontId="76" fillId="0" borderId="0" xfId="74" applyFont="1" applyFill="1" applyBorder="1" applyProtection="1">
      <alignment vertical="center"/>
    </xf>
    <xf numFmtId="0" fontId="65" fillId="27" borderId="28" xfId="37" applyFont="1" applyFill="1" applyBorder="1" applyAlignment="1" applyProtection="1">
      <alignment horizontal="center" vertical="center"/>
    </xf>
    <xf numFmtId="172" fontId="65" fillId="0" borderId="28" xfId="0" applyNumberFormat="1" applyFont="1" applyBorder="1" applyProtection="1"/>
    <xf numFmtId="172" fontId="65" fillId="0" borderId="29" xfId="0" applyNumberFormat="1" applyFont="1" applyBorder="1" applyProtection="1"/>
    <xf numFmtId="0" fontId="65" fillId="0" borderId="30" xfId="0" applyFont="1" applyFill="1" applyBorder="1" applyProtection="1"/>
    <xf numFmtId="0" fontId="65" fillId="0" borderId="0" xfId="37" applyFont="1" applyFill="1" applyBorder="1" applyProtection="1">
      <alignment vertical="center"/>
    </xf>
    <xf numFmtId="172" fontId="63" fillId="0" borderId="0" xfId="0" applyNumberFormat="1" applyFont="1" applyBorder="1" applyProtection="1"/>
    <xf numFmtId="172" fontId="65" fillId="0" borderId="14" xfId="0" applyNumberFormat="1" applyFont="1" applyBorder="1" applyProtection="1"/>
    <xf numFmtId="172" fontId="69" fillId="0" borderId="0" xfId="0" applyNumberFormat="1" applyFont="1" applyBorder="1" applyAlignment="1" applyProtection="1">
      <alignment horizontal="right"/>
    </xf>
    <xf numFmtId="0" fontId="69" fillId="0" borderId="0" xfId="0" applyFont="1" applyBorder="1" applyAlignment="1" applyProtection="1">
      <alignment horizontal="right"/>
    </xf>
    <xf numFmtId="172" fontId="94" fillId="0" borderId="0" xfId="0" applyNumberFormat="1" applyFont="1" applyBorder="1" applyAlignment="1" applyProtection="1">
      <alignment horizontal="right"/>
    </xf>
    <xf numFmtId="173" fontId="78" fillId="27" borderId="0" xfId="102" applyNumberFormat="1" applyFont="1" applyFill="1" applyProtection="1"/>
    <xf numFmtId="0" fontId="65" fillId="31" borderId="8" xfId="37" applyFont="1" applyFill="1" applyBorder="1" applyAlignment="1" applyProtection="1">
      <alignment horizontal="center" vertical="center"/>
      <protection locked="0"/>
    </xf>
    <xf numFmtId="178" fontId="65" fillId="24" borderId="0" xfId="0" applyNumberFormat="1" applyFont="1" applyFill="1" applyProtection="1"/>
    <xf numFmtId="0" fontId="65" fillId="24" borderId="25" xfId="0" applyFont="1" applyFill="1" applyBorder="1" applyProtection="1"/>
    <xf numFmtId="172" fontId="65" fillId="0" borderId="25" xfId="111" applyNumberFormat="1" applyFont="1" applyBorder="1" applyProtection="1">
      <alignment horizontal="right" vertical="center"/>
    </xf>
    <xf numFmtId="172" fontId="65" fillId="0" borderId="32" xfId="111" applyNumberFormat="1" applyFont="1" applyBorder="1" applyProtection="1">
      <alignment horizontal="right" vertical="center"/>
    </xf>
    <xf numFmtId="0" fontId="87" fillId="0" borderId="0" xfId="78" applyFont="1" applyFill="1" applyBorder="1" applyProtection="1">
      <alignment vertical="center"/>
    </xf>
    <xf numFmtId="172" fontId="74" fillId="27" borderId="0" xfId="111" applyNumberFormat="1" applyFont="1" applyFill="1" applyBorder="1" applyProtection="1">
      <alignment horizontal="right" vertical="center"/>
    </xf>
    <xf numFmtId="172" fontId="65" fillId="0" borderId="22" xfId="0" applyNumberFormat="1" applyFont="1" applyBorder="1" applyProtection="1"/>
    <xf numFmtId="172" fontId="86" fillId="0" borderId="0" xfId="0" applyNumberFormat="1" applyFont="1" applyAlignment="1" applyProtection="1">
      <alignment horizontal="center"/>
    </xf>
    <xf numFmtId="170" fontId="71" fillId="0" borderId="0" xfId="0" applyNumberFormat="1" applyFont="1" applyProtection="1"/>
    <xf numFmtId="0" fontId="69" fillId="27" borderId="0" xfId="97" applyFont="1" applyFill="1" applyBorder="1" applyProtection="1"/>
    <xf numFmtId="0" fontId="65" fillId="27" borderId="0" xfId="97" applyFont="1" applyFill="1" applyBorder="1" applyProtection="1"/>
    <xf numFmtId="0" fontId="65" fillId="0" borderId="0" xfId="0" applyFont="1" applyBorder="1" applyAlignment="1" applyProtection="1"/>
    <xf numFmtId="0" fontId="64" fillId="0" borderId="19" xfId="72" applyFont="1" applyFill="1" applyBorder="1" applyAlignment="1" applyProtection="1">
      <alignment horizontal="left" vertical="center" indent="2"/>
    </xf>
    <xf numFmtId="0" fontId="64" fillId="0" borderId="0" xfId="72" applyFont="1" applyFill="1" applyBorder="1" applyAlignment="1" applyProtection="1">
      <alignment horizontal="left" vertical="center" indent="2"/>
    </xf>
    <xf numFmtId="172" fontId="65" fillId="0" borderId="20" xfId="0" applyNumberFormat="1" applyFont="1" applyBorder="1" applyProtection="1"/>
    <xf numFmtId="0" fontId="69" fillId="24" borderId="0" xfId="0" applyFont="1" applyFill="1" applyBorder="1" applyProtection="1"/>
    <xf numFmtId="172" fontId="65" fillId="24" borderId="0" xfId="0" applyNumberFormat="1" applyFont="1" applyFill="1" applyBorder="1" applyProtection="1"/>
    <xf numFmtId="0" fontId="65" fillId="0" borderId="19" xfId="78" applyFont="1" applyFill="1" applyBorder="1" applyAlignment="1" applyProtection="1">
      <alignment horizontal="left" vertical="center" indent="4"/>
    </xf>
    <xf numFmtId="0" fontId="65" fillId="0" borderId="0" xfId="78" applyFont="1" applyFill="1" applyBorder="1" applyAlignment="1" applyProtection="1">
      <alignment horizontal="left" vertical="center" indent="4"/>
    </xf>
    <xf numFmtId="0" fontId="69" fillId="27" borderId="0" xfId="0" applyFont="1" applyFill="1" applyBorder="1" applyAlignment="1" applyProtection="1">
      <alignment horizontal="right"/>
    </xf>
    <xf numFmtId="173" fontId="65" fillId="27" borderId="0" xfId="0" applyNumberFormat="1" applyFont="1" applyFill="1" applyBorder="1" applyProtection="1"/>
    <xf numFmtId="0" fontId="65" fillId="27" borderId="0" xfId="97" applyFont="1" applyFill="1" applyBorder="1" applyAlignment="1" applyProtection="1">
      <alignment horizontal="right"/>
    </xf>
    <xf numFmtId="0" fontId="65" fillId="27" borderId="0" xfId="0" applyFont="1" applyFill="1" applyBorder="1" applyAlignment="1" applyProtection="1">
      <alignment horizontal="right"/>
    </xf>
    <xf numFmtId="172" fontId="69" fillId="0" borderId="0" xfId="0" applyNumberFormat="1" applyFont="1" applyBorder="1" applyProtection="1"/>
    <xf numFmtId="0" fontId="69" fillId="0" borderId="19" xfId="0" applyFont="1" applyBorder="1" applyAlignment="1" applyProtection="1">
      <alignment horizontal="center"/>
    </xf>
    <xf numFmtId="0" fontId="69" fillId="0" borderId="21" xfId="74" applyFont="1" applyBorder="1" applyProtection="1">
      <alignment vertical="center"/>
    </xf>
    <xf numFmtId="172" fontId="65" fillId="0" borderId="23" xfId="0" applyNumberFormat="1" applyFont="1" applyBorder="1" applyProtection="1"/>
    <xf numFmtId="0" fontId="69" fillId="0" borderId="22" xfId="74" applyFont="1" applyBorder="1" applyProtection="1">
      <alignment vertical="center"/>
    </xf>
    <xf numFmtId="0" fontId="69" fillId="0" borderId="0" xfId="72" applyFont="1" applyFill="1" applyProtection="1">
      <alignment vertical="center"/>
    </xf>
    <xf numFmtId="0" fontId="69" fillId="0" borderId="0" xfId="74" applyFont="1" applyBorder="1" applyProtection="1">
      <alignment vertical="center"/>
    </xf>
    <xf numFmtId="0" fontId="69" fillId="0" borderId="0" xfId="74" applyFont="1" applyFill="1" applyProtection="1">
      <alignment vertical="center"/>
    </xf>
    <xf numFmtId="0" fontId="69" fillId="0" borderId="0" xfId="76" applyFont="1" applyFill="1" applyProtection="1">
      <alignment vertical="center"/>
    </xf>
    <xf numFmtId="172" fontId="65" fillId="0" borderId="24" xfId="0" applyNumberFormat="1" applyFont="1" applyFill="1" applyBorder="1" applyProtection="1"/>
    <xf numFmtId="172" fontId="65" fillId="0" borderId="25" xfId="0" applyNumberFormat="1" applyFont="1" applyFill="1" applyBorder="1" applyProtection="1"/>
    <xf numFmtId="172" fontId="65" fillId="0" borderId="26" xfId="0" applyNumberFormat="1" applyFont="1" applyFill="1" applyBorder="1" applyProtection="1"/>
    <xf numFmtId="0" fontId="69" fillId="24" borderId="0" xfId="74" applyFont="1" applyFill="1" applyProtection="1">
      <alignment vertical="center"/>
    </xf>
    <xf numFmtId="185" fontId="65" fillId="0" borderId="0" xfId="0" applyNumberFormat="1" applyFont="1" applyProtection="1"/>
    <xf numFmtId="2" fontId="65" fillId="27" borderId="0" xfId="102" applyNumberFormat="1" applyFont="1" applyFill="1" applyBorder="1" applyAlignment="1" applyProtection="1">
      <alignment horizontal="center"/>
    </xf>
    <xf numFmtId="0" fontId="69" fillId="0" borderId="0" xfId="97" applyFont="1" applyProtection="1"/>
    <xf numFmtId="0" fontId="69" fillId="0" borderId="0" xfId="97" applyFont="1" applyAlignment="1" applyProtection="1"/>
    <xf numFmtId="0" fontId="65" fillId="0" borderId="0" xfId="97" applyFont="1" applyProtection="1"/>
    <xf numFmtId="0" fontId="65" fillId="29" borderId="24" xfId="0" applyFont="1" applyFill="1" applyBorder="1" applyProtection="1"/>
    <xf numFmtId="0" fontId="65" fillId="29" borderId="25" xfId="0" applyFont="1" applyFill="1" applyBorder="1" applyProtection="1"/>
    <xf numFmtId="0" fontId="65" fillId="0" borderId="38" xfId="78" applyFont="1" applyFill="1" applyBorder="1" applyProtection="1">
      <alignment vertical="center"/>
    </xf>
    <xf numFmtId="0" fontId="65" fillId="0" borderId="19" xfId="78" applyFont="1" applyFill="1" applyBorder="1" applyProtection="1">
      <alignment vertical="center"/>
    </xf>
    <xf numFmtId="0" fontId="65" fillId="0" borderId="21" xfId="78" applyFont="1" applyFill="1" applyBorder="1" applyProtection="1">
      <alignment vertical="center"/>
    </xf>
    <xf numFmtId="0" fontId="65" fillId="24" borderId="23" xfId="0" applyFont="1" applyFill="1" applyBorder="1" applyProtection="1"/>
    <xf numFmtId="172" fontId="65" fillId="24" borderId="22" xfId="111" applyNumberFormat="1" applyFont="1" applyFill="1" applyBorder="1" applyProtection="1">
      <alignment horizontal="right" vertical="center"/>
    </xf>
    <xf numFmtId="0" fontId="65" fillId="0" borderId="39" xfId="78" applyFont="1" applyFill="1" applyBorder="1" applyProtection="1">
      <alignment vertical="center"/>
    </xf>
    <xf numFmtId="0" fontId="65" fillId="0" borderId="40" xfId="78" applyFont="1" applyFill="1" applyBorder="1" applyProtection="1">
      <alignment vertical="center"/>
    </xf>
    <xf numFmtId="172" fontId="65" fillId="0" borderId="0" xfId="114" applyNumberFormat="1" applyFont="1" applyBorder="1" applyProtection="1">
      <alignment horizontal="right" vertical="center"/>
    </xf>
    <xf numFmtId="172" fontId="65" fillId="27" borderId="0" xfId="114" applyNumberFormat="1" applyFont="1" applyFill="1" applyBorder="1" applyProtection="1">
      <alignment horizontal="right" vertical="center"/>
    </xf>
    <xf numFmtId="0" fontId="63" fillId="0" borderId="13" xfId="0" applyFont="1" applyBorder="1" applyProtection="1"/>
    <xf numFmtId="0" fontId="65" fillId="0" borderId="13" xfId="97" applyFont="1" applyBorder="1" applyProtection="1"/>
    <xf numFmtId="172" fontId="65" fillId="0" borderId="13" xfId="114" applyNumberFormat="1" applyFont="1" applyBorder="1" applyProtection="1">
      <alignment horizontal="right" vertical="center"/>
    </xf>
    <xf numFmtId="0" fontId="2" fillId="29" borderId="0" xfId="89" applyFont="1" applyFill="1" applyBorder="1" applyAlignment="1" applyProtection="1">
      <alignment horizontal="left" vertical="center"/>
    </xf>
    <xf numFmtId="0" fontId="2" fillId="29" borderId="13" xfId="89" applyFont="1" applyFill="1" applyBorder="1" applyAlignment="1" applyProtection="1">
      <alignment horizontal="left" vertical="center"/>
    </xf>
    <xf numFmtId="172" fontId="65" fillId="29" borderId="28" xfId="114" applyNumberFormat="1" applyFont="1" applyFill="1" applyBorder="1" applyAlignment="1" applyProtection="1">
      <alignment horizontal="left" vertical="center"/>
    </xf>
    <xf numFmtId="172" fontId="65" fillId="29" borderId="28" xfId="114" applyNumberFormat="1" applyFont="1" applyFill="1" applyBorder="1" applyProtection="1">
      <alignment horizontal="right" vertical="center"/>
    </xf>
    <xf numFmtId="9" fontId="65" fillId="0" borderId="0" xfId="101" applyFont="1" applyProtection="1"/>
    <xf numFmtId="172" fontId="87" fillId="27" borderId="0" xfId="114" applyNumberFormat="1" applyFont="1" applyFill="1" applyBorder="1" applyAlignment="1" applyProtection="1">
      <alignment horizontal="left" vertical="center"/>
    </xf>
    <xf numFmtId="172" fontId="87" fillId="27" borderId="13" xfId="114" applyNumberFormat="1" applyFont="1" applyFill="1" applyBorder="1" applyAlignment="1" applyProtection="1">
      <alignment horizontal="left" vertical="center"/>
    </xf>
    <xf numFmtId="172" fontId="65" fillId="27" borderId="13" xfId="114" applyNumberFormat="1" applyFont="1" applyFill="1" applyBorder="1" applyProtection="1">
      <alignment horizontal="right" vertical="center"/>
    </xf>
    <xf numFmtId="0" fontId="65" fillId="31" borderId="18" xfId="0" applyFont="1" applyFill="1" applyBorder="1" applyProtection="1">
      <protection locked="0"/>
    </xf>
    <xf numFmtId="0" fontId="65" fillId="31" borderId="53" xfId="0" applyFont="1" applyFill="1" applyBorder="1" applyProtection="1">
      <protection locked="0"/>
    </xf>
    <xf numFmtId="172" fontId="65" fillId="31" borderId="17" xfId="114" applyNumberFormat="1" applyFont="1" applyFill="1" applyBorder="1" applyProtection="1">
      <alignment horizontal="right" vertical="center"/>
      <protection locked="0"/>
    </xf>
    <xf numFmtId="172" fontId="65" fillId="31" borderId="47" xfId="114" applyNumberFormat="1" applyFont="1" applyFill="1" applyBorder="1" applyProtection="1">
      <alignment horizontal="right" vertical="center"/>
      <protection locked="0"/>
    </xf>
    <xf numFmtId="172" fontId="65" fillId="31" borderId="37" xfId="111" applyNumberFormat="1" applyFont="1" applyFill="1" applyBorder="1" applyProtection="1">
      <alignment horizontal="right" vertical="center"/>
      <protection locked="0"/>
    </xf>
    <xf numFmtId="170" fontId="65" fillId="31" borderId="25" xfId="114" applyNumberFormat="1" applyFont="1" applyFill="1" applyBorder="1" applyProtection="1">
      <alignment horizontal="right" vertical="center"/>
      <protection locked="0"/>
    </xf>
    <xf numFmtId="170" fontId="65" fillId="31" borderId="24" xfId="114" applyNumberFormat="1" applyFont="1" applyFill="1" applyBorder="1" applyProtection="1">
      <alignment horizontal="right" vertical="center"/>
      <protection locked="0"/>
    </xf>
    <xf numFmtId="170" fontId="65" fillId="31" borderId="46" xfId="111" applyNumberFormat="1" applyFont="1" applyFill="1" applyBorder="1" applyProtection="1">
      <alignment horizontal="right" vertical="center"/>
      <protection locked="0"/>
    </xf>
    <xf numFmtId="0" fontId="65" fillId="31" borderId="17" xfId="38" applyFont="1" applyFill="1" applyBorder="1" applyProtection="1">
      <alignment vertical="center"/>
      <protection locked="0"/>
    </xf>
    <xf numFmtId="0" fontId="71" fillId="0" borderId="0" xfId="0" applyFont="1" applyBorder="1" applyProtection="1"/>
    <xf numFmtId="165" fontId="65" fillId="24" borderId="0" xfId="111" applyFont="1" applyFill="1" applyBorder="1" applyProtection="1">
      <alignment horizontal="right" vertical="center"/>
    </xf>
    <xf numFmtId="0" fontId="65" fillId="0" borderId="22" xfId="78" applyFont="1" applyFill="1" applyBorder="1" applyProtection="1">
      <alignment vertical="center"/>
    </xf>
    <xf numFmtId="0" fontId="76" fillId="0" borderId="0" xfId="72" applyFont="1" applyFill="1" applyBorder="1" applyAlignment="1" applyProtection="1">
      <alignment horizontal="left" vertical="center"/>
    </xf>
    <xf numFmtId="0" fontId="76" fillId="0" borderId="0" xfId="72" applyFont="1" applyFill="1" applyBorder="1" applyAlignment="1" applyProtection="1">
      <alignment horizontal="left" vertical="center" indent="1"/>
    </xf>
    <xf numFmtId="0" fontId="76" fillId="27" borderId="0" xfId="72" applyFont="1" applyFill="1" applyBorder="1" applyAlignment="1" applyProtection="1">
      <alignment horizontal="left" vertical="center"/>
    </xf>
    <xf numFmtId="172" fontId="65" fillId="27" borderId="19" xfId="0" applyNumberFormat="1" applyFont="1" applyFill="1" applyBorder="1" applyProtection="1"/>
    <xf numFmtId="0" fontId="65" fillId="0" borderId="0" xfId="78" applyFont="1" applyFill="1" applyBorder="1" applyAlignment="1" applyProtection="1">
      <alignment horizontal="right" vertical="center"/>
    </xf>
    <xf numFmtId="172" fontId="65" fillId="0" borderId="0" xfId="0" applyNumberFormat="1" applyFont="1" applyBorder="1" applyAlignment="1" applyProtection="1">
      <alignment horizontal="right"/>
    </xf>
    <xf numFmtId="172" fontId="65" fillId="27" borderId="0" xfId="0" applyNumberFormat="1" applyFont="1" applyFill="1" applyBorder="1" applyAlignment="1" applyProtection="1">
      <alignment horizontal="left"/>
    </xf>
    <xf numFmtId="0" fontId="65" fillId="27" borderId="0" xfId="78" applyFont="1" applyFill="1" applyBorder="1" applyAlignment="1" applyProtection="1">
      <alignment horizontal="right" vertical="center"/>
    </xf>
    <xf numFmtId="172" fontId="65" fillId="0" borderId="0" xfId="111" applyNumberFormat="1" applyFont="1" applyBorder="1" applyAlignment="1" applyProtection="1">
      <alignment horizontal="right" vertical="center"/>
    </xf>
    <xf numFmtId="0" fontId="97" fillId="0" borderId="0" xfId="0" applyFont="1" applyFill="1" applyBorder="1" applyAlignment="1" applyProtection="1"/>
    <xf numFmtId="0" fontId="65" fillId="0" borderId="0" xfId="0" applyFont="1" applyFill="1" applyBorder="1" applyAlignment="1" applyProtection="1"/>
    <xf numFmtId="0" fontId="63" fillId="24" borderId="0" xfId="0" applyFont="1" applyFill="1" applyBorder="1" applyAlignment="1" applyProtection="1">
      <alignment horizontal="center"/>
    </xf>
    <xf numFmtId="172" fontId="69" fillId="27" borderId="0" xfId="0" applyNumberFormat="1" applyFont="1" applyFill="1" applyBorder="1" applyAlignment="1" applyProtection="1">
      <alignment horizontal="left"/>
    </xf>
    <xf numFmtId="170" fontId="69" fillId="0" borderId="0" xfId="0" applyNumberFormat="1" applyFont="1" applyBorder="1" applyAlignment="1" applyProtection="1">
      <alignment horizontal="right"/>
    </xf>
    <xf numFmtId="172" fontId="65" fillId="27" borderId="22" xfId="0" applyNumberFormat="1" applyFont="1" applyFill="1" applyBorder="1" applyProtection="1"/>
    <xf numFmtId="170" fontId="69" fillId="27" borderId="22" xfId="0" applyNumberFormat="1" applyFont="1" applyFill="1" applyBorder="1" applyAlignment="1" applyProtection="1">
      <alignment horizontal="right"/>
    </xf>
    <xf numFmtId="170" fontId="69" fillId="27" borderId="0" xfId="0" applyNumberFormat="1" applyFont="1" applyFill="1" applyBorder="1" applyAlignment="1" applyProtection="1">
      <alignment horizontal="right"/>
    </xf>
    <xf numFmtId="172" fontId="65" fillId="27" borderId="0" xfId="0" applyNumberFormat="1" applyFont="1" applyFill="1" applyBorder="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0" xfId="0" applyFont="1" applyAlignment="1" applyProtection="1">
      <alignment horizontal="right" indent="1"/>
    </xf>
    <xf numFmtId="172" fontId="65" fillId="24" borderId="0" xfId="0" applyNumberFormat="1" applyFont="1" applyFill="1" applyProtection="1"/>
    <xf numFmtId="172" fontId="65" fillId="24" borderId="25" xfId="111" applyNumberFormat="1" applyFont="1" applyFill="1" applyBorder="1" applyProtection="1">
      <alignment horizontal="right" vertical="center"/>
    </xf>
    <xf numFmtId="172" fontId="65" fillId="29" borderId="0" xfId="114" applyNumberFormat="1" applyFont="1" applyFill="1" applyBorder="1" applyAlignment="1" applyProtection="1">
      <alignment horizontal="left" vertical="center"/>
    </xf>
    <xf numFmtId="172" fontId="65" fillId="29" borderId="0" xfId="114" applyNumberFormat="1" applyFont="1" applyFill="1" applyBorder="1" applyProtection="1">
      <alignment horizontal="right" vertical="center"/>
    </xf>
    <xf numFmtId="2" fontId="65" fillId="29" borderId="0" xfId="0" applyNumberFormat="1" applyFont="1" applyFill="1" applyBorder="1" applyAlignment="1" applyProtection="1">
      <alignment horizontal="right"/>
    </xf>
    <xf numFmtId="2" fontId="65" fillId="29" borderId="14" xfId="0" applyNumberFormat="1" applyFont="1" applyFill="1" applyBorder="1" applyAlignment="1" applyProtection="1">
      <alignment horizontal="right"/>
    </xf>
    <xf numFmtId="172" fontId="94" fillId="27" borderId="0" xfId="111" applyNumberFormat="1" applyFont="1" applyFill="1" applyAlignment="1" applyProtection="1">
      <alignment horizontal="left" vertical="center"/>
    </xf>
    <xf numFmtId="0" fontId="65" fillId="0" borderId="27" xfId="0" applyFont="1" applyFill="1" applyBorder="1" applyProtection="1"/>
    <xf numFmtId="0" fontId="65" fillId="0" borderId="28" xfId="0" applyFont="1" applyFill="1" applyBorder="1" applyProtection="1"/>
    <xf numFmtId="172" fontId="65" fillId="0" borderId="28" xfId="111" applyNumberFormat="1" applyFont="1" applyFill="1" applyBorder="1" applyProtection="1">
      <alignment horizontal="right" vertical="center"/>
    </xf>
    <xf numFmtId="0" fontId="65" fillId="0" borderId="29" xfId="0" applyFont="1" applyFill="1" applyBorder="1" applyProtection="1"/>
    <xf numFmtId="0" fontId="76" fillId="0" borderId="30" xfId="74" applyFont="1" applyFill="1" applyBorder="1" applyProtection="1">
      <alignment vertical="center"/>
    </xf>
    <xf numFmtId="0" fontId="65" fillId="0" borderId="31" xfId="0" applyFont="1" applyFill="1" applyBorder="1" applyProtection="1"/>
    <xf numFmtId="172" fontId="65" fillId="0" borderId="13" xfId="111" applyNumberFormat="1" applyFont="1" applyFill="1" applyBorder="1" applyProtection="1">
      <alignment horizontal="right" vertical="center"/>
    </xf>
    <xf numFmtId="172" fontId="65" fillId="0" borderId="0" xfId="111" applyNumberFormat="1" applyFont="1" applyFill="1" applyBorder="1" applyProtection="1">
      <alignment horizontal="right" vertical="center"/>
      <protection locked="0"/>
    </xf>
    <xf numFmtId="172" fontId="65" fillId="24" borderId="0" xfId="111" applyNumberFormat="1" applyFont="1" applyFill="1" applyAlignment="1" applyProtection="1">
      <alignment horizontal="right" vertical="center"/>
    </xf>
    <xf numFmtId="0" fontId="70" fillId="24" borderId="13" xfId="103" applyFont="1" applyFill="1" applyBorder="1" applyAlignment="1" applyProtection="1">
      <alignment horizontal="center" vertical="center"/>
    </xf>
    <xf numFmtId="165" fontId="65" fillId="0" borderId="17" xfId="111" applyFont="1" applyBorder="1" applyProtection="1">
      <alignment horizontal="right" vertical="center"/>
    </xf>
    <xf numFmtId="0" fontId="65" fillId="24" borderId="17" xfId="0" applyFont="1" applyFill="1" applyBorder="1" applyProtection="1"/>
    <xf numFmtId="0" fontId="65" fillId="24" borderId="22" xfId="0" applyFont="1" applyFill="1" applyBorder="1" applyProtection="1"/>
    <xf numFmtId="172" fontId="65" fillId="27" borderId="27" xfId="0" applyNumberFormat="1" applyFont="1" applyFill="1" applyBorder="1" applyProtection="1"/>
    <xf numFmtId="172" fontId="65" fillId="27" borderId="28" xfId="0" applyNumberFormat="1" applyFont="1" applyFill="1" applyBorder="1" applyProtection="1"/>
    <xf numFmtId="172" fontId="65" fillId="27" borderId="31" xfId="0" applyNumberFormat="1" applyFont="1" applyFill="1" applyBorder="1" applyProtection="1"/>
    <xf numFmtId="172" fontId="65" fillId="27" borderId="13" xfId="0" applyNumberFormat="1" applyFont="1" applyFill="1" applyBorder="1" applyProtection="1"/>
    <xf numFmtId="165" fontId="65" fillId="0" borderId="0" xfId="111" applyFont="1" applyFill="1" applyAlignment="1" applyProtection="1">
      <alignment horizontal="left" vertical="center"/>
    </xf>
    <xf numFmtId="172" fontId="65" fillId="27" borderId="0" xfId="111" applyNumberFormat="1" applyFont="1" applyFill="1" applyBorder="1" applyAlignment="1" applyProtection="1">
      <alignment horizontal="center" vertical="center"/>
    </xf>
    <xf numFmtId="172" fontId="65" fillId="24" borderId="0" xfId="111" applyNumberFormat="1" applyFont="1" applyFill="1" applyBorder="1" applyAlignment="1" applyProtection="1">
      <alignment horizontal="center" vertical="center"/>
    </xf>
    <xf numFmtId="172" fontId="65" fillId="0" borderId="0" xfId="0" applyNumberFormat="1" applyFont="1" applyFill="1" applyProtection="1"/>
    <xf numFmtId="0" fontId="65" fillId="27" borderId="55" xfId="0" applyFont="1" applyFill="1" applyBorder="1" applyAlignment="1" applyProtection="1"/>
    <xf numFmtId="0" fontId="65" fillId="27" borderId="89" xfId="0" applyFont="1" applyFill="1" applyBorder="1" applyAlignment="1" applyProtection="1"/>
    <xf numFmtId="0" fontId="65" fillId="27" borderId="90" xfId="0" applyFont="1" applyFill="1" applyBorder="1" applyAlignment="1" applyProtection="1"/>
    <xf numFmtId="0" fontId="65" fillId="27" borderId="30" xfId="0" applyFont="1" applyFill="1" applyBorder="1" applyAlignment="1" applyProtection="1"/>
    <xf numFmtId="0" fontId="65" fillId="27" borderId="14" xfId="0" applyFont="1" applyFill="1" applyBorder="1" applyAlignment="1" applyProtection="1"/>
    <xf numFmtId="0" fontId="65" fillId="27" borderId="22" xfId="0" applyFont="1" applyFill="1" applyBorder="1" applyAlignment="1" applyProtection="1"/>
    <xf numFmtId="0" fontId="65" fillId="27" borderId="41" xfId="0" applyFont="1" applyFill="1" applyBorder="1" applyAlignment="1" applyProtection="1"/>
    <xf numFmtId="0" fontId="65" fillId="27" borderId="42" xfId="0" applyFont="1" applyFill="1" applyBorder="1" applyAlignment="1" applyProtection="1"/>
    <xf numFmtId="0" fontId="65" fillId="0" borderId="0" xfId="0" applyFont="1" applyAlignment="1" applyProtection="1">
      <alignment horizontal="center"/>
    </xf>
    <xf numFmtId="0" fontId="65" fillId="27" borderId="17" xfId="0" applyFont="1" applyFill="1" applyBorder="1" applyAlignment="1" applyProtection="1"/>
    <xf numFmtId="0" fontId="65" fillId="27" borderId="47" xfId="0" applyFont="1" applyFill="1" applyBorder="1" applyAlignment="1" applyProtection="1"/>
    <xf numFmtId="0" fontId="65" fillId="27" borderId="48" xfId="0" applyFont="1" applyFill="1" applyBorder="1" applyAlignment="1" applyProtection="1"/>
    <xf numFmtId="2" fontId="65" fillId="27" borderId="0" xfId="0" applyNumberFormat="1" applyFont="1" applyFill="1" applyBorder="1" applyAlignment="1" applyProtection="1"/>
    <xf numFmtId="172" fontId="65" fillId="31" borderId="27" xfId="0" applyNumberFormat="1" applyFont="1" applyFill="1" applyBorder="1" applyProtection="1">
      <protection locked="0"/>
    </xf>
    <xf numFmtId="172" fontId="65" fillId="31" borderId="28" xfId="0" applyNumberFormat="1" applyFont="1" applyFill="1" applyBorder="1" applyProtection="1">
      <protection locked="0"/>
    </xf>
    <xf numFmtId="172" fontId="65" fillId="31" borderId="29" xfId="0" applyNumberFormat="1" applyFont="1" applyFill="1" applyBorder="1" applyProtection="1">
      <protection locked="0"/>
    </xf>
    <xf numFmtId="172" fontId="65" fillId="31" borderId="31" xfId="0" applyNumberFormat="1" applyFont="1" applyFill="1" applyBorder="1" applyProtection="1">
      <protection locked="0"/>
    </xf>
    <xf numFmtId="172" fontId="65" fillId="31" borderId="13" xfId="0" applyNumberFormat="1" applyFont="1" applyFill="1" applyBorder="1" applyProtection="1">
      <protection locked="0"/>
    </xf>
    <xf numFmtId="172" fontId="65" fillId="31" borderId="15" xfId="0" applyNumberFormat="1" applyFont="1" applyFill="1" applyBorder="1" applyProtection="1">
      <protection locked="0"/>
    </xf>
    <xf numFmtId="172" fontId="65" fillId="0" borderId="0" xfId="0" applyNumberFormat="1" applyFont="1" applyProtection="1">
      <protection locked="0"/>
    </xf>
    <xf numFmtId="0" fontId="64" fillId="27" borderId="13" xfId="103" applyFont="1" applyFill="1" applyBorder="1" applyAlignment="1" applyProtection="1">
      <alignment horizontal="right" vertical="center"/>
    </xf>
    <xf numFmtId="0" fontId="65" fillId="24" borderId="16" xfId="0" applyFont="1" applyFill="1" applyBorder="1" applyProtection="1"/>
    <xf numFmtId="165" fontId="65" fillId="27" borderId="17" xfId="111" applyFont="1" applyFill="1" applyBorder="1" applyProtection="1">
      <alignment horizontal="right" vertical="center"/>
    </xf>
    <xf numFmtId="165" fontId="65" fillId="24" borderId="17" xfId="111" applyFont="1" applyFill="1" applyBorder="1" applyProtection="1">
      <alignment horizontal="right" vertical="center"/>
    </xf>
    <xf numFmtId="0" fontId="65" fillId="24" borderId="18" xfId="0" applyFont="1" applyFill="1" applyBorder="1" applyProtection="1"/>
    <xf numFmtId="0" fontId="65" fillId="24" borderId="19" xfId="0" applyFont="1" applyFill="1" applyBorder="1" applyProtection="1"/>
    <xf numFmtId="0" fontId="64" fillId="24" borderId="0" xfId="76" applyFont="1" applyFill="1" applyBorder="1" applyProtection="1">
      <alignment vertical="center"/>
    </xf>
    <xf numFmtId="0" fontId="65" fillId="24" borderId="20" xfId="0" applyFont="1" applyFill="1" applyBorder="1" applyProtection="1"/>
    <xf numFmtId="9" fontId="65" fillId="27" borderId="0" xfId="101" applyFont="1" applyFill="1" applyBorder="1" applyAlignment="1" applyProtection="1">
      <alignment horizontal="right" vertical="center"/>
    </xf>
    <xf numFmtId="0" fontId="65" fillId="24" borderId="21" xfId="0" applyFont="1" applyFill="1" applyBorder="1" applyProtection="1"/>
    <xf numFmtId="172" fontId="65" fillId="27" borderId="17" xfId="0" applyNumberFormat="1" applyFont="1" applyFill="1" applyBorder="1" applyProtection="1"/>
    <xf numFmtId="172" fontId="65" fillId="0" borderId="17" xfId="0" applyNumberFormat="1" applyFont="1" applyBorder="1" applyProtection="1"/>
    <xf numFmtId="0" fontId="64" fillId="0" borderId="0" xfId="0" applyFont="1" applyFill="1" applyBorder="1" applyProtection="1"/>
    <xf numFmtId="0" fontId="64" fillId="0" borderId="0" xfId="76" applyFont="1" applyBorder="1" applyProtection="1">
      <alignment vertical="center"/>
    </xf>
    <xf numFmtId="0" fontId="99" fillId="27" borderId="0" xfId="0" applyFont="1" applyFill="1" applyBorder="1" applyAlignment="1" applyProtection="1">
      <alignment horizontal="right"/>
    </xf>
    <xf numFmtId="165" fontId="65" fillId="27" borderId="0" xfId="111" applyFont="1" applyFill="1" applyBorder="1" applyAlignment="1" applyProtection="1">
      <alignment horizontal="left" vertical="center"/>
    </xf>
    <xf numFmtId="170" fontId="65" fillId="27" borderId="0" xfId="111" applyNumberFormat="1" applyFont="1" applyFill="1" applyBorder="1" applyProtection="1">
      <alignment horizontal="right" vertical="center"/>
    </xf>
    <xf numFmtId="170" fontId="65" fillId="24" borderId="0" xfId="111" applyNumberFormat="1" applyFont="1" applyFill="1" applyBorder="1" applyProtection="1">
      <alignment horizontal="right" vertical="center"/>
    </xf>
    <xf numFmtId="172" fontId="87" fillId="27" borderId="0" xfId="0" applyNumberFormat="1" applyFont="1" applyFill="1" applyBorder="1" applyProtection="1"/>
    <xf numFmtId="172" fontId="69" fillId="27" borderId="25" xfId="111" applyNumberFormat="1" applyFont="1" applyFill="1" applyBorder="1" applyProtection="1">
      <alignment horizontal="right" vertical="center"/>
    </xf>
    <xf numFmtId="165" fontId="74" fillId="27" borderId="0" xfId="111" applyFont="1" applyFill="1" applyBorder="1" applyProtection="1">
      <alignment horizontal="right" vertical="center"/>
    </xf>
    <xf numFmtId="173" fontId="65" fillId="27" borderId="0" xfId="111" applyNumberFormat="1" applyFont="1" applyFill="1" applyBorder="1" applyProtection="1">
      <alignment horizontal="right" vertical="center"/>
    </xf>
    <xf numFmtId="173" fontId="65" fillId="0" borderId="0" xfId="111" applyNumberFormat="1" applyFont="1" applyBorder="1" applyProtection="1">
      <alignment horizontal="right" vertical="center"/>
    </xf>
    <xf numFmtId="174" fontId="65" fillId="27" borderId="0" xfId="111" applyNumberFormat="1" applyFont="1" applyFill="1" applyBorder="1" applyProtection="1">
      <alignment horizontal="right" vertical="center"/>
    </xf>
    <xf numFmtId="9" fontId="65" fillId="27" borderId="0" xfId="111" applyNumberFormat="1" applyFont="1" applyFill="1" applyBorder="1" applyProtection="1">
      <alignment horizontal="right" vertical="center"/>
    </xf>
    <xf numFmtId="173" fontId="65" fillId="0" borderId="0" xfId="111" quotePrefix="1" applyNumberFormat="1" applyFont="1" applyBorder="1" applyProtection="1">
      <alignment horizontal="right" vertical="center"/>
    </xf>
    <xf numFmtId="165" fontId="65" fillId="25" borderId="0" xfId="111" applyFont="1" applyFill="1" applyBorder="1" applyProtection="1">
      <alignment horizontal="right" vertical="center"/>
    </xf>
    <xf numFmtId="165" fontId="65" fillId="0" borderId="0" xfId="111" applyFont="1" applyFill="1" applyBorder="1" applyAlignment="1" applyProtection="1">
      <alignment horizontal="left" vertical="center"/>
    </xf>
    <xf numFmtId="0" fontId="98" fillId="0" borderId="0" xfId="0" applyFont="1" applyBorder="1" applyProtection="1"/>
    <xf numFmtId="172" fontId="69" fillId="0" borderId="0" xfId="111" applyNumberFormat="1" applyFont="1" applyFill="1" applyBorder="1" applyProtection="1">
      <alignment horizontal="right" vertical="center"/>
    </xf>
    <xf numFmtId="172" fontId="69" fillId="0" borderId="32" xfId="111" applyNumberFormat="1" applyFont="1" applyBorder="1" applyProtection="1">
      <alignment horizontal="right" vertical="center"/>
    </xf>
    <xf numFmtId="0" fontId="100" fillId="27" borderId="0" xfId="51" applyFont="1" applyFill="1" applyProtection="1"/>
    <xf numFmtId="0" fontId="69" fillId="0" borderId="16" xfId="0" applyFont="1" applyBorder="1" applyProtection="1"/>
    <xf numFmtId="0" fontId="69" fillId="0" borderId="19" xfId="0" applyFont="1" applyBorder="1" applyProtection="1"/>
    <xf numFmtId="165" fontId="69" fillId="24" borderId="0" xfId="111" applyFont="1" applyFill="1" applyBorder="1" applyProtection="1">
      <alignment horizontal="right" vertical="center"/>
    </xf>
    <xf numFmtId="0" fontId="69" fillId="0" borderId="20" xfId="0" applyFont="1" applyBorder="1" applyProtection="1"/>
    <xf numFmtId="0" fontId="100" fillId="27" borderId="0" xfId="51" applyFont="1" applyFill="1" applyBorder="1" applyProtection="1"/>
    <xf numFmtId="0" fontId="64" fillId="0" borderId="0" xfId="0" applyFont="1" applyBorder="1" applyAlignment="1" applyProtection="1">
      <alignment horizontal="center"/>
    </xf>
    <xf numFmtId="0" fontId="80" fillId="0" borderId="0" xfId="0" applyFont="1" applyAlignment="1" applyProtection="1">
      <alignment horizontal="left" indent="1"/>
    </xf>
    <xf numFmtId="10" fontId="65" fillId="0" borderId="0" xfId="111" applyNumberFormat="1" applyFont="1" applyFill="1" applyBorder="1" applyAlignment="1" applyProtection="1">
      <alignment horizontal="center" vertical="center"/>
    </xf>
    <xf numFmtId="0" fontId="65" fillId="0" borderId="0" xfId="0" applyFont="1" applyBorder="1" applyAlignment="1" applyProtection="1">
      <alignment horizontal="left" indent="2"/>
    </xf>
    <xf numFmtId="0" fontId="69" fillId="24" borderId="20" xfId="0" applyFont="1" applyFill="1" applyBorder="1" applyProtection="1"/>
    <xf numFmtId="165" fontId="65" fillId="24" borderId="22" xfId="111" applyFont="1" applyFill="1" applyBorder="1" applyProtection="1">
      <alignment horizontal="right" vertical="center"/>
    </xf>
    <xf numFmtId="0" fontId="100" fillId="27" borderId="22" xfId="51" applyFont="1" applyFill="1" applyBorder="1" applyProtection="1"/>
    <xf numFmtId="0" fontId="76" fillId="0" borderId="0" xfId="0" applyFont="1" applyBorder="1" applyProtection="1"/>
    <xf numFmtId="0" fontId="65" fillId="24" borderId="0" xfId="0" applyFont="1" applyFill="1" applyBorder="1" applyAlignment="1" applyProtection="1">
      <alignment horizontal="right"/>
    </xf>
    <xf numFmtId="9" fontId="65" fillId="24" borderId="0" xfId="0" applyNumberFormat="1" applyFont="1" applyFill="1" applyBorder="1" applyAlignment="1" applyProtection="1">
      <alignment horizontal="center"/>
    </xf>
    <xf numFmtId="0" fontId="69" fillId="24" borderId="24" xfId="0" applyFont="1" applyFill="1" applyBorder="1" applyProtection="1"/>
    <xf numFmtId="0" fontId="65" fillId="0" borderId="92" xfId="0" applyFont="1" applyBorder="1" applyProtection="1"/>
    <xf numFmtId="0" fontId="69" fillId="24" borderId="25" xfId="0" applyFont="1" applyFill="1" applyBorder="1" applyProtection="1"/>
    <xf numFmtId="172" fontId="69" fillId="24" borderId="25" xfId="111" applyNumberFormat="1" applyFont="1" applyFill="1" applyBorder="1" applyAlignment="1" applyProtection="1">
      <alignment horizontal="left" vertical="center"/>
    </xf>
    <xf numFmtId="0" fontId="69" fillId="27" borderId="25" xfId="0" applyFont="1" applyFill="1" applyBorder="1" applyProtection="1"/>
    <xf numFmtId="172" fontId="65" fillId="24" borderId="0" xfId="111" applyNumberFormat="1" applyFont="1" applyFill="1" applyBorder="1" applyAlignment="1" applyProtection="1">
      <alignment horizontal="left" vertical="center"/>
    </xf>
    <xf numFmtId="172" fontId="65" fillId="0" borderId="0" xfId="111" applyNumberFormat="1" applyFont="1" applyBorder="1" applyAlignment="1" applyProtection="1">
      <alignment horizontal="left" vertical="center"/>
    </xf>
    <xf numFmtId="0" fontId="69" fillId="0" borderId="24" xfId="0" applyFont="1" applyBorder="1" applyProtection="1"/>
    <xf numFmtId="0" fontId="69" fillId="0" borderId="25" xfId="0" applyFont="1" applyBorder="1" applyProtection="1"/>
    <xf numFmtId="0" fontId="65" fillId="27" borderId="0" xfId="51" applyFont="1" applyFill="1" applyProtection="1"/>
    <xf numFmtId="165" fontId="69" fillId="24" borderId="0" xfId="111" applyFont="1" applyFill="1" applyBorder="1" applyProtection="1">
      <alignment horizontal="right" vertical="center"/>
      <protection locked="0"/>
    </xf>
    <xf numFmtId="0" fontId="65" fillId="27" borderId="0" xfId="0" applyFont="1" applyFill="1" applyBorder="1" applyAlignment="1" applyProtection="1">
      <alignment horizontal="left"/>
      <protection locked="0"/>
    </xf>
    <xf numFmtId="165" fontId="65" fillId="24" borderId="0" xfId="111" applyFont="1" applyFill="1" applyBorder="1" applyProtection="1">
      <alignment horizontal="right" vertical="center"/>
      <protection locked="0"/>
    </xf>
    <xf numFmtId="9" fontId="65" fillId="31" borderId="33" xfId="111" applyNumberFormat="1" applyFont="1" applyFill="1" applyBorder="1" applyAlignment="1" applyProtection="1">
      <alignment horizontal="center" vertical="center"/>
      <protection locked="0"/>
    </xf>
    <xf numFmtId="0" fontId="105" fillId="0" borderId="0" xfId="0" applyFont="1" applyProtection="1"/>
    <xf numFmtId="0" fontId="64" fillId="0" borderId="0" xfId="74" applyFont="1" applyProtection="1">
      <alignment vertical="center"/>
    </xf>
    <xf numFmtId="0" fontId="105" fillId="0" borderId="0" xfId="76" applyFont="1" applyBorder="1" applyProtection="1">
      <alignment vertical="center"/>
    </xf>
    <xf numFmtId="0" fontId="65" fillId="27" borderId="0" xfId="0" applyNumberFormat="1" applyFont="1" applyFill="1" applyBorder="1" applyProtection="1"/>
    <xf numFmtId="0" fontId="65" fillId="0" borderId="0" xfId="0" applyNumberFormat="1" applyFont="1" applyProtection="1"/>
    <xf numFmtId="0" fontId="65" fillId="29" borderId="26" xfId="0" applyFont="1" applyFill="1" applyBorder="1" applyProtection="1"/>
    <xf numFmtId="0" fontId="65" fillId="31" borderId="8" xfId="0" applyFont="1" applyFill="1" applyBorder="1" applyProtection="1">
      <protection locked="0"/>
    </xf>
    <xf numFmtId="0" fontId="65" fillId="31" borderId="24" xfId="0" applyFont="1" applyFill="1" applyBorder="1" applyProtection="1">
      <protection locked="0"/>
    </xf>
    <xf numFmtId="0" fontId="87" fillId="31" borderId="25" xfId="0" applyFont="1" applyFill="1" applyBorder="1" applyProtection="1">
      <protection locked="0"/>
    </xf>
    <xf numFmtId="0" fontId="87" fillId="31" borderId="26" xfId="0" applyFont="1" applyFill="1" applyBorder="1" applyProtection="1">
      <protection locked="0"/>
    </xf>
    <xf numFmtId="0" fontId="65" fillId="31" borderId="27" xfId="0" applyNumberFormat="1" applyFont="1" applyFill="1" applyBorder="1" applyProtection="1">
      <protection locked="0"/>
    </xf>
    <xf numFmtId="0" fontId="65" fillId="31" borderId="28" xfId="0" applyNumberFormat="1" applyFont="1" applyFill="1" applyBorder="1" applyProtection="1">
      <protection locked="0"/>
    </xf>
    <xf numFmtId="0" fontId="65" fillId="31" borderId="29" xfId="0" applyNumberFormat="1" applyFont="1" applyFill="1" applyBorder="1" applyProtection="1">
      <protection locked="0"/>
    </xf>
    <xf numFmtId="0" fontId="65" fillId="31" borderId="8" xfId="0" applyFont="1" applyFill="1" applyBorder="1" applyAlignment="1" applyProtection="1">
      <alignment horizontal="center"/>
      <protection locked="0"/>
    </xf>
    <xf numFmtId="0" fontId="65" fillId="31" borderId="30" xfId="0" applyNumberFormat="1" applyFont="1" applyFill="1" applyBorder="1" applyProtection="1">
      <protection locked="0"/>
    </xf>
    <xf numFmtId="0" fontId="65" fillId="31" borderId="0" xfId="0" applyNumberFormat="1" applyFont="1" applyFill="1" applyBorder="1" applyProtection="1">
      <protection locked="0"/>
    </xf>
    <xf numFmtId="0" fontId="65" fillId="31" borderId="14" xfId="0" applyNumberFormat="1" applyFont="1" applyFill="1" applyBorder="1" applyProtection="1">
      <protection locked="0"/>
    </xf>
    <xf numFmtId="0" fontId="65" fillId="31" borderId="31" xfId="0" applyNumberFormat="1" applyFont="1" applyFill="1" applyBorder="1" applyProtection="1">
      <protection locked="0"/>
    </xf>
    <xf numFmtId="0" fontId="65" fillId="31" borderId="13" xfId="0" applyNumberFormat="1" applyFont="1" applyFill="1" applyBorder="1" applyProtection="1">
      <protection locked="0"/>
    </xf>
    <xf numFmtId="0" fontId="65" fillId="31" borderId="15" xfId="0" applyNumberFormat="1" applyFont="1" applyFill="1" applyBorder="1" applyProtection="1">
      <protection locked="0"/>
    </xf>
    <xf numFmtId="0" fontId="64" fillId="0" borderId="0" xfId="74" applyFont="1" applyAlignment="1" applyProtection="1">
      <alignment horizontal="center" vertical="center"/>
    </xf>
    <xf numFmtId="0" fontId="75" fillId="0" borderId="0" xfId="74" applyFont="1" applyAlignment="1" applyProtection="1">
      <alignment horizontal="center" vertical="center"/>
    </xf>
    <xf numFmtId="0" fontId="75" fillId="0" borderId="0" xfId="0" applyFont="1" applyAlignment="1" applyProtection="1">
      <alignment horizontal="center"/>
    </xf>
    <xf numFmtId="0" fontId="80" fillId="0" borderId="0" xfId="0" applyFont="1" applyAlignment="1" applyProtection="1">
      <alignment horizontal="right"/>
    </xf>
    <xf numFmtId="189" fontId="80" fillId="0" borderId="0" xfId="0" applyNumberFormat="1" applyFont="1" applyBorder="1" applyProtection="1"/>
    <xf numFmtId="189" fontId="80" fillId="0" borderId="99" xfId="0" applyNumberFormat="1" applyFont="1" applyBorder="1" applyProtection="1"/>
    <xf numFmtId="177" fontId="80" fillId="0" borderId="0" xfId="0" applyNumberFormat="1" applyFont="1" applyBorder="1" applyProtection="1"/>
    <xf numFmtId="177" fontId="80" fillId="0" borderId="99" xfId="0" applyNumberFormat="1" applyFont="1" applyBorder="1" applyProtection="1"/>
    <xf numFmtId="177" fontId="80" fillId="27" borderId="0" xfId="0" applyNumberFormat="1" applyFont="1" applyFill="1" applyBorder="1" applyProtection="1"/>
    <xf numFmtId="177" fontId="80" fillId="27" borderId="99" xfId="0" applyNumberFormat="1" applyFont="1" applyFill="1" applyBorder="1" applyProtection="1"/>
    <xf numFmtId="177" fontId="80" fillId="27" borderId="69" xfId="0" applyNumberFormat="1" applyFont="1" applyFill="1" applyBorder="1" applyProtection="1"/>
    <xf numFmtId="177" fontId="80" fillId="27" borderId="70" xfId="0" applyNumberFormat="1" applyFont="1" applyFill="1" applyBorder="1" applyProtection="1"/>
    <xf numFmtId="189" fontId="65" fillId="0" borderId="0" xfId="0" applyNumberFormat="1" applyFont="1" applyProtection="1"/>
    <xf numFmtId="0" fontId="5" fillId="27" borderId="0" xfId="169" applyFont="1" applyFill="1"/>
    <xf numFmtId="0" fontId="2" fillId="27" borderId="0" xfId="169" applyFill="1"/>
    <xf numFmtId="0" fontId="8" fillId="27" borderId="0" xfId="169" applyFont="1" applyFill="1"/>
    <xf numFmtId="0" fontId="2" fillId="27" borderId="0" xfId="169" applyFont="1" applyFill="1"/>
    <xf numFmtId="0" fontId="8" fillId="27" borderId="13" xfId="169" applyFont="1" applyFill="1" applyBorder="1" applyAlignment="1">
      <alignment horizontal="right"/>
    </xf>
    <xf numFmtId="2" fontId="2" fillId="28" borderId="0" xfId="169" applyNumberFormat="1" applyFill="1"/>
    <xf numFmtId="0" fontId="2" fillId="27" borderId="0" xfId="169" applyFont="1" applyFill="1" applyAlignment="1">
      <alignment horizontal="right"/>
    </xf>
    <xf numFmtId="0" fontId="2" fillId="28" borderId="0" xfId="169" applyFill="1"/>
    <xf numFmtId="2" fontId="8" fillId="27" borderId="25" xfId="169" applyNumberFormat="1" applyFont="1" applyFill="1" applyBorder="1"/>
    <xf numFmtId="0" fontId="2" fillId="27" borderId="0" xfId="170" applyFill="1" applyBorder="1" applyAlignment="1"/>
    <xf numFmtId="0" fontId="2" fillId="27" borderId="0" xfId="169" applyFill="1" applyAlignment="1">
      <alignment horizontal="right"/>
    </xf>
    <xf numFmtId="2" fontId="8" fillId="27" borderId="0" xfId="169" applyNumberFormat="1" applyFont="1" applyFill="1" applyBorder="1"/>
    <xf numFmtId="0" fontId="8" fillId="27" borderId="0" xfId="169" applyFont="1" applyFill="1" applyAlignment="1">
      <alignment horizontal="right"/>
    </xf>
    <xf numFmtId="0" fontId="2" fillId="27" borderId="13" xfId="169" applyFill="1" applyBorder="1"/>
    <xf numFmtId="0" fontId="8" fillId="27" borderId="0" xfId="170" applyFont="1" applyFill="1"/>
    <xf numFmtId="0" fontId="8" fillId="27" borderId="13" xfId="169" applyFont="1" applyFill="1" applyBorder="1" applyAlignment="1">
      <alignment horizontal="right" wrapText="1"/>
    </xf>
    <xf numFmtId="0" fontId="2" fillId="27" borderId="0" xfId="170" applyFill="1" applyBorder="1" applyAlignment="1">
      <alignment horizontal="left" indent="1"/>
    </xf>
    <xf numFmtId="0" fontId="2" fillId="27" borderId="0" xfId="169" applyFont="1" applyFill="1" applyBorder="1" applyAlignment="1">
      <alignment wrapText="1"/>
    </xf>
    <xf numFmtId="0" fontId="2" fillId="27" borderId="0" xfId="169" applyFont="1" applyFill="1" applyBorder="1"/>
    <xf numFmtId="0" fontId="8" fillId="27" borderId="0" xfId="169" applyFont="1" applyFill="1" applyBorder="1" applyAlignment="1">
      <alignment wrapText="1"/>
    </xf>
    <xf numFmtId="0" fontId="2" fillId="27" borderId="0" xfId="171" applyFill="1" applyBorder="1" applyAlignment="1">
      <alignment horizontal="left" indent="1"/>
    </xf>
    <xf numFmtId="2" fontId="2" fillId="27" borderId="0" xfId="169" applyNumberFormat="1" applyFill="1"/>
    <xf numFmtId="0" fontId="8" fillId="27" borderId="0" xfId="170" applyFont="1" applyFill="1" applyBorder="1" applyAlignment="1">
      <alignment horizontal="left" indent="1"/>
    </xf>
    <xf numFmtId="2" fontId="8" fillId="27" borderId="13" xfId="169" applyNumberFormat="1" applyFont="1" applyFill="1" applyBorder="1" applyAlignment="1">
      <alignment horizontal="right"/>
    </xf>
    <xf numFmtId="0" fontId="2" fillId="27" borderId="0" xfId="169" applyFill="1" applyBorder="1"/>
    <xf numFmtId="0" fontId="8" fillId="27" borderId="0" xfId="169" applyFont="1" applyFill="1" applyAlignment="1">
      <alignment horizontal="center" vertical="center"/>
    </xf>
    <xf numFmtId="0" fontId="8" fillId="27" borderId="0" xfId="169" applyFont="1" applyFill="1" applyAlignment="1">
      <alignment horizontal="center"/>
    </xf>
    <xf numFmtId="0" fontId="8" fillId="27" borderId="0" xfId="169" applyFont="1" applyFill="1" applyBorder="1" applyAlignment="1">
      <alignment horizontal="right"/>
    </xf>
    <xf numFmtId="0" fontId="8" fillId="27" borderId="0" xfId="169" applyFont="1" applyFill="1" applyBorder="1" applyAlignment="1">
      <alignment horizontal="right" wrapText="1"/>
    </xf>
    <xf numFmtId="0" fontId="2" fillId="27" borderId="0" xfId="169" applyFont="1" applyFill="1" applyAlignment="1">
      <alignment horizontal="center" vertical="center"/>
    </xf>
    <xf numFmtId="0" fontId="2" fillId="27" borderId="0" xfId="169" applyFill="1" applyAlignment="1">
      <alignment horizontal="center"/>
    </xf>
    <xf numFmtId="0" fontId="8" fillId="0" borderId="0" xfId="142" applyFont="1" applyProtection="1"/>
    <xf numFmtId="0" fontId="2" fillId="0" borderId="0" xfId="142" applyFont="1" applyProtection="1"/>
    <xf numFmtId="0" fontId="0" fillId="0" borderId="0" xfId="0" applyProtection="1"/>
    <xf numFmtId="0" fontId="2" fillId="0" borderId="0" xfId="0" applyFont="1" applyProtection="1"/>
    <xf numFmtId="0" fontId="17" fillId="0" borderId="0" xfId="78" applyFont="1" applyAlignment="1" applyProtection="1">
      <alignment horizontal="left" vertical="center"/>
    </xf>
    <xf numFmtId="0" fontId="14" fillId="0" borderId="0" xfId="122" applyFont="1" applyProtection="1">
      <alignment horizontal="left" vertical="center"/>
    </xf>
    <xf numFmtId="0" fontId="5" fillId="0" borderId="0" xfId="93" applyFont="1" applyProtection="1">
      <alignment horizontal="left" vertical="center"/>
    </xf>
    <xf numFmtId="0" fontId="10" fillId="0" borderId="0" xfId="80" applyProtection="1">
      <alignment horizontal="center" vertical="center"/>
    </xf>
    <xf numFmtId="0" fontId="10" fillId="0" borderId="0" xfId="80" applyAlignment="1" applyProtection="1">
      <alignment horizontal="right" vertical="center"/>
    </xf>
    <xf numFmtId="0" fontId="10" fillId="0" borderId="0" xfId="80" applyAlignment="1" applyProtection="1">
      <alignment horizontal="left" vertical="center"/>
    </xf>
    <xf numFmtId="0" fontId="18" fillId="0" borderId="0" xfId="72" applyFont="1" applyAlignment="1" applyProtection="1">
      <alignment horizontal="left" vertical="center"/>
    </xf>
    <xf numFmtId="0" fontId="15" fillId="31" borderId="8" xfId="87" applyFont="1" applyFill="1" applyProtection="1">
      <alignment horizontal="center" vertical="center"/>
    </xf>
    <xf numFmtId="0" fontId="15" fillId="31" borderId="8" xfId="87" applyFont="1" applyFill="1" applyBorder="1" applyProtection="1">
      <alignment horizontal="center" vertical="center"/>
    </xf>
    <xf numFmtId="0" fontId="16" fillId="31" borderId="8" xfId="89" applyFont="1" applyFill="1" applyAlignment="1" applyProtection="1">
      <alignment horizontal="center" vertical="center"/>
    </xf>
    <xf numFmtId="0" fontId="16" fillId="31" borderId="8" xfId="89" applyFont="1" applyFill="1" applyBorder="1" applyAlignment="1" applyProtection="1">
      <alignment horizontal="center" vertical="center"/>
    </xf>
    <xf numFmtId="0" fontId="16" fillId="0" borderId="8" xfId="89" applyFont="1" applyAlignment="1" applyProtection="1">
      <alignment horizontal="center" vertical="center"/>
    </xf>
    <xf numFmtId="0" fontId="16" fillId="27" borderId="8" xfId="89" applyFont="1" applyFill="1" applyAlignment="1" applyProtection="1">
      <alignment horizontal="center" vertical="center"/>
    </xf>
    <xf numFmtId="0" fontId="0" fillId="0" borderId="0" xfId="0" applyFill="1" applyProtection="1"/>
    <xf numFmtId="0" fontId="18" fillId="0" borderId="0" xfId="72" applyFont="1" applyFill="1" applyBorder="1" applyProtection="1">
      <alignment vertical="center"/>
    </xf>
    <xf numFmtId="0" fontId="0" fillId="0" borderId="0" xfId="0" applyFill="1" applyBorder="1" applyProtection="1"/>
    <xf numFmtId="0" fontId="15" fillId="0" borderId="8" xfId="87" applyFont="1" applyProtection="1">
      <alignment horizontal="center" vertical="center"/>
    </xf>
    <xf numFmtId="0" fontId="15" fillId="0" borderId="8" xfId="87" applyFont="1" applyFill="1" applyProtection="1">
      <alignment horizontal="center" vertical="center"/>
    </xf>
    <xf numFmtId="0" fontId="18" fillId="0" borderId="0" xfId="72" applyFont="1" applyFill="1" applyAlignment="1" applyProtection="1">
      <alignment horizontal="left" vertical="center"/>
    </xf>
    <xf numFmtId="0" fontId="16" fillId="0" borderId="8" xfId="89" applyFont="1" applyFill="1" applyAlignment="1" applyProtection="1">
      <alignment horizontal="center" vertical="center"/>
    </xf>
    <xf numFmtId="4" fontId="2" fillId="27" borderId="0" xfId="169" applyNumberFormat="1" applyFill="1"/>
    <xf numFmtId="172" fontId="65" fillId="31" borderId="31" xfId="114" applyNumberFormat="1" applyFont="1" applyFill="1" applyBorder="1" applyAlignment="1" applyProtection="1">
      <alignment vertical="center"/>
      <protection locked="0"/>
    </xf>
    <xf numFmtId="172" fontId="65" fillId="31" borderId="13" xfId="114" applyNumberFormat="1" applyFont="1" applyFill="1" applyBorder="1" applyAlignment="1" applyProtection="1">
      <alignment vertical="center"/>
      <protection locked="0"/>
    </xf>
    <xf numFmtId="172" fontId="65" fillId="31" borderId="15" xfId="114" applyNumberFormat="1" applyFont="1" applyFill="1" applyBorder="1" applyAlignment="1" applyProtection="1">
      <alignment vertical="center"/>
      <protection locked="0"/>
    </xf>
    <xf numFmtId="0" fontId="65" fillId="0" borderId="0" xfId="76" applyFont="1" applyFill="1" applyProtection="1">
      <alignment vertical="center"/>
    </xf>
    <xf numFmtId="43" fontId="65" fillId="0" borderId="0" xfId="69" applyFont="1" applyProtection="1"/>
    <xf numFmtId="0" fontId="2" fillId="0" borderId="0" xfId="169" applyProtection="1"/>
    <xf numFmtId="0" fontId="108" fillId="0" borderId="0" xfId="169" applyFont="1" applyProtection="1"/>
    <xf numFmtId="0" fontId="2" fillId="0" borderId="0" xfId="169" applyFill="1" applyBorder="1" applyProtection="1"/>
    <xf numFmtId="0" fontId="2" fillId="0" borderId="0" xfId="174" applyFont="1" applyProtection="1"/>
    <xf numFmtId="0" fontId="2" fillId="0" borderId="0" xfId="174" applyFont="1" applyFill="1" applyAlignment="1" applyProtection="1">
      <alignment horizontal="center"/>
    </xf>
    <xf numFmtId="0" fontId="108" fillId="0" borderId="0" xfId="174" applyFont="1" applyFill="1" applyBorder="1" applyAlignment="1" applyProtection="1">
      <alignment horizontal="center"/>
    </xf>
    <xf numFmtId="0" fontId="2" fillId="0" borderId="0" xfId="169" applyBorder="1" applyProtection="1"/>
    <xf numFmtId="0" fontId="108" fillId="0" borderId="0" xfId="169" applyFont="1" applyFill="1" applyBorder="1" applyProtection="1"/>
    <xf numFmtId="0" fontId="108" fillId="0" borderId="0" xfId="169" applyFont="1" applyBorder="1" applyProtection="1"/>
    <xf numFmtId="0" fontId="8" fillId="29" borderId="13" xfId="169" applyFont="1" applyFill="1" applyBorder="1" applyAlignment="1" applyProtection="1">
      <alignment horizontal="center"/>
    </xf>
    <xf numFmtId="0" fontId="8" fillId="0" borderId="0" xfId="169" applyFont="1" applyFill="1" applyBorder="1" applyAlignment="1" applyProtection="1">
      <alignment horizontal="center"/>
    </xf>
    <xf numFmtId="0" fontId="2" fillId="0" borderId="100" xfId="169" applyFill="1" applyBorder="1" applyProtection="1"/>
    <xf numFmtId="0" fontId="2" fillId="0" borderId="0" xfId="174" applyFont="1" applyBorder="1" applyProtection="1"/>
    <xf numFmtId="0" fontId="2" fillId="0" borderId="101" xfId="174" applyFont="1" applyBorder="1" applyProtection="1"/>
    <xf numFmtId="0" fontId="8" fillId="0" borderId="0" xfId="169" applyFont="1" applyProtection="1"/>
    <xf numFmtId="0" fontId="8" fillId="0" borderId="0" xfId="169" applyFont="1" applyFill="1" applyBorder="1" applyProtection="1"/>
    <xf numFmtId="0" fontId="41" fillId="0" borderId="0" xfId="169" applyFont="1" applyProtection="1"/>
    <xf numFmtId="0" fontId="2" fillId="0" borderId="0" xfId="169" applyFont="1" applyProtection="1"/>
    <xf numFmtId="184" fontId="110" fillId="0" borderId="0" xfId="174" applyNumberFormat="1" applyFont="1" applyFill="1" applyBorder="1" applyAlignment="1" applyProtection="1">
      <alignment horizontal="right"/>
    </xf>
    <xf numFmtId="0" fontId="2" fillId="0" borderId="0" xfId="174" applyFont="1" applyFill="1" applyBorder="1" applyProtection="1"/>
    <xf numFmtId="184" fontId="110" fillId="38" borderId="100" xfId="169" applyNumberFormat="1" applyFont="1" applyFill="1" applyBorder="1" applyProtection="1">
      <protection locked="0"/>
    </xf>
    <xf numFmtId="184" fontId="110" fillId="38" borderId="0" xfId="169" applyNumberFormat="1" applyFont="1" applyFill="1" applyBorder="1" applyProtection="1">
      <protection locked="0"/>
    </xf>
    <xf numFmtId="184" fontId="110" fillId="38" borderId="0" xfId="174" applyNumberFormat="1" applyFont="1" applyFill="1" applyBorder="1" applyProtection="1">
      <protection locked="0"/>
    </xf>
    <xf numFmtId="184" fontId="110" fillId="38" borderId="101" xfId="174" applyNumberFormat="1" applyFont="1" applyFill="1" applyBorder="1" applyProtection="1">
      <protection locked="0"/>
    </xf>
    <xf numFmtId="184" fontId="110" fillId="38" borderId="0" xfId="174" applyNumberFormat="1" applyFont="1" applyFill="1" applyProtection="1">
      <protection locked="0"/>
    </xf>
    <xf numFmtId="184" fontId="110" fillId="38" borderId="0" xfId="169" applyNumberFormat="1" applyFont="1" applyFill="1" applyProtection="1">
      <protection locked="0"/>
    </xf>
    <xf numFmtId="191" fontId="110" fillId="38" borderId="100" xfId="169" applyNumberFormat="1" applyFont="1" applyFill="1" applyBorder="1" applyProtection="1">
      <protection locked="0"/>
    </xf>
    <xf numFmtId="191" fontId="110" fillId="38" borderId="0" xfId="169" applyNumberFormat="1" applyFont="1" applyFill="1" applyBorder="1" applyProtection="1">
      <protection locked="0"/>
    </xf>
    <xf numFmtId="191" fontId="110" fillId="38" borderId="0" xfId="174" applyNumberFormat="1" applyFont="1" applyFill="1" applyBorder="1" applyProtection="1">
      <protection locked="0"/>
    </xf>
    <xf numFmtId="191" fontId="110" fillId="38" borderId="101" xfId="174" applyNumberFormat="1" applyFont="1" applyFill="1" applyBorder="1" applyProtection="1">
      <protection locked="0"/>
    </xf>
    <xf numFmtId="191" fontId="110" fillId="38" borderId="0" xfId="174" applyNumberFormat="1" applyFont="1" applyFill="1" applyProtection="1">
      <protection locked="0"/>
    </xf>
    <xf numFmtId="191" fontId="110" fillId="38" borderId="0" xfId="169" applyNumberFormat="1" applyFont="1" applyFill="1" applyProtection="1">
      <protection locked="0"/>
    </xf>
    <xf numFmtId="191" fontId="110" fillId="0" borderId="0" xfId="174" applyNumberFormat="1" applyFont="1" applyFill="1" applyBorder="1" applyProtection="1"/>
    <xf numFmtId="0" fontId="2" fillId="0" borderId="0" xfId="175" applyFont="1" applyFill="1" applyBorder="1" applyAlignment="1" applyProtection="1">
      <alignment horizontal="left"/>
    </xf>
    <xf numFmtId="184" fontId="2" fillId="0" borderId="0" xfId="175" applyNumberFormat="1" applyFont="1" applyFill="1" applyBorder="1" applyProtection="1"/>
    <xf numFmtId="184" fontId="2" fillId="0" borderId="100" xfId="169" applyNumberFormat="1" applyFill="1" applyBorder="1" applyProtection="1"/>
    <xf numFmtId="184" fontId="2" fillId="0" borderId="0" xfId="169" applyNumberFormat="1" applyFill="1" applyBorder="1" applyProtection="1"/>
    <xf numFmtId="184" fontId="2" fillId="0" borderId="0" xfId="174" applyNumberFormat="1" applyFont="1" applyBorder="1" applyProtection="1"/>
    <xf numFmtId="184" fontId="2" fillId="0" borderId="101" xfId="174" applyNumberFormat="1" applyFont="1" applyBorder="1" applyProtection="1"/>
    <xf numFmtId="184" fontId="2" fillId="0" borderId="0" xfId="174" applyNumberFormat="1" applyFont="1" applyProtection="1"/>
    <xf numFmtId="184" fontId="2" fillId="0" borderId="0" xfId="169" applyNumberFormat="1" applyProtection="1"/>
    <xf numFmtId="0" fontId="41" fillId="39" borderId="51" xfId="174" applyFont="1" applyFill="1" applyBorder="1" applyProtection="1"/>
    <xf numFmtId="0" fontId="2" fillId="0" borderId="101" xfId="174" applyFont="1" applyFill="1" applyBorder="1" applyProtection="1"/>
    <xf numFmtId="0" fontId="8" fillId="40" borderId="16" xfId="174" applyFont="1" applyFill="1" applyBorder="1" applyProtection="1"/>
    <xf numFmtId="0" fontId="8" fillId="40" borderId="17" xfId="174" applyFont="1" applyFill="1" applyBorder="1" applyProtection="1"/>
    <xf numFmtId="0" fontId="8" fillId="0" borderId="0" xfId="169" applyFont="1" applyBorder="1" applyProtection="1"/>
    <xf numFmtId="190" fontId="108" fillId="0" borderId="0" xfId="69" applyNumberFormat="1" applyFont="1" applyProtection="1"/>
    <xf numFmtId="186" fontId="108" fillId="0" borderId="0" xfId="69" applyNumberFormat="1" applyFont="1" applyProtection="1"/>
    <xf numFmtId="0" fontId="113" fillId="33" borderId="19" xfId="174" applyFont="1" applyFill="1" applyBorder="1" applyAlignment="1" applyProtection="1">
      <alignment horizontal="left" indent="1"/>
    </xf>
    <xf numFmtId="0" fontId="113" fillId="33" borderId="0" xfId="174" applyFont="1" applyFill="1" applyBorder="1" applyProtection="1"/>
    <xf numFmtId="173" fontId="113" fillId="33" borderId="0" xfId="174" applyNumberFormat="1" applyFont="1" applyFill="1" applyBorder="1" applyProtection="1"/>
    <xf numFmtId="0" fontId="113" fillId="0" borderId="0" xfId="169" applyFont="1" applyBorder="1" applyProtection="1"/>
    <xf numFmtId="0" fontId="113" fillId="0" borderId="0" xfId="169" applyFont="1" applyProtection="1"/>
    <xf numFmtId="0" fontId="114" fillId="0" borderId="0" xfId="169" applyFont="1" applyProtection="1"/>
    <xf numFmtId="173" fontId="114" fillId="0" borderId="0" xfId="101" applyNumberFormat="1" applyFont="1" applyAlignment="1" applyProtection="1">
      <alignment horizontal="left"/>
    </xf>
    <xf numFmtId="173" fontId="114" fillId="0" borderId="0" xfId="101" applyNumberFormat="1" applyFont="1" applyProtection="1"/>
    <xf numFmtId="0" fontId="113" fillId="0" borderId="19" xfId="174" applyFont="1" applyFill="1" applyBorder="1" applyAlignment="1" applyProtection="1">
      <alignment horizontal="left" indent="1"/>
    </xf>
    <xf numFmtId="0" fontId="113" fillId="0" borderId="0" xfId="174" applyFont="1" applyFill="1" applyBorder="1" applyProtection="1"/>
    <xf numFmtId="173" fontId="113" fillId="0" borderId="0" xfId="174" applyNumberFormat="1" applyFont="1" applyFill="1" applyBorder="1" applyProtection="1"/>
    <xf numFmtId="173" fontId="113" fillId="0" borderId="0" xfId="174" applyNumberFormat="1" applyFont="1" applyFill="1" applyBorder="1" applyAlignment="1" applyProtection="1">
      <alignment horizontal="right"/>
    </xf>
    <xf numFmtId="173" fontId="113" fillId="0" borderId="100" xfId="174" applyNumberFormat="1" applyFont="1" applyFill="1" applyBorder="1" applyAlignment="1" applyProtection="1">
      <alignment horizontal="right"/>
    </xf>
    <xf numFmtId="173" fontId="113" fillId="0" borderId="101" xfId="174" applyNumberFormat="1" applyFont="1" applyFill="1" applyBorder="1" applyAlignment="1" applyProtection="1">
      <alignment horizontal="right"/>
    </xf>
    <xf numFmtId="173" fontId="113" fillId="0" borderId="20" xfId="174" applyNumberFormat="1" applyFont="1" applyFill="1" applyBorder="1" applyAlignment="1" applyProtection="1">
      <alignment horizontal="right"/>
    </xf>
    <xf numFmtId="0" fontId="113" fillId="0" borderId="0" xfId="169" applyFont="1" applyFill="1" applyBorder="1" applyProtection="1"/>
    <xf numFmtId="0" fontId="113" fillId="0" borderId="0" xfId="169" applyFont="1" applyFill="1" applyProtection="1"/>
    <xf numFmtId="0" fontId="114" fillId="0" borderId="0" xfId="169" applyFont="1" applyFill="1" applyProtection="1"/>
    <xf numFmtId="190" fontId="108" fillId="0" borderId="0" xfId="69" applyNumberFormat="1" applyFont="1" applyFill="1" applyProtection="1"/>
    <xf numFmtId="186" fontId="108" fillId="0" borderId="0" xfId="69" applyNumberFormat="1" applyFont="1" applyFill="1" applyProtection="1"/>
    <xf numFmtId="0" fontId="8" fillId="40" borderId="19" xfId="174" applyFont="1" applyFill="1" applyBorder="1" applyProtection="1"/>
    <xf numFmtId="0" fontId="8" fillId="40" borderId="0" xfId="174" applyFont="1" applyFill="1" applyBorder="1" applyProtection="1"/>
    <xf numFmtId="0" fontId="113" fillId="33" borderId="21" xfId="174" applyFont="1" applyFill="1" applyBorder="1" applyAlignment="1" applyProtection="1">
      <alignment horizontal="left" indent="1"/>
    </xf>
    <xf numFmtId="0" fontId="113" fillId="33" borderId="22" xfId="174" applyFont="1" applyFill="1" applyBorder="1" applyProtection="1"/>
    <xf numFmtId="4" fontId="113" fillId="33" borderId="22" xfId="174" applyNumberFormat="1" applyFont="1" applyFill="1" applyBorder="1" applyProtection="1"/>
    <xf numFmtId="0" fontId="115" fillId="32" borderId="0" xfId="175" applyFont="1" applyFill="1" applyBorder="1" applyAlignment="1" applyProtection="1">
      <alignment horizontal="left"/>
    </xf>
    <xf numFmtId="0" fontId="116" fillId="32" borderId="0" xfId="174" applyFont="1" applyFill="1" applyBorder="1" applyProtection="1"/>
    <xf numFmtId="184" fontId="116" fillId="32" borderId="0" xfId="175" applyNumberFormat="1" applyFont="1" applyFill="1" applyBorder="1" applyProtection="1"/>
    <xf numFmtId="184" fontId="116" fillId="32" borderId="100" xfId="169" applyNumberFormat="1" applyFont="1" applyFill="1" applyBorder="1" applyProtection="1"/>
    <xf numFmtId="184" fontId="116" fillId="32" borderId="0" xfId="169" applyNumberFormat="1" applyFont="1" applyFill="1" applyBorder="1" applyProtection="1"/>
    <xf numFmtId="184" fontId="116" fillId="32" borderId="0" xfId="174" applyNumberFormat="1" applyFont="1" applyFill="1" applyBorder="1" applyProtection="1"/>
    <xf numFmtId="184" fontId="116" fillId="32" borderId="101" xfId="174" applyNumberFormat="1" applyFont="1" applyFill="1" applyBorder="1" applyProtection="1"/>
    <xf numFmtId="184" fontId="116" fillId="32" borderId="0" xfId="174" applyNumberFormat="1" applyFont="1" applyFill="1" applyProtection="1"/>
    <xf numFmtId="184" fontId="116" fillId="32" borderId="0" xfId="169" applyNumberFormat="1" applyFont="1" applyFill="1" applyProtection="1"/>
    <xf numFmtId="0" fontId="8" fillId="32" borderId="0" xfId="175" applyFont="1" applyFill="1" applyBorder="1" applyAlignment="1" applyProtection="1">
      <alignment horizontal="left"/>
    </xf>
    <xf numFmtId="0" fontId="2" fillId="32" borderId="0" xfId="174" applyFont="1" applyFill="1" applyBorder="1" applyProtection="1"/>
    <xf numFmtId="184" fontId="2" fillId="32" borderId="0" xfId="175" applyNumberFormat="1" applyFont="1" applyFill="1" applyBorder="1" applyProtection="1"/>
    <xf numFmtId="184" fontId="2" fillId="32" borderId="100" xfId="169" applyNumberFormat="1" applyFill="1" applyBorder="1" applyProtection="1"/>
    <xf numFmtId="184" fontId="2" fillId="32" borderId="0" xfId="169" applyNumberFormat="1" applyFill="1" applyBorder="1" applyProtection="1"/>
    <xf numFmtId="184" fontId="2" fillId="32" borderId="0" xfId="174" applyNumberFormat="1" applyFont="1" applyFill="1" applyBorder="1" applyProtection="1"/>
    <xf numFmtId="184" fontId="2" fillId="32" borderId="101" xfId="174" applyNumberFormat="1" applyFont="1" applyFill="1" applyBorder="1" applyProtection="1"/>
    <xf numFmtId="184" fontId="2" fillId="32" borderId="0" xfId="174" applyNumberFormat="1" applyFont="1" applyFill="1" applyProtection="1"/>
    <xf numFmtId="184" fontId="2" fillId="32" borderId="0" xfId="169" applyNumberFormat="1" applyFill="1" applyProtection="1"/>
    <xf numFmtId="184" fontId="2" fillId="0" borderId="0" xfId="174" applyNumberFormat="1" applyFont="1" applyFill="1" applyBorder="1" applyAlignment="1" applyProtection="1">
      <alignment horizontal="right"/>
    </xf>
    <xf numFmtId="184" fontId="2" fillId="0" borderId="100" xfId="169" applyNumberFormat="1" applyFont="1" applyFill="1" applyBorder="1" applyProtection="1"/>
    <xf numFmtId="184" fontId="2" fillId="0" borderId="0" xfId="169" applyNumberFormat="1" applyFont="1" applyFill="1" applyBorder="1" applyProtection="1"/>
    <xf numFmtId="184" fontId="2" fillId="0" borderId="0" xfId="174" applyNumberFormat="1" applyFont="1" applyFill="1" applyBorder="1" applyProtection="1"/>
    <xf numFmtId="184" fontId="2" fillId="0" borderId="101" xfId="174" applyNumberFormat="1" applyFont="1" applyFill="1" applyBorder="1" applyProtection="1"/>
    <xf numFmtId="184" fontId="2" fillId="0" borderId="0" xfId="174" applyNumberFormat="1" applyFont="1" applyFill="1" applyProtection="1"/>
    <xf numFmtId="184" fontId="2" fillId="0" borderId="0" xfId="169" applyNumberFormat="1" applyFont="1" applyFill="1" applyProtection="1"/>
    <xf numFmtId="191" fontId="2" fillId="0" borderId="0" xfId="174" applyNumberFormat="1" applyFont="1" applyFill="1" applyBorder="1" applyAlignment="1" applyProtection="1">
      <alignment horizontal="right"/>
    </xf>
    <xf numFmtId="191" fontId="2" fillId="0" borderId="100" xfId="169" applyNumberFormat="1" applyFont="1" applyFill="1" applyBorder="1" applyProtection="1"/>
    <xf numFmtId="191" fontId="2" fillId="0" borderId="0" xfId="169" applyNumberFormat="1" applyFont="1" applyFill="1" applyBorder="1" applyProtection="1"/>
    <xf numFmtId="191" fontId="2" fillId="0" borderId="0" xfId="174" applyNumberFormat="1" applyFont="1" applyFill="1" applyBorder="1" applyProtection="1"/>
    <xf numFmtId="191" fontId="2" fillId="0" borderId="101" xfId="174" applyNumberFormat="1" applyFont="1" applyFill="1" applyBorder="1" applyProtection="1"/>
    <xf numFmtId="191" fontId="2" fillId="0" borderId="0" xfId="174" applyNumberFormat="1" applyFont="1" applyFill="1" applyProtection="1"/>
    <xf numFmtId="191" fontId="2" fillId="0" borderId="0" xfId="169" applyNumberFormat="1" applyFont="1" applyFill="1" applyProtection="1"/>
    <xf numFmtId="0" fontId="8" fillId="0" borderId="27" xfId="174" applyFont="1" applyFill="1" applyBorder="1" applyProtection="1"/>
    <xf numFmtId="0" fontId="8" fillId="0" borderId="28" xfId="174" applyFont="1" applyFill="1" applyBorder="1" applyProtection="1"/>
    <xf numFmtId="179" fontId="8" fillId="0" borderId="28" xfId="175" applyNumberFormat="1" applyFont="1" applyFill="1" applyBorder="1" applyProtection="1"/>
    <xf numFmtId="179" fontId="8" fillId="0" borderId="108" xfId="175" applyNumberFormat="1" applyFont="1" applyFill="1" applyBorder="1" applyProtection="1"/>
    <xf numFmtId="179" fontId="8" fillId="0" borderId="109" xfId="175" applyNumberFormat="1" applyFont="1" applyFill="1" applyBorder="1" applyProtection="1"/>
    <xf numFmtId="179" fontId="8" fillId="0" borderId="29" xfId="175" applyNumberFormat="1" applyFont="1" applyFill="1" applyBorder="1" applyProtection="1"/>
    <xf numFmtId="0" fontId="8" fillId="0" borderId="31" xfId="174" applyFont="1" applyFill="1" applyBorder="1" applyProtection="1"/>
    <xf numFmtId="0" fontId="8" fillId="0" borderId="13" xfId="174" applyFont="1" applyFill="1" applyBorder="1" applyProtection="1"/>
    <xf numFmtId="179" fontId="8" fillId="0" borderId="13" xfId="174" applyNumberFormat="1" applyFont="1" applyFill="1" applyBorder="1" applyProtection="1"/>
    <xf numFmtId="179" fontId="8" fillId="0" borderId="102" xfId="174" applyNumberFormat="1" applyFont="1" applyFill="1" applyBorder="1" applyProtection="1"/>
    <xf numFmtId="179" fontId="8" fillId="0" borderId="103" xfId="174" applyNumberFormat="1" applyFont="1" applyFill="1" applyBorder="1" applyProtection="1"/>
    <xf numFmtId="179" fontId="8" fillId="0" borderId="15" xfId="174" applyNumberFormat="1" applyFont="1" applyFill="1" applyBorder="1" applyProtection="1"/>
    <xf numFmtId="0" fontId="41" fillId="41" borderId="51" xfId="174" applyFont="1" applyFill="1" applyBorder="1" applyProtection="1"/>
    <xf numFmtId="0" fontId="8" fillId="42" borderId="16" xfId="174" applyFont="1" applyFill="1" applyBorder="1" applyProtection="1"/>
    <xf numFmtId="0" fontId="8" fillId="42" borderId="17" xfId="174" applyFont="1" applyFill="1" applyBorder="1" applyProtection="1"/>
    <xf numFmtId="0" fontId="113" fillId="32" borderId="19" xfId="174" applyFont="1" applyFill="1" applyBorder="1" applyAlignment="1" applyProtection="1">
      <alignment horizontal="left" indent="1"/>
    </xf>
    <xf numFmtId="0" fontId="113" fillId="32" borderId="0" xfId="174" applyFont="1" applyFill="1" applyBorder="1" applyProtection="1"/>
    <xf numFmtId="173" fontId="113" fillId="32" borderId="0" xfId="174" applyNumberFormat="1" applyFont="1" applyFill="1" applyBorder="1" applyProtection="1"/>
    <xf numFmtId="0" fontId="8" fillId="42" borderId="19" xfId="174" applyFont="1" applyFill="1" applyBorder="1" applyProtection="1"/>
    <xf numFmtId="0" fontId="8" fillId="42" borderId="0" xfId="174" applyFont="1" applyFill="1" applyBorder="1" applyProtection="1"/>
    <xf numFmtId="0" fontId="113" fillId="32" borderId="21" xfId="174" applyFont="1" applyFill="1" applyBorder="1" applyAlignment="1" applyProtection="1">
      <alignment horizontal="left" indent="1"/>
    </xf>
    <xf numFmtId="0" fontId="113" fillId="32" borderId="22" xfId="174" applyFont="1" applyFill="1" applyBorder="1" applyProtection="1"/>
    <xf numFmtId="4" fontId="113" fillId="32" borderId="22" xfId="174" applyNumberFormat="1" applyFont="1" applyFill="1" applyBorder="1" applyProtection="1"/>
    <xf numFmtId="0" fontId="117" fillId="30" borderId="0" xfId="174" applyFont="1" applyFill="1" applyBorder="1" applyProtection="1"/>
    <xf numFmtId="0" fontId="2" fillId="30" borderId="0" xfId="174" applyFont="1" applyFill="1" applyBorder="1" applyProtection="1"/>
    <xf numFmtId="184" fontId="2" fillId="30" borderId="0" xfId="174" applyNumberFormat="1" applyFont="1" applyFill="1" applyBorder="1" applyProtection="1"/>
    <xf numFmtId="0" fontId="2" fillId="30" borderId="0" xfId="169" applyFill="1" applyBorder="1" applyProtection="1"/>
    <xf numFmtId="0" fontId="8" fillId="0" borderId="0" xfId="174" applyFont="1" applyBorder="1" applyProtection="1"/>
    <xf numFmtId="0" fontId="2" fillId="0" borderId="0" xfId="169" applyFont="1" applyFill="1" applyBorder="1" applyAlignment="1" applyProtection="1">
      <alignment horizontal="left"/>
    </xf>
    <xf numFmtId="0" fontId="2" fillId="0" borderId="0" xfId="174" applyFont="1" applyFill="1" applyBorder="1" applyAlignment="1" applyProtection="1">
      <alignment horizontal="left"/>
    </xf>
    <xf numFmtId="0" fontId="2" fillId="0" borderId="0" xfId="169" applyFont="1" applyFill="1" applyBorder="1" applyAlignment="1" applyProtection="1">
      <alignment horizontal="right"/>
    </xf>
    <xf numFmtId="184" fontId="2" fillId="0" borderId="101" xfId="169" applyNumberFormat="1" applyFont="1" applyFill="1" applyBorder="1" applyProtection="1"/>
    <xf numFmtId="0" fontId="8" fillId="0" borderId="0" xfId="174" applyFont="1" applyFill="1" applyBorder="1" applyProtection="1"/>
    <xf numFmtId="0" fontId="2" fillId="0" borderId="0" xfId="169" applyFont="1" applyBorder="1" applyAlignment="1" applyProtection="1">
      <alignment horizontal="right"/>
    </xf>
    <xf numFmtId="0" fontId="2" fillId="0" borderId="0" xfId="169" applyFont="1" applyAlignment="1" applyProtection="1">
      <alignment horizontal="right"/>
    </xf>
    <xf numFmtId="173" fontId="2" fillId="0" borderId="0" xfId="169" applyNumberFormat="1" applyFont="1" applyProtection="1"/>
    <xf numFmtId="3" fontId="2" fillId="0" borderId="0" xfId="169" applyNumberFormat="1" applyFont="1" applyProtection="1"/>
    <xf numFmtId="0" fontId="2" fillId="0" borderId="100" xfId="169" applyBorder="1" applyProtection="1"/>
    <xf numFmtId="0" fontId="2" fillId="0" borderId="0" xfId="174" applyFont="1" applyAlignment="1" applyProtection="1">
      <alignment horizontal="right"/>
    </xf>
    <xf numFmtId="3" fontId="2" fillId="0" borderId="0" xfId="169" applyNumberFormat="1" applyFont="1" applyBorder="1" applyProtection="1"/>
    <xf numFmtId="171" fontId="2" fillId="0" borderId="0" xfId="174" applyNumberFormat="1" applyFont="1" applyBorder="1" applyProtection="1"/>
    <xf numFmtId="0" fontId="2" fillId="0" borderId="110" xfId="169" applyFont="1" applyBorder="1" applyAlignment="1" applyProtection="1">
      <alignment horizontal="right"/>
    </xf>
    <xf numFmtId="0" fontId="2" fillId="0" borderId="0" xfId="169" applyFont="1" applyBorder="1" applyProtection="1"/>
    <xf numFmtId="0" fontId="2" fillId="0" borderId="0" xfId="174" applyFont="1" applyFill="1" applyBorder="1" applyAlignment="1" applyProtection="1">
      <alignment horizontal="right"/>
    </xf>
    <xf numFmtId="171" fontId="2" fillId="0" borderId="28" xfId="174" applyNumberFormat="1" applyFont="1" applyFill="1" applyBorder="1" applyProtection="1"/>
    <xf numFmtId="184" fontId="2" fillId="0" borderId="28" xfId="174" applyNumberFormat="1" applyFont="1" applyFill="1" applyBorder="1" applyProtection="1"/>
    <xf numFmtId="184" fontId="2" fillId="0" borderId="108" xfId="174" applyNumberFormat="1" applyFont="1" applyFill="1" applyBorder="1" applyProtection="1"/>
    <xf numFmtId="184" fontId="2" fillId="0" borderId="109" xfId="174" applyNumberFormat="1" applyFont="1" applyFill="1" applyBorder="1" applyProtection="1"/>
    <xf numFmtId="171" fontId="2" fillId="0" borderId="0" xfId="174" applyNumberFormat="1" applyFont="1" applyFill="1" applyBorder="1" applyProtection="1"/>
    <xf numFmtId="1" fontId="2" fillId="0" borderId="0" xfId="174" applyNumberFormat="1" applyFont="1" applyFill="1" applyBorder="1" applyProtection="1"/>
    <xf numFmtId="0" fontId="2" fillId="0" borderId="113" xfId="169" applyFont="1" applyBorder="1" applyAlignment="1" applyProtection="1">
      <alignment horizontal="right"/>
    </xf>
    <xf numFmtId="184" fontId="2" fillId="0" borderId="113" xfId="174" applyNumberFormat="1" applyFont="1" applyFill="1" applyBorder="1" applyProtection="1"/>
    <xf numFmtId="184" fontId="2" fillId="0" borderId="114" xfId="174" applyNumberFormat="1" applyFont="1" applyFill="1" applyBorder="1" applyProtection="1"/>
    <xf numFmtId="184" fontId="2" fillId="0" borderId="115" xfId="174" applyNumberFormat="1" applyFont="1" applyFill="1" applyBorder="1" applyProtection="1"/>
    <xf numFmtId="0" fontId="2" fillId="0" borderId="116" xfId="169" applyFont="1" applyBorder="1" applyAlignment="1" applyProtection="1">
      <alignment horizontal="right"/>
    </xf>
    <xf numFmtId="184" fontId="2" fillId="0" borderId="116" xfId="174" applyNumberFormat="1" applyFont="1" applyFill="1" applyBorder="1" applyProtection="1"/>
    <xf numFmtId="184" fontId="2" fillId="0" borderId="117" xfId="174" applyNumberFormat="1" applyFont="1" applyFill="1" applyBorder="1" applyProtection="1"/>
    <xf numFmtId="184" fontId="2" fillId="0" borderId="118" xfId="174" applyNumberFormat="1" applyFont="1" applyFill="1" applyBorder="1" applyProtection="1"/>
    <xf numFmtId="184" fontId="2" fillId="0" borderId="110" xfId="174" applyNumberFormat="1" applyFont="1" applyFill="1" applyBorder="1" applyProtection="1"/>
    <xf numFmtId="184" fontId="2" fillId="0" borderId="111" xfId="174" applyNumberFormat="1" applyFont="1" applyFill="1" applyBorder="1" applyProtection="1"/>
    <xf numFmtId="184" fontId="2" fillId="0" borderId="112" xfId="174" applyNumberFormat="1" applyFont="1" applyFill="1" applyBorder="1" applyProtection="1"/>
    <xf numFmtId="0" fontId="2" fillId="0" borderId="28" xfId="174" applyFont="1" applyFill="1" applyBorder="1" applyAlignment="1" applyProtection="1">
      <alignment horizontal="right"/>
    </xf>
    <xf numFmtId="0" fontId="113" fillId="0" borderId="0" xfId="174" applyFont="1" applyFill="1" applyBorder="1" applyAlignment="1" applyProtection="1">
      <alignment horizontal="right"/>
    </xf>
    <xf numFmtId="173" fontId="113" fillId="0" borderId="100" xfId="174" applyNumberFormat="1" applyFont="1" applyFill="1" applyBorder="1" applyProtection="1"/>
    <xf numFmtId="173" fontId="113" fillId="0" borderId="101" xfId="174" applyNumberFormat="1" applyFont="1" applyFill="1" applyBorder="1" applyProtection="1"/>
    <xf numFmtId="9" fontId="2" fillId="0" borderId="0" xfId="174" applyNumberFormat="1" applyFont="1" applyFill="1" applyBorder="1" applyProtection="1"/>
    <xf numFmtId="0" fontId="2" fillId="0" borderId="13" xfId="174" applyFont="1" applyFill="1" applyBorder="1" applyAlignment="1" applyProtection="1">
      <alignment vertical="top"/>
    </xf>
    <xf numFmtId="0" fontId="2" fillId="0" borderId="13" xfId="174" applyFont="1" applyFill="1" applyBorder="1" applyAlignment="1" applyProtection="1">
      <alignment horizontal="center" vertical="top"/>
    </xf>
    <xf numFmtId="0" fontId="2" fillId="0" borderId="0" xfId="174" applyFont="1" applyFill="1" applyBorder="1" applyAlignment="1" applyProtection="1">
      <alignment horizontal="center" vertical="top" wrapText="1"/>
    </xf>
    <xf numFmtId="0" fontId="2" fillId="0" borderId="0" xfId="174" applyFont="1" applyFill="1" applyBorder="1" applyAlignment="1" applyProtection="1">
      <alignment vertical="top" wrapText="1"/>
    </xf>
    <xf numFmtId="171" fontId="2" fillId="0" borderId="0" xfId="174" applyNumberFormat="1" applyFont="1" applyFill="1" applyBorder="1" applyAlignment="1" applyProtection="1">
      <alignment horizontal="center"/>
    </xf>
    <xf numFmtId="0" fontId="2" fillId="0" borderId="113" xfId="169" applyFont="1" applyBorder="1" applyProtection="1"/>
    <xf numFmtId="171" fontId="2" fillId="0" borderId="113" xfId="174" applyNumberFormat="1" applyFont="1" applyFill="1" applyBorder="1" applyAlignment="1" applyProtection="1">
      <alignment horizontal="center"/>
    </xf>
    <xf numFmtId="171" fontId="110" fillId="0" borderId="0" xfId="174" applyNumberFormat="1" applyFont="1" applyFill="1" applyBorder="1" applyAlignment="1" applyProtection="1">
      <alignment horizontal="center"/>
    </xf>
    <xf numFmtId="0" fontId="2" fillId="0" borderId="0" xfId="174" applyFont="1" applyFill="1" applyBorder="1" applyAlignment="1" applyProtection="1">
      <alignment horizontal="center"/>
    </xf>
    <xf numFmtId="2" fontId="8" fillId="0" borderId="0" xfId="174" applyNumberFormat="1" applyFont="1" applyFill="1" applyBorder="1" applyProtection="1"/>
    <xf numFmtId="171" fontId="8" fillId="0" borderId="0" xfId="174" applyNumberFormat="1" applyFont="1" applyFill="1" applyBorder="1" applyProtection="1"/>
    <xf numFmtId="0" fontId="65" fillId="43" borderId="0" xfId="0" applyFont="1" applyFill="1" applyProtection="1"/>
    <xf numFmtId="0" fontId="65" fillId="43" borderId="0" xfId="0" applyFont="1" applyFill="1" applyBorder="1" applyProtection="1"/>
    <xf numFmtId="172" fontId="65" fillId="0" borderId="0" xfId="215" applyNumberFormat="1" applyFont="1" applyBorder="1" applyProtection="1">
      <alignment horizontal="right" vertical="center"/>
    </xf>
    <xf numFmtId="0" fontId="118" fillId="0" borderId="0" xfId="0" applyFont="1" applyProtection="1"/>
    <xf numFmtId="172" fontId="69" fillId="29" borderId="0" xfId="215" applyNumberFormat="1" applyFont="1" applyFill="1" applyBorder="1" applyProtection="1">
      <alignment horizontal="right" vertical="center"/>
    </xf>
    <xf numFmtId="0" fontId="69" fillId="0" borderId="0" xfId="0" applyFont="1" applyFill="1" applyProtection="1"/>
    <xf numFmtId="172" fontId="119" fillId="0" borderId="0" xfId="0" applyNumberFormat="1" applyFont="1" applyProtection="1"/>
    <xf numFmtId="172" fontId="65" fillId="29" borderId="19" xfId="215" applyNumberFormat="1" applyFont="1" applyFill="1" applyBorder="1" applyAlignment="1" applyProtection="1">
      <alignment horizontal="left" vertical="center" indent="1"/>
    </xf>
    <xf numFmtId="172" fontId="65" fillId="29" borderId="0" xfId="215" applyNumberFormat="1" applyFont="1" applyFill="1" applyBorder="1" applyProtection="1">
      <alignment horizontal="right" vertical="center"/>
    </xf>
    <xf numFmtId="0" fontId="88" fillId="0" borderId="0" xfId="0" applyFont="1" applyProtection="1"/>
    <xf numFmtId="172" fontId="120" fillId="0" borderId="0" xfId="0" applyNumberFormat="1" applyFont="1" applyProtection="1"/>
    <xf numFmtId="172" fontId="88" fillId="29" borderId="19" xfId="215" applyNumberFormat="1" applyFont="1" applyFill="1" applyBorder="1" applyAlignment="1" applyProtection="1">
      <alignment horizontal="left" vertical="center" indent="1"/>
    </xf>
    <xf numFmtId="172" fontId="88" fillId="29" borderId="0" xfId="215" applyNumberFormat="1" applyFont="1" applyFill="1" applyBorder="1" applyProtection="1">
      <alignment horizontal="right" vertical="center"/>
    </xf>
    <xf numFmtId="2" fontId="88" fillId="29" borderId="0" xfId="0" applyNumberFormat="1" applyFont="1" applyFill="1" applyBorder="1" applyAlignment="1" applyProtection="1">
      <alignment horizontal="right"/>
    </xf>
    <xf numFmtId="2" fontId="88" fillId="29" borderId="14" xfId="0" applyNumberFormat="1" applyFont="1" applyFill="1" applyBorder="1" applyAlignment="1" applyProtection="1">
      <alignment horizontal="right"/>
    </xf>
    <xf numFmtId="43" fontId="88" fillId="29" borderId="14" xfId="69" applyFont="1" applyFill="1" applyBorder="1" applyAlignment="1" applyProtection="1">
      <alignment horizontal="right"/>
    </xf>
    <xf numFmtId="43" fontId="88" fillId="29" borderId="0" xfId="69" applyFont="1" applyFill="1" applyBorder="1" applyAlignment="1" applyProtection="1">
      <alignment horizontal="right"/>
    </xf>
    <xf numFmtId="43" fontId="88" fillId="29" borderId="20" xfId="69" applyFont="1" applyFill="1" applyBorder="1" applyAlignment="1" applyProtection="1">
      <alignment horizontal="right"/>
    </xf>
    <xf numFmtId="0" fontId="88" fillId="0" borderId="0" xfId="0" applyFont="1" applyBorder="1" applyProtection="1"/>
    <xf numFmtId="0" fontId="88" fillId="0" borderId="0" xfId="0" applyFont="1" applyFill="1" applyProtection="1"/>
    <xf numFmtId="0" fontId="69" fillId="43" borderId="0" xfId="0" applyFont="1" applyFill="1" applyProtection="1"/>
    <xf numFmtId="0" fontId="69" fillId="29" borderId="0" xfId="0" applyFont="1" applyFill="1" applyBorder="1" applyProtection="1"/>
    <xf numFmtId="0" fontId="119" fillId="0" borderId="0" xfId="0" applyFont="1" applyProtection="1"/>
    <xf numFmtId="0" fontId="88" fillId="43" borderId="0" xfId="0" applyFont="1" applyFill="1" applyProtection="1"/>
    <xf numFmtId="172" fontId="88" fillId="29" borderId="73" xfId="215" applyNumberFormat="1" applyFont="1" applyFill="1" applyBorder="1" applyAlignment="1" applyProtection="1">
      <alignment horizontal="left" vertical="center" indent="1"/>
    </xf>
    <xf numFmtId="172" fontId="88" fillId="29" borderId="13" xfId="215" applyNumberFormat="1" applyFont="1" applyFill="1" applyBorder="1" applyProtection="1">
      <alignment horizontal="right" vertical="center"/>
    </xf>
    <xf numFmtId="0" fontId="69" fillId="27" borderId="79" xfId="0" applyFont="1" applyFill="1" applyBorder="1" applyProtection="1"/>
    <xf numFmtId="0" fontId="65" fillId="0" borderId="32" xfId="0" applyFont="1" applyBorder="1" applyProtection="1"/>
    <xf numFmtId="172" fontId="121" fillId="0" borderId="0" xfId="0" applyNumberFormat="1" applyFont="1" applyProtection="1"/>
    <xf numFmtId="172" fontId="88" fillId="29" borderId="16" xfId="215" applyNumberFormat="1" applyFont="1" applyFill="1" applyBorder="1" applyAlignment="1" applyProtection="1">
      <alignment horizontal="left" vertical="center" indent="1"/>
    </xf>
    <xf numFmtId="172" fontId="88" fillId="29" borderId="17" xfId="215" applyNumberFormat="1" applyFont="1" applyFill="1" applyBorder="1" applyProtection="1">
      <alignment horizontal="right" vertical="center"/>
    </xf>
    <xf numFmtId="2" fontId="88" fillId="29" borderId="17" xfId="0" applyNumberFormat="1" applyFont="1" applyFill="1" applyBorder="1" applyAlignment="1" applyProtection="1">
      <alignment horizontal="right"/>
    </xf>
    <xf numFmtId="2" fontId="88" fillId="29" borderId="48" xfId="0" applyNumberFormat="1" applyFont="1" applyFill="1" applyBorder="1" applyAlignment="1" applyProtection="1">
      <alignment horizontal="right"/>
    </xf>
    <xf numFmtId="0" fontId="73" fillId="0" borderId="0" xfId="0" applyFont="1" applyProtection="1"/>
    <xf numFmtId="172" fontId="81" fillId="0" borderId="0" xfId="0" applyNumberFormat="1" applyFont="1" applyProtection="1"/>
    <xf numFmtId="173" fontId="65" fillId="29" borderId="14" xfId="101" applyNumberFormat="1" applyFont="1" applyFill="1" applyBorder="1" applyAlignment="1" applyProtection="1">
      <alignment horizontal="right"/>
    </xf>
    <xf numFmtId="173" fontId="65" fillId="29" borderId="0" xfId="101" applyNumberFormat="1" applyFont="1" applyFill="1" applyBorder="1" applyAlignment="1" applyProtection="1">
      <alignment horizontal="right"/>
    </xf>
    <xf numFmtId="173" fontId="65" fillId="29" borderId="20" xfId="101" applyNumberFormat="1" applyFont="1" applyFill="1" applyBorder="1" applyAlignment="1" applyProtection="1">
      <alignment horizontal="right"/>
    </xf>
    <xf numFmtId="0" fontId="81" fillId="0" borderId="0" xfId="0" applyFont="1" applyProtection="1"/>
    <xf numFmtId="172" fontId="88" fillId="29" borderId="21" xfId="215" applyNumberFormat="1" applyFont="1" applyFill="1" applyBorder="1" applyAlignment="1" applyProtection="1">
      <alignment horizontal="left" vertical="center" indent="1"/>
    </xf>
    <xf numFmtId="172" fontId="88" fillId="29" borderId="22" xfId="215" applyNumberFormat="1" applyFont="1" applyFill="1" applyBorder="1" applyProtection="1">
      <alignment horizontal="right" vertical="center"/>
    </xf>
    <xf numFmtId="2" fontId="88" fillId="29" borderId="22" xfId="0" applyNumberFormat="1" applyFont="1" applyFill="1" applyBorder="1" applyAlignment="1" applyProtection="1">
      <alignment horizontal="right"/>
    </xf>
    <xf numFmtId="2" fontId="88" fillId="29" borderId="42" xfId="0" applyNumberFormat="1" applyFont="1" applyFill="1" applyBorder="1" applyAlignment="1" applyProtection="1">
      <alignment horizontal="right"/>
    </xf>
    <xf numFmtId="43" fontId="88" fillId="29" borderId="42" xfId="69" applyFont="1" applyFill="1" applyBorder="1" applyAlignment="1" applyProtection="1">
      <alignment horizontal="right"/>
    </xf>
    <xf numFmtId="43" fontId="88" fillId="29" borderId="22" xfId="69" applyFont="1" applyFill="1" applyBorder="1" applyAlignment="1" applyProtection="1">
      <alignment horizontal="right"/>
    </xf>
    <xf numFmtId="43" fontId="88" fillId="29" borderId="23" xfId="69" applyFont="1" applyFill="1" applyBorder="1" applyAlignment="1" applyProtection="1">
      <alignment horizontal="right"/>
    </xf>
    <xf numFmtId="0" fontId="87" fillId="43" borderId="0" xfId="0" applyFont="1" applyFill="1" applyProtection="1"/>
    <xf numFmtId="0" fontId="69" fillId="0" borderId="0" xfId="0" applyFont="1" applyFill="1" applyBorder="1" applyAlignment="1" applyProtection="1">
      <alignment horizontal="center"/>
    </xf>
    <xf numFmtId="173" fontId="65" fillId="44" borderId="17" xfId="101" applyNumberFormat="1" applyFont="1" applyFill="1" applyBorder="1" applyAlignment="1" applyProtection="1">
      <alignment horizontal="right"/>
    </xf>
    <xf numFmtId="173" fontId="65" fillId="44" borderId="48" xfId="101" applyNumberFormat="1" applyFont="1" applyFill="1" applyBorder="1" applyAlignment="1" applyProtection="1">
      <alignment horizontal="right"/>
    </xf>
    <xf numFmtId="173" fontId="65" fillId="44" borderId="18" xfId="101" applyNumberFormat="1" applyFont="1" applyFill="1" applyBorder="1" applyAlignment="1" applyProtection="1">
      <alignment horizontal="right"/>
    </xf>
    <xf numFmtId="173" fontId="65" fillId="40" borderId="0" xfId="101" applyNumberFormat="1" applyFont="1" applyFill="1" applyBorder="1" applyAlignment="1" applyProtection="1">
      <alignment horizontal="right"/>
    </xf>
    <xf numFmtId="173" fontId="65" fillId="0" borderId="22" xfId="101" applyNumberFormat="1" applyFont="1" applyBorder="1" applyAlignment="1" applyProtection="1">
      <alignment horizontal="right"/>
    </xf>
    <xf numFmtId="43" fontId="88" fillId="0" borderId="0" xfId="69" applyFont="1" applyAlignment="1" applyProtection="1">
      <alignment horizontal="right"/>
    </xf>
    <xf numFmtId="184" fontId="88" fillId="0" borderId="0" xfId="69" applyNumberFormat="1" applyFont="1" applyAlignment="1" applyProtection="1">
      <alignment horizontal="right"/>
    </xf>
    <xf numFmtId="0" fontId="69" fillId="0" borderId="0" xfId="169" applyFont="1" applyFill="1" applyBorder="1" applyAlignment="1" applyProtection="1">
      <alignment horizontal="right"/>
    </xf>
    <xf numFmtId="173" fontId="2" fillId="44" borderId="17" xfId="101" applyNumberFormat="1" applyFont="1" applyFill="1" applyBorder="1" applyAlignment="1" applyProtection="1">
      <alignment horizontal="right"/>
    </xf>
    <xf numFmtId="173" fontId="2" fillId="44" borderId="18" xfId="101" applyNumberFormat="1" applyFont="1" applyFill="1" applyBorder="1" applyAlignment="1" applyProtection="1">
      <alignment horizontal="right"/>
    </xf>
    <xf numFmtId="173" fontId="2" fillId="0" borderId="0" xfId="101" applyNumberFormat="1" applyFont="1" applyFill="1" applyBorder="1" applyAlignment="1" applyProtection="1">
      <alignment horizontal="right"/>
    </xf>
    <xf numFmtId="0" fontId="69" fillId="43" borderId="0" xfId="0" applyFont="1" applyFill="1" applyBorder="1" applyAlignment="1" applyProtection="1">
      <alignment horizontal="center"/>
    </xf>
    <xf numFmtId="0" fontId="69" fillId="43" borderId="0" xfId="103" applyFont="1" applyFill="1" applyBorder="1" applyAlignment="1" applyProtection="1">
      <alignment horizontal="right" vertical="center"/>
    </xf>
    <xf numFmtId="173" fontId="2" fillId="0" borderId="20" xfId="101" applyNumberFormat="1" applyFont="1" applyFill="1" applyBorder="1" applyAlignment="1" applyProtection="1">
      <alignment horizontal="right"/>
    </xf>
    <xf numFmtId="173" fontId="65" fillId="43" borderId="0" xfId="101" applyNumberFormat="1" applyFont="1" applyFill="1" applyBorder="1" applyProtection="1"/>
    <xf numFmtId="173" fontId="2" fillId="44" borderId="28" xfId="101" applyNumberFormat="1" applyFont="1" applyFill="1" applyBorder="1" applyAlignment="1" applyProtection="1">
      <alignment horizontal="right"/>
    </xf>
    <xf numFmtId="173" fontId="2" fillId="44" borderId="88" xfId="101" applyNumberFormat="1" applyFont="1" applyFill="1" applyBorder="1" applyAlignment="1" applyProtection="1">
      <alignment horizontal="right"/>
    </xf>
    <xf numFmtId="173" fontId="2" fillId="0" borderId="13" xfId="101" applyNumberFormat="1" applyFont="1" applyFill="1" applyBorder="1" applyAlignment="1" applyProtection="1">
      <alignment horizontal="right"/>
    </xf>
    <xf numFmtId="173" fontId="2" fillId="0" borderId="46" xfId="101" applyNumberFormat="1" applyFont="1" applyFill="1" applyBorder="1" applyAlignment="1" applyProtection="1">
      <alignment horizontal="right"/>
    </xf>
    <xf numFmtId="173" fontId="2" fillId="0" borderId="22" xfId="101" applyNumberFormat="1" applyFont="1" applyFill="1" applyBorder="1" applyAlignment="1" applyProtection="1">
      <alignment horizontal="right"/>
    </xf>
    <xf numFmtId="173" fontId="2" fillId="0" borderId="23" xfId="101" applyNumberFormat="1" applyFont="1" applyFill="1" applyBorder="1" applyAlignment="1" applyProtection="1">
      <alignment horizontal="right"/>
    </xf>
    <xf numFmtId="172" fontId="87" fillId="29" borderId="19" xfId="215" applyNumberFormat="1" applyFont="1" applyFill="1" applyBorder="1" applyAlignment="1" applyProtection="1">
      <alignment horizontal="left" vertical="center" indent="1"/>
    </xf>
    <xf numFmtId="172" fontId="87" fillId="29" borderId="0" xfId="215" applyNumberFormat="1" applyFont="1" applyFill="1" applyBorder="1" applyProtection="1">
      <alignment horizontal="right" vertical="center"/>
    </xf>
    <xf numFmtId="172" fontId="78" fillId="0" borderId="0" xfId="111" applyNumberFormat="1" applyFont="1" applyProtection="1">
      <alignment horizontal="right" vertical="center"/>
    </xf>
    <xf numFmtId="172" fontId="78" fillId="27" borderId="0" xfId="111" applyNumberFormat="1" applyFont="1" applyFill="1" applyProtection="1">
      <alignment horizontal="right" vertical="center"/>
    </xf>
    <xf numFmtId="0" fontId="0" fillId="0" borderId="104" xfId="0" applyFill="1" applyBorder="1" applyProtection="1"/>
    <xf numFmtId="0" fontId="0" fillId="0" borderId="17" xfId="0" applyFill="1" applyBorder="1" applyProtection="1"/>
    <xf numFmtId="0" fontId="2" fillId="0" borderId="17" xfId="174" applyFont="1" applyBorder="1" applyProtection="1"/>
    <xf numFmtId="0" fontId="2" fillId="0" borderId="105" xfId="174" applyFont="1" applyBorder="1" applyProtection="1"/>
    <xf numFmtId="184" fontId="0" fillId="0" borderId="0" xfId="0" applyNumberFormat="1" applyProtection="1"/>
    <xf numFmtId="0" fontId="108" fillId="0" borderId="0" xfId="0" applyFont="1" applyProtection="1"/>
    <xf numFmtId="0" fontId="8" fillId="45" borderId="0" xfId="175" applyFont="1" applyFill="1" applyBorder="1" applyAlignment="1" applyProtection="1">
      <alignment horizontal="left"/>
    </xf>
    <xf numFmtId="0" fontId="8" fillId="45" borderId="0" xfId="174" applyFont="1" applyFill="1" applyBorder="1" applyProtection="1"/>
    <xf numFmtId="184" fontId="8" fillId="45" borderId="0" xfId="175" applyNumberFormat="1" applyFont="1" applyFill="1" applyBorder="1" applyProtection="1"/>
    <xf numFmtId="184" fontId="8" fillId="45" borderId="0" xfId="174" applyNumberFormat="1" applyFont="1" applyFill="1" applyBorder="1" applyProtection="1"/>
    <xf numFmtId="0" fontId="8" fillId="45" borderId="100" xfId="0" applyFont="1" applyFill="1" applyBorder="1" applyProtection="1"/>
    <xf numFmtId="0" fontId="8" fillId="45" borderId="0" xfId="0" applyFont="1" applyFill="1" applyBorder="1" applyProtection="1"/>
    <xf numFmtId="0" fontId="8" fillId="45" borderId="101" xfId="174" applyFont="1" applyFill="1" applyBorder="1" applyProtection="1"/>
    <xf numFmtId="184" fontId="8" fillId="45" borderId="0" xfId="174" applyNumberFormat="1" applyFont="1" applyFill="1" applyProtection="1"/>
    <xf numFmtId="184" fontId="8" fillId="45" borderId="0" xfId="0" applyNumberFormat="1" applyFont="1" applyFill="1" applyProtection="1"/>
    <xf numFmtId="0" fontId="0" fillId="0" borderId="100" xfId="0" applyFill="1" applyBorder="1" applyProtection="1"/>
    <xf numFmtId="184" fontId="0" fillId="0" borderId="0" xfId="0" applyNumberFormat="1" applyFill="1" applyProtection="1"/>
    <xf numFmtId="184" fontId="0" fillId="0" borderId="0" xfId="0" applyNumberFormat="1" applyFill="1" applyBorder="1" applyProtection="1"/>
    <xf numFmtId="0" fontId="122" fillId="0" borderId="0" xfId="0" applyFont="1" applyFill="1" applyBorder="1" applyAlignment="1" applyProtection="1">
      <alignment horizontal="left" vertical="center"/>
    </xf>
    <xf numFmtId="0" fontId="8" fillId="0" borderId="25" xfId="0" applyFont="1" applyFill="1" applyBorder="1" applyAlignment="1" applyProtection="1">
      <alignment horizontal="right" vertical="center"/>
    </xf>
    <xf numFmtId="0" fontId="8" fillId="0" borderId="124" xfId="0" applyFont="1" applyFill="1" applyBorder="1" applyAlignment="1" applyProtection="1">
      <alignment horizontal="right" vertical="center"/>
    </xf>
    <xf numFmtId="0" fontId="8" fillId="0" borderId="125" xfId="0" applyFont="1" applyFill="1" applyBorder="1" applyAlignment="1" applyProtection="1">
      <alignment horizontal="right" vertical="center"/>
    </xf>
    <xf numFmtId="0" fontId="123" fillId="0" borderId="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00" xfId="0" applyFont="1" applyFill="1" applyBorder="1" applyAlignment="1" applyProtection="1">
      <alignment horizontal="right" vertical="center"/>
    </xf>
    <xf numFmtId="0" fontId="2" fillId="0" borderId="101" xfId="0" applyFont="1" applyFill="1" applyBorder="1" applyAlignment="1" applyProtection="1">
      <alignment horizontal="right" vertical="center"/>
    </xf>
    <xf numFmtId="171" fontId="2" fillId="0" borderId="0" xfId="0" applyNumberFormat="1" applyFont="1" applyFill="1" applyBorder="1" applyAlignment="1" applyProtection="1">
      <alignment horizontal="right" vertical="center"/>
      <protection locked="0"/>
    </xf>
    <xf numFmtId="43" fontId="2" fillId="0" borderId="0" xfId="0" applyNumberFormat="1" applyFont="1" applyFill="1" applyBorder="1" applyAlignment="1" applyProtection="1">
      <alignment horizontal="right" vertical="center"/>
    </xf>
    <xf numFmtId="10" fontId="2" fillId="0" borderId="0" xfId="101" applyNumberFormat="1" applyFont="1" applyFill="1" applyBorder="1" applyAlignment="1" applyProtection="1">
      <alignment horizontal="right" vertical="center"/>
    </xf>
    <xf numFmtId="10" fontId="2" fillId="0" borderId="100" xfId="101" applyNumberFormat="1" applyFont="1" applyFill="1" applyBorder="1" applyAlignment="1" applyProtection="1">
      <alignment horizontal="right" vertical="center"/>
    </xf>
    <xf numFmtId="10" fontId="2" fillId="0" borderId="101" xfId="101" applyNumberFormat="1" applyFont="1" applyFill="1" applyBorder="1" applyAlignment="1" applyProtection="1">
      <alignment horizontal="right" vertical="center"/>
    </xf>
    <xf numFmtId="0" fontId="41" fillId="46" borderId="51" xfId="174" applyFont="1" applyFill="1" applyBorder="1" applyProtection="1"/>
    <xf numFmtId="0" fontId="2" fillId="0" borderId="106" xfId="174" applyFont="1" applyFill="1" applyBorder="1" applyProtection="1"/>
    <xf numFmtId="0" fontId="2" fillId="0" borderId="22" xfId="174" applyFont="1" applyFill="1" applyBorder="1" applyProtection="1"/>
    <xf numFmtId="0" fontId="2" fillId="0" borderId="107" xfId="174" applyFont="1" applyFill="1" applyBorder="1" applyProtection="1"/>
    <xf numFmtId="0" fontId="0" fillId="0" borderId="0" xfId="0" applyBorder="1" applyProtection="1"/>
    <xf numFmtId="0" fontId="8" fillId="47" borderId="16" xfId="174" applyFont="1" applyFill="1" applyBorder="1" applyProtection="1"/>
    <xf numFmtId="0" fontId="8" fillId="47" borderId="17" xfId="174" applyFont="1" applyFill="1" applyBorder="1" applyProtection="1"/>
    <xf numFmtId="0" fontId="8" fillId="0" borderId="0" xfId="0" applyFont="1" applyBorder="1" applyProtection="1"/>
    <xf numFmtId="0" fontId="8" fillId="0" borderId="0" xfId="0" applyFont="1" applyProtection="1"/>
    <xf numFmtId="0" fontId="113" fillId="45" borderId="19" xfId="174" applyFont="1" applyFill="1" applyBorder="1" applyAlignment="1" applyProtection="1">
      <alignment horizontal="left" indent="1"/>
    </xf>
    <xf numFmtId="0" fontId="113" fillId="45" borderId="0" xfId="174" applyFont="1" applyFill="1" applyBorder="1" applyProtection="1"/>
    <xf numFmtId="173" fontId="113" fillId="45" borderId="0" xfId="174" applyNumberFormat="1" applyFont="1" applyFill="1" applyBorder="1" applyProtection="1"/>
    <xf numFmtId="0" fontId="113" fillId="0" borderId="0" xfId="0" applyFont="1" applyBorder="1" applyProtection="1"/>
    <xf numFmtId="0" fontId="113" fillId="0" borderId="0" xfId="0" applyFont="1" applyProtection="1"/>
    <xf numFmtId="0" fontId="113" fillId="0" borderId="0" xfId="0" applyFont="1" applyFill="1" applyBorder="1" applyProtection="1"/>
    <xf numFmtId="0" fontId="113" fillId="0" borderId="0" xfId="0" applyFont="1" applyFill="1" applyProtection="1"/>
    <xf numFmtId="0" fontId="8" fillId="47" borderId="19" xfId="174" applyFont="1" applyFill="1" applyBorder="1" applyProtection="1"/>
    <xf numFmtId="0" fontId="8" fillId="47" borderId="0" xfId="174" applyFont="1" applyFill="1" applyBorder="1" applyProtection="1"/>
    <xf numFmtId="0" fontId="113" fillId="45" borderId="21" xfId="174" applyFont="1" applyFill="1" applyBorder="1" applyAlignment="1" applyProtection="1">
      <alignment horizontal="left" indent="1"/>
    </xf>
    <xf numFmtId="0" fontId="113" fillId="45" borderId="22" xfId="174" applyFont="1" applyFill="1" applyBorder="1" applyProtection="1"/>
    <xf numFmtId="4" fontId="113" fillId="45" borderId="22" xfId="174" applyNumberFormat="1" applyFont="1" applyFill="1" applyBorder="1" applyProtection="1"/>
    <xf numFmtId="0" fontId="124" fillId="0" borderId="0" xfId="0" applyFont="1" applyFill="1" applyBorder="1" applyAlignment="1" applyProtection="1">
      <alignment horizontal="right"/>
    </xf>
    <xf numFmtId="0" fontId="124" fillId="0" borderId="0" xfId="0" applyFont="1" applyFill="1" applyBorder="1" applyProtection="1"/>
    <xf numFmtId="0" fontId="124" fillId="0" borderId="0" xfId="0" applyFont="1" applyAlignment="1" applyProtection="1">
      <alignment horizontal="right"/>
    </xf>
    <xf numFmtId="0" fontId="81" fillId="0" borderId="0" xfId="0" applyFont="1" applyFill="1" applyBorder="1" applyProtection="1"/>
    <xf numFmtId="172" fontId="65" fillId="31" borderId="30" xfId="0" applyNumberFormat="1" applyFont="1" applyFill="1" applyBorder="1" applyProtection="1">
      <protection locked="0"/>
    </xf>
    <xf numFmtId="172" fontId="65" fillId="31" borderId="0" xfId="0" applyNumberFormat="1" applyFont="1" applyFill="1" applyBorder="1" applyProtection="1">
      <protection locked="0"/>
    </xf>
    <xf numFmtId="172" fontId="65" fillId="31" borderId="14" xfId="0" applyNumberFormat="1" applyFont="1" applyFill="1" applyBorder="1" applyProtection="1">
      <protection locked="0"/>
    </xf>
    <xf numFmtId="0" fontId="119" fillId="0" borderId="0" xfId="0" applyFont="1" applyFill="1" applyBorder="1" applyAlignment="1" applyProtection="1">
      <alignment horizontal="right"/>
    </xf>
    <xf numFmtId="0" fontId="65" fillId="0" borderId="0" xfId="207" applyFont="1" applyProtection="1"/>
    <xf numFmtId="0" fontId="81" fillId="0" borderId="0" xfId="143" applyFont="1" applyBorder="1" applyProtection="1"/>
    <xf numFmtId="0" fontId="81" fillId="27" borderId="0" xfId="143" applyFont="1" applyFill="1" applyBorder="1" applyProtection="1"/>
    <xf numFmtId="2" fontId="81" fillId="27" borderId="0" xfId="143" applyNumberFormat="1" applyFont="1" applyFill="1" applyBorder="1" applyProtection="1"/>
    <xf numFmtId="172" fontId="65" fillId="27" borderId="0" xfId="143" applyNumberFormat="1" applyFont="1" applyFill="1" applyAlignment="1" applyProtection="1">
      <alignment vertical="top"/>
    </xf>
    <xf numFmtId="172" fontId="65" fillId="27" borderId="0" xfId="143" applyNumberFormat="1" applyFont="1" applyFill="1" applyAlignment="1" applyProtection="1">
      <alignment horizontal="right" vertical="top"/>
    </xf>
    <xf numFmtId="172" fontId="65" fillId="31" borderId="77" xfId="143" applyNumberFormat="1" applyFont="1" applyFill="1" applyBorder="1" applyProtection="1">
      <protection locked="0"/>
    </xf>
    <xf numFmtId="172" fontId="65" fillId="31" borderId="25" xfId="143" applyNumberFormat="1" applyFont="1" applyFill="1" applyBorder="1" applyProtection="1">
      <protection locked="0"/>
    </xf>
    <xf numFmtId="172" fontId="65" fillId="31" borderId="53" xfId="143" applyNumberFormat="1" applyFont="1" applyFill="1" applyBorder="1" applyProtection="1">
      <protection locked="0"/>
    </xf>
    <xf numFmtId="172" fontId="65" fillId="0" borderId="0" xfId="143" applyNumberFormat="1" applyFont="1" applyProtection="1">
      <protection locked="0"/>
    </xf>
    <xf numFmtId="172" fontId="65" fillId="0" borderId="0" xfId="143" applyNumberFormat="1" applyFont="1" applyProtection="1"/>
    <xf numFmtId="172" fontId="65" fillId="31" borderId="79" xfId="143" applyNumberFormat="1" applyFont="1" applyFill="1" applyBorder="1" applyProtection="1">
      <protection locked="0"/>
    </xf>
    <xf numFmtId="172" fontId="65" fillId="31" borderId="32" xfId="143" applyNumberFormat="1" applyFont="1" applyFill="1" applyBorder="1" applyProtection="1">
      <protection locked="0"/>
    </xf>
    <xf numFmtId="172" fontId="65" fillId="31" borderId="44" xfId="143" applyNumberFormat="1" applyFont="1" applyFill="1" applyBorder="1" applyProtection="1">
      <protection locked="0"/>
    </xf>
    <xf numFmtId="172" fontId="55" fillId="0" borderId="55" xfId="143" applyNumberFormat="1" applyFont="1" applyBorder="1" applyAlignment="1" applyProtection="1">
      <protection locked="0"/>
    </xf>
    <xf numFmtId="172" fontId="55" fillId="0" borderId="0" xfId="143" applyNumberFormat="1" applyFont="1" applyBorder="1" applyAlignment="1" applyProtection="1">
      <protection locked="0"/>
    </xf>
    <xf numFmtId="172" fontId="55" fillId="0" borderId="0" xfId="143" applyNumberFormat="1" applyFont="1" applyBorder="1" applyAlignment="1" applyProtection="1"/>
    <xf numFmtId="172" fontId="55" fillId="0" borderId="32" xfId="143" applyNumberFormat="1" applyFont="1" applyBorder="1" applyAlignment="1" applyProtection="1"/>
    <xf numFmtId="172" fontId="65" fillId="27" borderId="0" xfId="143" applyNumberFormat="1" applyFont="1" applyFill="1" applyBorder="1" applyProtection="1"/>
    <xf numFmtId="172" fontId="65" fillId="31" borderId="18" xfId="114" applyNumberFormat="1" applyFont="1" applyFill="1" applyBorder="1" applyProtection="1">
      <alignment horizontal="right" vertical="center"/>
      <protection locked="0"/>
    </xf>
    <xf numFmtId="170" fontId="65" fillId="31" borderId="53" xfId="114" applyNumberFormat="1" applyFont="1" applyFill="1" applyBorder="1" applyProtection="1">
      <alignment horizontal="right" vertical="center"/>
      <protection locked="0"/>
    </xf>
    <xf numFmtId="0" fontId="65" fillId="0" borderId="0" xfId="0" applyFont="1" applyAlignment="1" applyProtection="1">
      <alignment horizontal="left" vertical="center"/>
      <protection locked="0"/>
    </xf>
    <xf numFmtId="0" fontId="65" fillId="0" borderId="0" xfId="0" applyFont="1" applyAlignment="1" applyProtection="1">
      <alignment horizontal="center" vertical="center"/>
      <protection locked="0"/>
    </xf>
    <xf numFmtId="2" fontId="89" fillId="0" borderId="0" xfId="0" applyNumberFormat="1" applyFont="1" applyBorder="1" applyProtection="1"/>
    <xf numFmtId="0" fontId="69" fillId="0" borderId="0" xfId="103" applyFont="1" applyFill="1" applyBorder="1" applyAlignment="1" applyProtection="1">
      <alignment horizontal="right" vertical="center"/>
    </xf>
    <xf numFmtId="173" fontId="69" fillId="0" borderId="25" xfId="111" applyNumberFormat="1" applyFont="1" applyFill="1" applyBorder="1" applyProtection="1">
      <alignment horizontal="right" vertical="center"/>
    </xf>
    <xf numFmtId="172" fontId="65" fillId="0" borderId="30" xfId="0" applyNumberFormat="1" applyFont="1" applyFill="1" applyBorder="1" applyProtection="1"/>
    <xf numFmtId="172" fontId="65" fillId="0" borderId="14" xfId="0" applyNumberFormat="1" applyFont="1" applyFill="1" applyBorder="1" applyProtection="1"/>
    <xf numFmtId="172" fontId="65" fillId="0" borderId="13" xfId="0" applyNumberFormat="1" applyFont="1" applyFill="1" applyBorder="1" applyProtection="1"/>
    <xf numFmtId="172" fontId="65" fillId="0" borderId="15" xfId="0" applyNumberFormat="1" applyFont="1" applyFill="1" applyBorder="1" applyProtection="1"/>
    <xf numFmtId="172" fontId="88" fillId="29" borderId="17" xfId="69" applyNumberFormat="1" applyFont="1" applyFill="1" applyBorder="1" applyAlignment="1" applyProtection="1">
      <alignment horizontal="right"/>
    </xf>
    <xf numFmtId="172" fontId="118" fillId="0" borderId="0" xfId="111" applyNumberFormat="1" applyFont="1" applyProtection="1">
      <alignment horizontal="right" vertical="center"/>
    </xf>
    <xf numFmtId="165" fontId="65" fillId="0" borderId="0" xfId="111" applyNumberFormat="1" applyFont="1" applyBorder="1" applyProtection="1">
      <alignment horizontal="right" vertical="center"/>
    </xf>
    <xf numFmtId="172" fontId="65" fillId="0" borderId="0" xfId="112" applyNumberFormat="1" applyFont="1" applyFill="1" applyBorder="1" applyProtection="1">
      <alignment horizontal="right" vertical="center"/>
    </xf>
    <xf numFmtId="10" fontId="65" fillId="0" borderId="0" xfId="213" applyNumberFormat="1" applyFont="1" applyFill="1" applyBorder="1" applyProtection="1">
      <alignment horizontal="right" vertical="center"/>
    </xf>
    <xf numFmtId="165" fontId="65" fillId="0" borderId="0" xfId="213" applyFont="1" applyBorder="1" applyProtection="1">
      <alignment horizontal="right" vertical="center"/>
    </xf>
    <xf numFmtId="165" fontId="65" fillId="0" borderId="22" xfId="213" applyFont="1" applyBorder="1" applyProtection="1">
      <alignment horizontal="right" vertical="center"/>
    </xf>
    <xf numFmtId="0" fontId="118" fillId="0" borderId="0" xfId="0" applyFont="1" applyBorder="1" applyAlignment="1" applyProtection="1">
      <alignment horizontal="right"/>
    </xf>
    <xf numFmtId="0" fontId="65" fillId="27" borderId="20" xfId="0" applyFont="1" applyFill="1" applyBorder="1" applyAlignment="1" applyProtection="1">
      <alignment vertical="center"/>
    </xf>
    <xf numFmtId="0" fontId="65" fillId="0" borderId="16" xfId="207" applyFont="1" applyBorder="1" applyProtection="1"/>
    <xf numFmtId="0" fontId="65" fillId="0" borderId="17" xfId="207" applyFont="1" applyBorder="1" applyProtection="1"/>
    <xf numFmtId="0" fontId="65" fillId="0" borderId="18" xfId="207" applyFont="1" applyBorder="1" applyProtection="1"/>
    <xf numFmtId="0" fontId="65" fillId="27" borderId="0" xfId="207" applyFont="1" applyFill="1" applyBorder="1" applyProtection="1"/>
    <xf numFmtId="0" fontId="65" fillId="0" borderId="0" xfId="207" applyFont="1" applyBorder="1" applyProtection="1"/>
    <xf numFmtId="0" fontId="65" fillId="0" borderId="20" xfId="207" applyFont="1" applyBorder="1" applyProtection="1"/>
    <xf numFmtId="0" fontId="65" fillId="0" borderId="19" xfId="207" applyFont="1" applyBorder="1" applyAlignment="1" applyProtection="1">
      <alignment horizontal="left" indent="1"/>
    </xf>
    <xf numFmtId="0" fontId="65" fillId="27" borderId="0" xfId="207" applyFont="1" applyFill="1" applyBorder="1" applyAlignment="1" applyProtection="1">
      <alignment horizontal="left" indent="1"/>
    </xf>
    <xf numFmtId="0" fontId="65" fillId="0" borderId="21" xfId="207" applyFont="1" applyBorder="1" applyProtection="1"/>
    <xf numFmtId="0" fontId="65" fillId="0" borderId="22" xfId="207" applyFont="1" applyBorder="1" applyProtection="1"/>
    <xf numFmtId="0" fontId="65" fillId="0" borderId="23" xfId="207" applyFont="1" applyBorder="1" applyProtection="1"/>
    <xf numFmtId="0" fontId="65" fillId="27" borderId="17" xfId="207" applyFont="1" applyFill="1" applyBorder="1" applyProtection="1"/>
    <xf numFmtId="0" fontId="55" fillId="27" borderId="19" xfId="207" applyFont="1" applyFill="1" applyBorder="1" applyAlignment="1" applyProtection="1">
      <alignment horizontal="left" indent="1"/>
    </xf>
    <xf numFmtId="0" fontId="65" fillId="0" borderId="19" xfId="207" applyFont="1" applyBorder="1" applyProtection="1"/>
    <xf numFmtId="10" fontId="65" fillId="0" borderId="0" xfId="207" applyNumberFormat="1" applyFont="1" applyBorder="1" applyProtection="1"/>
    <xf numFmtId="0" fontId="69" fillId="27" borderId="19" xfId="207" applyFont="1" applyFill="1" applyBorder="1" applyAlignment="1" applyProtection="1">
      <alignment horizontal="left" indent="1"/>
    </xf>
    <xf numFmtId="0" fontId="54" fillId="27" borderId="19" xfId="207" applyFont="1" applyFill="1" applyBorder="1" applyAlignment="1" applyProtection="1">
      <alignment horizontal="left" indent="2"/>
    </xf>
    <xf numFmtId="173" fontId="65" fillId="0" borderId="0" xfId="209" applyNumberFormat="1" applyFont="1" applyProtection="1"/>
    <xf numFmtId="0" fontId="125" fillId="0" borderId="0" xfId="0" applyFont="1" applyProtection="1"/>
    <xf numFmtId="0" fontId="55" fillId="0" borderId="0" xfId="140" applyFont="1" applyAlignment="1" applyProtection="1">
      <alignment vertical="center"/>
    </xf>
    <xf numFmtId="0" fontId="54" fillId="27" borderId="19" xfId="207" applyFont="1" applyFill="1" applyBorder="1" applyAlignment="1" applyProtection="1">
      <alignment horizontal="left" indent="1"/>
    </xf>
    <xf numFmtId="0" fontId="119" fillId="0" borderId="0" xfId="0" applyFont="1" applyBorder="1" applyAlignment="1" applyProtection="1">
      <alignment horizontal="right"/>
    </xf>
    <xf numFmtId="0" fontId="64" fillId="0" borderId="16" xfId="138" applyFont="1" applyFill="1" applyBorder="1" applyAlignment="1" applyProtection="1">
      <alignment horizontal="left" vertical="center" indent="1"/>
    </xf>
    <xf numFmtId="165" fontId="65" fillId="31" borderId="24" xfId="111" applyFont="1" applyFill="1" applyBorder="1" applyProtection="1">
      <alignment horizontal="right" vertical="center"/>
      <protection locked="0"/>
    </xf>
    <xf numFmtId="0" fontId="69" fillId="0" borderId="25" xfId="0" applyFont="1" applyBorder="1" applyAlignment="1" applyProtection="1">
      <alignment horizontal="center"/>
    </xf>
    <xf numFmtId="0" fontId="69" fillId="0" borderId="0" xfId="0" applyFont="1" applyBorder="1" applyAlignment="1" applyProtection="1">
      <alignment horizontal="center"/>
    </xf>
    <xf numFmtId="0" fontId="65" fillId="0" borderId="0" xfId="0" applyFont="1" applyFill="1" applyBorder="1" applyAlignment="1" applyProtection="1">
      <alignment horizontal="left"/>
    </xf>
    <xf numFmtId="0" fontId="73" fillId="0" borderId="0" xfId="138" applyFont="1" applyFill="1" applyBorder="1" applyAlignment="1" applyProtection="1">
      <alignment horizontal="left" vertical="center" indent="1"/>
    </xf>
    <xf numFmtId="0" fontId="121" fillId="0" borderId="0" xfId="0" applyFont="1" applyFill="1" applyBorder="1" applyAlignment="1" applyProtection="1">
      <alignment horizontal="left"/>
    </xf>
    <xf numFmtId="0" fontId="73" fillId="0" borderId="0" xfId="0" applyFont="1" applyFill="1" applyBorder="1" applyAlignment="1" applyProtection="1">
      <alignment horizontal="left" vertical="center" indent="2"/>
    </xf>
    <xf numFmtId="2" fontId="81" fillId="0" borderId="0" xfId="140" applyNumberFormat="1" applyFont="1" applyFill="1" applyBorder="1" applyAlignment="1" applyProtection="1">
      <alignment horizontal="center" vertical="center"/>
      <protection locked="0"/>
    </xf>
    <xf numFmtId="2" fontId="81" fillId="0" borderId="0" xfId="140" applyNumberFormat="1" applyFont="1" applyFill="1" applyBorder="1" applyAlignment="1" applyProtection="1">
      <alignment horizontal="center" vertical="center"/>
    </xf>
    <xf numFmtId="0" fontId="81" fillId="0" borderId="0" xfId="0" applyFont="1" applyFill="1" applyBorder="1" applyAlignment="1" applyProtection="1">
      <alignment horizontal="left" indent="3"/>
    </xf>
    <xf numFmtId="0" fontId="73" fillId="0" borderId="0" xfId="140" applyFont="1" applyFill="1" applyBorder="1" applyAlignment="1" applyProtection="1">
      <alignment vertical="center"/>
    </xf>
    <xf numFmtId="0" fontId="81" fillId="0" borderId="0" xfId="140" applyFont="1" applyFill="1" applyBorder="1" applyProtection="1"/>
    <xf numFmtId="0" fontId="65" fillId="27" borderId="20" xfId="207" applyFont="1" applyFill="1" applyBorder="1" applyProtection="1"/>
    <xf numFmtId="10" fontId="69" fillId="27" borderId="20" xfId="209" applyNumberFormat="1" applyFont="1" applyFill="1" applyBorder="1" applyAlignment="1" applyProtection="1">
      <alignment horizontal="right" vertical="top" wrapText="1"/>
    </xf>
    <xf numFmtId="0" fontId="65" fillId="27" borderId="18" xfId="207" applyFont="1" applyFill="1" applyBorder="1" applyProtection="1"/>
    <xf numFmtId="10" fontId="54" fillId="27" borderId="20" xfId="209" applyNumberFormat="1" applyFont="1" applyFill="1" applyBorder="1" applyProtection="1"/>
    <xf numFmtId="165" fontId="65" fillId="0" borderId="20" xfId="111" applyFont="1" applyBorder="1" applyProtection="1">
      <alignment horizontal="right" vertical="center"/>
    </xf>
    <xf numFmtId="0" fontId="69" fillId="0" borderId="24" xfId="0" applyFont="1" applyBorder="1" applyAlignment="1" applyProtection="1"/>
    <xf numFmtId="0" fontId="69" fillId="0" borderId="25" xfId="0" applyFont="1" applyBorder="1" applyAlignment="1" applyProtection="1"/>
    <xf numFmtId="0" fontId="69" fillId="0" borderId="26" xfId="0" applyFont="1" applyBorder="1" applyAlignment="1" applyProtection="1"/>
    <xf numFmtId="0" fontId="69" fillId="0" borderId="22" xfId="78" applyFont="1" applyFill="1" applyBorder="1" applyProtection="1">
      <alignment vertical="center"/>
    </xf>
    <xf numFmtId="172" fontId="65" fillId="0" borderId="22" xfId="111" applyNumberFormat="1" applyFont="1" applyFill="1" applyBorder="1" applyProtection="1">
      <alignment horizontal="right" vertical="center"/>
    </xf>
    <xf numFmtId="0" fontId="42" fillId="0" borderId="0" xfId="142" applyFont="1" applyBorder="1" applyAlignment="1" applyProtection="1">
      <alignment horizontal="right"/>
    </xf>
    <xf numFmtId="0" fontId="74" fillId="0" borderId="13" xfId="0" applyFont="1" applyBorder="1" applyProtection="1"/>
    <xf numFmtId="0" fontId="64" fillId="0" borderId="0" xfId="138" applyFont="1" applyFill="1" applyBorder="1" applyAlignment="1" applyProtection="1">
      <alignment horizontal="center" vertical="center"/>
    </xf>
    <xf numFmtId="0" fontId="76" fillId="0" borderId="0" xfId="0" applyFont="1" applyFill="1" applyBorder="1" applyAlignment="1" applyProtection="1">
      <alignment horizontal="center" wrapText="1"/>
    </xf>
    <xf numFmtId="0" fontId="65" fillId="27" borderId="0" xfId="0" applyFont="1" applyFill="1" applyBorder="1" applyAlignment="1" applyProtection="1">
      <alignment horizontal="center"/>
    </xf>
    <xf numFmtId="0" fontId="2" fillId="27" borderId="0" xfId="0" applyFont="1" applyFill="1" applyBorder="1" applyProtection="1"/>
    <xf numFmtId="10" fontId="2" fillId="0" borderId="0" xfId="101" applyNumberFormat="1" applyFont="1" applyProtection="1"/>
    <xf numFmtId="0" fontId="2" fillId="0" borderId="0" xfId="0" applyFont="1" applyBorder="1" applyProtection="1"/>
    <xf numFmtId="0" fontId="2" fillId="0" borderId="0" xfId="0" applyFont="1" applyAlignment="1" applyProtection="1">
      <alignment horizontal="center" vertical="center"/>
    </xf>
    <xf numFmtId="0" fontId="2" fillId="27" borderId="0" xfId="0" applyFont="1" applyFill="1" applyBorder="1" applyAlignment="1" applyProtection="1">
      <alignment horizontal="center" vertical="center"/>
    </xf>
    <xf numFmtId="172" fontId="119" fillId="0" borderId="0" xfId="0" applyNumberFormat="1" applyFont="1" applyFill="1" applyBorder="1" applyAlignment="1" applyProtection="1">
      <alignment horizontal="right"/>
    </xf>
    <xf numFmtId="172" fontId="124" fillId="0" borderId="0" xfId="0" applyNumberFormat="1" applyFont="1" applyFill="1" applyBorder="1" applyAlignment="1" applyProtection="1">
      <alignment horizontal="right"/>
    </xf>
    <xf numFmtId="172" fontId="119" fillId="0" borderId="0" xfId="0" applyNumberFormat="1" applyFont="1" applyFill="1" applyBorder="1" applyProtection="1"/>
    <xf numFmtId="172" fontId="124" fillId="0" borderId="0" xfId="0" applyNumberFormat="1" applyFont="1" applyFill="1" applyBorder="1" applyProtection="1"/>
    <xf numFmtId="173" fontId="124" fillId="0" borderId="20" xfId="101" applyNumberFormat="1" applyFont="1" applyFill="1" applyBorder="1" applyAlignment="1" applyProtection="1">
      <alignment horizontal="right"/>
    </xf>
    <xf numFmtId="0" fontId="65" fillId="0" borderId="0" xfId="143" applyFont="1" applyBorder="1" applyProtection="1"/>
    <xf numFmtId="0" fontId="65" fillId="0" borderId="17" xfId="143" applyFont="1" applyBorder="1" applyProtection="1"/>
    <xf numFmtId="0" fontId="81" fillId="27" borderId="17" xfId="143" applyFont="1" applyFill="1" applyBorder="1" applyProtection="1"/>
    <xf numFmtId="0" fontId="81" fillId="0" borderId="18" xfId="143" applyFont="1" applyBorder="1" applyProtection="1"/>
    <xf numFmtId="0" fontId="81" fillId="0" borderId="20" xfId="143" applyFont="1" applyBorder="1" applyProtection="1"/>
    <xf numFmtId="0" fontId="81" fillId="0" borderId="23" xfId="143" applyFont="1" applyBorder="1" applyProtection="1"/>
    <xf numFmtId="0" fontId="55" fillId="0" borderId="51" xfId="143" applyFont="1" applyBorder="1" applyAlignment="1" applyProtection="1">
      <alignment vertical="top" wrapText="1"/>
    </xf>
    <xf numFmtId="0" fontId="55" fillId="0" borderId="51" xfId="143" applyFont="1" applyBorder="1" applyAlignment="1" applyProtection="1">
      <alignment vertical="top"/>
    </xf>
    <xf numFmtId="0" fontId="55" fillId="0" borderId="55" xfId="0" applyFont="1" applyBorder="1" applyAlignment="1" applyProtection="1">
      <alignment horizontal="center" vertical="top" wrapText="1"/>
    </xf>
    <xf numFmtId="0" fontId="55" fillId="0" borderId="54" xfId="143" applyFont="1" applyBorder="1" applyAlignment="1" applyProtection="1">
      <alignment horizontal="center" vertical="top" wrapText="1"/>
    </xf>
    <xf numFmtId="0" fontId="65" fillId="0" borderId="22" xfId="143" applyFont="1" applyBorder="1" applyProtection="1"/>
    <xf numFmtId="172" fontId="65" fillId="31" borderId="71" xfId="143" applyNumberFormat="1" applyFont="1" applyFill="1" applyBorder="1" applyProtection="1">
      <protection locked="0"/>
    </xf>
    <xf numFmtId="172" fontId="65" fillId="31" borderId="49" xfId="143" applyNumberFormat="1" applyFont="1" applyFill="1" applyBorder="1" applyProtection="1">
      <protection locked="0"/>
    </xf>
    <xf numFmtId="172" fontId="65" fillId="31" borderId="37" xfId="143" applyNumberFormat="1" applyFont="1" applyFill="1" applyBorder="1" applyProtection="1">
      <protection locked="0"/>
    </xf>
    <xf numFmtId="172" fontId="87" fillId="0" borderId="0" xfId="111" applyNumberFormat="1" applyFont="1" applyFill="1" applyBorder="1" applyProtection="1">
      <alignment horizontal="right" vertical="center"/>
    </xf>
    <xf numFmtId="4" fontId="124" fillId="0" borderId="0" xfId="0" applyNumberFormat="1" applyFont="1" applyFill="1" applyBorder="1" applyProtection="1"/>
    <xf numFmtId="172" fontId="65" fillId="31" borderId="16" xfId="114" applyNumberFormat="1" applyFont="1" applyFill="1" applyBorder="1" applyProtection="1">
      <alignment horizontal="right" vertical="center"/>
      <protection locked="0"/>
    </xf>
    <xf numFmtId="170" fontId="65" fillId="31" borderId="77" xfId="114" applyNumberFormat="1" applyFont="1" applyFill="1" applyBorder="1" applyProtection="1">
      <alignment horizontal="right" vertical="center"/>
      <protection locked="0"/>
    </xf>
    <xf numFmtId="0" fontId="2" fillId="29" borderId="27" xfId="89" applyFont="1" applyFill="1" applyBorder="1" applyAlignment="1" applyProtection="1">
      <alignment horizontal="left" vertical="center"/>
    </xf>
    <xf numFmtId="0" fontId="65" fillId="29" borderId="29" xfId="0" applyFont="1" applyFill="1" applyBorder="1" applyProtection="1"/>
    <xf numFmtId="0" fontId="2" fillId="29" borderId="30" xfId="89" applyFont="1" applyFill="1" applyBorder="1" applyAlignment="1" applyProtection="1">
      <alignment horizontal="left" vertical="center"/>
    </xf>
    <xf numFmtId="0" fontId="65" fillId="29" borderId="14" xfId="0" applyFont="1" applyFill="1" applyBorder="1" applyProtection="1"/>
    <xf numFmtId="0" fontId="2" fillId="29" borderId="31" xfId="89" applyFont="1" applyFill="1" applyBorder="1" applyAlignment="1" applyProtection="1">
      <alignment horizontal="left" vertical="center"/>
    </xf>
    <xf numFmtId="0" fontId="65" fillId="29" borderId="15" xfId="0" applyFont="1" applyFill="1" applyBorder="1" applyProtection="1"/>
    <xf numFmtId="0" fontId="69" fillId="0" borderId="30" xfId="0" applyFont="1" applyBorder="1" applyProtection="1"/>
    <xf numFmtId="172" fontId="65" fillId="29" borderId="27" xfId="114" applyNumberFormat="1" applyFont="1" applyFill="1" applyBorder="1" applyAlignment="1" applyProtection="1">
      <alignment horizontal="left" vertical="center"/>
    </xf>
    <xf numFmtId="172" fontId="65" fillId="29" borderId="29" xfId="114" applyNumberFormat="1" applyFont="1" applyFill="1" applyBorder="1" applyProtection="1">
      <alignment horizontal="right" vertical="center"/>
    </xf>
    <xf numFmtId="172" fontId="65" fillId="29" borderId="31" xfId="114" applyNumberFormat="1" applyFont="1" applyFill="1" applyBorder="1" applyAlignment="1" applyProtection="1">
      <alignment horizontal="left" vertical="center"/>
    </xf>
    <xf numFmtId="172" fontId="65" fillId="29" borderId="15" xfId="114" applyNumberFormat="1" applyFont="1" applyFill="1" applyBorder="1" applyProtection="1">
      <alignment horizontal="right" vertical="center"/>
    </xf>
    <xf numFmtId="0" fontId="69" fillId="27" borderId="30" xfId="0" applyFont="1" applyFill="1" applyBorder="1" applyProtection="1"/>
    <xf numFmtId="172" fontId="65" fillId="27" borderId="14" xfId="114" applyNumberFormat="1" applyFont="1" applyFill="1" applyBorder="1" applyProtection="1">
      <alignment horizontal="right" vertical="center"/>
    </xf>
    <xf numFmtId="172" fontId="87" fillId="27" borderId="30" xfId="114" applyNumberFormat="1" applyFont="1" applyFill="1" applyBorder="1" applyAlignment="1" applyProtection="1">
      <alignment horizontal="left" vertical="center"/>
    </xf>
    <xf numFmtId="172" fontId="87" fillId="27" borderId="31" xfId="114" applyNumberFormat="1" applyFont="1" applyFill="1" applyBorder="1" applyAlignment="1" applyProtection="1">
      <alignment horizontal="left" vertical="center"/>
    </xf>
    <xf numFmtId="172" fontId="65" fillId="27" borderId="15" xfId="114" applyNumberFormat="1" applyFont="1" applyFill="1" applyBorder="1" applyProtection="1">
      <alignment horizontal="right" vertical="center"/>
    </xf>
    <xf numFmtId="171" fontId="80" fillId="27" borderId="66" xfId="0" applyNumberFormat="1" applyFont="1" applyFill="1" applyBorder="1" applyProtection="1"/>
    <xf numFmtId="171" fontId="80" fillId="27" borderId="67" xfId="0" applyNumberFormat="1" applyFont="1" applyFill="1" applyBorder="1" applyProtection="1"/>
    <xf numFmtId="172" fontId="69" fillId="27" borderId="32" xfId="0" applyNumberFormat="1" applyFont="1" applyFill="1" applyBorder="1" applyProtection="1"/>
    <xf numFmtId="0" fontId="98" fillId="0" borderId="0" xfId="0" applyFont="1" applyFill="1" applyProtection="1"/>
    <xf numFmtId="172" fontId="69" fillId="0" borderId="25" xfId="111" applyNumberFormat="1" applyFont="1" applyFill="1" applyBorder="1" applyProtection="1">
      <alignment horizontal="right" vertical="center"/>
    </xf>
    <xf numFmtId="173" fontId="69" fillId="0" borderId="24" xfId="111" applyNumberFormat="1" applyFont="1" applyFill="1" applyBorder="1" applyProtection="1">
      <alignment horizontal="right" vertical="center"/>
    </xf>
    <xf numFmtId="173" fontId="69" fillId="0" borderId="26" xfId="111" applyNumberFormat="1" applyFont="1" applyFill="1" applyBorder="1" applyProtection="1">
      <alignment horizontal="right" vertical="center"/>
    </xf>
    <xf numFmtId="172" fontId="65" fillId="31" borderId="24" xfId="111" applyNumberFormat="1" applyFont="1" applyFill="1" applyBorder="1" applyProtection="1">
      <alignment horizontal="right" vertical="center"/>
    </xf>
    <xf numFmtId="172" fontId="65" fillId="31" borderId="25" xfId="111" applyNumberFormat="1" applyFont="1" applyFill="1" applyBorder="1" applyProtection="1">
      <alignment horizontal="right" vertical="center"/>
    </xf>
    <xf numFmtId="172" fontId="65" fillId="31" borderId="26" xfId="111" applyNumberFormat="1" applyFont="1" applyFill="1" applyBorder="1" applyProtection="1">
      <alignment horizontal="right" vertical="center"/>
    </xf>
    <xf numFmtId="0" fontId="58" fillId="0" borderId="0" xfId="82" applyFont="1" applyProtection="1">
      <alignment horizontal="left" vertical="center"/>
    </xf>
    <xf numFmtId="0" fontId="69" fillId="0" borderId="25" xfId="0" applyFont="1" applyBorder="1" applyAlignment="1" applyProtection="1">
      <alignment horizontal="center"/>
    </xf>
    <xf numFmtId="0" fontId="45" fillId="29" borderId="0" xfId="131" applyFont="1" applyFill="1" applyAlignment="1">
      <alignment horizontal="left" vertical="center" indent="1"/>
      <protection locked="0"/>
    </xf>
    <xf numFmtId="0" fontId="45" fillId="29" borderId="0" xfId="131" quotePrefix="1" applyFont="1" applyFill="1" applyAlignment="1">
      <alignment horizontal="left" vertical="center"/>
      <protection locked="0"/>
    </xf>
    <xf numFmtId="0" fontId="45" fillId="29" borderId="0" xfId="131" quotePrefix="1" applyFont="1" applyFill="1" applyAlignment="1">
      <alignment vertical="center"/>
      <protection locked="0"/>
    </xf>
    <xf numFmtId="0" fontId="99" fillId="0" borderId="13" xfId="103" applyFont="1" applyBorder="1" applyAlignment="1" applyProtection="1">
      <alignment horizontal="left" vertical="center"/>
    </xf>
    <xf numFmtId="0" fontId="84" fillId="51" borderId="54" xfId="0" quotePrefix="1" applyFont="1" applyFill="1" applyBorder="1" applyAlignment="1" applyProtection="1">
      <alignment vertical="center"/>
    </xf>
    <xf numFmtId="0" fontId="65" fillId="51" borderId="55" xfId="0" applyFont="1" applyFill="1" applyBorder="1" applyAlignment="1" applyProtection="1">
      <alignment horizontal="left" vertical="center"/>
    </xf>
    <xf numFmtId="0" fontId="65" fillId="51" borderId="55" xfId="0" applyFont="1" applyFill="1" applyBorder="1" applyAlignment="1" applyProtection="1">
      <alignment horizontal="center" vertical="center"/>
    </xf>
    <xf numFmtId="165" fontId="65" fillId="51" borderId="55" xfId="111" applyFont="1" applyFill="1" applyBorder="1" applyAlignment="1" applyProtection="1">
      <alignment horizontal="center" vertical="center"/>
    </xf>
    <xf numFmtId="49" fontId="64" fillId="0" borderId="0" xfId="74" quotePrefix="1" applyNumberFormat="1" applyFont="1" applyFill="1" applyBorder="1" applyProtection="1">
      <alignment vertical="center"/>
    </xf>
    <xf numFmtId="172" fontId="69" fillId="0" borderId="0" xfId="111" applyNumberFormat="1" applyFont="1" applyFill="1" applyBorder="1" applyAlignment="1" applyProtection="1">
      <alignment horizontal="center" vertical="center"/>
    </xf>
    <xf numFmtId="0" fontId="73" fillId="0" borderId="0" xfId="0" applyFont="1" applyFill="1" applyBorder="1" applyAlignment="1" applyProtection="1">
      <alignment vertical="top"/>
    </xf>
    <xf numFmtId="0" fontId="73" fillId="0" borderId="0" xfId="140" applyFont="1" applyFill="1" applyBorder="1" applyProtection="1"/>
    <xf numFmtId="2" fontId="81" fillId="0" borderId="0" xfId="140" applyNumberFormat="1" applyFont="1" applyFill="1" applyBorder="1" applyProtection="1"/>
    <xf numFmtId="2" fontId="81" fillId="0" borderId="0" xfId="140" applyNumberFormat="1" applyFont="1" applyFill="1" applyBorder="1" applyAlignment="1" applyProtection="1">
      <alignment horizontal="right"/>
    </xf>
    <xf numFmtId="0" fontId="81" fillId="0" borderId="0" xfId="140" applyFont="1" applyFill="1" applyBorder="1" applyAlignment="1" applyProtection="1">
      <alignment horizontal="center" vertical="top"/>
    </xf>
    <xf numFmtId="0" fontId="81" fillId="0" borderId="0" xfId="140" applyFont="1" applyFill="1" applyBorder="1" applyAlignment="1" applyProtection="1">
      <alignment horizontal="center" vertical="center"/>
    </xf>
    <xf numFmtId="4" fontId="65" fillId="27" borderId="0" xfId="0" applyNumberFormat="1" applyFont="1" applyFill="1" applyBorder="1" applyProtection="1"/>
    <xf numFmtId="2" fontId="65" fillId="31" borderId="0" xfId="0" applyNumberFormat="1" applyFont="1" applyFill="1" applyProtection="1">
      <protection locked="0"/>
    </xf>
    <xf numFmtId="0" fontId="65" fillId="31" borderId="27" xfId="0" applyFont="1" applyFill="1" applyBorder="1" applyProtection="1">
      <protection locked="0"/>
    </xf>
    <xf numFmtId="0" fontId="65" fillId="31" borderId="28" xfId="0" applyFont="1" applyFill="1" applyBorder="1" applyProtection="1">
      <protection locked="0"/>
    </xf>
    <xf numFmtId="0" fontId="65" fillId="31" borderId="29" xfId="0" applyFont="1" applyFill="1" applyBorder="1" applyProtection="1">
      <protection locked="0"/>
    </xf>
    <xf numFmtId="0" fontId="65" fillId="31" borderId="30" xfId="0" applyFont="1" applyFill="1" applyBorder="1" applyProtection="1">
      <protection locked="0"/>
    </xf>
    <xf numFmtId="0" fontId="65" fillId="31" borderId="0" xfId="0" applyFont="1" applyFill="1" applyProtection="1">
      <protection locked="0"/>
    </xf>
    <xf numFmtId="0" fontId="65" fillId="31" borderId="14" xfId="0" applyFont="1" applyFill="1" applyBorder="1" applyProtection="1">
      <protection locked="0"/>
    </xf>
    <xf numFmtId="0" fontId="65" fillId="31" borderId="45" xfId="171" applyFont="1" applyFill="1" applyBorder="1" applyAlignment="1" applyProtection="1">
      <alignment horizontal="center"/>
      <protection locked="0"/>
    </xf>
    <xf numFmtId="0" fontId="65" fillId="31" borderId="80" xfId="171" applyFont="1" applyFill="1" applyBorder="1" applyAlignment="1" applyProtection="1">
      <alignment horizontal="center"/>
      <protection locked="0"/>
    </xf>
    <xf numFmtId="0" fontId="65" fillId="31" borderId="77" xfId="171" applyFont="1" applyFill="1" applyBorder="1" applyProtection="1">
      <protection locked="0"/>
    </xf>
    <xf numFmtId="0" fontId="65" fillId="31" borderId="46" xfId="171" applyFont="1" applyFill="1" applyBorder="1" applyProtection="1">
      <protection locked="0"/>
    </xf>
    <xf numFmtId="188" fontId="55" fillId="0" borderId="24" xfId="166" applyNumberFormat="1" applyFont="1" applyFill="1" applyBorder="1" applyProtection="1">
      <alignment vertical="center"/>
    </xf>
    <xf numFmtId="188" fontId="55" fillId="0" borderId="25" xfId="166" applyNumberFormat="1" applyFont="1" applyFill="1" applyBorder="1" applyProtection="1">
      <alignment vertical="center"/>
    </xf>
    <xf numFmtId="172" fontId="126" fillId="0" borderId="0" xfId="111" applyNumberFormat="1" applyFont="1" applyAlignment="1" applyProtection="1">
      <alignment horizontal="left" vertical="center"/>
    </xf>
    <xf numFmtId="172" fontId="126" fillId="0" borderId="17" xfId="0" applyNumberFormat="1" applyFont="1" applyBorder="1" applyProtection="1"/>
    <xf numFmtId="0" fontId="110" fillId="0" borderId="100" xfId="169" applyFont="1" applyFill="1" applyBorder="1" applyProtection="1"/>
    <xf numFmtId="0" fontId="110" fillId="0" borderId="0" xfId="169" applyFont="1" applyFill="1" applyBorder="1" applyProtection="1"/>
    <xf numFmtId="193" fontId="88" fillId="0" borderId="0" xfId="69" applyNumberFormat="1" applyFont="1" applyFill="1" applyAlignment="1" applyProtection="1">
      <alignment horizontal="right"/>
    </xf>
    <xf numFmtId="192" fontId="74" fillId="0" borderId="0" xfId="69" applyNumberFormat="1" applyFont="1" applyFill="1" applyProtection="1"/>
    <xf numFmtId="0" fontId="65" fillId="0" borderId="0" xfId="0" applyFont="1"/>
    <xf numFmtId="0" fontId="118" fillId="0" borderId="0" xfId="0" applyFont="1" applyBorder="1" applyProtection="1"/>
    <xf numFmtId="193" fontId="124" fillId="27" borderId="0" xfId="69" applyNumberFormat="1" applyFont="1" applyFill="1" applyProtection="1"/>
    <xf numFmtId="195" fontId="65" fillId="0" borderId="0" xfId="69" applyNumberFormat="1" applyFont="1" applyProtection="1"/>
    <xf numFmtId="43" fontId="65" fillId="27" borderId="0" xfId="69" applyFont="1" applyFill="1" applyBorder="1" applyProtection="1"/>
    <xf numFmtId="0" fontId="65" fillId="0" borderId="0" xfId="0" applyFont="1" applyFill="1"/>
    <xf numFmtId="196" fontId="65" fillId="0" borderId="0" xfId="0" applyNumberFormat="1" applyFont="1" applyFill="1" applyBorder="1" applyProtection="1"/>
    <xf numFmtId="197" fontId="65" fillId="0" borderId="0" xfId="0" applyNumberFormat="1" applyFont="1" applyFill="1" applyProtection="1"/>
    <xf numFmtId="197" fontId="65" fillId="0" borderId="0" xfId="0" applyNumberFormat="1" applyFont="1" applyProtection="1"/>
    <xf numFmtId="198" fontId="65" fillId="0" borderId="0" xfId="69" applyNumberFormat="1" applyFont="1" applyProtection="1"/>
    <xf numFmtId="43" fontId="118" fillId="0" borderId="0" xfId="69" applyFont="1" applyBorder="1" applyAlignment="1" applyProtection="1">
      <alignment horizontal="right"/>
    </xf>
    <xf numFmtId="165" fontId="65" fillId="0" borderId="0" xfId="0" applyNumberFormat="1" applyFont="1" applyProtection="1"/>
    <xf numFmtId="9" fontId="65" fillId="0" borderId="0" xfId="101" applyFont="1" applyBorder="1" applyAlignment="1" applyProtection="1">
      <alignment horizontal="right" vertical="center"/>
    </xf>
    <xf numFmtId="0" fontId="117" fillId="0" borderId="0" xfId="169" applyFont="1" applyFill="1" applyBorder="1" applyProtection="1"/>
    <xf numFmtId="0" fontId="73" fillId="0" borderId="0" xfId="140" applyFont="1" applyFill="1" applyBorder="1" applyAlignment="1" applyProtection="1">
      <alignment horizontal="center" vertical="center"/>
    </xf>
    <xf numFmtId="0" fontId="64" fillId="0" borderId="13" xfId="103" applyFont="1" applyFill="1" applyBorder="1" applyAlignment="1" applyProtection="1">
      <alignment horizontal="right" vertical="center"/>
    </xf>
    <xf numFmtId="0" fontId="65" fillId="0" borderId="16" xfId="0" applyFont="1" applyBorder="1"/>
    <xf numFmtId="0" fontId="65" fillId="0" borderId="17" xfId="0" applyFont="1" applyBorder="1"/>
    <xf numFmtId="0" fontId="65" fillId="0" borderId="18" xfId="0" applyFont="1" applyBorder="1"/>
    <xf numFmtId="0" fontId="64" fillId="0" borderId="19" xfId="138" applyFont="1" applyFill="1" applyBorder="1" applyAlignment="1">
      <alignment horizontal="left" vertical="center" indent="1"/>
    </xf>
    <xf numFmtId="0" fontId="65" fillId="0" borderId="20" xfId="0" applyFont="1" applyBorder="1"/>
    <xf numFmtId="0" fontId="65" fillId="0" borderId="19" xfId="0" applyFont="1" applyBorder="1"/>
    <xf numFmtId="0" fontId="54" fillId="0" borderId="19" xfId="140" applyFont="1" applyBorder="1"/>
    <xf numFmtId="0" fontId="54" fillId="0" borderId="0" xfId="140" applyFont="1"/>
    <xf numFmtId="0" fontId="54" fillId="0" borderId="0" xfId="140" applyFont="1" applyAlignment="1">
      <alignment horizontal="center" vertical="top"/>
    </xf>
    <xf numFmtId="0" fontId="54" fillId="0" borderId="0" xfId="140" applyFont="1" applyAlignment="1">
      <alignment horizontal="left" vertical="center"/>
    </xf>
    <xf numFmtId="0" fontId="54" fillId="36" borderId="8" xfId="140" applyFont="1" applyFill="1" applyBorder="1" applyAlignment="1">
      <alignment horizontal="center" vertical="center"/>
    </xf>
    <xf numFmtId="0" fontId="54" fillId="52" borderId="8" xfId="140" applyFont="1" applyFill="1" applyBorder="1" applyAlignment="1">
      <alignment horizontal="center" vertical="center"/>
    </xf>
    <xf numFmtId="0" fontId="54" fillId="0" borderId="0" xfId="140" applyFont="1" applyAlignment="1">
      <alignment horizontal="left"/>
    </xf>
    <xf numFmtId="0" fontId="55" fillId="27" borderId="19" xfId="0" applyFont="1" applyFill="1" applyBorder="1" applyAlignment="1">
      <alignment horizontal="left" vertical="center" indent="2"/>
    </xf>
    <xf numFmtId="0" fontId="55" fillId="0" borderId="0" xfId="140" applyFont="1" applyAlignment="1">
      <alignment vertical="center"/>
    </xf>
    <xf numFmtId="0" fontId="54" fillId="0" borderId="0" xfId="140" applyFont="1" applyAlignment="1">
      <alignment horizontal="right" vertical="center"/>
    </xf>
    <xf numFmtId="0" fontId="54" fillId="31" borderId="51" xfId="0" applyFont="1" applyFill="1" applyBorder="1" applyAlignment="1" applyProtection="1">
      <alignment horizontal="center" vertical="center"/>
      <protection locked="0"/>
    </xf>
    <xf numFmtId="2" fontId="65" fillId="0" borderId="0" xfId="140" applyNumberFormat="1" applyFont="1" applyAlignment="1">
      <alignment horizontal="center" vertical="center"/>
    </xf>
    <xf numFmtId="0" fontId="65" fillId="0" borderId="19" xfId="0" applyFont="1" applyBorder="1" applyAlignment="1">
      <alignment horizontal="left"/>
    </xf>
    <xf numFmtId="0" fontId="65" fillId="0" borderId="0" xfId="0" applyFont="1" applyAlignment="1">
      <alignment horizontal="right"/>
    </xf>
    <xf numFmtId="2" fontId="65" fillId="31" borderId="51" xfId="0" applyNumberFormat="1" applyFont="1" applyFill="1" applyBorder="1" applyAlignment="1" applyProtection="1">
      <alignment horizontal="center" vertical="center"/>
      <protection locked="0"/>
    </xf>
    <xf numFmtId="2" fontId="78" fillId="0" borderId="0" xfId="140" applyNumberFormat="1" applyFont="1" applyAlignment="1">
      <alignment horizontal="right" vertical="center"/>
    </xf>
    <xf numFmtId="0" fontId="54" fillId="0" borderId="21" xfId="140" applyFont="1" applyBorder="1"/>
    <xf numFmtId="0" fontId="54" fillId="0" borderId="22" xfId="140" applyFont="1" applyBorder="1"/>
    <xf numFmtId="0" fontId="65" fillId="0" borderId="22" xfId="0" applyFont="1" applyBorder="1"/>
    <xf numFmtId="0" fontId="78" fillId="0" borderId="22" xfId="140" applyFont="1" applyBorder="1" applyAlignment="1">
      <alignment horizontal="right"/>
    </xf>
    <xf numFmtId="0" fontId="65" fillId="0" borderId="23" xfId="0" applyFont="1" applyBorder="1"/>
    <xf numFmtId="0" fontId="80" fillId="29" borderId="0" xfId="0" applyFont="1" applyFill="1"/>
    <xf numFmtId="0" fontId="128" fillId="29" borderId="0" xfId="0" applyFont="1" applyFill="1"/>
    <xf numFmtId="0" fontId="128" fillId="29" borderId="0" xfId="140" applyFont="1" applyFill="1"/>
    <xf numFmtId="0" fontId="128" fillId="29" borderId="126" xfId="140" applyFont="1" applyFill="1" applyBorder="1"/>
    <xf numFmtId="0" fontId="129" fillId="29" borderId="127" xfId="140" applyFont="1" applyFill="1" applyBorder="1"/>
    <xf numFmtId="0" fontId="128" fillId="29" borderId="128" xfId="140" applyFont="1" applyFill="1" applyBorder="1"/>
    <xf numFmtId="0" fontId="128" fillId="29" borderId="130" xfId="140" applyFont="1" applyFill="1" applyBorder="1"/>
    <xf numFmtId="2" fontId="128" fillId="29" borderId="0" xfId="140" applyNumberFormat="1" applyFont="1" applyFill="1"/>
    <xf numFmtId="2" fontId="128" fillId="29" borderId="131" xfId="140" applyNumberFormat="1" applyFont="1" applyFill="1" applyBorder="1" applyAlignment="1">
      <alignment horizontal="right"/>
    </xf>
    <xf numFmtId="188" fontId="55" fillId="0" borderId="26" xfId="166" applyNumberFormat="1" applyFont="1" applyFill="1" applyBorder="1" applyProtection="1">
      <alignment vertical="center"/>
    </xf>
    <xf numFmtId="2" fontId="65" fillId="0" borderId="0" xfId="140" applyNumberFormat="1" applyFont="1" applyFill="1" applyAlignment="1">
      <alignment horizontal="center" vertical="center"/>
    </xf>
    <xf numFmtId="0" fontId="63" fillId="0" borderId="0" xfId="0" applyFont="1" applyFill="1" applyProtection="1"/>
    <xf numFmtId="0" fontId="57" fillId="0" borderId="0" xfId="93" applyFont="1" applyFill="1" applyAlignment="1" applyProtection="1">
      <alignment horizontal="left" vertical="center"/>
    </xf>
    <xf numFmtId="0" fontId="72" fillId="0" borderId="0" xfId="103" applyFont="1" applyFill="1" applyAlignment="1" applyProtection="1">
      <alignment horizontal="right" vertical="center"/>
    </xf>
    <xf numFmtId="0" fontId="73" fillId="0" borderId="0" xfId="103" applyFont="1" applyFill="1" applyAlignment="1" applyProtection="1">
      <alignment horizontal="right" vertical="center"/>
    </xf>
    <xf numFmtId="0" fontId="65" fillId="55" borderId="0" xfId="0" applyFont="1" applyFill="1" applyBorder="1" applyProtection="1"/>
    <xf numFmtId="165" fontId="65" fillId="55" borderId="0" xfId="111" applyFont="1" applyFill="1" applyBorder="1" applyProtection="1">
      <alignment horizontal="right" vertical="center"/>
    </xf>
    <xf numFmtId="165" fontId="65" fillId="56" borderId="24" xfId="111" applyNumberFormat="1" applyFont="1" applyFill="1" applyBorder="1" applyProtection="1">
      <alignment horizontal="right" vertical="center"/>
    </xf>
    <xf numFmtId="165" fontId="65" fillId="56" borderId="25" xfId="111" applyFont="1" applyFill="1" applyBorder="1" applyProtection="1">
      <alignment horizontal="right" vertical="center"/>
    </xf>
    <xf numFmtId="10" fontId="65" fillId="55" borderId="0" xfId="111" applyNumberFormat="1" applyFont="1" applyFill="1" applyBorder="1" applyProtection="1">
      <alignment horizontal="right" vertical="center"/>
    </xf>
    <xf numFmtId="10" fontId="65" fillId="55" borderId="0" xfId="112" applyNumberFormat="1" applyFont="1" applyFill="1" applyBorder="1" applyProtection="1">
      <alignment horizontal="right" vertical="center"/>
    </xf>
    <xf numFmtId="174" fontId="65" fillId="55" borderId="0" xfId="111" applyNumberFormat="1" applyFont="1" applyFill="1" applyBorder="1" applyProtection="1">
      <alignment horizontal="right" vertical="center"/>
    </xf>
    <xf numFmtId="174" fontId="65" fillId="0" borderId="0" xfId="213" applyNumberFormat="1" applyFont="1" applyFill="1" applyBorder="1" applyProtection="1">
      <alignment horizontal="right" vertical="center"/>
    </xf>
    <xf numFmtId="187" fontId="65" fillId="56" borderId="24" xfId="165" applyNumberFormat="1" applyFont="1" applyFill="1" applyBorder="1" applyAlignment="1" applyProtection="1">
      <alignment vertical="center"/>
    </xf>
    <xf numFmtId="187" fontId="65" fillId="56" borderId="25" xfId="165" applyNumberFormat="1" applyFont="1" applyFill="1" applyBorder="1" applyAlignment="1" applyProtection="1">
      <alignment vertical="center"/>
    </xf>
    <xf numFmtId="187" fontId="65" fillId="56" borderId="25" xfId="166" applyNumberFormat="1" applyFont="1" applyFill="1" applyBorder="1" applyAlignment="1" applyProtection="1">
      <alignment vertical="center"/>
    </xf>
    <xf numFmtId="187" fontId="65" fillId="53" borderId="0" xfId="166" applyNumberFormat="1" applyFont="1" applyFill="1" applyBorder="1" applyProtection="1">
      <alignment vertical="center"/>
    </xf>
    <xf numFmtId="10" fontId="69" fillId="56" borderId="8" xfId="0" applyNumberFormat="1" applyFont="1" applyFill="1" applyBorder="1" applyProtection="1"/>
    <xf numFmtId="10" fontId="69" fillId="57" borderId="24" xfId="209" applyNumberFormat="1" applyFont="1" applyFill="1" applyBorder="1" applyAlignment="1" applyProtection="1">
      <alignment horizontal="right" vertical="top" wrapText="1"/>
    </xf>
    <xf numFmtId="10" fontId="69" fillId="57" borderId="25" xfId="209" applyNumberFormat="1" applyFont="1" applyFill="1" applyBorder="1" applyAlignment="1" applyProtection="1">
      <alignment horizontal="right" vertical="top" wrapText="1"/>
    </xf>
    <xf numFmtId="10" fontId="69" fillId="57" borderId="26" xfId="209" applyNumberFormat="1" applyFont="1" applyFill="1" applyBorder="1" applyAlignment="1" applyProtection="1">
      <alignment horizontal="right" vertical="top" wrapText="1"/>
    </xf>
    <xf numFmtId="2" fontId="54" fillId="0" borderId="8" xfId="140" applyNumberFormat="1" applyFont="1" applyFill="1" applyBorder="1" applyAlignment="1">
      <alignment horizontal="center" vertical="center"/>
    </xf>
    <xf numFmtId="2" fontId="78" fillId="0" borderId="22" xfId="140" applyNumberFormat="1" applyFont="1" applyFill="1" applyBorder="1" applyAlignment="1">
      <alignment horizontal="center" vertical="center"/>
    </xf>
    <xf numFmtId="2" fontId="128" fillId="56" borderId="129" xfId="140" applyNumberFormat="1" applyFont="1" applyFill="1" applyBorder="1"/>
    <xf numFmtId="2" fontId="128" fillId="56" borderId="131" xfId="140" applyNumberFormat="1" applyFont="1" applyFill="1" applyBorder="1"/>
    <xf numFmtId="0" fontId="128" fillId="56" borderId="126" xfId="140" applyFont="1" applyFill="1" applyBorder="1" applyAlignment="1">
      <alignment horizontal="left"/>
    </xf>
    <xf numFmtId="2" fontId="128" fillId="56" borderId="127" xfId="140" applyNumberFormat="1" applyFont="1" applyFill="1" applyBorder="1"/>
    <xf numFmtId="0" fontId="128" fillId="56" borderId="128" xfId="140" applyFont="1" applyFill="1" applyBorder="1" applyAlignment="1">
      <alignment horizontal="left"/>
    </xf>
    <xf numFmtId="0" fontId="128" fillId="56" borderId="128" xfId="140" applyFont="1" applyFill="1" applyBorder="1"/>
    <xf numFmtId="0" fontId="128" fillId="56" borderId="130" xfId="140" applyFont="1" applyFill="1" applyBorder="1"/>
    <xf numFmtId="0" fontId="54" fillId="0" borderId="0" xfId="0" applyFont="1" applyFill="1" applyBorder="1" applyProtection="1"/>
    <xf numFmtId="0" fontId="55" fillId="0" borderId="0" xfId="140" applyFont="1" applyFill="1" applyBorder="1" applyAlignment="1" applyProtection="1">
      <alignment horizontal="center" vertical="center"/>
    </xf>
    <xf numFmtId="0" fontId="54" fillId="0" borderId="0" xfId="140" applyFont="1" applyFill="1" applyBorder="1" applyProtection="1"/>
    <xf numFmtId="0" fontId="54" fillId="0" borderId="0" xfId="140" applyFont="1" applyFill="1" applyBorder="1" applyAlignment="1" applyProtection="1">
      <alignment horizontal="center" vertical="top"/>
    </xf>
    <xf numFmtId="2" fontId="54" fillId="0" borderId="0" xfId="140" applyNumberFormat="1" applyFont="1" applyFill="1" applyBorder="1" applyAlignment="1" applyProtection="1">
      <alignment horizontal="center" vertical="center"/>
    </xf>
    <xf numFmtId="0" fontId="54" fillId="0" borderId="0" xfId="140" applyFont="1" applyFill="1" applyBorder="1" applyAlignment="1" applyProtection="1">
      <alignment horizontal="center" vertical="center"/>
    </xf>
    <xf numFmtId="0" fontId="54" fillId="0" borderId="0" xfId="0" applyFont="1" applyFill="1" applyBorder="1" applyAlignment="1" applyProtection="1">
      <alignment horizontal="right"/>
    </xf>
    <xf numFmtId="2" fontId="54" fillId="0" borderId="0" xfId="0" applyNumberFormat="1" applyFont="1" applyFill="1" applyBorder="1" applyAlignment="1" applyProtection="1">
      <alignment horizontal="center" vertical="center"/>
      <protection locked="0"/>
    </xf>
    <xf numFmtId="0" fontId="54" fillId="0" borderId="0" xfId="0" applyFont="1" applyProtection="1"/>
    <xf numFmtId="0" fontId="55" fillId="0" borderId="0" xfId="140" applyFont="1" applyFill="1" applyBorder="1" applyProtection="1"/>
    <xf numFmtId="2" fontId="54" fillId="0" borderId="0" xfId="140" applyNumberFormat="1" applyFont="1" applyFill="1" applyBorder="1" applyProtection="1"/>
    <xf numFmtId="2" fontId="54" fillId="0" borderId="0" xfId="140" applyNumberFormat="1" applyFont="1" applyFill="1" applyBorder="1" applyAlignment="1" applyProtection="1">
      <alignment horizontal="right"/>
    </xf>
    <xf numFmtId="10" fontId="65" fillId="0" borderId="0" xfId="213" applyNumberFormat="1" applyFont="1" applyFill="1" applyBorder="1">
      <alignment horizontal="right" vertical="center"/>
    </xf>
    <xf numFmtId="0" fontId="130" fillId="45" borderId="8" xfId="0" applyFont="1" applyFill="1" applyBorder="1" applyAlignment="1" applyProtection="1">
      <alignment horizontal="center" vertical="center"/>
    </xf>
    <xf numFmtId="0" fontId="69" fillId="53" borderId="19" xfId="207" applyFont="1" applyFill="1" applyBorder="1" applyAlignment="1" applyProtection="1">
      <alignment horizontal="left" indent="1"/>
    </xf>
    <xf numFmtId="172" fontId="65" fillId="0" borderId="8" xfId="0" applyNumberFormat="1" applyFont="1" applyFill="1" applyBorder="1" applyProtection="1"/>
    <xf numFmtId="0" fontId="54" fillId="45" borderId="0" xfId="0" applyFont="1" applyFill="1" applyProtection="1"/>
    <xf numFmtId="0" fontId="130" fillId="45" borderId="0" xfId="0" applyFont="1" applyFill="1" applyProtection="1"/>
    <xf numFmtId="173" fontId="65" fillId="56" borderId="8" xfId="0" applyNumberFormat="1" applyFont="1" applyFill="1" applyBorder="1" applyAlignment="1" applyProtection="1">
      <alignment horizontal="center"/>
    </xf>
    <xf numFmtId="9" fontId="2" fillId="59" borderId="33" xfId="111" applyNumberFormat="1" applyFont="1" applyFill="1" applyBorder="1" applyAlignment="1" applyProtection="1">
      <alignment horizontal="center" vertical="center"/>
    </xf>
    <xf numFmtId="0" fontId="2" fillId="0" borderId="0" xfId="201"/>
    <xf numFmtId="10" fontId="2" fillId="59" borderId="8" xfId="111" applyNumberFormat="1" applyFont="1" applyFill="1" applyBorder="1" applyAlignment="1" applyProtection="1">
      <alignment horizontal="center" vertical="center"/>
    </xf>
    <xf numFmtId="10" fontId="2" fillId="59" borderId="35" xfId="111" applyNumberFormat="1" applyFont="1" applyFill="1" applyBorder="1" applyAlignment="1" applyProtection="1">
      <alignment horizontal="center" vertical="center"/>
    </xf>
    <xf numFmtId="10" fontId="65" fillId="58" borderId="34" xfId="111" applyNumberFormat="1" applyFont="1" applyFill="1" applyBorder="1" applyAlignment="1" applyProtection="1">
      <alignment horizontal="center" vertical="center"/>
    </xf>
    <xf numFmtId="2" fontId="2" fillId="60" borderId="8" xfId="142" applyNumberFormat="1" applyFont="1" applyFill="1" applyBorder="1" applyProtection="1"/>
    <xf numFmtId="2" fontId="2" fillId="59" borderId="8" xfId="142" applyNumberFormat="1" applyFont="1" applyFill="1" applyBorder="1" applyProtection="1"/>
    <xf numFmtId="0" fontId="69" fillId="0" borderId="0" xfId="0" applyFont="1" applyBorder="1" applyAlignment="1" applyProtection="1">
      <alignment horizontal="center"/>
    </xf>
    <xf numFmtId="0" fontId="2" fillId="0" borderId="29" xfId="142" applyFont="1" applyBorder="1" applyProtection="1"/>
    <xf numFmtId="0" fontId="2" fillId="0" borderId="14" xfId="142" applyFont="1" applyBorder="1" applyProtection="1"/>
    <xf numFmtId="0" fontId="2" fillId="0" borderId="15" xfId="142" applyFont="1" applyBorder="1" applyProtection="1"/>
    <xf numFmtId="2" fontId="78" fillId="58" borderId="97" xfId="0" applyNumberFormat="1" applyFont="1" applyFill="1" applyBorder="1" applyAlignment="1" applyProtection="1">
      <alignment horizontal="center"/>
    </xf>
    <xf numFmtId="0" fontId="65" fillId="45" borderId="0" xfId="0" applyFont="1" applyFill="1" applyBorder="1" applyAlignment="1" applyProtection="1">
      <alignment horizontal="center" vertical="center"/>
    </xf>
    <xf numFmtId="0" fontId="72" fillId="53" borderId="0" xfId="103" applyFont="1" applyFill="1" applyAlignment="1" applyProtection="1">
      <alignment horizontal="right" vertical="center"/>
    </xf>
    <xf numFmtId="0" fontId="81" fillId="0" borderId="0" xfId="103" applyFont="1" applyFill="1" applyAlignment="1" applyProtection="1">
      <alignment horizontal="right" vertical="center"/>
    </xf>
    <xf numFmtId="173" fontId="65" fillId="54" borderId="24" xfId="102" applyNumberFormat="1" applyFont="1" applyFill="1" applyBorder="1" applyProtection="1">
      <protection locked="0"/>
    </xf>
    <xf numFmtId="173" fontId="65" fillId="54" borderId="25" xfId="102" applyNumberFormat="1" applyFont="1" applyFill="1" applyBorder="1" applyProtection="1">
      <protection locked="0"/>
    </xf>
    <xf numFmtId="173" fontId="65" fillId="54" borderId="26" xfId="102" applyNumberFormat="1" applyFont="1" applyFill="1" applyBorder="1" applyProtection="1">
      <protection locked="0"/>
    </xf>
    <xf numFmtId="173" fontId="65" fillId="0" borderId="24" xfId="209" applyNumberFormat="1" applyFont="1" applyFill="1" applyBorder="1" applyProtection="1"/>
    <xf numFmtId="173" fontId="65" fillId="0" borderId="25" xfId="209" applyNumberFormat="1" applyFont="1" applyFill="1" applyBorder="1" applyProtection="1"/>
    <xf numFmtId="173" fontId="65" fillId="54" borderId="26" xfId="209" applyNumberFormat="1" applyFont="1" applyFill="1" applyBorder="1" applyProtection="1">
      <protection locked="0"/>
    </xf>
    <xf numFmtId="170" fontId="65" fillId="54" borderId="25" xfId="0" applyNumberFormat="1" applyFont="1" applyFill="1" applyBorder="1" applyProtection="1">
      <protection locked="0"/>
    </xf>
    <xf numFmtId="186" fontId="65" fillId="53" borderId="25" xfId="69" applyNumberFormat="1" applyFont="1" applyFill="1" applyBorder="1" applyProtection="1"/>
    <xf numFmtId="186" fontId="65" fillId="53" borderId="26" xfId="69" applyNumberFormat="1" applyFont="1" applyFill="1" applyBorder="1" applyProtection="1"/>
    <xf numFmtId="186" fontId="65" fillId="53" borderId="24" xfId="69" applyNumberFormat="1" applyFont="1" applyFill="1" applyBorder="1" applyProtection="1"/>
    <xf numFmtId="170" fontId="65" fillId="54" borderId="26" xfId="0" applyNumberFormat="1" applyFont="1" applyFill="1" applyBorder="1" applyProtection="1">
      <protection locked="0"/>
    </xf>
    <xf numFmtId="2" fontId="65" fillId="53" borderId="8" xfId="0" applyNumberFormat="1" applyFont="1" applyFill="1" applyBorder="1" applyProtection="1"/>
    <xf numFmtId="2" fontId="65" fillId="53" borderId="33" xfId="0" applyNumberFormat="1" applyFont="1" applyFill="1" applyBorder="1" applyProtection="1"/>
    <xf numFmtId="2" fontId="65" fillId="53" borderId="34" xfId="0" applyNumberFormat="1" applyFont="1" applyFill="1" applyBorder="1" applyProtection="1"/>
    <xf numFmtId="2" fontId="65" fillId="53" borderId="35" xfId="0" applyNumberFormat="1" applyFont="1" applyFill="1" applyBorder="1" applyProtection="1"/>
    <xf numFmtId="2" fontId="65" fillId="53" borderId="0" xfId="0" applyNumberFormat="1" applyFont="1" applyFill="1" applyBorder="1" applyProtection="1"/>
    <xf numFmtId="2" fontId="78" fillId="56" borderId="0" xfId="0" applyNumberFormat="1" applyFont="1" applyFill="1" applyBorder="1" applyAlignment="1" applyProtection="1">
      <alignment horizontal="center"/>
    </xf>
    <xf numFmtId="9" fontId="78" fillId="56" borderId="0" xfId="101" applyNumberFormat="1" applyFont="1" applyFill="1" applyBorder="1" applyAlignment="1" applyProtection="1">
      <alignment horizontal="center"/>
    </xf>
    <xf numFmtId="2" fontId="65" fillId="53" borderId="24" xfId="0" applyNumberFormat="1" applyFont="1" applyFill="1" applyBorder="1" applyProtection="1"/>
    <xf numFmtId="2" fontId="65" fillId="55" borderId="25" xfId="0" applyNumberFormat="1" applyFont="1" applyFill="1" applyBorder="1" applyProtection="1"/>
    <xf numFmtId="2" fontId="65" fillId="53" borderId="25" xfId="0" applyNumberFormat="1" applyFont="1" applyFill="1" applyBorder="1" applyProtection="1"/>
    <xf numFmtId="2" fontId="65" fillId="53" borderId="26" xfId="0" applyNumberFormat="1" applyFont="1" applyFill="1" applyBorder="1" applyProtection="1"/>
    <xf numFmtId="172" fontId="65" fillId="53" borderId="24" xfId="0" applyNumberFormat="1" applyFont="1" applyFill="1" applyBorder="1" applyProtection="1"/>
    <xf numFmtId="172" fontId="65" fillId="53" borderId="25" xfId="0" applyNumberFormat="1" applyFont="1" applyFill="1" applyBorder="1" applyProtection="1"/>
    <xf numFmtId="172" fontId="65" fillId="53" borderId="26" xfId="0" applyNumberFormat="1" applyFont="1" applyFill="1" applyBorder="1" applyProtection="1"/>
    <xf numFmtId="172" fontId="65" fillId="53" borderId="27" xfId="114" applyNumberFormat="1" applyFont="1" applyFill="1" applyBorder="1" applyAlignment="1" applyProtection="1">
      <alignment horizontal="right" vertical="center"/>
    </xf>
    <xf numFmtId="172" fontId="65" fillId="53" borderId="28" xfId="114" applyNumberFormat="1" applyFont="1" applyFill="1" applyBorder="1" applyAlignment="1" applyProtection="1">
      <alignment horizontal="right" vertical="center"/>
    </xf>
    <xf numFmtId="172" fontId="65" fillId="53" borderId="29" xfId="114" applyNumberFormat="1" applyFont="1" applyFill="1" applyBorder="1" applyAlignment="1" applyProtection="1">
      <alignment horizontal="right" vertical="center"/>
    </xf>
    <xf numFmtId="172" fontId="65" fillId="53" borderId="30" xfId="114" applyNumberFormat="1" applyFont="1" applyFill="1" applyBorder="1" applyAlignment="1" applyProtection="1">
      <alignment horizontal="right" vertical="center"/>
    </xf>
    <xf numFmtId="172" fontId="65" fillId="53" borderId="31" xfId="114" applyNumberFormat="1" applyFont="1" applyFill="1" applyBorder="1" applyAlignment="1" applyProtection="1">
      <alignment horizontal="right" vertical="center"/>
    </xf>
    <xf numFmtId="172" fontId="65" fillId="53" borderId="0" xfId="114" applyNumberFormat="1" applyFont="1" applyFill="1" applyBorder="1" applyAlignment="1" applyProtection="1">
      <alignment horizontal="right" vertical="center"/>
    </xf>
    <xf numFmtId="172" fontId="65" fillId="53" borderId="14" xfId="114" applyNumberFormat="1" applyFont="1" applyFill="1" applyBorder="1" applyAlignment="1" applyProtection="1">
      <alignment horizontal="right" vertical="center"/>
    </xf>
    <xf numFmtId="172" fontId="65" fillId="53" borderId="13" xfId="114" applyNumberFormat="1" applyFont="1" applyFill="1" applyBorder="1" applyAlignment="1" applyProtection="1">
      <alignment horizontal="right" vertical="center"/>
    </xf>
    <xf numFmtId="172" fontId="65" fillId="53" borderId="15" xfId="114" applyNumberFormat="1" applyFont="1" applyFill="1" applyBorder="1" applyAlignment="1" applyProtection="1">
      <alignment horizontal="right" vertical="center"/>
    </xf>
    <xf numFmtId="172" fontId="65" fillId="53" borderId="0" xfId="0" applyNumberFormat="1" applyFont="1" applyFill="1" applyBorder="1" applyProtection="1"/>
    <xf numFmtId="2" fontId="69" fillId="53" borderId="24" xfId="0" applyNumberFormat="1" applyFont="1" applyFill="1" applyBorder="1" applyProtection="1"/>
    <xf numFmtId="2" fontId="69" fillId="53" borderId="25" xfId="0" applyNumberFormat="1" applyFont="1" applyFill="1" applyBorder="1" applyProtection="1"/>
    <xf numFmtId="2" fontId="69" fillId="53" borderId="26" xfId="0" applyNumberFormat="1" applyFont="1" applyFill="1" applyBorder="1" applyProtection="1"/>
    <xf numFmtId="172" fontId="91" fillId="53" borderId="66" xfId="112" applyNumberFormat="1" applyFont="1" applyFill="1" applyBorder="1" applyProtection="1">
      <alignment horizontal="right" vertical="center"/>
    </xf>
    <xf numFmtId="172" fontId="91" fillId="53" borderId="67" xfId="112" applyNumberFormat="1" applyFont="1" applyFill="1" applyBorder="1" applyProtection="1">
      <alignment horizontal="right" vertical="center"/>
    </xf>
    <xf numFmtId="172" fontId="91" fillId="53" borderId="69" xfId="112" applyNumberFormat="1" applyFont="1" applyFill="1" applyBorder="1" applyProtection="1">
      <alignment horizontal="right" vertical="center"/>
    </xf>
    <xf numFmtId="172" fontId="91" fillId="53" borderId="70" xfId="112" applyNumberFormat="1" applyFont="1" applyFill="1" applyBorder="1" applyProtection="1">
      <alignment horizontal="right" vertical="center"/>
    </xf>
    <xf numFmtId="0" fontId="103" fillId="53" borderId="13" xfId="0" applyFont="1" applyFill="1" applyBorder="1" applyAlignment="1" applyProtection="1">
      <alignment horizontal="right"/>
    </xf>
    <xf numFmtId="43" fontId="91" fillId="56" borderId="0" xfId="69" applyFont="1" applyFill="1" applyProtection="1"/>
    <xf numFmtId="43" fontId="91" fillId="56" borderId="0" xfId="0" applyNumberFormat="1" applyFont="1" applyFill="1" applyProtection="1"/>
    <xf numFmtId="173" fontId="91" fillId="56" borderId="13" xfId="102" applyNumberFormat="1" applyFont="1" applyFill="1" applyBorder="1" applyProtection="1"/>
    <xf numFmtId="9" fontId="91" fillId="56" borderId="0" xfId="102" applyNumberFormat="1" applyFont="1" applyFill="1" applyProtection="1"/>
    <xf numFmtId="9" fontId="91" fillId="56" borderId="13" xfId="102" applyNumberFormat="1" applyFont="1" applyFill="1" applyBorder="1" applyProtection="1"/>
    <xf numFmtId="9" fontId="91" fillId="0" borderId="0" xfId="102" applyNumberFormat="1" applyFont="1" applyFill="1" applyBorder="1" applyProtection="1"/>
    <xf numFmtId="0" fontId="103" fillId="0" borderId="13" xfId="0" applyNumberFormat="1" applyFont="1" applyFill="1" applyBorder="1" applyAlignment="1" applyProtection="1">
      <alignment horizontal="right"/>
    </xf>
    <xf numFmtId="171" fontId="91" fillId="56" borderId="0" xfId="0" applyNumberFormat="1" applyFont="1" applyFill="1" applyAlignment="1" applyProtection="1">
      <alignment horizontal="right"/>
    </xf>
    <xf numFmtId="171" fontId="91" fillId="56" borderId="13" xfId="0" applyNumberFormat="1" applyFont="1" applyFill="1" applyBorder="1" applyProtection="1"/>
    <xf numFmtId="171" fontId="103" fillId="53" borderId="0" xfId="0" applyNumberFormat="1" applyFont="1" applyFill="1" applyProtection="1"/>
    <xf numFmtId="173" fontId="91" fillId="56" borderId="0" xfId="102" applyNumberFormat="1" applyFont="1" applyFill="1" applyProtection="1"/>
    <xf numFmtId="173" fontId="103" fillId="53" borderId="25" xfId="102" applyNumberFormat="1" applyFont="1" applyFill="1" applyBorder="1" applyProtection="1"/>
    <xf numFmtId="171" fontId="91" fillId="56" borderId="0" xfId="0" applyNumberFormat="1" applyFont="1" applyFill="1" applyProtection="1"/>
    <xf numFmtId="171" fontId="103" fillId="53" borderId="25" xfId="0" applyNumberFormat="1" applyFont="1" applyFill="1" applyBorder="1" applyProtection="1"/>
    <xf numFmtId="172" fontId="91" fillId="53" borderId="99" xfId="112" applyNumberFormat="1" applyFont="1" applyFill="1" applyBorder="1" applyProtection="1">
      <alignment horizontal="right" vertical="center"/>
    </xf>
    <xf numFmtId="0" fontId="103" fillId="29" borderId="27" xfId="0" applyNumberFormat="1" applyFont="1" applyFill="1" applyBorder="1" applyAlignment="1" applyProtection="1">
      <alignment horizontal="right"/>
    </xf>
    <xf numFmtId="171" fontId="91" fillId="56" borderId="30" xfId="0" applyNumberFormat="1" applyFont="1" applyFill="1" applyBorder="1" applyAlignment="1" applyProtection="1">
      <alignment horizontal="right"/>
    </xf>
    <xf numFmtId="171" fontId="91" fillId="56" borderId="31" xfId="0" applyNumberFormat="1" applyFont="1" applyFill="1" applyBorder="1" applyProtection="1"/>
    <xf numFmtId="171" fontId="103" fillId="53" borderId="31" xfId="0" applyNumberFormat="1" applyFont="1" applyFill="1" applyBorder="1" applyProtection="1"/>
    <xf numFmtId="171" fontId="91" fillId="56" borderId="27" xfId="0" applyNumberFormat="1" applyFont="1" applyFill="1" applyBorder="1" applyProtection="1"/>
    <xf numFmtId="171" fontId="91" fillId="56" borderId="30" xfId="0" applyNumberFormat="1" applyFont="1" applyFill="1" applyBorder="1" applyProtection="1"/>
    <xf numFmtId="171" fontId="103" fillId="53" borderId="24" xfId="0" applyNumberFormat="1" applyFont="1" applyFill="1" applyBorder="1" applyProtection="1"/>
    <xf numFmtId="0" fontId="80" fillId="53" borderId="0" xfId="0" applyFont="1" applyFill="1" applyProtection="1"/>
    <xf numFmtId="172" fontId="65" fillId="56" borderId="75" xfId="112" applyNumberFormat="1" applyFont="1" applyFill="1" applyBorder="1" applyProtection="1">
      <alignment horizontal="right" vertical="center"/>
    </xf>
    <xf numFmtId="172" fontId="65" fillId="56" borderId="76" xfId="112" applyNumberFormat="1" applyFont="1" applyFill="1" applyBorder="1" applyProtection="1">
      <alignment horizontal="right" vertical="center"/>
    </xf>
    <xf numFmtId="172" fontId="65" fillId="56" borderId="74" xfId="112" applyNumberFormat="1" applyFont="1" applyFill="1" applyBorder="1" applyProtection="1">
      <alignment horizontal="right" vertical="center"/>
    </xf>
    <xf numFmtId="172" fontId="65" fillId="56" borderId="8" xfId="112" applyNumberFormat="1" applyFont="1" applyFill="1" applyBorder="1" applyProtection="1">
      <alignment horizontal="right" vertical="center"/>
    </xf>
    <xf numFmtId="172" fontId="65" fillId="56" borderId="52" xfId="112" applyNumberFormat="1" applyFont="1" applyFill="1" applyBorder="1" applyProtection="1">
      <alignment horizontal="right" vertical="center"/>
    </xf>
    <xf numFmtId="172" fontId="65" fillId="56" borderId="78" xfId="112" applyNumberFormat="1" applyFont="1" applyFill="1" applyBorder="1" applyProtection="1">
      <alignment horizontal="right" vertical="center"/>
    </xf>
    <xf numFmtId="172" fontId="65" fillId="56" borderId="82" xfId="112" applyNumberFormat="1" applyFont="1" applyFill="1" applyBorder="1" applyProtection="1">
      <alignment horizontal="right" vertical="center"/>
    </xf>
    <xf numFmtId="172" fontId="65" fillId="56" borderId="83" xfId="112" applyNumberFormat="1" applyFont="1" applyFill="1" applyBorder="1" applyProtection="1">
      <alignment horizontal="right" vertical="center"/>
    </xf>
    <xf numFmtId="172" fontId="65" fillId="56" borderId="81" xfId="112" applyNumberFormat="1" applyFont="1" applyFill="1" applyBorder="1" applyProtection="1">
      <alignment horizontal="right" vertical="center"/>
    </xf>
    <xf numFmtId="172" fontId="65" fillId="56" borderId="84" xfId="112" applyNumberFormat="1" applyFont="1" applyFill="1" applyBorder="1" applyProtection="1">
      <alignment horizontal="right" vertical="center"/>
    </xf>
    <xf numFmtId="0" fontId="80" fillId="0" borderId="0" xfId="143" applyFont="1" applyFill="1" applyProtection="1"/>
    <xf numFmtId="0" fontId="55" fillId="0" borderId="0" xfId="143" applyFont="1" applyFill="1" applyBorder="1" applyAlignment="1" applyProtection="1">
      <protection locked="0"/>
    </xf>
    <xf numFmtId="172" fontId="65" fillId="56" borderId="85" xfId="112" applyNumberFormat="1" applyFont="1" applyFill="1" applyBorder="1" applyProtection="1">
      <alignment horizontal="right" vertical="center"/>
    </xf>
    <xf numFmtId="172" fontId="65" fillId="53" borderId="0" xfId="143" applyNumberFormat="1" applyFont="1" applyFill="1" applyBorder="1" applyProtection="1"/>
    <xf numFmtId="0" fontId="69" fillId="0" borderId="0" xfId="143" applyFont="1" applyFill="1" applyProtection="1"/>
    <xf numFmtId="0" fontId="65" fillId="53" borderId="0" xfId="0" applyFont="1" applyFill="1" applyProtection="1"/>
    <xf numFmtId="0" fontId="64" fillId="0" borderId="0" xfId="103" applyFont="1" applyFill="1" applyBorder="1" applyAlignment="1" applyProtection="1">
      <alignment horizontal="right" vertical="top"/>
    </xf>
    <xf numFmtId="0" fontId="64" fillId="53" borderId="0" xfId="103" applyFont="1" applyFill="1" applyBorder="1" applyAlignment="1" applyProtection="1">
      <alignment horizontal="right" vertical="center"/>
    </xf>
    <xf numFmtId="172" fontId="69" fillId="53" borderId="32" xfId="143" applyNumberFormat="1" applyFont="1" applyFill="1" applyBorder="1" applyProtection="1"/>
    <xf numFmtId="172" fontId="69" fillId="53" borderId="54" xfId="0" applyNumberFormat="1" applyFont="1" applyFill="1" applyBorder="1" applyAlignment="1" applyProtection="1">
      <alignment vertical="top"/>
    </xf>
    <xf numFmtId="172" fontId="69" fillId="53" borderId="55" xfId="0" applyNumberFormat="1" applyFont="1" applyFill="1" applyBorder="1" applyAlignment="1" applyProtection="1">
      <alignment vertical="top"/>
    </xf>
    <xf numFmtId="172" fontId="69" fillId="53" borderId="56" xfId="0" applyNumberFormat="1" applyFont="1" applyFill="1" applyBorder="1" applyAlignment="1" applyProtection="1">
      <alignment vertical="top"/>
    </xf>
    <xf numFmtId="172" fontId="65" fillId="54" borderId="77" xfId="143" applyNumberFormat="1" applyFont="1" applyFill="1" applyBorder="1" applyProtection="1">
      <protection locked="0"/>
    </xf>
    <xf numFmtId="172" fontId="65" fillId="54" borderId="25" xfId="143" applyNumberFormat="1" applyFont="1" applyFill="1" applyBorder="1" applyProtection="1">
      <protection locked="0"/>
    </xf>
    <xf numFmtId="172" fontId="65" fillId="54" borderId="53" xfId="143" applyNumberFormat="1" applyFont="1" applyFill="1" applyBorder="1" applyProtection="1">
      <protection locked="0"/>
    </xf>
    <xf numFmtId="172" fontId="65" fillId="54" borderId="79" xfId="143" applyNumberFormat="1" applyFont="1" applyFill="1" applyBorder="1" applyProtection="1">
      <protection locked="0"/>
    </xf>
    <xf numFmtId="172" fontId="65" fillId="54" borderId="32" xfId="143" applyNumberFormat="1" applyFont="1" applyFill="1" applyBorder="1" applyProtection="1">
      <protection locked="0"/>
    </xf>
    <xf numFmtId="172" fontId="65" fillId="54" borderId="71" xfId="143" applyNumberFormat="1" applyFont="1" applyFill="1" applyBorder="1" applyProtection="1">
      <protection locked="0"/>
    </xf>
    <xf numFmtId="172" fontId="65" fillId="54" borderId="49" xfId="143" applyNumberFormat="1" applyFont="1" applyFill="1" applyBorder="1" applyProtection="1">
      <protection locked="0"/>
    </xf>
    <xf numFmtId="172" fontId="65" fillId="56" borderId="35" xfId="112" applyNumberFormat="1" applyFont="1" applyFill="1" applyBorder="1" applyProtection="1">
      <alignment horizontal="right" vertical="center"/>
    </xf>
    <xf numFmtId="0" fontId="65" fillId="0" borderId="0" xfId="143" applyFont="1" applyFill="1" applyProtection="1"/>
    <xf numFmtId="172" fontId="65" fillId="56" borderId="74" xfId="213" applyNumberFormat="1" applyFont="1" applyFill="1" applyBorder="1">
      <alignment horizontal="right" vertical="center"/>
    </xf>
    <xf numFmtId="172" fontId="65" fillId="56" borderId="75" xfId="213" applyNumberFormat="1" applyFont="1" applyFill="1" applyBorder="1">
      <alignment horizontal="right" vertical="center"/>
    </xf>
    <xf numFmtId="172" fontId="65" fillId="56" borderId="78" xfId="213" applyNumberFormat="1" applyFont="1" applyFill="1" applyBorder="1">
      <alignment horizontal="right" vertical="center"/>
    </xf>
    <xf numFmtId="172" fontId="65" fillId="56" borderId="8" xfId="213" applyNumberFormat="1" applyFont="1" applyFill="1" applyBorder="1">
      <alignment horizontal="right" vertical="center"/>
    </xf>
    <xf numFmtId="172" fontId="65" fillId="56" borderId="81" xfId="213" applyNumberFormat="1" applyFont="1" applyFill="1" applyBorder="1">
      <alignment horizontal="right" vertical="center"/>
    </xf>
    <xf numFmtId="172" fontId="65" fillId="56" borderId="82" xfId="213" applyNumberFormat="1" applyFont="1" applyFill="1" applyBorder="1">
      <alignment horizontal="right" vertical="center"/>
    </xf>
    <xf numFmtId="0" fontId="69" fillId="45" borderId="0" xfId="0" applyFont="1" applyFill="1" applyProtection="1"/>
    <xf numFmtId="0" fontId="65" fillId="45" borderId="0" xfId="0" applyFont="1" applyFill="1" applyProtection="1"/>
    <xf numFmtId="0" fontId="69" fillId="45" borderId="0" xfId="0" applyFont="1" applyFill="1" applyBorder="1" applyProtection="1"/>
    <xf numFmtId="172" fontId="65" fillId="53" borderId="0" xfId="111" applyNumberFormat="1" applyFont="1" applyFill="1" applyBorder="1" applyProtection="1">
      <alignment horizontal="right" vertical="center"/>
    </xf>
    <xf numFmtId="172" fontId="65" fillId="56" borderId="28" xfId="111" applyNumberFormat="1" applyFont="1" applyFill="1" applyBorder="1" applyProtection="1">
      <alignment horizontal="right" vertical="center"/>
    </xf>
    <xf numFmtId="172" fontId="55" fillId="0" borderId="55" xfId="143" applyNumberFormat="1" applyFont="1" applyFill="1" applyBorder="1" applyAlignment="1" applyProtection="1">
      <protection locked="0"/>
    </xf>
    <xf numFmtId="0" fontId="65" fillId="0" borderId="0" xfId="143" applyFont="1" applyFill="1" applyProtection="1">
      <protection locked="0"/>
    </xf>
    <xf numFmtId="0" fontId="65" fillId="54" borderId="45" xfId="143" applyFont="1" applyFill="1" applyBorder="1" applyProtection="1">
      <protection locked="0"/>
    </xf>
    <xf numFmtId="0" fontId="65" fillId="54" borderId="80" xfId="143" applyFont="1" applyFill="1" applyBorder="1" applyProtection="1">
      <protection locked="0"/>
    </xf>
    <xf numFmtId="172" fontId="80" fillId="56" borderId="65" xfId="112" applyNumberFormat="1" applyFont="1" applyFill="1" applyBorder="1" applyProtection="1">
      <alignment horizontal="right" vertical="center"/>
    </xf>
    <xf numFmtId="2" fontId="69" fillId="45" borderId="0" xfId="0" applyNumberFormat="1" applyFont="1" applyFill="1" applyProtection="1"/>
    <xf numFmtId="172" fontId="65" fillId="45" borderId="0" xfId="111" applyNumberFormat="1" applyFont="1" applyFill="1" applyProtection="1">
      <alignment horizontal="right" vertical="center"/>
    </xf>
    <xf numFmtId="172" fontId="69" fillId="45" borderId="0" xfId="111" applyNumberFormat="1" applyFont="1" applyFill="1" applyAlignment="1" applyProtection="1">
      <alignment horizontal="left" vertical="center"/>
    </xf>
    <xf numFmtId="171" fontId="80" fillId="27" borderId="132" xfId="0" applyNumberFormat="1" applyFont="1" applyFill="1" applyBorder="1" applyProtection="1"/>
    <xf numFmtId="189" fontId="80" fillId="0" borderId="133" xfId="0" applyNumberFormat="1" applyFont="1" applyBorder="1" applyProtection="1"/>
    <xf numFmtId="177" fontId="80" fillId="0" borderId="133" xfId="0" applyNumberFormat="1" applyFont="1" applyBorder="1" applyProtection="1"/>
    <xf numFmtId="177" fontId="80" fillId="27" borderId="134" xfId="0" applyNumberFormat="1" applyFont="1" applyFill="1" applyBorder="1" applyProtection="1"/>
    <xf numFmtId="172" fontId="69" fillId="54" borderId="8" xfId="111" applyNumberFormat="1" applyFont="1" applyFill="1" applyBorder="1" applyProtection="1">
      <alignment horizontal="right" vertical="center"/>
      <protection locked="0"/>
    </xf>
    <xf numFmtId="171" fontId="103" fillId="56" borderId="0" xfId="0" applyNumberFormat="1" applyFont="1" applyFill="1" applyAlignment="1">
      <alignment horizontal="right"/>
    </xf>
    <xf numFmtId="171" fontId="103" fillId="56" borderId="0" xfId="0" applyNumberFormat="1" applyFont="1" applyFill="1" applyBorder="1" applyAlignment="1" applyProtection="1">
      <alignment horizontal="right"/>
    </xf>
    <xf numFmtId="0" fontId="69" fillId="0" borderId="0" xfId="0" applyFont="1" applyBorder="1" applyAlignment="1" applyProtection="1">
      <alignment horizontal="center"/>
    </xf>
    <xf numFmtId="0" fontId="109" fillId="37" borderId="0" xfId="169" applyFont="1" applyFill="1" applyAlignment="1" applyProtection="1">
      <alignment horizontal="center" vertical="center"/>
    </xf>
    <xf numFmtId="172" fontId="69" fillId="53" borderId="32" xfId="111" applyNumberFormat="1" applyFont="1" applyFill="1" applyBorder="1" applyProtection="1">
      <alignment horizontal="right" vertical="center"/>
    </xf>
    <xf numFmtId="172" fontId="69" fillId="0" borderId="32" xfId="111" applyNumberFormat="1" applyFont="1" applyFill="1" applyBorder="1" applyProtection="1">
      <alignment horizontal="right" vertical="center"/>
    </xf>
    <xf numFmtId="172" fontId="65" fillId="54" borderId="24" xfId="111" applyNumberFormat="1" applyFont="1" applyFill="1" applyBorder="1" applyProtection="1">
      <alignment horizontal="right" vertical="center"/>
      <protection locked="0"/>
    </xf>
    <xf numFmtId="172" fontId="65" fillId="53" borderId="25" xfId="111" applyNumberFormat="1" applyFont="1" applyFill="1" applyBorder="1" applyProtection="1">
      <alignment horizontal="right" vertical="center"/>
    </xf>
    <xf numFmtId="173" fontId="65" fillId="56" borderId="33" xfId="111" applyNumberFormat="1" applyFont="1" applyFill="1" applyBorder="1" applyProtection="1">
      <alignment horizontal="right" vertical="center"/>
    </xf>
    <xf numFmtId="0" fontId="55" fillId="53" borderId="19" xfId="207" applyFont="1" applyFill="1" applyBorder="1" applyAlignment="1" applyProtection="1">
      <alignment horizontal="left" vertical="top" indent="1"/>
    </xf>
    <xf numFmtId="10" fontId="65" fillId="56" borderId="34" xfId="112" quotePrefix="1" applyNumberFormat="1" applyFont="1" applyFill="1" applyBorder="1" applyProtection="1">
      <alignment horizontal="right" vertical="center"/>
    </xf>
    <xf numFmtId="172" fontId="69" fillId="58" borderId="32" xfId="111" applyNumberFormat="1" applyFont="1" applyFill="1" applyBorder="1" applyProtection="1">
      <alignment horizontal="right" vertical="center"/>
    </xf>
    <xf numFmtId="0" fontId="73" fillId="37" borderId="0" xfId="0" applyFont="1" applyFill="1" applyBorder="1" applyAlignment="1" applyProtection="1">
      <alignment horizontal="center"/>
    </xf>
    <xf numFmtId="0" fontId="71" fillId="53" borderId="0" xfId="0" applyFont="1" applyFill="1" applyProtection="1"/>
    <xf numFmtId="0" fontId="64" fillId="53" borderId="13" xfId="103" applyFont="1" applyFill="1" applyBorder="1" applyAlignment="1" applyProtection="1">
      <alignment horizontal="right" vertical="center"/>
    </xf>
    <xf numFmtId="172" fontId="65" fillId="54" borderId="25" xfId="111" applyNumberFormat="1" applyFont="1" applyFill="1" applyBorder="1" applyProtection="1">
      <alignment horizontal="right" vertical="center"/>
      <protection locked="0"/>
    </xf>
    <xf numFmtId="172" fontId="65" fillId="54" borderId="26" xfId="111" applyNumberFormat="1" applyFont="1" applyFill="1" applyBorder="1" applyProtection="1">
      <alignment horizontal="right" vertical="center"/>
      <protection locked="0"/>
    </xf>
    <xf numFmtId="173" fontId="65" fillId="0" borderId="0" xfId="111" applyNumberFormat="1" applyFont="1" applyFill="1" applyBorder="1" applyProtection="1">
      <alignment horizontal="right" vertical="center"/>
    </xf>
    <xf numFmtId="173" fontId="65" fillId="54" borderId="24" xfId="111" applyNumberFormat="1" applyFont="1" applyFill="1" applyBorder="1" applyProtection="1">
      <alignment horizontal="right" vertical="center"/>
      <protection locked="0"/>
    </xf>
    <xf numFmtId="173" fontId="65" fillId="54" borderId="25" xfId="111" applyNumberFormat="1" applyFont="1" applyFill="1" applyBorder="1" applyProtection="1">
      <alignment horizontal="right" vertical="center"/>
      <protection locked="0"/>
    </xf>
    <xf numFmtId="173" fontId="65" fillId="54" borderId="26" xfId="111" applyNumberFormat="1" applyFont="1" applyFill="1" applyBorder="1" applyProtection="1">
      <alignment horizontal="right" vertical="center"/>
      <protection locked="0"/>
    </xf>
    <xf numFmtId="172" fontId="65" fillId="53" borderId="8" xfId="111" applyNumberFormat="1" applyFont="1" applyFill="1" applyBorder="1" applyProtection="1">
      <alignment horizontal="right" vertical="center"/>
    </xf>
    <xf numFmtId="172" fontId="65" fillId="55" borderId="0" xfId="111" applyNumberFormat="1" applyFont="1" applyFill="1" applyBorder="1" applyProtection="1">
      <alignment horizontal="right" vertical="center"/>
    </xf>
    <xf numFmtId="172" fontId="65" fillId="0" borderId="25" xfId="111" applyNumberFormat="1" applyFont="1" applyFill="1" applyBorder="1" applyProtection="1">
      <alignment horizontal="right" vertical="center"/>
    </xf>
    <xf numFmtId="172" fontId="69" fillId="0" borderId="32" xfId="0" applyNumberFormat="1" applyFont="1" applyFill="1" applyBorder="1" applyProtection="1"/>
    <xf numFmtId="172" fontId="80" fillId="56" borderId="0" xfId="111" applyNumberFormat="1" applyFont="1" applyFill="1" applyBorder="1" applyProtection="1">
      <alignment horizontal="right" vertical="center"/>
    </xf>
    <xf numFmtId="9" fontId="65" fillId="0" borderId="0" xfId="111" applyNumberFormat="1" applyFont="1" applyFill="1" applyBorder="1" applyProtection="1">
      <alignment horizontal="right" vertical="center"/>
    </xf>
    <xf numFmtId="9" fontId="65" fillId="56" borderId="35" xfId="112" applyNumberFormat="1" applyFont="1" applyFill="1" applyBorder="1" applyProtection="1">
      <alignment horizontal="right" vertical="center"/>
    </xf>
    <xf numFmtId="172" fontId="65" fillId="58" borderId="51" xfId="111" applyNumberFormat="1" applyFont="1" applyFill="1" applyBorder="1" applyProtection="1">
      <alignment horizontal="right" vertical="center"/>
    </xf>
    <xf numFmtId="195" fontId="65" fillId="45" borderId="0" xfId="69" applyNumberFormat="1" applyFont="1" applyFill="1" applyProtection="1"/>
    <xf numFmtId="0" fontId="69" fillId="0" borderId="25" xfId="0" applyFont="1" applyBorder="1" applyAlignment="1" applyProtection="1">
      <alignment horizontal="center"/>
    </xf>
    <xf numFmtId="0" fontId="69" fillId="27" borderId="24" xfId="0" applyFont="1" applyFill="1" applyBorder="1" applyAlignment="1" applyProtection="1">
      <alignment horizontal="center"/>
    </xf>
    <xf numFmtId="0" fontId="69" fillId="27" borderId="26" xfId="0" applyFont="1" applyFill="1" applyBorder="1" applyAlignment="1" applyProtection="1">
      <alignment horizontal="center"/>
    </xf>
    <xf numFmtId="0" fontId="69" fillId="27" borderId="25" xfId="0" applyFont="1" applyFill="1" applyBorder="1" applyAlignment="1" applyProtection="1">
      <alignment horizontal="center"/>
    </xf>
    <xf numFmtId="0" fontId="55" fillId="45" borderId="0" xfId="0" applyFont="1" applyFill="1" applyBorder="1" applyProtection="1"/>
    <xf numFmtId="0" fontId="54" fillId="45" borderId="0" xfId="0" applyFont="1" applyFill="1" applyBorder="1" applyProtection="1"/>
    <xf numFmtId="9" fontId="65" fillId="56" borderId="8" xfId="111" applyNumberFormat="1" applyFont="1" applyFill="1" applyBorder="1" applyAlignment="1" applyProtection="1">
      <alignment horizontal="center" vertical="center"/>
    </xf>
    <xf numFmtId="10" fontId="65" fillId="56" borderId="8" xfId="111" applyNumberFormat="1" applyFont="1" applyFill="1" applyBorder="1" applyAlignment="1" applyProtection="1">
      <alignment horizontal="center" vertical="center"/>
    </xf>
    <xf numFmtId="9" fontId="65" fillId="54" borderId="33" xfId="111" applyNumberFormat="1" applyFont="1" applyFill="1" applyBorder="1" applyAlignment="1" applyProtection="1">
      <alignment horizontal="center" vertical="center"/>
      <protection locked="0"/>
    </xf>
    <xf numFmtId="10" fontId="65" fillId="58" borderId="35" xfId="111" applyNumberFormat="1" applyFont="1" applyFill="1" applyBorder="1" applyAlignment="1" applyProtection="1">
      <alignment horizontal="center" vertical="center"/>
    </xf>
    <xf numFmtId="172" fontId="69" fillId="53" borderId="43" xfId="111" applyNumberFormat="1" applyFont="1" applyFill="1" applyBorder="1" applyProtection="1">
      <alignment horizontal="right" vertical="center"/>
    </xf>
    <xf numFmtId="0" fontId="69" fillId="0" borderId="19" xfId="0" applyFont="1" applyFill="1" applyBorder="1" applyProtection="1"/>
    <xf numFmtId="172" fontId="65" fillId="54" borderId="28" xfId="111" applyNumberFormat="1" applyFont="1" applyFill="1" applyBorder="1" applyProtection="1">
      <alignment horizontal="right" vertical="center"/>
      <protection locked="0"/>
    </xf>
    <xf numFmtId="0" fontId="64" fillId="0" borderId="0" xfId="0" applyFont="1" applyFill="1" applyBorder="1" applyAlignment="1" applyProtection="1">
      <alignment horizontal="center"/>
    </xf>
    <xf numFmtId="172" fontId="69" fillId="53" borderId="28" xfId="111" applyNumberFormat="1" applyFont="1" applyFill="1" applyBorder="1" applyProtection="1">
      <alignment horizontal="right" vertical="center"/>
    </xf>
    <xf numFmtId="172" fontId="65" fillId="53" borderId="28" xfId="111" applyNumberFormat="1" applyFont="1" applyFill="1" applyBorder="1" applyProtection="1">
      <alignment horizontal="right" vertical="center"/>
    </xf>
    <xf numFmtId="172" fontId="65" fillId="53" borderId="26" xfId="111" applyNumberFormat="1" applyFont="1" applyFill="1" applyBorder="1" applyProtection="1">
      <alignment horizontal="right" vertical="center"/>
    </xf>
    <xf numFmtId="172" fontId="65" fillId="53" borderId="24" xfId="111" applyNumberFormat="1" applyFont="1" applyFill="1" applyBorder="1" applyProtection="1">
      <alignment horizontal="right" vertical="center"/>
    </xf>
    <xf numFmtId="172" fontId="69" fillId="55" borderId="96" xfId="111" applyNumberFormat="1" applyFont="1" applyFill="1" applyBorder="1" applyProtection="1">
      <alignment horizontal="right" vertical="center"/>
    </xf>
    <xf numFmtId="172" fontId="69" fillId="0" borderId="8" xfId="111" applyNumberFormat="1" applyFont="1" applyFill="1" applyBorder="1" applyProtection="1">
      <alignment horizontal="right" vertical="center"/>
    </xf>
    <xf numFmtId="172" fontId="69" fillId="0" borderId="24" xfId="111" applyNumberFormat="1" applyFont="1" applyFill="1" applyBorder="1" applyProtection="1">
      <alignment horizontal="right" vertical="center"/>
    </xf>
    <xf numFmtId="172" fontId="69" fillId="53" borderId="25" xfId="111" applyNumberFormat="1" applyFont="1" applyFill="1" applyBorder="1" applyProtection="1">
      <alignment horizontal="right" vertical="center"/>
    </xf>
    <xf numFmtId="172" fontId="69" fillId="53" borderId="26" xfId="111" applyNumberFormat="1" applyFont="1" applyFill="1" applyBorder="1" applyProtection="1">
      <alignment horizontal="right" vertical="center"/>
    </xf>
    <xf numFmtId="172" fontId="69" fillId="0" borderId="96" xfId="111" applyNumberFormat="1" applyFont="1" applyFill="1" applyBorder="1" applyProtection="1">
      <alignment horizontal="right" vertical="center"/>
    </xf>
    <xf numFmtId="172" fontId="69" fillId="53" borderId="24" xfId="111" applyNumberFormat="1" applyFont="1" applyFill="1" applyBorder="1" applyProtection="1">
      <alignment horizontal="right" vertical="center"/>
    </xf>
    <xf numFmtId="172" fontId="69" fillId="0" borderId="26" xfId="111" applyNumberFormat="1" applyFont="1" applyFill="1" applyBorder="1" applyProtection="1">
      <alignment horizontal="right" vertical="center"/>
    </xf>
    <xf numFmtId="172" fontId="69" fillId="53" borderId="96" xfId="111" applyNumberFormat="1" applyFont="1" applyFill="1" applyBorder="1" applyProtection="1">
      <alignment horizontal="right" vertical="center"/>
    </xf>
    <xf numFmtId="172" fontId="69" fillId="55" borderId="24" xfId="111" applyNumberFormat="1" applyFont="1" applyFill="1" applyBorder="1" applyProtection="1">
      <alignment horizontal="right" vertical="center"/>
    </xf>
    <xf numFmtId="0" fontId="55" fillId="45" borderId="0" xfId="0" applyFont="1" applyFill="1" applyBorder="1" applyAlignment="1" applyProtection="1">
      <alignment horizontal="right"/>
    </xf>
    <xf numFmtId="172" fontId="65" fillId="54" borderId="8" xfId="111" applyNumberFormat="1" applyFont="1" applyFill="1" applyBorder="1" applyProtection="1">
      <alignment horizontal="right" vertical="center"/>
      <protection locked="0"/>
    </xf>
    <xf numFmtId="172" fontId="69" fillId="53" borderId="82" xfId="111" applyNumberFormat="1" applyFont="1" applyFill="1" applyBorder="1" applyProtection="1">
      <alignment horizontal="right" vertical="center"/>
    </xf>
    <xf numFmtId="172" fontId="69" fillId="53" borderId="8" xfId="111" applyNumberFormat="1" applyFont="1" applyFill="1" applyBorder="1" applyProtection="1">
      <alignment horizontal="right" vertical="center"/>
    </xf>
    <xf numFmtId="172" fontId="65" fillId="31" borderId="8" xfId="111" applyNumberFormat="1" applyFont="1" applyFill="1" applyBorder="1" applyProtection="1">
      <alignment horizontal="right" vertical="center"/>
    </xf>
    <xf numFmtId="182" fontId="65" fillId="0" borderId="0" xfId="111" applyNumberFormat="1" applyFont="1" applyFill="1" applyBorder="1" applyProtection="1">
      <alignment horizontal="right" vertical="center"/>
    </xf>
    <xf numFmtId="182" fontId="65" fillId="55" borderId="0" xfId="111" applyNumberFormat="1" applyFont="1" applyFill="1" applyBorder="1" applyProtection="1">
      <alignment horizontal="right" vertical="center"/>
    </xf>
    <xf numFmtId="182" fontId="65" fillId="53" borderId="0" xfId="111" applyNumberFormat="1" applyFont="1" applyFill="1" applyBorder="1" applyProtection="1">
      <alignment horizontal="right" vertical="center"/>
    </xf>
    <xf numFmtId="189" fontId="65" fillId="53" borderId="0" xfId="111" applyNumberFormat="1" applyFont="1" applyFill="1" applyBorder="1" applyProtection="1">
      <alignment horizontal="right" vertical="center"/>
    </xf>
    <xf numFmtId="10" fontId="65" fillId="53" borderId="0" xfId="111" applyNumberFormat="1" applyFont="1" applyFill="1" applyBorder="1" applyProtection="1">
      <alignment horizontal="right" vertical="center"/>
    </xf>
    <xf numFmtId="0" fontId="65" fillId="53" borderId="20" xfId="0" applyFont="1" applyFill="1" applyBorder="1" applyProtection="1"/>
    <xf numFmtId="0" fontId="65" fillId="53" borderId="0" xfId="141" applyFont="1" applyFill="1" applyBorder="1" applyAlignment="1" applyProtection="1">
      <alignment horizontal="left" vertical="center" indent="1"/>
    </xf>
    <xf numFmtId="172" fontId="65" fillId="53" borderId="32" xfId="111" applyNumberFormat="1" applyFont="1" applyFill="1" applyBorder="1" applyProtection="1">
      <alignment horizontal="right" vertical="center"/>
    </xf>
    <xf numFmtId="172" fontId="65" fillId="53" borderId="0" xfId="112" applyNumberFormat="1" applyFont="1" applyFill="1" applyBorder="1" applyProtection="1">
      <alignment horizontal="right" vertical="center"/>
    </xf>
    <xf numFmtId="172" fontId="65" fillId="53" borderId="13" xfId="112" applyNumberFormat="1" applyFont="1" applyFill="1" applyBorder="1" applyProtection="1">
      <alignment horizontal="right" vertical="center"/>
    </xf>
    <xf numFmtId="172" fontId="69" fillId="53" borderId="32" xfId="112" applyNumberFormat="1" applyFont="1" applyFill="1" applyBorder="1" applyProtection="1">
      <alignment horizontal="right" vertical="center"/>
    </xf>
    <xf numFmtId="172" fontId="80" fillId="53" borderId="0" xfId="213" applyNumberFormat="1" applyFont="1" applyFill="1" applyBorder="1" applyProtection="1">
      <alignment horizontal="right" vertical="center"/>
    </xf>
    <xf numFmtId="172" fontId="80" fillId="53" borderId="66" xfId="112" applyNumberFormat="1" applyFont="1" applyFill="1" applyBorder="1" applyProtection="1">
      <alignment horizontal="right" vertical="center"/>
    </xf>
    <xf numFmtId="172" fontId="80" fillId="53" borderId="67" xfId="112" applyNumberFormat="1" applyFont="1" applyFill="1" applyBorder="1" applyProtection="1">
      <alignment horizontal="right" vertical="center"/>
    </xf>
    <xf numFmtId="172" fontId="80" fillId="53" borderId="69" xfId="112" applyNumberFormat="1" applyFont="1" applyFill="1" applyBorder="1" applyProtection="1">
      <alignment horizontal="right" vertical="center"/>
    </xf>
    <xf numFmtId="172" fontId="80" fillId="53" borderId="70" xfId="112" applyNumberFormat="1" applyFont="1" applyFill="1" applyBorder="1" applyProtection="1">
      <alignment horizontal="right" vertical="center"/>
    </xf>
    <xf numFmtId="172" fontId="65" fillId="56" borderId="24" xfId="111" applyNumberFormat="1" applyFont="1" applyFill="1" applyBorder="1" applyProtection="1">
      <alignment horizontal="right" vertical="center"/>
    </xf>
    <xf numFmtId="172" fontId="65" fillId="56" borderId="25" xfId="111" applyNumberFormat="1" applyFont="1" applyFill="1" applyBorder="1" applyProtection="1">
      <alignment horizontal="right" vertical="center"/>
    </xf>
    <xf numFmtId="172" fontId="65" fillId="56" borderId="26" xfId="111" applyNumberFormat="1" applyFont="1" applyFill="1" applyBorder="1" applyProtection="1">
      <alignment horizontal="right" vertical="center"/>
    </xf>
    <xf numFmtId="0" fontId="65" fillId="53" borderId="0" xfId="78" applyFont="1" applyFill="1" applyProtection="1">
      <alignment vertical="center"/>
    </xf>
    <xf numFmtId="172" fontId="65" fillId="56" borderId="8" xfId="111" applyNumberFormat="1" applyFont="1" applyFill="1" applyBorder="1" applyProtection="1">
      <alignment horizontal="right" vertical="center"/>
    </xf>
    <xf numFmtId="0" fontId="64" fillId="53" borderId="0" xfId="74" applyFont="1" applyFill="1" applyProtection="1">
      <alignment vertical="center"/>
    </xf>
    <xf numFmtId="0" fontId="64" fillId="53" borderId="0" xfId="0" applyFont="1" applyFill="1" applyBorder="1" applyAlignment="1" applyProtection="1">
      <alignment horizontal="right"/>
    </xf>
    <xf numFmtId="172" fontId="65" fillId="53" borderId="27" xfId="0" applyNumberFormat="1" applyFont="1" applyFill="1" applyBorder="1" applyProtection="1"/>
    <xf numFmtId="172" fontId="65" fillId="53" borderId="30" xfId="0" applyNumberFormat="1" applyFont="1" applyFill="1" applyBorder="1" applyProtection="1"/>
    <xf numFmtId="172" fontId="65" fillId="53" borderId="31" xfId="0" applyNumberFormat="1" applyFont="1" applyFill="1" applyBorder="1" applyProtection="1"/>
    <xf numFmtId="172" fontId="69" fillId="53" borderId="0" xfId="112" applyNumberFormat="1" applyFont="1" applyFill="1" applyBorder="1" applyProtection="1">
      <alignment horizontal="right" vertical="center"/>
    </xf>
    <xf numFmtId="172" fontId="65" fillId="53" borderId="28" xfId="0" applyNumberFormat="1" applyFont="1" applyFill="1" applyBorder="1" applyProtection="1"/>
    <xf numFmtId="172" fontId="65" fillId="53" borderId="29" xfId="0" applyNumberFormat="1" applyFont="1" applyFill="1" applyBorder="1" applyProtection="1"/>
    <xf numFmtId="172" fontId="65" fillId="53" borderId="14" xfId="0" applyNumberFormat="1" applyFont="1" applyFill="1" applyBorder="1" applyProtection="1"/>
    <xf numFmtId="172" fontId="65" fillId="53" borderId="13" xfId="0" applyNumberFormat="1" applyFont="1" applyFill="1" applyBorder="1" applyProtection="1"/>
    <xf numFmtId="172" fontId="65" fillId="53" borderId="15" xfId="0" applyNumberFormat="1" applyFont="1" applyFill="1" applyBorder="1" applyProtection="1"/>
    <xf numFmtId="0" fontId="65" fillId="53" borderId="19" xfId="0" applyFont="1" applyFill="1" applyBorder="1" applyProtection="1"/>
    <xf numFmtId="172" fontId="80" fillId="56" borderId="66" xfId="112" applyNumberFormat="1" applyFont="1" applyFill="1" applyBorder="1" applyProtection="1">
      <alignment horizontal="right" vertical="center"/>
    </xf>
    <xf numFmtId="172" fontId="80" fillId="56" borderId="69" xfId="112" applyNumberFormat="1" applyFont="1" applyFill="1" applyBorder="1" applyProtection="1">
      <alignment horizontal="right" vertical="center"/>
    </xf>
    <xf numFmtId="172" fontId="80" fillId="56" borderId="67" xfId="112" applyNumberFormat="1" applyFont="1" applyFill="1" applyBorder="1" applyProtection="1">
      <alignment horizontal="right" vertical="center"/>
    </xf>
    <xf numFmtId="172" fontId="80" fillId="56" borderId="70" xfId="112" applyNumberFormat="1" applyFont="1" applyFill="1" applyBorder="1" applyProtection="1">
      <alignment horizontal="right" vertical="center"/>
    </xf>
    <xf numFmtId="172" fontId="80" fillId="56" borderId="68" xfId="112" applyNumberFormat="1" applyFont="1" applyFill="1" applyBorder="1" applyProtection="1">
      <alignment horizontal="right" vertical="center"/>
    </xf>
    <xf numFmtId="172" fontId="65" fillId="54" borderId="27" xfId="111" applyNumberFormat="1" applyFont="1" applyFill="1" applyBorder="1" applyProtection="1">
      <alignment horizontal="right" vertical="center"/>
      <protection locked="0"/>
    </xf>
    <xf numFmtId="172" fontId="65" fillId="54" borderId="29" xfId="111" applyNumberFormat="1" applyFont="1" applyFill="1" applyBorder="1" applyProtection="1">
      <alignment horizontal="right" vertical="center"/>
      <protection locked="0"/>
    </xf>
    <xf numFmtId="172" fontId="65" fillId="54" borderId="30" xfId="111" applyNumberFormat="1" applyFont="1" applyFill="1" applyBorder="1" applyProtection="1">
      <alignment horizontal="right" vertical="center"/>
      <protection locked="0"/>
    </xf>
    <xf numFmtId="172" fontId="65" fillId="54" borderId="14" xfId="111" applyNumberFormat="1" applyFont="1" applyFill="1" applyBorder="1" applyProtection="1">
      <alignment horizontal="right" vertical="center"/>
      <protection locked="0"/>
    </xf>
    <xf numFmtId="172" fontId="65" fillId="54" borderId="0" xfId="111" applyNumberFormat="1" applyFont="1" applyFill="1" applyBorder="1" applyProtection="1">
      <alignment horizontal="right" vertical="center"/>
      <protection locked="0"/>
    </xf>
    <xf numFmtId="172" fontId="65" fillId="54" borderId="31" xfId="111" applyNumberFormat="1" applyFont="1" applyFill="1" applyBorder="1" applyProtection="1">
      <alignment horizontal="right" vertical="center"/>
      <protection locked="0"/>
    </xf>
    <xf numFmtId="172" fontId="65" fillId="54" borderId="15" xfId="111" applyNumberFormat="1" applyFont="1" applyFill="1" applyBorder="1" applyProtection="1">
      <alignment horizontal="right" vertical="center"/>
      <protection locked="0"/>
    </xf>
    <xf numFmtId="172" fontId="65" fillId="54" borderId="13" xfId="111" applyNumberFormat="1" applyFont="1" applyFill="1" applyBorder="1" applyProtection="1">
      <alignment horizontal="right" vertical="center"/>
      <protection locked="0"/>
    </xf>
    <xf numFmtId="172" fontId="65" fillId="56" borderId="29" xfId="111" applyNumberFormat="1" applyFont="1" applyFill="1" applyBorder="1" applyProtection="1">
      <alignment horizontal="right" vertical="center"/>
    </xf>
    <xf numFmtId="172" fontId="65" fillId="56" borderId="0" xfId="111" applyNumberFormat="1" applyFont="1" applyFill="1" applyBorder="1" applyProtection="1">
      <alignment horizontal="right" vertical="center"/>
    </xf>
    <xf numFmtId="172" fontId="65" fillId="56" borderId="13" xfId="111" applyNumberFormat="1" applyFont="1" applyFill="1" applyBorder="1" applyProtection="1">
      <alignment horizontal="right" vertical="center"/>
    </xf>
    <xf numFmtId="172" fontId="65" fillId="56" borderId="14" xfId="111" applyNumberFormat="1" applyFont="1" applyFill="1" applyBorder="1" applyProtection="1">
      <alignment horizontal="right" vertical="center"/>
    </xf>
    <xf numFmtId="172" fontId="65" fillId="56" borderId="15" xfId="111" applyNumberFormat="1" applyFont="1" applyFill="1" applyBorder="1" applyProtection="1">
      <alignment horizontal="right" vertical="center"/>
    </xf>
    <xf numFmtId="0" fontId="65" fillId="53" borderId="0" xfId="78" applyFont="1" applyFill="1" applyBorder="1" applyProtection="1">
      <alignment vertical="center"/>
    </xf>
    <xf numFmtId="0" fontId="64" fillId="53" borderId="0" xfId="74" applyFont="1" applyFill="1" applyBorder="1" applyProtection="1">
      <alignment vertical="center"/>
    </xf>
    <xf numFmtId="172" fontId="65" fillId="58" borderId="0" xfId="0" applyNumberFormat="1" applyFont="1" applyFill="1" applyBorder="1" applyProtection="1"/>
    <xf numFmtId="172" fontId="69" fillId="0" borderId="36" xfId="111" applyNumberFormat="1" applyFont="1" applyFill="1" applyBorder="1" applyProtection="1">
      <alignment horizontal="right" vertical="center"/>
    </xf>
    <xf numFmtId="172" fontId="65" fillId="54" borderId="26" xfId="111" applyNumberFormat="1" applyFont="1" applyFill="1" applyBorder="1" applyAlignment="1" applyProtection="1">
      <alignment vertical="center"/>
      <protection locked="0"/>
    </xf>
    <xf numFmtId="172" fontId="65" fillId="54" borderId="8" xfId="111" applyNumberFormat="1" applyFont="1" applyFill="1" applyBorder="1" applyAlignment="1" applyProtection="1">
      <alignment vertical="center"/>
      <protection locked="0"/>
    </xf>
    <xf numFmtId="173" fontId="65" fillId="0" borderId="0" xfId="0" applyNumberFormat="1" applyFont="1" applyFill="1" applyProtection="1"/>
    <xf numFmtId="2" fontId="65" fillId="53" borderId="0" xfId="0" applyNumberFormat="1" applyFont="1" applyFill="1" applyProtection="1"/>
    <xf numFmtId="172" fontId="80" fillId="56" borderId="86" xfId="0" applyNumberFormat="1" applyFont="1" applyFill="1" applyBorder="1" applyProtection="1"/>
    <xf numFmtId="172" fontId="80" fillId="56" borderId="87" xfId="0" applyNumberFormat="1" applyFont="1" applyFill="1" applyBorder="1" applyProtection="1"/>
    <xf numFmtId="0" fontId="96" fillId="53" borderId="0" xfId="0" applyFont="1" applyFill="1" applyProtection="1"/>
    <xf numFmtId="172" fontId="69" fillId="0" borderId="0" xfId="0" applyNumberFormat="1" applyFont="1" applyFill="1" applyBorder="1" applyAlignment="1" applyProtection="1">
      <alignment horizontal="right"/>
    </xf>
    <xf numFmtId="172" fontId="65" fillId="54" borderId="24" xfId="0" applyNumberFormat="1" applyFont="1" applyFill="1" applyBorder="1" applyProtection="1">
      <protection locked="0"/>
    </xf>
    <xf numFmtId="172" fontId="65" fillId="54" borderId="25" xfId="0" applyNumberFormat="1" applyFont="1" applyFill="1" applyBorder="1" applyProtection="1">
      <protection locked="0"/>
    </xf>
    <xf numFmtId="172" fontId="65" fillId="54" borderId="26" xfId="0" applyNumberFormat="1" applyFont="1" applyFill="1" applyBorder="1" applyProtection="1">
      <protection locked="0"/>
    </xf>
    <xf numFmtId="180" fontId="78" fillId="53" borderId="13" xfId="102" applyNumberFormat="1" applyFont="1" applyFill="1" applyBorder="1" applyProtection="1"/>
    <xf numFmtId="0" fontId="78" fillId="53" borderId="13" xfId="0" applyFont="1" applyFill="1" applyBorder="1" applyProtection="1"/>
    <xf numFmtId="180" fontId="78" fillId="53" borderId="13" xfId="209" applyNumberFormat="1" applyFont="1" applyFill="1" applyBorder="1" applyProtection="1"/>
    <xf numFmtId="0" fontId="78" fillId="53" borderId="13" xfId="0" applyFont="1" applyFill="1" applyBorder="1"/>
    <xf numFmtId="0" fontId="65" fillId="27" borderId="18" xfId="0" applyFont="1" applyFill="1" applyBorder="1" applyAlignment="1" applyProtection="1"/>
    <xf numFmtId="0" fontId="65" fillId="27" borderId="20" xfId="0" applyFont="1" applyFill="1" applyBorder="1" applyAlignment="1" applyProtection="1"/>
    <xf numFmtId="0" fontId="65" fillId="27" borderId="23" xfId="0" applyFont="1" applyFill="1" applyBorder="1" applyAlignment="1" applyProtection="1"/>
    <xf numFmtId="172" fontId="65" fillId="54" borderId="27" xfId="0" applyNumberFormat="1" applyFont="1" applyFill="1" applyBorder="1" applyProtection="1">
      <protection locked="0"/>
    </xf>
    <xf numFmtId="172" fontId="65" fillId="54" borderId="28" xfId="0" applyNumberFormat="1" applyFont="1" applyFill="1" applyBorder="1" applyProtection="1">
      <protection locked="0"/>
    </xf>
    <xf numFmtId="172" fontId="65" fillId="54" borderId="29" xfId="0" applyNumberFormat="1" applyFont="1" applyFill="1" applyBorder="1" applyProtection="1">
      <protection locked="0"/>
    </xf>
    <xf numFmtId="172" fontId="65" fillId="54" borderId="13" xfId="0" applyNumberFormat="1" applyFont="1" applyFill="1" applyBorder="1" applyProtection="1">
      <protection locked="0"/>
    </xf>
    <xf numFmtId="172" fontId="65" fillId="54" borderId="15" xfId="0" applyNumberFormat="1" applyFont="1" applyFill="1" applyBorder="1" applyProtection="1">
      <protection locked="0"/>
    </xf>
    <xf numFmtId="172" fontId="65" fillId="54" borderId="8" xfId="0" applyNumberFormat="1" applyFont="1" applyFill="1" applyBorder="1" applyProtection="1">
      <protection locked="0"/>
    </xf>
    <xf numFmtId="0" fontId="55" fillId="0" borderId="16" xfId="143" applyFont="1" applyFill="1" applyBorder="1" applyAlignment="1" applyProtection="1">
      <alignment vertical="top"/>
    </xf>
    <xf numFmtId="0" fontId="55" fillId="0" borderId="91" xfId="143" applyFont="1" applyFill="1" applyBorder="1" applyAlignment="1" applyProtection="1">
      <alignment horizontal="center" vertical="top" wrapText="1"/>
    </xf>
    <xf numFmtId="2" fontId="69" fillId="53" borderId="55" xfId="0" applyNumberFormat="1" applyFont="1" applyFill="1" applyBorder="1" applyAlignment="1" applyProtection="1">
      <alignment vertical="top"/>
    </xf>
    <xf numFmtId="2" fontId="69" fillId="53" borderId="56" xfId="0" applyNumberFormat="1" applyFont="1" applyFill="1" applyBorder="1" applyAlignment="1" applyProtection="1">
      <alignment vertical="top"/>
    </xf>
    <xf numFmtId="0" fontId="65" fillId="56" borderId="37" xfId="143" applyFont="1" applyFill="1" applyBorder="1" applyAlignment="1" applyProtection="1">
      <alignment horizontal="center"/>
    </xf>
    <xf numFmtId="0" fontId="65" fillId="56" borderId="53" xfId="143" applyFont="1" applyFill="1" applyBorder="1" applyAlignment="1" applyProtection="1">
      <alignment horizontal="center"/>
    </xf>
    <xf numFmtId="0" fontId="65" fillId="56" borderId="44" xfId="143" applyFont="1" applyFill="1" applyBorder="1" applyAlignment="1" applyProtection="1">
      <alignment horizontal="center"/>
    </xf>
    <xf numFmtId="172" fontId="65" fillId="56" borderId="93" xfId="112" applyNumberFormat="1" applyFont="1" applyFill="1" applyBorder="1" applyProtection="1">
      <alignment horizontal="right" vertical="center"/>
    </xf>
    <xf numFmtId="172" fontId="65" fillId="56" borderId="94" xfId="112" applyNumberFormat="1" applyFont="1" applyFill="1" applyBorder="1" applyProtection="1">
      <alignment horizontal="right" vertical="center"/>
    </xf>
    <xf numFmtId="172" fontId="65" fillId="56" borderId="95" xfId="112" applyNumberFormat="1" applyFont="1" applyFill="1" applyBorder="1" applyProtection="1">
      <alignment horizontal="right" vertical="center"/>
    </xf>
    <xf numFmtId="172" fontId="65" fillId="0" borderId="31" xfId="0" applyNumberFormat="1" applyFont="1" applyFill="1" applyBorder="1" applyProtection="1"/>
    <xf numFmtId="10" fontId="54" fillId="45" borderId="0" xfId="101" applyNumberFormat="1" applyFont="1" applyFill="1" applyProtection="1"/>
    <xf numFmtId="172" fontId="54" fillId="45" borderId="0" xfId="111" applyNumberFormat="1" applyFont="1" applyFill="1" applyBorder="1" applyProtection="1">
      <alignment horizontal="right" vertical="center"/>
    </xf>
    <xf numFmtId="172" fontId="55" fillId="45" borderId="0" xfId="111" applyNumberFormat="1" applyFont="1" applyFill="1" applyBorder="1" applyProtection="1">
      <alignment horizontal="right" vertical="center"/>
    </xf>
    <xf numFmtId="172" fontId="65" fillId="0" borderId="32" xfId="111" applyNumberFormat="1" applyFont="1" applyFill="1" applyBorder="1" applyProtection="1">
      <alignment horizontal="right" vertical="center"/>
    </xf>
    <xf numFmtId="172" fontId="65" fillId="58" borderId="0" xfId="111" applyNumberFormat="1" applyFont="1" applyFill="1" applyBorder="1" applyProtection="1">
      <alignment horizontal="right" vertical="center"/>
    </xf>
    <xf numFmtId="172" fontId="65" fillId="53" borderId="0" xfId="111" applyNumberFormat="1" applyFont="1" applyFill="1" applyProtection="1">
      <alignment horizontal="right" vertical="center"/>
    </xf>
    <xf numFmtId="173" fontId="65" fillId="60" borderId="0" xfId="101" applyNumberFormat="1" applyFont="1" applyFill="1" applyBorder="1" applyAlignment="1" applyProtection="1">
      <alignment horizontal="right"/>
    </xf>
    <xf numFmtId="173" fontId="65" fillId="0" borderId="22" xfId="101" applyNumberFormat="1" applyFont="1" applyFill="1" applyBorder="1" applyAlignment="1" applyProtection="1">
      <alignment horizontal="right"/>
    </xf>
    <xf numFmtId="173" fontId="65" fillId="60" borderId="14" xfId="101" applyNumberFormat="1" applyFont="1" applyFill="1" applyBorder="1" applyAlignment="1" applyProtection="1">
      <alignment horizontal="right"/>
    </xf>
    <xf numFmtId="173" fontId="65" fillId="0" borderId="42" xfId="101" applyNumberFormat="1" applyFont="1" applyFill="1" applyBorder="1" applyAlignment="1" applyProtection="1">
      <alignment horizontal="right"/>
    </xf>
    <xf numFmtId="173" fontId="65" fillId="60" borderId="20" xfId="101" applyNumberFormat="1" applyFont="1" applyFill="1" applyBorder="1" applyAlignment="1" applyProtection="1">
      <alignment horizontal="right"/>
    </xf>
    <xf numFmtId="173" fontId="65" fillId="0" borderId="23" xfId="101" applyNumberFormat="1" applyFont="1" applyFill="1" applyBorder="1" applyAlignment="1" applyProtection="1">
      <alignment horizontal="right"/>
    </xf>
    <xf numFmtId="173" fontId="65" fillId="62" borderId="48" xfId="101" applyNumberFormat="1" applyFont="1" applyFill="1" applyBorder="1" applyAlignment="1" applyProtection="1">
      <alignment horizontal="right"/>
    </xf>
    <xf numFmtId="173" fontId="65" fillId="62" borderId="18" xfId="101" applyNumberFormat="1" applyFont="1" applyFill="1" applyBorder="1" applyAlignment="1" applyProtection="1">
      <alignment horizontal="right"/>
    </xf>
    <xf numFmtId="194" fontId="65" fillId="54" borderId="17" xfId="114" applyNumberFormat="1" applyFont="1" applyFill="1" applyBorder="1" applyProtection="1">
      <alignment horizontal="right" vertical="center"/>
      <protection locked="0"/>
    </xf>
    <xf numFmtId="194" fontId="65" fillId="54" borderId="16" xfId="114" applyNumberFormat="1" applyFont="1" applyFill="1" applyBorder="1" applyProtection="1">
      <alignment horizontal="right" vertical="center"/>
      <protection locked="0"/>
    </xf>
    <xf numFmtId="194" fontId="65" fillId="54" borderId="18" xfId="114" applyNumberFormat="1" applyFont="1" applyFill="1" applyBorder="1" applyProtection="1">
      <alignment horizontal="right" vertical="center"/>
      <protection locked="0"/>
    </xf>
    <xf numFmtId="194" fontId="65" fillId="54" borderId="37" xfId="111" applyNumberFormat="1" applyFont="1" applyFill="1" applyBorder="1" applyProtection="1">
      <alignment horizontal="right" vertical="center"/>
      <protection locked="0"/>
    </xf>
    <xf numFmtId="170" fontId="65" fillId="54" borderId="25" xfId="114" applyNumberFormat="1" applyFont="1" applyFill="1" applyBorder="1" applyProtection="1">
      <alignment horizontal="right" vertical="center"/>
      <protection locked="0"/>
    </xf>
    <xf numFmtId="170" fontId="65" fillId="54" borderId="77" xfId="114" applyNumberFormat="1" applyFont="1" applyFill="1" applyBorder="1" applyProtection="1">
      <alignment horizontal="right" vertical="center"/>
      <protection locked="0"/>
    </xf>
    <xf numFmtId="170" fontId="65" fillId="54" borderId="53" xfId="114" applyNumberFormat="1" applyFont="1" applyFill="1" applyBorder="1" applyProtection="1">
      <alignment horizontal="right" vertical="center"/>
      <protection locked="0"/>
    </xf>
    <xf numFmtId="170" fontId="65" fillId="54" borderId="46" xfId="111" applyNumberFormat="1" applyFont="1" applyFill="1" applyBorder="1" applyProtection="1">
      <alignment horizontal="right" vertical="center"/>
      <protection locked="0"/>
    </xf>
    <xf numFmtId="0" fontId="65" fillId="62" borderId="18" xfId="0" applyFont="1" applyFill="1" applyBorder="1" applyProtection="1">
      <protection locked="0"/>
    </xf>
    <xf numFmtId="0" fontId="65" fillId="62" borderId="20" xfId="0" applyFont="1" applyFill="1" applyBorder="1" applyProtection="1">
      <protection locked="0"/>
    </xf>
    <xf numFmtId="0" fontId="65" fillId="62" borderId="88" xfId="0" applyFont="1" applyFill="1" applyBorder="1" applyProtection="1">
      <protection locked="0"/>
    </xf>
    <xf numFmtId="173" fontId="2" fillId="60" borderId="0" xfId="101" applyNumberFormat="1" applyFont="1" applyFill="1" applyBorder="1" applyAlignment="1" applyProtection="1">
      <alignment horizontal="right"/>
    </xf>
    <xf numFmtId="173" fontId="2" fillId="60" borderId="20" xfId="101" applyNumberFormat="1" applyFont="1" applyFill="1" applyBorder="1" applyAlignment="1" applyProtection="1">
      <alignment horizontal="right"/>
    </xf>
    <xf numFmtId="172" fontId="80" fillId="53" borderId="27" xfId="111" applyNumberFormat="1" applyFont="1" applyFill="1" applyBorder="1" applyAlignment="1" applyProtection="1">
      <alignment horizontal="left" vertical="center"/>
    </xf>
    <xf numFmtId="172" fontId="80" fillId="53" borderId="41" xfId="111" applyNumberFormat="1" applyFont="1" applyFill="1" applyBorder="1" applyAlignment="1" applyProtection="1">
      <alignment horizontal="left" vertical="center"/>
    </xf>
    <xf numFmtId="172" fontId="80" fillId="53" borderId="28" xfId="111" applyNumberFormat="1" applyFont="1" applyFill="1" applyBorder="1" applyAlignment="1" applyProtection="1">
      <alignment horizontal="left" vertical="center"/>
    </xf>
    <xf numFmtId="172" fontId="80" fillId="53" borderId="88" xfId="111" applyNumberFormat="1" applyFont="1" applyFill="1" applyBorder="1" applyAlignment="1" applyProtection="1">
      <alignment horizontal="left" vertical="center"/>
    </xf>
    <xf numFmtId="172" fontId="80" fillId="53" borderId="22" xfId="111" applyNumberFormat="1" applyFont="1" applyFill="1" applyBorder="1" applyAlignment="1" applyProtection="1">
      <alignment horizontal="left" vertical="center"/>
    </xf>
    <xf numFmtId="172" fontId="80" fillId="53" borderId="23" xfId="111" applyNumberFormat="1" applyFont="1" applyFill="1" applyBorder="1" applyAlignment="1" applyProtection="1">
      <alignment horizontal="left" vertical="center"/>
    </xf>
    <xf numFmtId="173" fontId="2" fillId="62" borderId="28" xfId="101" applyNumberFormat="1" applyFont="1" applyFill="1" applyBorder="1" applyAlignment="1" applyProtection="1">
      <alignment horizontal="right"/>
    </xf>
    <xf numFmtId="173" fontId="2" fillId="62" borderId="88" xfId="101" applyNumberFormat="1" applyFont="1" applyFill="1" applyBorder="1" applyAlignment="1" applyProtection="1">
      <alignment horizontal="right"/>
    </xf>
    <xf numFmtId="172" fontId="65" fillId="53" borderId="21" xfId="111" applyNumberFormat="1" applyFont="1" applyFill="1" applyBorder="1" applyProtection="1">
      <alignment horizontal="right" vertical="center"/>
    </xf>
    <xf numFmtId="172" fontId="65" fillId="53" borderId="22" xfId="111" applyNumberFormat="1" applyFont="1" applyFill="1" applyBorder="1" applyProtection="1">
      <alignment horizontal="right" vertical="center"/>
    </xf>
    <xf numFmtId="172" fontId="65" fillId="53" borderId="41" xfId="111" applyNumberFormat="1" applyFont="1" applyFill="1" applyBorder="1" applyProtection="1">
      <alignment horizontal="right" vertical="center"/>
    </xf>
    <xf numFmtId="172" fontId="65" fillId="53" borderId="23" xfId="111" applyNumberFormat="1" applyFont="1" applyFill="1" applyBorder="1" applyProtection="1">
      <alignment horizontal="right" vertical="center"/>
    </xf>
    <xf numFmtId="172" fontId="65" fillId="56" borderId="28" xfId="0" applyNumberFormat="1" applyFont="1" applyFill="1" applyBorder="1" applyProtection="1"/>
    <xf numFmtId="172" fontId="65" fillId="56" borderId="29" xfId="0" applyNumberFormat="1" applyFont="1" applyFill="1" applyBorder="1" applyProtection="1"/>
    <xf numFmtId="172" fontId="65" fillId="56" borderId="27" xfId="0" applyNumberFormat="1" applyFont="1" applyFill="1" applyBorder="1" applyProtection="1"/>
    <xf numFmtId="172" fontId="65" fillId="56" borderId="30" xfId="0" applyNumberFormat="1" applyFont="1" applyFill="1" applyBorder="1" applyProtection="1"/>
    <xf numFmtId="172" fontId="65" fillId="56" borderId="0" xfId="0" applyNumberFormat="1" applyFont="1" applyFill="1" applyBorder="1" applyProtection="1"/>
    <xf numFmtId="172" fontId="65" fillId="56" borderId="14" xfId="0" applyNumberFormat="1" applyFont="1" applyFill="1" applyBorder="1" applyProtection="1"/>
    <xf numFmtId="172" fontId="65" fillId="56" borderId="13" xfId="0" applyNumberFormat="1" applyFont="1" applyFill="1" applyBorder="1" applyProtection="1"/>
    <xf numFmtId="172" fontId="65" fillId="56" borderId="15" xfId="0" applyNumberFormat="1" applyFont="1" applyFill="1" applyBorder="1" applyProtection="1"/>
    <xf numFmtId="172" fontId="65" fillId="56" borderId="31" xfId="0" applyNumberFormat="1" applyFont="1" applyFill="1" applyBorder="1" applyProtection="1"/>
    <xf numFmtId="172" fontId="69" fillId="0" borderId="28" xfId="0" applyNumberFormat="1" applyFont="1" applyFill="1" applyBorder="1" applyProtection="1"/>
    <xf numFmtId="172" fontId="69" fillId="0" borderId="29" xfId="0" applyNumberFormat="1" applyFont="1" applyFill="1" applyBorder="1" applyProtection="1"/>
    <xf numFmtId="172" fontId="69" fillId="0" borderId="27" xfId="0" applyNumberFormat="1" applyFont="1" applyFill="1" applyBorder="1" applyProtection="1"/>
    <xf numFmtId="172" fontId="69" fillId="53" borderId="0" xfId="0" applyNumberFormat="1" applyFont="1" applyFill="1" applyBorder="1" applyAlignment="1" applyProtection="1">
      <alignment horizontal="right"/>
    </xf>
    <xf numFmtId="9" fontId="87" fillId="53" borderId="0" xfId="101" applyFont="1" applyFill="1" applyBorder="1" applyAlignment="1" applyProtection="1">
      <alignment horizontal="right" vertical="center"/>
    </xf>
    <xf numFmtId="9" fontId="87" fillId="53" borderId="13" xfId="101" applyFont="1" applyFill="1" applyBorder="1" applyAlignment="1" applyProtection="1">
      <alignment horizontal="right" vertical="center"/>
    </xf>
    <xf numFmtId="172" fontId="69" fillId="53" borderId="29" xfId="0" applyNumberFormat="1" applyFont="1" applyFill="1" applyBorder="1" applyAlignment="1" applyProtection="1">
      <alignment horizontal="right"/>
    </xf>
    <xf numFmtId="172" fontId="69" fillId="53" borderId="30" xfId="0" applyNumberFormat="1" applyFont="1" applyFill="1" applyBorder="1" applyAlignment="1" applyProtection="1">
      <alignment horizontal="right"/>
    </xf>
    <xf numFmtId="9" fontId="87" fillId="53" borderId="14" xfId="101" applyFont="1" applyFill="1" applyBorder="1" applyAlignment="1" applyProtection="1">
      <alignment horizontal="right" vertical="center"/>
    </xf>
    <xf numFmtId="9" fontId="87" fillId="53" borderId="30" xfId="101" applyFont="1" applyFill="1" applyBorder="1" applyAlignment="1" applyProtection="1">
      <alignment horizontal="right" vertical="center"/>
    </xf>
    <xf numFmtId="9" fontId="87" fillId="53" borderId="15" xfId="101" applyFont="1" applyFill="1" applyBorder="1" applyAlignment="1" applyProtection="1">
      <alignment horizontal="right" vertical="center"/>
    </xf>
    <xf numFmtId="9" fontId="87" fillId="53" borderId="31" xfId="101" applyFont="1" applyFill="1" applyBorder="1" applyAlignment="1" applyProtection="1">
      <alignment horizontal="right" vertical="center"/>
    </xf>
    <xf numFmtId="172" fontId="69" fillId="56" borderId="19" xfId="215" applyNumberFormat="1" applyFont="1" applyFill="1" applyBorder="1" applyAlignment="1" applyProtection="1">
      <alignment horizontal="left" vertical="center"/>
    </xf>
    <xf numFmtId="172" fontId="65" fillId="56" borderId="19" xfId="215" applyNumberFormat="1" applyFont="1" applyFill="1" applyBorder="1" applyAlignment="1" applyProtection="1">
      <alignment horizontal="left" vertical="center" indent="1"/>
    </xf>
    <xf numFmtId="172" fontId="69" fillId="56" borderId="0" xfId="0" applyNumberFormat="1" applyFont="1" applyFill="1" applyBorder="1" applyAlignment="1" applyProtection="1">
      <alignment horizontal="right"/>
    </xf>
    <xf numFmtId="172" fontId="65" fillId="56" borderId="0" xfId="0" applyNumberFormat="1" applyFont="1" applyFill="1" applyBorder="1" applyAlignment="1" applyProtection="1">
      <alignment horizontal="right"/>
    </xf>
    <xf numFmtId="172" fontId="69" fillId="56" borderId="14" xfId="0" applyNumberFormat="1" applyFont="1" applyFill="1" applyBorder="1" applyAlignment="1" applyProtection="1">
      <alignment horizontal="right"/>
    </xf>
    <xf numFmtId="172" fontId="65" fillId="56" borderId="14" xfId="0" applyNumberFormat="1" applyFont="1" applyFill="1" applyBorder="1" applyAlignment="1" applyProtection="1">
      <alignment horizontal="right"/>
    </xf>
    <xf numFmtId="172" fontId="88" fillId="56" borderId="0" xfId="69" applyNumberFormat="1" applyFont="1" applyFill="1" applyBorder="1" applyAlignment="1" applyProtection="1">
      <alignment horizontal="right"/>
    </xf>
    <xf numFmtId="172" fontId="88" fillId="56" borderId="14" xfId="69" applyNumberFormat="1" applyFont="1" applyFill="1" applyBorder="1" applyAlignment="1" applyProtection="1">
      <alignment horizontal="right"/>
    </xf>
    <xf numFmtId="0" fontId="69" fillId="56" borderId="19" xfId="0" applyFont="1" applyFill="1" applyBorder="1" applyProtection="1"/>
    <xf numFmtId="172" fontId="88" fillId="56" borderId="13" xfId="69" applyNumberFormat="1" applyFont="1" applyFill="1" applyBorder="1" applyAlignment="1" applyProtection="1">
      <alignment horizontal="right"/>
    </xf>
    <xf numFmtId="172" fontId="88" fillId="56" borderId="15" xfId="69" applyNumberFormat="1" applyFont="1" applyFill="1" applyBorder="1" applyAlignment="1" applyProtection="1">
      <alignment horizontal="right"/>
    </xf>
    <xf numFmtId="172" fontId="69" fillId="0" borderId="43" xfId="0" applyNumberFormat="1" applyFont="1" applyFill="1" applyBorder="1" applyProtection="1"/>
    <xf numFmtId="172" fontId="88" fillId="56" borderId="48" xfId="69" applyNumberFormat="1" applyFont="1" applyFill="1" applyBorder="1" applyAlignment="1" applyProtection="1">
      <alignment horizontal="right"/>
    </xf>
    <xf numFmtId="172" fontId="88" fillId="56" borderId="17" xfId="69" applyNumberFormat="1" applyFont="1" applyFill="1" applyBorder="1" applyAlignment="1" applyProtection="1">
      <alignment horizontal="right"/>
    </xf>
    <xf numFmtId="43" fontId="88" fillId="56" borderId="17" xfId="69" applyFont="1" applyFill="1" applyBorder="1" applyAlignment="1" applyProtection="1">
      <alignment horizontal="right"/>
    </xf>
    <xf numFmtId="43" fontId="88" fillId="56" borderId="18" xfId="69" applyFont="1" applyFill="1" applyBorder="1" applyAlignment="1" applyProtection="1">
      <alignment horizontal="right"/>
    </xf>
    <xf numFmtId="2" fontId="69" fillId="56" borderId="0" xfId="0" applyNumberFormat="1" applyFont="1" applyFill="1" applyBorder="1" applyAlignment="1" applyProtection="1">
      <alignment horizontal="right"/>
    </xf>
    <xf numFmtId="2" fontId="65" fillId="56" borderId="0" xfId="0" applyNumberFormat="1" applyFont="1" applyFill="1" applyBorder="1" applyAlignment="1" applyProtection="1">
      <alignment horizontal="right"/>
    </xf>
    <xf numFmtId="2" fontId="69" fillId="56" borderId="14" xfId="0" applyNumberFormat="1" applyFont="1" applyFill="1" applyBorder="1" applyAlignment="1" applyProtection="1">
      <alignment horizontal="right"/>
    </xf>
    <xf numFmtId="173" fontId="69" fillId="56" borderId="0" xfId="101" applyNumberFormat="1" applyFont="1" applyFill="1" applyBorder="1" applyAlignment="1" applyProtection="1">
      <alignment horizontal="right"/>
    </xf>
    <xf numFmtId="173" fontId="69" fillId="56" borderId="14" xfId="101" applyNumberFormat="1" applyFont="1" applyFill="1" applyBorder="1" applyAlignment="1" applyProtection="1">
      <alignment horizontal="right"/>
    </xf>
    <xf numFmtId="173" fontId="69" fillId="56" borderId="20" xfId="101" applyNumberFormat="1" applyFont="1" applyFill="1" applyBorder="1" applyAlignment="1" applyProtection="1">
      <alignment horizontal="right"/>
    </xf>
    <xf numFmtId="2" fontId="65" fillId="56" borderId="14" xfId="0" applyNumberFormat="1" applyFont="1" applyFill="1" applyBorder="1" applyAlignment="1" applyProtection="1">
      <alignment horizontal="right"/>
    </xf>
    <xf numFmtId="173" fontId="65" fillId="56" borderId="0" xfId="101" applyNumberFormat="1" applyFont="1" applyFill="1" applyBorder="1" applyAlignment="1" applyProtection="1">
      <alignment horizontal="right"/>
    </xf>
    <xf numFmtId="173" fontId="65" fillId="56" borderId="14" xfId="101" applyNumberFormat="1" applyFont="1" applyFill="1" applyBorder="1" applyAlignment="1" applyProtection="1">
      <alignment horizontal="right"/>
    </xf>
    <xf numFmtId="173" fontId="65" fillId="56" borderId="20" xfId="101" applyNumberFormat="1" applyFont="1" applyFill="1" applyBorder="1" applyAlignment="1" applyProtection="1">
      <alignment horizontal="right"/>
    </xf>
    <xf numFmtId="10" fontId="65" fillId="0" borderId="0" xfId="101" applyNumberFormat="1" applyFont="1" applyFill="1" applyProtection="1"/>
    <xf numFmtId="172" fontId="65" fillId="27" borderId="21" xfId="0" applyNumberFormat="1" applyFont="1" applyFill="1" applyBorder="1" applyProtection="1"/>
    <xf numFmtId="172" fontId="65" fillId="53" borderId="8" xfId="0" applyNumberFormat="1" applyFont="1" applyFill="1" applyBorder="1" applyAlignment="1" applyProtection="1">
      <alignment horizontal="right"/>
    </xf>
    <xf numFmtId="172" fontId="65" fillId="53" borderId="0" xfId="111" applyNumberFormat="1" applyFont="1" applyFill="1" applyBorder="1" applyAlignment="1" applyProtection="1">
      <alignment horizontal="right" vertical="center"/>
    </xf>
    <xf numFmtId="2" fontId="65" fillId="56" borderId="27" xfId="0" applyNumberFormat="1" applyFont="1" applyFill="1" applyBorder="1" applyProtection="1"/>
    <xf numFmtId="2" fontId="65" fillId="56" borderId="31" xfId="0" applyNumberFormat="1" applyFont="1" applyFill="1" applyBorder="1" applyProtection="1"/>
    <xf numFmtId="172" fontId="69" fillId="0" borderId="0" xfId="0" applyNumberFormat="1" applyFont="1" applyFill="1" applyProtection="1"/>
    <xf numFmtId="2" fontId="65" fillId="56" borderId="28" xfId="0" applyNumberFormat="1" applyFont="1" applyFill="1" applyBorder="1" applyProtection="1"/>
    <xf numFmtId="2" fontId="65" fillId="56" borderId="29" xfId="0" applyNumberFormat="1" applyFont="1" applyFill="1" applyBorder="1" applyProtection="1"/>
    <xf numFmtId="2" fontId="65" fillId="56" borderId="13" xfId="0" applyNumberFormat="1" applyFont="1" applyFill="1" applyBorder="1" applyProtection="1"/>
    <xf numFmtId="2" fontId="65" fillId="56" borderId="15" xfId="0" applyNumberFormat="1" applyFont="1" applyFill="1" applyBorder="1" applyProtection="1"/>
    <xf numFmtId="0" fontId="69" fillId="53" borderId="0" xfId="103" applyFont="1" applyFill="1" applyBorder="1" applyAlignment="1" applyProtection="1">
      <alignment horizontal="right" vertical="center"/>
    </xf>
    <xf numFmtId="172" fontId="65" fillId="56" borderId="0" xfId="0" applyNumberFormat="1" applyFont="1" applyFill="1" applyProtection="1"/>
    <xf numFmtId="172" fontId="65" fillId="56" borderId="28" xfId="0" applyNumberFormat="1" applyFont="1" applyFill="1" applyBorder="1" applyAlignment="1" applyProtection="1">
      <alignment horizontal="right"/>
    </xf>
    <xf numFmtId="172" fontId="65" fillId="56" borderId="29" xfId="0" applyNumberFormat="1" applyFont="1" applyFill="1" applyBorder="1" applyAlignment="1" applyProtection="1">
      <alignment horizontal="right"/>
    </xf>
    <xf numFmtId="172" fontId="65" fillId="56" borderId="13" xfId="0" applyNumberFormat="1" applyFont="1" applyFill="1" applyBorder="1" applyAlignment="1" applyProtection="1">
      <alignment horizontal="right"/>
    </xf>
    <xf numFmtId="172" fontId="65" fillId="56" borderId="15" xfId="0" applyNumberFormat="1" applyFont="1" applyFill="1" applyBorder="1" applyAlignment="1" applyProtection="1">
      <alignment horizontal="right"/>
    </xf>
    <xf numFmtId="172" fontId="87" fillId="53" borderId="0" xfId="101" applyNumberFormat="1" applyFont="1" applyFill="1" applyBorder="1" applyAlignment="1" applyProtection="1">
      <alignment horizontal="right" vertical="center"/>
    </xf>
    <xf numFmtId="172" fontId="87" fillId="53" borderId="13" xfId="101" applyNumberFormat="1" applyFont="1" applyFill="1" applyBorder="1" applyAlignment="1" applyProtection="1">
      <alignment horizontal="right" vertical="center"/>
    </xf>
    <xf numFmtId="172" fontId="87" fillId="53" borderId="14" xfId="101" applyNumberFormat="1" applyFont="1" applyFill="1" applyBorder="1" applyAlignment="1" applyProtection="1">
      <alignment horizontal="right" vertical="center"/>
    </xf>
    <xf numFmtId="172" fontId="87" fillId="53" borderId="15" xfId="101" applyNumberFormat="1" applyFont="1" applyFill="1" applyBorder="1" applyAlignment="1" applyProtection="1">
      <alignment horizontal="right" vertical="center"/>
    </xf>
    <xf numFmtId="172" fontId="69" fillId="56" borderId="20" xfId="0" applyNumberFormat="1" applyFont="1" applyFill="1" applyBorder="1" applyAlignment="1" applyProtection="1">
      <alignment horizontal="right"/>
    </xf>
    <xf numFmtId="172" fontId="65" fillId="56" borderId="20" xfId="0" applyNumberFormat="1" applyFont="1" applyFill="1" applyBorder="1" applyAlignment="1" applyProtection="1">
      <alignment horizontal="right"/>
    </xf>
    <xf numFmtId="172" fontId="88" fillId="56" borderId="0" xfId="0" applyNumberFormat="1" applyFont="1" applyFill="1" applyBorder="1" applyAlignment="1" applyProtection="1">
      <alignment horizontal="right"/>
    </xf>
    <xf numFmtId="172" fontId="88" fillId="56" borderId="14" xfId="0" applyNumberFormat="1" applyFont="1" applyFill="1" applyBorder="1" applyAlignment="1" applyProtection="1">
      <alignment horizontal="right"/>
    </xf>
    <xf numFmtId="172" fontId="88" fillId="56" borderId="20" xfId="69" applyNumberFormat="1" applyFont="1" applyFill="1" applyBorder="1" applyAlignment="1" applyProtection="1">
      <alignment horizontal="right"/>
    </xf>
    <xf numFmtId="172" fontId="88" fillId="56" borderId="13" xfId="0" applyNumberFormat="1" applyFont="1" applyFill="1" applyBorder="1" applyAlignment="1" applyProtection="1">
      <alignment horizontal="right"/>
    </xf>
    <xf numFmtId="172" fontId="88" fillId="56" borderId="15" xfId="0" applyNumberFormat="1" applyFont="1" applyFill="1" applyBorder="1" applyAlignment="1" applyProtection="1">
      <alignment horizontal="right"/>
    </xf>
    <xf numFmtId="43" fontId="88" fillId="56" borderId="48" xfId="69" applyFont="1" applyFill="1" applyBorder="1" applyAlignment="1" applyProtection="1">
      <alignment horizontal="right"/>
    </xf>
    <xf numFmtId="172" fontId="88" fillId="56" borderId="46" xfId="69" applyNumberFormat="1" applyFont="1" applyFill="1" applyBorder="1" applyAlignment="1" applyProtection="1">
      <alignment horizontal="right"/>
    </xf>
    <xf numFmtId="172" fontId="69" fillId="0" borderId="44" xfId="0" applyNumberFormat="1" applyFont="1" applyFill="1" applyBorder="1" applyProtection="1"/>
    <xf numFmtId="2" fontId="87" fillId="56" borderId="0" xfId="0" applyNumberFormat="1" applyFont="1" applyFill="1" applyBorder="1" applyAlignment="1" applyProtection="1">
      <alignment horizontal="right"/>
    </xf>
    <xf numFmtId="2" fontId="87" fillId="56" borderId="14" xfId="0" applyNumberFormat="1" applyFont="1" applyFill="1" applyBorder="1" applyAlignment="1" applyProtection="1">
      <alignment horizontal="right"/>
    </xf>
    <xf numFmtId="173" fontId="87" fillId="56" borderId="14" xfId="101" applyNumberFormat="1" applyFont="1" applyFill="1" applyBorder="1" applyAlignment="1" applyProtection="1">
      <alignment horizontal="right"/>
    </xf>
    <xf numFmtId="173" fontId="87" fillId="56" borderId="0" xfId="101" applyNumberFormat="1" applyFont="1" applyFill="1" applyBorder="1" applyAlignment="1" applyProtection="1">
      <alignment horizontal="right"/>
    </xf>
    <xf numFmtId="173" fontId="87" fillId="56" borderId="20" xfId="101" applyNumberFormat="1" applyFont="1" applyFill="1" applyBorder="1" applyAlignment="1" applyProtection="1">
      <alignment horizontal="right"/>
    </xf>
    <xf numFmtId="2" fontId="2" fillId="57" borderId="0" xfId="169" applyNumberFormat="1" applyFill="1"/>
    <xf numFmtId="4" fontId="2" fillId="57" borderId="0" xfId="169" applyNumberFormat="1" applyFont="1" applyFill="1"/>
    <xf numFmtId="4" fontId="2" fillId="57" borderId="0" xfId="169" applyNumberFormat="1" applyFill="1"/>
    <xf numFmtId="4" fontId="2" fillId="57" borderId="13" xfId="169" applyNumberFormat="1" applyFill="1" applyBorder="1"/>
    <xf numFmtId="2" fontId="8" fillId="53" borderId="25" xfId="169" applyNumberFormat="1" applyFont="1" applyFill="1" applyBorder="1"/>
    <xf numFmtId="4" fontId="2" fillId="57" borderId="28" xfId="169" applyNumberFormat="1" applyFont="1" applyFill="1" applyBorder="1"/>
    <xf numFmtId="4" fontId="8" fillId="53" borderId="25" xfId="169" applyNumberFormat="1" applyFont="1" applyFill="1" applyBorder="1"/>
    <xf numFmtId="43" fontId="2" fillId="57" borderId="0" xfId="69" applyFill="1"/>
    <xf numFmtId="43" fontId="2" fillId="57" borderId="13" xfId="69" applyFill="1" applyBorder="1"/>
    <xf numFmtId="2" fontId="2" fillId="57" borderId="13" xfId="169" applyNumberFormat="1" applyFill="1" applyBorder="1"/>
    <xf numFmtId="2" fontId="2" fillId="57" borderId="0" xfId="169" applyNumberFormat="1" applyFill="1" applyAlignment="1">
      <alignment horizontal="right"/>
    </xf>
    <xf numFmtId="2" fontId="2" fillId="57" borderId="13" xfId="169" applyNumberFormat="1" applyFill="1" applyBorder="1" applyAlignment="1">
      <alignment horizontal="right"/>
    </xf>
    <xf numFmtId="2" fontId="2" fillId="57" borderId="25" xfId="169" applyNumberFormat="1" applyFill="1" applyBorder="1" applyAlignment="1">
      <alignment horizontal="right"/>
    </xf>
    <xf numFmtId="2" fontId="2" fillId="57" borderId="25" xfId="169" applyNumberFormat="1" applyFill="1" applyBorder="1"/>
    <xf numFmtId="10" fontId="2" fillId="57" borderId="25" xfId="169" applyNumberFormat="1" applyFill="1" applyBorder="1" applyAlignment="1">
      <alignment horizontal="right"/>
    </xf>
    <xf numFmtId="2" fontId="8" fillId="53" borderId="0" xfId="169" applyNumberFormat="1" applyFont="1" applyFill="1" applyBorder="1"/>
    <xf numFmtId="0" fontId="80" fillId="0" borderId="0" xfId="0" applyFont="1" applyFill="1" applyAlignment="1" applyProtection="1">
      <alignment horizontal="right"/>
    </xf>
    <xf numFmtId="43" fontId="2" fillId="57" borderId="13" xfId="69" applyNumberFormat="1" applyFill="1" applyBorder="1"/>
    <xf numFmtId="0" fontId="8" fillId="27" borderId="0" xfId="169" applyNumberFormat="1" applyFont="1" applyFill="1"/>
    <xf numFmtId="0" fontId="2" fillId="27" borderId="0" xfId="169" applyNumberFormat="1" applyFill="1"/>
    <xf numFmtId="0" fontId="8" fillId="27" borderId="13" xfId="169" applyNumberFormat="1" applyFont="1" applyFill="1" applyBorder="1" applyAlignment="1">
      <alignment horizontal="right"/>
    </xf>
    <xf numFmtId="0" fontId="2" fillId="28" borderId="0" xfId="169" applyNumberFormat="1" applyFill="1"/>
    <xf numFmtId="0" fontId="2" fillId="28" borderId="13" xfId="169" applyNumberFormat="1" applyFill="1" applyBorder="1"/>
    <xf numFmtId="0" fontId="2" fillId="0" borderId="8" xfId="174" applyFont="1" applyFill="1" applyBorder="1" applyProtection="1"/>
    <xf numFmtId="0" fontId="8" fillId="56" borderId="13" xfId="169" applyFont="1" applyFill="1" applyBorder="1" applyAlignment="1" applyProtection="1">
      <alignment horizontal="center"/>
    </xf>
    <xf numFmtId="0" fontId="8" fillId="56" borderId="102" xfId="169" applyFont="1" applyFill="1" applyBorder="1" applyAlignment="1" applyProtection="1">
      <alignment horizontal="center"/>
    </xf>
    <xf numFmtId="0" fontId="8" fillId="56" borderId="103" xfId="169" applyFont="1" applyFill="1" applyBorder="1" applyAlignment="1" applyProtection="1">
      <alignment horizontal="center"/>
    </xf>
    <xf numFmtId="184" fontId="111" fillId="61" borderId="0" xfId="174" applyNumberFormat="1" applyFont="1" applyFill="1" applyBorder="1" applyAlignment="1" applyProtection="1">
      <alignment horizontal="right"/>
      <protection locked="0"/>
    </xf>
    <xf numFmtId="184" fontId="110" fillId="61" borderId="0" xfId="174" applyNumberFormat="1" applyFont="1" applyFill="1" applyBorder="1" applyAlignment="1" applyProtection="1">
      <alignment horizontal="right"/>
      <protection locked="0"/>
    </xf>
    <xf numFmtId="191" fontId="110" fillId="61" borderId="0" xfId="174" applyNumberFormat="1" applyFont="1" applyFill="1" applyBorder="1" applyAlignment="1" applyProtection="1">
      <alignment horizontal="right"/>
      <protection locked="0"/>
    </xf>
    <xf numFmtId="184" fontId="2" fillId="0" borderId="0" xfId="169" applyNumberFormat="1" applyFill="1" applyProtection="1"/>
    <xf numFmtId="0" fontId="108" fillId="0" borderId="0" xfId="169" applyFont="1" applyFill="1" applyProtection="1"/>
    <xf numFmtId="179" fontId="8" fillId="60" borderId="17" xfId="175" applyNumberFormat="1" applyFont="1" applyFill="1" applyBorder="1" applyProtection="1"/>
    <xf numFmtId="179" fontId="8" fillId="60" borderId="104" xfId="175" applyNumberFormat="1" applyFont="1" applyFill="1" applyBorder="1" applyProtection="1"/>
    <xf numFmtId="179" fontId="8" fillId="60" borderId="105" xfId="175" applyNumberFormat="1" applyFont="1" applyFill="1" applyBorder="1" applyProtection="1"/>
    <xf numFmtId="179" fontId="8" fillId="60" borderId="18" xfId="175" applyNumberFormat="1" applyFont="1" applyFill="1" applyBorder="1" applyProtection="1"/>
    <xf numFmtId="173" fontId="113" fillId="58" borderId="0" xfId="174" applyNumberFormat="1" applyFont="1" applyFill="1" applyBorder="1" applyAlignment="1" applyProtection="1">
      <alignment horizontal="right"/>
    </xf>
    <xf numFmtId="173" fontId="113" fillId="58" borderId="100" xfId="174" applyNumberFormat="1" applyFont="1" applyFill="1" applyBorder="1" applyAlignment="1" applyProtection="1">
      <alignment horizontal="right"/>
    </xf>
    <xf numFmtId="173" fontId="113" fillId="58" borderId="101" xfId="174" applyNumberFormat="1" applyFont="1" applyFill="1" applyBorder="1" applyAlignment="1" applyProtection="1">
      <alignment horizontal="right"/>
    </xf>
    <xf numFmtId="173" fontId="113" fillId="58" borderId="20" xfId="174" applyNumberFormat="1" applyFont="1" applyFill="1" applyBorder="1" applyAlignment="1" applyProtection="1">
      <alignment horizontal="right"/>
    </xf>
    <xf numFmtId="173" fontId="114" fillId="0" borderId="0" xfId="101" applyNumberFormat="1" applyFont="1" applyFill="1" applyProtection="1"/>
    <xf numFmtId="179" fontId="8" fillId="60" borderId="0" xfId="174" applyNumberFormat="1" applyFont="1" applyFill="1" applyBorder="1" applyProtection="1"/>
    <xf numFmtId="179" fontId="8" fillId="60" borderId="100" xfId="174" applyNumberFormat="1" applyFont="1" applyFill="1" applyBorder="1" applyProtection="1"/>
    <xf numFmtId="179" fontId="8" fillId="60" borderId="101" xfId="174" applyNumberFormat="1" applyFont="1" applyFill="1" applyBorder="1" applyProtection="1"/>
    <xf numFmtId="179" fontId="8" fillId="60" borderId="20" xfId="174" applyNumberFormat="1" applyFont="1" applyFill="1" applyBorder="1" applyProtection="1"/>
    <xf numFmtId="173" fontId="113" fillId="58" borderId="22" xfId="174" applyNumberFormat="1" applyFont="1" applyFill="1" applyBorder="1" applyAlignment="1" applyProtection="1">
      <alignment horizontal="right"/>
    </xf>
    <xf numFmtId="173" fontId="113" fillId="58" borderId="106" xfId="174" applyNumberFormat="1" applyFont="1" applyFill="1" applyBorder="1" applyAlignment="1" applyProtection="1">
      <alignment horizontal="right"/>
    </xf>
    <xf numFmtId="173" fontId="113" fillId="58" borderId="107" xfId="174" applyNumberFormat="1" applyFont="1" applyFill="1" applyBorder="1" applyAlignment="1" applyProtection="1">
      <alignment horizontal="right"/>
    </xf>
    <xf numFmtId="173" fontId="113" fillId="58" borderId="23" xfId="174" applyNumberFormat="1" applyFont="1" applyFill="1" applyBorder="1" applyAlignment="1" applyProtection="1">
      <alignment horizontal="right"/>
    </xf>
    <xf numFmtId="184" fontId="110" fillId="61" borderId="0" xfId="175" applyNumberFormat="1" applyFont="1" applyFill="1" applyBorder="1" applyProtection="1">
      <protection locked="0"/>
    </xf>
    <xf numFmtId="191" fontId="110" fillId="61" borderId="0" xfId="175" applyNumberFormat="1" applyFont="1" applyFill="1" applyBorder="1" applyProtection="1">
      <protection locked="0"/>
    </xf>
    <xf numFmtId="179" fontId="8" fillId="65" borderId="17" xfId="175" applyNumberFormat="1" applyFont="1" applyFill="1" applyBorder="1" applyProtection="1"/>
    <xf numFmtId="179" fontId="8" fillId="65" borderId="104" xfId="175" applyNumberFormat="1" applyFont="1" applyFill="1" applyBorder="1" applyProtection="1"/>
    <xf numFmtId="179" fontId="8" fillId="65" borderId="105" xfId="175" applyNumberFormat="1" applyFont="1" applyFill="1" applyBorder="1" applyProtection="1"/>
    <xf numFmtId="179" fontId="8" fillId="65" borderId="18" xfId="175" applyNumberFormat="1" applyFont="1" applyFill="1" applyBorder="1" applyProtection="1"/>
    <xf numFmtId="173" fontId="113" fillId="55" borderId="0" xfId="174" applyNumberFormat="1" applyFont="1" applyFill="1" applyBorder="1" applyAlignment="1" applyProtection="1">
      <alignment horizontal="right"/>
    </xf>
    <xf numFmtId="173" fontId="113" fillId="55" borderId="100" xfId="174" applyNumberFormat="1" applyFont="1" applyFill="1" applyBorder="1" applyAlignment="1" applyProtection="1">
      <alignment horizontal="right"/>
    </xf>
    <xf numFmtId="173" fontId="113" fillId="55" borderId="101" xfId="174" applyNumberFormat="1" applyFont="1" applyFill="1" applyBorder="1" applyAlignment="1" applyProtection="1">
      <alignment horizontal="right"/>
    </xf>
    <xf numFmtId="173" fontId="113" fillId="55" borderId="20" xfId="174" applyNumberFormat="1" applyFont="1" applyFill="1" applyBorder="1" applyAlignment="1" applyProtection="1">
      <alignment horizontal="right"/>
    </xf>
    <xf numFmtId="179" fontId="8" fillId="65" borderId="0" xfId="174" applyNumberFormat="1" applyFont="1" applyFill="1" applyBorder="1" applyProtection="1"/>
    <xf numFmtId="179" fontId="8" fillId="65" borderId="100" xfId="174" applyNumberFormat="1" applyFont="1" applyFill="1" applyBorder="1" applyProtection="1"/>
    <xf numFmtId="179" fontId="8" fillId="65" borderId="101" xfId="174" applyNumberFormat="1" applyFont="1" applyFill="1" applyBorder="1" applyProtection="1"/>
    <xf numFmtId="179" fontId="8" fillId="65" borderId="20" xfId="174" applyNumberFormat="1" applyFont="1" applyFill="1" applyBorder="1" applyProtection="1"/>
    <xf numFmtId="173" fontId="113" fillId="55" borderId="22" xfId="174" applyNumberFormat="1" applyFont="1" applyFill="1" applyBorder="1" applyAlignment="1" applyProtection="1">
      <alignment horizontal="right"/>
    </xf>
    <xf numFmtId="173" fontId="113" fillId="55" borderId="106" xfId="174" applyNumberFormat="1" applyFont="1" applyFill="1" applyBorder="1" applyAlignment="1" applyProtection="1">
      <alignment horizontal="right"/>
    </xf>
    <xf numFmtId="173" fontId="113" fillId="55" borderId="107" xfId="174" applyNumberFormat="1" applyFont="1" applyFill="1" applyBorder="1" applyAlignment="1" applyProtection="1">
      <alignment horizontal="right"/>
    </xf>
    <xf numFmtId="173" fontId="113" fillId="55" borderId="23" xfId="174" applyNumberFormat="1" applyFont="1" applyFill="1" applyBorder="1" applyAlignment="1" applyProtection="1">
      <alignment horizontal="right"/>
    </xf>
    <xf numFmtId="0" fontId="2" fillId="61" borderId="0" xfId="0" applyFont="1" applyFill="1" applyBorder="1" applyAlignment="1" applyProtection="1">
      <alignment horizontal="right" vertical="center"/>
    </xf>
    <xf numFmtId="171" fontId="2" fillId="61" borderId="0" xfId="0" applyNumberFormat="1" applyFont="1" applyFill="1" applyBorder="1" applyAlignment="1" applyProtection="1">
      <alignment horizontal="right" vertical="center"/>
    </xf>
    <xf numFmtId="171" fontId="2" fillId="61" borderId="0" xfId="0" applyNumberFormat="1" applyFont="1" applyFill="1" applyBorder="1" applyAlignment="1" applyProtection="1">
      <alignment horizontal="right" vertical="center"/>
      <protection locked="0"/>
    </xf>
    <xf numFmtId="0" fontId="2" fillId="61" borderId="0" xfId="0" applyFont="1" applyFill="1" applyAlignment="1">
      <alignment horizontal="right" vertical="center"/>
    </xf>
    <xf numFmtId="0" fontId="108" fillId="0" borderId="0" xfId="0" applyFont="1" applyFill="1" applyProtection="1"/>
    <xf numFmtId="179" fontId="8" fillId="64" borderId="17" xfId="175" applyNumberFormat="1" applyFont="1" applyFill="1" applyBorder="1" applyProtection="1"/>
    <xf numFmtId="179" fontId="8" fillId="64" borderId="104" xfId="175" applyNumberFormat="1" applyFont="1" applyFill="1" applyBorder="1" applyProtection="1"/>
    <xf numFmtId="179" fontId="8" fillId="66" borderId="17" xfId="175" applyNumberFormat="1" applyFont="1" applyFill="1" applyBorder="1" applyProtection="1"/>
    <xf numFmtId="179" fontId="8" fillId="66" borderId="105" xfId="175" applyNumberFormat="1" applyFont="1" applyFill="1" applyBorder="1" applyProtection="1"/>
    <xf numFmtId="179" fontId="8" fillId="66" borderId="18" xfId="175" applyNumberFormat="1" applyFont="1" applyFill="1" applyBorder="1" applyProtection="1"/>
    <xf numFmtId="173" fontId="113" fillId="67" borderId="0" xfId="174" applyNumberFormat="1" applyFont="1" applyFill="1" applyBorder="1" applyAlignment="1" applyProtection="1">
      <alignment horizontal="right"/>
    </xf>
    <xf numFmtId="173" fontId="113" fillId="67" borderId="100" xfId="174" applyNumberFormat="1" applyFont="1" applyFill="1" applyBorder="1" applyAlignment="1" applyProtection="1">
      <alignment horizontal="right"/>
    </xf>
    <xf numFmtId="173" fontId="113" fillId="67" borderId="101" xfId="174" applyNumberFormat="1" applyFont="1" applyFill="1" applyBorder="1" applyAlignment="1" applyProtection="1">
      <alignment horizontal="right"/>
    </xf>
    <xf numFmtId="173" fontId="113" fillId="67" borderId="20" xfId="174" applyNumberFormat="1" applyFont="1" applyFill="1" applyBorder="1" applyAlignment="1" applyProtection="1">
      <alignment horizontal="right"/>
    </xf>
    <xf numFmtId="179" fontId="8" fillId="64" borderId="0" xfId="174" applyNumberFormat="1" applyFont="1" applyFill="1" applyBorder="1" applyProtection="1"/>
    <xf numFmtId="179" fontId="8" fillId="64" borderId="100" xfId="174" applyNumberFormat="1" applyFont="1" applyFill="1" applyBorder="1" applyProtection="1"/>
    <xf numFmtId="179" fontId="8" fillId="66" borderId="0" xfId="174" applyNumberFormat="1" applyFont="1" applyFill="1" applyBorder="1" applyProtection="1"/>
    <xf numFmtId="179" fontId="8" fillId="66" borderId="101" xfId="174" applyNumberFormat="1" applyFont="1" applyFill="1" applyBorder="1" applyProtection="1"/>
    <xf numFmtId="179" fontId="8" fillId="66" borderId="20" xfId="174" applyNumberFormat="1" applyFont="1" applyFill="1" applyBorder="1" applyProtection="1"/>
    <xf numFmtId="173" fontId="113" fillId="67" borderId="22" xfId="174" applyNumberFormat="1" applyFont="1" applyFill="1" applyBorder="1" applyAlignment="1" applyProtection="1">
      <alignment horizontal="right"/>
    </xf>
    <xf numFmtId="173" fontId="113" fillId="67" borderId="106" xfId="174" applyNumberFormat="1" applyFont="1" applyFill="1" applyBorder="1" applyAlignment="1" applyProtection="1">
      <alignment horizontal="right"/>
    </xf>
    <xf numFmtId="173" fontId="113" fillId="67" borderId="107" xfId="174" applyNumberFormat="1" applyFont="1" applyFill="1" applyBorder="1" applyAlignment="1" applyProtection="1">
      <alignment horizontal="right"/>
    </xf>
    <xf numFmtId="173" fontId="113" fillId="67" borderId="23" xfId="174" applyNumberFormat="1" applyFont="1" applyFill="1" applyBorder="1" applyAlignment="1" applyProtection="1">
      <alignment horizontal="right"/>
    </xf>
    <xf numFmtId="184" fontId="110" fillId="61" borderId="0" xfId="169" applyNumberFormat="1" applyFont="1" applyFill="1" applyBorder="1" applyProtection="1">
      <protection locked="0"/>
    </xf>
    <xf numFmtId="173" fontId="110" fillId="61" borderId="0" xfId="169" applyNumberFormat="1" applyFont="1" applyFill="1" applyBorder="1" applyProtection="1">
      <protection locked="0"/>
    </xf>
    <xf numFmtId="173" fontId="110" fillId="61" borderId="0" xfId="169" applyNumberFormat="1" applyFont="1" applyFill="1" applyProtection="1">
      <protection locked="0"/>
    </xf>
    <xf numFmtId="173" fontId="2" fillId="0" borderId="110" xfId="169" applyNumberFormat="1" applyFont="1" applyFill="1" applyBorder="1" applyProtection="1"/>
    <xf numFmtId="184" fontId="2" fillId="0" borderId="110" xfId="169" applyNumberFormat="1" applyFont="1" applyFill="1" applyBorder="1" applyProtection="1"/>
    <xf numFmtId="184" fontId="2" fillId="0" borderId="111" xfId="169" applyNumberFormat="1" applyFont="1" applyFill="1" applyBorder="1" applyProtection="1"/>
    <xf numFmtId="184" fontId="2" fillId="0" borderId="112" xfId="169" applyNumberFormat="1" applyFont="1" applyFill="1" applyBorder="1" applyProtection="1"/>
    <xf numFmtId="4" fontId="2" fillId="0" borderId="113" xfId="169" applyNumberFormat="1" applyFont="1" applyFill="1" applyBorder="1" applyProtection="1"/>
    <xf numFmtId="4" fontId="2" fillId="0" borderId="116" xfId="169" applyNumberFormat="1" applyFont="1" applyFill="1" applyBorder="1" applyProtection="1"/>
    <xf numFmtId="4" fontId="2" fillId="0" borderId="110" xfId="169" applyNumberFormat="1" applyFont="1" applyFill="1" applyBorder="1" applyProtection="1"/>
    <xf numFmtId="4" fontId="2" fillId="0" borderId="28" xfId="169" applyNumberFormat="1" applyFont="1" applyFill="1" applyBorder="1" applyProtection="1"/>
    <xf numFmtId="4" fontId="2" fillId="0" borderId="114" xfId="169" applyNumberFormat="1" applyFont="1" applyFill="1" applyBorder="1" applyProtection="1"/>
    <xf numFmtId="4" fontId="2" fillId="0" borderId="115" xfId="169" applyNumberFormat="1" applyFont="1" applyFill="1" applyBorder="1" applyProtection="1"/>
    <xf numFmtId="4" fontId="2" fillId="0" borderId="117" xfId="169" applyNumberFormat="1" applyFont="1" applyFill="1" applyBorder="1" applyProtection="1"/>
    <xf numFmtId="4" fontId="2" fillId="0" borderId="118" xfId="169" applyNumberFormat="1" applyFont="1" applyFill="1" applyBorder="1" applyProtection="1"/>
    <xf numFmtId="4" fontId="2" fillId="0" borderId="111" xfId="169" applyNumberFormat="1" applyFont="1" applyFill="1" applyBorder="1" applyProtection="1"/>
    <xf numFmtId="4" fontId="2" fillId="0" borderId="112" xfId="169" applyNumberFormat="1" applyFont="1" applyFill="1" applyBorder="1" applyProtection="1"/>
    <xf numFmtId="4" fontId="2" fillId="0" borderId="108" xfId="169" applyNumberFormat="1" applyFont="1" applyFill="1" applyBorder="1" applyProtection="1"/>
    <xf numFmtId="4" fontId="2" fillId="0" borderId="109" xfId="169" applyNumberFormat="1" applyFont="1" applyFill="1" applyBorder="1" applyProtection="1"/>
    <xf numFmtId="171" fontId="110" fillId="61" borderId="0" xfId="174" applyNumberFormat="1" applyFont="1" applyFill="1" applyBorder="1" applyAlignment="1" applyProtection="1">
      <alignment horizontal="center"/>
      <protection locked="0"/>
    </xf>
    <xf numFmtId="171" fontId="110" fillId="61" borderId="113" xfId="174" applyNumberFormat="1" applyFont="1" applyFill="1" applyBorder="1" applyAlignment="1" applyProtection="1">
      <alignment horizontal="center"/>
      <protection locked="0"/>
    </xf>
    <xf numFmtId="172" fontId="55" fillId="0" borderId="32" xfId="143" applyNumberFormat="1" applyFont="1" applyFill="1" applyBorder="1" applyAlignment="1" applyProtection="1"/>
    <xf numFmtId="0" fontId="2" fillId="53" borderId="0" xfId="169" applyFill="1"/>
    <xf numFmtId="0" fontId="2" fillId="53" borderId="13" xfId="169" applyFill="1" applyBorder="1"/>
    <xf numFmtId="2" fontId="2" fillId="57" borderId="27" xfId="169" applyNumberFormat="1" applyFill="1" applyBorder="1" applyAlignment="1">
      <alignment horizontal="right"/>
    </xf>
    <xf numFmtId="2" fontId="2" fillId="57" borderId="29" xfId="169" applyNumberFormat="1" applyFill="1" applyBorder="1" applyAlignment="1">
      <alignment horizontal="right"/>
    </xf>
    <xf numFmtId="2" fontId="2" fillId="57" borderId="31" xfId="169" applyNumberFormat="1" applyFill="1" applyBorder="1" applyAlignment="1">
      <alignment horizontal="right"/>
    </xf>
    <xf numFmtId="2" fontId="2" fillId="57" borderId="15" xfId="169" applyNumberFormat="1" applyFill="1" applyBorder="1" applyAlignment="1">
      <alignment horizontal="right"/>
    </xf>
    <xf numFmtId="199" fontId="69" fillId="0" borderId="0" xfId="111" applyNumberFormat="1" applyFont="1" applyFill="1" applyBorder="1" applyAlignment="1">
      <alignment horizontal="center" vertical="center"/>
    </xf>
    <xf numFmtId="0" fontId="65" fillId="0" borderId="0" xfId="169" applyFont="1"/>
    <xf numFmtId="199" fontId="91" fillId="53" borderId="0" xfId="213" applyNumberFormat="1" applyFont="1" applyFill="1" applyBorder="1">
      <alignment horizontal="right" vertical="center"/>
    </xf>
    <xf numFmtId="199" fontId="80" fillId="53" borderId="68" xfId="171" applyNumberFormat="1" applyFont="1" applyFill="1" applyBorder="1" applyAlignment="1">
      <alignment horizontal="right"/>
    </xf>
    <xf numFmtId="199" fontId="80" fillId="53" borderId="69" xfId="171" applyNumberFormat="1" applyFont="1" applyFill="1" applyBorder="1" applyAlignment="1">
      <alignment horizontal="right"/>
    </xf>
    <xf numFmtId="199" fontId="65" fillId="0" borderId="0" xfId="0" applyNumberFormat="1" applyFont="1" applyAlignment="1">
      <alignment horizontal="right"/>
    </xf>
    <xf numFmtId="177" fontId="80" fillId="53" borderId="133" xfId="0" applyNumberFormat="1" applyFont="1" applyFill="1" applyBorder="1" applyProtection="1"/>
    <xf numFmtId="200" fontId="69" fillId="0" borderId="56" xfId="111" applyNumberFormat="1" applyFont="1" applyFill="1" applyBorder="1" applyAlignment="1">
      <alignment horizontal="center" vertical="center"/>
    </xf>
    <xf numFmtId="165" fontId="65" fillId="54" borderId="26" xfId="111" applyFont="1" applyFill="1" applyBorder="1" applyProtection="1">
      <alignment horizontal="right" vertical="center"/>
      <protection locked="0"/>
    </xf>
    <xf numFmtId="0" fontId="69" fillId="27" borderId="24" xfId="0" applyFont="1" applyFill="1" applyBorder="1" applyAlignment="1" applyProtection="1"/>
    <xf numFmtId="0" fontId="69" fillId="27" borderId="25" xfId="0" applyFont="1" applyFill="1" applyBorder="1" applyAlignment="1" applyProtection="1"/>
    <xf numFmtId="0" fontId="69" fillId="27" borderId="26" xfId="0" applyFont="1" applyFill="1" applyBorder="1" applyAlignment="1" applyProtection="1"/>
    <xf numFmtId="0" fontId="124" fillId="0" borderId="0" xfId="0" applyFont="1" applyAlignment="1">
      <alignment horizontal="right"/>
    </xf>
    <xf numFmtId="173" fontId="124" fillId="65" borderId="0" xfId="0" applyNumberFormat="1" applyFont="1" applyFill="1" applyAlignment="1">
      <alignment horizontal="center"/>
    </xf>
    <xf numFmtId="0" fontId="2" fillId="0" borderId="0" xfId="201" applyFont="1"/>
    <xf numFmtId="0" fontId="2" fillId="0" borderId="27" xfId="201" applyFont="1" applyBorder="1"/>
    <xf numFmtId="0" fontId="2" fillId="0" borderId="28" xfId="201" applyFont="1" applyBorder="1"/>
    <xf numFmtId="0" fontId="2" fillId="0" borderId="30" xfId="201" applyFont="1" applyBorder="1"/>
    <xf numFmtId="0" fontId="2" fillId="0" borderId="0" xfId="201" applyFont="1" applyBorder="1"/>
    <xf numFmtId="0" fontId="2" fillId="0" borderId="31" xfId="201" applyFont="1" applyBorder="1"/>
    <xf numFmtId="0" fontId="2" fillId="0" borderId="13" xfId="201" applyFont="1" applyBorder="1"/>
    <xf numFmtId="2" fontId="2" fillId="59" borderId="8" xfId="201" applyNumberFormat="1" applyFill="1" applyBorder="1"/>
    <xf numFmtId="0" fontId="42" fillId="0" borderId="0" xfId="201" applyFont="1" applyAlignment="1">
      <alignment horizontal="right"/>
    </xf>
    <xf numFmtId="0" fontId="8" fillId="0" borderId="0" xfId="201" applyFont="1"/>
    <xf numFmtId="0" fontId="78" fillId="0" borderId="0" xfId="0" applyFont="1"/>
    <xf numFmtId="0" fontId="45" fillId="29" borderId="0" xfId="131" quotePrefix="1" applyFont="1" applyFill="1" applyAlignment="1">
      <alignment horizontal="left" vertical="center"/>
      <protection locked="0"/>
    </xf>
    <xf numFmtId="10" fontId="2" fillId="60" borderId="8" xfId="111" applyNumberFormat="1" applyFont="1" applyFill="1" applyBorder="1" applyAlignment="1" applyProtection="1">
      <alignment horizontal="center" vertical="center"/>
    </xf>
    <xf numFmtId="199" fontId="65" fillId="53" borderId="0" xfId="111" applyNumberFormat="1" applyFont="1" applyFill="1" applyBorder="1">
      <alignment horizontal="right" vertical="center"/>
    </xf>
    <xf numFmtId="2" fontId="80" fillId="0" borderId="65" xfId="0" applyNumberFormat="1" applyFont="1" applyFill="1" applyBorder="1"/>
    <xf numFmtId="2" fontId="80" fillId="0" borderId="66" xfId="0" applyNumberFormat="1" applyFont="1" applyFill="1" applyBorder="1"/>
    <xf numFmtId="2" fontId="80" fillId="0" borderId="67" xfId="0" applyNumberFormat="1" applyFont="1" applyFill="1" applyBorder="1"/>
    <xf numFmtId="199" fontId="80" fillId="53" borderId="70" xfId="171" applyNumberFormat="1" applyFont="1" applyFill="1" applyBorder="1" applyAlignment="1">
      <alignment horizontal="right"/>
    </xf>
    <xf numFmtId="199" fontId="65" fillId="0" borderId="0" xfId="0" applyNumberFormat="1" applyFont="1" applyFill="1" applyAlignment="1">
      <alignment horizontal="right"/>
    </xf>
    <xf numFmtId="0" fontId="65" fillId="53" borderId="0" xfId="0" applyFont="1" applyFill="1" applyBorder="1" applyProtection="1"/>
    <xf numFmtId="172" fontId="65" fillId="0" borderId="16" xfId="114" applyNumberFormat="1" applyFont="1" applyFill="1" applyBorder="1" applyProtection="1">
      <alignment horizontal="right" vertical="center"/>
    </xf>
    <xf numFmtId="172" fontId="65" fillId="0" borderId="17" xfId="114" applyNumberFormat="1" applyFont="1" applyFill="1" applyBorder="1" applyProtection="1">
      <alignment horizontal="right" vertical="center"/>
    </xf>
    <xf numFmtId="172" fontId="65" fillId="0" borderId="47" xfId="114" applyNumberFormat="1" applyFont="1" applyFill="1" applyBorder="1" applyProtection="1">
      <alignment horizontal="right" vertical="center"/>
    </xf>
    <xf numFmtId="172" fontId="65" fillId="0" borderId="17" xfId="114" applyNumberFormat="1" applyFont="1" applyFill="1" applyBorder="1" applyProtection="1">
      <alignment horizontal="right" vertical="center"/>
      <protection locked="0"/>
    </xf>
    <xf numFmtId="170" fontId="65" fillId="0" borderId="77" xfId="114" applyNumberFormat="1" applyFont="1" applyFill="1" applyBorder="1" applyProtection="1">
      <alignment horizontal="right" vertical="center"/>
    </xf>
    <xf numFmtId="170" fontId="65" fillId="0" borderId="25" xfId="114" applyNumberFormat="1" applyFont="1" applyFill="1" applyBorder="1" applyProtection="1">
      <alignment horizontal="right" vertical="center"/>
    </xf>
    <xf numFmtId="170" fontId="65" fillId="0" borderId="24" xfId="114" applyNumberFormat="1" applyFont="1" applyFill="1" applyBorder="1" applyProtection="1">
      <alignment horizontal="right" vertical="center"/>
    </xf>
    <xf numFmtId="170" fontId="65" fillId="0" borderId="25" xfId="114" applyNumberFormat="1" applyFont="1" applyFill="1" applyBorder="1" applyProtection="1">
      <alignment horizontal="right" vertical="center"/>
      <protection locked="0"/>
    </xf>
    <xf numFmtId="172" fontId="65" fillId="0" borderId="21" xfId="111" applyNumberFormat="1" applyFont="1" applyFill="1" applyBorder="1" applyProtection="1">
      <alignment horizontal="right" vertical="center"/>
    </xf>
    <xf numFmtId="172" fontId="65" fillId="0" borderId="41" xfId="111" applyNumberFormat="1" applyFont="1" applyFill="1" applyBorder="1" applyProtection="1">
      <alignment horizontal="right" vertical="center"/>
    </xf>
    <xf numFmtId="172" fontId="65" fillId="0" borderId="47" xfId="114" applyNumberFormat="1" applyFont="1" applyFill="1" applyBorder="1" applyProtection="1">
      <alignment horizontal="right" vertical="center"/>
      <protection locked="0"/>
    </xf>
    <xf numFmtId="170" fontId="65" fillId="0" borderId="24" xfId="114" applyNumberFormat="1" applyFont="1" applyFill="1" applyBorder="1" applyProtection="1">
      <alignment horizontal="right" vertical="center"/>
      <protection locked="0"/>
    </xf>
    <xf numFmtId="172" fontId="65" fillId="54" borderId="33" xfId="114" applyNumberFormat="1" applyFont="1" applyFill="1" applyBorder="1" applyAlignment="1" applyProtection="1">
      <alignment vertical="center"/>
      <protection locked="0"/>
    </xf>
    <xf numFmtId="172" fontId="65" fillId="54" borderId="34" xfId="114" applyNumberFormat="1" applyFont="1" applyFill="1" applyBorder="1" applyAlignment="1" applyProtection="1">
      <alignment vertical="center"/>
      <protection locked="0"/>
    </xf>
    <xf numFmtId="172" fontId="65" fillId="54" borderId="27" xfId="114" applyNumberFormat="1" applyFont="1" applyFill="1" applyBorder="1" applyAlignment="1" applyProtection="1">
      <alignment vertical="center"/>
      <protection locked="0"/>
    </xf>
    <xf numFmtId="172" fontId="65" fillId="54" borderId="28" xfId="114" applyNumberFormat="1" applyFont="1" applyFill="1" applyBorder="1" applyAlignment="1" applyProtection="1">
      <alignment vertical="center"/>
      <protection locked="0"/>
    </xf>
    <xf numFmtId="172" fontId="65" fillId="54" borderId="29" xfId="114" applyNumberFormat="1" applyFont="1" applyFill="1" applyBorder="1" applyAlignment="1" applyProtection="1">
      <alignment vertical="center"/>
      <protection locked="0"/>
    </xf>
    <xf numFmtId="172" fontId="65" fillId="54" borderId="30" xfId="114" applyNumberFormat="1" applyFont="1" applyFill="1" applyBorder="1" applyAlignment="1" applyProtection="1">
      <alignment vertical="center"/>
      <protection locked="0"/>
    </xf>
    <xf numFmtId="172" fontId="65" fillId="54" borderId="0" xfId="114" applyNumberFormat="1" applyFont="1" applyFill="1" applyBorder="1" applyAlignment="1" applyProtection="1">
      <alignment vertical="center"/>
      <protection locked="0"/>
    </xf>
    <xf numFmtId="172" fontId="65" fillId="54" borderId="14" xfId="114" applyNumberFormat="1" applyFont="1" applyFill="1" applyBorder="1" applyAlignment="1" applyProtection="1">
      <alignment vertical="center"/>
      <protection locked="0"/>
    </xf>
    <xf numFmtId="171" fontId="91" fillId="56" borderId="0" xfId="0" applyNumberFormat="1" applyFont="1" applyFill="1" applyAlignment="1">
      <alignment horizontal="right"/>
    </xf>
    <xf numFmtId="171" fontId="91" fillId="56" borderId="99" xfId="0" applyNumberFormat="1" applyFont="1" applyFill="1" applyBorder="1" applyAlignment="1">
      <alignment horizontal="right"/>
    </xf>
    <xf numFmtId="171" fontId="91" fillId="56" borderId="13" xfId="0" applyNumberFormat="1" applyFont="1" applyFill="1" applyBorder="1"/>
    <xf numFmtId="171" fontId="91" fillId="56" borderId="135" xfId="0" applyNumberFormat="1" applyFont="1" applyFill="1" applyBorder="1"/>
    <xf numFmtId="199" fontId="91" fillId="56" borderId="0" xfId="213" applyNumberFormat="1" applyFont="1" applyFill="1" applyBorder="1">
      <alignment horizontal="right" vertical="center"/>
    </xf>
    <xf numFmtId="172" fontId="65" fillId="54" borderId="33" xfId="111" applyNumberFormat="1" applyFont="1" applyFill="1" applyBorder="1" applyProtection="1">
      <alignment horizontal="right" vertical="center"/>
      <protection locked="0"/>
    </xf>
    <xf numFmtId="172" fontId="65" fillId="54" borderId="34" xfId="111" applyNumberFormat="1" applyFont="1" applyFill="1" applyBorder="1" applyProtection="1">
      <alignment horizontal="right" vertical="center"/>
      <protection locked="0"/>
    </xf>
    <xf numFmtId="172" fontId="65" fillId="54" borderId="35" xfId="111" applyNumberFormat="1" applyFont="1" applyFill="1" applyBorder="1" applyProtection="1">
      <alignment horizontal="right" vertical="center"/>
      <protection locked="0"/>
    </xf>
    <xf numFmtId="172" fontId="65" fillId="54" borderId="30" xfId="0" applyNumberFormat="1" applyFont="1" applyFill="1" applyBorder="1" applyProtection="1">
      <protection locked="0"/>
    </xf>
    <xf numFmtId="172" fontId="65" fillId="54" borderId="0" xfId="0" applyNumberFormat="1" applyFont="1" applyFill="1" applyBorder="1" applyProtection="1">
      <protection locked="0"/>
    </xf>
    <xf numFmtId="172" fontId="65" fillId="54" borderId="14" xfId="0" applyNumberFormat="1" applyFont="1" applyFill="1" applyBorder="1" applyProtection="1">
      <protection locked="0"/>
    </xf>
    <xf numFmtId="0" fontId="8" fillId="27" borderId="13" xfId="169" applyNumberFormat="1" applyFont="1" applyFill="1" applyBorder="1"/>
    <xf numFmtId="0" fontId="65" fillId="0" borderId="27" xfId="0" applyFont="1" applyBorder="1"/>
    <xf numFmtId="0" fontId="65" fillId="0" borderId="28" xfId="0" applyFont="1" applyBorder="1"/>
    <xf numFmtId="0" fontId="65" fillId="0" borderId="24" xfId="0" applyFont="1" applyBorder="1"/>
    <xf numFmtId="0" fontId="65" fillId="0" borderId="25" xfId="0" applyFont="1" applyBorder="1"/>
    <xf numFmtId="165" fontId="65" fillId="0" borderId="0" xfId="111" applyFont="1" applyBorder="1">
      <alignment horizontal="right" vertical="center"/>
    </xf>
    <xf numFmtId="10" fontId="65" fillId="0" borderId="0" xfId="111" applyNumberFormat="1" applyFont="1" applyBorder="1">
      <alignment horizontal="right" vertical="center"/>
    </xf>
    <xf numFmtId="165" fontId="65" fillId="27" borderId="24" xfId="111" applyFont="1" applyFill="1" applyBorder="1">
      <alignment horizontal="right" vertical="center"/>
    </xf>
    <xf numFmtId="165" fontId="65" fillId="27" borderId="25" xfId="111" applyFont="1" applyFill="1" applyBorder="1">
      <alignment horizontal="right" vertical="center"/>
    </xf>
    <xf numFmtId="170" fontId="65" fillId="27" borderId="25" xfId="111" applyNumberFormat="1" applyFont="1" applyFill="1" applyBorder="1">
      <alignment horizontal="right" vertical="center"/>
    </xf>
    <xf numFmtId="165" fontId="65" fillId="27" borderId="31" xfId="111" applyFont="1" applyFill="1" applyBorder="1">
      <alignment horizontal="right" vertical="center"/>
    </xf>
    <xf numFmtId="165" fontId="65" fillId="27" borderId="13" xfId="111" applyFont="1" applyFill="1" applyBorder="1">
      <alignment horizontal="right" vertical="center"/>
    </xf>
    <xf numFmtId="172" fontId="69" fillId="0" borderId="0" xfId="111" applyNumberFormat="1" applyFont="1" applyBorder="1">
      <alignment horizontal="right" vertical="center"/>
    </xf>
    <xf numFmtId="165" fontId="69" fillId="0" borderId="0" xfId="111" applyFont="1" applyBorder="1">
      <alignment horizontal="right" vertical="center"/>
    </xf>
    <xf numFmtId="165" fontId="69" fillId="0" borderId="32" xfId="111" applyFont="1" applyFill="1" applyBorder="1">
      <alignment horizontal="right" vertical="center"/>
    </xf>
    <xf numFmtId="165" fontId="65" fillId="0" borderId="22" xfId="111" applyFont="1" applyBorder="1">
      <alignment horizontal="right" vertical="center"/>
    </xf>
    <xf numFmtId="0" fontId="65" fillId="27" borderId="17" xfId="0" applyFont="1" applyFill="1" applyBorder="1"/>
    <xf numFmtId="0" fontId="65" fillId="27" borderId="0" xfId="0" applyFont="1" applyFill="1"/>
    <xf numFmtId="165" fontId="65" fillId="27" borderId="0" xfId="111" applyFont="1" applyFill="1" applyBorder="1">
      <alignment horizontal="right" vertical="center"/>
    </xf>
    <xf numFmtId="10" fontId="65" fillId="27" borderId="0" xfId="111" applyNumberFormat="1" applyFont="1" applyFill="1" applyBorder="1">
      <alignment horizontal="right" vertical="center"/>
    </xf>
    <xf numFmtId="165" fontId="65" fillId="27" borderId="22" xfId="111" applyFont="1" applyFill="1" applyBorder="1">
      <alignment horizontal="right" vertical="center"/>
    </xf>
    <xf numFmtId="165" fontId="65" fillId="54" borderId="25" xfId="111" applyFont="1" applyFill="1" applyBorder="1" applyProtection="1">
      <alignment horizontal="right" vertical="center"/>
      <protection locked="0"/>
    </xf>
    <xf numFmtId="182" fontId="65" fillId="0" borderId="0" xfId="111" applyNumberFormat="1" applyFont="1" applyFill="1" applyBorder="1">
      <alignment horizontal="right" vertical="center"/>
    </xf>
    <xf numFmtId="182" fontId="65" fillId="27" borderId="0" xfId="111" applyNumberFormat="1" applyFont="1" applyFill="1" applyBorder="1">
      <alignment horizontal="right" vertical="center"/>
    </xf>
    <xf numFmtId="172" fontId="65" fillId="0" borderId="0" xfId="111" applyNumberFormat="1" applyFont="1" applyFill="1" applyBorder="1">
      <alignment horizontal="right" vertical="center"/>
    </xf>
    <xf numFmtId="2" fontId="65" fillId="0" borderId="0" xfId="111" applyNumberFormat="1" applyFont="1" applyFill="1" applyBorder="1">
      <alignment horizontal="right" vertical="center"/>
    </xf>
    <xf numFmtId="10" fontId="65" fillId="0" borderId="0" xfId="111" applyNumberFormat="1" applyFont="1" applyFill="1" applyBorder="1">
      <alignment horizontal="right" vertical="center"/>
    </xf>
    <xf numFmtId="165" fontId="65" fillId="54" borderId="13" xfId="111" applyFont="1" applyFill="1" applyBorder="1" applyProtection="1">
      <alignment horizontal="right" vertical="center"/>
      <protection locked="0"/>
    </xf>
    <xf numFmtId="172" fontId="69" fillId="0" borderId="0" xfId="111" applyNumberFormat="1" applyFont="1" applyFill="1" applyBorder="1">
      <alignment horizontal="right" vertical="center"/>
    </xf>
    <xf numFmtId="165" fontId="65" fillId="0" borderId="0" xfId="111" applyFont="1" applyFill="1" applyBorder="1">
      <alignment horizontal="right" vertical="center"/>
    </xf>
    <xf numFmtId="172" fontId="65" fillId="0" borderId="8" xfId="111" applyNumberFormat="1" applyFont="1" applyFill="1" applyBorder="1" applyProtection="1">
      <alignment horizontal="right" vertical="center"/>
    </xf>
    <xf numFmtId="10" fontId="65" fillId="54" borderId="34" xfId="111" applyNumberFormat="1" applyFont="1" applyFill="1" applyBorder="1" applyAlignment="1" applyProtection="1">
      <alignment horizontal="center" vertical="center"/>
      <protection locked="0"/>
    </xf>
    <xf numFmtId="10" fontId="65" fillId="54" borderId="35" xfId="111" applyNumberFormat="1" applyFont="1" applyFill="1" applyBorder="1" applyAlignment="1" applyProtection="1">
      <alignment horizontal="center" vertical="center"/>
      <protection locked="0"/>
    </xf>
    <xf numFmtId="10" fontId="2" fillId="60" borderId="33" xfId="0" applyNumberFormat="1" applyFont="1" applyFill="1" applyBorder="1" applyAlignment="1" applyProtection="1">
      <alignment horizontal="center" vertical="center"/>
    </xf>
    <xf numFmtId="173" fontId="65" fillId="58" borderId="8" xfId="0" applyNumberFormat="1" applyFont="1" applyFill="1" applyBorder="1" applyAlignment="1" applyProtection="1">
      <alignment horizontal="center"/>
    </xf>
    <xf numFmtId="0" fontId="2" fillId="0" borderId="0" xfId="201" applyAlignment="1">
      <alignment vertical="top" wrapText="1"/>
    </xf>
    <xf numFmtId="0" fontId="2" fillId="0" borderId="0" xfId="0" applyFont="1" applyAlignment="1">
      <alignment horizontal="center" vertical="center"/>
    </xf>
    <xf numFmtId="0" fontId="113" fillId="0" borderId="0" xfId="142" applyFont="1" applyProtection="1"/>
    <xf numFmtId="2" fontId="2" fillId="48" borderId="8" xfId="201" applyNumberFormat="1" applyFill="1" applyBorder="1"/>
    <xf numFmtId="0" fontId="8" fillId="56" borderId="8" xfId="142" applyFont="1" applyFill="1" applyBorder="1" applyAlignment="1" applyProtection="1">
      <alignment horizontal="center"/>
    </xf>
    <xf numFmtId="0" fontId="8" fillId="0" borderId="0" xfId="142" applyFont="1" applyFill="1" applyProtection="1"/>
    <xf numFmtId="0" fontId="2" fillId="0" borderId="0" xfId="201" applyFont="1" applyFill="1"/>
    <xf numFmtId="0" fontId="2" fillId="0" borderId="0" xfId="142" applyFont="1" applyFill="1" applyProtection="1"/>
    <xf numFmtId="10" fontId="2" fillId="60" borderId="34" xfId="0" applyNumberFormat="1" applyFont="1" applyFill="1" applyBorder="1" applyAlignment="1" applyProtection="1">
      <alignment horizontal="center" vertical="center"/>
    </xf>
    <xf numFmtId="184" fontId="2" fillId="60" borderId="34" xfId="0" applyNumberFormat="1" applyFont="1" applyFill="1" applyBorder="1" applyAlignment="1" applyProtection="1">
      <alignment horizontal="center" vertical="center"/>
    </xf>
    <xf numFmtId="179" fontId="2" fillId="60" borderId="35" xfId="0" applyNumberFormat="1" applyFont="1" applyFill="1" applyBorder="1" applyAlignment="1" applyProtection="1">
      <alignment horizontal="center" vertical="center"/>
    </xf>
    <xf numFmtId="2" fontId="2" fillId="60" borderId="35" xfId="0" applyNumberFormat="1" applyFont="1" applyFill="1" applyBorder="1" applyAlignment="1" applyProtection="1">
      <alignment horizontal="center" vertical="center"/>
    </xf>
    <xf numFmtId="9" fontId="2" fillId="60" borderId="33" xfId="111" applyNumberFormat="1" applyFont="1" applyFill="1" applyBorder="1" applyAlignment="1" applyProtection="1">
      <alignment horizontal="center" vertical="center"/>
    </xf>
    <xf numFmtId="10" fontId="2" fillId="60" borderId="35" xfId="111" applyNumberFormat="1" applyFont="1" applyFill="1" applyBorder="1" applyAlignment="1" applyProtection="1">
      <alignment horizontal="center" vertical="center"/>
    </xf>
    <xf numFmtId="173" fontId="2" fillId="60" borderId="35" xfId="101" applyNumberFormat="1" applyFont="1" applyFill="1" applyBorder="1" applyAlignment="1" applyProtection="1">
      <alignment horizontal="center" vertical="center"/>
    </xf>
    <xf numFmtId="10" fontId="2" fillId="59" borderId="33" xfId="0" applyNumberFormat="1" applyFont="1" applyFill="1" applyBorder="1" applyAlignment="1" applyProtection="1">
      <alignment horizontal="center" vertical="center"/>
    </xf>
    <xf numFmtId="10" fontId="2" fillId="59" borderId="34" xfId="0" applyNumberFormat="1" applyFont="1" applyFill="1" applyBorder="1" applyAlignment="1" applyProtection="1">
      <alignment horizontal="center" vertical="center"/>
    </xf>
    <xf numFmtId="184" fontId="2" fillId="59" borderId="34" xfId="0" applyNumberFormat="1" applyFont="1" applyFill="1" applyBorder="1" applyAlignment="1" applyProtection="1">
      <alignment horizontal="center" vertical="center"/>
    </xf>
    <xf numFmtId="179" fontId="2" fillId="59" borderId="35" xfId="0" applyNumberFormat="1" applyFont="1" applyFill="1" applyBorder="1" applyAlignment="1" applyProtection="1">
      <alignment horizontal="center" vertical="center"/>
    </xf>
    <xf numFmtId="0" fontId="2" fillId="0" borderId="0" xfId="201" applyFill="1"/>
    <xf numFmtId="0" fontId="69" fillId="0" borderId="0" xfId="0" applyFont="1"/>
    <xf numFmtId="0" fontId="69" fillId="51" borderId="0" xfId="0" quotePrefix="1" applyFont="1" applyFill="1" applyAlignment="1">
      <alignment horizontal="center"/>
    </xf>
    <xf numFmtId="0" fontId="55" fillId="27" borderId="0" xfId="0" applyFont="1" applyFill="1"/>
    <xf numFmtId="0" fontId="54" fillId="27" borderId="0" xfId="0" applyFont="1" applyFill="1"/>
    <xf numFmtId="0" fontId="131" fillId="68" borderId="136" xfId="0" applyFont="1" applyFill="1" applyBorder="1" applyAlignment="1">
      <alignment vertical="center" wrapText="1"/>
    </xf>
    <xf numFmtId="0" fontId="131" fillId="68" borderId="136" xfId="0" applyFont="1" applyFill="1" applyBorder="1" applyAlignment="1">
      <alignment horizontal="right" vertical="center" wrapText="1"/>
    </xf>
    <xf numFmtId="0" fontId="55" fillId="29" borderId="136" xfId="0" applyFont="1" applyFill="1" applyBorder="1" applyAlignment="1">
      <alignment vertical="center" wrapText="1"/>
    </xf>
    <xf numFmtId="172" fontId="132" fillId="29" borderId="136" xfId="69" applyNumberFormat="1" applyFont="1" applyFill="1" applyBorder="1" applyAlignment="1">
      <alignment horizontal="right" vertical="center" wrapText="1"/>
    </xf>
    <xf numFmtId="172" fontId="55" fillId="29" borderId="136" xfId="69" applyNumberFormat="1" applyFont="1" applyFill="1" applyBorder="1" applyAlignment="1">
      <alignment horizontal="right" vertical="center" wrapText="1"/>
    </xf>
    <xf numFmtId="172" fontId="69" fillId="0" borderId="0" xfId="0" applyNumberFormat="1" applyFont="1"/>
    <xf numFmtId="0" fontId="87" fillId="0" borderId="0" xfId="0" applyFont="1"/>
    <xf numFmtId="0" fontId="133" fillId="29" borderId="136" xfId="0" quotePrefix="1" applyFont="1" applyFill="1" applyBorder="1" applyAlignment="1">
      <alignment horizontal="left" vertical="center" indent="2"/>
    </xf>
    <xf numFmtId="172" fontId="134" fillId="29" borderId="136" xfId="69" applyNumberFormat="1" applyFont="1" applyFill="1" applyBorder="1" applyAlignment="1">
      <alignment horizontal="right" vertical="center" wrapText="1"/>
    </xf>
    <xf numFmtId="172" fontId="133" fillId="29" borderId="136" xfId="69" applyNumberFormat="1" applyFont="1" applyFill="1" applyBorder="1" applyAlignment="1">
      <alignment horizontal="right" vertical="center" wrapText="1"/>
    </xf>
    <xf numFmtId="0" fontId="133" fillId="29" borderId="136" xfId="0" quotePrefix="1" applyFont="1" applyFill="1" applyBorder="1" applyAlignment="1">
      <alignment horizontal="left" vertical="center" wrapText="1" indent="2"/>
    </xf>
    <xf numFmtId="43" fontId="69" fillId="0" borderId="0" xfId="69" applyFont="1"/>
    <xf numFmtId="0" fontId="135" fillId="0" borderId="0" xfId="0" applyFont="1"/>
    <xf numFmtId="0" fontId="127" fillId="29" borderId="0" xfId="0" quotePrefix="1" applyFont="1" applyFill="1" applyAlignment="1">
      <alignment horizontal="left" vertical="center" wrapText="1"/>
    </xf>
    <xf numFmtId="172" fontId="127" fillId="29" borderId="0" xfId="69" applyNumberFormat="1" applyFont="1" applyFill="1" applyBorder="1" applyAlignment="1">
      <alignment horizontal="right" vertical="center" wrapText="1"/>
    </xf>
    <xf numFmtId="0" fontId="55" fillId="28" borderId="32" xfId="0" applyFont="1" applyFill="1" applyBorder="1" applyAlignment="1">
      <alignment vertical="center" wrapText="1"/>
    </xf>
    <xf numFmtId="172" fontId="55" fillId="28" borderId="32" xfId="69" applyNumberFormat="1" applyFont="1" applyFill="1" applyBorder="1" applyAlignment="1">
      <alignment horizontal="right" vertical="center" wrapText="1"/>
    </xf>
    <xf numFmtId="0" fontId="127" fillId="29" borderId="0" xfId="0" quotePrefix="1" applyFont="1" applyFill="1" applyAlignment="1">
      <alignment horizontal="left" vertical="center" wrapText="1" indent="1"/>
    </xf>
    <xf numFmtId="172" fontId="69" fillId="29" borderId="136" xfId="69" applyNumberFormat="1" applyFont="1" applyFill="1" applyBorder="1" applyAlignment="1">
      <alignment horizontal="right" vertical="center" wrapText="1"/>
    </xf>
    <xf numFmtId="0" fontId="133" fillId="29" borderId="0" xfId="0" quotePrefix="1" applyFont="1" applyFill="1" applyAlignment="1">
      <alignment horizontal="left" vertical="center" wrapText="1" indent="1"/>
    </xf>
    <xf numFmtId="172" fontId="133" fillId="29" borderId="0" xfId="69" applyNumberFormat="1" applyFont="1" applyFill="1" applyBorder="1" applyAlignment="1">
      <alignment horizontal="right" vertical="center" wrapText="1"/>
    </xf>
    <xf numFmtId="0" fontId="55" fillId="28" borderId="36" xfId="0" applyFont="1" applyFill="1" applyBorder="1" applyAlignment="1">
      <alignment vertical="center" wrapText="1"/>
    </xf>
    <xf numFmtId="172" fontId="55" fillId="28" borderId="36" xfId="69" applyNumberFormat="1" applyFont="1" applyFill="1" applyBorder="1" applyAlignment="1">
      <alignment horizontal="right" vertical="center" wrapText="1"/>
    </xf>
    <xf numFmtId="0" fontId="119" fillId="0" borderId="0" xfId="0" applyFont="1"/>
    <xf numFmtId="172" fontId="120" fillId="30" borderId="136" xfId="69" applyNumberFormat="1" applyFont="1" applyFill="1" applyBorder="1" applyAlignment="1">
      <alignment horizontal="left" vertical="center" wrapText="1"/>
    </xf>
    <xf numFmtId="43" fontId="120" fillId="30" borderId="136" xfId="69" applyFont="1" applyFill="1" applyBorder="1" applyAlignment="1">
      <alignment horizontal="right" vertical="center" wrapText="1"/>
    </xf>
    <xf numFmtId="43" fontId="136" fillId="30" borderId="136" xfId="69" applyFont="1" applyFill="1" applyBorder="1" applyAlignment="1">
      <alignment horizontal="right" vertical="center" wrapText="1"/>
    </xf>
    <xf numFmtId="172" fontId="120" fillId="30" borderId="136" xfId="69" applyNumberFormat="1" applyFont="1" applyFill="1" applyBorder="1" applyAlignment="1">
      <alignment horizontal="right" vertical="center" wrapText="1"/>
    </xf>
    <xf numFmtId="172" fontId="136" fillId="30" borderId="136" xfId="69" applyNumberFormat="1" applyFont="1" applyFill="1" applyBorder="1" applyAlignment="1">
      <alignment horizontal="right" vertical="center" wrapText="1"/>
    </xf>
    <xf numFmtId="0" fontId="65" fillId="31" borderId="73" xfId="171" applyFont="1" applyFill="1" applyBorder="1" applyProtection="1">
      <protection locked="0"/>
    </xf>
    <xf numFmtId="0" fontId="65" fillId="31" borderId="123" xfId="171" applyFont="1" applyFill="1" applyBorder="1" applyProtection="1">
      <protection locked="0"/>
    </xf>
    <xf numFmtId="0" fontId="65" fillId="31" borderId="73" xfId="171" applyFont="1" applyFill="1" applyBorder="1" applyAlignment="1" applyProtection="1">
      <alignment horizontal="center"/>
      <protection locked="0"/>
    </xf>
    <xf numFmtId="0" fontId="65" fillId="31" borderId="123" xfId="171" applyFont="1" applyFill="1" applyBorder="1" applyAlignment="1" applyProtection="1">
      <alignment horizontal="center"/>
      <protection locked="0"/>
    </xf>
    <xf numFmtId="0" fontId="55" fillId="0" borderId="56" xfId="143" applyFont="1" applyFill="1" applyBorder="1" applyAlignment="1" applyProtection="1">
      <alignment vertical="top"/>
    </xf>
    <xf numFmtId="0" fontId="65" fillId="31" borderId="79" xfId="171" applyFont="1" applyFill="1" applyBorder="1" applyProtection="1">
      <protection locked="0"/>
    </xf>
    <xf numFmtId="0" fontId="65" fillId="31" borderId="71" xfId="171" applyFont="1" applyFill="1" applyBorder="1" applyProtection="1">
      <protection locked="0"/>
    </xf>
    <xf numFmtId="0" fontId="65" fillId="31" borderId="37" xfId="171" applyFont="1" applyFill="1" applyBorder="1" applyProtection="1">
      <protection locked="0"/>
    </xf>
    <xf numFmtId="0" fontId="65" fillId="31" borderId="72" xfId="171" applyFont="1" applyFill="1" applyBorder="1" applyProtection="1">
      <protection locked="0"/>
    </xf>
    <xf numFmtId="0" fontId="65" fillId="31" borderId="45" xfId="171" applyFont="1" applyFill="1" applyBorder="1" applyProtection="1">
      <protection locked="0"/>
    </xf>
    <xf numFmtId="0" fontId="65" fillId="31" borderId="72" xfId="171" applyFont="1" applyFill="1" applyBorder="1" applyAlignment="1" applyProtection="1">
      <alignment horizontal="center"/>
      <protection locked="0"/>
    </xf>
    <xf numFmtId="0" fontId="65" fillId="54" borderId="77" xfId="143" applyFont="1" applyFill="1" applyBorder="1" applyAlignment="1" applyProtection="1">
      <alignment horizontal="left"/>
      <protection locked="0"/>
    </xf>
    <xf numFmtId="0" fontId="65" fillId="54" borderId="53" xfId="143" applyFont="1" applyFill="1" applyBorder="1" applyAlignment="1" applyProtection="1">
      <alignment horizontal="left"/>
      <protection locked="0"/>
    </xf>
    <xf numFmtId="0" fontId="65" fillId="54" borderId="79" xfId="143" applyFont="1" applyFill="1" applyBorder="1" applyAlignment="1" applyProtection="1">
      <alignment horizontal="left"/>
      <protection locked="0"/>
    </xf>
    <xf numFmtId="0" fontId="65" fillId="54" borderId="44" xfId="143" applyFont="1" applyFill="1" applyBorder="1" applyAlignment="1" applyProtection="1">
      <alignment horizontal="left"/>
      <protection locked="0"/>
    </xf>
    <xf numFmtId="0" fontId="65" fillId="31" borderId="23" xfId="171" applyFont="1" applyFill="1" applyBorder="1" applyProtection="1">
      <protection locked="0"/>
    </xf>
    <xf numFmtId="0" fontId="65" fillId="31" borderId="80" xfId="171" applyFont="1" applyFill="1" applyBorder="1" applyProtection="1">
      <protection locked="0"/>
    </xf>
    <xf numFmtId="0" fontId="65" fillId="31" borderId="17" xfId="182" applyFont="1" applyFill="1" applyBorder="1">
      <alignment vertical="center"/>
      <protection locked="0"/>
    </xf>
    <xf numFmtId="0" fontId="65" fillId="24" borderId="23" xfId="0" applyFont="1" applyFill="1" applyBorder="1"/>
    <xf numFmtId="0" fontId="65" fillId="0" borderId="0" xfId="37" applyFont="1" applyBorder="1" applyProtection="1">
      <alignment vertical="center"/>
    </xf>
    <xf numFmtId="0" fontId="65" fillId="0" borderId="0" xfId="78" applyFont="1" applyFill="1" applyBorder="1">
      <alignment vertical="center"/>
    </xf>
    <xf numFmtId="0" fontId="69" fillId="0" borderId="0" xfId="78" applyFont="1" applyFill="1" applyBorder="1">
      <alignment vertical="center"/>
    </xf>
    <xf numFmtId="0" fontId="65" fillId="0" borderId="13" xfId="0" applyFont="1" applyBorder="1"/>
    <xf numFmtId="172" fontId="69" fillId="45" borderId="0" xfId="0" applyNumberFormat="1" applyFont="1" applyFill="1" applyProtection="1"/>
    <xf numFmtId="0" fontId="65" fillId="54" borderId="45" xfId="171" applyFont="1" applyFill="1" applyBorder="1" applyAlignment="1" applyProtection="1">
      <alignment horizontal="center"/>
      <protection locked="0"/>
    </xf>
    <xf numFmtId="0" fontId="65" fillId="45" borderId="0" xfId="0" applyFont="1" applyFill="1" applyBorder="1" applyProtection="1"/>
    <xf numFmtId="174" fontId="65" fillId="55" borderId="0" xfId="213" applyNumberFormat="1" applyFont="1" applyFill="1" applyBorder="1">
      <alignment horizontal="right" vertical="center"/>
    </xf>
    <xf numFmtId="10" fontId="2" fillId="48" borderId="33" xfId="0" applyNumberFormat="1" applyFont="1" applyFill="1" applyBorder="1" applyAlignment="1">
      <alignment horizontal="center" vertical="center"/>
    </xf>
    <xf numFmtId="10" fontId="2" fillId="48" borderId="33" xfId="0" applyNumberFormat="1" applyFont="1" applyFill="1" applyBorder="1" applyAlignment="1" applyProtection="1">
      <alignment horizontal="center" vertical="center"/>
    </xf>
    <xf numFmtId="10" fontId="2" fillId="48" borderId="34" xfId="0" applyNumberFormat="1" applyFont="1" applyFill="1" applyBorder="1" applyAlignment="1">
      <alignment horizontal="center" vertical="center"/>
    </xf>
    <xf numFmtId="10" fontId="2" fillId="48" borderId="34" xfId="0" applyNumberFormat="1" applyFont="1" applyFill="1" applyBorder="1" applyAlignment="1" applyProtection="1">
      <alignment horizontal="center" vertical="center"/>
    </xf>
    <xf numFmtId="173" fontId="2" fillId="48" borderId="35" xfId="101" applyNumberFormat="1" applyFont="1" applyFill="1" applyBorder="1" applyAlignment="1" applyProtection="1">
      <alignment horizontal="center" vertical="center"/>
    </xf>
    <xf numFmtId="184" fontId="2" fillId="48" borderId="34" xfId="0" applyNumberFormat="1" applyFont="1" applyFill="1" applyBorder="1" applyAlignment="1" applyProtection="1">
      <alignment horizontal="center" vertical="center"/>
    </xf>
    <xf numFmtId="179" fontId="2" fillId="48" borderId="35" xfId="0" applyNumberFormat="1" applyFont="1" applyFill="1" applyBorder="1" applyAlignment="1" applyProtection="1">
      <alignment horizontal="center" vertical="center"/>
    </xf>
    <xf numFmtId="172" fontId="69" fillId="0" borderId="0" xfId="111" applyNumberFormat="1" applyFont="1" applyFill="1" applyBorder="1" applyAlignment="1" applyProtection="1">
      <alignment horizontal="left" vertical="center"/>
    </xf>
    <xf numFmtId="174" fontId="65" fillId="31" borderId="25" xfId="111" applyNumberFormat="1" applyFont="1" applyFill="1" applyBorder="1" applyProtection="1">
      <alignment horizontal="right" vertical="center"/>
      <protection locked="0"/>
    </xf>
    <xf numFmtId="186" fontId="65" fillId="58" borderId="24" xfId="69" applyNumberFormat="1" applyFont="1" applyFill="1" applyBorder="1" applyProtection="1"/>
    <xf numFmtId="186" fontId="65" fillId="58" borderId="25" xfId="69" applyNumberFormat="1" applyFont="1" applyFill="1" applyBorder="1" applyProtection="1"/>
    <xf numFmtId="186" fontId="65" fillId="54" borderId="25" xfId="69" applyNumberFormat="1" applyFont="1" applyFill="1" applyBorder="1" applyProtection="1">
      <protection locked="0"/>
    </xf>
    <xf numFmtId="171" fontId="65" fillId="0" borderId="0" xfId="0" applyNumberFormat="1" applyFont="1"/>
    <xf numFmtId="186" fontId="65" fillId="54" borderId="26" xfId="69" applyNumberFormat="1" applyFont="1" applyFill="1" applyBorder="1" applyProtection="1">
      <protection locked="0"/>
    </xf>
    <xf numFmtId="172" fontId="65" fillId="56" borderId="24" xfId="111" applyNumberFormat="1" applyFont="1" applyFill="1" applyBorder="1">
      <alignment horizontal="right" vertical="center"/>
    </xf>
    <xf numFmtId="172" fontId="65" fillId="56" borderId="25" xfId="111" applyNumberFormat="1" applyFont="1" applyFill="1" applyBorder="1">
      <alignment horizontal="right" vertical="center"/>
    </xf>
    <xf numFmtId="172" fontId="65" fillId="56" borderId="26" xfId="111" applyNumberFormat="1" applyFont="1" applyFill="1" applyBorder="1">
      <alignment horizontal="right" vertical="center"/>
    </xf>
    <xf numFmtId="172" fontId="65" fillId="53" borderId="0" xfId="111" applyNumberFormat="1" applyFont="1" applyFill="1" applyBorder="1">
      <alignment horizontal="right" vertical="center"/>
    </xf>
    <xf numFmtId="172" fontId="65" fillId="0" borderId="0" xfId="111" applyNumberFormat="1" applyFont="1">
      <alignment horizontal="right" vertical="center"/>
    </xf>
    <xf numFmtId="172" fontId="65" fillId="0" borderId="0" xfId="111" applyNumberFormat="1" applyFont="1" applyBorder="1">
      <alignment horizontal="right" vertical="center"/>
    </xf>
    <xf numFmtId="172" fontId="125" fillId="0" borderId="0" xfId="111" applyNumberFormat="1" applyFont="1">
      <alignment horizontal="right" vertical="center"/>
    </xf>
    <xf numFmtId="2" fontId="65" fillId="54" borderId="27" xfId="0" applyNumberFormat="1" applyFont="1" applyFill="1" applyBorder="1" applyProtection="1">
      <protection locked="0"/>
    </xf>
    <xf numFmtId="2" fontId="65" fillId="54" borderId="28" xfId="0" applyNumberFormat="1" applyFont="1" applyFill="1" applyBorder="1" applyProtection="1">
      <protection locked="0"/>
    </xf>
    <xf numFmtId="2" fontId="65" fillId="54" borderId="29" xfId="0" applyNumberFormat="1" applyFont="1" applyFill="1" applyBorder="1" applyProtection="1">
      <protection locked="0"/>
    </xf>
    <xf numFmtId="201" fontId="65" fillId="31" borderId="30" xfId="0" applyNumberFormat="1" applyFont="1" applyFill="1" applyBorder="1" applyProtection="1">
      <protection locked="0"/>
    </xf>
    <xf numFmtId="201" fontId="65" fillId="31" borderId="0" xfId="0" applyNumberFormat="1" applyFont="1" applyFill="1" applyProtection="1">
      <protection locked="0"/>
    </xf>
    <xf numFmtId="201" fontId="65" fillId="31" borderId="14" xfId="0" applyNumberFormat="1" applyFont="1" applyFill="1" applyBorder="1" applyProtection="1">
      <protection locked="0"/>
    </xf>
    <xf numFmtId="172" fontId="65" fillId="27" borderId="0" xfId="111" applyNumberFormat="1" applyFont="1" applyFill="1" applyBorder="1">
      <alignment horizontal="right" vertical="center"/>
    </xf>
    <xf numFmtId="172" fontId="65" fillId="0" borderId="13" xfId="111" applyNumberFormat="1" applyFont="1" applyFill="1" applyBorder="1">
      <alignment horizontal="right" vertical="center"/>
    </xf>
    <xf numFmtId="172" fontId="65" fillId="0" borderId="28" xfId="111" applyNumberFormat="1" applyFont="1" applyFill="1" applyBorder="1">
      <alignment horizontal="right" vertical="center"/>
    </xf>
    <xf numFmtId="172" fontId="65" fillId="0" borderId="0" xfId="0" applyNumberFormat="1" applyFont="1"/>
    <xf numFmtId="0" fontId="65" fillId="31" borderId="31" xfId="0" applyFont="1" applyFill="1" applyBorder="1" applyProtection="1">
      <protection locked="0"/>
    </xf>
    <xf numFmtId="0" fontId="65" fillId="31" borderId="13" xfId="0" applyFont="1" applyFill="1" applyBorder="1" applyProtection="1">
      <protection locked="0"/>
    </xf>
    <xf numFmtId="0" fontId="65" fillId="31" borderId="15" xfId="0" applyFont="1" applyFill="1" applyBorder="1" applyProtection="1">
      <protection locked="0"/>
    </xf>
    <xf numFmtId="0" fontId="2" fillId="0" borderId="0" xfId="169"/>
    <xf numFmtId="184" fontId="2" fillId="0" borderId="0" xfId="169" applyNumberFormat="1"/>
    <xf numFmtId="0" fontId="2" fillId="0" borderId="0" xfId="169" applyFont="1" applyFill="1" applyBorder="1" applyProtection="1"/>
    <xf numFmtId="0" fontId="2" fillId="0" borderId="28" xfId="169" applyFill="1" applyBorder="1" applyProtection="1"/>
    <xf numFmtId="10" fontId="2" fillId="61" borderId="0" xfId="0" applyNumberFormat="1" applyFont="1" applyFill="1" applyBorder="1" applyProtection="1"/>
    <xf numFmtId="0" fontId="2" fillId="61" borderId="0" xfId="0" applyFont="1" applyFill="1" applyBorder="1" applyAlignment="1">
      <alignment horizontal="right" vertical="center"/>
    </xf>
    <xf numFmtId="0" fontId="8" fillId="56" borderId="0" xfId="169" applyFont="1" applyFill="1" applyBorder="1" applyAlignment="1" applyProtection="1">
      <alignment horizontal="center"/>
    </xf>
    <xf numFmtId="10" fontId="65" fillId="58" borderId="33" xfId="0" applyNumberFormat="1" applyFont="1" applyFill="1" applyBorder="1" applyProtection="1"/>
    <xf numFmtId="194" fontId="65" fillId="54" borderId="49" xfId="114" applyNumberFormat="1" applyFont="1" applyFill="1" applyBorder="1" applyProtection="1">
      <alignment horizontal="right" vertical="center"/>
      <protection locked="0"/>
    </xf>
    <xf numFmtId="199" fontId="65" fillId="0" borderId="0" xfId="0" applyNumberFormat="1" applyFont="1" applyFill="1" applyBorder="1" applyAlignment="1">
      <alignment horizontal="right"/>
    </xf>
    <xf numFmtId="172" fontId="69" fillId="56" borderId="17" xfId="0" applyNumberFormat="1" applyFont="1" applyFill="1" applyBorder="1" applyAlignment="1" applyProtection="1">
      <alignment horizontal="right"/>
    </xf>
    <xf numFmtId="172" fontId="65" fillId="55" borderId="0" xfId="0" applyNumberFormat="1" applyFont="1" applyFill="1" applyProtection="1"/>
    <xf numFmtId="172" fontId="80" fillId="53" borderId="27" xfId="111" applyNumberFormat="1" applyFont="1" applyFill="1" applyBorder="1" applyAlignment="1">
      <alignment horizontal="left" vertical="center"/>
    </xf>
    <xf numFmtId="172" fontId="80" fillId="53" borderId="41" xfId="111" applyNumberFormat="1" applyFont="1" applyFill="1" applyBorder="1" applyAlignment="1">
      <alignment horizontal="left" vertical="center"/>
    </xf>
    <xf numFmtId="172" fontId="80" fillId="53" borderId="28" xfId="111" applyNumberFormat="1" applyFont="1" applyFill="1" applyBorder="1" applyAlignment="1">
      <alignment horizontal="left" vertical="center"/>
    </xf>
    <xf numFmtId="172" fontId="80" fillId="53" borderId="88" xfId="111" applyNumberFormat="1" applyFont="1" applyFill="1" applyBorder="1" applyAlignment="1">
      <alignment horizontal="left" vertical="center"/>
    </xf>
    <xf numFmtId="172" fontId="80" fillId="53" borderId="22" xfId="111" applyNumberFormat="1" applyFont="1" applyFill="1" applyBorder="1" applyAlignment="1">
      <alignment horizontal="left" vertical="center"/>
    </xf>
    <xf numFmtId="172" fontId="80" fillId="53" borderId="23" xfId="111" applyNumberFormat="1" applyFont="1" applyFill="1" applyBorder="1" applyAlignment="1">
      <alignment horizontal="left" vertical="center"/>
    </xf>
    <xf numFmtId="2" fontId="65" fillId="53" borderId="0" xfId="0" applyNumberFormat="1" applyFont="1" applyFill="1"/>
    <xf numFmtId="2" fontId="65" fillId="55" borderId="0" xfId="0" applyNumberFormat="1" applyFont="1" applyFill="1" applyProtection="1"/>
    <xf numFmtId="172" fontId="80" fillId="55" borderId="65" xfId="112" applyNumberFormat="1" applyFont="1" applyFill="1" applyBorder="1" applyProtection="1">
      <alignment horizontal="right" vertical="center"/>
    </xf>
    <xf numFmtId="172" fontId="65" fillId="54" borderId="31" xfId="0" applyNumberFormat="1" applyFont="1" applyFill="1" applyBorder="1" applyProtection="1">
      <protection locked="0"/>
    </xf>
    <xf numFmtId="165" fontId="65" fillId="56" borderId="25" xfId="111" applyFont="1" applyFill="1" applyBorder="1" applyProtection="1">
      <alignment horizontal="right" vertical="center"/>
      <protection locked="0"/>
    </xf>
    <xf numFmtId="10" fontId="65" fillId="58" borderId="34" xfId="0" applyNumberFormat="1" applyFont="1" applyFill="1" applyBorder="1" applyProtection="1"/>
    <xf numFmtId="184" fontId="65" fillId="58" borderId="34" xfId="0" applyNumberFormat="1" applyFont="1" applyFill="1" applyBorder="1" applyProtection="1"/>
    <xf numFmtId="179" fontId="65" fillId="58" borderId="35" xfId="0" applyNumberFormat="1" applyFont="1" applyFill="1" applyBorder="1" applyProtection="1"/>
    <xf numFmtId="9" fontId="65" fillId="58" borderId="34" xfId="0" applyNumberFormat="1" applyFont="1" applyFill="1" applyBorder="1" applyProtection="1"/>
    <xf numFmtId="10" fontId="69" fillId="58" borderId="35" xfId="0" applyNumberFormat="1" applyFont="1" applyFill="1" applyBorder="1" applyProtection="1"/>
    <xf numFmtId="184" fontId="111" fillId="38" borderId="100" xfId="169" applyNumberFormat="1" applyFont="1" applyFill="1" applyBorder="1" applyProtection="1">
      <protection locked="0"/>
    </xf>
    <xf numFmtId="184" fontId="111" fillId="38" borderId="0" xfId="169" applyNumberFormat="1" applyFont="1" applyFill="1" applyBorder="1" applyProtection="1">
      <protection locked="0"/>
    </xf>
    <xf numFmtId="184" fontId="111" fillId="38" borderId="0" xfId="174" applyNumberFormat="1" applyFont="1" applyFill="1" applyBorder="1" applyProtection="1">
      <protection locked="0"/>
    </xf>
    <xf numFmtId="184" fontId="111" fillId="38" borderId="101" xfId="174" applyNumberFormat="1" applyFont="1" applyFill="1" applyBorder="1" applyProtection="1">
      <protection locked="0"/>
    </xf>
    <xf numFmtId="184" fontId="111" fillId="38" borderId="0" xfId="174" applyNumberFormat="1" applyFont="1" applyFill="1" applyProtection="1">
      <protection locked="0"/>
    </xf>
    <xf numFmtId="184" fontId="111" fillId="38" borderId="0" xfId="169" applyNumberFormat="1" applyFont="1" applyFill="1" applyProtection="1">
      <protection locked="0"/>
    </xf>
    <xf numFmtId="184" fontId="2" fillId="38" borderId="101" xfId="174" applyNumberFormat="1" applyFont="1" applyFill="1" applyBorder="1" applyProtection="1">
      <protection locked="0"/>
    </xf>
    <xf numFmtId="184" fontId="2" fillId="38" borderId="0" xfId="174" applyNumberFormat="1" applyFont="1" applyFill="1" applyProtection="1">
      <protection locked="0"/>
    </xf>
    <xf numFmtId="184" fontId="2" fillId="38" borderId="0" xfId="169" applyNumberFormat="1" applyFont="1" applyFill="1" applyProtection="1">
      <protection locked="0"/>
    </xf>
    <xf numFmtId="191" fontId="2" fillId="38" borderId="101" xfId="174" applyNumberFormat="1" applyFont="1" applyFill="1" applyBorder="1" applyProtection="1">
      <protection locked="0"/>
    </xf>
    <xf numFmtId="191" fontId="2" fillId="38" borderId="0" xfId="174" applyNumberFormat="1" applyFont="1" applyFill="1" applyProtection="1">
      <protection locked="0"/>
    </xf>
    <xf numFmtId="191" fontId="2" fillId="38" borderId="0" xfId="169" applyNumberFormat="1" applyFont="1" applyFill="1" applyProtection="1">
      <protection locked="0"/>
    </xf>
    <xf numFmtId="171" fontId="2" fillId="0" borderId="0" xfId="0" applyNumberFormat="1" applyFont="1" applyFill="1" applyAlignment="1">
      <alignment horizontal="right" vertical="center"/>
    </xf>
    <xf numFmtId="179" fontId="8" fillId="47" borderId="17" xfId="175" applyNumberFormat="1" applyFont="1" applyFill="1" applyBorder="1" applyProtection="1"/>
    <xf numFmtId="179" fontId="8" fillId="47" borderId="105" xfId="175" applyNumberFormat="1" applyFont="1" applyFill="1" applyBorder="1" applyProtection="1"/>
    <xf numFmtId="179" fontId="8" fillId="47" borderId="0" xfId="174" applyNumberFormat="1" applyFont="1" applyFill="1" applyBorder="1" applyProtection="1"/>
    <xf numFmtId="179" fontId="8" fillId="47" borderId="101" xfId="174" applyNumberFormat="1" applyFont="1" applyFill="1" applyBorder="1" applyProtection="1"/>
    <xf numFmtId="0" fontId="2" fillId="0" borderId="0" xfId="0" applyFont="1" applyFill="1" applyProtection="1"/>
    <xf numFmtId="0" fontId="2" fillId="0" borderId="0" xfId="0" applyFont="1" applyFill="1" applyBorder="1" applyProtection="1"/>
    <xf numFmtId="0" fontId="41" fillId="0" borderId="0" xfId="169" applyFont="1" applyBorder="1" applyProtection="1"/>
    <xf numFmtId="0" fontId="114" fillId="0" borderId="0" xfId="169" applyFont="1" applyBorder="1" applyProtection="1"/>
    <xf numFmtId="0" fontId="114" fillId="0" borderId="0" xfId="169" applyFont="1" applyFill="1" applyBorder="1" applyProtection="1"/>
    <xf numFmtId="0" fontId="108" fillId="0" borderId="0" xfId="0" applyFont="1" applyFill="1" applyBorder="1" applyProtection="1"/>
    <xf numFmtId="0" fontId="108" fillId="0" borderId="0" xfId="0" applyFont="1" applyBorder="1" applyProtection="1"/>
    <xf numFmtId="0" fontId="41" fillId="0" borderId="0" xfId="0" applyFont="1" applyBorder="1" applyProtection="1"/>
    <xf numFmtId="0" fontId="114" fillId="0" borderId="0" xfId="0" applyFont="1" applyBorder="1" applyProtection="1"/>
    <xf numFmtId="0" fontId="114" fillId="0" borderId="0" xfId="0" applyFont="1" applyFill="1" applyBorder="1" applyProtection="1"/>
    <xf numFmtId="188" fontId="65" fillId="56" borderId="25" xfId="166" applyNumberFormat="1" applyFont="1" applyFill="1" applyBorder="1" applyAlignment="1" applyProtection="1">
      <alignment vertical="center"/>
    </xf>
    <xf numFmtId="188" fontId="65" fillId="54" borderId="25" xfId="101" applyNumberFormat="1" applyFont="1" applyFill="1" applyBorder="1" applyAlignment="1" applyProtection="1">
      <alignment horizontal="right" vertical="center"/>
      <protection locked="0"/>
    </xf>
    <xf numFmtId="188" fontId="65" fillId="54" borderId="26" xfId="101" applyNumberFormat="1" applyFont="1" applyFill="1" applyBorder="1" applyAlignment="1" applyProtection="1">
      <alignment horizontal="right" vertical="center"/>
      <protection locked="0"/>
    </xf>
    <xf numFmtId="188" fontId="65" fillId="54" borderId="24" xfId="101" applyNumberFormat="1" applyFont="1" applyFill="1" applyBorder="1" applyAlignment="1" applyProtection="1">
      <alignment horizontal="right" vertical="center"/>
      <protection locked="0"/>
    </xf>
    <xf numFmtId="165" fontId="65" fillId="56" borderId="24" xfId="111" applyFont="1" applyFill="1" applyBorder="1" applyProtection="1">
      <alignment horizontal="right" vertical="center"/>
    </xf>
    <xf numFmtId="187" fontId="65" fillId="56" borderId="24" xfId="166" applyNumberFormat="1" applyFont="1" applyFill="1" applyBorder="1" applyAlignment="1" applyProtection="1">
      <alignment vertical="center"/>
    </xf>
    <xf numFmtId="10" fontId="69" fillId="53" borderId="25" xfId="209" applyNumberFormat="1" applyFont="1" applyFill="1" applyBorder="1" applyAlignment="1" applyProtection="1">
      <alignment horizontal="right" vertical="top" wrapText="1"/>
    </xf>
    <xf numFmtId="10" fontId="69" fillId="53" borderId="26" xfId="209" applyNumberFormat="1" applyFont="1" applyFill="1" applyBorder="1" applyAlignment="1" applyProtection="1">
      <alignment horizontal="right" vertical="top" wrapText="1"/>
    </xf>
    <xf numFmtId="10" fontId="69" fillId="53" borderId="24" xfId="209" applyNumberFormat="1" applyFont="1" applyFill="1" applyBorder="1" applyAlignment="1" applyProtection="1">
      <alignment horizontal="right" vertical="top" wrapText="1"/>
    </xf>
    <xf numFmtId="10" fontId="54" fillId="53" borderId="24" xfId="209" applyNumberFormat="1" applyFont="1" applyFill="1" applyBorder="1" applyProtection="1"/>
    <xf numFmtId="10" fontId="54" fillId="53" borderId="25" xfId="209" applyNumberFormat="1" applyFont="1" applyFill="1" applyBorder="1" applyProtection="1"/>
    <xf numFmtId="10" fontId="54" fillId="53" borderId="26" xfId="209" applyNumberFormat="1" applyFont="1" applyFill="1" applyBorder="1" applyProtection="1"/>
    <xf numFmtId="9" fontId="54" fillId="53" borderId="25" xfId="209" applyNumberFormat="1" applyFont="1" applyFill="1" applyBorder="1" applyProtection="1"/>
    <xf numFmtId="9" fontId="54" fillId="53" borderId="26" xfId="209" applyNumberFormat="1" applyFont="1" applyFill="1" applyBorder="1" applyProtection="1"/>
    <xf numFmtId="9" fontId="54" fillId="53" borderId="24" xfId="209" applyNumberFormat="1" applyFont="1" applyFill="1" applyBorder="1" applyProtection="1"/>
    <xf numFmtId="9" fontId="54" fillId="54" borderId="24" xfId="209" applyNumberFormat="1" applyFont="1" applyFill="1" applyBorder="1" applyProtection="1"/>
    <xf numFmtId="10" fontId="69" fillId="54" borderId="24" xfId="209" quotePrefix="1" applyNumberFormat="1" applyFont="1" applyFill="1" applyBorder="1" applyProtection="1"/>
    <xf numFmtId="10" fontId="69" fillId="56" borderId="24" xfId="209" applyNumberFormat="1" applyFont="1" applyFill="1" applyBorder="1" applyProtection="1"/>
    <xf numFmtId="10" fontId="69" fillId="56" borderId="25" xfId="209" applyNumberFormat="1" applyFont="1" applyFill="1" applyBorder="1" applyProtection="1"/>
    <xf numFmtId="10" fontId="69" fillId="56" borderId="26" xfId="209" applyNumberFormat="1" applyFont="1" applyFill="1" applyBorder="1" applyProtection="1"/>
    <xf numFmtId="173" fontId="65" fillId="0" borderId="0" xfId="101" applyNumberFormat="1" applyFont="1" applyFill="1" applyBorder="1" applyAlignment="1" applyProtection="1">
      <alignment horizontal="right" vertical="center"/>
    </xf>
    <xf numFmtId="0" fontId="8" fillId="31" borderId="8" xfId="174" applyFont="1" applyFill="1" applyBorder="1" applyAlignment="1" applyProtection="1">
      <alignment horizontal="center"/>
    </xf>
    <xf numFmtId="165" fontId="65" fillId="56" borderId="26" xfId="111" applyFont="1" applyFill="1" applyBorder="1" applyProtection="1">
      <alignment horizontal="right" vertical="center"/>
    </xf>
    <xf numFmtId="188" fontId="65" fillId="56" borderId="25" xfId="101" applyNumberFormat="1" applyFont="1" applyFill="1" applyBorder="1" applyAlignment="1" applyProtection="1">
      <alignment horizontal="right" vertical="center"/>
    </xf>
    <xf numFmtId="10" fontId="54" fillId="54" borderId="24" xfId="209" applyNumberFormat="1" applyFont="1" applyFill="1" applyBorder="1" applyProtection="1">
      <protection locked="0"/>
    </xf>
    <xf numFmtId="172" fontId="80" fillId="53" borderId="65" xfId="112" applyNumberFormat="1" applyFont="1" applyFill="1" applyBorder="1" applyProtection="1">
      <alignment horizontal="right" vertical="center"/>
    </xf>
    <xf numFmtId="196" fontId="80" fillId="53" borderId="68" xfId="112" applyNumberFormat="1" applyFont="1" applyFill="1" applyBorder="1" applyProtection="1">
      <alignment horizontal="right" vertical="center"/>
    </xf>
    <xf numFmtId="172" fontId="65" fillId="56" borderId="27" xfId="111" applyNumberFormat="1" applyFont="1" applyFill="1" applyBorder="1" applyProtection="1">
      <alignment horizontal="right" vertical="center"/>
    </xf>
    <xf numFmtId="172" fontId="65" fillId="56" borderId="30" xfId="111" applyNumberFormat="1" applyFont="1" applyFill="1" applyBorder="1" applyProtection="1">
      <alignment horizontal="right" vertical="center"/>
    </xf>
    <xf numFmtId="172" fontId="65" fillId="56" borderId="31" xfId="111" applyNumberFormat="1" applyFont="1" applyFill="1" applyBorder="1" applyProtection="1">
      <alignment horizontal="right" vertical="center"/>
    </xf>
    <xf numFmtId="172" fontId="65" fillId="55" borderId="0" xfId="111" applyNumberFormat="1" applyFont="1" applyFill="1" applyBorder="1">
      <alignment horizontal="right" vertical="center"/>
    </xf>
    <xf numFmtId="172" fontId="55" fillId="45" borderId="0" xfId="111" applyNumberFormat="1" applyFont="1" applyFill="1" applyBorder="1" applyAlignment="1">
      <alignment horizontal="left" vertical="center"/>
    </xf>
    <xf numFmtId="172" fontId="55" fillId="45" borderId="0" xfId="111" applyNumberFormat="1" applyFont="1" applyFill="1" applyBorder="1">
      <alignment horizontal="right" vertical="center"/>
    </xf>
    <xf numFmtId="172" fontId="65" fillId="0" borderId="14" xfId="0" applyNumberFormat="1" applyFont="1" applyBorder="1"/>
    <xf numFmtId="172" fontId="65" fillId="55" borderId="0" xfId="0" applyNumberFormat="1" applyFont="1" applyFill="1"/>
    <xf numFmtId="172" fontId="69" fillId="56" borderId="137" xfId="0" applyNumberFormat="1" applyFont="1" applyFill="1" applyBorder="1" applyAlignment="1" applyProtection="1">
      <alignment horizontal="right"/>
    </xf>
    <xf numFmtId="172" fontId="65" fillId="56" borderId="34" xfId="0" applyNumberFormat="1" applyFont="1" applyFill="1" applyBorder="1" applyAlignment="1" applyProtection="1">
      <alignment horizontal="right"/>
    </xf>
    <xf numFmtId="172" fontId="88" fillId="56" borderId="34" xfId="69" applyNumberFormat="1" applyFont="1" applyFill="1" applyBorder="1" applyAlignment="1" applyProtection="1">
      <alignment horizontal="right"/>
    </xf>
    <xf numFmtId="172" fontId="69" fillId="56" borderId="34" xfId="0" applyNumberFormat="1" applyFont="1" applyFill="1" applyBorder="1" applyAlignment="1" applyProtection="1">
      <alignment horizontal="right"/>
    </xf>
    <xf numFmtId="172" fontId="88" fillId="56" borderId="35" xfId="69" applyNumberFormat="1" applyFont="1" applyFill="1" applyBorder="1" applyAlignment="1" applyProtection="1">
      <alignment horizontal="right"/>
    </xf>
    <xf numFmtId="172" fontId="69" fillId="0" borderId="82" xfId="0" applyNumberFormat="1" applyFont="1" applyFill="1" applyBorder="1" applyProtection="1"/>
    <xf numFmtId="172" fontId="88" fillId="56" borderId="137" xfId="69" applyNumberFormat="1" applyFont="1" applyFill="1" applyBorder="1" applyAlignment="1" applyProtection="1">
      <alignment horizontal="right"/>
    </xf>
    <xf numFmtId="43" fontId="88" fillId="29" borderId="34" xfId="69" applyFont="1" applyFill="1" applyBorder="1" applyAlignment="1" applyProtection="1">
      <alignment horizontal="right"/>
    </xf>
    <xf numFmtId="173" fontId="69" fillId="56" borderId="34" xfId="101" applyNumberFormat="1" applyFont="1" applyFill="1" applyBorder="1" applyAlignment="1" applyProtection="1">
      <alignment horizontal="right"/>
    </xf>
    <xf numFmtId="173" fontId="65" fillId="56" borderId="34" xfId="101" applyNumberFormat="1" applyFont="1" applyFill="1" applyBorder="1" applyAlignment="1" applyProtection="1">
      <alignment horizontal="right"/>
    </xf>
    <xf numFmtId="43" fontId="88" fillId="29" borderId="94" xfId="69" applyFont="1" applyFill="1" applyBorder="1" applyAlignment="1" applyProtection="1">
      <alignment horizontal="right"/>
    </xf>
    <xf numFmtId="0" fontId="69" fillId="57" borderId="54" xfId="0" applyFont="1" applyFill="1" applyBorder="1"/>
    <xf numFmtId="0" fontId="65" fillId="28" borderId="55" xfId="0" applyFont="1" applyFill="1" applyBorder="1"/>
    <xf numFmtId="0" fontId="69" fillId="57" borderId="54" xfId="169" applyFont="1" applyFill="1" applyBorder="1" applyAlignment="1">
      <alignment horizontal="right"/>
    </xf>
    <xf numFmtId="0" fontId="69" fillId="57" borderId="55" xfId="169" applyFont="1" applyFill="1" applyBorder="1" applyAlignment="1">
      <alignment horizontal="right"/>
    </xf>
    <xf numFmtId="0" fontId="69" fillId="57" borderId="56" xfId="169" applyFont="1" applyFill="1" applyBorder="1" applyAlignment="1">
      <alignment horizontal="right"/>
    </xf>
    <xf numFmtId="0" fontId="69" fillId="57" borderId="90" xfId="169" applyFont="1" applyFill="1" applyBorder="1" applyAlignment="1">
      <alignment horizontal="right"/>
    </xf>
    <xf numFmtId="0" fontId="65" fillId="44" borderId="16" xfId="0" applyFont="1" applyFill="1" applyBorder="1"/>
    <xf numFmtId="0" fontId="65" fillId="44" borderId="17" xfId="0" applyFont="1" applyFill="1" applyBorder="1"/>
    <xf numFmtId="173" fontId="65" fillId="62" borderId="16" xfId="101" applyNumberFormat="1" applyFont="1" applyFill="1" applyBorder="1" applyAlignment="1" applyProtection="1">
      <alignment horizontal="right"/>
    </xf>
    <xf numFmtId="173" fontId="65" fillId="44" borderId="16" xfId="101" applyNumberFormat="1" applyFont="1" applyFill="1" applyBorder="1" applyAlignment="1" applyProtection="1">
      <alignment horizontal="right"/>
    </xf>
    <xf numFmtId="0" fontId="65" fillId="40" borderId="19" xfId="0" applyFont="1" applyFill="1" applyBorder="1"/>
    <xf numFmtId="0" fontId="65" fillId="40" borderId="0" xfId="0" applyFont="1" applyFill="1"/>
    <xf numFmtId="173" fontId="65" fillId="60" borderId="19" xfId="101" applyNumberFormat="1" applyFont="1" applyFill="1" applyBorder="1" applyAlignment="1" applyProtection="1">
      <alignment horizontal="right"/>
    </xf>
    <xf numFmtId="0" fontId="65" fillId="0" borderId="21" xfId="0" applyFont="1" applyBorder="1"/>
    <xf numFmtId="173" fontId="65" fillId="0" borderId="21" xfId="101" applyNumberFormat="1" applyFont="1" applyFill="1" applyBorder="1" applyAlignment="1" applyProtection="1">
      <alignment horizontal="right"/>
    </xf>
    <xf numFmtId="173" fontId="65" fillId="62" borderId="17" xfId="101" applyNumberFormat="1" applyFont="1" applyFill="1" applyBorder="1" applyAlignment="1" applyProtection="1">
      <alignment horizontal="right"/>
    </xf>
    <xf numFmtId="173" fontId="65" fillId="40" borderId="19" xfId="101" applyNumberFormat="1" applyFont="1" applyFill="1" applyBorder="1" applyAlignment="1" applyProtection="1">
      <alignment horizontal="right"/>
    </xf>
    <xf numFmtId="173" fontId="65" fillId="0" borderId="21" xfId="101" applyNumberFormat="1" applyFont="1" applyBorder="1" applyAlignment="1" applyProtection="1">
      <alignment horizontal="right"/>
    </xf>
    <xf numFmtId="0" fontId="69" fillId="0" borderId="0" xfId="74" applyFont="1" applyFill="1">
      <alignment vertical="center"/>
    </xf>
    <xf numFmtId="0" fontId="69" fillId="0" borderId="0" xfId="0" applyFont="1" applyAlignment="1">
      <alignment horizontal="center"/>
    </xf>
    <xf numFmtId="0" fontId="69" fillId="28" borderId="51" xfId="78" applyFont="1" applyFill="1" applyBorder="1">
      <alignment vertical="center"/>
    </xf>
    <xf numFmtId="0" fontId="69" fillId="28" borderId="54" xfId="78" applyFont="1" applyFill="1" applyBorder="1">
      <alignment vertical="center"/>
    </xf>
    <xf numFmtId="0" fontId="69" fillId="28" borderId="56" xfId="78" applyFont="1" applyFill="1" applyBorder="1">
      <alignment vertical="center"/>
    </xf>
    <xf numFmtId="0" fontId="69" fillId="57" borderId="89" xfId="169" applyFont="1" applyFill="1" applyBorder="1" applyAlignment="1">
      <alignment horizontal="right"/>
    </xf>
    <xf numFmtId="0" fontId="69" fillId="0" borderId="0" xfId="169" applyFont="1" applyAlignment="1">
      <alignment horizontal="right"/>
    </xf>
    <xf numFmtId="0" fontId="69" fillId="57" borderId="51" xfId="78" applyFont="1" applyFill="1" applyBorder="1">
      <alignment vertical="center"/>
    </xf>
    <xf numFmtId="0" fontId="69" fillId="57" borderId="54" xfId="78" applyFont="1" applyFill="1" applyBorder="1">
      <alignment vertical="center"/>
    </xf>
    <xf numFmtId="0" fontId="69" fillId="57" borderId="56" xfId="78" applyFont="1" applyFill="1" applyBorder="1">
      <alignment vertical="center"/>
    </xf>
    <xf numFmtId="0" fontId="65" fillId="62" borderId="38" xfId="78" applyFont="1" applyFill="1" applyBorder="1">
      <alignment vertical="center"/>
    </xf>
    <xf numFmtId="0" fontId="65" fillId="44" borderId="16" xfId="182" applyFont="1" applyFill="1" applyBorder="1">
      <alignment vertical="center"/>
      <protection locked="0"/>
    </xf>
    <xf numFmtId="173" fontId="2" fillId="62" borderId="47" xfId="101" applyNumberFormat="1" applyFont="1" applyFill="1" applyBorder="1" applyAlignment="1" applyProtection="1">
      <alignment horizontal="right"/>
    </xf>
    <xf numFmtId="173" fontId="2" fillId="44" borderId="138" xfId="101" applyNumberFormat="1" applyFont="1" applyFill="1" applyBorder="1" applyAlignment="1" applyProtection="1">
      <alignment horizontal="right"/>
    </xf>
    <xf numFmtId="173" fontId="2" fillId="44" borderId="16" xfId="101" applyNumberFormat="1" applyFont="1" applyFill="1" applyBorder="1" applyAlignment="1" applyProtection="1">
      <alignment horizontal="right"/>
    </xf>
    <xf numFmtId="0" fontId="65" fillId="62" borderId="39" xfId="78" applyFont="1" applyFill="1" applyBorder="1">
      <alignment vertical="center"/>
    </xf>
    <xf numFmtId="0" fontId="65" fillId="62" borderId="19" xfId="182" applyFont="1" applyFill="1" applyBorder="1">
      <alignment vertical="center"/>
      <protection locked="0"/>
    </xf>
    <xf numFmtId="0" fontId="65" fillId="60" borderId="39" xfId="78" applyFont="1" applyFill="1" applyBorder="1">
      <alignment vertical="center"/>
    </xf>
    <xf numFmtId="172" fontId="65" fillId="60" borderId="0" xfId="111" applyNumberFormat="1" applyFont="1" applyFill="1" applyBorder="1" applyAlignment="1">
      <alignment horizontal="left" vertical="center"/>
    </xf>
    <xf numFmtId="172" fontId="65" fillId="60" borderId="20" xfId="111" applyNumberFormat="1" applyFont="1" applyFill="1" applyBorder="1" applyAlignment="1">
      <alignment horizontal="left" vertical="center"/>
    </xf>
    <xf numFmtId="173" fontId="2" fillId="60" borderId="30" xfId="101" applyNumberFormat="1" applyFont="1" applyFill="1" applyBorder="1" applyAlignment="1" applyProtection="1">
      <alignment horizontal="right"/>
    </xf>
    <xf numFmtId="173" fontId="2" fillId="60" borderId="139" xfId="101" applyNumberFormat="1" applyFont="1" applyFill="1" applyBorder="1" applyAlignment="1" applyProtection="1">
      <alignment horizontal="right"/>
    </xf>
    <xf numFmtId="173" fontId="2" fillId="60" borderId="19" xfId="101" applyNumberFormat="1" applyFont="1" applyFill="1" applyBorder="1" applyAlignment="1" applyProtection="1">
      <alignment horizontal="right"/>
    </xf>
    <xf numFmtId="0" fontId="65" fillId="0" borderId="39" xfId="78" applyFont="1" applyFill="1" applyBorder="1">
      <alignment vertical="center"/>
    </xf>
    <xf numFmtId="172" fontId="65" fillId="0" borderId="0" xfId="111" applyNumberFormat="1" applyFont="1" applyFill="1" applyBorder="1" applyAlignment="1">
      <alignment horizontal="left" vertical="center"/>
    </xf>
    <xf numFmtId="172" fontId="65" fillId="0" borderId="20" xfId="111" applyNumberFormat="1" applyFont="1" applyFill="1" applyBorder="1" applyAlignment="1">
      <alignment horizontal="left" vertical="center"/>
    </xf>
    <xf numFmtId="173" fontId="2" fillId="0" borderId="30" xfId="101" applyNumberFormat="1" applyFont="1" applyFill="1" applyBorder="1" applyAlignment="1" applyProtection="1">
      <alignment horizontal="right"/>
    </xf>
    <xf numFmtId="173" fontId="2" fillId="0" borderId="139" xfId="101" applyNumberFormat="1" applyFont="1" applyFill="1" applyBorder="1" applyAlignment="1" applyProtection="1">
      <alignment horizontal="right"/>
    </xf>
    <xf numFmtId="173" fontId="2" fillId="0" borderId="19" xfId="101" applyNumberFormat="1" applyFont="1" applyFill="1" applyBorder="1" applyAlignment="1" applyProtection="1">
      <alignment horizontal="right"/>
    </xf>
    <xf numFmtId="0" fontId="65" fillId="62" borderId="121" xfId="78" applyFont="1" applyFill="1" applyBorder="1">
      <alignment vertical="center"/>
    </xf>
    <xf numFmtId="0" fontId="65" fillId="62" borderId="122" xfId="182" applyFont="1" applyFill="1" applyBorder="1">
      <alignment vertical="center"/>
      <protection locked="0"/>
    </xf>
    <xf numFmtId="173" fontId="2" fillId="62" borderId="27" xfId="101" applyNumberFormat="1" applyFont="1" applyFill="1" applyBorder="1" applyAlignment="1" applyProtection="1">
      <alignment horizontal="right"/>
    </xf>
    <xf numFmtId="173" fontId="2" fillId="62" borderId="140" xfId="101" applyNumberFormat="1" applyFont="1" applyFill="1" applyBorder="1" applyAlignment="1" applyProtection="1">
      <alignment horizontal="right"/>
    </xf>
    <xf numFmtId="173" fontId="2" fillId="62" borderId="122" xfId="101" applyNumberFormat="1" applyFont="1" applyFill="1" applyBorder="1" applyAlignment="1" applyProtection="1">
      <alignment horizontal="right"/>
    </xf>
    <xf numFmtId="173" fontId="2" fillId="44" borderId="140" xfId="101" applyNumberFormat="1" applyFont="1" applyFill="1" applyBorder="1" applyAlignment="1" applyProtection="1">
      <alignment horizontal="right"/>
    </xf>
    <xf numFmtId="173" fontId="2" fillId="44" borderId="122" xfId="101" applyNumberFormat="1" applyFont="1" applyFill="1" applyBorder="1" applyAlignment="1" applyProtection="1">
      <alignment horizontal="right"/>
    </xf>
    <xf numFmtId="0" fontId="65" fillId="0" borderId="123" xfId="78" applyFont="1" applyFill="1" applyBorder="1">
      <alignment vertical="center"/>
    </xf>
    <xf numFmtId="172" fontId="65" fillId="0" borderId="13" xfId="111" applyNumberFormat="1" applyFont="1" applyFill="1" applyBorder="1" applyAlignment="1">
      <alignment horizontal="left" vertical="center"/>
    </xf>
    <xf numFmtId="172" fontId="65" fillId="0" borderId="46" xfId="111" applyNumberFormat="1" applyFont="1" applyFill="1" applyBorder="1" applyAlignment="1">
      <alignment horizontal="left" vertical="center"/>
    </xf>
    <xf numFmtId="173" fontId="2" fillId="0" borderId="31" xfId="101" applyNumberFormat="1" applyFont="1" applyFill="1" applyBorder="1" applyAlignment="1" applyProtection="1">
      <alignment horizontal="right"/>
    </xf>
    <xf numFmtId="173" fontId="2" fillId="0" borderId="141" xfId="101" applyNumberFormat="1" applyFont="1" applyFill="1" applyBorder="1" applyAlignment="1" applyProtection="1">
      <alignment horizontal="right"/>
    </xf>
    <xf numFmtId="173" fontId="2" fillId="0" borderId="73" xfId="101" applyNumberFormat="1" applyFont="1" applyFill="1" applyBorder="1" applyAlignment="1" applyProtection="1">
      <alignment horizontal="right"/>
    </xf>
    <xf numFmtId="173" fontId="2" fillId="62" borderId="19" xfId="101" applyNumberFormat="1" applyFont="1" applyFill="1" applyBorder="1" applyAlignment="1" applyProtection="1">
      <alignment horizontal="right"/>
    </xf>
    <xf numFmtId="173" fontId="2" fillId="44" borderId="0" xfId="101" applyNumberFormat="1" applyFont="1" applyFill="1" applyBorder="1" applyAlignment="1" applyProtection="1">
      <alignment horizontal="right"/>
    </xf>
    <xf numFmtId="173" fontId="2" fillId="44" borderId="139" xfId="101" applyNumberFormat="1" applyFont="1" applyFill="1" applyBorder="1" applyAlignment="1" applyProtection="1">
      <alignment horizontal="right"/>
    </xf>
    <xf numFmtId="173" fontId="2" fillId="44" borderId="19" xfId="101" applyNumberFormat="1" applyFont="1" applyFill="1" applyBorder="1" applyAlignment="1" applyProtection="1">
      <alignment horizontal="right"/>
    </xf>
    <xf numFmtId="173" fontId="2" fillId="44" borderId="20" xfId="101" applyNumberFormat="1" applyFont="1" applyFill="1" applyBorder="1" applyAlignment="1" applyProtection="1">
      <alignment horizontal="right"/>
    </xf>
    <xf numFmtId="173" fontId="2" fillId="62" borderId="30" xfId="101" applyNumberFormat="1" applyFont="1" applyFill="1" applyBorder="1" applyAlignment="1" applyProtection="1">
      <alignment horizontal="right"/>
    </xf>
    <xf numFmtId="0" fontId="65" fillId="0" borderId="40" xfId="78" applyFont="1" applyFill="1" applyBorder="1">
      <alignment vertical="center"/>
    </xf>
    <xf numFmtId="172" fontId="65" fillId="0" borderId="22" xfId="111" applyNumberFormat="1" applyFont="1" applyFill="1" applyBorder="1" applyAlignment="1">
      <alignment horizontal="left" vertical="center"/>
    </xf>
    <xf numFmtId="172" fontId="65" fillId="0" borderId="23" xfId="111" applyNumberFormat="1" applyFont="1" applyFill="1" applyBorder="1" applyAlignment="1">
      <alignment horizontal="left" vertical="center"/>
    </xf>
    <xf numFmtId="173" fontId="2" fillId="0" borderId="41" xfId="101" applyNumberFormat="1" applyFont="1" applyFill="1" applyBorder="1" applyAlignment="1" applyProtection="1">
      <alignment horizontal="right"/>
    </xf>
    <xf numFmtId="173" fontId="2" fillId="0" borderId="142" xfId="101" applyNumberFormat="1" applyFont="1" applyFill="1" applyBorder="1" applyAlignment="1" applyProtection="1">
      <alignment horizontal="right"/>
    </xf>
    <xf numFmtId="173" fontId="2" fillId="0" borderId="21" xfId="101" applyNumberFormat="1" applyFont="1" applyFill="1" applyBorder="1" applyAlignment="1" applyProtection="1">
      <alignment horizontal="right"/>
    </xf>
    <xf numFmtId="10" fontId="54" fillId="45" borderId="0" xfId="101" applyNumberFormat="1" applyFont="1" applyFill="1" applyBorder="1" applyProtection="1"/>
    <xf numFmtId="185" fontId="65" fillId="0" borderId="0" xfId="0" applyNumberFormat="1" applyFont="1" applyBorder="1" applyProtection="1"/>
    <xf numFmtId="10" fontId="65" fillId="0" borderId="0" xfId="101" applyNumberFormat="1" applyFont="1" applyBorder="1" applyProtection="1"/>
    <xf numFmtId="184" fontId="110" fillId="61" borderId="100" xfId="169" applyNumberFormat="1" applyFont="1" applyFill="1" applyBorder="1" applyProtection="1">
      <protection locked="0"/>
    </xf>
    <xf numFmtId="184" fontId="110" fillId="61" borderId="0" xfId="174" applyNumberFormat="1" applyFont="1" applyFill="1" applyBorder="1" applyProtection="1">
      <protection locked="0"/>
    </xf>
    <xf numFmtId="184" fontId="110" fillId="61" borderId="101" xfId="174" applyNumberFormat="1" applyFont="1" applyFill="1" applyBorder="1" applyProtection="1">
      <protection locked="0"/>
    </xf>
    <xf numFmtId="184" fontId="110" fillId="61" borderId="0" xfId="174" applyNumberFormat="1" applyFont="1" applyFill="1" applyProtection="1">
      <protection locked="0"/>
    </xf>
    <xf numFmtId="184" fontId="110" fillId="61" borderId="0" xfId="169" applyNumberFormat="1" applyFont="1" applyFill="1" applyProtection="1">
      <protection locked="0"/>
    </xf>
    <xf numFmtId="0" fontId="65" fillId="54" borderId="77" xfId="171" applyFont="1" applyFill="1" applyBorder="1" applyProtection="1">
      <protection locked="0"/>
    </xf>
    <xf numFmtId="0" fontId="65" fillId="54" borderId="79" xfId="171" applyFont="1" applyFill="1" applyBorder="1" applyProtection="1">
      <protection locked="0"/>
    </xf>
    <xf numFmtId="0" fontId="65" fillId="54" borderId="45" xfId="171" applyFont="1" applyFill="1" applyBorder="1" applyProtection="1">
      <protection locked="0"/>
    </xf>
    <xf numFmtId="0" fontId="65" fillId="54" borderId="80" xfId="171" applyFont="1" applyFill="1" applyBorder="1" applyProtection="1">
      <protection locked="0"/>
    </xf>
    <xf numFmtId="0" fontId="65" fillId="31" borderId="25" xfId="171" applyFont="1" applyFill="1" applyBorder="1" applyAlignment="1" applyProtection="1">
      <alignment horizontal="center"/>
      <protection locked="0"/>
    </xf>
    <xf numFmtId="0" fontId="65" fillId="31" borderId="32" xfId="171" applyFont="1" applyFill="1" applyBorder="1" applyAlignment="1" applyProtection="1">
      <alignment horizontal="center"/>
      <protection locked="0"/>
    </xf>
    <xf numFmtId="0" fontId="65" fillId="54" borderId="80" xfId="171" applyFont="1" applyFill="1" applyBorder="1" applyAlignment="1" applyProtection="1">
      <alignment horizontal="center"/>
      <protection locked="0"/>
    </xf>
    <xf numFmtId="172" fontId="65" fillId="54" borderId="77" xfId="171" applyNumberFormat="1" applyFont="1" applyFill="1" applyBorder="1" applyProtection="1">
      <protection locked="0"/>
    </xf>
    <xf numFmtId="172" fontId="65" fillId="54" borderId="25" xfId="171" applyNumberFormat="1" applyFont="1" applyFill="1" applyBorder="1" applyProtection="1">
      <protection locked="0"/>
    </xf>
    <xf numFmtId="172" fontId="65" fillId="54" borderId="53" xfId="171" applyNumberFormat="1" applyFont="1" applyFill="1" applyBorder="1" applyProtection="1">
      <protection locked="0"/>
    </xf>
    <xf numFmtId="172" fontId="65" fillId="54" borderId="79" xfId="171" applyNumberFormat="1" applyFont="1" applyFill="1" applyBorder="1" applyProtection="1">
      <protection locked="0"/>
    </xf>
    <xf numFmtId="172" fontId="65" fillId="54" borderId="32" xfId="171" applyNumberFormat="1" applyFont="1" applyFill="1" applyBorder="1" applyProtection="1">
      <protection locked="0"/>
    </xf>
    <xf numFmtId="172" fontId="65" fillId="54" borderId="44" xfId="171" applyNumberFormat="1" applyFont="1" applyFill="1" applyBorder="1" applyProtection="1">
      <protection locked="0"/>
    </xf>
    <xf numFmtId="172" fontId="65" fillId="31" borderId="25" xfId="171" applyNumberFormat="1" applyFont="1" applyFill="1" applyBorder="1" applyProtection="1">
      <protection locked="0"/>
    </xf>
    <xf numFmtId="172" fontId="65" fillId="31" borderId="53" xfId="171" applyNumberFormat="1" applyFont="1" applyFill="1" applyBorder="1" applyProtection="1">
      <protection locked="0"/>
    </xf>
    <xf numFmtId="172" fontId="65" fillId="31" borderId="77" xfId="171" applyNumberFormat="1" applyFont="1" applyFill="1" applyBorder="1" applyProtection="1">
      <protection locked="0"/>
    </xf>
    <xf numFmtId="172" fontId="65" fillId="54" borderId="71" xfId="171" applyNumberFormat="1" applyFont="1" applyFill="1" applyBorder="1" applyProtection="1">
      <protection locked="0"/>
    </xf>
    <xf numFmtId="172" fontId="65" fillId="54" borderId="49" xfId="171" applyNumberFormat="1" applyFont="1" applyFill="1" applyBorder="1" applyProtection="1">
      <protection locked="0"/>
    </xf>
    <xf numFmtId="172" fontId="65" fillId="54" borderId="37" xfId="171" applyNumberFormat="1" applyFont="1" applyFill="1" applyBorder="1" applyProtection="1">
      <protection locked="0"/>
    </xf>
    <xf numFmtId="0" fontId="65" fillId="54" borderId="77" xfId="171" applyFont="1" applyFill="1" applyBorder="1" applyAlignment="1" applyProtection="1">
      <alignment horizontal="left"/>
      <protection locked="0"/>
    </xf>
    <xf numFmtId="0" fontId="65" fillId="54" borderId="53" xfId="171" applyFont="1" applyFill="1" applyBorder="1" applyAlignment="1" applyProtection="1">
      <alignment horizontal="left"/>
      <protection locked="0"/>
    </xf>
    <xf numFmtId="172" fontId="65" fillId="31" borderId="33" xfId="111" applyNumberFormat="1" applyFont="1" applyFill="1" applyBorder="1" applyProtection="1">
      <alignment horizontal="right" vertical="center"/>
    </xf>
    <xf numFmtId="172" fontId="65" fillId="31" borderId="34" xfId="111" applyNumberFormat="1" applyFont="1" applyFill="1" applyBorder="1" applyProtection="1">
      <alignment horizontal="right" vertical="center"/>
    </xf>
    <xf numFmtId="172" fontId="65" fillId="31" borderId="35" xfId="111" applyNumberFormat="1" applyFont="1" applyFill="1" applyBorder="1" applyProtection="1">
      <alignment horizontal="right" vertical="center"/>
    </xf>
    <xf numFmtId="0" fontId="56" fillId="56" borderId="0" xfId="0" applyFont="1" applyFill="1" applyAlignment="1" applyProtection="1">
      <alignment horizontal="right"/>
      <protection hidden="1"/>
    </xf>
    <xf numFmtId="0" fontId="56" fillId="29" borderId="0" xfId="0" applyFont="1" applyFill="1" applyAlignment="1" applyProtection="1">
      <alignment horizontal="right"/>
      <protection hidden="1"/>
    </xf>
    <xf numFmtId="0" fontId="45" fillId="29" borderId="0" xfId="131" quotePrefix="1" applyFont="1" applyFill="1" applyAlignment="1">
      <alignment horizontal="left" vertical="center"/>
      <protection locked="0"/>
    </xf>
    <xf numFmtId="0" fontId="58" fillId="0" borderId="0" xfId="82" applyFont="1" applyProtection="1">
      <alignment horizontal="left" vertical="center"/>
    </xf>
    <xf numFmtId="0" fontId="55" fillId="0" borderId="19" xfId="140" applyFont="1" applyBorder="1" applyAlignment="1">
      <alignment horizontal="center" vertical="center" textRotation="90"/>
    </xf>
    <xf numFmtId="0" fontId="55" fillId="0" borderId="0" xfId="140" applyFont="1" applyAlignment="1">
      <alignment horizontal="center" vertical="center"/>
    </xf>
    <xf numFmtId="0" fontId="65" fillId="31" borderId="8" xfId="0" applyFont="1" applyFill="1" applyBorder="1" applyAlignment="1" applyProtection="1">
      <alignment horizontal="left"/>
      <protection locked="0"/>
    </xf>
    <xf numFmtId="0" fontId="65" fillId="31" borderId="24" xfId="0" applyFont="1" applyFill="1" applyBorder="1" applyAlignment="1" applyProtection="1">
      <alignment horizontal="left"/>
      <protection locked="0"/>
    </xf>
    <xf numFmtId="0" fontId="65" fillId="31" borderId="25" xfId="0" applyFont="1" applyFill="1" applyBorder="1" applyAlignment="1" applyProtection="1">
      <alignment horizontal="left"/>
      <protection locked="0"/>
    </xf>
    <xf numFmtId="0" fontId="65" fillId="31" borderId="26" xfId="0" applyFont="1" applyFill="1" applyBorder="1" applyAlignment="1" applyProtection="1">
      <alignment horizontal="left"/>
      <protection locked="0"/>
    </xf>
    <xf numFmtId="0" fontId="65" fillId="54" borderId="77" xfId="171" applyFont="1" applyFill="1" applyBorder="1" applyAlignment="1" applyProtection="1">
      <alignment horizontal="left"/>
      <protection locked="0"/>
    </xf>
    <xf numFmtId="0" fontId="65" fillId="54" borderId="53" xfId="171" applyFont="1" applyFill="1" applyBorder="1" applyAlignment="1" applyProtection="1">
      <alignment horizontal="left"/>
      <protection locked="0"/>
    </xf>
    <xf numFmtId="0" fontId="65" fillId="31" borderId="71" xfId="171" applyFont="1" applyFill="1" applyBorder="1" applyAlignment="1" applyProtection="1">
      <alignment horizontal="left"/>
      <protection locked="0"/>
    </xf>
    <xf numFmtId="0" fontId="65" fillId="31" borderId="37" xfId="171" applyFont="1" applyFill="1" applyBorder="1" applyAlignment="1" applyProtection="1">
      <alignment horizontal="left"/>
      <protection locked="0"/>
    </xf>
    <xf numFmtId="0" fontId="65" fillId="54" borderId="79" xfId="171" applyFont="1" applyFill="1" applyBorder="1" applyAlignment="1" applyProtection="1">
      <alignment horizontal="left"/>
      <protection locked="0"/>
    </xf>
    <xf numFmtId="0" fontId="65" fillId="54" borderId="44" xfId="171" applyFont="1" applyFill="1" applyBorder="1" applyAlignment="1" applyProtection="1">
      <alignment horizontal="left"/>
      <protection locked="0"/>
    </xf>
    <xf numFmtId="0" fontId="65" fillId="31" borderId="24" xfId="37" applyFont="1" applyFill="1" applyBorder="1" applyAlignment="1" applyProtection="1">
      <alignment horizontal="left" vertical="center"/>
      <protection locked="0"/>
    </xf>
    <xf numFmtId="0" fontId="65" fillId="31" borderId="25" xfId="37" applyFont="1" applyFill="1" applyBorder="1" applyAlignment="1" applyProtection="1">
      <alignment horizontal="left" vertical="center"/>
      <protection locked="0"/>
    </xf>
    <xf numFmtId="0" fontId="65" fillId="31" borderId="26" xfId="37" applyFont="1" applyFill="1" applyBorder="1" applyAlignment="1" applyProtection="1">
      <alignment horizontal="left" vertical="center"/>
      <protection locked="0"/>
    </xf>
    <xf numFmtId="0" fontId="69" fillId="50" borderId="54" xfId="0" applyFont="1" applyFill="1" applyBorder="1" applyAlignment="1">
      <alignment horizontal="center"/>
    </xf>
    <xf numFmtId="0" fontId="69" fillId="50" borderId="55" xfId="0" applyFont="1" applyFill="1" applyBorder="1" applyAlignment="1">
      <alignment horizontal="center"/>
    </xf>
    <xf numFmtId="0" fontId="69" fillId="50" borderId="119" xfId="0" applyFont="1" applyFill="1" applyBorder="1" applyAlignment="1">
      <alignment horizontal="center"/>
    </xf>
    <xf numFmtId="0" fontId="69" fillId="36" borderId="55" xfId="0" applyFont="1" applyFill="1" applyBorder="1" applyAlignment="1">
      <alignment horizontal="center"/>
    </xf>
    <xf numFmtId="0" fontId="69" fillId="36" borderId="56" xfId="0" applyFont="1" applyFill="1" applyBorder="1" applyAlignment="1">
      <alignment horizontal="center"/>
    </xf>
    <xf numFmtId="0" fontId="69" fillId="63" borderId="55" xfId="0" applyFont="1" applyFill="1" applyBorder="1" applyAlignment="1">
      <alignment horizontal="center"/>
    </xf>
    <xf numFmtId="0" fontId="69" fillId="49" borderId="120" xfId="0" applyFont="1" applyFill="1" applyBorder="1" applyAlignment="1">
      <alignment horizontal="center"/>
    </xf>
    <xf numFmtId="0" fontId="69" fillId="49" borderId="55" xfId="0" applyFont="1" applyFill="1" applyBorder="1" applyAlignment="1">
      <alignment horizontal="center"/>
    </xf>
    <xf numFmtId="0" fontId="69" fillId="49" borderId="56" xfId="0" applyFont="1" applyFill="1" applyBorder="1" applyAlignment="1">
      <alignment horizontal="center"/>
    </xf>
    <xf numFmtId="0" fontId="69" fillId="36" borderId="54" xfId="0" applyFont="1" applyFill="1" applyBorder="1" applyAlignment="1">
      <alignment horizontal="center"/>
    </xf>
    <xf numFmtId="0" fontId="69" fillId="63" borderId="54" xfId="0" applyFont="1" applyFill="1" applyBorder="1" applyAlignment="1">
      <alignment horizontal="center"/>
    </xf>
    <xf numFmtId="0" fontId="73" fillId="37" borderId="54" xfId="0" applyFont="1" applyFill="1" applyBorder="1" applyAlignment="1" applyProtection="1">
      <alignment horizontal="center"/>
    </xf>
    <xf numFmtId="0" fontId="73" fillId="37" borderId="55" xfId="0" applyFont="1" applyFill="1" applyBorder="1" applyAlignment="1" applyProtection="1">
      <alignment horizontal="center"/>
    </xf>
    <xf numFmtId="0" fontId="73" fillId="37" borderId="56" xfId="0" applyFont="1" applyFill="1" applyBorder="1" applyAlignment="1" applyProtection="1">
      <alignment horizontal="center"/>
    </xf>
    <xf numFmtId="0" fontId="69" fillId="0" borderId="24" xfId="0" applyFont="1" applyFill="1" applyBorder="1" applyAlignment="1" applyProtection="1">
      <alignment horizontal="center"/>
    </xf>
    <xf numFmtId="0" fontId="69" fillId="0" borderId="25" xfId="0" applyFont="1" applyBorder="1" applyAlignment="1" applyProtection="1">
      <alignment horizontal="center"/>
    </xf>
    <xf numFmtId="0" fontId="69" fillId="0" borderId="26" xfId="0" applyFont="1" applyBorder="1" applyAlignment="1" applyProtection="1">
      <alignment horizontal="center"/>
    </xf>
    <xf numFmtId="0" fontId="73" fillId="37" borderId="54" xfId="0" applyFont="1" applyFill="1" applyBorder="1" applyAlignment="1">
      <alignment horizontal="center"/>
    </xf>
    <xf numFmtId="0" fontId="73" fillId="37" borderId="55" xfId="0" applyFont="1" applyFill="1" applyBorder="1" applyAlignment="1">
      <alignment horizontal="center"/>
    </xf>
    <xf numFmtId="0" fontId="73" fillId="37" borderId="56" xfId="0" applyFont="1" applyFill="1" applyBorder="1" applyAlignment="1">
      <alignment horizontal="center"/>
    </xf>
    <xf numFmtId="0" fontId="69" fillId="36" borderId="90" xfId="0" applyFont="1" applyFill="1" applyBorder="1" applyAlignment="1">
      <alignment horizontal="center"/>
    </xf>
    <xf numFmtId="0" fontId="69" fillId="63" borderId="56" xfId="0" applyFont="1" applyFill="1" applyBorder="1" applyAlignment="1">
      <alignment horizontal="center"/>
    </xf>
    <xf numFmtId="0" fontId="69" fillId="53" borderId="24" xfId="0" applyFont="1" applyFill="1" applyBorder="1" applyAlignment="1" applyProtection="1">
      <alignment horizontal="center"/>
    </xf>
    <xf numFmtId="0" fontId="69" fillId="24" borderId="25" xfId="0" applyFont="1" applyFill="1" applyBorder="1" applyAlignment="1" applyProtection="1">
      <alignment horizontal="center"/>
    </xf>
    <xf numFmtId="0" fontId="69" fillId="24" borderId="26" xfId="0" applyFont="1" applyFill="1" applyBorder="1" applyAlignment="1" applyProtection="1">
      <alignment horizontal="center"/>
    </xf>
    <xf numFmtId="0" fontId="69" fillId="27" borderId="0" xfId="0" applyFont="1" applyFill="1" applyBorder="1" applyAlignment="1" applyProtection="1">
      <alignment horizontal="center"/>
    </xf>
    <xf numFmtId="0" fontId="69" fillId="0" borderId="0" xfId="0" applyFont="1" applyBorder="1" applyAlignment="1" applyProtection="1">
      <alignment horizontal="center"/>
    </xf>
    <xf numFmtId="0" fontId="65" fillId="31" borderId="24" xfId="37" applyFont="1" applyFill="1" applyBorder="1">
      <alignment vertical="center"/>
      <protection locked="0"/>
    </xf>
    <xf numFmtId="0" fontId="65" fillId="31" borderId="25" xfId="37" applyFont="1" applyFill="1" applyBorder="1">
      <alignment vertical="center"/>
      <protection locked="0"/>
    </xf>
    <xf numFmtId="0" fontId="65" fillId="31" borderId="26" xfId="37" applyFont="1" applyFill="1" applyBorder="1">
      <alignment vertical="center"/>
      <protection locked="0"/>
    </xf>
    <xf numFmtId="0" fontId="65" fillId="54" borderId="71" xfId="143" applyFont="1" applyFill="1" applyBorder="1" applyAlignment="1" applyProtection="1">
      <alignment horizontal="left"/>
    </xf>
    <xf numFmtId="0" fontId="65" fillId="31" borderId="49" xfId="143" applyFont="1" applyFill="1" applyBorder="1" applyAlignment="1" applyProtection="1">
      <alignment horizontal="left"/>
    </xf>
    <xf numFmtId="0" fontId="65" fillId="31" borderId="50" xfId="143" applyFont="1" applyFill="1" applyBorder="1" applyAlignment="1" applyProtection="1">
      <alignment horizontal="left"/>
    </xf>
    <xf numFmtId="0" fontId="65" fillId="54" borderId="77" xfId="143" applyFont="1" applyFill="1" applyBorder="1" applyAlignment="1" applyProtection="1">
      <alignment horizontal="left"/>
    </xf>
    <xf numFmtId="0" fontId="65" fillId="31" borderId="25" xfId="143" applyFont="1" applyFill="1" applyBorder="1" applyAlignment="1" applyProtection="1">
      <alignment horizontal="left"/>
    </xf>
    <xf numFmtId="0" fontId="65" fillId="31" borderId="26" xfId="143" applyFont="1" applyFill="1" applyBorder="1" applyAlignment="1" applyProtection="1">
      <alignment horizontal="left"/>
    </xf>
    <xf numFmtId="0" fontId="65" fillId="54" borderId="79" xfId="143" applyFont="1" applyFill="1" applyBorder="1" applyAlignment="1" applyProtection="1">
      <alignment horizontal="left"/>
    </xf>
    <xf numFmtId="0" fontId="65" fillId="31" borderId="32" xfId="143" applyFont="1" applyFill="1" applyBorder="1" applyAlignment="1" applyProtection="1">
      <alignment horizontal="left"/>
    </xf>
    <xf numFmtId="0" fontId="65" fillId="31" borderId="43" xfId="143" applyFont="1" applyFill="1" applyBorder="1" applyAlignment="1" applyProtection="1">
      <alignment horizontal="left"/>
    </xf>
    <xf numFmtId="0" fontId="65" fillId="31" borderId="27" xfId="0" applyFont="1" applyFill="1" applyBorder="1" applyAlignment="1" applyProtection="1">
      <alignment horizontal="left"/>
      <protection locked="0"/>
    </xf>
    <xf numFmtId="0" fontId="65" fillId="31" borderId="28" xfId="0" applyFont="1" applyFill="1" applyBorder="1" applyAlignment="1" applyProtection="1">
      <alignment horizontal="left"/>
      <protection locked="0"/>
    </xf>
    <xf numFmtId="0" fontId="65" fillId="31" borderId="29" xfId="0" applyFont="1" applyFill="1" applyBorder="1" applyAlignment="1" applyProtection="1">
      <alignment horizontal="left"/>
      <protection locked="0"/>
    </xf>
    <xf numFmtId="0" fontId="65" fillId="31" borderId="30" xfId="0" applyFont="1" applyFill="1" applyBorder="1" applyAlignment="1" applyProtection="1">
      <alignment horizontal="left"/>
      <protection locked="0"/>
    </xf>
    <xf numFmtId="0" fontId="65" fillId="31" borderId="0" xfId="0" applyFont="1" applyFill="1" applyBorder="1" applyAlignment="1" applyProtection="1">
      <alignment horizontal="left"/>
      <protection locked="0"/>
    </xf>
    <xf numFmtId="0" fontId="65" fillId="31" borderId="14" xfId="0" applyFont="1" applyFill="1" applyBorder="1" applyAlignment="1" applyProtection="1">
      <alignment horizontal="left"/>
      <protection locked="0"/>
    </xf>
    <xf numFmtId="0" fontId="65" fillId="31" borderId="31" xfId="0" applyFont="1" applyFill="1" applyBorder="1" applyAlignment="1" applyProtection="1">
      <alignment horizontal="left"/>
      <protection locked="0"/>
    </xf>
    <xf numFmtId="0" fontId="65" fillId="31" borderId="13" xfId="0" applyFont="1" applyFill="1" applyBorder="1" applyAlignment="1" applyProtection="1">
      <alignment horizontal="left"/>
      <protection locked="0"/>
    </xf>
    <xf numFmtId="0" fontId="65" fillId="31" borderId="15" xfId="0" applyFont="1" applyFill="1" applyBorder="1" applyAlignment="1" applyProtection="1">
      <alignment horizontal="left"/>
      <protection locked="0"/>
    </xf>
    <xf numFmtId="0" fontId="65" fillId="29" borderId="24" xfId="0" applyFont="1" applyFill="1" applyBorder="1" applyAlignment="1">
      <alignment horizontal="center"/>
    </xf>
    <xf numFmtId="0" fontId="65" fillId="29" borderId="25" xfId="0" applyFont="1" applyFill="1" applyBorder="1" applyAlignment="1">
      <alignment horizontal="center"/>
    </xf>
    <xf numFmtId="0" fontId="65" fillId="29" borderId="26" xfId="0" applyFont="1" applyFill="1" applyBorder="1" applyAlignment="1">
      <alignment horizontal="center"/>
    </xf>
    <xf numFmtId="0" fontId="65" fillId="31" borderId="24" xfId="0" applyFont="1" applyFill="1" applyBorder="1" applyAlignment="1" applyProtection="1">
      <alignment horizontal="left" vertical="center" wrapText="1"/>
      <protection locked="0"/>
    </xf>
    <xf numFmtId="0" fontId="65" fillId="31" borderId="25" xfId="0" applyFont="1" applyFill="1" applyBorder="1" applyAlignment="1" applyProtection="1">
      <alignment horizontal="left" vertical="center" wrapText="1"/>
      <protection locked="0"/>
    </xf>
    <xf numFmtId="0" fontId="65" fillId="31" borderId="26" xfId="0" applyFont="1" applyFill="1" applyBorder="1" applyAlignment="1" applyProtection="1">
      <alignment horizontal="left" vertical="center" wrapText="1"/>
      <protection locked="0"/>
    </xf>
    <xf numFmtId="0" fontId="65" fillId="29" borderId="24" xfId="0" applyFont="1" applyFill="1" applyBorder="1" applyAlignment="1" applyProtection="1">
      <alignment horizontal="center"/>
    </xf>
    <xf numFmtId="0" fontId="65" fillId="29" borderId="25" xfId="0" applyFont="1" applyFill="1" applyBorder="1" applyAlignment="1" applyProtection="1">
      <alignment horizontal="center"/>
    </xf>
    <xf numFmtId="0" fontId="65" fillId="29" borderId="26" xfId="0" applyFont="1" applyFill="1" applyBorder="1" applyAlignment="1" applyProtection="1">
      <alignment horizontal="center"/>
    </xf>
    <xf numFmtId="0" fontId="8" fillId="28" borderId="100" xfId="169" applyFont="1" applyFill="1" applyBorder="1" applyAlignment="1" applyProtection="1">
      <alignment horizontal="center" vertical="center"/>
    </xf>
    <xf numFmtId="0" fontId="8" fillId="28" borderId="0" xfId="169" applyFont="1" applyFill="1" applyBorder="1" applyAlignment="1" applyProtection="1">
      <alignment horizontal="center" vertical="center"/>
    </xf>
    <xf numFmtId="0" fontId="109" fillId="37" borderId="0" xfId="169" applyFont="1" applyFill="1" applyAlignment="1" applyProtection="1">
      <alignment horizontal="center" vertical="center"/>
    </xf>
    <xf numFmtId="0" fontId="8" fillId="28" borderId="0" xfId="169" applyFont="1" applyFill="1" applyAlignment="1" applyProtection="1">
      <alignment horizontal="center" vertical="center"/>
    </xf>
    <xf numFmtId="0" fontId="8" fillId="28" borderId="101" xfId="169" applyFont="1" applyFill="1" applyBorder="1" applyAlignment="1" applyProtection="1">
      <alignment horizontal="center" vertical="center"/>
    </xf>
    <xf numFmtId="0" fontId="9" fillId="0" borderId="0" xfId="82" applyProtection="1">
      <alignment horizontal="left" vertical="center"/>
    </xf>
  </cellXfs>
  <cellStyles count="22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Assumption Percentage." xfId="165" xr:uid="{00000000-0005-0000-0000-000018000000}"/>
    <cellStyle name="Assumptions Center Currency" xfId="25" xr:uid="{00000000-0005-0000-0000-000019000000}"/>
    <cellStyle name="Assumptions Center Currency 2" xfId="26" xr:uid="{00000000-0005-0000-0000-00001A000000}"/>
    <cellStyle name="Assumptions Center Currency 2 2" xfId="176" xr:uid="{00000000-0005-0000-0000-00001B000000}"/>
    <cellStyle name="Assumptions Center Date" xfId="27" xr:uid="{00000000-0005-0000-0000-00001C000000}"/>
    <cellStyle name="Assumptions Center Date 2" xfId="28" xr:uid="{00000000-0005-0000-0000-00001D000000}"/>
    <cellStyle name="Assumptions Center Date 2 2" xfId="177" xr:uid="{00000000-0005-0000-0000-00001E000000}"/>
    <cellStyle name="Assumptions Center Multiple" xfId="29" xr:uid="{00000000-0005-0000-0000-00001F000000}"/>
    <cellStyle name="Assumptions Center Multiple 2" xfId="30" xr:uid="{00000000-0005-0000-0000-000020000000}"/>
    <cellStyle name="Assumptions Center Multiple 2 2" xfId="178" xr:uid="{00000000-0005-0000-0000-000021000000}"/>
    <cellStyle name="Assumptions Center Number" xfId="31" xr:uid="{00000000-0005-0000-0000-000022000000}"/>
    <cellStyle name="Assumptions Center Number 2" xfId="32" xr:uid="{00000000-0005-0000-0000-000023000000}"/>
    <cellStyle name="Assumptions Center Number 2 2" xfId="179" xr:uid="{00000000-0005-0000-0000-000024000000}"/>
    <cellStyle name="Assumptions Center Percentage" xfId="33" xr:uid="{00000000-0005-0000-0000-000025000000}"/>
    <cellStyle name="Assumptions Center Percentage 2" xfId="34" xr:uid="{00000000-0005-0000-0000-000026000000}"/>
    <cellStyle name="Assumptions Center Percentage 2 2" xfId="180" xr:uid="{00000000-0005-0000-0000-000027000000}"/>
    <cellStyle name="Assumptions Center Year" xfId="35" xr:uid="{00000000-0005-0000-0000-000028000000}"/>
    <cellStyle name="Assumptions Center Year 2" xfId="36" xr:uid="{00000000-0005-0000-0000-000029000000}"/>
    <cellStyle name="Assumptions Center Year 2 2" xfId="181" xr:uid="{00000000-0005-0000-0000-00002A000000}"/>
    <cellStyle name="Assumptions Heading" xfId="37" xr:uid="{00000000-0005-0000-0000-00002B000000}"/>
    <cellStyle name="Assumptions Heading 2" xfId="38" xr:uid="{00000000-0005-0000-0000-00002C000000}"/>
    <cellStyle name="Assumptions Heading 2 2" xfId="182" xr:uid="{00000000-0005-0000-0000-00002D000000}"/>
    <cellStyle name="Assumptions Heading 4" xfId="145" xr:uid="{00000000-0005-0000-0000-00002E000000}"/>
    <cellStyle name="Assumptions Heading 4 2" xfId="183" xr:uid="{00000000-0005-0000-0000-00002F000000}"/>
    <cellStyle name="Assumptions Heading_BAUCapex3Per_CD_FO" xfId="172" xr:uid="{00000000-0005-0000-0000-000030000000}"/>
    <cellStyle name="Assumptions Right Currency" xfId="39" xr:uid="{00000000-0005-0000-0000-000031000000}"/>
    <cellStyle name="Assumptions Right Currency 2" xfId="40" xr:uid="{00000000-0005-0000-0000-000032000000}"/>
    <cellStyle name="Assumptions Right Currency 2 2" xfId="184" xr:uid="{00000000-0005-0000-0000-000033000000}"/>
    <cellStyle name="Assumptions Right Date" xfId="41" xr:uid="{00000000-0005-0000-0000-000034000000}"/>
    <cellStyle name="Assumptions Right Date 2" xfId="42" xr:uid="{00000000-0005-0000-0000-000035000000}"/>
    <cellStyle name="Assumptions Right Date 2 2" xfId="185" xr:uid="{00000000-0005-0000-0000-000036000000}"/>
    <cellStyle name="Assumptions Right Multiple" xfId="43" xr:uid="{00000000-0005-0000-0000-000037000000}"/>
    <cellStyle name="Assumptions Right Multiple 2" xfId="44" xr:uid="{00000000-0005-0000-0000-000038000000}"/>
    <cellStyle name="Assumptions Right Multiple 2 2" xfId="186" xr:uid="{00000000-0005-0000-0000-000039000000}"/>
    <cellStyle name="Assumptions Right Number" xfId="45" xr:uid="{00000000-0005-0000-0000-00003A000000}"/>
    <cellStyle name="Assumptions Right Number 2" xfId="46" xr:uid="{00000000-0005-0000-0000-00003B000000}"/>
    <cellStyle name="Assumptions Right Number 2 2" xfId="187" xr:uid="{00000000-0005-0000-0000-00003C000000}"/>
    <cellStyle name="Assumptions Right Percentage" xfId="47" xr:uid="{00000000-0005-0000-0000-00003D000000}"/>
    <cellStyle name="Assumptions Right Percentage 2" xfId="48" xr:uid="{00000000-0005-0000-0000-00003E000000}"/>
    <cellStyle name="Assumptions Right Percentage 2 2" xfId="188" xr:uid="{00000000-0005-0000-0000-00003F000000}"/>
    <cellStyle name="Assumptions Right Year" xfId="49" xr:uid="{00000000-0005-0000-0000-000040000000}"/>
    <cellStyle name="Assumptions Right Year 2" xfId="50" xr:uid="{00000000-0005-0000-0000-000041000000}"/>
    <cellStyle name="Assumptions Right Year 2 2" xfId="189" xr:uid="{00000000-0005-0000-0000-000042000000}"/>
    <cellStyle name="Bad" xfId="51" builtinId="27"/>
    <cellStyle name="Bad 2" xfId="52" xr:uid="{00000000-0005-0000-0000-000044000000}"/>
    <cellStyle name="Calculation 2" xfId="53" xr:uid="{00000000-0005-0000-0000-000045000000}"/>
    <cellStyle name="Cell Link" xfId="54" xr:uid="{00000000-0005-0000-0000-000046000000}"/>
    <cellStyle name="Cell Link 2" xfId="55" xr:uid="{00000000-0005-0000-0000-000047000000}"/>
    <cellStyle name="Cell Link 2 2" xfId="190" xr:uid="{00000000-0005-0000-0000-000048000000}"/>
    <cellStyle name="Center Currency" xfId="56" xr:uid="{00000000-0005-0000-0000-000049000000}"/>
    <cellStyle name="Center Currency 2" xfId="57" xr:uid="{00000000-0005-0000-0000-00004A000000}"/>
    <cellStyle name="Center Currency 2 2" xfId="191" xr:uid="{00000000-0005-0000-0000-00004B000000}"/>
    <cellStyle name="Center Date" xfId="58" xr:uid="{00000000-0005-0000-0000-00004C000000}"/>
    <cellStyle name="Center Date 2" xfId="59" xr:uid="{00000000-0005-0000-0000-00004D000000}"/>
    <cellStyle name="Center Date 2 2" xfId="192" xr:uid="{00000000-0005-0000-0000-00004E000000}"/>
    <cellStyle name="Center Multiple" xfId="60" xr:uid="{00000000-0005-0000-0000-00004F000000}"/>
    <cellStyle name="Center Multiple 2" xfId="61" xr:uid="{00000000-0005-0000-0000-000050000000}"/>
    <cellStyle name="Center Multiple 2 2" xfId="193" xr:uid="{00000000-0005-0000-0000-000051000000}"/>
    <cellStyle name="Center Number" xfId="62" xr:uid="{00000000-0005-0000-0000-000052000000}"/>
    <cellStyle name="Center Number 2" xfId="63" xr:uid="{00000000-0005-0000-0000-000053000000}"/>
    <cellStyle name="Center Number 2 2" xfId="194" xr:uid="{00000000-0005-0000-0000-000054000000}"/>
    <cellStyle name="Center Percentage" xfId="64" xr:uid="{00000000-0005-0000-0000-000055000000}"/>
    <cellStyle name="Center Percentage 2" xfId="65" xr:uid="{00000000-0005-0000-0000-000056000000}"/>
    <cellStyle name="Center Percentage 2 2" xfId="195" xr:uid="{00000000-0005-0000-0000-000057000000}"/>
    <cellStyle name="Center Year" xfId="66" xr:uid="{00000000-0005-0000-0000-000058000000}"/>
    <cellStyle name="Center Year 2" xfId="67" xr:uid="{00000000-0005-0000-0000-000059000000}"/>
    <cellStyle name="Center Year 2 2" xfId="196" xr:uid="{00000000-0005-0000-0000-00005A000000}"/>
    <cellStyle name="Check Cell 2" xfId="68" xr:uid="{00000000-0005-0000-0000-00005B000000}"/>
    <cellStyle name="Comma" xfId="69" builtinId="3"/>
    <cellStyle name="Comma 10 2" xfId="146" xr:uid="{00000000-0005-0000-0000-00005D000000}"/>
    <cellStyle name="Comma 12" xfId="147" xr:uid="{00000000-0005-0000-0000-00005E000000}"/>
    <cellStyle name="Comma 13" xfId="148" xr:uid="{00000000-0005-0000-0000-00005F000000}"/>
    <cellStyle name="Comma 3" xfId="149" xr:uid="{00000000-0005-0000-0000-000060000000}"/>
    <cellStyle name="Comma 3 2" xfId="197" xr:uid="{00000000-0005-0000-0000-000061000000}"/>
    <cellStyle name="Comma 33" xfId="150" xr:uid="{00000000-0005-0000-0000-000062000000}"/>
    <cellStyle name="Comma 43" xfId="151" xr:uid="{00000000-0005-0000-0000-000063000000}"/>
    <cellStyle name="Currency 2" xfId="222" xr:uid="{00000000-0005-0000-0000-000064000000}"/>
    <cellStyle name="Explanatory Text 2" xfId="70" xr:uid="{00000000-0005-0000-0000-000065000000}"/>
    <cellStyle name="Good 2" xfId="71" xr:uid="{00000000-0005-0000-0000-000066000000}"/>
    <cellStyle name="Heading 1" xfId="72" builtinId="16" customBuiltin="1"/>
    <cellStyle name="Heading 1 2" xfId="73" xr:uid="{00000000-0005-0000-0000-000068000000}"/>
    <cellStyle name="Heading 1 3" xfId="138" xr:uid="{00000000-0005-0000-0000-000069000000}"/>
    <cellStyle name="Heading 2" xfId="74" builtinId="17" customBuiltin="1"/>
    <cellStyle name="Heading 2 2" xfId="75" xr:uid="{00000000-0005-0000-0000-00006B000000}"/>
    <cellStyle name="Heading 2 6" xfId="152" xr:uid="{00000000-0005-0000-0000-00006C000000}"/>
    <cellStyle name="Heading 3" xfId="76" builtinId="18" customBuiltin="1"/>
    <cellStyle name="Heading 3 2" xfId="77" xr:uid="{00000000-0005-0000-0000-00006E000000}"/>
    <cellStyle name="Heading 3." xfId="168" xr:uid="{00000000-0005-0000-0000-00006F000000}"/>
    <cellStyle name="Heading 4" xfId="78" builtinId="19" customBuiltin="1"/>
    <cellStyle name="Heading 4 2" xfId="79" xr:uid="{00000000-0005-0000-0000-000071000000}"/>
    <cellStyle name="Heading 4 3" xfId="173" xr:uid="{00000000-0005-0000-0000-000072000000}"/>
    <cellStyle name="Heading 4 4" xfId="141" xr:uid="{00000000-0005-0000-0000-000073000000}"/>
    <cellStyle name="Heading 4 4 2" xfId="198" xr:uid="{00000000-0005-0000-0000-000074000000}"/>
    <cellStyle name="Heading 4." xfId="167" xr:uid="{00000000-0005-0000-0000-000075000000}"/>
    <cellStyle name="Hyperlink Arrow" xfId="80" xr:uid="{00000000-0005-0000-0000-000076000000}"/>
    <cellStyle name="Hyperlink Check" xfId="81" xr:uid="{00000000-0005-0000-0000-000077000000}"/>
    <cellStyle name="Hyperlink Text" xfId="82" xr:uid="{00000000-0005-0000-0000-000078000000}"/>
    <cellStyle name="Hyperlink Text 2" xfId="83" xr:uid="{00000000-0005-0000-0000-000079000000}"/>
    <cellStyle name="Hyperlink Text 2 2" xfId="84" xr:uid="{00000000-0005-0000-0000-00007A000000}"/>
    <cellStyle name="Input 2" xfId="85" xr:uid="{00000000-0005-0000-0000-00007B000000}"/>
    <cellStyle name="Linked Cell 2" xfId="86" xr:uid="{00000000-0005-0000-0000-00007C000000}"/>
    <cellStyle name="Lookup Table Heading" xfId="87" xr:uid="{00000000-0005-0000-0000-00007D000000}"/>
    <cellStyle name="Lookup Table Heading 2" xfId="88" xr:uid="{00000000-0005-0000-0000-00007E000000}"/>
    <cellStyle name="Lookup Table Label" xfId="89" xr:uid="{00000000-0005-0000-0000-00007F000000}"/>
    <cellStyle name="Lookup Table Label 2" xfId="90" xr:uid="{00000000-0005-0000-0000-000080000000}"/>
    <cellStyle name="Lookup Table Label 2 2" xfId="199" xr:uid="{00000000-0005-0000-0000-000081000000}"/>
    <cellStyle name="Lookup Table Number" xfId="91" xr:uid="{00000000-0005-0000-0000-000082000000}"/>
    <cellStyle name="Lookup Table Number 2" xfId="92" xr:uid="{00000000-0005-0000-0000-000083000000}"/>
    <cellStyle name="Lookup Table Number 2 2" xfId="200" xr:uid="{00000000-0005-0000-0000-000084000000}"/>
    <cellStyle name="Model Name" xfId="93" xr:uid="{00000000-0005-0000-0000-000085000000}"/>
    <cellStyle name="Model Name 2" xfId="94" xr:uid="{00000000-0005-0000-0000-000086000000}"/>
    <cellStyle name="Model Name 2 2" xfId="95" xr:uid="{00000000-0005-0000-0000-000087000000}"/>
    <cellStyle name="Neutral 2" xfId="96" xr:uid="{00000000-0005-0000-0000-000088000000}"/>
    <cellStyle name="Normal" xfId="0" builtinId="0"/>
    <cellStyle name="Normal 10" xfId="169" xr:uid="{00000000-0005-0000-0000-00008A000000}"/>
    <cellStyle name="Normal 11" xfId="142" xr:uid="{00000000-0005-0000-0000-00008B000000}"/>
    <cellStyle name="Normal 11 2" xfId="201" xr:uid="{00000000-0005-0000-0000-00008C000000}"/>
    <cellStyle name="Normal 12" xfId="143" xr:uid="{00000000-0005-0000-0000-00008D000000}"/>
    <cellStyle name="Normal 12 2" xfId="171" xr:uid="{00000000-0005-0000-0000-00008E000000}"/>
    <cellStyle name="Normal 14" xfId="153" xr:uid="{00000000-0005-0000-0000-00008F000000}"/>
    <cellStyle name="Normal 14 2" xfId="202" xr:uid="{00000000-0005-0000-0000-000090000000}"/>
    <cellStyle name="Normal 15" xfId="154" xr:uid="{00000000-0005-0000-0000-000091000000}"/>
    <cellStyle name="Normal 2" xfId="97" xr:uid="{00000000-0005-0000-0000-000092000000}"/>
    <cellStyle name="Normal 2 2" xfId="155" xr:uid="{00000000-0005-0000-0000-000093000000}"/>
    <cellStyle name="Normal 2 2 2" xfId="156" xr:uid="{00000000-0005-0000-0000-000094000000}"/>
    <cellStyle name="Normal 2 2 2 2" xfId="203" xr:uid="{00000000-0005-0000-0000-000095000000}"/>
    <cellStyle name="Normal 2 2 3" xfId="204" xr:uid="{00000000-0005-0000-0000-000096000000}"/>
    <cellStyle name="Normal 2 3" xfId="205" xr:uid="{00000000-0005-0000-0000-000097000000}"/>
    <cellStyle name="Normal 3" xfId="144" xr:uid="{00000000-0005-0000-0000-000098000000}"/>
    <cellStyle name="Normal 3 2" xfId="170" xr:uid="{00000000-0005-0000-0000-000099000000}"/>
    <cellStyle name="Normal 4" xfId="98" xr:uid="{00000000-0005-0000-0000-00009A000000}"/>
    <cellStyle name="Normal 4 2" xfId="206" xr:uid="{00000000-0005-0000-0000-00009B000000}"/>
    <cellStyle name="Normal 5" xfId="157" xr:uid="{00000000-0005-0000-0000-00009C000000}"/>
    <cellStyle name="Normal 6" xfId="158" xr:uid="{00000000-0005-0000-0000-00009D000000}"/>
    <cellStyle name="Normal 7" xfId="159" xr:uid="{00000000-0005-0000-0000-00009E000000}"/>
    <cellStyle name="Normal 8" xfId="137" xr:uid="{00000000-0005-0000-0000-00009F000000}"/>
    <cellStyle name="Normal 8 2" xfId="207" xr:uid="{00000000-0005-0000-0000-0000A0000000}"/>
    <cellStyle name="Normal 9" xfId="140" xr:uid="{00000000-0005-0000-0000-0000A1000000}"/>
    <cellStyle name="Normal 9 2" xfId="208" xr:uid="{00000000-0005-0000-0000-0000A2000000}"/>
    <cellStyle name="Normal_Book2" xfId="175" xr:uid="{00000000-0005-0000-0000-0000A3000000}"/>
    <cellStyle name="Normal_RevReq AnnBill (MW&amp;Metros)F" xfId="174" xr:uid="{00000000-0005-0000-0000-0000A4000000}"/>
    <cellStyle name="Note 2" xfId="99" xr:uid="{00000000-0005-0000-0000-0000A5000000}"/>
    <cellStyle name="Output 2" xfId="100" xr:uid="{00000000-0005-0000-0000-0000A6000000}"/>
    <cellStyle name="Percent" xfId="101" builtinId="5"/>
    <cellStyle name="Percent 2" xfId="102" xr:uid="{00000000-0005-0000-0000-0000A8000000}"/>
    <cellStyle name="Percent 2 2" xfId="209" xr:uid="{00000000-0005-0000-0000-0000A9000000}"/>
    <cellStyle name="Percent 4" xfId="160" xr:uid="{00000000-0005-0000-0000-0000AA000000}"/>
    <cellStyle name="Percent 6" xfId="161" xr:uid="{00000000-0005-0000-0000-0000AB000000}"/>
    <cellStyle name="Percentage." xfId="166" xr:uid="{00000000-0005-0000-0000-0000AC000000}"/>
    <cellStyle name="Period Title" xfId="103" xr:uid="{00000000-0005-0000-0000-0000AD000000}"/>
    <cellStyle name="Period Title 2" xfId="104" xr:uid="{00000000-0005-0000-0000-0000AE000000}"/>
    <cellStyle name="Right Currency" xfId="105" xr:uid="{00000000-0005-0000-0000-0000AF000000}"/>
    <cellStyle name="Right Currency 2" xfId="106" xr:uid="{00000000-0005-0000-0000-0000B0000000}"/>
    <cellStyle name="Right Currency 2 2" xfId="210" xr:uid="{00000000-0005-0000-0000-0000B1000000}"/>
    <cellStyle name="Right Date" xfId="107" xr:uid="{00000000-0005-0000-0000-0000B2000000}"/>
    <cellStyle name="Right Date 2" xfId="108" xr:uid="{00000000-0005-0000-0000-0000B3000000}"/>
    <cellStyle name="Right Date 2 2" xfId="211" xr:uid="{00000000-0005-0000-0000-0000B4000000}"/>
    <cellStyle name="Right Multiple" xfId="109" xr:uid="{00000000-0005-0000-0000-0000B5000000}"/>
    <cellStyle name="Right Multiple 2" xfId="110" xr:uid="{00000000-0005-0000-0000-0000B6000000}"/>
    <cellStyle name="Right Multiple 2 2" xfId="212" xr:uid="{00000000-0005-0000-0000-0000B7000000}"/>
    <cellStyle name="Right Number" xfId="111" xr:uid="{00000000-0005-0000-0000-0000B8000000}"/>
    <cellStyle name="Right Number 10" xfId="112" xr:uid="{00000000-0005-0000-0000-0000B9000000}"/>
    <cellStyle name="Right Number 10 2" xfId="113" xr:uid="{00000000-0005-0000-0000-0000BA000000}"/>
    <cellStyle name="Right Number 10 2 2" xfId="213" xr:uid="{00000000-0005-0000-0000-0000BB000000}"/>
    <cellStyle name="Right Number 10 3" xfId="214" xr:uid="{00000000-0005-0000-0000-0000BC000000}"/>
    <cellStyle name="Right Number 2" xfId="114" xr:uid="{00000000-0005-0000-0000-0000BD000000}"/>
    <cellStyle name="Right Number 2 2" xfId="162" xr:uid="{00000000-0005-0000-0000-0000BE000000}"/>
    <cellStyle name="Right Number 2 2 2" xfId="163" xr:uid="{00000000-0005-0000-0000-0000BF000000}"/>
    <cellStyle name="Right Number 2 2 2 2" xfId="215" xr:uid="{00000000-0005-0000-0000-0000C0000000}"/>
    <cellStyle name="Right Number 2 2 3" xfId="216" xr:uid="{00000000-0005-0000-0000-0000C1000000}"/>
    <cellStyle name="Right Number 2 3" xfId="217" xr:uid="{00000000-0005-0000-0000-0000C2000000}"/>
    <cellStyle name="Right Number 3" xfId="115" xr:uid="{00000000-0005-0000-0000-0000C3000000}"/>
    <cellStyle name="Right Number 3 2" xfId="218" xr:uid="{00000000-0005-0000-0000-0000C4000000}"/>
    <cellStyle name="Right Number 5" xfId="164" xr:uid="{00000000-0005-0000-0000-0000C5000000}"/>
    <cellStyle name="Right Number 5 2" xfId="219" xr:uid="{00000000-0005-0000-0000-0000C6000000}"/>
    <cellStyle name="Right Percentage" xfId="116" xr:uid="{00000000-0005-0000-0000-0000C7000000}"/>
    <cellStyle name="Right Percentage 2" xfId="117" xr:uid="{00000000-0005-0000-0000-0000C8000000}"/>
    <cellStyle name="Right Percentage 2 2" xfId="220" xr:uid="{00000000-0005-0000-0000-0000C9000000}"/>
    <cellStyle name="Right Year" xfId="118" xr:uid="{00000000-0005-0000-0000-0000CA000000}"/>
    <cellStyle name="Right Year 2" xfId="119" xr:uid="{00000000-0005-0000-0000-0000CB000000}"/>
    <cellStyle name="Right Year 2 2" xfId="221" xr:uid="{00000000-0005-0000-0000-0000CC000000}"/>
    <cellStyle name="Section Number" xfId="120" xr:uid="{00000000-0005-0000-0000-0000CD000000}"/>
    <cellStyle name="Section Number 2" xfId="121" xr:uid="{00000000-0005-0000-0000-0000CE000000}"/>
    <cellStyle name="Sheet Title" xfId="122" xr:uid="{00000000-0005-0000-0000-0000CF000000}"/>
    <cellStyle name="Sheet Title 2" xfId="123" xr:uid="{00000000-0005-0000-0000-0000D0000000}"/>
    <cellStyle name="Sheet Title 2 2" xfId="124" xr:uid="{00000000-0005-0000-0000-0000D1000000}"/>
    <cellStyle name="Style 1" xfId="125" xr:uid="{00000000-0005-0000-0000-0000D2000000}"/>
    <cellStyle name="Title 2" xfId="126" xr:uid="{00000000-0005-0000-0000-0000D3000000}"/>
    <cellStyle name="TOC 1" xfId="127" xr:uid="{00000000-0005-0000-0000-0000D4000000}"/>
    <cellStyle name="TOC 1 2" xfId="128" xr:uid="{00000000-0005-0000-0000-0000D5000000}"/>
    <cellStyle name="TOC 2" xfId="129" xr:uid="{00000000-0005-0000-0000-0000D6000000}"/>
    <cellStyle name="TOC 2 2" xfId="130" xr:uid="{00000000-0005-0000-0000-0000D7000000}"/>
    <cellStyle name="TOC 3" xfId="131" xr:uid="{00000000-0005-0000-0000-0000D8000000}"/>
    <cellStyle name="TOC 3 2" xfId="132" xr:uid="{00000000-0005-0000-0000-0000D9000000}"/>
    <cellStyle name="TOC 4" xfId="133" xr:uid="{00000000-0005-0000-0000-0000DA000000}"/>
    <cellStyle name="TOC 4 2" xfId="134" xr:uid="{00000000-0005-0000-0000-0000DB000000}"/>
    <cellStyle name="Total 2" xfId="135" xr:uid="{00000000-0005-0000-0000-0000DC000000}"/>
    <cellStyle name="Warning Text 2" xfId="136" xr:uid="{00000000-0005-0000-0000-0000DD000000}"/>
    <cellStyle name="Yellow Box" xfId="139" xr:uid="{00000000-0005-0000-0000-0000DE000000}"/>
  </cellStyles>
  <dxfs count="329">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b/>
        <i val="0"/>
        <condense val="0"/>
        <extend val="0"/>
      </font>
      <fill>
        <patternFill>
          <bgColor rgb="FFFFCC00"/>
        </patternFill>
      </fill>
    </dxf>
    <dxf>
      <font>
        <b/>
        <i val="0"/>
        <condense val="0"/>
        <extend val="0"/>
        <color indexed="9"/>
      </font>
      <fill>
        <patternFill>
          <bgColor rgb="FFCB2840"/>
        </patternFill>
      </fill>
    </dxf>
    <dxf>
      <font>
        <b/>
        <i val="0"/>
        <condense val="0"/>
        <extend val="0"/>
        <color indexed="9"/>
      </font>
      <fill>
        <patternFill>
          <bgColor rgb="FF008000"/>
        </patternFill>
      </fill>
    </dxf>
    <dxf>
      <font>
        <b/>
        <i val="0"/>
        <condense val="0"/>
        <extend val="0"/>
      </font>
      <fill>
        <patternFill>
          <bgColor rgb="FFFFCC00"/>
        </patternFill>
      </fill>
    </dxf>
    <dxf>
      <font>
        <b/>
        <i val="0"/>
        <condense val="0"/>
        <extend val="0"/>
        <color indexed="9"/>
      </font>
      <fill>
        <patternFill>
          <bgColor rgb="FFCB2840"/>
        </patternFill>
      </fill>
    </dxf>
    <dxf>
      <font>
        <b/>
        <i val="0"/>
        <condense val="0"/>
        <extend val="0"/>
        <color indexed="9"/>
      </font>
      <fill>
        <patternFill>
          <bgColor rgb="FF008000"/>
        </patternFill>
      </fill>
    </dxf>
    <dxf>
      <font>
        <b/>
        <i val="0"/>
        <condense val="0"/>
        <extend val="0"/>
      </font>
      <fill>
        <patternFill>
          <bgColor rgb="FFFFCC00"/>
        </patternFill>
      </fill>
    </dxf>
    <dxf>
      <font>
        <b/>
        <i val="0"/>
        <condense val="0"/>
        <extend val="0"/>
        <color indexed="9"/>
      </font>
      <fill>
        <patternFill>
          <bgColor rgb="FFCB2840"/>
        </patternFill>
      </fill>
    </dxf>
    <dxf>
      <font>
        <b/>
        <i val="0"/>
        <condense val="0"/>
        <extend val="0"/>
        <color indexed="9"/>
      </font>
      <fill>
        <patternFill>
          <bgColor rgb="FF008000"/>
        </patternFill>
      </fill>
    </dxf>
    <dxf>
      <font>
        <color rgb="FFFF0000"/>
      </font>
    </dxf>
    <dxf>
      <font>
        <color rgb="FFFF0000"/>
      </font>
    </dxf>
    <dxf>
      <font>
        <b/>
        <i val="0"/>
        <condense val="0"/>
        <extend val="0"/>
      </font>
      <fill>
        <patternFill>
          <bgColor rgb="FFFFCC00"/>
        </patternFill>
      </fill>
    </dxf>
    <dxf>
      <font>
        <b/>
        <i val="0"/>
        <condense val="0"/>
        <extend val="0"/>
        <color indexed="9"/>
      </font>
      <fill>
        <patternFill>
          <bgColor rgb="FFCB2840"/>
        </patternFill>
      </fill>
    </dxf>
    <dxf>
      <font>
        <b/>
        <i val="0"/>
        <condense val="0"/>
        <extend val="0"/>
        <color indexed="9"/>
      </font>
      <fill>
        <patternFill>
          <bgColor rgb="FF008000"/>
        </patternFill>
      </fill>
    </dxf>
    <dxf>
      <font>
        <condense val="0"/>
        <extend val="0"/>
        <color indexed="9"/>
      </font>
      <fill>
        <patternFill>
          <bgColor rgb="FFCB2840"/>
        </patternFill>
      </fill>
    </dxf>
    <dxf>
      <font>
        <condense val="0"/>
        <extend val="0"/>
        <color indexed="63"/>
      </font>
      <fill>
        <patternFill>
          <bgColor rgb="FF008000"/>
        </patternFill>
      </fill>
    </dxf>
    <dxf>
      <font>
        <b/>
        <i val="0"/>
        <condense val="0"/>
        <extend val="0"/>
      </font>
      <fill>
        <patternFill>
          <bgColor rgb="FFFFCC00"/>
        </patternFill>
      </fill>
    </dxf>
    <dxf>
      <font>
        <b/>
        <i val="0"/>
        <condense val="0"/>
        <extend val="0"/>
        <color indexed="9"/>
      </font>
      <fill>
        <patternFill>
          <bgColor rgb="FFCB2840"/>
        </patternFill>
      </fill>
    </dxf>
    <dxf>
      <font>
        <b/>
        <i val="0"/>
        <condense val="0"/>
        <extend val="0"/>
        <color indexed="9"/>
      </font>
      <fill>
        <patternFill>
          <bgColor rgb="FF008000"/>
        </patternFill>
      </fill>
    </dxf>
    <dxf>
      <font>
        <color rgb="FFFF0000"/>
      </font>
    </dxf>
    <dxf>
      <font>
        <color rgb="FFFF0000"/>
      </font>
    </dxf>
    <dxf>
      <font>
        <color rgb="FFFF0000"/>
      </font>
    </dxf>
    <dxf>
      <fill>
        <patternFill>
          <bgColor rgb="FFFFCC00"/>
        </patternFill>
      </fill>
    </dxf>
    <dxf>
      <font>
        <condense val="0"/>
        <extend val="0"/>
        <color indexed="9"/>
      </font>
      <fill>
        <patternFill>
          <bgColor rgb="FF008000"/>
        </patternFill>
      </fill>
    </dxf>
    <dxf>
      <font>
        <condense val="0"/>
        <extend val="0"/>
        <color indexed="9"/>
      </font>
      <fill>
        <patternFill>
          <bgColor rgb="FFCB2840"/>
        </patternFill>
      </fill>
    </dxf>
    <dxf>
      <font>
        <b/>
        <i val="0"/>
        <condense val="0"/>
        <extend val="0"/>
      </font>
      <fill>
        <patternFill>
          <bgColor rgb="FFCCFFFF"/>
        </patternFill>
      </fill>
    </dxf>
    <dxf>
      <font>
        <b/>
        <i val="0"/>
        <condense val="0"/>
        <extend val="0"/>
      </font>
      <fill>
        <patternFill>
          <bgColor rgb="FFFF0000"/>
        </patternFill>
      </fill>
    </dxf>
    <dxf>
      <font>
        <b/>
        <i val="0"/>
        <condense val="0"/>
        <extend val="0"/>
      </font>
      <fill>
        <patternFill>
          <bgColor rgb="FFCCFFCC"/>
        </patternFill>
      </fill>
    </dxf>
    <dxf>
      <font>
        <color rgb="FFFF0000"/>
      </font>
    </dxf>
    <dxf>
      <fill>
        <patternFill>
          <bgColor rgb="FFFFCC00"/>
        </patternFill>
      </fill>
    </dxf>
    <dxf>
      <font>
        <condense val="0"/>
        <extend val="0"/>
        <color indexed="9"/>
      </font>
      <fill>
        <patternFill>
          <bgColor rgb="FF008000"/>
        </patternFill>
      </fill>
    </dxf>
    <dxf>
      <font>
        <condense val="0"/>
        <extend val="0"/>
        <color indexed="9"/>
      </font>
      <fill>
        <patternFill>
          <bgColor rgb="FFCB2840"/>
        </patternFill>
      </fill>
    </dxf>
    <dxf>
      <font>
        <b/>
        <i val="0"/>
        <condense val="0"/>
        <extend val="0"/>
      </font>
      <fill>
        <patternFill>
          <bgColor rgb="FFCCFFFF"/>
        </patternFill>
      </fill>
    </dxf>
    <dxf>
      <font>
        <b/>
        <i val="0"/>
        <condense val="0"/>
        <extend val="0"/>
      </font>
      <fill>
        <patternFill>
          <bgColor rgb="FFFF0000"/>
        </patternFill>
      </fill>
    </dxf>
    <dxf>
      <font>
        <b/>
        <i val="0"/>
        <condense val="0"/>
        <extend val="0"/>
      </font>
      <fill>
        <patternFill>
          <bgColor rgb="FFCCFFCC"/>
        </patternFill>
      </fill>
    </dxf>
    <dxf>
      <font>
        <b/>
        <i val="0"/>
        <condense val="0"/>
        <extend val="0"/>
      </font>
      <fill>
        <patternFill>
          <bgColor rgb="FFFFCC00"/>
        </patternFill>
      </fill>
    </dxf>
    <dxf>
      <font>
        <b/>
        <i val="0"/>
        <condense val="0"/>
        <extend val="0"/>
        <color indexed="9"/>
      </font>
      <fill>
        <patternFill>
          <bgColor rgb="FFCB2840"/>
        </patternFill>
      </fill>
    </dxf>
    <dxf>
      <font>
        <b/>
        <i val="0"/>
        <condense val="0"/>
        <extend val="0"/>
        <color indexed="9"/>
      </font>
      <fill>
        <patternFill>
          <bgColor rgb="FF008000"/>
        </patternFill>
      </fill>
    </dxf>
    <dxf>
      <font>
        <b/>
        <i val="0"/>
        <condense val="0"/>
        <extend val="0"/>
      </font>
      <fill>
        <patternFill>
          <bgColor rgb="FFFFCC00"/>
        </patternFill>
      </fill>
    </dxf>
    <dxf>
      <font>
        <b/>
        <i val="0"/>
        <condense val="0"/>
        <extend val="0"/>
        <color indexed="9"/>
      </font>
      <fill>
        <patternFill>
          <bgColor rgb="FFCB2840"/>
        </patternFill>
      </fill>
    </dxf>
    <dxf>
      <font>
        <b/>
        <i val="0"/>
        <condense val="0"/>
        <extend val="0"/>
        <color indexed="9"/>
      </font>
      <fill>
        <patternFill>
          <bgColor rgb="FF008000"/>
        </patternFill>
      </fill>
    </dxf>
    <dxf>
      <font>
        <color rgb="FFFF0000"/>
      </font>
    </dxf>
    <dxf>
      <font>
        <color rgb="FFFF0000"/>
      </font>
    </dxf>
    <dxf>
      <font>
        <color rgb="FFFF0000"/>
      </font>
    </dxf>
    <dxf>
      <font>
        <color rgb="FFFF0000"/>
      </font>
    </dxf>
    <dxf>
      <font>
        <color rgb="FFFF0000"/>
      </font>
    </dxf>
    <dxf>
      <font>
        <color rgb="FFFF0000"/>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auto="1"/>
      </font>
      <fill>
        <patternFill>
          <bgColor rgb="FFF2DCDB"/>
        </patternFill>
      </fill>
    </dxf>
    <dxf>
      <font>
        <color rgb="FFFF0000"/>
      </font>
    </dxf>
    <dxf>
      <font>
        <color theme="8"/>
      </font>
    </dxf>
    <dxf>
      <font>
        <color theme="8"/>
      </font>
    </dxf>
    <dxf>
      <font>
        <color theme="8"/>
      </font>
    </dxf>
    <dxf>
      <font>
        <color theme="8"/>
      </font>
    </dxf>
    <dxf>
      <font>
        <color theme="8"/>
      </font>
    </dxf>
    <dxf>
      <font>
        <color theme="8"/>
      </font>
    </dxf>
    <dxf>
      <font>
        <color theme="8"/>
      </font>
    </dxf>
    <dxf>
      <font>
        <color theme="8"/>
      </font>
    </dxf>
    <dxf>
      <font>
        <color auto="1"/>
      </font>
      <fill>
        <patternFill>
          <bgColor rgb="FFF2DCDB"/>
        </patternFill>
      </fill>
    </dxf>
    <dxf>
      <font>
        <color rgb="FFFF0000"/>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auto="1"/>
      </font>
      <fill>
        <patternFill>
          <bgColor rgb="FFF2DCDB"/>
        </patternFill>
      </fill>
    </dxf>
    <dxf>
      <font>
        <color theme="8"/>
      </font>
    </dxf>
    <dxf>
      <font>
        <color theme="8"/>
      </font>
    </dxf>
    <dxf>
      <font>
        <color theme="8"/>
      </font>
    </dxf>
    <dxf>
      <font>
        <color theme="8"/>
      </font>
    </dxf>
    <dxf>
      <font>
        <color theme="8"/>
      </font>
    </dxf>
    <dxf>
      <font>
        <color auto="1"/>
      </font>
      <fill>
        <patternFill>
          <bgColor rgb="FFF2DCDB"/>
        </patternFill>
      </fill>
    </dxf>
    <dxf>
      <font>
        <color theme="8"/>
      </font>
    </dxf>
    <dxf>
      <font>
        <color theme="8"/>
      </font>
    </dxf>
    <dxf>
      <font>
        <color theme="8"/>
      </font>
    </dxf>
    <dxf>
      <font>
        <color theme="8"/>
      </font>
    </dxf>
    <dxf>
      <font>
        <color theme="8"/>
      </font>
    </dxf>
    <dxf>
      <font>
        <color theme="8"/>
      </font>
    </dxf>
    <dxf>
      <font>
        <color rgb="FF006100"/>
      </font>
      <fill>
        <patternFill>
          <bgColor rgb="FFC6EFCE"/>
        </patternFill>
      </fill>
    </dxf>
    <dxf>
      <font>
        <color rgb="FF9C0006"/>
      </font>
      <fill>
        <patternFill>
          <bgColor rgb="FFFFC7CE"/>
        </patternFill>
      </fill>
    </dxf>
    <dxf>
      <font>
        <color rgb="FFFF0000"/>
      </font>
    </dxf>
    <dxf>
      <font>
        <color rgb="FF006100"/>
      </font>
      <fill>
        <patternFill>
          <bgColor rgb="FFC6EFCE"/>
        </patternFill>
      </fill>
    </dxf>
    <dxf>
      <font>
        <color rgb="FF9C0006"/>
      </font>
      <fill>
        <patternFill>
          <bgColor rgb="FFFFC7CE"/>
        </patternFill>
      </fill>
    </dxf>
    <dxf>
      <font>
        <color rgb="FFFF0000"/>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rgb="FFFF0000"/>
      </font>
    </dxf>
    <dxf>
      <font>
        <color theme="8" tint="-0.24994659260841701"/>
      </font>
    </dxf>
    <dxf>
      <font>
        <color rgb="FFFF0000"/>
      </font>
    </dxf>
    <dxf>
      <font>
        <color rgb="FFFF0000"/>
      </font>
    </dxf>
    <dxf>
      <font>
        <color rgb="FFFF0000"/>
      </font>
    </dxf>
    <dxf>
      <font>
        <color rgb="FFFF0000"/>
      </font>
    </dxf>
    <dxf>
      <font>
        <color theme="8" tint="-0.24994659260841701"/>
      </font>
    </dxf>
    <dxf>
      <font>
        <color rgb="FFFF0000"/>
      </font>
    </dxf>
    <dxf>
      <font>
        <color theme="0"/>
      </font>
      <fill>
        <patternFill>
          <bgColor rgb="FFC00000"/>
        </patternFill>
      </fill>
    </dxf>
    <dxf>
      <fill>
        <patternFill patternType="solid">
          <bgColor rgb="FFFABF8F"/>
        </patternFill>
      </fill>
    </dxf>
    <dxf>
      <fill>
        <patternFill>
          <bgColor rgb="FFFFFF99"/>
        </patternFill>
      </fill>
    </dxf>
    <dxf>
      <fill>
        <patternFill>
          <bgColor rgb="FFD8E4BC"/>
        </patternFill>
      </fill>
    </dxf>
    <dxf>
      <fill>
        <patternFill>
          <bgColor rgb="FFB8CCE4"/>
        </patternFill>
      </fill>
    </dxf>
    <dxf>
      <font>
        <color theme="0"/>
      </font>
      <fill>
        <patternFill>
          <bgColor rgb="FFFFFFFF"/>
        </patternFill>
      </fill>
    </dxf>
    <dxf>
      <font>
        <color auto="1"/>
      </font>
    </dxf>
    <dxf>
      <font>
        <color theme="0"/>
      </font>
      <fill>
        <patternFill>
          <bgColor rgb="FFFFFFFF"/>
        </patternFill>
      </fill>
    </dxf>
    <dxf>
      <font>
        <color auto="1"/>
      </font>
    </dxf>
    <dxf>
      <font>
        <color theme="0"/>
      </font>
      <fill>
        <patternFill>
          <bgColor rgb="FFFFFFFF"/>
        </patternFill>
      </fill>
    </dxf>
    <dxf>
      <font>
        <color auto="1"/>
      </font>
    </dxf>
    <dxf>
      <font>
        <color theme="0"/>
      </font>
      <fill>
        <patternFill>
          <bgColor rgb="FFFFFFFF"/>
        </patternFill>
      </fill>
    </dxf>
    <dxf>
      <font>
        <color auto="1"/>
      </font>
    </dxf>
    <dxf>
      <fill>
        <patternFill patternType="solid">
          <bgColor rgb="FFFABF8F"/>
        </patternFill>
      </fill>
    </dxf>
    <dxf>
      <fill>
        <patternFill>
          <bgColor rgb="FFFFFF99"/>
        </patternFill>
      </fill>
    </dxf>
    <dxf>
      <fill>
        <patternFill>
          <bgColor rgb="FFD8E4BC"/>
        </patternFill>
      </fill>
    </dxf>
    <dxf>
      <fill>
        <patternFill>
          <bgColor rgb="FFB8CCE4"/>
        </patternFill>
      </fill>
    </dxf>
    <dxf>
      <font>
        <color theme="0"/>
      </font>
      <fill>
        <patternFill>
          <bgColor rgb="FFFFFFFF"/>
        </patternFill>
      </fill>
    </dxf>
    <dxf>
      <font>
        <color auto="1"/>
      </font>
    </dxf>
    <dxf>
      <font>
        <color theme="0"/>
      </font>
      <fill>
        <patternFill>
          <bgColor rgb="FFFFFFFF"/>
        </patternFill>
      </fill>
    </dxf>
    <dxf>
      <font>
        <color auto="1"/>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C0C0C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993366"/>
      <rgbColor rgb="00339966"/>
      <rgbColor rgb="00CB2840"/>
      <rgbColor rgb="00007767"/>
      <rgbColor rgb="000069B3"/>
      <rgbColor rgb="00993366"/>
      <rgbColor rgb="00FFFF78"/>
      <rgbColor rgb="00FFFFFF"/>
    </indexedColors>
    <mruColors>
      <color rgb="FF0000FF"/>
      <color rgb="FF66FFCC"/>
      <color rgb="FFFFCCFF"/>
      <color rgb="FF00FFFF"/>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AU" sz="1400" b="1" i="0" u="none" strike="noStrike" baseline="0">
                <a:effectLst/>
              </a:rPr>
              <a:t>Total prescribed operating expenditure</a:t>
            </a:r>
            <a:endParaRPr lang="en-AU" sz="1400"/>
          </a:p>
        </c:rich>
      </c:tx>
      <c:overlay val="0"/>
    </c:title>
    <c:autoTitleDeleted val="0"/>
    <c:plotArea>
      <c:layout>
        <c:manualLayout>
          <c:layoutTarget val="inner"/>
          <c:xMode val="edge"/>
          <c:yMode val="edge"/>
          <c:x val="8.106010425577026E-2"/>
          <c:y val="8.8650654144849753E-2"/>
          <c:w val="0.89655825943567757"/>
          <c:h val="0.72744292407613298"/>
        </c:manualLayout>
      </c:layout>
      <c:barChart>
        <c:barDir val="col"/>
        <c:grouping val="stacked"/>
        <c:varyColors val="0"/>
        <c:ser>
          <c:idx val="0"/>
          <c:order val="0"/>
          <c:tx>
            <c:strRef>
              <c:f>Opex_FO!$Z$161</c:f>
              <c:strCache>
                <c:ptCount val="1"/>
                <c:pt idx="0">
                  <c:v>Third Reg period Opex</c:v>
                </c:pt>
              </c:strCache>
            </c:strRef>
          </c:tx>
          <c:invertIfNegative val="0"/>
          <c:cat>
            <c:strRef>
              <c:f>Opex_FO!$AA$160:$AL$160</c:f>
              <c:strCache>
                <c:ptCount val="12"/>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strCache>
            </c:strRef>
          </c:cat>
          <c:val>
            <c:numRef>
              <c:f>Opex_FO!$AA$161:$AL$161</c:f>
              <c:numCache>
                <c:formatCode>0.0</c:formatCode>
                <c:ptCount val="12"/>
                <c:pt idx="0">
                  <c:v>70.581107602468151</c:v>
                </c:pt>
                <c:pt idx="1">
                  <c:v>71.243257038247776</c:v>
                </c:pt>
              </c:numCache>
            </c:numRef>
          </c:val>
          <c:extLst>
            <c:ext xmlns:c16="http://schemas.microsoft.com/office/drawing/2014/chart" uri="{C3380CC4-5D6E-409C-BE32-E72D297353CC}">
              <c16:uniqueId val="{00000000-3CAB-4B1F-9FF9-5FFF630BD270}"/>
            </c:ext>
          </c:extLst>
        </c:ser>
        <c:ser>
          <c:idx val="1"/>
          <c:order val="1"/>
          <c:tx>
            <c:strRef>
              <c:f>Opex_FO!$Z$162</c:f>
              <c:strCache>
                <c:ptCount val="1"/>
                <c:pt idx="0">
                  <c:v>Adjusted baseline opex</c:v>
                </c:pt>
              </c:strCache>
            </c:strRef>
          </c:tx>
          <c:spPr>
            <a:solidFill>
              <a:schemeClr val="bg1">
                <a:lumMod val="85000"/>
              </a:schemeClr>
            </a:solidFill>
          </c:spPr>
          <c:invertIfNegative val="0"/>
          <c:cat>
            <c:strRef>
              <c:f>Opex_FO!$AA$160:$AL$160</c:f>
              <c:strCache>
                <c:ptCount val="12"/>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strCache>
            </c:strRef>
          </c:cat>
          <c:val>
            <c:numRef>
              <c:f>Opex_FO!$AA$162:$AL$162</c:f>
              <c:numCache>
                <c:formatCode>0.0</c:formatCode>
                <c:ptCount val="12"/>
                <c:pt idx="2">
                  <c:v>64.424961744045603</c:v>
                </c:pt>
                <c:pt idx="3">
                  <c:v>65.198061284974145</c:v>
                </c:pt>
                <c:pt idx="4">
                  <c:v>65.980438020393834</c:v>
                </c:pt>
                <c:pt idx="5">
                  <c:v>66.772203276638564</c:v>
                </c:pt>
                <c:pt idx="6">
                  <c:v>67.573469715958225</c:v>
                </c:pt>
                <c:pt idx="7">
                  <c:v>68.384351352549729</c:v>
                </c:pt>
                <c:pt idx="8">
                  <c:v>69.204963568780329</c:v>
                </c:pt>
                <c:pt idx="9">
                  <c:v>70.035423131605697</c:v>
                </c:pt>
                <c:pt idx="10">
                  <c:v>70.875848209184966</c:v>
                </c:pt>
                <c:pt idx="11">
                  <c:v>71.726358387695186</c:v>
                </c:pt>
              </c:numCache>
            </c:numRef>
          </c:val>
          <c:extLst>
            <c:ext xmlns:c16="http://schemas.microsoft.com/office/drawing/2014/chart" uri="{C3380CC4-5D6E-409C-BE32-E72D297353CC}">
              <c16:uniqueId val="{00000001-3CAB-4B1F-9FF9-5FFF630BD270}"/>
            </c:ext>
          </c:extLst>
        </c:ser>
        <c:ser>
          <c:idx val="2"/>
          <c:order val="2"/>
          <c:tx>
            <c:strRef>
              <c:f>Opex_FO!$Z$163</c:f>
              <c:strCache>
                <c:ptCount val="1"/>
                <c:pt idx="0">
                  <c:v>Forecast variations to baseline operating expenditure</c:v>
                </c:pt>
              </c:strCache>
            </c:strRef>
          </c:tx>
          <c:spPr>
            <a:solidFill>
              <a:schemeClr val="accent6">
                <a:lumMod val="40000"/>
                <a:lumOff val="60000"/>
              </a:schemeClr>
            </a:solidFill>
          </c:spPr>
          <c:invertIfNegative val="0"/>
          <c:cat>
            <c:strRef>
              <c:f>Opex_FO!$AA$160:$AL$160</c:f>
              <c:strCache>
                <c:ptCount val="12"/>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strCache>
            </c:strRef>
          </c:cat>
          <c:val>
            <c:numRef>
              <c:f>Opex_FO!$AA$163:$AL$163</c:f>
              <c:numCache>
                <c:formatCode>0.0</c:formatCode>
                <c:ptCount val="12"/>
                <c:pt idx="2">
                  <c:v>1.6528646891908396</c:v>
                </c:pt>
                <c:pt idx="3">
                  <c:v>1.9571440843050687</c:v>
                </c:pt>
                <c:pt idx="4">
                  <c:v>2.5121858877732919</c:v>
                </c:pt>
                <c:pt idx="5">
                  <c:v>2.1490839694656487</c:v>
                </c:pt>
                <c:pt idx="6">
                  <c:v>2.449083969465649</c:v>
                </c:pt>
                <c:pt idx="7">
                  <c:v>0.39408396946564883</c:v>
                </c:pt>
                <c:pt idx="8">
                  <c:v>0.39408396946564883</c:v>
                </c:pt>
                <c:pt idx="9">
                  <c:v>0.39408396946564883</c:v>
                </c:pt>
                <c:pt idx="10">
                  <c:v>0.39408396946564883</c:v>
                </c:pt>
                <c:pt idx="11">
                  <c:v>0.39408396946564883</c:v>
                </c:pt>
              </c:numCache>
            </c:numRef>
          </c:val>
          <c:extLst>
            <c:ext xmlns:c16="http://schemas.microsoft.com/office/drawing/2014/chart" uri="{C3380CC4-5D6E-409C-BE32-E72D297353CC}">
              <c16:uniqueId val="{00000002-3CAB-4B1F-9FF9-5FFF630BD270}"/>
            </c:ext>
          </c:extLst>
        </c:ser>
        <c:ser>
          <c:idx val="3"/>
          <c:order val="3"/>
          <c:tx>
            <c:strRef>
              <c:f>Opex_FO!$Z$164</c:f>
              <c:strCache>
                <c:ptCount val="1"/>
                <c:pt idx="0">
                  <c:v>Licence fees</c:v>
                </c:pt>
              </c:strCache>
            </c:strRef>
          </c:tx>
          <c:spPr>
            <a:solidFill>
              <a:schemeClr val="accent3">
                <a:lumMod val="40000"/>
                <a:lumOff val="60000"/>
              </a:schemeClr>
            </a:solidFill>
          </c:spPr>
          <c:invertIfNegative val="0"/>
          <c:cat>
            <c:strRef>
              <c:f>Opex_FO!$AA$160:$AL$160</c:f>
              <c:strCache>
                <c:ptCount val="12"/>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strCache>
            </c:strRef>
          </c:cat>
          <c:val>
            <c:numRef>
              <c:f>Opex_FO!$AA$164:$AL$164</c:f>
              <c:numCache>
                <c:formatCode>0.0</c:formatCode>
                <c:ptCount val="12"/>
                <c:pt idx="0">
                  <c:v>0</c:v>
                </c:pt>
                <c:pt idx="1">
                  <c:v>0</c:v>
                </c:pt>
                <c:pt idx="2">
                  <c:v>0.35442249883575022</c:v>
                </c:pt>
                <c:pt idx="3">
                  <c:v>0.36019080066040599</c:v>
                </c:pt>
                <c:pt idx="4">
                  <c:v>0.36736402074742946</c:v>
                </c:pt>
                <c:pt idx="5">
                  <c:v>0.36966585718153994</c:v>
                </c:pt>
                <c:pt idx="6">
                  <c:v>0.37557331513767733</c:v>
                </c:pt>
                <c:pt idx="7">
                  <c:v>0.36890669447750407</c:v>
                </c:pt>
                <c:pt idx="8">
                  <c:v>0.37330913667686016</c:v>
                </c:pt>
                <c:pt idx="9">
                  <c:v>0.37776437047015476</c:v>
                </c:pt>
                <c:pt idx="10">
                  <c:v>0.38227303013224134</c:v>
                </c:pt>
                <c:pt idx="11">
                  <c:v>0.38683575762349243</c:v>
                </c:pt>
              </c:numCache>
            </c:numRef>
          </c:val>
          <c:extLst>
            <c:ext xmlns:c16="http://schemas.microsoft.com/office/drawing/2014/chart" uri="{C3380CC4-5D6E-409C-BE32-E72D297353CC}">
              <c16:uniqueId val="{00000003-3CAB-4B1F-9FF9-5FFF630BD270}"/>
            </c:ext>
          </c:extLst>
        </c:ser>
        <c:ser>
          <c:idx val="4"/>
          <c:order val="4"/>
          <c:tx>
            <c:strRef>
              <c:f>Opex_FO!$Z$165</c:f>
              <c:strCache>
                <c:ptCount val="1"/>
                <c:pt idx="0">
                  <c:v>Environment Contribution</c:v>
                </c:pt>
              </c:strCache>
            </c:strRef>
          </c:tx>
          <c:invertIfNegative val="0"/>
          <c:cat>
            <c:strRef>
              <c:f>Opex_FO!$AA$160:$AL$160</c:f>
              <c:strCache>
                <c:ptCount val="12"/>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strCache>
            </c:strRef>
          </c:cat>
          <c:val>
            <c:numRef>
              <c:f>Opex_FO!$AA$165:$AL$165</c:f>
              <c:numCache>
                <c:formatCode>0.0</c:formatCode>
                <c:ptCount val="12"/>
                <c:pt idx="0">
                  <c:v>0</c:v>
                </c:pt>
                <c:pt idx="1">
                  <c:v>0</c:v>
                </c:pt>
                <c:pt idx="2">
                  <c:v>4.9298525622029192</c:v>
                </c:pt>
                <c:pt idx="3">
                  <c:v>6.0635470838900023</c:v>
                </c:pt>
                <c:pt idx="4">
                  <c:v>5.9943256942346048</c:v>
                </c:pt>
                <c:pt idx="5">
                  <c:v>5.8470993091826529</c:v>
                </c:pt>
                <c:pt idx="6">
                  <c:v>5.758205922343576</c:v>
                </c:pt>
                <c:pt idx="7">
                  <c:v>5.4834433379296588</c:v>
                </c:pt>
                <c:pt idx="8">
                  <c:v>5.3786502461400234</c:v>
                </c:pt>
                <c:pt idx="9">
                  <c:v>5.2758621872193761</c:v>
                </c:pt>
                <c:pt idx="10">
                  <c:v>5.175040631398665</c:v>
                </c:pt>
                <c:pt idx="11">
                  <c:v>5.0761478083583222</c:v>
                </c:pt>
              </c:numCache>
            </c:numRef>
          </c:val>
          <c:extLst>
            <c:ext xmlns:c16="http://schemas.microsoft.com/office/drawing/2014/chart" uri="{C3380CC4-5D6E-409C-BE32-E72D297353CC}">
              <c16:uniqueId val="{00000004-3CAB-4B1F-9FF9-5FFF630BD270}"/>
            </c:ext>
          </c:extLst>
        </c:ser>
        <c:ser>
          <c:idx val="5"/>
          <c:order val="5"/>
          <c:tx>
            <c:strRef>
              <c:f>Opex_FO!$Z$166</c:f>
              <c:strCache>
                <c:ptCount val="1"/>
                <c:pt idx="0">
                  <c:v>External bulk water charges</c:v>
                </c:pt>
              </c:strCache>
            </c:strRef>
          </c:tx>
          <c:spPr>
            <a:solidFill>
              <a:schemeClr val="bg2">
                <a:lumMod val="90000"/>
              </a:schemeClr>
            </a:solidFill>
          </c:spPr>
          <c:invertIfNegative val="0"/>
          <c:cat>
            <c:strRef>
              <c:f>Opex_FO!$AA$160:$AL$160</c:f>
              <c:strCache>
                <c:ptCount val="12"/>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strCache>
            </c:strRef>
          </c:cat>
          <c:val>
            <c:numRef>
              <c:f>Opex_FO!$AA$166:$AL$166</c:f>
              <c:numCache>
                <c:formatCode>0.0</c:formatCode>
                <c:ptCount val="12"/>
                <c:pt idx="0">
                  <c:v>0</c:v>
                </c:pt>
                <c:pt idx="1">
                  <c:v>0</c:v>
                </c:pt>
                <c:pt idx="2">
                  <c:v>0.64764458258572433</c:v>
                </c:pt>
                <c:pt idx="3">
                  <c:v>0.65818373544172548</c:v>
                </c:pt>
                <c:pt idx="4">
                  <c:v>0.67129085321641702</c:v>
                </c:pt>
                <c:pt idx="5">
                  <c:v>0.6754975289275913</c:v>
                </c:pt>
                <c:pt idx="6">
                  <c:v>0.68629202214934182</c:v>
                </c:pt>
                <c:pt idx="7">
                  <c:v>0.67411240375302706</c:v>
                </c:pt>
                <c:pt idx="8">
                  <c:v>0.68215706517938446</c:v>
                </c:pt>
                <c:pt idx="9">
                  <c:v>0.69029819230124045</c:v>
                </c:pt>
                <c:pt idx="10">
                  <c:v>0.69853694397551813</c:v>
                </c:pt>
                <c:pt idx="11">
                  <c:v>0.70687449311089889</c:v>
                </c:pt>
              </c:numCache>
            </c:numRef>
          </c:val>
          <c:extLst>
            <c:ext xmlns:c16="http://schemas.microsoft.com/office/drawing/2014/chart" uri="{C3380CC4-5D6E-409C-BE32-E72D297353CC}">
              <c16:uniqueId val="{00000005-3CAB-4B1F-9FF9-5FFF630BD270}"/>
            </c:ext>
          </c:extLst>
        </c:ser>
        <c:ser>
          <c:idx val="6"/>
          <c:order val="6"/>
          <c:tx>
            <c:strRef>
              <c:f>Opex_FO!$Z$167</c:f>
              <c:strCache>
                <c:ptCount val="1"/>
                <c:pt idx="0">
                  <c:v>External temporary water purchases</c:v>
                </c:pt>
              </c:strCache>
            </c:strRef>
          </c:tx>
          <c:invertIfNegative val="0"/>
          <c:cat>
            <c:strRef>
              <c:f>Opex_FO!$AA$160:$AL$160</c:f>
              <c:strCache>
                <c:ptCount val="12"/>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strCache>
            </c:strRef>
          </c:cat>
          <c:val>
            <c:numRef>
              <c:f>Opex_FO!$AA$167:$AL$167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3CAB-4B1F-9FF9-5FFF630BD270}"/>
            </c:ext>
          </c:extLst>
        </c:ser>
        <c:ser>
          <c:idx val="7"/>
          <c:order val="7"/>
          <c:tx>
            <c:strRef>
              <c:f>Opex_FO!$Z$168</c:f>
              <c:strCache>
                <c:ptCount val="1"/>
                <c:pt idx="0">
                  <c:v>Other non-controllable</c:v>
                </c:pt>
              </c:strCache>
            </c:strRef>
          </c:tx>
          <c:invertIfNegative val="0"/>
          <c:cat>
            <c:strRef>
              <c:f>Opex_FO!$AA$160:$AL$160</c:f>
              <c:strCache>
                <c:ptCount val="12"/>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strCache>
            </c:strRef>
          </c:cat>
          <c:val>
            <c:numRef>
              <c:f>Opex_FO!$AA$168:$AL$168</c:f>
              <c:numCache>
                <c:formatCode>0.0</c:formatCode>
                <c:ptCount val="12"/>
                <c:pt idx="0">
                  <c:v>0</c:v>
                </c:pt>
                <c:pt idx="1">
                  <c:v>0</c:v>
                </c:pt>
                <c:pt idx="2">
                  <c:v>0.15972376106989561</c:v>
                </c:pt>
                <c:pt idx="3">
                  <c:v>0.1623221771028128</c:v>
                </c:pt>
                <c:pt idx="4">
                  <c:v>0.16555432402893766</c:v>
                </c:pt>
                <c:pt idx="5">
                  <c:v>0.16659204234519615</c:v>
                </c:pt>
                <c:pt idx="6">
                  <c:v>0.16925402679043447</c:v>
                </c:pt>
                <c:pt idx="7">
                  <c:v>0.16625158013638497</c:v>
                </c:pt>
                <c:pt idx="8">
                  <c:v>0.16823556764704767</c:v>
                </c:pt>
                <c:pt idx="9">
                  <c:v>0.17024334660656296</c:v>
                </c:pt>
                <c:pt idx="10">
                  <c:v>0.17227520276183914</c:v>
                </c:pt>
                <c:pt idx="11">
                  <c:v>0.17433142532597889</c:v>
                </c:pt>
              </c:numCache>
            </c:numRef>
          </c:val>
          <c:extLst>
            <c:ext xmlns:c16="http://schemas.microsoft.com/office/drawing/2014/chart" uri="{C3380CC4-5D6E-409C-BE32-E72D297353CC}">
              <c16:uniqueId val="{00000007-3CAB-4B1F-9FF9-5FFF630BD270}"/>
            </c:ext>
          </c:extLst>
        </c:ser>
        <c:dLbls>
          <c:showLegendKey val="0"/>
          <c:showVal val="0"/>
          <c:showCatName val="0"/>
          <c:showSerName val="0"/>
          <c:showPercent val="0"/>
          <c:showBubbleSize val="0"/>
        </c:dLbls>
        <c:gapWidth val="82"/>
        <c:overlap val="100"/>
        <c:axId val="194916464"/>
        <c:axId val="194916856"/>
      </c:barChart>
      <c:catAx>
        <c:axId val="194916464"/>
        <c:scaling>
          <c:orientation val="minMax"/>
        </c:scaling>
        <c:delete val="0"/>
        <c:axPos val="b"/>
        <c:numFmt formatCode="General" sourceLinked="1"/>
        <c:majorTickMark val="out"/>
        <c:minorTickMark val="none"/>
        <c:tickLblPos val="nextTo"/>
        <c:crossAx val="194916856"/>
        <c:crosses val="autoZero"/>
        <c:auto val="1"/>
        <c:lblAlgn val="ctr"/>
        <c:lblOffset val="100"/>
        <c:noMultiLvlLbl val="0"/>
      </c:catAx>
      <c:valAx>
        <c:axId val="194916856"/>
        <c:scaling>
          <c:orientation val="minMax"/>
        </c:scaling>
        <c:delete val="0"/>
        <c:axPos val="l"/>
        <c:majorGridlines>
          <c:spPr>
            <a:ln>
              <a:solidFill>
                <a:schemeClr val="bg1">
                  <a:lumMod val="85000"/>
                </a:schemeClr>
              </a:solidFill>
            </a:ln>
          </c:spPr>
        </c:majorGridlines>
        <c:numFmt formatCode="#,##0.0" sourceLinked="0"/>
        <c:majorTickMark val="out"/>
        <c:minorTickMark val="none"/>
        <c:tickLblPos val="nextTo"/>
        <c:crossAx val="194916464"/>
        <c:crosses val="autoZero"/>
        <c:crossBetween val="between"/>
      </c:valAx>
    </c:plotArea>
    <c:legend>
      <c:legendPos val="r"/>
      <c:layout>
        <c:manualLayout>
          <c:xMode val="edge"/>
          <c:yMode val="edge"/>
          <c:x val="4.9891996804605121E-4"/>
          <c:y val="0.88015129617397325"/>
          <c:w val="0.99950108003195393"/>
          <c:h val="0.11984870382602679"/>
        </c:manualLayout>
      </c:layout>
      <c:overlay val="0"/>
      <c:txPr>
        <a:bodyPr/>
        <a:lstStyle/>
        <a:p>
          <a:pPr>
            <a:defRPr sz="1050"/>
          </a:pPr>
          <a:endParaRPr lang="en-US"/>
        </a:p>
      </c:txPr>
    </c:legend>
    <c:plotVisOnly val="1"/>
    <c:dispBlanksAs val="gap"/>
    <c:showDLblsOverMax val="0"/>
  </c:chart>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Interest cover (times)</a:t>
            </a:r>
          </a:p>
        </c:rich>
      </c:tx>
      <c:overlay val="0"/>
    </c:title>
    <c:autoTitleDeleted val="0"/>
    <c:plotArea>
      <c:layout/>
      <c:barChart>
        <c:barDir val="col"/>
        <c:grouping val="clustered"/>
        <c:varyColors val="0"/>
        <c:ser>
          <c:idx val="0"/>
          <c:order val="0"/>
          <c:tx>
            <c:strRef>
              <c:f>'Dashboard - Data'!$C$101</c:f>
              <c:strCache>
                <c:ptCount val="1"/>
                <c:pt idx="0">
                  <c:v>Interest cover</c:v>
                </c:pt>
              </c:strCache>
            </c:strRef>
          </c:tx>
          <c:invertIfNegative val="0"/>
          <c:cat>
            <c:strRef>
              <c:f>'Dashboard - Data'!$D$100:$R$100</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Data'!$D$101:$R$101</c:f>
              <c:numCache>
                <c:formatCode>0.00</c:formatCode>
                <c:ptCount val="15"/>
                <c:pt idx="0">
                  <c:v>3.9705213135419863</c:v>
                </c:pt>
                <c:pt idx="1">
                  <c:v>4.5202338765719645</c:v>
                </c:pt>
                <c:pt idx="2">
                  <c:v>4.5340223209272486</c:v>
                </c:pt>
                <c:pt idx="3">
                  <c:v>3.8961290964137807</c:v>
                </c:pt>
                <c:pt idx="4">
                  <c:v>4.2410092727136472</c:v>
                </c:pt>
                <c:pt idx="5">
                  <c:v>4.0684341194253468</c:v>
                </c:pt>
                <c:pt idx="6">
                  <c:v>3.857268513079692</c:v>
                </c:pt>
                <c:pt idx="7">
                  <c:v>3.7767246428027152</c:v>
                </c:pt>
                <c:pt idx="8">
                  <c:v>3.812447249670746</c:v>
                </c:pt>
                <c:pt idx="9">
                  <c:v>3.8030390564786121</c:v>
                </c:pt>
                <c:pt idx="10">
                  <c:v>4.1260322086519308</c:v>
                </c:pt>
                <c:pt idx="11">
                  <c:v>3.587244622919461</c:v>
                </c:pt>
                <c:pt idx="12">
                  <c:v>3.2562262237409838</c:v>
                </c:pt>
                <c:pt idx="13">
                  <c:v>3.217797564816816</c:v>
                </c:pt>
                <c:pt idx="14">
                  <c:v>3.3038423827455725</c:v>
                </c:pt>
              </c:numCache>
            </c:numRef>
          </c:val>
          <c:extLst>
            <c:ext xmlns:c16="http://schemas.microsoft.com/office/drawing/2014/chart" uri="{C3380CC4-5D6E-409C-BE32-E72D297353CC}">
              <c16:uniqueId val="{00000000-ADBA-41CA-AD59-744C3F2CC80A}"/>
            </c:ext>
          </c:extLst>
        </c:ser>
        <c:dLbls>
          <c:showLegendKey val="0"/>
          <c:showVal val="0"/>
          <c:showCatName val="0"/>
          <c:showSerName val="0"/>
          <c:showPercent val="0"/>
          <c:showBubbleSize val="0"/>
        </c:dLbls>
        <c:gapWidth val="75"/>
        <c:overlap val="-25"/>
        <c:axId val="608613904"/>
        <c:axId val="637462840"/>
      </c:barChart>
      <c:catAx>
        <c:axId val="608613904"/>
        <c:scaling>
          <c:orientation val="minMax"/>
        </c:scaling>
        <c:delete val="0"/>
        <c:axPos val="b"/>
        <c:numFmt formatCode="General" sourceLinked="0"/>
        <c:majorTickMark val="none"/>
        <c:minorTickMark val="none"/>
        <c:tickLblPos val="nextTo"/>
        <c:crossAx val="637462840"/>
        <c:crosses val="autoZero"/>
        <c:auto val="1"/>
        <c:lblAlgn val="ctr"/>
        <c:lblOffset val="100"/>
        <c:noMultiLvlLbl val="0"/>
      </c:catAx>
      <c:valAx>
        <c:axId val="637462840"/>
        <c:scaling>
          <c:orientation val="minMax"/>
        </c:scaling>
        <c:delete val="0"/>
        <c:axPos val="l"/>
        <c:majorGridlines/>
        <c:numFmt formatCode="0.00" sourceLinked="1"/>
        <c:majorTickMark val="none"/>
        <c:minorTickMark val="none"/>
        <c:tickLblPos val="nextTo"/>
        <c:spPr>
          <a:ln w="9525">
            <a:noFill/>
          </a:ln>
        </c:spPr>
        <c:crossAx val="60861390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Internal financing ratio (%)</a:t>
            </a:r>
          </a:p>
        </c:rich>
      </c:tx>
      <c:overlay val="0"/>
    </c:title>
    <c:autoTitleDeleted val="0"/>
    <c:plotArea>
      <c:layout/>
      <c:barChart>
        <c:barDir val="col"/>
        <c:grouping val="clustered"/>
        <c:varyColors val="0"/>
        <c:ser>
          <c:idx val="0"/>
          <c:order val="0"/>
          <c:tx>
            <c:strRef>
              <c:f>'Dashboard - Data'!$C$105</c:f>
              <c:strCache>
                <c:ptCount val="1"/>
                <c:pt idx="0">
                  <c:v>Internal financing ratio</c:v>
                </c:pt>
              </c:strCache>
            </c:strRef>
          </c:tx>
          <c:invertIfNegative val="0"/>
          <c:cat>
            <c:strRef>
              <c:f>'Dashboard - Data'!$D$104:$R$104</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Data'!$D$105:$R$105</c:f>
              <c:numCache>
                <c:formatCode>0.00%</c:formatCode>
                <c:ptCount val="15"/>
                <c:pt idx="0">
                  <c:v>0.7570780547013336</c:v>
                </c:pt>
                <c:pt idx="1">
                  <c:v>0.84673693702753161</c:v>
                </c:pt>
                <c:pt idx="2">
                  <c:v>0.9466287595006585</c:v>
                </c:pt>
                <c:pt idx="3">
                  <c:v>0.77197506535415528</c:v>
                </c:pt>
                <c:pt idx="4">
                  <c:v>0.65550562176008964</c:v>
                </c:pt>
                <c:pt idx="5">
                  <c:v>0.53072579051352009</c:v>
                </c:pt>
                <c:pt idx="6">
                  <c:v>0.55303099753440776</c:v>
                </c:pt>
                <c:pt idx="7">
                  <c:v>0.59627793316666888</c:v>
                </c:pt>
                <c:pt idx="8">
                  <c:v>0.63420659595897133</c:v>
                </c:pt>
                <c:pt idx="9">
                  <c:v>0.66661548328791043</c:v>
                </c:pt>
                <c:pt idx="10">
                  <c:v>0.4586341351692757</c:v>
                </c:pt>
                <c:pt idx="11">
                  <c:v>0.48310999878253486</c:v>
                </c:pt>
                <c:pt idx="12">
                  <c:v>0.75127875438461378</c:v>
                </c:pt>
                <c:pt idx="13">
                  <c:v>1.0512490144541788</c:v>
                </c:pt>
                <c:pt idx="14">
                  <c:v>0.84042737637344789</c:v>
                </c:pt>
              </c:numCache>
            </c:numRef>
          </c:val>
          <c:extLst>
            <c:ext xmlns:c16="http://schemas.microsoft.com/office/drawing/2014/chart" uri="{C3380CC4-5D6E-409C-BE32-E72D297353CC}">
              <c16:uniqueId val="{00000000-6FA0-4C9F-B874-64651E287F5A}"/>
            </c:ext>
          </c:extLst>
        </c:ser>
        <c:dLbls>
          <c:showLegendKey val="0"/>
          <c:showVal val="0"/>
          <c:showCatName val="0"/>
          <c:showSerName val="0"/>
          <c:showPercent val="0"/>
          <c:showBubbleSize val="0"/>
        </c:dLbls>
        <c:gapWidth val="75"/>
        <c:overlap val="-25"/>
        <c:axId val="637458920"/>
        <c:axId val="637464016"/>
      </c:barChart>
      <c:catAx>
        <c:axId val="637458920"/>
        <c:scaling>
          <c:orientation val="minMax"/>
        </c:scaling>
        <c:delete val="0"/>
        <c:axPos val="b"/>
        <c:numFmt formatCode="General" sourceLinked="0"/>
        <c:majorTickMark val="none"/>
        <c:minorTickMark val="none"/>
        <c:tickLblPos val="nextTo"/>
        <c:crossAx val="637464016"/>
        <c:crosses val="autoZero"/>
        <c:auto val="1"/>
        <c:lblAlgn val="ctr"/>
        <c:lblOffset val="100"/>
        <c:noMultiLvlLbl val="0"/>
      </c:catAx>
      <c:valAx>
        <c:axId val="637464016"/>
        <c:scaling>
          <c:orientation val="minMax"/>
        </c:scaling>
        <c:delete val="0"/>
        <c:axPos val="l"/>
        <c:majorGridlines/>
        <c:numFmt formatCode="0.00%" sourceLinked="1"/>
        <c:majorTickMark val="none"/>
        <c:minorTickMark val="none"/>
        <c:tickLblPos val="nextTo"/>
        <c:spPr>
          <a:ln w="9525">
            <a:noFill/>
          </a:ln>
        </c:spPr>
        <c:crossAx val="63745892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Composition of RAV ($)</a:t>
            </a:r>
          </a:p>
        </c:rich>
      </c:tx>
      <c:overlay val="0"/>
    </c:title>
    <c:autoTitleDeleted val="0"/>
    <c:plotArea>
      <c:layout/>
      <c:areaChart>
        <c:grouping val="stacked"/>
        <c:varyColors val="0"/>
        <c:ser>
          <c:idx val="0"/>
          <c:order val="0"/>
          <c:tx>
            <c:strRef>
              <c:f>'Dashboard - Data'!$Z$100</c:f>
              <c:strCache>
                <c:ptCount val="1"/>
                <c:pt idx="0">
                  <c:v>Existing assets </c:v>
                </c:pt>
              </c:strCache>
            </c:strRef>
          </c:tx>
          <c:cat>
            <c:strRef>
              <c:f>'Dashboard - Data'!$AA$99:$AO$99</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Data'!$AA$100:$AO$100</c:f>
              <c:numCache>
                <c:formatCode>0.00</c:formatCode>
                <c:ptCount val="15"/>
                <c:pt idx="0">
                  <c:v>381.77089091210621</c:v>
                </c:pt>
                <c:pt idx="1">
                  <c:v>391.44541992819109</c:v>
                </c:pt>
                <c:pt idx="2">
                  <c:v>401.74728460409568</c:v>
                </c:pt>
                <c:pt idx="3">
                  <c:v>405.58945076821254</c:v>
                </c:pt>
                <c:pt idx="4">
                  <c:v>409.3710695194622</c:v>
                </c:pt>
                <c:pt idx="5">
                  <c:v>421.14965328812417</c:v>
                </c:pt>
                <c:pt idx="6">
                  <c:v>400.95561958358235</c:v>
                </c:pt>
                <c:pt idx="7">
                  <c:v>379.80908181675397</c:v>
                </c:pt>
                <c:pt idx="8">
                  <c:v>357.73965413296656</c:v>
                </c:pt>
                <c:pt idx="9">
                  <c:v>334.78105162231714</c:v>
                </c:pt>
                <c:pt idx="10">
                  <c:v>310.88304908166822</c:v>
                </c:pt>
                <c:pt idx="11">
                  <c:v>286.01547002838981</c:v>
                </c:pt>
                <c:pt idx="12">
                  <c:v>258.61682156641507</c:v>
                </c:pt>
                <c:pt idx="13">
                  <c:v>228.96198671755076</c:v>
                </c:pt>
                <c:pt idx="14">
                  <c:v>198.39688394117462</c:v>
                </c:pt>
              </c:numCache>
            </c:numRef>
          </c:val>
          <c:extLst>
            <c:ext xmlns:c16="http://schemas.microsoft.com/office/drawing/2014/chart" uri="{C3380CC4-5D6E-409C-BE32-E72D297353CC}">
              <c16:uniqueId val="{00000000-C5AF-4F9B-B624-230E5E79C964}"/>
            </c:ext>
          </c:extLst>
        </c:ser>
        <c:ser>
          <c:idx val="1"/>
          <c:order val="1"/>
          <c:tx>
            <c:strRef>
              <c:f>'Dashboard - Data'!$Z$101</c:f>
              <c:strCache>
                <c:ptCount val="1"/>
                <c:pt idx="0">
                  <c:v>New assets</c:v>
                </c:pt>
              </c:strCache>
            </c:strRef>
          </c:tx>
          <c:spPr>
            <a:ln w="25400">
              <a:noFill/>
            </a:ln>
          </c:spPr>
          <c:cat>
            <c:strRef>
              <c:f>'Dashboard - Data'!$AA$99:$AO$99</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Data'!$AA$101:$AO$101</c:f>
              <c:numCache>
                <c:formatCode>0.00</c:formatCode>
                <c:ptCount val="15"/>
                <c:pt idx="0">
                  <c:v>0</c:v>
                </c:pt>
                <c:pt idx="1">
                  <c:v>0</c:v>
                </c:pt>
                <c:pt idx="2">
                  <c:v>0</c:v>
                </c:pt>
                <c:pt idx="3">
                  <c:v>0</c:v>
                </c:pt>
                <c:pt idx="4">
                  <c:v>0</c:v>
                </c:pt>
                <c:pt idx="5">
                  <c:v>0</c:v>
                </c:pt>
                <c:pt idx="6">
                  <c:v>40.374971200000005</c:v>
                </c:pt>
                <c:pt idx="7">
                  <c:v>81.071507200000013</c:v>
                </c:pt>
                <c:pt idx="8">
                  <c:v>121.97273120000003</c:v>
                </c:pt>
                <c:pt idx="9">
                  <c:v>164.83088320000005</c:v>
                </c:pt>
                <c:pt idx="10">
                  <c:v>209.26961120000004</c:v>
                </c:pt>
                <c:pt idx="11">
                  <c:v>287.9002832000001</c:v>
                </c:pt>
                <c:pt idx="12">
                  <c:v>363.21255520000011</c:v>
                </c:pt>
                <c:pt idx="13">
                  <c:v>412.14354720000011</c:v>
                </c:pt>
                <c:pt idx="14">
                  <c:v>448.33285920000014</c:v>
                </c:pt>
              </c:numCache>
            </c:numRef>
          </c:val>
          <c:extLst>
            <c:ext xmlns:c16="http://schemas.microsoft.com/office/drawing/2014/chart" uri="{C3380CC4-5D6E-409C-BE32-E72D297353CC}">
              <c16:uniqueId val="{00000001-C5AF-4F9B-B624-230E5E79C964}"/>
            </c:ext>
          </c:extLst>
        </c:ser>
        <c:dLbls>
          <c:showLegendKey val="0"/>
          <c:showVal val="0"/>
          <c:showCatName val="0"/>
          <c:showSerName val="0"/>
          <c:showPercent val="0"/>
          <c:showBubbleSize val="0"/>
        </c:dLbls>
        <c:axId val="637460880"/>
        <c:axId val="637459312"/>
      </c:areaChart>
      <c:catAx>
        <c:axId val="637460880"/>
        <c:scaling>
          <c:orientation val="minMax"/>
        </c:scaling>
        <c:delete val="0"/>
        <c:axPos val="b"/>
        <c:numFmt formatCode="General" sourceLinked="0"/>
        <c:majorTickMark val="none"/>
        <c:minorTickMark val="none"/>
        <c:tickLblPos val="nextTo"/>
        <c:crossAx val="637459312"/>
        <c:crosses val="autoZero"/>
        <c:auto val="1"/>
        <c:lblAlgn val="ctr"/>
        <c:lblOffset val="100"/>
        <c:noMultiLvlLbl val="0"/>
      </c:catAx>
      <c:valAx>
        <c:axId val="637459312"/>
        <c:scaling>
          <c:orientation val="minMax"/>
        </c:scaling>
        <c:delete val="0"/>
        <c:axPos val="l"/>
        <c:majorGridlines/>
        <c:numFmt formatCode="0.00" sourceLinked="1"/>
        <c:majorTickMark val="none"/>
        <c:minorTickMark val="none"/>
        <c:tickLblPos val="nextTo"/>
        <c:crossAx val="637460880"/>
        <c:crosses val="autoZero"/>
        <c:crossBetween val="midCat"/>
      </c:valAx>
    </c:plotArea>
    <c:legend>
      <c:legendPos val="b"/>
      <c:overlay val="0"/>
    </c:legend>
    <c:plotVisOnly val="1"/>
    <c:dispBlanksAs val="zero"/>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Composition of revenue requirement</a:t>
            </a:r>
            <a:r>
              <a:rPr lang="en-AU" baseline="0"/>
              <a:t> for regulatory period ($m)</a:t>
            </a:r>
            <a:endParaRPr lang="en-AU"/>
          </a:p>
        </c:rich>
      </c:tx>
      <c:overlay val="0"/>
    </c:title>
    <c:autoTitleDeleted val="0"/>
    <c:plotArea>
      <c:layout>
        <c:manualLayout>
          <c:layoutTarget val="inner"/>
          <c:xMode val="edge"/>
          <c:yMode val="edge"/>
          <c:x val="0.20400184328104026"/>
          <c:y val="0.20949489026637627"/>
          <c:w val="0.65961138827112265"/>
          <c:h val="0.47118194002345454"/>
        </c:manualLayout>
      </c:layout>
      <c:barChart>
        <c:barDir val="col"/>
        <c:grouping val="stacked"/>
        <c:varyColors val="0"/>
        <c:ser>
          <c:idx val="0"/>
          <c:order val="0"/>
          <c:tx>
            <c:strRef>
              <c:f>'Dashboard - Data'!$C$19</c:f>
              <c:strCache>
                <c:ptCount val="1"/>
                <c:pt idx="0">
                  <c:v>Operating expenditure</c:v>
                </c:pt>
              </c:strCache>
            </c:strRef>
          </c:tx>
          <c:invertIfNegative val="0"/>
          <c:cat>
            <c:strRef>
              <c:f>'Dashboard - Data'!$D$18</c:f>
              <c:strCache>
                <c:ptCount val="1"/>
                <c:pt idx="0">
                  <c:v>5th reg period</c:v>
                </c:pt>
              </c:strCache>
            </c:strRef>
          </c:cat>
          <c:val>
            <c:numRef>
              <c:f>'Dashboard - Data'!$D$19</c:f>
              <c:numCache>
                <c:formatCode>#,##0.00</c:formatCode>
                <c:ptCount val="1"/>
                <c:pt idx="0">
                  <c:v>375.25209876028555</c:v>
                </c:pt>
              </c:numCache>
            </c:numRef>
          </c:val>
          <c:extLst>
            <c:ext xmlns:c16="http://schemas.microsoft.com/office/drawing/2014/chart" uri="{C3380CC4-5D6E-409C-BE32-E72D297353CC}">
              <c16:uniqueId val="{00000000-F822-4730-B48F-0B0B699A2752}"/>
            </c:ext>
          </c:extLst>
        </c:ser>
        <c:ser>
          <c:idx val="1"/>
          <c:order val="1"/>
          <c:tx>
            <c:strRef>
              <c:f>'Dashboard - Data'!$C$20</c:f>
              <c:strCache>
                <c:ptCount val="1"/>
                <c:pt idx="0">
                  <c:v>Return on assets</c:v>
                </c:pt>
              </c:strCache>
            </c:strRef>
          </c:tx>
          <c:invertIfNegative val="0"/>
          <c:cat>
            <c:strRef>
              <c:f>'Dashboard - Data'!$D$18</c:f>
              <c:strCache>
                <c:ptCount val="1"/>
                <c:pt idx="0">
                  <c:v>5th reg period</c:v>
                </c:pt>
              </c:strCache>
            </c:strRef>
          </c:cat>
          <c:val>
            <c:numRef>
              <c:f>'Dashboard - Data'!$D$20</c:f>
              <c:numCache>
                <c:formatCode>#,##0.00</c:formatCode>
                <c:ptCount val="1"/>
                <c:pt idx="0">
                  <c:v>53.655600995741949</c:v>
                </c:pt>
              </c:numCache>
            </c:numRef>
          </c:val>
          <c:extLst>
            <c:ext xmlns:c16="http://schemas.microsoft.com/office/drawing/2014/chart" uri="{C3380CC4-5D6E-409C-BE32-E72D297353CC}">
              <c16:uniqueId val="{00000001-F822-4730-B48F-0B0B699A2752}"/>
            </c:ext>
          </c:extLst>
        </c:ser>
        <c:ser>
          <c:idx val="2"/>
          <c:order val="2"/>
          <c:tx>
            <c:strRef>
              <c:f>'Dashboard - Data'!$C$21</c:f>
              <c:strCache>
                <c:ptCount val="1"/>
                <c:pt idx="0">
                  <c:v>Regulatory depreciation of assets</c:v>
                </c:pt>
              </c:strCache>
            </c:strRef>
          </c:tx>
          <c:invertIfNegative val="0"/>
          <c:cat>
            <c:strRef>
              <c:f>'Dashboard - Data'!$D$18</c:f>
              <c:strCache>
                <c:ptCount val="1"/>
                <c:pt idx="0">
                  <c:v>5th reg period</c:v>
                </c:pt>
              </c:strCache>
            </c:strRef>
          </c:cat>
          <c:val>
            <c:numRef>
              <c:f>'Dashboard - Data'!$D$21</c:f>
              <c:numCache>
                <c:formatCode>0.00</c:formatCode>
                <c:ptCount val="1"/>
                <c:pt idx="0">
                  <c:v>114.37029100245596</c:v>
                </c:pt>
              </c:numCache>
            </c:numRef>
          </c:val>
          <c:extLst>
            <c:ext xmlns:c16="http://schemas.microsoft.com/office/drawing/2014/chart" uri="{C3380CC4-5D6E-409C-BE32-E72D297353CC}">
              <c16:uniqueId val="{00000002-F822-4730-B48F-0B0B699A2752}"/>
            </c:ext>
          </c:extLst>
        </c:ser>
        <c:ser>
          <c:idx val="3"/>
          <c:order val="3"/>
          <c:tx>
            <c:strRef>
              <c:f>'Dashboard - Data'!$C$22</c:f>
              <c:strCache>
                <c:ptCount val="1"/>
                <c:pt idx="0">
                  <c:v>Adjustments from last period</c:v>
                </c:pt>
              </c:strCache>
            </c:strRef>
          </c:tx>
          <c:invertIfNegative val="0"/>
          <c:cat>
            <c:strRef>
              <c:f>'Dashboard - Data'!$D$18</c:f>
              <c:strCache>
                <c:ptCount val="1"/>
                <c:pt idx="0">
                  <c:v>5th reg period</c:v>
                </c:pt>
              </c:strCache>
            </c:strRef>
          </c:cat>
          <c:val>
            <c:numRef>
              <c:f>'Dashboard - Data'!$D$22</c:f>
              <c:numCache>
                <c:formatCode>0.00</c:formatCode>
                <c:ptCount val="1"/>
                <c:pt idx="0">
                  <c:v>0</c:v>
                </c:pt>
              </c:numCache>
            </c:numRef>
          </c:val>
          <c:extLst>
            <c:ext xmlns:c16="http://schemas.microsoft.com/office/drawing/2014/chart" uri="{C3380CC4-5D6E-409C-BE32-E72D297353CC}">
              <c16:uniqueId val="{00000003-F822-4730-B48F-0B0B699A2752}"/>
            </c:ext>
          </c:extLst>
        </c:ser>
        <c:ser>
          <c:idx val="4"/>
          <c:order val="4"/>
          <c:tx>
            <c:strRef>
              <c:f>'Dashboard - Data'!$C$23</c:f>
              <c:strCache>
                <c:ptCount val="1"/>
                <c:pt idx="0">
                  <c:v>Non-prescribed revenue offset of revenue requirement</c:v>
                </c:pt>
              </c:strCache>
            </c:strRef>
          </c:tx>
          <c:invertIfNegative val="0"/>
          <c:cat>
            <c:strRef>
              <c:f>'Dashboard - Data'!$D$18</c:f>
              <c:strCache>
                <c:ptCount val="1"/>
                <c:pt idx="0">
                  <c:v>5th reg period</c:v>
                </c:pt>
              </c:strCache>
            </c:strRef>
          </c:cat>
          <c:val>
            <c:numRef>
              <c:f>'Dashboard - Data'!$D$23</c:f>
              <c:numCache>
                <c:formatCode>0.00</c:formatCode>
                <c:ptCount val="1"/>
                <c:pt idx="0">
                  <c:v>0</c:v>
                </c:pt>
              </c:numCache>
            </c:numRef>
          </c:val>
          <c:extLst>
            <c:ext xmlns:c16="http://schemas.microsoft.com/office/drawing/2014/chart" uri="{C3380CC4-5D6E-409C-BE32-E72D297353CC}">
              <c16:uniqueId val="{00000004-F822-4730-B48F-0B0B699A2752}"/>
            </c:ext>
          </c:extLst>
        </c:ser>
        <c:ser>
          <c:idx val="5"/>
          <c:order val="5"/>
          <c:tx>
            <c:strRef>
              <c:f>'Dashboard - Data'!$C$24</c:f>
              <c:strCache>
                <c:ptCount val="1"/>
                <c:pt idx="0">
                  <c:v>Tax liability</c:v>
                </c:pt>
              </c:strCache>
            </c:strRef>
          </c:tx>
          <c:invertIfNegative val="0"/>
          <c:cat>
            <c:strRef>
              <c:f>'Dashboard - Data'!$D$18</c:f>
              <c:strCache>
                <c:ptCount val="1"/>
                <c:pt idx="0">
                  <c:v>5th reg period</c:v>
                </c:pt>
              </c:strCache>
            </c:strRef>
          </c:cat>
          <c:val>
            <c:numRef>
              <c:f>'Dashboard - Data'!$D$24</c:f>
              <c:numCache>
                <c:formatCode>0.00</c:formatCode>
                <c:ptCount val="1"/>
                <c:pt idx="0">
                  <c:v>5.91</c:v>
                </c:pt>
              </c:numCache>
            </c:numRef>
          </c:val>
          <c:extLst>
            <c:ext xmlns:c16="http://schemas.microsoft.com/office/drawing/2014/chart" uri="{C3380CC4-5D6E-409C-BE32-E72D297353CC}">
              <c16:uniqueId val="{00000005-F822-4730-B48F-0B0B699A2752}"/>
            </c:ext>
          </c:extLst>
        </c:ser>
        <c:dLbls>
          <c:showLegendKey val="0"/>
          <c:showVal val="0"/>
          <c:showCatName val="0"/>
          <c:showSerName val="0"/>
          <c:showPercent val="0"/>
          <c:showBubbleSize val="0"/>
        </c:dLbls>
        <c:gapWidth val="75"/>
        <c:overlap val="100"/>
        <c:axId val="637461664"/>
        <c:axId val="637463624"/>
      </c:barChart>
      <c:catAx>
        <c:axId val="637461664"/>
        <c:scaling>
          <c:orientation val="minMax"/>
        </c:scaling>
        <c:delete val="0"/>
        <c:axPos val="b"/>
        <c:numFmt formatCode="General" sourceLinked="0"/>
        <c:majorTickMark val="none"/>
        <c:minorTickMark val="none"/>
        <c:tickLblPos val="nextTo"/>
        <c:crossAx val="637463624"/>
        <c:crosses val="autoZero"/>
        <c:auto val="1"/>
        <c:lblAlgn val="ctr"/>
        <c:lblOffset val="100"/>
        <c:noMultiLvlLbl val="0"/>
      </c:catAx>
      <c:valAx>
        <c:axId val="637463624"/>
        <c:scaling>
          <c:orientation val="minMax"/>
        </c:scaling>
        <c:delete val="0"/>
        <c:axPos val="l"/>
        <c:majorGridlines/>
        <c:numFmt formatCode="#,##0.00" sourceLinked="1"/>
        <c:majorTickMark val="none"/>
        <c:minorTickMark val="none"/>
        <c:tickLblPos val="nextTo"/>
        <c:spPr>
          <a:ln w="9525">
            <a:noFill/>
          </a:ln>
        </c:spPr>
        <c:crossAx val="637461664"/>
        <c:crosses val="autoZero"/>
        <c:crossBetween val="between"/>
      </c:valAx>
    </c:plotArea>
    <c:legend>
      <c:legendPos val="b"/>
      <c:layout>
        <c:manualLayout>
          <c:xMode val="edge"/>
          <c:yMode val="edge"/>
          <c:x val="0"/>
          <c:y val="0.80601918522052984"/>
          <c:w val="1"/>
          <c:h val="0.16620306692100476"/>
        </c:manualLayout>
      </c:layou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Capex vs Regulatory</a:t>
            </a:r>
            <a:r>
              <a:rPr lang="en-AU" baseline="0"/>
              <a:t> depreciation ($m)</a:t>
            </a:r>
            <a:endParaRPr lang="en-AU"/>
          </a:p>
        </c:rich>
      </c:tx>
      <c:overlay val="0"/>
    </c:title>
    <c:autoTitleDeleted val="0"/>
    <c:plotArea>
      <c:layout/>
      <c:barChart>
        <c:barDir val="col"/>
        <c:grouping val="clustered"/>
        <c:varyColors val="0"/>
        <c:ser>
          <c:idx val="0"/>
          <c:order val="0"/>
          <c:tx>
            <c:strRef>
              <c:f>'Dashboard - Data'!$Z$73</c:f>
              <c:strCache>
                <c:ptCount val="1"/>
                <c:pt idx="0">
                  <c:v>Capital expenditure</c:v>
                </c:pt>
              </c:strCache>
            </c:strRef>
          </c:tx>
          <c:invertIfNegative val="0"/>
          <c:cat>
            <c:strRef>
              <c:f>'Dashboard - Data'!$AA$72:$AB$72</c:f>
              <c:strCache>
                <c:ptCount val="2"/>
                <c:pt idx="0">
                  <c:v>4th regulatory period</c:v>
                </c:pt>
                <c:pt idx="1">
                  <c:v>5th regulatory period</c:v>
                </c:pt>
              </c:strCache>
            </c:strRef>
          </c:cat>
          <c:val>
            <c:numRef>
              <c:f>'Dashboard - Data'!$AA$73:$AB$73</c:f>
              <c:numCache>
                <c:formatCode>0.00</c:formatCode>
                <c:ptCount val="2"/>
                <c:pt idx="0">
                  <c:v>158.04067815295605</c:v>
                </c:pt>
                <c:pt idx="1">
                  <c:v>256.00369999999998</c:v>
                </c:pt>
              </c:numCache>
            </c:numRef>
          </c:val>
          <c:extLst>
            <c:ext xmlns:c16="http://schemas.microsoft.com/office/drawing/2014/chart" uri="{C3380CC4-5D6E-409C-BE32-E72D297353CC}">
              <c16:uniqueId val="{00000000-83A9-4762-9DE8-62C5B1AE0820}"/>
            </c:ext>
          </c:extLst>
        </c:ser>
        <c:ser>
          <c:idx val="1"/>
          <c:order val="1"/>
          <c:tx>
            <c:strRef>
              <c:f>'Dashboard - Data'!$Z$74</c:f>
              <c:strCache>
                <c:ptCount val="1"/>
                <c:pt idx="0">
                  <c:v>Regulatory depreciation</c:v>
                </c:pt>
              </c:strCache>
            </c:strRef>
          </c:tx>
          <c:invertIfNegative val="0"/>
          <c:cat>
            <c:strRef>
              <c:f>'Dashboard - Data'!$AA$72:$AB$72</c:f>
              <c:strCache>
                <c:ptCount val="2"/>
                <c:pt idx="0">
                  <c:v>4th regulatory period</c:v>
                </c:pt>
                <c:pt idx="1">
                  <c:v>5th regulatory period</c:v>
                </c:pt>
              </c:strCache>
            </c:strRef>
          </c:cat>
          <c:val>
            <c:numRef>
              <c:f>'Dashboard - Data'!$AA$74:$AB$74</c:f>
              <c:numCache>
                <c:formatCode>0.00</c:formatCode>
                <c:ptCount val="2"/>
                <c:pt idx="0">
                  <c:v>97.400930096318802</c:v>
                </c:pt>
                <c:pt idx="1">
                  <c:v>114.37029100245596</c:v>
                </c:pt>
              </c:numCache>
            </c:numRef>
          </c:val>
          <c:extLst>
            <c:ext xmlns:c16="http://schemas.microsoft.com/office/drawing/2014/chart" uri="{C3380CC4-5D6E-409C-BE32-E72D297353CC}">
              <c16:uniqueId val="{00000001-83A9-4762-9DE8-62C5B1AE0820}"/>
            </c:ext>
          </c:extLst>
        </c:ser>
        <c:dLbls>
          <c:showLegendKey val="0"/>
          <c:showVal val="0"/>
          <c:showCatName val="0"/>
          <c:showSerName val="0"/>
          <c:showPercent val="0"/>
          <c:showBubbleSize val="0"/>
        </c:dLbls>
        <c:gapWidth val="75"/>
        <c:overlap val="-25"/>
        <c:axId val="637459704"/>
        <c:axId val="637461272"/>
      </c:barChart>
      <c:catAx>
        <c:axId val="637459704"/>
        <c:scaling>
          <c:orientation val="minMax"/>
        </c:scaling>
        <c:delete val="0"/>
        <c:axPos val="b"/>
        <c:numFmt formatCode="General" sourceLinked="0"/>
        <c:majorTickMark val="none"/>
        <c:minorTickMark val="none"/>
        <c:tickLblPos val="nextTo"/>
        <c:crossAx val="637461272"/>
        <c:crosses val="autoZero"/>
        <c:auto val="1"/>
        <c:lblAlgn val="ctr"/>
        <c:lblOffset val="100"/>
        <c:noMultiLvlLbl val="0"/>
      </c:catAx>
      <c:valAx>
        <c:axId val="637461272"/>
        <c:scaling>
          <c:orientation val="minMax"/>
        </c:scaling>
        <c:delete val="0"/>
        <c:axPos val="l"/>
        <c:majorGridlines/>
        <c:numFmt formatCode="0.00" sourceLinked="1"/>
        <c:majorTickMark val="none"/>
        <c:minorTickMark val="none"/>
        <c:tickLblPos val="nextTo"/>
        <c:spPr>
          <a:ln w="9525">
            <a:noFill/>
          </a:ln>
        </c:spPr>
        <c:crossAx val="63745970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a:t>
            </a:r>
            <a:r>
              <a:rPr lang="en-AU" baseline="0"/>
              <a:t> prescribed operating expenditure ($m)</a:t>
            </a:r>
            <a:endParaRPr lang="en-AU"/>
          </a:p>
        </c:rich>
      </c:tx>
      <c:overlay val="0"/>
    </c:title>
    <c:autoTitleDeleted val="0"/>
    <c:plotArea>
      <c:layout/>
      <c:barChart>
        <c:barDir val="col"/>
        <c:grouping val="stacked"/>
        <c:varyColors val="0"/>
        <c:ser>
          <c:idx val="0"/>
          <c:order val="0"/>
          <c:tx>
            <c:strRef>
              <c:f>'Dashboard - Data'!$C$43</c:f>
              <c:strCache>
                <c:ptCount val="1"/>
                <c:pt idx="0">
                  <c:v>Controllable opex</c:v>
                </c:pt>
              </c:strCache>
            </c:strRef>
          </c:tx>
          <c:invertIfNegative val="0"/>
          <c:cat>
            <c:strRef>
              <c:f>'Dashboard - Data'!$D$42:$R$42</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Data'!$D$43:$R$43</c:f>
              <c:numCache>
                <c:formatCode>0.00</c:formatCode>
                <c:ptCount val="15"/>
                <c:pt idx="0">
                  <c:v>63.091876208576629</c:v>
                </c:pt>
                <c:pt idx="1">
                  <c:v>61.009139038895711</c:v>
                </c:pt>
                <c:pt idx="2">
                  <c:v>58.025791595197262</c:v>
                </c:pt>
                <c:pt idx="3">
                  <c:v>64.952065200934101</c:v>
                </c:pt>
                <c:pt idx="4">
                  <c:v>65.60158585294343</c:v>
                </c:pt>
                <c:pt idx="5">
                  <c:v>66.075168040046904</c:v>
                </c:pt>
                <c:pt idx="6">
                  <c:v>67.155205369279273</c:v>
                </c:pt>
                <c:pt idx="7">
                  <c:v>68.487864196876203</c:v>
                </c:pt>
                <c:pt idx="8">
                  <c:v>68.916996378015796</c:v>
                </c:pt>
                <c:pt idx="9">
                  <c:v>70.018327121712886</c:v>
                </c:pt>
                <c:pt idx="10">
                  <c:v>68.77546355220899</c:v>
                </c:pt>
                <c:pt idx="11">
                  <c:v>69.59621315710362</c:v>
                </c:pt>
                <c:pt idx="12">
                  <c:v>70.426804727717922</c:v>
                </c:pt>
                <c:pt idx="13">
                  <c:v>71.267356512377617</c:v>
                </c:pt>
                <c:pt idx="14">
                  <c:v>72.117988192218561</c:v>
                </c:pt>
              </c:numCache>
            </c:numRef>
          </c:val>
          <c:extLst>
            <c:ext xmlns:c16="http://schemas.microsoft.com/office/drawing/2014/chart" uri="{C3380CC4-5D6E-409C-BE32-E72D297353CC}">
              <c16:uniqueId val="{00000000-B1A1-418D-89EB-142BDC6CCFA0}"/>
            </c:ext>
          </c:extLst>
        </c:ser>
        <c:ser>
          <c:idx val="1"/>
          <c:order val="1"/>
          <c:tx>
            <c:strRef>
              <c:f>'Dashboard - Data'!$C$44</c:f>
              <c:strCache>
                <c:ptCount val="1"/>
                <c:pt idx="0">
                  <c:v>Non-controllable opex</c:v>
                </c:pt>
              </c:strCache>
            </c:strRef>
          </c:tx>
          <c:invertIfNegative val="0"/>
          <c:cat>
            <c:strRef>
              <c:f>'Dashboard - Data'!$D$42:$R$42</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Data'!$D$44:$R$44</c:f>
              <c:numCache>
                <c:formatCode>0.00</c:formatCode>
                <c:ptCount val="15"/>
                <c:pt idx="0">
                  <c:v>5.4030933700710486</c:v>
                </c:pt>
                <c:pt idx="1">
                  <c:v>5.4011778145398779</c:v>
                </c:pt>
                <c:pt idx="2">
                  <c:v>5.8730300171526597</c:v>
                </c:pt>
                <c:pt idx="3">
                  <c:v>5.6290424015340506</c:v>
                </c:pt>
                <c:pt idx="4">
                  <c:v>5.6416711853043529</c:v>
                </c:pt>
                <c:pt idx="5">
                  <c:v>6.0916434046942891</c:v>
                </c:pt>
                <c:pt idx="6">
                  <c:v>7.2442437970949465</c:v>
                </c:pt>
                <c:pt idx="7">
                  <c:v>7.1985348922273893</c:v>
                </c:pt>
                <c:pt idx="8">
                  <c:v>7.0588547376369801</c:v>
                </c:pt>
                <c:pt idx="9">
                  <c:v>6.9893252864210291</c:v>
                </c:pt>
                <c:pt idx="10">
                  <c:v>6.6927140162965753</c:v>
                </c:pt>
                <c:pt idx="11">
                  <c:v>6.6023520156433158</c:v>
                </c:pt>
                <c:pt idx="12">
                  <c:v>6.5141680965973343</c:v>
                </c:pt>
                <c:pt idx="13">
                  <c:v>6.4281258082682635</c:v>
                </c:pt>
                <c:pt idx="14">
                  <c:v>6.3441894844186919</c:v>
                </c:pt>
              </c:numCache>
            </c:numRef>
          </c:val>
          <c:extLst>
            <c:ext xmlns:c16="http://schemas.microsoft.com/office/drawing/2014/chart" uri="{C3380CC4-5D6E-409C-BE32-E72D297353CC}">
              <c16:uniqueId val="{00000001-B1A1-418D-89EB-142BDC6CCFA0}"/>
            </c:ext>
          </c:extLst>
        </c:ser>
        <c:dLbls>
          <c:showLegendKey val="0"/>
          <c:showVal val="0"/>
          <c:showCatName val="0"/>
          <c:showSerName val="0"/>
          <c:showPercent val="0"/>
          <c:showBubbleSize val="0"/>
        </c:dLbls>
        <c:gapWidth val="75"/>
        <c:overlap val="100"/>
        <c:axId val="637463232"/>
        <c:axId val="637464408"/>
      </c:barChart>
      <c:catAx>
        <c:axId val="637463232"/>
        <c:scaling>
          <c:orientation val="minMax"/>
        </c:scaling>
        <c:delete val="0"/>
        <c:axPos val="b"/>
        <c:numFmt formatCode="General" sourceLinked="0"/>
        <c:majorTickMark val="none"/>
        <c:minorTickMark val="none"/>
        <c:tickLblPos val="nextTo"/>
        <c:crossAx val="637464408"/>
        <c:crosses val="autoZero"/>
        <c:auto val="1"/>
        <c:lblAlgn val="ctr"/>
        <c:lblOffset val="100"/>
        <c:noMultiLvlLbl val="0"/>
      </c:catAx>
      <c:valAx>
        <c:axId val="637464408"/>
        <c:scaling>
          <c:orientation val="minMax"/>
        </c:scaling>
        <c:delete val="0"/>
        <c:axPos val="l"/>
        <c:majorGridlines/>
        <c:numFmt formatCode="0.00" sourceLinked="1"/>
        <c:majorTickMark val="none"/>
        <c:minorTickMark val="none"/>
        <c:tickLblPos val="nextTo"/>
        <c:spPr>
          <a:ln w="9525">
            <a:noFill/>
          </a:ln>
        </c:spPr>
        <c:crossAx val="6374632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Forecast variations to baseline operating expenditure ($m)</a:t>
            </a:r>
          </a:p>
        </c:rich>
      </c:tx>
      <c:layout>
        <c:manualLayout>
          <c:xMode val="edge"/>
          <c:yMode val="edge"/>
          <c:x val="0.12545679012345681"/>
          <c:y val="1.9952222222222222E-2"/>
        </c:manualLayout>
      </c:layout>
      <c:overlay val="0"/>
    </c:title>
    <c:autoTitleDeleted val="0"/>
    <c:plotArea>
      <c:layout/>
      <c:barChart>
        <c:barDir val="col"/>
        <c:grouping val="stacked"/>
        <c:varyColors val="0"/>
        <c:ser>
          <c:idx val="0"/>
          <c:order val="0"/>
          <c:tx>
            <c:strRef>
              <c:f>'Dashboard - Data'!$C$48</c:f>
              <c:strCache>
                <c:ptCount val="1"/>
                <c:pt idx="0">
                  <c:v>Water</c:v>
                </c:pt>
              </c:strCache>
            </c:strRef>
          </c:tx>
          <c:invertIfNegative val="0"/>
          <c:cat>
            <c:strRef>
              <c:f>'Dashboard - Data'!$I$47:$R$47</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Data'!$I$48:$R$48</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E4A-47AD-8D87-5426D70BD100}"/>
            </c:ext>
          </c:extLst>
        </c:ser>
        <c:ser>
          <c:idx val="1"/>
          <c:order val="1"/>
          <c:tx>
            <c:strRef>
              <c:f>'Dashboard - Data'!$C$49</c:f>
              <c:strCache>
                <c:ptCount val="1"/>
                <c:pt idx="0">
                  <c:v>Sewerage</c:v>
                </c:pt>
              </c:strCache>
            </c:strRef>
          </c:tx>
          <c:invertIfNegative val="0"/>
          <c:cat>
            <c:strRef>
              <c:f>'Dashboard - Data'!$I$47:$R$47</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Data'!$I$49:$R$49</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1E4A-47AD-8D87-5426D70BD100}"/>
            </c:ext>
          </c:extLst>
        </c:ser>
        <c:ser>
          <c:idx val="2"/>
          <c:order val="2"/>
          <c:tx>
            <c:strRef>
              <c:f>'Dashboard - Data'!$C$50</c:f>
              <c:strCache>
                <c:ptCount val="1"/>
                <c:pt idx="0">
                  <c:v>Recycled Water</c:v>
                </c:pt>
              </c:strCache>
            </c:strRef>
          </c:tx>
          <c:invertIfNegative val="0"/>
          <c:cat>
            <c:strRef>
              <c:f>'Dashboard - Data'!$I$47:$R$47</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Data'!$I$50:$R$50</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1E4A-47AD-8D87-5426D70BD100}"/>
            </c:ext>
          </c:extLst>
        </c:ser>
        <c:ser>
          <c:idx val="3"/>
          <c:order val="3"/>
          <c:tx>
            <c:strRef>
              <c:f>'Dashboard - Data'!$C$51</c:f>
              <c:strCache>
                <c:ptCount val="1"/>
                <c:pt idx="0">
                  <c:v>Rural water</c:v>
                </c:pt>
              </c:strCache>
            </c:strRef>
          </c:tx>
          <c:invertIfNegative val="0"/>
          <c:cat>
            <c:strRef>
              <c:f>'Dashboard - Data'!$I$47:$R$47</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Data'!$I$51:$R$51</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1E4A-47AD-8D87-5426D70BD100}"/>
            </c:ext>
          </c:extLst>
        </c:ser>
        <c:ser>
          <c:idx val="4"/>
          <c:order val="4"/>
          <c:tx>
            <c:strRef>
              <c:f>'Dashboard - Data'!$C$52</c:f>
              <c:strCache>
                <c:ptCount val="1"/>
                <c:pt idx="0">
                  <c:v>Bulk Water</c:v>
                </c:pt>
              </c:strCache>
            </c:strRef>
          </c:tx>
          <c:invertIfNegative val="0"/>
          <c:cat>
            <c:strRef>
              <c:f>'Dashboard - Data'!$I$47:$R$47</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Data'!$I$52:$R$52</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1E4A-47AD-8D87-5426D70BD100}"/>
            </c:ext>
          </c:extLst>
        </c:ser>
        <c:dLbls>
          <c:showLegendKey val="0"/>
          <c:showVal val="0"/>
          <c:showCatName val="0"/>
          <c:showSerName val="0"/>
          <c:showPercent val="0"/>
          <c:showBubbleSize val="0"/>
        </c:dLbls>
        <c:gapWidth val="75"/>
        <c:overlap val="100"/>
        <c:axId val="637465192"/>
        <c:axId val="637458136"/>
      </c:barChart>
      <c:catAx>
        <c:axId val="637465192"/>
        <c:scaling>
          <c:orientation val="minMax"/>
        </c:scaling>
        <c:delete val="0"/>
        <c:axPos val="b"/>
        <c:numFmt formatCode="General" sourceLinked="0"/>
        <c:majorTickMark val="none"/>
        <c:minorTickMark val="none"/>
        <c:tickLblPos val="nextTo"/>
        <c:crossAx val="637458136"/>
        <c:crosses val="autoZero"/>
        <c:auto val="1"/>
        <c:lblAlgn val="ctr"/>
        <c:lblOffset val="100"/>
        <c:noMultiLvlLbl val="0"/>
      </c:catAx>
      <c:valAx>
        <c:axId val="637458136"/>
        <c:scaling>
          <c:orientation val="minMax"/>
        </c:scaling>
        <c:delete val="0"/>
        <c:axPos val="l"/>
        <c:majorGridlines/>
        <c:numFmt formatCode="0.00" sourceLinked="1"/>
        <c:majorTickMark val="none"/>
        <c:minorTickMark val="none"/>
        <c:tickLblPos val="nextTo"/>
        <c:spPr>
          <a:ln w="9525">
            <a:noFill/>
          </a:ln>
        </c:spPr>
        <c:crossAx val="63746519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 operating expenditure</a:t>
            </a:r>
            <a:r>
              <a:rPr lang="en-AU" baseline="0"/>
              <a:t> by cost category - Water ($m)</a:t>
            </a:r>
            <a:endParaRPr lang="en-AU"/>
          </a:p>
        </c:rich>
      </c:tx>
      <c:overlay val="0"/>
    </c:title>
    <c:autoTitleDeleted val="0"/>
    <c:plotArea>
      <c:layout>
        <c:manualLayout>
          <c:layoutTarget val="inner"/>
          <c:xMode val="edge"/>
          <c:yMode val="edge"/>
          <c:x val="5.3070983445429612E-2"/>
          <c:y val="0.19006735250708687"/>
          <c:w val="0.94486966556371477"/>
          <c:h val="0.49250410350207013"/>
        </c:manualLayout>
      </c:layout>
      <c:barChart>
        <c:barDir val="col"/>
        <c:grouping val="stacked"/>
        <c:varyColors val="0"/>
        <c:ser>
          <c:idx val="0"/>
          <c:order val="0"/>
          <c:tx>
            <c:strRef>
              <c:f>'Dashboard - Data'!$C$64</c:f>
              <c:strCache>
                <c:ptCount val="1"/>
                <c:pt idx="0">
                  <c:v>Operations and maintenance</c:v>
                </c:pt>
              </c:strCache>
            </c:strRef>
          </c:tx>
          <c:invertIfNegative val="0"/>
          <c:cat>
            <c:strRef>
              <c:f>'Dashboard - Data'!$D$63:$R$63</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Data'!$D$64:$R$64</c:f>
              <c:numCache>
                <c:formatCode>0.00</c:formatCode>
                <c:ptCount val="15"/>
                <c:pt idx="0">
                  <c:v>10.278026638485548</c:v>
                </c:pt>
                <c:pt idx="1">
                  <c:v>10.369462579065139</c:v>
                </c:pt>
                <c:pt idx="2">
                  <c:v>10.605882504288166</c:v>
                </c:pt>
                <c:pt idx="3">
                  <c:v>17.057957019115918</c:v>
                </c:pt>
                <c:pt idx="4">
                  <c:v>17.228536589307076</c:v>
                </c:pt>
                <c:pt idx="5">
                  <c:v>12.077137586897432</c:v>
                </c:pt>
                <c:pt idx="6">
                  <c:v>12.278344635127704</c:v>
                </c:pt>
                <c:pt idx="7">
                  <c:v>12.518127209863597</c:v>
                </c:pt>
                <c:pt idx="8">
                  <c:v>12.596563459794087</c:v>
                </c:pt>
                <c:pt idx="9">
                  <c:v>12.797863332573044</c:v>
                </c:pt>
                <c:pt idx="10">
                  <c:v>12.570694264738913</c:v>
                </c:pt>
                <c:pt idx="11">
                  <c:v>12.720709863589855</c:v>
                </c:pt>
                <c:pt idx="12">
                  <c:v>12.872524364776542</c:v>
                </c:pt>
                <c:pt idx="13">
                  <c:v>13.026159381581865</c:v>
                </c:pt>
                <c:pt idx="14">
                  <c:v>13.181636789175993</c:v>
                </c:pt>
              </c:numCache>
            </c:numRef>
          </c:val>
          <c:extLst>
            <c:ext xmlns:c16="http://schemas.microsoft.com/office/drawing/2014/chart" uri="{C3380CC4-5D6E-409C-BE32-E72D297353CC}">
              <c16:uniqueId val="{00000000-1463-4863-A14C-7530688AEB94}"/>
            </c:ext>
          </c:extLst>
        </c:ser>
        <c:ser>
          <c:idx val="1"/>
          <c:order val="1"/>
          <c:tx>
            <c:strRef>
              <c:f>'Dashboard - Data'!$C$65</c:f>
              <c:strCache>
                <c:ptCount val="1"/>
                <c:pt idx="0">
                  <c:v>Treatment</c:v>
                </c:pt>
              </c:strCache>
            </c:strRef>
          </c:tx>
          <c:invertIfNegative val="0"/>
          <c:cat>
            <c:strRef>
              <c:f>'Dashboard - Data'!$D$63:$R$63</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Data'!$D$65:$R$65</c:f>
              <c:numCache>
                <c:formatCode>0.00</c:formatCode>
                <c:ptCount val="15"/>
                <c:pt idx="0">
                  <c:v>10.232068334389201</c:v>
                </c:pt>
                <c:pt idx="1">
                  <c:v>12.12289894269939</c:v>
                </c:pt>
                <c:pt idx="2">
                  <c:v>10.571879073756433</c:v>
                </c:pt>
                <c:pt idx="3">
                  <c:v>10.677597864493997</c:v>
                </c:pt>
                <c:pt idx="4">
                  <c:v>10.784373843138937</c:v>
                </c:pt>
                <c:pt idx="5">
                  <c:v>12.038417177842156</c:v>
                </c:pt>
                <c:pt idx="6">
                  <c:v>12.2343451674825</c:v>
                </c:pt>
                <c:pt idx="7">
                  <c:v>12.477992947693911</c:v>
                </c:pt>
                <c:pt idx="8">
                  <c:v>12.556177723824401</c:v>
                </c:pt>
                <c:pt idx="9">
                  <c:v>12.756832210777398</c:v>
                </c:pt>
                <c:pt idx="10">
                  <c:v>12.530391467777523</c:v>
                </c:pt>
                <c:pt idx="11">
                  <c:v>12.679926102881023</c:v>
                </c:pt>
                <c:pt idx="12">
                  <c:v>12.831253872874644</c:v>
                </c:pt>
                <c:pt idx="13">
                  <c:v>12.984396321747118</c:v>
                </c:pt>
                <c:pt idx="14">
                  <c:v>13.139375254534812</c:v>
                </c:pt>
              </c:numCache>
            </c:numRef>
          </c:val>
          <c:extLst>
            <c:ext xmlns:c16="http://schemas.microsoft.com/office/drawing/2014/chart" uri="{C3380CC4-5D6E-409C-BE32-E72D297353CC}">
              <c16:uniqueId val="{00000001-1463-4863-A14C-7530688AEB94}"/>
            </c:ext>
          </c:extLst>
        </c:ser>
        <c:ser>
          <c:idx val="2"/>
          <c:order val="2"/>
          <c:tx>
            <c:strRef>
              <c:f>'Dashboard - Data'!$C$66</c:f>
              <c:strCache>
                <c:ptCount val="1"/>
                <c:pt idx="0">
                  <c:v>Customer service and billing</c:v>
                </c:pt>
              </c:strCache>
            </c:strRef>
          </c:tx>
          <c:invertIfNegative val="0"/>
          <c:cat>
            <c:strRef>
              <c:f>'Dashboard - Data'!$D$63:$R$63</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Data'!$D$66:$R$66</c:f>
              <c:numCache>
                <c:formatCode>0.00</c:formatCode>
                <c:ptCount val="15"/>
                <c:pt idx="0">
                  <c:v>1.8538659243673101</c:v>
                </c:pt>
                <c:pt idx="1">
                  <c:v>1.904700780458952</c:v>
                </c:pt>
                <c:pt idx="2">
                  <c:v>1.5864725557461405</c:v>
                </c:pt>
                <c:pt idx="3">
                  <c:v>1.6023372813036019</c:v>
                </c:pt>
                <c:pt idx="4">
                  <c:v>1.618360654116638</c:v>
                </c:pt>
                <c:pt idx="5">
                  <c:v>1.8065490849852586</c:v>
                </c:pt>
                <c:pt idx="6">
                  <c:v>1.8359510840337092</c:v>
                </c:pt>
                <c:pt idx="7">
                  <c:v>1.8725141693544085</c:v>
                </c:pt>
                <c:pt idx="8">
                  <c:v>1.8842469938355446</c:v>
                </c:pt>
                <c:pt idx="9">
                  <c:v>1.9143582762780837</c:v>
                </c:pt>
                <c:pt idx="10">
                  <c:v>1.8803773707299067</c:v>
                </c:pt>
                <c:pt idx="11">
                  <c:v>1.9028173355715514</c:v>
                </c:pt>
                <c:pt idx="12">
                  <c:v>1.9255263877979536</c:v>
                </c:pt>
                <c:pt idx="13">
                  <c:v>1.948507760414961</c:v>
                </c:pt>
                <c:pt idx="14">
                  <c:v>1.9717647256026207</c:v>
                </c:pt>
              </c:numCache>
            </c:numRef>
          </c:val>
          <c:extLst>
            <c:ext xmlns:c16="http://schemas.microsoft.com/office/drawing/2014/chart" uri="{C3380CC4-5D6E-409C-BE32-E72D297353CC}">
              <c16:uniqueId val="{00000002-1463-4863-A14C-7530688AEB94}"/>
            </c:ext>
          </c:extLst>
        </c:ser>
        <c:ser>
          <c:idx val="3"/>
          <c:order val="3"/>
          <c:tx>
            <c:strRef>
              <c:f>'Dashboard - Data'!$C$67</c:f>
              <c:strCache>
                <c:ptCount val="1"/>
                <c:pt idx="0">
                  <c:v>GSL Payments</c:v>
                </c:pt>
              </c:strCache>
            </c:strRef>
          </c:tx>
          <c:invertIfNegative val="0"/>
          <c:cat>
            <c:strRef>
              <c:f>'Dashboard - Data'!$D$63:$R$63</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Data'!$D$67:$R$67</c:f>
              <c:numCache>
                <c:formatCode>0.00</c:formatCode>
                <c:ptCount val="15"/>
                <c:pt idx="0">
                  <c:v>6.0549544875666092E-2</c:v>
                </c:pt>
                <c:pt idx="1">
                  <c:v>3.2832314413873749E-2</c:v>
                </c:pt>
                <c:pt idx="2">
                  <c:v>2.23147512864494E-2</c:v>
                </c:pt>
                <c:pt idx="3">
                  <c:v>2.2537898799313894E-2</c:v>
                </c:pt>
                <c:pt idx="4">
                  <c:v>2.2763277787307034E-2</c:v>
                </c:pt>
                <c:pt idx="5">
                  <c:v>2.5410268442525408E-2</c:v>
                </c:pt>
                <c:pt idx="6">
                  <c:v>2.5823826366180771E-2</c:v>
                </c:pt>
                <c:pt idx="7">
                  <c:v>2.6338109548856382E-2</c:v>
                </c:pt>
                <c:pt idx="8">
                  <c:v>2.6503139230104781E-2</c:v>
                </c:pt>
                <c:pt idx="9">
                  <c:v>2.6926673678392337E-2</c:v>
                </c:pt>
                <c:pt idx="10">
                  <c:v>2.6448710505912954E-2</c:v>
                </c:pt>
                <c:pt idx="11">
                  <c:v>2.6764342965172525E-2</c:v>
                </c:pt>
                <c:pt idx="12">
                  <c:v>2.7083760310620916E-2</c:v>
                </c:pt>
                <c:pt idx="13">
                  <c:v>2.740700801655337E-2</c:v>
                </c:pt>
                <c:pt idx="14">
                  <c:v>2.7734132108275307E-2</c:v>
                </c:pt>
              </c:numCache>
            </c:numRef>
          </c:val>
          <c:extLst>
            <c:ext xmlns:c16="http://schemas.microsoft.com/office/drawing/2014/chart" uri="{C3380CC4-5D6E-409C-BE32-E72D297353CC}">
              <c16:uniqueId val="{00000003-1463-4863-A14C-7530688AEB94}"/>
            </c:ext>
          </c:extLst>
        </c:ser>
        <c:ser>
          <c:idx val="4"/>
          <c:order val="4"/>
          <c:tx>
            <c:strRef>
              <c:f>'Dashboard - Data'!$C$68</c:f>
              <c:strCache>
                <c:ptCount val="1"/>
                <c:pt idx="0">
                  <c:v>Corporate costs</c:v>
                </c:pt>
              </c:strCache>
            </c:strRef>
          </c:tx>
          <c:invertIfNegative val="0"/>
          <c:cat>
            <c:strRef>
              <c:f>'Dashboard - Data'!$D$63:$R$63</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Data'!$D$68:$R$68</c:f>
              <c:numCache>
                <c:formatCode>0.00</c:formatCode>
                <c:ptCount val="15"/>
                <c:pt idx="0">
                  <c:v>12.905818695638398</c:v>
                </c:pt>
                <c:pt idx="1">
                  <c:v>8.4222926555325941</c:v>
                </c:pt>
                <c:pt idx="2">
                  <c:v>8.3797204116638078</c:v>
                </c:pt>
                <c:pt idx="3">
                  <c:v>8.4635176157804466</c:v>
                </c:pt>
                <c:pt idx="4">
                  <c:v>8.5481527919382518</c:v>
                </c:pt>
                <c:pt idx="5">
                  <c:v>9.5421608065597798</c:v>
                </c:pt>
                <c:pt idx="6">
                  <c:v>9.6974616535096008</c:v>
                </c:pt>
                <c:pt idx="7">
                  <c:v>9.8905872334419733</c:v>
                </c:pt>
                <c:pt idx="8">
                  <c:v>9.9525598080288713</c:v>
                </c:pt>
                <c:pt idx="9">
                  <c:v>10.11160707751438</c:v>
                </c:pt>
                <c:pt idx="10">
                  <c:v>9.9321205261728345</c:v>
                </c:pt>
                <c:pt idx="11">
                  <c:v>10.050648029683359</c:v>
                </c:pt>
                <c:pt idx="12">
                  <c:v>10.170596848074121</c:v>
                </c:pt>
                <c:pt idx="13">
                  <c:v>10.29198405802571</c:v>
                </c:pt>
                <c:pt idx="14">
                  <c:v>10.414826943136148</c:v>
                </c:pt>
              </c:numCache>
            </c:numRef>
          </c:val>
          <c:extLst>
            <c:ext xmlns:c16="http://schemas.microsoft.com/office/drawing/2014/chart" uri="{C3380CC4-5D6E-409C-BE32-E72D297353CC}">
              <c16:uniqueId val="{00000004-1463-4863-A14C-7530688AEB94}"/>
            </c:ext>
          </c:extLst>
        </c:ser>
        <c:ser>
          <c:idx val="5"/>
          <c:order val="5"/>
          <c:tx>
            <c:strRef>
              <c:f>'Dashboard - Data'!$C$69</c:f>
              <c:strCache>
                <c:ptCount val="1"/>
                <c:pt idx="0">
                  <c:v>Other operating expenditure</c:v>
                </c:pt>
              </c:strCache>
            </c:strRef>
          </c:tx>
          <c:invertIfNegative val="0"/>
          <c:cat>
            <c:strRef>
              <c:f>'Dashboard - Data'!$D$63:$R$63</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Data'!$D$69:$R$69</c:f>
              <c:numCache>
                <c:formatCode>0.00</c:formatCode>
                <c:ptCount val="15"/>
                <c:pt idx="0">
                  <c:v>0.16856794061989228</c:v>
                </c:pt>
                <c:pt idx="1">
                  <c:v>9.617640600236961E-3</c:v>
                </c:pt>
                <c:pt idx="2">
                  <c:v>1.0158524871355061</c:v>
                </c:pt>
                <c:pt idx="3">
                  <c:v>1.0260110120068613</c:v>
                </c:pt>
                <c:pt idx="4">
                  <c:v>1.0362711221269298</c:v>
                </c:pt>
                <c:pt idx="5">
                  <c:v>1.1567722205263951</c:v>
                </c:pt>
                <c:pt idx="6">
                  <c:v>1.175598952669944</c:v>
                </c:pt>
                <c:pt idx="7">
                  <c:v>1.1990110823193669</c:v>
                </c:pt>
                <c:pt idx="8">
                  <c:v>1.206523862094294</c:v>
                </c:pt>
                <c:pt idx="9">
                  <c:v>1.2258047636449085</c:v>
                </c:pt>
                <c:pt idx="10">
                  <c:v>1.2040460592215614</c:v>
                </c:pt>
                <c:pt idx="11">
                  <c:v>1.2184148511764257</c:v>
                </c:pt>
                <c:pt idx="12">
                  <c:v>1.2329559455692192</c:v>
                </c:pt>
                <c:pt idx="13">
                  <c:v>1.2476714125630968</c:v>
                </c:pt>
                <c:pt idx="14">
                  <c:v>1.2625633474052955</c:v>
                </c:pt>
              </c:numCache>
            </c:numRef>
          </c:val>
          <c:extLst>
            <c:ext xmlns:c16="http://schemas.microsoft.com/office/drawing/2014/chart" uri="{C3380CC4-5D6E-409C-BE32-E72D297353CC}">
              <c16:uniqueId val="{00000005-1463-4863-A14C-7530688AEB94}"/>
            </c:ext>
          </c:extLst>
        </c:ser>
        <c:ser>
          <c:idx val="6"/>
          <c:order val="6"/>
          <c:tx>
            <c:strRef>
              <c:f>'Dashboard - Data'!$C$70</c:f>
              <c:strCache>
                <c:ptCount val="1"/>
                <c:pt idx="0">
                  <c:v>External bulk water charges (excl. temporary purchases)</c:v>
                </c:pt>
              </c:strCache>
            </c:strRef>
          </c:tx>
          <c:invertIfNegative val="0"/>
          <c:cat>
            <c:strRef>
              <c:f>'Dashboard - Data'!$D$63:$R$63</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Data'!$D$70:$R$70</c:f>
              <c:numCache>
                <c:formatCode>0.00</c:formatCode>
                <c:ptCount val="15"/>
                <c:pt idx="0">
                  <c:v>0.7127739336500889</c:v>
                </c:pt>
                <c:pt idx="1">
                  <c:v>0.6750461725766872</c:v>
                </c:pt>
                <c:pt idx="2">
                  <c:v>0.66837993138936547</c:v>
                </c:pt>
                <c:pt idx="3">
                  <c:v>0.57444212035623399</c:v>
                </c:pt>
                <c:pt idx="4">
                  <c:v>0.58018654155979632</c:v>
                </c:pt>
                <c:pt idx="5">
                  <c:v>0.64764458258572433</c:v>
                </c:pt>
                <c:pt idx="6">
                  <c:v>0.65818373544172548</c:v>
                </c:pt>
                <c:pt idx="7">
                  <c:v>0.67129085321641702</c:v>
                </c:pt>
                <c:pt idx="8">
                  <c:v>0.6754975289275913</c:v>
                </c:pt>
                <c:pt idx="9">
                  <c:v>0.68629202214934182</c:v>
                </c:pt>
                <c:pt idx="10">
                  <c:v>0.67411240375302706</c:v>
                </c:pt>
                <c:pt idx="11">
                  <c:v>0.68215706517938446</c:v>
                </c:pt>
                <c:pt idx="12">
                  <c:v>0.69029819230124045</c:v>
                </c:pt>
                <c:pt idx="13">
                  <c:v>0.69853694397551813</c:v>
                </c:pt>
                <c:pt idx="14">
                  <c:v>0.70687449311089889</c:v>
                </c:pt>
              </c:numCache>
            </c:numRef>
          </c:val>
          <c:extLst>
            <c:ext xmlns:c16="http://schemas.microsoft.com/office/drawing/2014/chart" uri="{C3380CC4-5D6E-409C-BE32-E72D297353CC}">
              <c16:uniqueId val="{00000006-1463-4863-A14C-7530688AEB94}"/>
            </c:ext>
          </c:extLst>
        </c:ser>
        <c:ser>
          <c:idx val="7"/>
          <c:order val="7"/>
          <c:tx>
            <c:strRef>
              <c:f>'Dashboard - Data'!$C$71</c:f>
              <c:strCache>
                <c:ptCount val="1"/>
                <c:pt idx="0">
                  <c:v>License fees</c:v>
                </c:pt>
              </c:strCache>
            </c:strRef>
          </c:tx>
          <c:invertIfNegative val="0"/>
          <c:cat>
            <c:strRef>
              <c:f>'Dashboard - Data'!$D$63:$R$63</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Data'!$D$71:$R$71</c:f>
              <c:numCache>
                <c:formatCode>0.00</c:formatCode>
                <c:ptCount val="15"/>
                <c:pt idx="0">
                  <c:v>0.13424333925399648</c:v>
                </c:pt>
                <c:pt idx="1">
                  <c:v>5.7588148788505177E-2</c:v>
                </c:pt>
                <c:pt idx="2">
                  <c:v>6.5881646655231565E-2</c:v>
                </c:pt>
                <c:pt idx="3">
                  <c:v>6.6540463121783883E-2</c:v>
                </c:pt>
                <c:pt idx="4">
                  <c:v>6.7205867753001719E-2</c:v>
                </c:pt>
                <c:pt idx="5">
                  <c:v>7.5020792544598827E-2</c:v>
                </c:pt>
                <c:pt idx="6">
                  <c:v>7.6241773081105149E-2</c:v>
                </c:pt>
                <c:pt idx="7">
                  <c:v>7.7760132953766464E-2</c:v>
                </c:pt>
                <c:pt idx="8">
                  <c:v>7.8247363441261736E-2</c:v>
                </c:pt>
                <c:pt idx="9">
                  <c:v>7.9497798479063103E-2</c:v>
                </c:pt>
                <c:pt idx="10">
                  <c:v>7.8086669112695392E-2</c:v>
                </c:pt>
                <c:pt idx="11">
                  <c:v>7.9018536373366505E-2</c:v>
                </c:pt>
                <c:pt idx="12">
                  <c:v>7.9961578059928429E-2</c:v>
                </c:pt>
                <c:pt idx="13">
                  <c:v>8.0915928429824258E-2</c:v>
                </c:pt>
                <c:pt idx="14">
                  <c:v>8.1881723367289022E-2</c:v>
                </c:pt>
              </c:numCache>
            </c:numRef>
          </c:val>
          <c:extLst>
            <c:ext xmlns:c16="http://schemas.microsoft.com/office/drawing/2014/chart" uri="{C3380CC4-5D6E-409C-BE32-E72D297353CC}">
              <c16:uniqueId val="{00000007-1463-4863-A14C-7530688AEB94}"/>
            </c:ext>
          </c:extLst>
        </c:ser>
        <c:dLbls>
          <c:showLegendKey val="0"/>
          <c:showVal val="0"/>
          <c:showCatName val="0"/>
          <c:showSerName val="0"/>
          <c:showPercent val="0"/>
          <c:showBubbleSize val="0"/>
        </c:dLbls>
        <c:gapWidth val="75"/>
        <c:overlap val="100"/>
        <c:axId val="638336144"/>
        <c:axId val="638332616"/>
      </c:barChart>
      <c:catAx>
        <c:axId val="638336144"/>
        <c:scaling>
          <c:orientation val="minMax"/>
        </c:scaling>
        <c:delete val="0"/>
        <c:axPos val="b"/>
        <c:numFmt formatCode="General" sourceLinked="0"/>
        <c:majorTickMark val="none"/>
        <c:minorTickMark val="none"/>
        <c:tickLblPos val="nextTo"/>
        <c:crossAx val="638332616"/>
        <c:crosses val="autoZero"/>
        <c:auto val="1"/>
        <c:lblAlgn val="ctr"/>
        <c:lblOffset val="100"/>
        <c:noMultiLvlLbl val="0"/>
      </c:catAx>
      <c:valAx>
        <c:axId val="638332616"/>
        <c:scaling>
          <c:orientation val="minMax"/>
        </c:scaling>
        <c:delete val="0"/>
        <c:axPos val="l"/>
        <c:majorGridlines/>
        <c:numFmt formatCode="0.00" sourceLinked="1"/>
        <c:majorTickMark val="none"/>
        <c:minorTickMark val="none"/>
        <c:tickLblPos val="nextTo"/>
        <c:spPr>
          <a:ln w="9525">
            <a:noFill/>
          </a:ln>
        </c:spPr>
        <c:crossAx val="638336144"/>
        <c:crosses val="autoZero"/>
        <c:crossBetween val="between"/>
      </c:valAx>
    </c:plotArea>
    <c:legend>
      <c:legendPos val="b"/>
      <c:layout>
        <c:manualLayout>
          <c:xMode val="edge"/>
          <c:yMode val="edge"/>
          <c:x val="0"/>
          <c:y val="0.83423429108006164"/>
          <c:w val="1"/>
          <c:h val="0.16225099124724598"/>
        </c:manualLayout>
      </c:layou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a:t>
            </a:r>
            <a:r>
              <a:rPr lang="en-AU" baseline="0"/>
              <a:t> operating expenditure by cost category - Sewerage ($m)</a:t>
            </a:r>
            <a:endParaRPr lang="en-AU"/>
          </a:p>
        </c:rich>
      </c:tx>
      <c:overlay val="0"/>
    </c:title>
    <c:autoTitleDeleted val="0"/>
    <c:plotArea>
      <c:layout>
        <c:manualLayout>
          <c:layoutTarget val="inner"/>
          <c:xMode val="edge"/>
          <c:yMode val="edge"/>
          <c:x val="5.4582280922600569E-2"/>
          <c:y val="0.17245864656178803"/>
          <c:w val="0.92396382046480785"/>
          <c:h val="0.53314264032722658"/>
        </c:manualLayout>
      </c:layout>
      <c:barChart>
        <c:barDir val="col"/>
        <c:grouping val="stacked"/>
        <c:varyColors val="0"/>
        <c:ser>
          <c:idx val="0"/>
          <c:order val="0"/>
          <c:tx>
            <c:strRef>
              <c:f>'Dashboard - Data'!$C$75</c:f>
              <c:strCache>
                <c:ptCount val="1"/>
                <c:pt idx="0">
                  <c:v>Operations and maintenance</c:v>
                </c:pt>
              </c:strCache>
            </c:strRef>
          </c:tx>
          <c:invertIfNegative val="0"/>
          <c:cat>
            <c:strRef>
              <c:f>'Dashboard - Data'!$D$74:$R$74</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Data'!$D$75:$R$75</c:f>
              <c:numCache>
                <c:formatCode>0.00</c:formatCode>
                <c:ptCount val="15"/>
                <c:pt idx="0">
                  <c:v>7.7167641686722339</c:v>
                </c:pt>
                <c:pt idx="1">
                  <c:v>6.8856650225899045</c:v>
                </c:pt>
                <c:pt idx="2">
                  <c:v>4.8199862778730704</c:v>
                </c:pt>
                <c:pt idx="3">
                  <c:v>4.868186140651801</c:v>
                </c:pt>
                <c:pt idx="4">
                  <c:v>4.9168680020583189</c:v>
                </c:pt>
                <c:pt idx="5">
                  <c:v>5.4886179835854874</c:v>
                </c:pt>
                <c:pt idx="6">
                  <c:v>5.5779464950950466</c:v>
                </c:pt>
                <c:pt idx="7">
                  <c:v>5.6890316625529778</c:v>
                </c:pt>
                <c:pt idx="8">
                  <c:v>5.7246780737026324</c:v>
                </c:pt>
                <c:pt idx="9">
                  <c:v>5.8161615145327437</c:v>
                </c:pt>
                <c:pt idx="10">
                  <c:v>5.7129214692771972</c:v>
                </c:pt>
                <c:pt idx="11">
                  <c:v>5.7810980804772649</c:v>
                </c:pt>
                <c:pt idx="12">
                  <c:v>5.8500922270941169</c:v>
                </c:pt>
                <c:pt idx="13">
                  <c:v>5.9199137315755275</c:v>
                </c:pt>
                <c:pt idx="14">
                  <c:v>5.990572535387467</c:v>
                </c:pt>
              </c:numCache>
            </c:numRef>
          </c:val>
          <c:extLst>
            <c:ext xmlns:c16="http://schemas.microsoft.com/office/drawing/2014/chart" uri="{C3380CC4-5D6E-409C-BE32-E72D297353CC}">
              <c16:uniqueId val="{00000000-830A-4420-9B5F-3C760BA3E99F}"/>
            </c:ext>
          </c:extLst>
        </c:ser>
        <c:ser>
          <c:idx val="1"/>
          <c:order val="1"/>
          <c:tx>
            <c:strRef>
              <c:f>'Dashboard - Data'!$C$76</c:f>
              <c:strCache>
                <c:ptCount val="1"/>
                <c:pt idx="0">
                  <c:v>Treatment</c:v>
                </c:pt>
              </c:strCache>
            </c:strRef>
          </c:tx>
          <c:invertIfNegative val="0"/>
          <c:cat>
            <c:strRef>
              <c:f>'Dashboard - Data'!$D$74:$R$74</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Data'!$D$76:$R$76</c:f>
              <c:numCache>
                <c:formatCode>0.00</c:formatCode>
                <c:ptCount val="15"/>
                <c:pt idx="0">
                  <c:v>6.2231902469105602</c:v>
                </c:pt>
                <c:pt idx="1">
                  <c:v>8.242398450368098</c:v>
                </c:pt>
                <c:pt idx="2">
                  <c:v>7.546636363636364</c:v>
                </c:pt>
                <c:pt idx="3">
                  <c:v>7.6221027272727273</c:v>
                </c:pt>
                <c:pt idx="4">
                  <c:v>7.6983237545454548</c:v>
                </c:pt>
                <c:pt idx="5">
                  <c:v>8.5935107847054972</c:v>
                </c:pt>
                <c:pt idx="6">
                  <c:v>8.7333721358388505</c:v>
                </c:pt>
                <c:pt idx="7">
                  <c:v>8.9072978102846676</c:v>
                </c:pt>
                <c:pt idx="8">
                  <c:v>8.9631092767716272</c:v>
                </c:pt>
                <c:pt idx="9">
                  <c:v>9.1063445935210652</c:v>
                </c:pt>
                <c:pt idx="10">
                  <c:v>8.9447020006187525</c:v>
                </c:pt>
                <c:pt idx="11">
                  <c:v>9.0514458923169183</c:v>
                </c:pt>
                <c:pt idx="12">
                  <c:v>9.1594697964776088</c:v>
                </c:pt>
                <c:pt idx="13">
                  <c:v>9.2687890920743836</c:v>
                </c:pt>
                <c:pt idx="14">
                  <c:v>9.3794193444272036</c:v>
                </c:pt>
              </c:numCache>
            </c:numRef>
          </c:val>
          <c:extLst>
            <c:ext xmlns:c16="http://schemas.microsoft.com/office/drawing/2014/chart" uri="{C3380CC4-5D6E-409C-BE32-E72D297353CC}">
              <c16:uniqueId val="{00000001-830A-4420-9B5F-3C760BA3E99F}"/>
            </c:ext>
          </c:extLst>
        </c:ser>
        <c:ser>
          <c:idx val="2"/>
          <c:order val="2"/>
          <c:tx>
            <c:strRef>
              <c:f>'Dashboard - Data'!$C$77</c:f>
              <c:strCache>
                <c:ptCount val="1"/>
                <c:pt idx="0">
                  <c:v>Customer service and billing</c:v>
                </c:pt>
              </c:strCache>
            </c:strRef>
          </c:tx>
          <c:invertIfNegative val="0"/>
          <c:cat>
            <c:strRef>
              <c:f>'Dashboard - Data'!$D$74:$R$74</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Data'!$D$77:$R$77</c:f>
              <c:numCache>
                <c:formatCode>0.00</c:formatCode>
                <c:ptCount val="15"/>
                <c:pt idx="0">
                  <c:v>1.965418055417401</c:v>
                </c:pt>
                <c:pt idx="1">
                  <c:v>2.2896003182433207</c:v>
                </c:pt>
                <c:pt idx="2">
                  <c:v>1.8733765008576329</c:v>
                </c:pt>
                <c:pt idx="3">
                  <c:v>1.8921102658662092</c:v>
                </c:pt>
                <c:pt idx="4">
                  <c:v>1.9110313685248714</c:v>
                </c:pt>
                <c:pt idx="5">
                  <c:v>2.1332525363891568</c:v>
                </c:pt>
                <c:pt idx="6">
                  <c:v>2.1679717087417476</c:v>
                </c:pt>
                <c:pt idx="7">
                  <c:v>2.2111470064111334</c:v>
                </c:pt>
                <c:pt idx="8">
                  <c:v>2.2250016410797486</c:v>
                </c:pt>
                <c:pt idx="9">
                  <c:v>2.260558366428842</c:v>
                </c:pt>
                <c:pt idx="10">
                  <c:v>2.2204322200916442</c:v>
                </c:pt>
                <c:pt idx="11">
                  <c:v>2.2469303165523407</c:v>
                </c:pt>
                <c:pt idx="12">
                  <c:v>2.2737461632202223</c:v>
                </c:pt>
                <c:pt idx="13">
                  <c:v>2.3008835777706467</c:v>
                </c:pt>
                <c:pt idx="14">
                  <c:v>2.3283464241375889</c:v>
                </c:pt>
              </c:numCache>
            </c:numRef>
          </c:val>
          <c:extLst>
            <c:ext xmlns:c16="http://schemas.microsoft.com/office/drawing/2014/chart" uri="{C3380CC4-5D6E-409C-BE32-E72D297353CC}">
              <c16:uniqueId val="{00000002-830A-4420-9B5F-3C760BA3E99F}"/>
            </c:ext>
          </c:extLst>
        </c:ser>
        <c:ser>
          <c:idx val="3"/>
          <c:order val="3"/>
          <c:tx>
            <c:strRef>
              <c:f>'Dashboard - Data'!$C$78</c:f>
              <c:strCache>
                <c:ptCount val="1"/>
                <c:pt idx="0">
                  <c:v>GSL Payments</c:v>
                </c:pt>
              </c:strCache>
            </c:strRef>
          </c:tx>
          <c:invertIfNegative val="0"/>
          <c:cat>
            <c:strRef>
              <c:f>'Dashboard - Data'!$D$74:$R$74</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Data'!$D$78:$R$78</c:f>
              <c:numCache>
                <c:formatCode>0.00</c:formatCode>
                <c:ptCount val="15"/>
                <c:pt idx="0">
                  <c:v>0</c:v>
                </c:pt>
                <c:pt idx="1">
                  <c:v>5.8251761049188085E-3</c:v>
                </c:pt>
                <c:pt idx="2">
                  <c:v>2.1252144082332764E-3</c:v>
                </c:pt>
                <c:pt idx="3">
                  <c:v>2.1464665523156091E-3</c:v>
                </c:pt>
                <c:pt idx="4">
                  <c:v>2.1679312178387654E-3</c:v>
                </c:pt>
                <c:pt idx="5">
                  <c:v>2.4200255659548014E-3</c:v>
                </c:pt>
                <c:pt idx="6">
                  <c:v>2.4594120348743597E-3</c:v>
                </c:pt>
                <c:pt idx="7">
                  <c:v>2.5083913856053701E-3</c:v>
                </c:pt>
                <c:pt idx="8">
                  <c:v>2.5241084981052174E-3</c:v>
                </c:pt>
                <c:pt idx="9">
                  <c:v>2.5644451122278423E-3</c:v>
                </c:pt>
                <c:pt idx="10">
                  <c:v>2.5189248100869486E-3</c:v>
                </c:pt>
                <c:pt idx="11">
                  <c:v>2.5489850443021459E-3</c:v>
                </c:pt>
                <c:pt idx="12">
                  <c:v>2.5794057438686593E-3</c:v>
                </c:pt>
                <c:pt idx="13">
                  <c:v>2.6101912396717503E-3</c:v>
                </c:pt>
                <c:pt idx="14">
                  <c:v>2.6413459150738399E-3</c:v>
                </c:pt>
              </c:numCache>
            </c:numRef>
          </c:val>
          <c:extLst>
            <c:ext xmlns:c16="http://schemas.microsoft.com/office/drawing/2014/chart" uri="{C3380CC4-5D6E-409C-BE32-E72D297353CC}">
              <c16:uniqueId val="{00000003-830A-4420-9B5F-3C760BA3E99F}"/>
            </c:ext>
          </c:extLst>
        </c:ser>
        <c:ser>
          <c:idx val="4"/>
          <c:order val="4"/>
          <c:tx>
            <c:strRef>
              <c:f>'Dashboard - Data'!$C$79</c:f>
              <c:strCache>
                <c:ptCount val="1"/>
                <c:pt idx="0">
                  <c:v>Corporate costs</c:v>
                </c:pt>
              </c:strCache>
            </c:strRef>
          </c:tx>
          <c:invertIfNegative val="0"/>
          <c:cat>
            <c:strRef>
              <c:f>'Dashboard - Data'!$D$74:$R$74</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Data'!$D$79:$R$79</c:f>
              <c:numCache>
                <c:formatCode>0.00</c:formatCode>
                <c:ptCount val="15"/>
                <c:pt idx="0">
                  <c:v>11.057257461957359</c:v>
                </c:pt>
                <c:pt idx="1">
                  <c:v>10.283652778538171</c:v>
                </c:pt>
                <c:pt idx="2">
                  <c:v>9.9874451114922813</c:v>
                </c:pt>
                <c:pt idx="3">
                  <c:v>10.087319562607204</c:v>
                </c:pt>
                <c:pt idx="4">
                  <c:v>10.188192758233276</c:v>
                </c:pt>
                <c:pt idx="5">
                  <c:v>11.372910147204585</c:v>
                </c:pt>
                <c:pt idx="6">
                  <c:v>11.558006857892051</c:v>
                </c:pt>
                <c:pt idx="7">
                  <c:v>11.788185316652433</c:v>
                </c:pt>
                <c:pt idx="8">
                  <c:v>11.862047886845467</c:v>
                </c:pt>
                <c:pt idx="9">
                  <c:v>12.051609804914742</c:v>
                </c:pt>
                <c:pt idx="10">
                  <c:v>11.837687145003612</c:v>
                </c:pt>
                <c:pt idx="11">
                  <c:v>11.978955215697933</c:v>
                </c:pt>
                <c:pt idx="12">
                  <c:v>12.121917293310762</c:v>
                </c:pt>
                <c:pt idx="13">
                  <c:v>12.266593730837387</c:v>
                </c:pt>
                <c:pt idx="14">
                  <c:v>12.413005127889507</c:v>
                </c:pt>
              </c:numCache>
            </c:numRef>
          </c:val>
          <c:extLst>
            <c:ext xmlns:c16="http://schemas.microsoft.com/office/drawing/2014/chart" uri="{C3380CC4-5D6E-409C-BE32-E72D297353CC}">
              <c16:uniqueId val="{00000004-830A-4420-9B5F-3C760BA3E99F}"/>
            </c:ext>
          </c:extLst>
        </c:ser>
        <c:ser>
          <c:idx val="5"/>
          <c:order val="5"/>
          <c:tx>
            <c:strRef>
              <c:f>'Dashboard - Data'!$C$80</c:f>
              <c:strCache>
                <c:ptCount val="1"/>
                <c:pt idx="0">
                  <c:v>Other operating expenditure</c:v>
                </c:pt>
              </c:strCache>
            </c:strRef>
          </c:tx>
          <c:invertIfNegative val="0"/>
          <c:cat>
            <c:strRef>
              <c:f>'Dashboard - Data'!$D$74:$R$74</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Data'!$D$80:$R$80</c:f>
              <c:numCache>
                <c:formatCode>0.00</c:formatCode>
                <c:ptCount val="15"/>
                <c:pt idx="0">
                  <c:v>5.7023888911337278E-2</c:v>
                </c:pt>
                <c:pt idx="1">
                  <c:v>1.1678810964714124E-2</c:v>
                </c:pt>
                <c:pt idx="2">
                  <c:v>1.1476157804459692</c:v>
                </c:pt>
                <c:pt idx="3">
                  <c:v>1.159091938250429</c:v>
                </c:pt>
                <c:pt idx="4">
                  <c:v>1.1706828576329333</c:v>
                </c:pt>
                <c:pt idx="5">
                  <c:v>1.3068138056155925</c:v>
                </c:pt>
                <c:pt idx="6">
                  <c:v>1.3280824988321545</c:v>
                </c:pt>
                <c:pt idx="7">
                  <c:v>1.3545313482268997</c:v>
                </c:pt>
                <c:pt idx="8">
                  <c:v>1.3630185889768176</c:v>
                </c:pt>
                <c:pt idx="9">
                  <c:v>1.3848003606030346</c:v>
                </c:pt>
                <c:pt idx="10">
                  <c:v>1.3602193974469521</c:v>
                </c:pt>
                <c:pt idx="11">
                  <c:v>1.3764519239231585</c:v>
                </c:pt>
                <c:pt idx="12">
                  <c:v>1.3928791016890758</c:v>
                </c:pt>
                <c:pt idx="13">
                  <c:v>1.4095032694227447</c:v>
                </c:pt>
                <c:pt idx="14">
                  <c:v>1.4263267941398732</c:v>
                </c:pt>
              </c:numCache>
            </c:numRef>
          </c:val>
          <c:extLst>
            <c:ext xmlns:c16="http://schemas.microsoft.com/office/drawing/2014/chart" uri="{C3380CC4-5D6E-409C-BE32-E72D297353CC}">
              <c16:uniqueId val="{00000005-830A-4420-9B5F-3C760BA3E99F}"/>
            </c:ext>
          </c:extLst>
        </c:ser>
        <c:ser>
          <c:idx val="6"/>
          <c:order val="6"/>
          <c:tx>
            <c:strRef>
              <c:f>'Dashboard - Data'!$C$81</c:f>
              <c:strCache>
                <c:ptCount val="1"/>
                <c:pt idx="0">
                  <c:v>External bulk water charges (excl. temporary purchases)</c:v>
                </c:pt>
              </c:strCache>
            </c:strRef>
          </c:tx>
          <c:invertIfNegative val="0"/>
          <c:cat>
            <c:strRef>
              <c:f>'Dashboard - Data'!$D$74:$R$74</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Data'!$D$81:$R$81</c:f>
              <c:numCache>
                <c:formatCode>0.00</c:formatCode>
                <c:ptCount val="15"/>
                <c:pt idx="0">
                  <c:v>0</c:v>
                </c:pt>
                <c:pt idx="1">
                  <c:v>0</c:v>
                </c:pt>
                <c:pt idx="2">
                  <c:v>0</c:v>
                </c:pt>
                <c:pt idx="3">
                  <c:v>-0.10101527066157762</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830A-4420-9B5F-3C760BA3E99F}"/>
            </c:ext>
          </c:extLst>
        </c:ser>
        <c:ser>
          <c:idx val="7"/>
          <c:order val="7"/>
          <c:tx>
            <c:strRef>
              <c:f>'Dashboard - Data'!$C$82</c:f>
              <c:strCache>
                <c:ptCount val="1"/>
                <c:pt idx="0">
                  <c:v>License fees</c:v>
                </c:pt>
              </c:strCache>
            </c:strRef>
          </c:tx>
          <c:invertIfNegative val="0"/>
          <c:cat>
            <c:strRef>
              <c:f>'Dashboard - Data'!$D$74:$R$74</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Data'!$D$82:$R$82</c:f>
              <c:numCache>
                <c:formatCode>0.00</c:formatCode>
                <c:ptCount val="15"/>
                <c:pt idx="0">
                  <c:v>4.5114564831261111E-2</c:v>
                </c:pt>
                <c:pt idx="1">
                  <c:v>0.21946938935842863</c:v>
                </c:pt>
                <c:pt idx="2">
                  <c:v>0.24652487135506004</c:v>
                </c:pt>
                <c:pt idx="3">
                  <c:v>0.24899012006861065</c:v>
                </c:pt>
                <c:pt idx="4">
                  <c:v>0.25148002126929675</c:v>
                </c:pt>
                <c:pt idx="5">
                  <c:v>0.28072296565075688</c:v>
                </c:pt>
                <c:pt idx="6">
                  <c:v>0.28529179604542565</c:v>
                </c:pt>
                <c:pt idx="7">
                  <c:v>0.29097340073022288</c:v>
                </c:pt>
                <c:pt idx="8">
                  <c:v>0.29279658578020518</c:v>
                </c:pt>
                <c:pt idx="9">
                  <c:v>0.29747563301842961</c:v>
                </c:pt>
                <c:pt idx="10">
                  <c:v>0.29219527797008593</c:v>
                </c:pt>
                <c:pt idx="11">
                  <c:v>0.29568226513904883</c:v>
                </c:pt>
                <c:pt idx="12">
                  <c:v>0.29921106628876432</c:v>
                </c:pt>
                <c:pt idx="13">
                  <c:v>0.3027821838019229</c:v>
                </c:pt>
                <c:pt idx="14">
                  <c:v>0.30639612614856526</c:v>
                </c:pt>
              </c:numCache>
            </c:numRef>
          </c:val>
          <c:extLst>
            <c:ext xmlns:c16="http://schemas.microsoft.com/office/drawing/2014/chart" uri="{C3380CC4-5D6E-409C-BE32-E72D297353CC}">
              <c16:uniqueId val="{00000007-830A-4420-9B5F-3C760BA3E99F}"/>
            </c:ext>
          </c:extLst>
        </c:ser>
        <c:dLbls>
          <c:showLegendKey val="0"/>
          <c:showVal val="0"/>
          <c:showCatName val="0"/>
          <c:showSerName val="0"/>
          <c:showPercent val="0"/>
          <c:showBubbleSize val="0"/>
        </c:dLbls>
        <c:gapWidth val="75"/>
        <c:overlap val="100"/>
        <c:axId val="638334184"/>
        <c:axId val="638335360"/>
      </c:barChart>
      <c:catAx>
        <c:axId val="638334184"/>
        <c:scaling>
          <c:orientation val="minMax"/>
        </c:scaling>
        <c:delete val="0"/>
        <c:axPos val="b"/>
        <c:numFmt formatCode="General" sourceLinked="0"/>
        <c:majorTickMark val="none"/>
        <c:minorTickMark val="none"/>
        <c:tickLblPos val="nextTo"/>
        <c:crossAx val="638335360"/>
        <c:crosses val="autoZero"/>
        <c:auto val="1"/>
        <c:lblAlgn val="ctr"/>
        <c:lblOffset val="100"/>
        <c:noMultiLvlLbl val="0"/>
      </c:catAx>
      <c:valAx>
        <c:axId val="638335360"/>
        <c:scaling>
          <c:orientation val="minMax"/>
        </c:scaling>
        <c:delete val="0"/>
        <c:axPos val="l"/>
        <c:majorGridlines/>
        <c:numFmt formatCode="0.00" sourceLinked="1"/>
        <c:majorTickMark val="none"/>
        <c:minorTickMark val="none"/>
        <c:tickLblPos val="nextTo"/>
        <c:spPr>
          <a:ln w="9525">
            <a:noFill/>
          </a:ln>
        </c:spPr>
        <c:crossAx val="638334184"/>
        <c:crosses val="autoZero"/>
        <c:crossBetween val="between"/>
      </c:valAx>
    </c:plotArea>
    <c:legend>
      <c:legendPos val="b"/>
      <c:layout>
        <c:manualLayout>
          <c:xMode val="edge"/>
          <c:yMode val="edge"/>
          <c:x val="0"/>
          <c:y val="0.84640248378017102"/>
          <c:w val="0.99462347179365185"/>
          <c:h val="0.15359751621982881"/>
        </c:manualLayou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Non-controllable operating</a:t>
            </a:r>
            <a:r>
              <a:rPr lang="en-AU" baseline="0"/>
              <a:t> expenditure ($m)</a:t>
            </a:r>
            <a:endParaRPr lang="en-AU"/>
          </a:p>
        </c:rich>
      </c:tx>
      <c:overlay val="0"/>
    </c:title>
    <c:autoTitleDeleted val="0"/>
    <c:plotArea>
      <c:layout>
        <c:manualLayout>
          <c:layoutTarget val="inner"/>
          <c:xMode val="edge"/>
          <c:yMode val="edge"/>
          <c:x val="7.7379111394859423E-2"/>
          <c:y val="0.14221395337944595"/>
          <c:w val="0.91420317955751029"/>
          <c:h val="0.60779462919677996"/>
        </c:manualLayout>
      </c:layout>
      <c:barChart>
        <c:barDir val="col"/>
        <c:grouping val="stacked"/>
        <c:varyColors val="0"/>
        <c:ser>
          <c:idx val="0"/>
          <c:order val="0"/>
          <c:tx>
            <c:strRef>
              <c:f>'Dashboard - Data'!$C$56</c:f>
              <c:strCache>
                <c:ptCount val="1"/>
                <c:pt idx="0">
                  <c:v>External bulk water charges (excl. temporary purchases)</c:v>
                </c:pt>
              </c:strCache>
            </c:strRef>
          </c:tx>
          <c:invertIfNegative val="0"/>
          <c:cat>
            <c:strRef>
              <c:f>'Dashboard - Data'!$G$55:$R$55</c:f>
              <c:strCache>
                <c:ptCount val="12"/>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strCache>
            </c:strRef>
          </c:cat>
          <c:val>
            <c:numRef>
              <c:f>'Dashboard - Data'!$G$56:$R$56</c:f>
              <c:numCache>
                <c:formatCode>0.00</c:formatCode>
                <c:ptCount val="12"/>
                <c:pt idx="0">
                  <c:v>0</c:v>
                </c:pt>
                <c:pt idx="1">
                  <c:v>0</c:v>
                </c:pt>
                <c:pt idx="2">
                  <c:v>0.64764458258572433</c:v>
                </c:pt>
                <c:pt idx="3">
                  <c:v>0.65818373544172548</c:v>
                </c:pt>
                <c:pt idx="4">
                  <c:v>0.67129085321641702</c:v>
                </c:pt>
                <c:pt idx="5">
                  <c:v>0.6754975289275913</c:v>
                </c:pt>
                <c:pt idx="6">
                  <c:v>0.68629202214934182</c:v>
                </c:pt>
                <c:pt idx="7">
                  <c:v>0.67411240375302706</c:v>
                </c:pt>
                <c:pt idx="8">
                  <c:v>0.68215706517938446</c:v>
                </c:pt>
                <c:pt idx="9">
                  <c:v>0.69029819230124045</c:v>
                </c:pt>
                <c:pt idx="10">
                  <c:v>0.69853694397551813</c:v>
                </c:pt>
                <c:pt idx="11">
                  <c:v>0.70687449311089889</c:v>
                </c:pt>
              </c:numCache>
            </c:numRef>
          </c:val>
          <c:extLst>
            <c:ext xmlns:c16="http://schemas.microsoft.com/office/drawing/2014/chart" uri="{C3380CC4-5D6E-409C-BE32-E72D297353CC}">
              <c16:uniqueId val="{00000000-D1A1-453B-9485-172C3F478021}"/>
            </c:ext>
          </c:extLst>
        </c:ser>
        <c:ser>
          <c:idx val="1"/>
          <c:order val="1"/>
          <c:tx>
            <c:strRef>
              <c:f>'Dashboard - Data'!$C$57</c:f>
              <c:strCache>
                <c:ptCount val="1"/>
                <c:pt idx="0">
                  <c:v>External temporary water purchases</c:v>
                </c:pt>
              </c:strCache>
            </c:strRef>
          </c:tx>
          <c:invertIfNegative val="0"/>
          <c:cat>
            <c:strRef>
              <c:f>'Dashboard - Data'!$G$55:$R$55</c:f>
              <c:strCache>
                <c:ptCount val="12"/>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strCache>
            </c:strRef>
          </c:cat>
          <c:val>
            <c:numRef>
              <c:f>'Dashboard - Data'!$G$57:$R$57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D1A1-453B-9485-172C3F478021}"/>
            </c:ext>
          </c:extLst>
        </c:ser>
        <c:ser>
          <c:idx val="2"/>
          <c:order val="2"/>
          <c:tx>
            <c:strRef>
              <c:f>'Dashboard - Data'!$C$58</c:f>
              <c:strCache>
                <c:ptCount val="1"/>
                <c:pt idx="0">
                  <c:v>License fees</c:v>
                </c:pt>
              </c:strCache>
            </c:strRef>
          </c:tx>
          <c:invertIfNegative val="0"/>
          <c:cat>
            <c:strRef>
              <c:f>'Dashboard - Data'!$G$55:$R$55</c:f>
              <c:strCache>
                <c:ptCount val="12"/>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strCache>
            </c:strRef>
          </c:cat>
          <c:val>
            <c:numRef>
              <c:f>'Dashboard - Data'!$G$58:$R$58</c:f>
              <c:numCache>
                <c:formatCode>0.00</c:formatCode>
                <c:ptCount val="12"/>
                <c:pt idx="0">
                  <c:v>0</c:v>
                </c:pt>
                <c:pt idx="1">
                  <c:v>0</c:v>
                </c:pt>
                <c:pt idx="2">
                  <c:v>0.35442249883575022</c:v>
                </c:pt>
                <c:pt idx="3">
                  <c:v>0.36019080066040599</c:v>
                </c:pt>
                <c:pt idx="4">
                  <c:v>0.36736402074742946</c:v>
                </c:pt>
                <c:pt idx="5">
                  <c:v>0.36966585718153994</c:v>
                </c:pt>
                <c:pt idx="6">
                  <c:v>0.37557331513767733</c:v>
                </c:pt>
                <c:pt idx="7">
                  <c:v>0.36890669447750407</c:v>
                </c:pt>
                <c:pt idx="8">
                  <c:v>0.37330913667686016</c:v>
                </c:pt>
                <c:pt idx="9">
                  <c:v>0.37776437047015476</c:v>
                </c:pt>
                <c:pt idx="10">
                  <c:v>0.38227303013224134</c:v>
                </c:pt>
                <c:pt idx="11">
                  <c:v>0.38683575762349243</c:v>
                </c:pt>
              </c:numCache>
            </c:numRef>
          </c:val>
          <c:extLst>
            <c:ext xmlns:c16="http://schemas.microsoft.com/office/drawing/2014/chart" uri="{C3380CC4-5D6E-409C-BE32-E72D297353CC}">
              <c16:uniqueId val="{00000002-D1A1-453B-9485-172C3F478021}"/>
            </c:ext>
          </c:extLst>
        </c:ser>
        <c:ser>
          <c:idx val="3"/>
          <c:order val="3"/>
          <c:tx>
            <c:strRef>
              <c:f>'Dashboard - Data'!$C$59</c:f>
              <c:strCache>
                <c:ptCount val="1"/>
                <c:pt idx="0">
                  <c:v>Environmental Contribution</c:v>
                </c:pt>
              </c:strCache>
            </c:strRef>
          </c:tx>
          <c:invertIfNegative val="0"/>
          <c:cat>
            <c:strRef>
              <c:f>'Dashboard - Data'!$G$55:$R$55</c:f>
              <c:strCache>
                <c:ptCount val="12"/>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strCache>
            </c:strRef>
          </c:cat>
          <c:val>
            <c:numRef>
              <c:f>'Dashboard - Data'!$G$59:$R$59</c:f>
              <c:numCache>
                <c:formatCode>0.00</c:formatCode>
                <c:ptCount val="12"/>
                <c:pt idx="0">
                  <c:v>0</c:v>
                </c:pt>
                <c:pt idx="1">
                  <c:v>0</c:v>
                </c:pt>
                <c:pt idx="2">
                  <c:v>4.9298525622029192</c:v>
                </c:pt>
                <c:pt idx="3">
                  <c:v>6.0635470838900023</c:v>
                </c:pt>
                <c:pt idx="4">
                  <c:v>5.9943256942346048</c:v>
                </c:pt>
                <c:pt idx="5">
                  <c:v>5.8470993091826529</c:v>
                </c:pt>
                <c:pt idx="6">
                  <c:v>5.758205922343576</c:v>
                </c:pt>
                <c:pt idx="7">
                  <c:v>5.4834433379296588</c:v>
                </c:pt>
                <c:pt idx="8">
                  <c:v>5.3786502461400234</c:v>
                </c:pt>
                <c:pt idx="9">
                  <c:v>5.2758621872193761</c:v>
                </c:pt>
                <c:pt idx="10">
                  <c:v>5.175040631398665</c:v>
                </c:pt>
                <c:pt idx="11">
                  <c:v>5.0761478083583222</c:v>
                </c:pt>
              </c:numCache>
            </c:numRef>
          </c:val>
          <c:extLst>
            <c:ext xmlns:c16="http://schemas.microsoft.com/office/drawing/2014/chart" uri="{C3380CC4-5D6E-409C-BE32-E72D297353CC}">
              <c16:uniqueId val="{00000003-D1A1-453B-9485-172C3F478021}"/>
            </c:ext>
          </c:extLst>
        </c:ser>
        <c:ser>
          <c:idx val="4"/>
          <c:order val="4"/>
          <c:tx>
            <c:strRef>
              <c:f>'Dashboard - Data'!$C$60</c:f>
              <c:strCache>
                <c:ptCount val="1"/>
                <c:pt idx="0">
                  <c:v>Other non-controllable</c:v>
                </c:pt>
              </c:strCache>
            </c:strRef>
          </c:tx>
          <c:invertIfNegative val="0"/>
          <c:cat>
            <c:strRef>
              <c:f>'Dashboard - Data'!$G$55:$R$55</c:f>
              <c:strCache>
                <c:ptCount val="12"/>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strCache>
            </c:strRef>
          </c:cat>
          <c:val>
            <c:numRef>
              <c:f>'Dashboard - Data'!$G$60:$R$60</c:f>
              <c:numCache>
                <c:formatCode>0.00</c:formatCode>
                <c:ptCount val="12"/>
                <c:pt idx="0">
                  <c:v>0</c:v>
                </c:pt>
                <c:pt idx="1">
                  <c:v>0</c:v>
                </c:pt>
                <c:pt idx="2">
                  <c:v>0.15972376106989561</c:v>
                </c:pt>
                <c:pt idx="3">
                  <c:v>0.1623221771028128</c:v>
                </c:pt>
                <c:pt idx="4">
                  <c:v>0.16555432402893766</c:v>
                </c:pt>
                <c:pt idx="5">
                  <c:v>0.16659204234519615</c:v>
                </c:pt>
                <c:pt idx="6">
                  <c:v>0.16925402679043447</c:v>
                </c:pt>
                <c:pt idx="7">
                  <c:v>0.16625158013638497</c:v>
                </c:pt>
                <c:pt idx="8">
                  <c:v>0.16823556764704767</c:v>
                </c:pt>
                <c:pt idx="9">
                  <c:v>0.17024334660656296</c:v>
                </c:pt>
                <c:pt idx="10">
                  <c:v>0.17227520276183914</c:v>
                </c:pt>
                <c:pt idx="11">
                  <c:v>0.17433142532597889</c:v>
                </c:pt>
              </c:numCache>
            </c:numRef>
          </c:val>
          <c:extLst>
            <c:ext xmlns:c16="http://schemas.microsoft.com/office/drawing/2014/chart" uri="{C3380CC4-5D6E-409C-BE32-E72D297353CC}">
              <c16:uniqueId val="{00000004-D1A1-453B-9485-172C3F478021}"/>
            </c:ext>
          </c:extLst>
        </c:ser>
        <c:dLbls>
          <c:showLegendKey val="0"/>
          <c:showVal val="0"/>
          <c:showCatName val="0"/>
          <c:showSerName val="0"/>
          <c:showPercent val="0"/>
          <c:showBubbleSize val="0"/>
        </c:dLbls>
        <c:gapWidth val="75"/>
        <c:overlap val="100"/>
        <c:axId val="638329088"/>
        <c:axId val="638333008"/>
      </c:barChart>
      <c:catAx>
        <c:axId val="638329088"/>
        <c:scaling>
          <c:orientation val="minMax"/>
        </c:scaling>
        <c:delete val="0"/>
        <c:axPos val="b"/>
        <c:numFmt formatCode="General" sourceLinked="0"/>
        <c:majorTickMark val="none"/>
        <c:minorTickMark val="none"/>
        <c:tickLblPos val="nextTo"/>
        <c:crossAx val="638333008"/>
        <c:crosses val="autoZero"/>
        <c:auto val="1"/>
        <c:lblAlgn val="ctr"/>
        <c:lblOffset val="100"/>
        <c:noMultiLvlLbl val="0"/>
      </c:catAx>
      <c:valAx>
        <c:axId val="638333008"/>
        <c:scaling>
          <c:orientation val="minMax"/>
        </c:scaling>
        <c:delete val="0"/>
        <c:axPos val="l"/>
        <c:majorGridlines/>
        <c:numFmt formatCode="0.00" sourceLinked="1"/>
        <c:majorTickMark val="none"/>
        <c:minorTickMark val="none"/>
        <c:tickLblPos val="nextTo"/>
        <c:spPr>
          <a:ln w="9525">
            <a:noFill/>
          </a:ln>
        </c:spPr>
        <c:crossAx val="638329088"/>
        <c:crosses val="autoZero"/>
        <c:crossBetween val="between"/>
      </c:valAx>
    </c:plotArea>
    <c:legend>
      <c:legendPos val="b"/>
      <c:layout>
        <c:manualLayout>
          <c:xMode val="edge"/>
          <c:yMode val="edge"/>
          <c:x val="0"/>
          <c:y val="0.85157731783448698"/>
          <c:w val="1"/>
          <c:h val="0.12814385089683264"/>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AU" sz="1400"/>
              <a:t>Forecast variations to baseline operating expenditure</a:t>
            </a:r>
          </a:p>
        </c:rich>
      </c:tx>
      <c:overlay val="0"/>
    </c:title>
    <c:autoTitleDeleted val="0"/>
    <c:plotArea>
      <c:layout>
        <c:manualLayout>
          <c:layoutTarget val="inner"/>
          <c:xMode val="edge"/>
          <c:yMode val="edge"/>
          <c:x val="6.0665389799248064E-2"/>
          <c:y val="8.470087532678125E-2"/>
          <c:w val="0.91954271718880087"/>
          <c:h val="0.73051813550934297"/>
        </c:manualLayout>
      </c:layout>
      <c:barChart>
        <c:barDir val="col"/>
        <c:grouping val="stacked"/>
        <c:varyColors val="0"/>
        <c:ser>
          <c:idx val="0"/>
          <c:order val="0"/>
          <c:tx>
            <c:strRef>
              <c:f>Opex_FO!$AB$182</c:f>
              <c:strCache>
                <c:ptCount val="1"/>
                <c:pt idx="0">
                  <c:v>Water</c:v>
                </c:pt>
              </c:strCache>
            </c:strRef>
          </c:tx>
          <c:spPr>
            <a:ln>
              <a:noFill/>
            </a:ln>
          </c:spPr>
          <c:invertIfNegative val="0"/>
          <c:cat>
            <c:strRef>
              <c:f>Opex_FO!$AC$181:$AL$181</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Opex_FO!$AC$182:$AL$182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D62-4831-B532-4C7593342ECB}"/>
            </c:ext>
          </c:extLst>
        </c:ser>
        <c:ser>
          <c:idx val="1"/>
          <c:order val="1"/>
          <c:tx>
            <c:strRef>
              <c:f>Opex_FO!$AB$183</c:f>
              <c:strCache>
                <c:ptCount val="1"/>
                <c:pt idx="0">
                  <c:v>Sewerage</c:v>
                </c:pt>
              </c:strCache>
            </c:strRef>
          </c:tx>
          <c:spPr>
            <a:solidFill>
              <a:schemeClr val="accent1">
                <a:lumMod val="60000"/>
                <a:lumOff val="40000"/>
              </a:schemeClr>
            </a:solidFill>
            <a:ln>
              <a:noFill/>
            </a:ln>
          </c:spPr>
          <c:invertIfNegative val="0"/>
          <c:cat>
            <c:strRef>
              <c:f>Opex_FO!$AC$181:$AL$181</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Opex_FO!$AC$183:$AL$183</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5D62-4831-B532-4C7593342ECB}"/>
            </c:ext>
          </c:extLst>
        </c:ser>
        <c:ser>
          <c:idx val="2"/>
          <c:order val="2"/>
          <c:tx>
            <c:strRef>
              <c:f>Opex_FO!$AB$184</c:f>
              <c:strCache>
                <c:ptCount val="1"/>
                <c:pt idx="0">
                  <c:v>Recycled Water</c:v>
                </c:pt>
              </c:strCache>
            </c:strRef>
          </c:tx>
          <c:spPr>
            <a:solidFill>
              <a:schemeClr val="bg2">
                <a:lumMod val="90000"/>
              </a:schemeClr>
            </a:solidFill>
          </c:spPr>
          <c:invertIfNegative val="0"/>
          <c:cat>
            <c:strRef>
              <c:f>Opex_FO!$AC$181:$AL$181</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Opex_FO!$AC$184:$AL$184</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5D62-4831-B532-4C7593342ECB}"/>
            </c:ext>
          </c:extLst>
        </c:ser>
        <c:ser>
          <c:idx val="3"/>
          <c:order val="3"/>
          <c:tx>
            <c:strRef>
              <c:f>Opex_FO!$AB$185</c:f>
              <c:strCache>
                <c:ptCount val="1"/>
                <c:pt idx="0">
                  <c:v>Rural water</c:v>
                </c:pt>
              </c:strCache>
            </c:strRef>
          </c:tx>
          <c:spPr>
            <a:solidFill>
              <a:schemeClr val="accent6">
                <a:lumMod val="40000"/>
                <a:lumOff val="60000"/>
              </a:schemeClr>
            </a:solidFill>
          </c:spPr>
          <c:invertIfNegative val="0"/>
          <c:cat>
            <c:strRef>
              <c:f>Opex_FO!$AC$181:$AL$181</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Opex_FO!$AC$185:$AL$185</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5D62-4831-B532-4C7593342ECB}"/>
            </c:ext>
          </c:extLst>
        </c:ser>
        <c:ser>
          <c:idx val="4"/>
          <c:order val="4"/>
          <c:tx>
            <c:strRef>
              <c:f>Opex_FO!$AB$186</c:f>
              <c:strCache>
                <c:ptCount val="1"/>
                <c:pt idx="0">
                  <c:v>Bulk Water</c:v>
                </c:pt>
              </c:strCache>
            </c:strRef>
          </c:tx>
          <c:spPr>
            <a:ln>
              <a:noFill/>
            </a:ln>
          </c:spPr>
          <c:invertIfNegative val="0"/>
          <c:cat>
            <c:strRef>
              <c:f>Opex_FO!$AC$181:$AL$181</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Opex_FO!$AC$186:$AL$186</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5D62-4831-B532-4C7593342ECB}"/>
            </c:ext>
          </c:extLst>
        </c:ser>
        <c:dLbls>
          <c:showLegendKey val="0"/>
          <c:showVal val="0"/>
          <c:showCatName val="0"/>
          <c:showSerName val="0"/>
          <c:showPercent val="0"/>
          <c:showBubbleSize val="0"/>
        </c:dLbls>
        <c:gapWidth val="64"/>
        <c:overlap val="100"/>
        <c:axId val="608614688"/>
        <c:axId val="608613120"/>
      </c:barChart>
      <c:catAx>
        <c:axId val="608614688"/>
        <c:scaling>
          <c:orientation val="minMax"/>
        </c:scaling>
        <c:delete val="0"/>
        <c:axPos val="b"/>
        <c:numFmt formatCode="General" sourceLinked="1"/>
        <c:majorTickMark val="out"/>
        <c:minorTickMark val="none"/>
        <c:tickLblPos val="nextTo"/>
        <c:txPr>
          <a:bodyPr/>
          <a:lstStyle/>
          <a:p>
            <a:pPr>
              <a:defRPr sz="1000"/>
            </a:pPr>
            <a:endParaRPr lang="en-US"/>
          </a:p>
        </c:txPr>
        <c:crossAx val="608613120"/>
        <c:crosses val="autoZero"/>
        <c:auto val="1"/>
        <c:lblAlgn val="ctr"/>
        <c:lblOffset val="100"/>
        <c:noMultiLvlLbl val="0"/>
      </c:catAx>
      <c:valAx>
        <c:axId val="608613120"/>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txPr>
          <a:bodyPr/>
          <a:lstStyle/>
          <a:p>
            <a:pPr>
              <a:defRPr sz="1000"/>
            </a:pPr>
            <a:endParaRPr lang="en-US"/>
          </a:p>
        </c:txPr>
        <c:crossAx val="608614688"/>
        <c:crosses val="autoZero"/>
        <c:crossBetween val="between"/>
      </c:valAx>
    </c:plotArea>
    <c:legend>
      <c:legendPos val="r"/>
      <c:layout>
        <c:manualLayout>
          <c:xMode val="edge"/>
          <c:yMode val="edge"/>
          <c:x val="2.688963310596133E-2"/>
          <c:y val="0.88459176215754176"/>
          <c:w val="0.75770060183200905"/>
          <c:h val="0.112904750605961"/>
        </c:manualLayout>
      </c:layout>
      <c:overlay val="0"/>
      <c:txPr>
        <a:bodyPr/>
        <a:lstStyle/>
        <a:p>
          <a:pPr>
            <a:defRPr sz="1050"/>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Controllable opex per water connection</a:t>
            </a:r>
          </a:p>
        </c:rich>
      </c:tx>
      <c:overlay val="0"/>
    </c:title>
    <c:autoTitleDeleted val="0"/>
    <c:plotArea>
      <c:layout/>
      <c:lineChart>
        <c:grouping val="standard"/>
        <c:varyColors val="0"/>
        <c:ser>
          <c:idx val="0"/>
          <c:order val="0"/>
          <c:tx>
            <c:strRef>
              <c:f>'Dashboard - Data'!$C$86</c:f>
              <c:strCache>
                <c:ptCount val="1"/>
                <c:pt idx="0">
                  <c:v>Controllable opex per water connections</c:v>
                </c:pt>
              </c:strCache>
            </c:strRef>
          </c:tx>
          <c:marker>
            <c:symbol val="none"/>
          </c:marker>
          <c:cat>
            <c:strRef>
              <c:f>'Dashboard - Data'!$D$85:$R$85</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Data'!$D$86:$R$86</c:f>
              <c:numCache>
                <c:formatCode>0.00</c:formatCode>
                <c:ptCount val="15"/>
                <c:pt idx="0">
                  <c:v>887.94263811434439</c:v>
                </c:pt>
                <c:pt idx="1">
                  <c:v>845.84542811246274</c:v>
                </c:pt>
                <c:pt idx="2">
                  <c:v>780.04236698388536</c:v>
                </c:pt>
                <c:pt idx="3">
                  <c:v>850.69238789991221</c:v>
                </c:pt>
                <c:pt idx="4">
                  <c:v>840.70382757232005</c:v>
                </c:pt>
                <c:pt idx="5">
                  <c:v>828.54493552541578</c:v>
                </c:pt>
                <c:pt idx="6">
                  <c:v>823.96084918594659</c:v>
                </c:pt>
                <c:pt idx="7">
                  <c:v>822.22300176169006</c:v>
                </c:pt>
                <c:pt idx="8">
                  <c:v>809.564479169224</c:v>
                </c:pt>
                <c:pt idx="9">
                  <c:v>804.79623859742867</c:v>
                </c:pt>
                <c:pt idx="10">
                  <c:v>773.49380192101239</c:v>
                </c:pt>
                <c:pt idx="11">
                  <c:v>765.87523313746351</c:v>
                </c:pt>
                <c:pt idx="12">
                  <c:v>758.33221359955667</c:v>
                </c:pt>
                <c:pt idx="13">
                  <c:v>750.86398562907209</c:v>
                </c:pt>
                <c:pt idx="14">
                  <c:v>743.46979940045776</c:v>
                </c:pt>
              </c:numCache>
            </c:numRef>
          </c:val>
          <c:smooth val="0"/>
          <c:extLst>
            <c:ext xmlns:c16="http://schemas.microsoft.com/office/drawing/2014/chart" uri="{C3380CC4-5D6E-409C-BE32-E72D297353CC}">
              <c16:uniqueId val="{00000000-D4F4-4742-A162-1925CF05DEFE}"/>
            </c:ext>
          </c:extLst>
        </c:ser>
        <c:dLbls>
          <c:showLegendKey val="0"/>
          <c:showVal val="0"/>
          <c:showCatName val="0"/>
          <c:showSerName val="0"/>
          <c:showPercent val="0"/>
          <c:showBubbleSize val="0"/>
        </c:dLbls>
        <c:smooth val="0"/>
        <c:axId val="638333792"/>
        <c:axId val="638334968"/>
      </c:lineChart>
      <c:catAx>
        <c:axId val="638333792"/>
        <c:scaling>
          <c:orientation val="minMax"/>
        </c:scaling>
        <c:delete val="0"/>
        <c:axPos val="b"/>
        <c:numFmt formatCode="General" sourceLinked="0"/>
        <c:majorTickMark val="none"/>
        <c:minorTickMark val="none"/>
        <c:tickLblPos val="nextTo"/>
        <c:crossAx val="638334968"/>
        <c:crosses val="autoZero"/>
        <c:auto val="1"/>
        <c:lblAlgn val="ctr"/>
        <c:lblOffset val="100"/>
        <c:noMultiLvlLbl val="0"/>
      </c:catAx>
      <c:valAx>
        <c:axId val="638334968"/>
        <c:scaling>
          <c:orientation val="minMax"/>
        </c:scaling>
        <c:delete val="0"/>
        <c:axPos val="l"/>
        <c:majorGridlines/>
        <c:numFmt formatCode="0.00" sourceLinked="1"/>
        <c:majorTickMark val="none"/>
        <c:minorTickMark val="none"/>
        <c:tickLblPos val="nextTo"/>
        <c:spPr>
          <a:ln w="9525">
            <a:noFill/>
          </a:ln>
        </c:spPr>
        <c:crossAx val="63833379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Controllable water opex per water connection</a:t>
            </a:r>
          </a:p>
        </c:rich>
      </c:tx>
      <c:overlay val="0"/>
    </c:title>
    <c:autoTitleDeleted val="0"/>
    <c:plotArea>
      <c:layout/>
      <c:lineChart>
        <c:grouping val="standard"/>
        <c:varyColors val="0"/>
        <c:ser>
          <c:idx val="0"/>
          <c:order val="0"/>
          <c:tx>
            <c:strRef>
              <c:f>'Dashboard - Data'!$C$89</c:f>
              <c:strCache>
                <c:ptCount val="1"/>
                <c:pt idx="0">
                  <c:v>Controllable water opex per water connections</c:v>
                </c:pt>
              </c:strCache>
            </c:strRef>
          </c:tx>
          <c:marker>
            <c:symbol val="none"/>
          </c:marker>
          <c:cat>
            <c:strRef>
              <c:f>'Dashboard - Data'!$D$88:$R$88</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Data'!$D$89:$R$89</c:f>
              <c:numCache>
                <c:formatCode>0.00</c:formatCode>
                <c:ptCount val="15"/>
                <c:pt idx="0">
                  <c:v>499.60448501669168</c:v>
                </c:pt>
                <c:pt idx="1">
                  <c:v>455.60399446498155</c:v>
                </c:pt>
                <c:pt idx="2">
                  <c:v>432.62517857552973</c:v>
                </c:pt>
                <c:pt idx="3">
                  <c:v>508.82699459739291</c:v>
                </c:pt>
                <c:pt idx="4">
                  <c:v>502.85250933793219</c:v>
                </c:pt>
                <c:pt idx="5">
                  <c:v>459.52555381769258</c:v>
                </c:pt>
                <c:pt idx="6">
                  <c:v>457.00854346749088</c:v>
                </c:pt>
                <c:pt idx="7">
                  <c:v>456.01929846639717</c:v>
                </c:pt>
                <c:pt idx="8">
                  <c:v>448.99865980770073</c:v>
                </c:pt>
                <c:pt idx="9">
                  <c:v>446.35410995223555</c:v>
                </c:pt>
                <c:pt idx="10">
                  <c:v>428.99322953064222</c:v>
                </c:pt>
                <c:pt idx="11">
                  <c:v>424.76783765453558</c:v>
                </c:pt>
                <c:pt idx="12">
                  <c:v>420.5843467151862</c:v>
                </c:pt>
                <c:pt idx="13">
                  <c:v>416.44233649096407</c:v>
                </c:pt>
                <c:pt idx="14">
                  <c:v>412.34139111546625</c:v>
                </c:pt>
              </c:numCache>
            </c:numRef>
          </c:val>
          <c:smooth val="0"/>
          <c:extLst>
            <c:ext xmlns:c16="http://schemas.microsoft.com/office/drawing/2014/chart" uri="{C3380CC4-5D6E-409C-BE32-E72D297353CC}">
              <c16:uniqueId val="{00000000-3433-473C-B227-29FF4FBE26AD}"/>
            </c:ext>
          </c:extLst>
        </c:ser>
        <c:dLbls>
          <c:showLegendKey val="0"/>
          <c:showVal val="0"/>
          <c:showCatName val="0"/>
          <c:showSerName val="0"/>
          <c:showPercent val="0"/>
          <c:showBubbleSize val="0"/>
        </c:dLbls>
        <c:smooth val="0"/>
        <c:axId val="638335752"/>
        <c:axId val="638329872"/>
      </c:lineChart>
      <c:catAx>
        <c:axId val="638335752"/>
        <c:scaling>
          <c:orientation val="minMax"/>
        </c:scaling>
        <c:delete val="0"/>
        <c:axPos val="b"/>
        <c:numFmt formatCode="General" sourceLinked="0"/>
        <c:majorTickMark val="none"/>
        <c:minorTickMark val="none"/>
        <c:tickLblPos val="nextTo"/>
        <c:crossAx val="638329872"/>
        <c:crosses val="autoZero"/>
        <c:auto val="1"/>
        <c:lblAlgn val="ctr"/>
        <c:lblOffset val="100"/>
        <c:noMultiLvlLbl val="0"/>
      </c:catAx>
      <c:valAx>
        <c:axId val="638329872"/>
        <c:scaling>
          <c:orientation val="minMax"/>
        </c:scaling>
        <c:delete val="0"/>
        <c:axPos val="l"/>
        <c:majorGridlines/>
        <c:numFmt formatCode="0.00" sourceLinked="1"/>
        <c:majorTickMark val="none"/>
        <c:minorTickMark val="none"/>
        <c:tickLblPos val="nextTo"/>
        <c:spPr>
          <a:ln w="9525">
            <a:noFill/>
          </a:ln>
        </c:spPr>
        <c:crossAx val="63833575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Controllable sewerage opex per sewerage connection</a:t>
            </a:r>
          </a:p>
        </c:rich>
      </c:tx>
      <c:overlay val="0"/>
    </c:title>
    <c:autoTitleDeleted val="0"/>
    <c:plotArea>
      <c:layout/>
      <c:lineChart>
        <c:grouping val="standard"/>
        <c:varyColors val="0"/>
        <c:ser>
          <c:idx val="0"/>
          <c:order val="0"/>
          <c:tx>
            <c:strRef>
              <c:f>'Dashboard - Data'!$C$92</c:f>
              <c:strCache>
                <c:ptCount val="1"/>
                <c:pt idx="0">
                  <c:v>Controllable sewerage opex per sewerage connections</c:v>
                </c:pt>
              </c:strCache>
            </c:strRef>
          </c:tx>
          <c:marker>
            <c:symbol val="none"/>
          </c:marker>
          <c:cat>
            <c:strRef>
              <c:f>'Dashboard - Data'!$D$91:$R$91</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Data'!$D$92:$R$92</c:f>
              <c:numCache>
                <c:formatCode>0.00</c:formatCode>
                <c:ptCount val="15"/>
                <c:pt idx="0">
                  <c:v>441.81525642404489</c:v>
                </c:pt>
                <c:pt idx="1">
                  <c:v>443.67860034908563</c:v>
                </c:pt>
                <c:pt idx="2">
                  <c:v>395.17861701284005</c:v>
                </c:pt>
                <c:pt idx="3">
                  <c:v>387.29743727165237</c:v>
                </c:pt>
                <c:pt idx="4">
                  <c:v>382.74991354634932</c:v>
                </c:pt>
                <c:pt idx="5">
                  <c:v>418.06004245799636</c:v>
                </c:pt>
                <c:pt idx="6">
                  <c:v>415.71826335729463</c:v>
                </c:pt>
                <c:pt idx="7">
                  <c:v>414.87017575993502</c:v>
                </c:pt>
                <c:pt idx="8">
                  <c:v>408.48304783777115</c:v>
                </c:pt>
                <c:pt idx="9">
                  <c:v>406.07713022193224</c:v>
                </c:pt>
                <c:pt idx="10">
                  <c:v>390.28281727053786</c:v>
                </c:pt>
                <c:pt idx="11">
                  <c:v>386.4387056809839</c:v>
                </c:pt>
                <c:pt idx="12">
                  <c:v>382.63271407682407</c:v>
                </c:pt>
                <c:pt idx="13">
                  <c:v>378.86446015533107</c:v>
                </c:pt>
                <c:pt idx="14">
                  <c:v>375.13356557600866</c:v>
                </c:pt>
              </c:numCache>
            </c:numRef>
          </c:val>
          <c:smooth val="0"/>
          <c:extLst>
            <c:ext xmlns:c16="http://schemas.microsoft.com/office/drawing/2014/chart" uri="{C3380CC4-5D6E-409C-BE32-E72D297353CC}">
              <c16:uniqueId val="{00000000-B639-4851-9F52-BA76C6F3F993}"/>
            </c:ext>
          </c:extLst>
        </c:ser>
        <c:dLbls>
          <c:showLegendKey val="0"/>
          <c:showVal val="0"/>
          <c:showCatName val="0"/>
          <c:showSerName val="0"/>
          <c:showPercent val="0"/>
          <c:showBubbleSize val="0"/>
        </c:dLbls>
        <c:smooth val="0"/>
        <c:axId val="638329480"/>
        <c:axId val="638330264"/>
      </c:lineChart>
      <c:catAx>
        <c:axId val="638329480"/>
        <c:scaling>
          <c:orientation val="minMax"/>
        </c:scaling>
        <c:delete val="0"/>
        <c:axPos val="b"/>
        <c:numFmt formatCode="General" sourceLinked="0"/>
        <c:majorTickMark val="none"/>
        <c:minorTickMark val="none"/>
        <c:tickLblPos val="nextTo"/>
        <c:crossAx val="638330264"/>
        <c:crosses val="autoZero"/>
        <c:auto val="1"/>
        <c:lblAlgn val="ctr"/>
        <c:lblOffset val="100"/>
        <c:noMultiLvlLbl val="0"/>
      </c:catAx>
      <c:valAx>
        <c:axId val="638330264"/>
        <c:scaling>
          <c:orientation val="minMax"/>
        </c:scaling>
        <c:delete val="0"/>
        <c:axPos val="l"/>
        <c:majorGridlines/>
        <c:numFmt formatCode="0.00" sourceLinked="1"/>
        <c:majorTickMark val="none"/>
        <c:minorTickMark val="none"/>
        <c:tickLblPos val="nextTo"/>
        <c:spPr>
          <a:ln w="9525">
            <a:noFill/>
          </a:ln>
        </c:spPr>
        <c:crossAx val="63832948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Labour costs per water connection</a:t>
            </a:r>
          </a:p>
        </c:rich>
      </c:tx>
      <c:overlay val="0"/>
    </c:title>
    <c:autoTitleDeleted val="0"/>
    <c:plotArea>
      <c:layout/>
      <c:lineChart>
        <c:grouping val="standard"/>
        <c:varyColors val="0"/>
        <c:ser>
          <c:idx val="0"/>
          <c:order val="0"/>
          <c:tx>
            <c:strRef>
              <c:f>'Dashboard - Data'!$Z$79</c:f>
              <c:strCache>
                <c:ptCount val="1"/>
                <c:pt idx="0">
                  <c:v>Labour costs per water connections</c:v>
                </c:pt>
              </c:strCache>
            </c:strRef>
          </c:tx>
          <c:marker>
            <c:symbol val="none"/>
          </c:marker>
          <c:cat>
            <c:strRef>
              <c:f>'Dashboard - Data'!$AA$78:$AO$78</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Data'!$AA$79:$AO$79</c:f>
              <c:numCache>
                <c:formatCode>0.00</c:formatCode>
                <c:ptCount val="15"/>
                <c:pt idx="0">
                  <c:v>343.82300785318211</c:v>
                </c:pt>
                <c:pt idx="1">
                  <c:v>345.91282165039928</c:v>
                </c:pt>
                <c:pt idx="2">
                  <c:v>322.63268269075655</c:v>
                </c:pt>
                <c:pt idx="3">
                  <c:v>346.60210341575856</c:v>
                </c:pt>
                <c:pt idx="4">
                  <c:v>344.90639840883205</c:v>
                </c:pt>
                <c:pt idx="5">
                  <c:v>343.21898941465963</c:v>
                </c:pt>
                <c:pt idx="6">
                  <c:v>341.53983584609477</c:v>
                </c:pt>
                <c:pt idx="7">
                  <c:v>339.86889731455807</c:v>
                </c:pt>
                <c:pt idx="8">
                  <c:v>338.20613362906602</c:v>
                </c:pt>
                <c:pt idx="9">
                  <c:v>336.55150479526429</c:v>
                </c:pt>
                <c:pt idx="10">
                  <c:v>334.9049710144655</c:v>
                </c:pt>
                <c:pt idx="11">
                  <c:v>333.2664926826921</c:v>
                </c:pt>
                <c:pt idx="12">
                  <c:v>331.63603038972394</c:v>
                </c:pt>
                <c:pt idx="13">
                  <c:v>330.01354491814993</c:v>
                </c:pt>
                <c:pt idx="14">
                  <c:v>328.39899724242503</c:v>
                </c:pt>
              </c:numCache>
            </c:numRef>
          </c:val>
          <c:smooth val="0"/>
          <c:extLst>
            <c:ext xmlns:c16="http://schemas.microsoft.com/office/drawing/2014/chart" uri="{C3380CC4-5D6E-409C-BE32-E72D297353CC}">
              <c16:uniqueId val="{00000000-DBFC-4F9C-A93E-905ACD9791FB}"/>
            </c:ext>
          </c:extLst>
        </c:ser>
        <c:dLbls>
          <c:showLegendKey val="0"/>
          <c:showVal val="0"/>
          <c:showCatName val="0"/>
          <c:showSerName val="0"/>
          <c:showPercent val="0"/>
          <c:showBubbleSize val="0"/>
        </c:dLbls>
        <c:smooth val="0"/>
        <c:axId val="638331832"/>
        <c:axId val="638332224"/>
      </c:lineChart>
      <c:catAx>
        <c:axId val="638331832"/>
        <c:scaling>
          <c:orientation val="minMax"/>
        </c:scaling>
        <c:delete val="0"/>
        <c:axPos val="b"/>
        <c:numFmt formatCode="General" sourceLinked="0"/>
        <c:majorTickMark val="none"/>
        <c:minorTickMark val="none"/>
        <c:tickLblPos val="nextTo"/>
        <c:crossAx val="638332224"/>
        <c:crosses val="autoZero"/>
        <c:auto val="1"/>
        <c:lblAlgn val="ctr"/>
        <c:lblOffset val="100"/>
        <c:noMultiLvlLbl val="0"/>
      </c:catAx>
      <c:valAx>
        <c:axId val="638332224"/>
        <c:scaling>
          <c:orientation val="minMax"/>
        </c:scaling>
        <c:delete val="0"/>
        <c:axPos val="l"/>
        <c:majorGridlines/>
        <c:numFmt formatCode="0.00" sourceLinked="1"/>
        <c:majorTickMark val="none"/>
        <c:minorTickMark val="none"/>
        <c:tickLblPos val="nextTo"/>
        <c:spPr>
          <a:ln w="9525">
            <a:noFill/>
          </a:ln>
        </c:spPr>
        <c:crossAx val="6383318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FTE's per water connection</a:t>
            </a:r>
          </a:p>
        </c:rich>
      </c:tx>
      <c:overlay val="0"/>
    </c:title>
    <c:autoTitleDeleted val="0"/>
    <c:plotArea>
      <c:layout/>
      <c:lineChart>
        <c:grouping val="standard"/>
        <c:varyColors val="0"/>
        <c:ser>
          <c:idx val="0"/>
          <c:order val="0"/>
          <c:tx>
            <c:strRef>
              <c:f>'Dashboard - Data'!$Z$82</c:f>
              <c:strCache>
                <c:ptCount val="1"/>
                <c:pt idx="0">
                  <c:v>FTE's per water connections</c:v>
                </c:pt>
              </c:strCache>
            </c:strRef>
          </c:tx>
          <c:marker>
            <c:symbol val="none"/>
          </c:marker>
          <c:cat>
            <c:strRef>
              <c:f>'Dashboard - Data'!$AA$81:$AO$81</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Data'!$AA$82:$AO$82</c:f>
              <c:numCache>
                <c:formatCode>0.00</c:formatCode>
                <c:ptCount val="15"/>
                <c:pt idx="0">
                  <c:v>2.6834520224054944E-3</c:v>
                </c:pt>
                <c:pt idx="1">
                  <c:v>2.5801353149955634E-3</c:v>
                </c:pt>
                <c:pt idx="2">
                  <c:v>2.5622412217024249E-3</c:v>
                </c:pt>
                <c:pt idx="3">
                  <c:v>2.5906328583403188E-3</c:v>
                </c:pt>
                <c:pt idx="4">
                  <c:v>2.534865810509118E-3</c:v>
                </c:pt>
                <c:pt idx="5">
                  <c:v>2.5053780872361228E-3</c:v>
                </c:pt>
                <c:pt idx="6">
                  <c:v>2.4759852710060822E-3</c:v>
                </c:pt>
                <c:pt idx="7">
                  <c:v>2.4466969400204399E-3</c:v>
                </c:pt>
                <c:pt idx="8">
                  <c:v>2.4175222161332264E-3</c:v>
                </c:pt>
                <c:pt idx="9">
                  <c:v>2.3884697800596998E-3</c:v>
                </c:pt>
                <c:pt idx="10">
                  <c:v>2.3370545793147744E-3</c:v>
                </c:pt>
                <c:pt idx="11">
                  <c:v>2.2867461637130866E-3</c:v>
                </c:pt>
                <c:pt idx="12">
                  <c:v>2.2375207081341358E-3</c:v>
                </c:pt>
                <c:pt idx="13">
                  <c:v>2.1893549003269425E-3</c:v>
                </c:pt>
                <c:pt idx="14">
                  <c:v>2.1422259298698068E-3</c:v>
                </c:pt>
              </c:numCache>
            </c:numRef>
          </c:val>
          <c:smooth val="0"/>
          <c:extLst>
            <c:ext xmlns:c16="http://schemas.microsoft.com/office/drawing/2014/chart" uri="{C3380CC4-5D6E-409C-BE32-E72D297353CC}">
              <c16:uniqueId val="{00000000-D6E5-4D62-B396-87C3D9D88977}"/>
            </c:ext>
          </c:extLst>
        </c:ser>
        <c:dLbls>
          <c:showLegendKey val="0"/>
          <c:showVal val="0"/>
          <c:showCatName val="0"/>
          <c:showSerName val="0"/>
          <c:showPercent val="0"/>
          <c:showBubbleSize val="0"/>
        </c:dLbls>
        <c:smooth val="0"/>
        <c:axId val="638255632"/>
        <c:axId val="638256024"/>
      </c:lineChart>
      <c:catAx>
        <c:axId val="638255632"/>
        <c:scaling>
          <c:orientation val="minMax"/>
        </c:scaling>
        <c:delete val="0"/>
        <c:axPos val="b"/>
        <c:numFmt formatCode="General" sourceLinked="0"/>
        <c:majorTickMark val="none"/>
        <c:minorTickMark val="none"/>
        <c:tickLblPos val="nextTo"/>
        <c:crossAx val="638256024"/>
        <c:crosses val="autoZero"/>
        <c:auto val="1"/>
        <c:lblAlgn val="ctr"/>
        <c:lblOffset val="100"/>
        <c:noMultiLvlLbl val="0"/>
      </c:catAx>
      <c:valAx>
        <c:axId val="638256024"/>
        <c:scaling>
          <c:orientation val="minMax"/>
        </c:scaling>
        <c:delete val="0"/>
        <c:axPos val="l"/>
        <c:majorGridlines/>
        <c:numFmt formatCode="0.00" sourceLinked="1"/>
        <c:majorTickMark val="none"/>
        <c:minorTickMark val="none"/>
        <c:tickLblPos val="nextTo"/>
        <c:spPr>
          <a:ln w="9525">
            <a:noFill/>
          </a:ln>
        </c:spPr>
        <c:crossAx val="6382556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'Dashboard - Data'!$Z$85</c:f>
              <c:strCache>
                <c:ptCount val="1"/>
                <c:pt idx="0">
                  <c:v>Average unit labour cost (labour costs per FTE)</c:v>
                </c:pt>
              </c:strCache>
            </c:strRef>
          </c:tx>
          <c:marker>
            <c:symbol val="none"/>
          </c:marker>
          <c:cat>
            <c:strRef>
              <c:f>'Dashboard - Data'!$AA$84:$AO$84</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Data'!$AA$85:$AO$85</c:f>
              <c:numCache>
                <c:formatCode>0.00</c:formatCode>
                <c:ptCount val="15"/>
                <c:pt idx="0">
                  <c:v>128127.13064456916</c:v>
                </c:pt>
                <c:pt idx="1">
                  <c:v>134067.7055346588</c:v>
                </c:pt>
                <c:pt idx="2">
                  <c:v>125918.15320041974</c:v>
                </c:pt>
                <c:pt idx="3">
                  <c:v>133790.51466127398</c:v>
                </c:pt>
                <c:pt idx="4">
                  <c:v>136064.95341051562</c:v>
                </c:pt>
                <c:pt idx="5">
                  <c:v>136992.8918765675</c:v>
                </c:pt>
                <c:pt idx="6">
                  <c:v>137940.98044343971</c:v>
                </c:pt>
                <c:pt idx="7">
                  <c:v>138909.27468594405</c:v>
                </c:pt>
                <c:pt idx="8">
                  <c:v>139897.83894107051</c:v>
                </c:pt>
                <c:pt idx="9">
                  <c:v>140906.74607021917</c:v>
                </c:pt>
                <c:pt idx="10">
                  <c:v>143302.16075341287</c:v>
                </c:pt>
                <c:pt idx="11">
                  <c:v>145738.29748622086</c:v>
                </c:pt>
                <c:pt idx="12">
                  <c:v>148215.84854348662</c:v>
                </c:pt>
                <c:pt idx="13">
                  <c:v>150735.51796872588</c:v>
                </c:pt>
                <c:pt idx="14">
                  <c:v>153298.0217741942</c:v>
                </c:pt>
              </c:numCache>
            </c:numRef>
          </c:val>
          <c:smooth val="0"/>
          <c:extLst>
            <c:ext xmlns:c16="http://schemas.microsoft.com/office/drawing/2014/chart" uri="{C3380CC4-5D6E-409C-BE32-E72D297353CC}">
              <c16:uniqueId val="{00000000-EE4E-4D57-8BC1-0301DD6AAD36}"/>
            </c:ext>
          </c:extLst>
        </c:ser>
        <c:dLbls>
          <c:showLegendKey val="0"/>
          <c:showVal val="0"/>
          <c:showCatName val="0"/>
          <c:showSerName val="0"/>
          <c:showPercent val="0"/>
          <c:showBubbleSize val="0"/>
        </c:dLbls>
        <c:smooth val="0"/>
        <c:axId val="638250928"/>
        <c:axId val="638256808"/>
      </c:lineChart>
      <c:catAx>
        <c:axId val="638250928"/>
        <c:scaling>
          <c:orientation val="minMax"/>
        </c:scaling>
        <c:delete val="0"/>
        <c:axPos val="b"/>
        <c:numFmt formatCode="General" sourceLinked="0"/>
        <c:majorTickMark val="none"/>
        <c:minorTickMark val="none"/>
        <c:tickLblPos val="nextTo"/>
        <c:crossAx val="638256808"/>
        <c:crosses val="autoZero"/>
        <c:auto val="1"/>
        <c:lblAlgn val="ctr"/>
        <c:lblOffset val="100"/>
        <c:noMultiLvlLbl val="0"/>
      </c:catAx>
      <c:valAx>
        <c:axId val="638256808"/>
        <c:scaling>
          <c:orientation val="minMax"/>
        </c:scaling>
        <c:delete val="0"/>
        <c:axPos val="l"/>
        <c:majorGridlines/>
        <c:numFmt formatCode="0.00" sourceLinked="1"/>
        <c:majorTickMark val="none"/>
        <c:minorTickMark val="none"/>
        <c:tickLblPos val="nextTo"/>
        <c:spPr>
          <a:ln w="9525">
            <a:noFill/>
          </a:ln>
        </c:spPr>
        <c:crossAx val="6382509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'Dashboard - Data'!$Z$90</c:f>
              <c:strCache>
                <c:ptCount val="1"/>
                <c:pt idx="0">
                  <c:v>Chemical costs per water volume</c:v>
                </c:pt>
              </c:strCache>
            </c:strRef>
          </c:tx>
          <c:marker>
            <c:symbol val="none"/>
          </c:marker>
          <c:cat>
            <c:strRef>
              <c:f>'Dashboard - Data'!$AA$89:$AO$89</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Data'!$AA$90:$AO$90</c:f>
              <c:numCache>
                <c:formatCode>0.00</c:formatCode>
                <c:ptCount val="15"/>
                <c:pt idx="0">
                  <c:v>29.17082660309546</c:v>
                </c:pt>
                <c:pt idx="1">
                  <c:v>37.713408444358294</c:v>
                </c:pt>
                <c:pt idx="2">
                  <c:v>38.166582159553982</c:v>
                </c:pt>
                <c:pt idx="3">
                  <c:v>38.459972383732826</c:v>
                </c:pt>
                <c:pt idx="4">
                  <c:v>38.384708249909472</c:v>
                </c:pt>
                <c:pt idx="5">
                  <c:v>37.266542703799452</c:v>
                </c:pt>
                <c:pt idx="6">
                  <c:v>37.268716011877522</c:v>
                </c:pt>
                <c:pt idx="7">
                  <c:v>37.270864808953256</c:v>
                </c:pt>
                <c:pt idx="8">
                  <c:v>37.272989066400569</c:v>
                </c:pt>
                <c:pt idx="9">
                  <c:v>37.504823439070492</c:v>
                </c:pt>
                <c:pt idx="10">
                  <c:v>37.737239887633031</c:v>
                </c:pt>
                <c:pt idx="11">
                  <c:v>37.970228925099072</c:v>
                </c:pt>
                <c:pt idx="12">
                  <c:v>38.203780950912204</c:v>
                </c:pt>
                <c:pt idx="13">
                  <c:v>38.437886252040869</c:v>
                </c:pt>
                <c:pt idx="14">
                  <c:v>38.672535004109371</c:v>
                </c:pt>
              </c:numCache>
            </c:numRef>
          </c:val>
          <c:smooth val="0"/>
          <c:extLst>
            <c:ext xmlns:c16="http://schemas.microsoft.com/office/drawing/2014/chart" uri="{C3380CC4-5D6E-409C-BE32-E72D297353CC}">
              <c16:uniqueId val="{00000000-7F02-4A18-A30F-24D6E2CA4120}"/>
            </c:ext>
          </c:extLst>
        </c:ser>
        <c:dLbls>
          <c:showLegendKey val="0"/>
          <c:showVal val="0"/>
          <c:showCatName val="0"/>
          <c:showSerName val="0"/>
          <c:showPercent val="0"/>
          <c:showBubbleSize val="0"/>
        </c:dLbls>
        <c:smooth val="0"/>
        <c:axId val="638256416"/>
        <c:axId val="638252888"/>
      </c:lineChart>
      <c:catAx>
        <c:axId val="638256416"/>
        <c:scaling>
          <c:orientation val="minMax"/>
        </c:scaling>
        <c:delete val="0"/>
        <c:axPos val="b"/>
        <c:numFmt formatCode="General" sourceLinked="0"/>
        <c:majorTickMark val="none"/>
        <c:minorTickMark val="none"/>
        <c:tickLblPos val="nextTo"/>
        <c:crossAx val="638252888"/>
        <c:crosses val="autoZero"/>
        <c:auto val="1"/>
        <c:lblAlgn val="ctr"/>
        <c:lblOffset val="100"/>
        <c:noMultiLvlLbl val="0"/>
      </c:catAx>
      <c:valAx>
        <c:axId val="638252888"/>
        <c:scaling>
          <c:orientation val="minMax"/>
        </c:scaling>
        <c:delete val="0"/>
        <c:axPos val="l"/>
        <c:majorGridlines/>
        <c:numFmt formatCode="0.00" sourceLinked="1"/>
        <c:majorTickMark val="none"/>
        <c:minorTickMark val="none"/>
        <c:tickLblPos val="nextTo"/>
        <c:spPr>
          <a:ln w="9525">
            <a:noFill/>
          </a:ln>
        </c:spPr>
        <c:crossAx val="63825641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'Dashboard - Data'!$Z$95</c:f>
              <c:strCache>
                <c:ptCount val="1"/>
                <c:pt idx="0">
                  <c:v>Energy costs per water volume</c:v>
                </c:pt>
              </c:strCache>
            </c:strRef>
          </c:tx>
          <c:marker>
            <c:symbol val="none"/>
          </c:marker>
          <c:cat>
            <c:strRef>
              <c:f>'Dashboard - Data'!$AA$94:$AO$94</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Data'!$AA$95:$AO$95</c:f>
              <c:numCache>
                <c:formatCode>0.00</c:formatCode>
                <c:ptCount val="15"/>
                <c:pt idx="0">
                  <c:v>436.21410639657455</c:v>
                </c:pt>
                <c:pt idx="1">
                  <c:v>399.64054932358545</c:v>
                </c:pt>
                <c:pt idx="2">
                  <c:v>377.16337562337179</c:v>
                </c:pt>
                <c:pt idx="3">
                  <c:v>380.06266712564974</c:v>
                </c:pt>
                <c:pt idx="4">
                  <c:v>379.31890456767388</c:v>
                </c:pt>
                <c:pt idx="5">
                  <c:v>368.2691571704986</c:v>
                </c:pt>
                <c:pt idx="6">
                  <c:v>368.29063386986803</c:v>
                </c:pt>
                <c:pt idx="7">
                  <c:v>368.3118683507347</c:v>
                </c:pt>
                <c:pt idx="8">
                  <c:v>368.33286033021488</c:v>
                </c:pt>
                <c:pt idx="9">
                  <c:v>370.62385495520323</c:v>
                </c:pt>
                <c:pt idx="10">
                  <c:v>372.92060167262707</c:v>
                </c:pt>
                <c:pt idx="11">
                  <c:v>375.22300673175909</c:v>
                </c:pt>
                <c:pt idx="12">
                  <c:v>377.53097525959618</c:v>
                </c:pt>
                <c:pt idx="13">
                  <c:v>379.84441127165223</c:v>
                </c:pt>
                <c:pt idx="14">
                  <c:v>382.16321768313537</c:v>
                </c:pt>
              </c:numCache>
            </c:numRef>
          </c:val>
          <c:smooth val="0"/>
          <c:extLst>
            <c:ext xmlns:c16="http://schemas.microsoft.com/office/drawing/2014/chart" uri="{C3380CC4-5D6E-409C-BE32-E72D297353CC}">
              <c16:uniqueId val="{00000000-F912-4006-BD0F-5F507A638831}"/>
            </c:ext>
          </c:extLst>
        </c:ser>
        <c:dLbls>
          <c:showLegendKey val="0"/>
          <c:showVal val="0"/>
          <c:showCatName val="0"/>
          <c:showSerName val="0"/>
          <c:showPercent val="0"/>
          <c:showBubbleSize val="0"/>
        </c:dLbls>
        <c:smooth val="0"/>
        <c:axId val="638257592"/>
        <c:axId val="638258376"/>
      </c:lineChart>
      <c:catAx>
        <c:axId val="638257592"/>
        <c:scaling>
          <c:orientation val="minMax"/>
        </c:scaling>
        <c:delete val="0"/>
        <c:axPos val="b"/>
        <c:numFmt formatCode="General" sourceLinked="0"/>
        <c:majorTickMark val="none"/>
        <c:minorTickMark val="none"/>
        <c:tickLblPos val="nextTo"/>
        <c:crossAx val="638258376"/>
        <c:crosses val="autoZero"/>
        <c:auto val="1"/>
        <c:lblAlgn val="ctr"/>
        <c:lblOffset val="100"/>
        <c:noMultiLvlLbl val="0"/>
      </c:catAx>
      <c:valAx>
        <c:axId val="638258376"/>
        <c:scaling>
          <c:orientation val="minMax"/>
        </c:scaling>
        <c:delete val="0"/>
        <c:axPos val="l"/>
        <c:majorGridlines/>
        <c:numFmt formatCode="0.00" sourceLinked="1"/>
        <c:majorTickMark val="none"/>
        <c:minorTickMark val="none"/>
        <c:tickLblPos val="nextTo"/>
        <c:spPr>
          <a:ln w="9525">
            <a:noFill/>
          </a:ln>
        </c:spPr>
        <c:crossAx val="63825759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 capex by service category ($m)</a:t>
            </a:r>
          </a:p>
        </c:rich>
      </c:tx>
      <c:overlay val="0"/>
    </c:title>
    <c:autoTitleDeleted val="0"/>
    <c:plotArea>
      <c:layout/>
      <c:barChart>
        <c:barDir val="col"/>
        <c:grouping val="stacked"/>
        <c:varyColors val="0"/>
        <c:ser>
          <c:idx val="0"/>
          <c:order val="0"/>
          <c:tx>
            <c:strRef>
              <c:f>'Dashboard - Data'!$Z$8</c:f>
              <c:strCache>
                <c:ptCount val="1"/>
                <c:pt idx="0">
                  <c:v>Water</c:v>
                </c:pt>
              </c:strCache>
            </c:strRef>
          </c:tx>
          <c:invertIfNegative val="0"/>
          <c:cat>
            <c:strRef>
              <c:f>'Dashboard - Data'!$AA$7:$AO$7</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Data'!$AA$8:$AO$8</c:f>
              <c:numCache>
                <c:formatCode>0.00</c:formatCode>
                <c:ptCount val="15"/>
                <c:pt idx="0">
                  <c:v>17.035930044355755</c:v>
                </c:pt>
                <c:pt idx="1">
                  <c:v>14.324613649691862</c:v>
                </c:pt>
                <c:pt idx="2">
                  <c:v>10.461716935812005</c:v>
                </c:pt>
                <c:pt idx="3">
                  <c:v>10.446783730697089</c:v>
                </c:pt>
                <c:pt idx="4">
                  <c:v>21.314527694659166</c:v>
                </c:pt>
                <c:pt idx="5">
                  <c:v>24.918700000000001</c:v>
                </c:pt>
                <c:pt idx="6">
                  <c:v>36.073500000000003</c:v>
                </c:pt>
                <c:pt idx="7">
                  <c:v>36.361500000000007</c:v>
                </c:pt>
                <c:pt idx="8">
                  <c:v>23.079500000000003</c:v>
                </c:pt>
                <c:pt idx="9">
                  <c:v>25.545500000000004</c:v>
                </c:pt>
                <c:pt idx="10">
                  <c:v>56.987000000000002</c:v>
                </c:pt>
                <c:pt idx="11">
                  <c:v>46.062000000000012</c:v>
                </c:pt>
                <c:pt idx="12">
                  <c:v>34.106999999999999</c:v>
                </c:pt>
                <c:pt idx="13">
                  <c:v>29.777000000000001</c:v>
                </c:pt>
                <c:pt idx="14">
                  <c:v>40.857000000000006</c:v>
                </c:pt>
              </c:numCache>
            </c:numRef>
          </c:val>
          <c:extLst>
            <c:ext xmlns:c16="http://schemas.microsoft.com/office/drawing/2014/chart" uri="{C3380CC4-5D6E-409C-BE32-E72D297353CC}">
              <c16:uniqueId val="{00000000-963E-485F-BA15-DDFA52E9A52F}"/>
            </c:ext>
          </c:extLst>
        </c:ser>
        <c:ser>
          <c:idx val="1"/>
          <c:order val="1"/>
          <c:tx>
            <c:strRef>
              <c:f>'Dashboard - Data'!$Z$9</c:f>
              <c:strCache>
                <c:ptCount val="1"/>
                <c:pt idx="0">
                  <c:v>Sewerage</c:v>
                </c:pt>
              </c:strCache>
            </c:strRef>
          </c:tx>
          <c:invertIfNegative val="0"/>
          <c:cat>
            <c:strRef>
              <c:f>'Dashboard - Data'!$AA$7:$AO$7</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Data'!$AA$9:$AO$9</c:f>
              <c:numCache>
                <c:formatCode>0.00</c:formatCode>
                <c:ptCount val="15"/>
                <c:pt idx="0">
                  <c:v>13.41143346495153</c:v>
                </c:pt>
                <c:pt idx="1">
                  <c:v>16.508749549335569</c:v>
                </c:pt>
                <c:pt idx="2">
                  <c:v>16.109147060878254</c:v>
                </c:pt>
                <c:pt idx="3">
                  <c:v>17.075695884530948</c:v>
                </c:pt>
                <c:pt idx="4">
                  <c:v>14.829434481797012</c:v>
                </c:pt>
                <c:pt idx="5">
                  <c:v>18.46</c:v>
                </c:pt>
                <c:pt idx="6">
                  <c:v>8.4649999999999999</c:v>
                </c:pt>
                <c:pt idx="7">
                  <c:v>12.040000000000001</c:v>
                </c:pt>
                <c:pt idx="8">
                  <c:v>26.875000000000004</c:v>
                </c:pt>
                <c:pt idx="9">
                  <c:v>30.184999999999995</c:v>
                </c:pt>
                <c:pt idx="10">
                  <c:v>37.18</c:v>
                </c:pt>
                <c:pt idx="11">
                  <c:v>46.505000000000003</c:v>
                </c:pt>
                <c:pt idx="12">
                  <c:v>31.43</c:v>
                </c:pt>
                <c:pt idx="13">
                  <c:v>22.704999999999998</c:v>
                </c:pt>
                <c:pt idx="14">
                  <c:v>23.435000000000002</c:v>
                </c:pt>
              </c:numCache>
            </c:numRef>
          </c:val>
          <c:extLst>
            <c:ext xmlns:c16="http://schemas.microsoft.com/office/drawing/2014/chart" uri="{C3380CC4-5D6E-409C-BE32-E72D297353CC}">
              <c16:uniqueId val="{00000001-963E-485F-BA15-DDFA52E9A52F}"/>
            </c:ext>
          </c:extLst>
        </c:ser>
        <c:ser>
          <c:idx val="2"/>
          <c:order val="2"/>
          <c:tx>
            <c:strRef>
              <c:f>'Dashboard - Data'!$Z$10</c:f>
              <c:strCache>
                <c:ptCount val="1"/>
                <c:pt idx="0">
                  <c:v>Recycled Water</c:v>
                </c:pt>
              </c:strCache>
            </c:strRef>
          </c:tx>
          <c:invertIfNegative val="0"/>
          <c:cat>
            <c:strRef>
              <c:f>'Dashboard - Data'!$AA$7:$AO$7</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Data'!$AA$10:$AO$10</c:f>
              <c:numCache>
                <c:formatCode>0.00</c:formatCode>
                <c:ptCount val="15"/>
                <c:pt idx="0">
                  <c:v>0</c:v>
                </c:pt>
                <c:pt idx="1">
                  <c:v>2.0279969050216531</c:v>
                </c:pt>
                <c:pt idx="2">
                  <c:v>1.5235975377094018</c:v>
                </c:pt>
                <c:pt idx="3">
                  <c:v>1.6150133899719659</c:v>
                </c:pt>
                <c:pt idx="4">
                  <c:v>1.3560378235438222</c:v>
                </c:pt>
                <c:pt idx="5">
                  <c:v>2.61</c:v>
                </c:pt>
                <c:pt idx="6">
                  <c:v>3.46</c:v>
                </c:pt>
                <c:pt idx="7">
                  <c:v>1.61</c:v>
                </c:pt>
                <c:pt idx="8">
                  <c:v>4.0599999999999996</c:v>
                </c:pt>
                <c:pt idx="9">
                  <c:v>2.2599999999999998</c:v>
                </c:pt>
                <c:pt idx="10">
                  <c:v>4.43</c:v>
                </c:pt>
                <c:pt idx="11">
                  <c:v>2.63</c:v>
                </c:pt>
                <c:pt idx="12">
                  <c:v>2.63</c:v>
                </c:pt>
                <c:pt idx="13">
                  <c:v>2.63</c:v>
                </c:pt>
                <c:pt idx="14">
                  <c:v>2.63</c:v>
                </c:pt>
              </c:numCache>
            </c:numRef>
          </c:val>
          <c:extLst>
            <c:ext xmlns:c16="http://schemas.microsoft.com/office/drawing/2014/chart" uri="{C3380CC4-5D6E-409C-BE32-E72D297353CC}">
              <c16:uniqueId val="{00000002-963E-485F-BA15-DDFA52E9A52F}"/>
            </c:ext>
          </c:extLst>
        </c:ser>
        <c:ser>
          <c:idx val="3"/>
          <c:order val="3"/>
          <c:tx>
            <c:strRef>
              <c:f>'Dashboard - Data'!$Z$11</c:f>
              <c:strCache>
                <c:ptCount val="1"/>
                <c:pt idx="0">
                  <c:v>Rural water</c:v>
                </c:pt>
              </c:strCache>
            </c:strRef>
          </c:tx>
          <c:invertIfNegative val="0"/>
          <c:cat>
            <c:strRef>
              <c:f>'Dashboard - Data'!$AA$7:$AO$7</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Data'!$AA$11:$AO$11</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963E-485F-BA15-DDFA52E9A52F}"/>
            </c:ext>
          </c:extLst>
        </c:ser>
        <c:ser>
          <c:idx val="4"/>
          <c:order val="4"/>
          <c:tx>
            <c:strRef>
              <c:f>'Dashboard - Data'!$Z$12</c:f>
              <c:strCache>
                <c:ptCount val="1"/>
                <c:pt idx="0">
                  <c:v>Bulk Water</c:v>
                </c:pt>
              </c:strCache>
            </c:strRef>
          </c:tx>
          <c:invertIfNegative val="0"/>
          <c:cat>
            <c:strRef>
              <c:f>'Dashboard - Data'!$AA$7:$AO$7</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Data'!$AA$12:$AO$12</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963E-485F-BA15-DDFA52E9A52F}"/>
            </c:ext>
          </c:extLst>
        </c:ser>
        <c:dLbls>
          <c:showLegendKey val="0"/>
          <c:showVal val="0"/>
          <c:showCatName val="0"/>
          <c:showSerName val="0"/>
          <c:showPercent val="0"/>
          <c:showBubbleSize val="0"/>
        </c:dLbls>
        <c:gapWidth val="75"/>
        <c:overlap val="100"/>
        <c:axId val="638253672"/>
        <c:axId val="638251320"/>
      </c:barChart>
      <c:catAx>
        <c:axId val="638253672"/>
        <c:scaling>
          <c:orientation val="minMax"/>
        </c:scaling>
        <c:delete val="0"/>
        <c:axPos val="b"/>
        <c:numFmt formatCode="General" sourceLinked="0"/>
        <c:majorTickMark val="none"/>
        <c:minorTickMark val="none"/>
        <c:tickLblPos val="nextTo"/>
        <c:crossAx val="638251320"/>
        <c:crosses val="autoZero"/>
        <c:auto val="1"/>
        <c:lblAlgn val="ctr"/>
        <c:lblOffset val="100"/>
        <c:noMultiLvlLbl val="0"/>
      </c:catAx>
      <c:valAx>
        <c:axId val="638251320"/>
        <c:scaling>
          <c:orientation val="minMax"/>
        </c:scaling>
        <c:delete val="0"/>
        <c:axPos val="l"/>
        <c:majorGridlines/>
        <c:numFmt formatCode="0.00" sourceLinked="1"/>
        <c:majorTickMark val="none"/>
        <c:minorTickMark val="none"/>
        <c:tickLblPos val="nextTo"/>
        <c:spPr>
          <a:ln w="9525">
            <a:noFill/>
          </a:ln>
        </c:spPr>
        <c:crossAx val="63825367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a:t>
            </a:r>
            <a:r>
              <a:rPr lang="en-AU" baseline="0"/>
              <a:t> capex by cost driver ($m)</a:t>
            </a:r>
            <a:endParaRPr lang="en-AU"/>
          </a:p>
        </c:rich>
      </c:tx>
      <c:overlay val="0"/>
    </c:title>
    <c:autoTitleDeleted val="0"/>
    <c:plotArea>
      <c:layout>
        <c:manualLayout>
          <c:layoutTarget val="inner"/>
          <c:xMode val="edge"/>
          <c:yMode val="edge"/>
          <c:x val="8.9556341689172911E-2"/>
          <c:y val="0.15224804364034605"/>
          <c:w val="0.90542356118528666"/>
          <c:h val="0.60164765269605402"/>
        </c:manualLayout>
      </c:layout>
      <c:barChart>
        <c:barDir val="col"/>
        <c:grouping val="stacked"/>
        <c:varyColors val="0"/>
        <c:ser>
          <c:idx val="0"/>
          <c:order val="0"/>
          <c:tx>
            <c:strRef>
              <c:f>'Dashboard - Data'!$Z$18</c:f>
              <c:strCache>
                <c:ptCount val="1"/>
                <c:pt idx="0">
                  <c:v>Net capital expenditure - renewals</c:v>
                </c:pt>
              </c:strCache>
            </c:strRef>
          </c:tx>
          <c:invertIfNegative val="0"/>
          <c:cat>
            <c:strRef>
              <c:f>'Dashboard - Data'!$AA$17:$AJ$17</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Data'!$AA$18:$AJ$18</c:f>
              <c:numCache>
                <c:formatCode>0.00</c:formatCode>
                <c:ptCount val="10"/>
                <c:pt idx="0">
                  <c:v>9.7401999999999997</c:v>
                </c:pt>
                <c:pt idx="1">
                  <c:v>9.8509999999999973</c:v>
                </c:pt>
                <c:pt idx="2">
                  <c:v>12.128</c:v>
                </c:pt>
                <c:pt idx="3">
                  <c:v>11.9755</c:v>
                </c:pt>
                <c:pt idx="4">
                  <c:v>16.032500000000002</c:v>
                </c:pt>
                <c:pt idx="5">
                  <c:v>17.250000000000007</c:v>
                </c:pt>
                <c:pt idx="6">
                  <c:v>16.54</c:v>
                </c:pt>
                <c:pt idx="7">
                  <c:v>19.065000000000008</c:v>
                </c:pt>
                <c:pt idx="8">
                  <c:v>15.389999999999999</c:v>
                </c:pt>
                <c:pt idx="9">
                  <c:v>20.290000000000017</c:v>
                </c:pt>
              </c:numCache>
            </c:numRef>
          </c:val>
          <c:extLst>
            <c:ext xmlns:c16="http://schemas.microsoft.com/office/drawing/2014/chart" uri="{C3380CC4-5D6E-409C-BE32-E72D297353CC}">
              <c16:uniqueId val="{00000000-1979-4651-906F-5817DCF42FF6}"/>
            </c:ext>
          </c:extLst>
        </c:ser>
        <c:ser>
          <c:idx val="1"/>
          <c:order val="1"/>
          <c:tx>
            <c:strRef>
              <c:f>'Dashboard - Data'!$Z$19</c:f>
              <c:strCache>
                <c:ptCount val="1"/>
                <c:pt idx="0">
                  <c:v>Net capital expenditure - growth</c:v>
                </c:pt>
              </c:strCache>
            </c:strRef>
          </c:tx>
          <c:invertIfNegative val="0"/>
          <c:cat>
            <c:strRef>
              <c:f>'Dashboard - Data'!$AA$17:$AJ$17</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Data'!$AA$19:$AJ$19</c:f>
              <c:numCache>
                <c:formatCode>0.00</c:formatCode>
                <c:ptCount val="10"/>
                <c:pt idx="0">
                  <c:v>13.540000000000001</c:v>
                </c:pt>
                <c:pt idx="1">
                  <c:v>9.16</c:v>
                </c:pt>
                <c:pt idx="2">
                  <c:v>11.774999999999999</c:v>
                </c:pt>
                <c:pt idx="3">
                  <c:v>18.590000000000003</c:v>
                </c:pt>
                <c:pt idx="4">
                  <c:v>16.955000000000002</c:v>
                </c:pt>
                <c:pt idx="5">
                  <c:v>41.76</c:v>
                </c:pt>
                <c:pt idx="6">
                  <c:v>37.630000000000003</c:v>
                </c:pt>
                <c:pt idx="7">
                  <c:v>14.294999999999998</c:v>
                </c:pt>
                <c:pt idx="8">
                  <c:v>3.0150000000000006</c:v>
                </c:pt>
                <c:pt idx="9">
                  <c:v>10.41</c:v>
                </c:pt>
              </c:numCache>
            </c:numRef>
          </c:val>
          <c:extLst>
            <c:ext xmlns:c16="http://schemas.microsoft.com/office/drawing/2014/chart" uri="{C3380CC4-5D6E-409C-BE32-E72D297353CC}">
              <c16:uniqueId val="{00000001-1979-4651-906F-5817DCF42FF6}"/>
            </c:ext>
          </c:extLst>
        </c:ser>
        <c:ser>
          <c:idx val="2"/>
          <c:order val="2"/>
          <c:tx>
            <c:strRef>
              <c:f>'Dashboard - Data'!$Z$20</c:f>
              <c:strCache>
                <c:ptCount val="1"/>
                <c:pt idx="0">
                  <c:v>Net capital expenditure - Improvements / Compliance</c:v>
                </c:pt>
              </c:strCache>
            </c:strRef>
          </c:tx>
          <c:invertIfNegative val="0"/>
          <c:cat>
            <c:strRef>
              <c:f>'Dashboard - Data'!$AA$17:$AJ$17</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Data'!$AA$20:$AJ$20</c:f>
              <c:numCache>
                <c:formatCode>0.00</c:formatCode>
                <c:ptCount val="10"/>
                <c:pt idx="0">
                  <c:v>18.198499999999996</c:v>
                </c:pt>
                <c:pt idx="1">
                  <c:v>22.837499999999995</c:v>
                </c:pt>
                <c:pt idx="2">
                  <c:v>18.198500000000003</c:v>
                </c:pt>
                <c:pt idx="3">
                  <c:v>13.589</c:v>
                </c:pt>
                <c:pt idx="4">
                  <c:v>12.842999999999998</c:v>
                </c:pt>
                <c:pt idx="5">
                  <c:v>21.986999999999998</c:v>
                </c:pt>
                <c:pt idx="6">
                  <c:v>23.427000000000003</c:v>
                </c:pt>
                <c:pt idx="7">
                  <c:v>17.207000000000001</c:v>
                </c:pt>
                <c:pt idx="8">
                  <c:v>19.106999999999999</c:v>
                </c:pt>
                <c:pt idx="9">
                  <c:v>18.622</c:v>
                </c:pt>
              </c:numCache>
            </c:numRef>
          </c:val>
          <c:extLst>
            <c:ext xmlns:c16="http://schemas.microsoft.com/office/drawing/2014/chart" uri="{C3380CC4-5D6E-409C-BE32-E72D297353CC}">
              <c16:uniqueId val="{00000002-1979-4651-906F-5817DCF42FF6}"/>
            </c:ext>
          </c:extLst>
        </c:ser>
        <c:ser>
          <c:idx val="3"/>
          <c:order val="3"/>
          <c:tx>
            <c:strRef>
              <c:f>'Dashboard - Data'!$Z$21</c:f>
              <c:strCache>
                <c:ptCount val="1"/>
                <c:pt idx="0">
                  <c:v>Government contributions</c:v>
                </c:pt>
              </c:strCache>
            </c:strRef>
          </c:tx>
          <c:invertIfNegative val="0"/>
          <c:cat>
            <c:strRef>
              <c:f>'Dashboard - Data'!$AA$17:$AJ$17</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Data'!$AA$21:$AJ$21</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1979-4651-906F-5817DCF42FF6}"/>
            </c:ext>
          </c:extLst>
        </c:ser>
        <c:ser>
          <c:idx val="4"/>
          <c:order val="4"/>
          <c:tx>
            <c:strRef>
              <c:f>'Dashboard - Data'!$Z$22</c:f>
              <c:strCache>
                <c:ptCount val="1"/>
                <c:pt idx="0">
                  <c:v>Customer contributions</c:v>
                </c:pt>
              </c:strCache>
            </c:strRef>
          </c:tx>
          <c:invertIfNegative val="0"/>
          <c:cat>
            <c:strRef>
              <c:f>'Dashboard - Data'!$AA$17:$AJ$17</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Data'!$AA$22:$AJ$22</c:f>
              <c:numCache>
                <c:formatCode>0.00</c:formatCode>
                <c:ptCount val="10"/>
                <c:pt idx="0">
                  <c:v>4.51</c:v>
                </c:pt>
                <c:pt idx="1">
                  <c:v>6.15</c:v>
                </c:pt>
                <c:pt idx="2">
                  <c:v>7.91</c:v>
                </c:pt>
                <c:pt idx="3">
                  <c:v>9.86</c:v>
                </c:pt>
                <c:pt idx="4">
                  <c:v>12.16</c:v>
                </c:pt>
                <c:pt idx="5">
                  <c:v>17.600000000000001</c:v>
                </c:pt>
                <c:pt idx="6">
                  <c:v>17.600000000000001</c:v>
                </c:pt>
                <c:pt idx="7">
                  <c:v>17.600000000000001</c:v>
                </c:pt>
                <c:pt idx="8">
                  <c:v>17.600000000000001</c:v>
                </c:pt>
                <c:pt idx="9">
                  <c:v>17.600000000000001</c:v>
                </c:pt>
              </c:numCache>
            </c:numRef>
          </c:val>
          <c:extLst>
            <c:ext xmlns:c16="http://schemas.microsoft.com/office/drawing/2014/chart" uri="{C3380CC4-5D6E-409C-BE32-E72D297353CC}">
              <c16:uniqueId val="{00000004-1979-4651-906F-5817DCF42FF6}"/>
            </c:ext>
          </c:extLst>
        </c:ser>
        <c:dLbls>
          <c:showLegendKey val="0"/>
          <c:showVal val="0"/>
          <c:showCatName val="0"/>
          <c:showSerName val="0"/>
          <c:showPercent val="0"/>
          <c:showBubbleSize val="0"/>
        </c:dLbls>
        <c:gapWidth val="75"/>
        <c:overlap val="100"/>
        <c:axId val="638254064"/>
        <c:axId val="638254456"/>
      </c:barChart>
      <c:catAx>
        <c:axId val="638254064"/>
        <c:scaling>
          <c:orientation val="minMax"/>
        </c:scaling>
        <c:delete val="0"/>
        <c:axPos val="b"/>
        <c:numFmt formatCode="General" sourceLinked="0"/>
        <c:majorTickMark val="none"/>
        <c:minorTickMark val="none"/>
        <c:tickLblPos val="nextTo"/>
        <c:crossAx val="638254456"/>
        <c:crosses val="autoZero"/>
        <c:auto val="1"/>
        <c:lblAlgn val="ctr"/>
        <c:lblOffset val="100"/>
        <c:noMultiLvlLbl val="0"/>
      </c:catAx>
      <c:valAx>
        <c:axId val="638254456"/>
        <c:scaling>
          <c:orientation val="minMax"/>
        </c:scaling>
        <c:delete val="0"/>
        <c:axPos val="l"/>
        <c:majorGridlines/>
        <c:numFmt formatCode="0.00" sourceLinked="1"/>
        <c:majorTickMark val="none"/>
        <c:minorTickMark val="none"/>
        <c:tickLblPos val="nextTo"/>
        <c:spPr>
          <a:ln w="9525">
            <a:noFill/>
          </a:ln>
        </c:spPr>
        <c:crossAx val="638254064"/>
        <c:crosses val="autoZero"/>
        <c:crossBetween val="between"/>
      </c:valAx>
    </c:plotArea>
    <c:legend>
      <c:legendPos val="b"/>
      <c:layout>
        <c:manualLayout>
          <c:xMode val="edge"/>
          <c:yMode val="edge"/>
          <c:x val="0"/>
          <c:y val="0.83025034736833403"/>
          <c:w val="1"/>
          <c:h val="0.16974965263166591"/>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 </a:t>
            </a:r>
            <a:r>
              <a:rPr lang="en-AU" sz="1400"/>
              <a:t>Non-controllable operating expenditure</a:t>
            </a:r>
          </a:p>
        </c:rich>
      </c:tx>
      <c:overlay val="1"/>
    </c:title>
    <c:autoTitleDeleted val="0"/>
    <c:plotArea>
      <c:layout>
        <c:manualLayout>
          <c:layoutTarget val="inner"/>
          <c:xMode val="edge"/>
          <c:yMode val="edge"/>
          <c:x val="6.4301443569553807E-2"/>
          <c:y val="8.1473512167130821E-2"/>
          <c:w val="0.91736522309711288"/>
          <c:h val="0.69901011215236242"/>
        </c:manualLayout>
      </c:layout>
      <c:barChart>
        <c:barDir val="col"/>
        <c:grouping val="stacked"/>
        <c:varyColors val="0"/>
        <c:ser>
          <c:idx val="0"/>
          <c:order val="0"/>
          <c:tx>
            <c:strRef>
              <c:f>Opex_FO!$Z$191</c:f>
              <c:strCache>
                <c:ptCount val="1"/>
                <c:pt idx="0">
                  <c:v>External bulk water charges (excl. temporary purchases)</c:v>
                </c:pt>
              </c:strCache>
            </c:strRef>
          </c:tx>
          <c:spPr>
            <a:solidFill>
              <a:schemeClr val="accent1"/>
            </a:solidFill>
          </c:spPr>
          <c:invertIfNegative val="0"/>
          <c:cat>
            <c:strRef>
              <c:f>Opex_FO!$AA$190:$AL$190</c:f>
              <c:strCache>
                <c:ptCount val="12"/>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strCache>
            </c:strRef>
          </c:cat>
          <c:val>
            <c:numRef>
              <c:f>Opex_FO!$AA$191:$AL$191</c:f>
              <c:numCache>
                <c:formatCode>0.0</c:formatCode>
                <c:ptCount val="12"/>
                <c:pt idx="0">
                  <c:v>0</c:v>
                </c:pt>
                <c:pt idx="1">
                  <c:v>0</c:v>
                </c:pt>
                <c:pt idx="2">
                  <c:v>0.64764458258572433</c:v>
                </c:pt>
                <c:pt idx="3">
                  <c:v>0.65818373544172548</c:v>
                </c:pt>
                <c:pt idx="4">
                  <c:v>0.67129085321641702</c:v>
                </c:pt>
                <c:pt idx="5">
                  <c:v>0.6754975289275913</c:v>
                </c:pt>
                <c:pt idx="6">
                  <c:v>0.68629202214934182</c:v>
                </c:pt>
                <c:pt idx="7">
                  <c:v>0.67411240375302706</c:v>
                </c:pt>
                <c:pt idx="8">
                  <c:v>0.68215706517938446</c:v>
                </c:pt>
                <c:pt idx="9">
                  <c:v>0.69029819230124045</c:v>
                </c:pt>
                <c:pt idx="10">
                  <c:v>0.69853694397551813</c:v>
                </c:pt>
                <c:pt idx="11">
                  <c:v>0.70687449311089889</c:v>
                </c:pt>
              </c:numCache>
            </c:numRef>
          </c:val>
          <c:extLst>
            <c:ext xmlns:c16="http://schemas.microsoft.com/office/drawing/2014/chart" uri="{C3380CC4-5D6E-409C-BE32-E72D297353CC}">
              <c16:uniqueId val="{00000000-AB06-4F7E-8CF8-8590D2E24232}"/>
            </c:ext>
          </c:extLst>
        </c:ser>
        <c:ser>
          <c:idx val="1"/>
          <c:order val="1"/>
          <c:tx>
            <c:strRef>
              <c:f>Opex_FO!$Z$192</c:f>
              <c:strCache>
                <c:ptCount val="1"/>
                <c:pt idx="0">
                  <c:v>External temporary water purchases</c:v>
                </c:pt>
              </c:strCache>
            </c:strRef>
          </c:tx>
          <c:invertIfNegative val="0"/>
          <c:cat>
            <c:strRef>
              <c:f>Opex_FO!$AA$190:$AL$190</c:f>
              <c:strCache>
                <c:ptCount val="12"/>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strCache>
            </c:strRef>
          </c:cat>
          <c:val>
            <c:numRef>
              <c:f>Opex_FO!$AA$192:$AL$192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AB06-4F7E-8CF8-8590D2E24232}"/>
            </c:ext>
          </c:extLst>
        </c:ser>
        <c:ser>
          <c:idx val="2"/>
          <c:order val="2"/>
          <c:tx>
            <c:strRef>
              <c:f>Opex_FO!$Z$193</c:f>
              <c:strCache>
                <c:ptCount val="1"/>
                <c:pt idx="0">
                  <c:v>Licence fees</c:v>
                </c:pt>
              </c:strCache>
            </c:strRef>
          </c:tx>
          <c:spPr>
            <a:solidFill>
              <a:schemeClr val="accent6">
                <a:lumMod val="60000"/>
                <a:lumOff val="40000"/>
              </a:schemeClr>
            </a:solidFill>
          </c:spPr>
          <c:invertIfNegative val="0"/>
          <c:cat>
            <c:strRef>
              <c:f>Opex_FO!$AA$190:$AL$190</c:f>
              <c:strCache>
                <c:ptCount val="12"/>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strCache>
            </c:strRef>
          </c:cat>
          <c:val>
            <c:numRef>
              <c:f>Opex_FO!$AA$193:$AL$193</c:f>
              <c:numCache>
                <c:formatCode>0.0</c:formatCode>
                <c:ptCount val="12"/>
                <c:pt idx="0">
                  <c:v>0</c:v>
                </c:pt>
                <c:pt idx="1">
                  <c:v>0</c:v>
                </c:pt>
                <c:pt idx="2">
                  <c:v>0.35442249883575022</c:v>
                </c:pt>
                <c:pt idx="3">
                  <c:v>0.36019080066040599</c:v>
                </c:pt>
                <c:pt idx="4">
                  <c:v>0.36736402074742946</c:v>
                </c:pt>
                <c:pt idx="5">
                  <c:v>0.36966585718153994</c:v>
                </c:pt>
                <c:pt idx="6">
                  <c:v>0.37557331513767733</c:v>
                </c:pt>
                <c:pt idx="7">
                  <c:v>0.36890669447750407</c:v>
                </c:pt>
                <c:pt idx="8">
                  <c:v>0.37330913667686016</c:v>
                </c:pt>
                <c:pt idx="9">
                  <c:v>0.37776437047015476</c:v>
                </c:pt>
                <c:pt idx="10">
                  <c:v>0.38227303013224134</c:v>
                </c:pt>
                <c:pt idx="11">
                  <c:v>0.38683575762349243</c:v>
                </c:pt>
              </c:numCache>
            </c:numRef>
          </c:val>
          <c:extLst>
            <c:ext xmlns:c16="http://schemas.microsoft.com/office/drawing/2014/chart" uri="{C3380CC4-5D6E-409C-BE32-E72D297353CC}">
              <c16:uniqueId val="{00000002-AB06-4F7E-8CF8-8590D2E24232}"/>
            </c:ext>
          </c:extLst>
        </c:ser>
        <c:ser>
          <c:idx val="3"/>
          <c:order val="3"/>
          <c:tx>
            <c:strRef>
              <c:f>Opex_FO!$Z$194</c:f>
              <c:strCache>
                <c:ptCount val="1"/>
                <c:pt idx="0">
                  <c:v>Environment Contribution</c:v>
                </c:pt>
              </c:strCache>
            </c:strRef>
          </c:tx>
          <c:spPr>
            <a:solidFill>
              <a:schemeClr val="bg1">
                <a:lumMod val="75000"/>
              </a:schemeClr>
            </a:solidFill>
          </c:spPr>
          <c:invertIfNegative val="0"/>
          <c:cat>
            <c:strRef>
              <c:f>Opex_FO!$AA$190:$AL$190</c:f>
              <c:strCache>
                <c:ptCount val="12"/>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strCache>
            </c:strRef>
          </c:cat>
          <c:val>
            <c:numRef>
              <c:f>Opex_FO!$AA$194:$AL$194</c:f>
              <c:numCache>
                <c:formatCode>0.0</c:formatCode>
                <c:ptCount val="12"/>
                <c:pt idx="0">
                  <c:v>0</c:v>
                </c:pt>
                <c:pt idx="1">
                  <c:v>0</c:v>
                </c:pt>
                <c:pt idx="2">
                  <c:v>4.9298525622029192</c:v>
                </c:pt>
                <c:pt idx="3">
                  <c:v>6.0635470838900023</c:v>
                </c:pt>
                <c:pt idx="4">
                  <c:v>5.9943256942346048</c:v>
                </c:pt>
                <c:pt idx="5">
                  <c:v>5.8470993091826529</c:v>
                </c:pt>
                <c:pt idx="6">
                  <c:v>5.758205922343576</c:v>
                </c:pt>
                <c:pt idx="7">
                  <c:v>5.4834433379296588</c:v>
                </c:pt>
                <c:pt idx="8">
                  <c:v>5.3786502461400234</c:v>
                </c:pt>
                <c:pt idx="9">
                  <c:v>5.2758621872193761</c:v>
                </c:pt>
                <c:pt idx="10">
                  <c:v>5.175040631398665</c:v>
                </c:pt>
                <c:pt idx="11">
                  <c:v>5.0761478083583222</c:v>
                </c:pt>
              </c:numCache>
            </c:numRef>
          </c:val>
          <c:extLst>
            <c:ext xmlns:c16="http://schemas.microsoft.com/office/drawing/2014/chart" uri="{C3380CC4-5D6E-409C-BE32-E72D297353CC}">
              <c16:uniqueId val="{00000003-AB06-4F7E-8CF8-8590D2E24232}"/>
            </c:ext>
          </c:extLst>
        </c:ser>
        <c:ser>
          <c:idx val="4"/>
          <c:order val="4"/>
          <c:tx>
            <c:strRef>
              <c:f>Opex_FO!$Z$195</c:f>
              <c:strCache>
                <c:ptCount val="1"/>
                <c:pt idx="0">
                  <c:v>Other non-controllable</c:v>
                </c:pt>
              </c:strCache>
            </c:strRef>
          </c:tx>
          <c:invertIfNegative val="0"/>
          <c:cat>
            <c:strRef>
              <c:f>Opex_FO!$AA$190:$AL$190</c:f>
              <c:strCache>
                <c:ptCount val="12"/>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strCache>
            </c:strRef>
          </c:cat>
          <c:val>
            <c:numRef>
              <c:f>Opex_FO!$AA$195:$AL$195</c:f>
              <c:numCache>
                <c:formatCode>0.0</c:formatCode>
                <c:ptCount val="12"/>
                <c:pt idx="0">
                  <c:v>0</c:v>
                </c:pt>
                <c:pt idx="1">
                  <c:v>0</c:v>
                </c:pt>
                <c:pt idx="2">
                  <c:v>0.15972376106989561</c:v>
                </c:pt>
                <c:pt idx="3">
                  <c:v>0.1623221771028128</c:v>
                </c:pt>
                <c:pt idx="4">
                  <c:v>0.16555432402893766</c:v>
                </c:pt>
                <c:pt idx="5">
                  <c:v>0.16659204234519615</c:v>
                </c:pt>
                <c:pt idx="6">
                  <c:v>0.16925402679043447</c:v>
                </c:pt>
                <c:pt idx="7">
                  <c:v>0.16625158013638497</c:v>
                </c:pt>
                <c:pt idx="8">
                  <c:v>0.16823556764704767</c:v>
                </c:pt>
                <c:pt idx="9">
                  <c:v>0.17024334660656296</c:v>
                </c:pt>
                <c:pt idx="10">
                  <c:v>0.17227520276183914</c:v>
                </c:pt>
                <c:pt idx="11">
                  <c:v>0.17433142532597889</c:v>
                </c:pt>
              </c:numCache>
            </c:numRef>
          </c:val>
          <c:extLst>
            <c:ext xmlns:c16="http://schemas.microsoft.com/office/drawing/2014/chart" uri="{C3380CC4-5D6E-409C-BE32-E72D297353CC}">
              <c16:uniqueId val="{00000004-AB06-4F7E-8CF8-8590D2E24232}"/>
            </c:ext>
          </c:extLst>
        </c:ser>
        <c:dLbls>
          <c:showLegendKey val="0"/>
          <c:showVal val="0"/>
          <c:showCatName val="0"/>
          <c:showSerName val="0"/>
          <c:showPercent val="0"/>
          <c:showBubbleSize val="0"/>
        </c:dLbls>
        <c:gapWidth val="96"/>
        <c:overlap val="100"/>
        <c:axId val="608616256"/>
        <c:axId val="608615080"/>
      </c:barChart>
      <c:catAx>
        <c:axId val="608616256"/>
        <c:scaling>
          <c:orientation val="minMax"/>
        </c:scaling>
        <c:delete val="0"/>
        <c:axPos val="b"/>
        <c:numFmt formatCode="General" sourceLinked="1"/>
        <c:majorTickMark val="out"/>
        <c:minorTickMark val="none"/>
        <c:tickLblPos val="nextTo"/>
        <c:crossAx val="608615080"/>
        <c:crosses val="autoZero"/>
        <c:auto val="1"/>
        <c:lblAlgn val="ctr"/>
        <c:lblOffset val="100"/>
        <c:noMultiLvlLbl val="0"/>
      </c:catAx>
      <c:valAx>
        <c:axId val="608615080"/>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608616256"/>
        <c:crosses val="autoZero"/>
        <c:crossBetween val="between"/>
      </c:valAx>
    </c:plotArea>
    <c:legend>
      <c:legendPos val="b"/>
      <c:layout>
        <c:manualLayout>
          <c:xMode val="edge"/>
          <c:yMode val="edge"/>
          <c:x val="6.145035100277537E-2"/>
          <c:y val="0.86968243642107446"/>
          <c:w val="0.89623805397531053"/>
          <c:h val="0.11460047448283145"/>
        </c:manualLayout>
      </c:layout>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 capex</a:t>
            </a:r>
            <a:r>
              <a:rPr lang="en-AU" baseline="0"/>
              <a:t> by cost driver - Water ($m) </a:t>
            </a:r>
            <a:endParaRPr lang="en-AU"/>
          </a:p>
        </c:rich>
      </c:tx>
      <c:overlay val="0"/>
    </c:title>
    <c:autoTitleDeleted val="0"/>
    <c:plotArea>
      <c:layout>
        <c:manualLayout>
          <c:layoutTarget val="inner"/>
          <c:xMode val="edge"/>
          <c:yMode val="edge"/>
          <c:x val="9.0479540134762906E-2"/>
          <c:y val="0.13216349855306089"/>
          <c:w val="0.90646545534203893"/>
          <c:h val="0.63052949439468964"/>
        </c:manualLayout>
      </c:layout>
      <c:barChart>
        <c:barDir val="col"/>
        <c:grouping val="stacked"/>
        <c:varyColors val="0"/>
        <c:ser>
          <c:idx val="0"/>
          <c:order val="0"/>
          <c:tx>
            <c:strRef>
              <c:f>'Dashboard - Data'!$Z$26</c:f>
              <c:strCache>
                <c:ptCount val="1"/>
                <c:pt idx="0">
                  <c:v>Net capital expenditure - renewals</c:v>
                </c:pt>
              </c:strCache>
            </c:strRef>
          </c:tx>
          <c:invertIfNegative val="0"/>
          <c:cat>
            <c:strRef>
              <c:f>'Dashboard - Data'!$AA$25:$AJ$25</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Data'!$AA$26:$AJ$26</c:f>
              <c:numCache>
                <c:formatCode>0.00</c:formatCode>
                <c:ptCount val="10"/>
                <c:pt idx="0">
                  <c:v>4.6851999999999991</c:v>
                </c:pt>
                <c:pt idx="1">
                  <c:v>4.016</c:v>
                </c:pt>
                <c:pt idx="2">
                  <c:v>5.5429999999999993</c:v>
                </c:pt>
                <c:pt idx="3">
                  <c:v>5.2804999999999991</c:v>
                </c:pt>
                <c:pt idx="4">
                  <c:v>8.8975000000000009</c:v>
                </c:pt>
                <c:pt idx="5">
                  <c:v>7.0549999999999979</c:v>
                </c:pt>
                <c:pt idx="6">
                  <c:v>6.0049999999999981</c:v>
                </c:pt>
                <c:pt idx="7">
                  <c:v>8.879999999999999</c:v>
                </c:pt>
                <c:pt idx="8">
                  <c:v>5.9799999999999986</c:v>
                </c:pt>
                <c:pt idx="9">
                  <c:v>10.879999999999997</c:v>
                </c:pt>
              </c:numCache>
            </c:numRef>
          </c:val>
          <c:extLst>
            <c:ext xmlns:c16="http://schemas.microsoft.com/office/drawing/2014/chart" uri="{C3380CC4-5D6E-409C-BE32-E72D297353CC}">
              <c16:uniqueId val="{00000000-27CB-4EAB-8B4A-16A9EE99AA98}"/>
            </c:ext>
          </c:extLst>
        </c:ser>
        <c:ser>
          <c:idx val="1"/>
          <c:order val="1"/>
          <c:tx>
            <c:strRef>
              <c:f>'Dashboard - Data'!$Z$27</c:f>
              <c:strCache>
                <c:ptCount val="1"/>
                <c:pt idx="0">
                  <c:v>Net capital expenditure - growth</c:v>
                </c:pt>
              </c:strCache>
            </c:strRef>
          </c:tx>
          <c:invertIfNegative val="0"/>
          <c:cat>
            <c:strRef>
              <c:f>'Dashboard - Data'!$AA$25:$AJ$25</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Data'!$AA$27:$AJ$27</c:f>
              <c:numCache>
                <c:formatCode>0.00</c:formatCode>
                <c:ptCount val="10"/>
                <c:pt idx="0">
                  <c:v>-1.0100000000000002</c:v>
                </c:pt>
                <c:pt idx="1">
                  <c:v>5.0999999999999988</c:v>
                </c:pt>
                <c:pt idx="2">
                  <c:v>6.5649999999999986</c:v>
                </c:pt>
                <c:pt idx="3">
                  <c:v>-0.70999999999999908</c:v>
                </c:pt>
                <c:pt idx="4">
                  <c:v>-3.9450000000000003</c:v>
                </c:pt>
                <c:pt idx="5">
                  <c:v>19.335000000000001</c:v>
                </c:pt>
                <c:pt idx="6">
                  <c:v>9.6499999999999968</c:v>
                </c:pt>
                <c:pt idx="7">
                  <c:v>-1.8100000000000018</c:v>
                </c:pt>
                <c:pt idx="8">
                  <c:v>-4.5900000000000007</c:v>
                </c:pt>
                <c:pt idx="9">
                  <c:v>2.4899999999999998</c:v>
                </c:pt>
              </c:numCache>
            </c:numRef>
          </c:val>
          <c:extLst>
            <c:ext xmlns:c16="http://schemas.microsoft.com/office/drawing/2014/chart" uri="{C3380CC4-5D6E-409C-BE32-E72D297353CC}">
              <c16:uniqueId val="{00000001-27CB-4EAB-8B4A-16A9EE99AA98}"/>
            </c:ext>
          </c:extLst>
        </c:ser>
        <c:ser>
          <c:idx val="2"/>
          <c:order val="2"/>
          <c:tx>
            <c:strRef>
              <c:f>'Dashboard - Data'!$Z$28</c:f>
              <c:strCache>
                <c:ptCount val="1"/>
                <c:pt idx="0">
                  <c:v>Net capital expenditure - Improvements / Compliance</c:v>
                </c:pt>
              </c:strCache>
            </c:strRef>
          </c:tx>
          <c:invertIfNegative val="0"/>
          <c:cat>
            <c:strRef>
              <c:f>'Dashboard - Data'!$AA$25:$AJ$25</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Data'!$AA$28:$AJ$28</c:f>
              <c:numCache>
                <c:formatCode>0.00</c:formatCode>
                <c:ptCount val="10"/>
                <c:pt idx="0">
                  <c:v>16.733499999999999</c:v>
                </c:pt>
                <c:pt idx="1">
                  <c:v>20.807499999999997</c:v>
                </c:pt>
                <c:pt idx="2">
                  <c:v>16.343500000000002</c:v>
                </c:pt>
                <c:pt idx="3">
                  <c:v>8.6489999999999991</c:v>
                </c:pt>
                <c:pt idx="4">
                  <c:v>8.4330000000000016</c:v>
                </c:pt>
                <c:pt idx="5">
                  <c:v>12.997</c:v>
                </c:pt>
                <c:pt idx="6">
                  <c:v>12.807</c:v>
                </c:pt>
                <c:pt idx="7">
                  <c:v>9.4369999999999994</c:v>
                </c:pt>
                <c:pt idx="8">
                  <c:v>10.786999999999999</c:v>
                </c:pt>
                <c:pt idx="9">
                  <c:v>9.8870000000000005</c:v>
                </c:pt>
              </c:numCache>
            </c:numRef>
          </c:val>
          <c:extLst>
            <c:ext xmlns:c16="http://schemas.microsoft.com/office/drawing/2014/chart" uri="{C3380CC4-5D6E-409C-BE32-E72D297353CC}">
              <c16:uniqueId val="{00000002-27CB-4EAB-8B4A-16A9EE99AA98}"/>
            </c:ext>
          </c:extLst>
        </c:ser>
        <c:ser>
          <c:idx val="3"/>
          <c:order val="3"/>
          <c:tx>
            <c:strRef>
              <c:f>'Dashboard - Data'!$Z$29</c:f>
              <c:strCache>
                <c:ptCount val="1"/>
                <c:pt idx="0">
                  <c:v>Government contributions</c:v>
                </c:pt>
              </c:strCache>
            </c:strRef>
          </c:tx>
          <c:invertIfNegative val="0"/>
          <c:cat>
            <c:strRef>
              <c:f>'Dashboard - Data'!$AA$25:$AJ$25</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Data'!$AA$29:$AJ$29</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27CB-4EAB-8B4A-16A9EE99AA98}"/>
            </c:ext>
          </c:extLst>
        </c:ser>
        <c:ser>
          <c:idx val="4"/>
          <c:order val="4"/>
          <c:tx>
            <c:strRef>
              <c:f>'Dashboard - Data'!$Z$30</c:f>
              <c:strCache>
                <c:ptCount val="1"/>
                <c:pt idx="0">
                  <c:v>Customer contributions</c:v>
                </c:pt>
              </c:strCache>
            </c:strRef>
          </c:tx>
          <c:invertIfNegative val="0"/>
          <c:cat>
            <c:strRef>
              <c:f>'Dashboard - Data'!$AA$25:$AJ$25</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Data'!$AA$30:$AJ$30</c:f>
              <c:numCache>
                <c:formatCode>0.00</c:formatCode>
                <c:ptCount val="10"/>
                <c:pt idx="0">
                  <c:v>4.51</c:v>
                </c:pt>
                <c:pt idx="1">
                  <c:v>6.15</c:v>
                </c:pt>
                <c:pt idx="2">
                  <c:v>7.91</c:v>
                </c:pt>
                <c:pt idx="3">
                  <c:v>9.86</c:v>
                </c:pt>
                <c:pt idx="4">
                  <c:v>12.16</c:v>
                </c:pt>
                <c:pt idx="5">
                  <c:v>17.600000000000001</c:v>
                </c:pt>
                <c:pt idx="6">
                  <c:v>17.600000000000001</c:v>
                </c:pt>
                <c:pt idx="7">
                  <c:v>17.600000000000001</c:v>
                </c:pt>
                <c:pt idx="8">
                  <c:v>17.600000000000001</c:v>
                </c:pt>
                <c:pt idx="9">
                  <c:v>17.600000000000001</c:v>
                </c:pt>
              </c:numCache>
            </c:numRef>
          </c:val>
          <c:extLst>
            <c:ext xmlns:c16="http://schemas.microsoft.com/office/drawing/2014/chart" uri="{C3380CC4-5D6E-409C-BE32-E72D297353CC}">
              <c16:uniqueId val="{00000004-27CB-4EAB-8B4A-16A9EE99AA98}"/>
            </c:ext>
          </c:extLst>
        </c:ser>
        <c:dLbls>
          <c:showLegendKey val="0"/>
          <c:showVal val="0"/>
          <c:showCatName val="0"/>
          <c:showSerName val="0"/>
          <c:showPercent val="0"/>
          <c:showBubbleSize val="0"/>
        </c:dLbls>
        <c:gapWidth val="75"/>
        <c:overlap val="100"/>
        <c:axId val="638255240"/>
        <c:axId val="639419832"/>
      </c:barChart>
      <c:catAx>
        <c:axId val="638255240"/>
        <c:scaling>
          <c:orientation val="minMax"/>
        </c:scaling>
        <c:delete val="0"/>
        <c:axPos val="b"/>
        <c:numFmt formatCode="General" sourceLinked="0"/>
        <c:majorTickMark val="none"/>
        <c:minorTickMark val="none"/>
        <c:tickLblPos val="nextTo"/>
        <c:crossAx val="639419832"/>
        <c:crosses val="autoZero"/>
        <c:auto val="1"/>
        <c:lblAlgn val="ctr"/>
        <c:lblOffset val="100"/>
        <c:noMultiLvlLbl val="0"/>
      </c:catAx>
      <c:valAx>
        <c:axId val="639419832"/>
        <c:scaling>
          <c:orientation val="minMax"/>
        </c:scaling>
        <c:delete val="0"/>
        <c:axPos val="l"/>
        <c:majorGridlines/>
        <c:numFmt formatCode="0.00" sourceLinked="1"/>
        <c:majorTickMark val="none"/>
        <c:minorTickMark val="none"/>
        <c:tickLblPos val="nextTo"/>
        <c:spPr>
          <a:ln w="9525">
            <a:noFill/>
          </a:ln>
        </c:spPr>
        <c:crossAx val="638255240"/>
        <c:crosses val="autoZero"/>
        <c:crossBetween val="between"/>
      </c:valAx>
    </c:plotArea>
    <c:legend>
      <c:legendPos val="b"/>
      <c:layout>
        <c:manualLayout>
          <c:xMode val="edge"/>
          <c:yMode val="edge"/>
          <c:x val="0"/>
          <c:y val="0.84585170955202615"/>
          <c:w val="1"/>
          <c:h val="0.13530251990944922"/>
        </c:manualLayout>
      </c:layout>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 capex</a:t>
            </a:r>
            <a:r>
              <a:rPr lang="en-AU" baseline="0"/>
              <a:t> by cost driver - Sewerage ($m)</a:t>
            </a:r>
            <a:endParaRPr lang="en-AU"/>
          </a:p>
        </c:rich>
      </c:tx>
      <c:overlay val="0"/>
    </c:title>
    <c:autoTitleDeleted val="0"/>
    <c:plotArea>
      <c:layout>
        <c:manualLayout>
          <c:layoutTarget val="inner"/>
          <c:xMode val="edge"/>
          <c:yMode val="edge"/>
          <c:x val="8.8852006172839504E-2"/>
          <c:y val="0.13216349855306089"/>
          <c:w val="0.90640787037037041"/>
          <c:h val="0.61969416666666666"/>
        </c:manualLayout>
      </c:layout>
      <c:barChart>
        <c:barDir val="col"/>
        <c:grouping val="stacked"/>
        <c:varyColors val="0"/>
        <c:ser>
          <c:idx val="0"/>
          <c:order val="0"/>
          <c:tx>
            <c:strRef>
              <c:f>'Dashboard - Data'!$Z$34</c:f>
              <c:strCache>
                <c:ptCount val="1"/>
                <c:pt idx="0">
                  <c:v>Net capital expenditure - renewals</c:v>
                </c:pt>
              </c:strCache>
            </c:strRef>
          </c:tx>
          <c:invertIfNegative val="0"/>
          <c:cat>
            <c:strRef>
              <c:f>'Dashboard - Data'!$AA$33:$AJ$33</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Data'!$AA$34:$AJ$34</c:f>
              <c:numCache>
                <c:formatCode>0.00</c:formatCode>
                <c:ptCount val="10"/>
                <c:pt idx="0">
                  <c:v>5.0549999999999997</c:v>
                </c:pt>
                <c:pt idx="1">
                  <c:v>5.8349999999999982</c:v>
                </c:pt>
                <c:pt idx="2">
                  <c:v>6.585</c:v>
                </c:pt>
                <c:pt idx="3">
                  <c:v>6.6949999999999985</c:v>
                </c:pt>
                <c:pt idx="4">
                  <c:v>7.1349999999999989</c:v>
                </c:pt>
                <c:pt idx="5">
                  <c:v>10.195</c:v>
                </c:pt>
                <c:pt idx="6">
                  <c:v>10.534999999999998</c:v>
                </c:pt>
                <c:pt idx="7">
                  <c:v>10.185</c:v>
                </c:pt>
                <c:pt idx="8">
                  <c:v>9.41</c:v>
                </c:pt>
                <c:pt idx="9">
                  <c:v>9.41</c:v>
                </c:pt>
              </c:numCache>
            </c:numRef>
          </c:val>
          <c:extLst>
            <c:ext xmlns:c16="http://schemas.microsoft.com/office/drawing/2014/chart" uri="{C3380CC4-5D6E-409C-BE32-E72D297353CC}">
              <c16:uniqueId val="{00000000-070C-43CF-AF1F-A8CBE863E150}"/>
            </c:ext>
          </c:extLst>
        </c:ser>
        <c:ser>
          <c:idx val="1"/>
          <c:order val="1"/>
          <c:tx>
            <c:strRef>
              <c:f>'Dashboard - Data'!$Z$35</c:f>
              <c:strCache>
                <c:ptCount val="1"/>
                <c:pt idx="0">
                  <c:v>Net capital expenditure - growth</c:v>
                </c:pt>
              </c:strCache>
            </c:strRef>
          </c:tx>
          <c:invertIfNegative val="0"/>
          <c:cat>
            <c:strRef>
              <c:f>'Dashboard - Data'!$AA$33:$AJ$33</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Data'!$AA$35:$AJ$35</c:f>
              <c:numCache>
                <c:formatCode>0.00</c:formatCode>
                <c:ptCount val="10"/>
                <c:pt idx="0">
                  <c:v>11.94</c:v>
                </c:pt>
                <c:pt idx="1">
                  <c:v>0.6</c:v>
                </c:pt>
                <c:pt idx="2">
                  <c:v>3.6000000000000005</c:v>
                </c:pt>
                <c:pt idx="3">
                  <c:v>15.24</c:v>
                </c:pt>
                <c:pt idx="4">
                  <c:v>18.639999999999997</c:v>
                </c:pt>
                <c:pt idx="5">
                  <c:v>17.994999999999997</c:v>
                </c:pt>
                <c:pt idx="6">
                  <c:v>25.35</c:v>
                </c:pt>
                <c:pt idx="7">
                  <c:v>13.475</c:v>
                </c:pt>
                <c:pt idx="8">
                  <c:v>4.9749999999999996</c:v>
                </c:pt>
                <c:pt idx="9">
                  <c:v>5.29</c:v>
                </c:pt>
              </c:numCache>
            </c:numRef>
          </c:val>
          <c:extLst>
            <c:ext xmlns:c16="http://schemas.microsoft.com/office/drawing/2014/chart" uri="{C3380CC4-5D6E-409C-BE32-E72D297353CC}">
              <c16:uniqueId val="{00000001-070C-43CF-AF1F-A8CBE863E150}"/>
            </c:ext>
          </c:extLst>
        </c:ser>
        <c:ser>
          <c:idx val="2"/>
          <c:order val="2"/>
          <c:tx>
            <c:strRef>
              <c:f>'Dashboard - Data'!$Z$36</c:f>
              <c:strCache>
                <c:ptCount val="1"/>
                <c:pt idx="0">
                  <c:v>Net capital expenditure - Improvements / Compliance</c:v>
                </c:pt>
              </c:strCache>
            </c:strRef>
          </c:tx>
          <c:invertIfNegative val="0"/>
          <c:cat>
            <c:strRef>
              <c:f>'Dashboard - Data'!$AA$33:$AJ$33</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Data'!$AA$36:$AJ$36</c:f>
              <c:numCache>
                <c:formatCode>0.00</c:formatCode>
                <c:ptCount val="10"/>
                <c:pt idx="0">
                  <c:v>1.4649999999999999</c:v>
                </c:pt>
                <c:pt idx="1">
                  <c:v>2.0299999999999998</c:v>
                </c:pt>
                <c:pt idx="2">
                  <c:v>1.855</c:v>
                </c:pt>
                <c:pt idx="3">
                  <c:v>4.9400000000000004</c:v>
                </c:pt>
                <c:pt idx="4">
                  <c:v>4.410000000000001</c:v>
                </c:pt>
                <c:pt idx="5">
                  <c:v>8.99</c:v>
                </c:pt>
                <c:pt idx="6">
                  <c:v>10.62</c:v>
                </c:pt>
                <c:pt idx="7">
                  <c:v>7.7700000000000005</c:v>
                </c:pt>
                <c:pt idx="8">
                  <c:v>8.32</c:v>
                </c:pt>
                <c:pt idx="9">
                  <c:v>8.7349999999999994</c:v>
                </c:pt>
              </c:numCache>
            </c:numRef>
          </c:val>
          <c:extLst>
            <c:ext xmlns:c16="http://schemas.microsoft.com/office/drawing/2014/chart" uri="{C3380CC4-5D6E-409C-BE32-E72D297353CC}">
              <c16:uniqueId val="{00000002-070C-43CF-AF1F-A8CBE863E150}"/>
            </c:ext>
          </c:extLst>
        </c:ser>
        <c:ser>
          <c:idx val="3"/>
          <c:order val="3"/>
          <c:tx>
            <c:strRef>
              <c:f>'Dashboard - Data'!$Z$37</c:f>
              <c:strCache>
                <c:ptCount val="1"/>
                <c:pt idx="0">
                  <c:v>Government contributions</c:v>
                </c:pt>
              </c:strCache>
            </c:strRef>
          </c:tx>
          <c:invertIfNegative val="0"/>
          <c:cat>
            <c:strRef>
              <c:f>'Dashboard - Data'!$AA$33:$AJ$33</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Data'!$AA$37:$AJ$37</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070C-43CF-AF1F-A8CBE863E150}"/>
            </c:ext>
          </c:extLst>
        </c:ser>
        <c:ser>
          <c:idx val="4"/>
          <c:order val="4"/>
          <c:tx>
            <c:strRef>
              <c:f>'Dashboard - Data'!$Z$38</c:f>
              <c:strCache>
                <c:ptCount val="1"/>
                <c:pt idx="0">
                  <c:v>Customer contributions</c:v>
                </c:pt>
              </c:strCache>
            </c:strRef>
          </c:tx>
          <c:invertIfNegative val="0"/>
          <c:cat>
            <c:strRef>
              <c:f>'Dashboard - Data'!$AA$33:$AJ$33</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Data'!$AA$38:$AJ$38</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070C-43CF-AF1F-A8CBE863E150}"/>
            </c:ext>
          </c:extLst>
        </c:ser>
        <c:dLbls>
          <c:showLegendKey val="0"/>
          <c:showVal val="0"/>
          <c:showCatName val="0"/>
          <c:showSerName val="0"/>
          <c:showPercent val="0"/>
          <c:showBubbleSize val="0"/>
        </c:dLbls>
        <c:gapWidth val="75"/>
        <c:overlap val="100"/>
        <c:axId val="639418264"/>
        <c:axId val="639423360"/>
      </c:barChart>
      <c:catAx>
        <c:axId val="639418264"/>
        <c:scaling>
          <c:orientation val="minMax"/>
        </c:scaling>
        <c:delete val="0"/>
        <c:axPos val="b"/>
        <c:numFmt formatCode="General" sourceLinked="0"/>
        <c:majorTickMark val="none"/>
        <c:minorTickMark val="none"/>
        <c:tickLblPos val="nextTo"/>
        <c:crossAx val="639423360"/>
        <c:crosses val="autoZero"/>
        <c:auto val="1"/>
        <c:lblAlgn val="ctr"/>
        <c:lblOffset val="100"/>
        <c:noMultiLvlLbl val="0"/>
      </c:catAx>
      <c:valAx>
        <c:axId val="639423360"/>
        <c:scaling>
          <c:orientation val="minMax"/>
        </c:scaling>
        <c:delete val="0"/>
        <c:axPos val="l"/>
        <c:majorGridlines/>
        <c:numFmt formatCode="0.00" sourceLinked="1"/>
        <c:majorTickMark val="none"/>
        <c:minorTickMark val="none"/>
        <c:tickLblPos val="nextTo"/>
        <c:spPr>
          <a:ln w="9525">
            <a:noFill/>
          </a:ln>
        </c:spPr>
        <c:crossAx val="639418264"/>
        <c:crosses val="autoZero"/>
        <c:crossBetween val="between"/>
      </c:valAx>
    </c:plotArea>
    <c:legend>
      <c:legendPos val="b"/>
      <c:layout>
        <c:manualLayout>
          <c:xMode val="edge"/>
          <c:yMode val="edge"/>
          <c:x val="0"/>
          <c:y val="0.81809325554000456"/>
          <c:w val="1"/>
          <c:h val="0.16306104596594467"/>
        </c:manualLayout>
      </c:layout>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 capex by capital type ($m)</a:t>
            </a:r>
          </a:p>
        </c:rich>
      </c:tx>
      <c:overlay val="0"/>
    </c:title>
    <c:autoTitleDeleted val="0"/>
    <c:plotArea>
      <c:layout/>
      <c:barChart>
        <c:barDir val="col"/>
        <c:grouping val="stacked"/>
        <c:varyColors val="0"/>
        <c:ser>
          <c:idx val="0"/>
          <c:order val="0"/>
          <c:tx>
            <c:strRef>
              <c:f>'Dashboard - Data'!$Z$42</c:f>
              <c:strCache>
                <c:ptCount val="1"/>
                <c:pt idx="0">
                  <c:v>Top 10 Major Projects</c:v>
                </c:pt>
              </c:strCache>
            </c:strRef>
          </c:tx>
          <c:invertIfNegative val="0"/>
          <c:cat>
            <c:strRef>
              <c:f>'Dashboard - Data'!$AA$41:$AJ$41</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Data'!$AA$42:$AJ$42</c:f>
              <c:numCache>
                <c:formatCode>0.00</c:formatCode>
                <c:ptCount val="10"/>
                <c:pt idx="0">
                  <c:v>25.88</c:v>
                </c:pt>
                <c:pt idx="1">
                  <c:v>29.160000000000004</c:v>
                </c:pt>
                <c:pt idx="2">
                  <c:v>27.01</c:v>
                </c:pt>
                <c:pt idx="3">
                  <c:v>19.915000000000003</c:v>
                </c:pt>
                <c:pt idx="4">
                  <c:v>14.26</c:v>
                </c:pt>
                <c:pt idx="5">
                  <c:v>15.23</c:v>
                </c:pt>
                <c:pt idx="6">
                  <c:v>14.03</c:v>
                </c:pt>
                <c:pt idx="7">
                  <c:v>5.03</c:v>
                </c:pt>
                <c:pt idx="8">
                  <c:v>1.03</c:v>
                </c:pt>
                <c:pt idx="9">
                  <c:v>1.03</c:v>
                </c:pt>
              </c:numCache>
            </c:numRef>
          </c:val>
          <c:extLst>
            <c:ext xmlns:c16="http://schemas.microsoft.com/office/drawing/2014/chart" uri="{C3380CC4-5D6E-409C-BE32-E72D297353CC}">
              <c16:uniqueId val="{00000000-A63D-4E97-9A84-A985B5968F88}"/>
            </c:ext>
          </c:extLst>
        </c:ser>
        <c:ser>
          <c:idx val="1"/>
          <c:order val="1"/>
          <c:tx>
            <c:strRef>
              <c:f>'Dashboard - Data'!$Z$43</c:f>
              <c:strCache>
                <c:ptCount val="1"/>
                <c:pt idx="0">
                  <c:v>Significant projects</c:v>
                </c:pt>
              </c:strCache>
            </c:strRef>
          </c:tx>
          <c:invertIfNegative val="0"/>
          <c:cat>
            <c:strRef>
              <c:f>'Dashboard - Data'!$AA$41:$AJ$41</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Data'!$AA$43:$AJ$43</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63D-4E97-9A84-A985B5968F88}"/>
            </c:ext>
          </c:extLst>
        </c:ser>
        <c:ser>
          <c:idx val="2"/>
          <c:order val="2"/>
          <c:tx>
            <c:strRef>
              <c:f>'Dashboard - Data'!$Z$44</c:f>
              <c:strCache>
                <c:ptCount val="1"/>
                <c:pt idx="0">
                  <c:v>Capital Programs / Allocation</c:v>
                </c:pt>
              </c:strCache>
            </c:strRef>
          </c:tx>
          <c:invertIfNegative val="0"/>
          <c:cat>
            <c:strRef>
              <c:f>'Dashboard - Data'!$AA$41:$AJ$41</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Data'!$AA$44:$AJ$44</c:f>
              <c:numCache>
                <c:formatCode>0.00</c:formatCode>
                <c:ptCount val="10"/>
                <c:pt idx="0">
                  <c:v>20.108699999999999</c:v>
                </c:pt>
                <c:pt idx="1">
                  <c:v>18.8385</c:v>
                </c:pt>
                <c:pt idx="2">
                  <c:v>23.001500000000004</c:v>
                </c:pt>
                <c:pt idx="3">
                  <c:v>34.099499999999992</c:v>
                </c:pt>
                <c:pt idx="4">
                  <c:v>43.730499999999985</c:v>
                </c:pt>
                <c:pt idx="5">
                  <c:v>83.367000000000004</c:v>
                </c:pt>
                <c:pt idx="6">
                  <c:v>81.167000000000002</c:v>
                </c:pt>
                <c:pt idx="7">
                  <c:v>63.137000000000015</c:v>
                </c:pt>
                <c:pt idx="8">
                  <c:v>54.082000000000015</c:v>
                </c:pt>
                <c:pt idx="9">
                  <c:v>65.891999999999996</c:v>
                </c:pt>
              </c:numCache>
            </c:numRef>
          </c:val>
          <c:extLst>
            <c:ext xmlns:c16="http://schemas.microsoft.com/office/drawing/2014/chart" uri="{C3380CC4-5D6E-409C-BE32-E72D297353CC}">
              <c16:uniqueId val="{00000002-A63D-4E97-9A84-A985B5968F88}"/>
            </c:ext>
          </c:extLst>
        </c:ser>
        <c:ser>
          <c:idx val="3"/>
          <c:order val="3"/>
          <c:tx>
            <c:strRef>
              <c:f>'Dashboard - Data'!$Z$45</c:f>
              <c:strCache>
                <c:ptCount val="1"/>
                <c:pt idx="0">
                  <c:v>Other Capital expenditure</c:v>
                </c:pt>
              </c:strCache>
            </c:strRef>
          </c:tx>
          <c:invertIfNegative val="0"/>
          <c:cat>
            <c:strRef>
              <c:f>'Dashboard - Data'!$AA$41:$AJ$41</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Data'!$AA$45:$AJ$45</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63D-4E97-9A84-A985B5968F88}"/>
            </c:ext>
          </c:extLst>
        </c:ser>
        <c:dLbls>
          <c:showLegendKey val="0"/>
          <c:showVal val="0"/>
          <c:showCatName val="0"/>
          <c:showSerName val="0"/>
          <c:showPercent val="0"/>
          <c:showBubbleSize val="0"/>
        </c:dLbls>
        <c:gapWidth val="75"/>
        <c:overlap val="100"/>
        <c:axId val="639424536"/>
        <c:axId val="639421792"/>
      </c:barChart>
      <c:catAx>
        <c:axId val="639424536"/>
        <c:scaling>
          <c:orientation val="minMax"/>
        </c:scaling>
        <c:delete val="0"/>
        <c:axPos val="b"/>
        <c:numFmt formatCode="General" sourceLinked="0"/>
        <c:majorTickMark val="none"/>
        <c:minorTickMark val="none"/>
        <c:tickLblPos val="nextTo"/>
        <c:crossAx val="639421792"/>
        <c:crosses val="autoZero"/>
        <c:auto val="1"/>
        <c:lblAlgn val="ctr"/>
        <c:lblOffset val="100"/>
        <c:noMultiLvlLbl val="0"/>
      </c:catAx>
      <c:valAx>
        <c:axId val="639421792"/>
        <c:scaling>
          <c:orientation val="minMax"/>
        </c:scaling>
        <c:delete val="0"/>
        <c:axPos val="l"/>
        <c:majorGridlines/>
        <c:numFmt formatCode="0.00" sourceLinked="1"/>
        <c:majorTickMark val="none"/>
        <c:minorTickMark val="none"/>
        <c:tickLblPos val="nextTo"/>
        <c:spPr>
          <a:ln w="9525">
            <a:noFill/>
          </a:ln>
        </c:spPr>
        <c:crossAx val="639424536"/>
        <c:crosses val="autoZero"/>
        <c:crossBetween val="between"/>
      </c:valAx>
    </c:plotArea>
    <c:legend>
      <c:legendPos val="b"/>
      <c:layout>
        <c:manualLayout>
          <c:xMode val="edge"/>
          <c:yMode val="edge"/>
          <c:x val="0"/>
          <c:y val="0.86325070571560136"/>
          <c:w val="0.99735076384682686"/>
          <c:h val="0.11657275218890327"/>
        </c:manualLayout>
      </c:layou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 capex by capital type - Water ($m)</a:t>
            </a:r>
          </a:p>
        </c:rich>
      </c:tx>
      <c:overlay val="0"/>
    </c:title>
    <c:autoTitleDeleted val="0"/>
    <c:plotArea>
      <c:layout/>
      <c:barChart>
        <c:barDir val="col"/>
        <c:grouping val="stacked"/>
        <c:varyColors val="0"/>
        <c:ser>
          <c:idx val="0"/>
          <c:order val="0"/>
          <c:tx>
            <c:strRef>
              <c:f>'Dashboard - Data'!$Z$49</c:f>
              <c:strCache>
                <c:ptCount val="1"/>
                <c:pt idx="0">
                  <c:v>Top 10 Major Projects</c:v>
                </c:pt>
              </c:strCache>
            </c:strRef>
          </c:tx>
          <c:invertIfNegative val="0"/>
          <c:cat>
            <c:strRef>
              <c:f>'Dashboard - Data'!$AA$48:$AJ$48</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Data'!$AA$49:$AJ$49</c:f>
              <c:numCache>
                <c:formatCode>0.00</c:formatCode>
                <c:ptCount val="10"/>
                <c:pt idx="0">
                  <c:v>13.829999999999998</c:v>
                </c:pt>
                <c:pt idx="1">
                  <c:v>25.6</c:v>
                </c:pt>
                <c:pt idx="2">
                  <c:v>22.3</c:v>
                </c:pt>
                <c:pt idx="3">
                  <c:v>5.9250000000000007</c:v>
                </c:pt>
                <c:pt idx="4">
                  <c:v>3.4</c:v>
                </c:pt>
                <c:pt idx="5">
                  <c:v>10.3</c:v>
                </c:pt>
                <c:pt idx="6">
                  <c:v>3</c:v>
                </c:pt>
                <c:pt idx="7">
                  <c:v>0</c:v>
                </c:pt>
                <c:pt idx="8">
                  <c:v>0</c:v>
                </c:pt>
                <c:pt idx="9">
                  <c:v>0</c:v>
                </c:pt>
              </c:numCache>
            </c:numRef>
          </c:val>
          <c:extLst>
            <c:ext xmlns:c16="http://schemas.microsoft.com/office/drawing/2014/chart" uri="{C3380CC4-5D6E-409C-BE32-E72D297353CC}">
              <c16:uniqueId val="{00000000-94D4-41B3-AF23-9763533C9856}"/>
            </c:ext>
          </c:extLst>
        </c:ser>
        <c:ser>
          <c:idx val="1"/>
          <c:order val="1"/>
          <c:tx>
            <c:strRef>
              <c:f>'Dashboard - Data'!$Z$50</c:f>
              <c:strCache>
                <c:ptCount val="1"/>
                <c:pt idx="0">
                  <c:v>Significant projects</c:v>
                </c:pt>
              </c:strCache>
            </c:strRef>
          </c:tx>
          <c:invertIfNegative val="0"/>
          <c:cat>
            <c:strRef>
              <c:f>'Dashboard - Data'!$AA$48:$AJ$48</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Data'!$AA$50:$AJ$50</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94D4-41B3-AF23-9763533C9856}"/>
            </c:ext>
          </c:extLst>
        </c:ser>
        <c:ser>
          <c:idx val="2"/>
          <c:order val="2"/>
          <c:tx>
            <c:strRef>
              <c:f>'Dashboard - Data'!$Z$51</c:f>
              <c:strCache>
                <c:ptCount val="1"/>
                <c:pt idx="0">
                  <c:v>Capital Programs / Allocation</c:v>
                </c:pt>
              </c:strCache>
            </c:strRef>
          </c:tx>
          <c:invertIfNegative val="0"/>
          <c:cat>
            <c:strRef>
              <c:f>'Dashboard - Data'!$AA$48:$AJ$48</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Data'!$AA$51:$AJ$51</c:f>
              <c:numCache>
                <c:formatCode>0.00</c:formatCode>
                <c:ptCount val="10"/>
                <c:pt idx="0">
                  <c:v>11.088699999999999</c:v>
                </c:pt>
                <c:pt idx="1">
                  <c:v>10.473499999999996</c:v>
                </c:pt>
                <c:pt idx="2">
                  <c:v>14.061500000000001</c:v>
                </c:pt>
                <c:pt idx="3">
                  <c:v>17.154500000000006</c:v>
                </c:pt>
                <c:pt idx="4">
                  <c:v>22.145500000000006</c:v>
                </c:pt>
                <c:pt idx="5">
                  <c:v>46.687000000000005</c:v>
                </c:pt>
                <c:pt idx="6">
                  <c:v>43.062000000000005</c:v>
                </c:pt>
                <c:pt idx="7">
                  <c:v>34.107000000000006</c:v>
                </c:pt>
                <c:pt idx="8">
                  <c:v>29.777000000000001</c:v>
                </c:pt>
                <c:pt idx="9">
                  <c:v>40.857000000000006</c:v>
                </c:pt>
              </c:numCache>
            </c:numRef>
          </c:val>
          <c:extLst>
            <c:ext xmlns:c16="http://schemas.microsoft.com/office/drawing/2014/chart" uri="{C3380CC4-5D6E-409C-BE32-E72D297353CC}">
              <c16:uniqueId val="{00000002-94D4-41B3-AF23-9763533C9856}"/>
            </c:ext>
          </c:extLst>
        </c:ser>
        <c:ser>
          <c:idx val="3"/>
          <c:order val="3"/>
          <c:tx>
            <c:strRef>
              <c:f>'Dashboard - Data'!$Z$52</c:f>
              <c:strCache>
                <c:ptCount val="1"/>
                <c:pt idx="0">
                  <c:v>Other Capital expenditure</c:v>
                </c:pt>
              </c:strCache>
            </c:strRef>
          </c:tx>
          <c:invertIfNegative val="0"/>
          <c:cat>
            <c:strRef>
              <c:f>'Dashboard - Data'!$AA$48:$AJ$48</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Data'!$AA$52:$AJ$52</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94D4-41B3-AF23-9763533C9856}"/>
            </c:ext>
          </c:extLst>
        </c:ser>
        <c:dLbls>
          <c:showLegendKey val="0"/>
          <c:showVal val="0"/>
          <c:showCatName val="0"/>
          <c:showSerName val="0"/>
          <c:showPercent val="0"/>
          <c:showBubbleSize val="0"/>
        </c:dLbls>
        <c:gapWidth val="75"/>
        <c:overlap val="100"/>
        <c:axId val="639419440"/>
        <c:axId val="639421400"/>
      </c:barChart>
      <c:catAx>
        <c:axId val="639419440"/>
        <c:scaling>
          <c:orientation val="minMax"/>
        </c:scaling>
        <c:delete val="0"/>
        <c:axPos val="b"/>
        <c:numFmt formatCode="General" sourceLinked="0"/>
        <c:majorTickMark val="none"/>
        <c:minorTickMark val="none"/>
        <c:tickLblPos val="nextTo"/>
        <c:crossAx val="639421400"/>
        <c:crosses val="autoZero"/>
        <c:auto val="1"/>
        <c:lblAlgn val="ctr"/>
        <c:lblOffset val="100"/>
        <c:noMultiLvlLbl val="0"/>
      </c:catAx>
      <c:valAx>
        <c:axId val="639421400"/>
        <c:scaling>
          <c:orientation val="minMax"/>
        </c:scaling>
        <c:delete val="0"/>
        <c:axPos val="l"/>
        <c:majorGridlines/>
        <c:numFmt formatCode="0.00" sourceLinked="1"/>
        <c:majorTickMark val="none"/>
        <c:minorTickMark val="none"/>
        <c:tickLblPos val="nextTo"/>
        <c:spPr>
          <a:ln w="9525">
            <a:noFill/>
          </a:ln>
        </c:spPr>
        <c:crossAx val="639419440"/>
        <c:crosses val="autoZero"/>
        <c:crossBetween val="between"/>
      </c:valAx>
    </c:plotArea>
    <c:legend>
      <c:legendPos val="b"/>
      <c:layout>
        <c:manualLayout>
          <c:xMode val="edge"/>
          <c:yMode val="edge"/>
          <c:x val="0"/>
          <c:y val="0.86325070571560136"/>
          <c:w val="1"/>
          <c:h val="0.11657275218890327"/>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 capex by capital type -</a:t>
            </a:r>
            <a:r>
              <a:rPr lang="en-AU" baseline="0"/>
              <a:t> Sewerage ($m)</a:t>
            </a:r>
            <a:endParaRPr lang="en-AU"/>
          </a:p>
        </c:rich>
      </c:tx>
      <c:overlay val="0"/>
    </c:title>
    <c:autoTitleDeleted val="0"/>
    <c:plotArea>
      <c:layout/>
      <c:barChart>
        <c:barDir val="col"/>
        <c:grouping val="stacked"/>
        <c:varyColors val="0"/>
        <c:ser>
          <c:idx val="0"/>
          <c:order val="0"/>
          <c:tx>
            <c:strRef>
              <c:f>'Dashboard - Data'!$Z$56</c:f>
              <c:strCache>
                <c:ptCount val="1"/>
                <c:pt idx="0">
                  <c:v>Top 10 Major Projects</c:v>
                </c:pt>
              </c:strCache>
            </c:strRef>
          </c:tx>
          <c:invertIfNegative val="0"/>
          <c:cat>
            <c:strRef>
              <c:f>'Dashboard - Data'!$AA$55:$AJ$55</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Data'!$AA$56:$AJ$56</c:f>
              <c:numCache>
                <c:formatCode>0.00</c:formatCode>
                <c:ptCount val="10"/>
                <c:pt idx="0">
                  <c:v>11.84</c:v>
                </c:pt>
                <c:pt idx="1">
                  <c:v>0.6</c:v>
                </c:pt>
                <c:pt idx="2">
                  <c:v>3.2</c:v>
                </c:pt>
                <c:pt idx="3">
                  <c:v>10.23</c:v>
                </c:pt>
                <c:pt idx="4">
                  <c:v>9.8000000000000007</c:v>
                </c:pt>
                <c:pt idx="5">
                  <c:v>2.1</c:v>
                </c:pt>
                <c:pt idx="6">
                  <c:v>10</c:v>
                </c:pt>
                <c:pt idx="7">
                  <c:v>4</c:v>
                </c:pt>
                <c:pt idx="8">
                  <c:v>0</c:v>
                </c:pt>
                <c:pt idx="9">
                  <c:v>0</c:v>
                </c:pt>
              </c:numCache>
            </c:numRef>
          </c:val>
          <c:extLst>
            <c:ext xmlns:c16="http://schemas.microsoft.com/office/drawing/2014/chart" uri="{C3380CC4-5D6E-409C-BE32-E72D297353CC}">
              <c16:uniqueId val="{00000000-1680-42E3-8CA5-2824AD656961}"/>
            </c:ext>
          </c:extLst>
        </c:ser>
        <c:ser>
          <c:idx val="1"/>
          <c:order val="1"/>
          <c:tx>
            <c:strRef>
              <c:f>'Dashboard - Data'!$Z$57</c:f>
              <c:strCache>
                <c:ptCount val="1"/>
                <c:pt idx="0">
                  <c:v>Significant projects</c:v>
                </c:pt>
              </c:strCache>
            </c:strRef>
          </c:tx>
          <c:invertIfNegative val="0"/>
          <c:cat>
            <c:strRef>
              <c:f>'Dashboard - Data'!$AA$55:$AJ$55</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Data'!$AA$57:$AJ$57</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1680-42E3-8CA5-2824AD656961}"/>
            </c:ext>
          </c:extLst>
        </c:ser>
        <c:ser>
          <c:idx val="2"/>
          <c:order val="2"/>
          <c:tx>
            <c:strRef>
              <c:f>'Dashboard - Data'!$Z$58</c:f>
              <c:strCache>
                <c:ptCount val="1"/>
                <c:pt idx="0">
                  <c:v>Capital Programs / Allocation</c:v>
                </c:pt>
              </c:strCache>
            </c:strRef>
          </c:tx>
          <c:invertIfNegative val="0"/>
          <c:cat>
            <c:strRef>
              <c:f>'Dashboard - Data'!$AA$55:$AJ$55</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Data'!$AA$58:$AJ$58</c:f>
              <c:numCache>
                <c:formatCode>0.00</c:formatCode>
                <c:ptCount val="10"/>
                <c:pt idx="0">
                  <c:v>6.62</c:v>
                </c:pt>
                <c:pt idx="1">
                  <c:v>7.8649999999999984</c:v>
                </c:pt>
                <c:pt idx="2">
                  <c:v>8.84</c:v>
                </c:pt>
                <c:pt idx="3">
                  <c:v>16.645000000000003</c:v>
                </c:pt>
                <c:pt idx="4">
                  <c:v>20.385000000000002</c:v>
                </c:pt>
                <c:pt idx="5">
                  <c:v>35.080000000000005</c:v>
                </c:pt>
                <c:pt idx="6">
                  <c:v>36.505000000000003</c:v>
                </c:pt>
                <c:pt idx="7">
                  <c:v>27.430000000000003</c:v>
                </c:pt>
                <c:pt idx="8">
                  <c:v>22.705000000000005</c:v>
                </c:pt>
                <c:pt idx="9">
                  <c:v>23.435000000000002</c:v>
                </c:pt>
              </c:numCache>
            </c:numRef>
          </c:val>
          <c:extLst>
            <c:ext xmlns:c16="http://schemas.microsoft.com/office/drawing/2014/chart" uri="{C3380CC4-5D6E-409C-BE32-E72D297353CC}">
              <c16:uniqueId val="{00000002-1680-42E3-8CA5-2824AD656961}"/>
            </c:ext>
          </c:extLst>
        </c:ser>
        <c:ser>
          <c:idx val="3"/>
          <c:order val="3"/>
          <c:tx>
            <c:strRef>
              <c:f>'Dashboard - Data'!$Z$59</c:f>
              <c:strCache>
                <c:ptCount val="1"/>
                <c:pt idx="0">
                  <c:v>Other Capital expenditure</c:v>
                </c:pt>
              </c:strCache>
            </c:strRef>
          </c:tx>
          <c:invertIfNegative val="0"/>
          <c:cat>
            <c:strRef>
              <c:f>'Dashboard - Data'!$AA$55:$AJ$55</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Data'!$AA$59:$AJ$59</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1680-42E3-8CA5-2824AD656961}"/>
            </c:ext>
          </c:extLst>
        </c:ser>
        <c:dLbls>
          <c:showLegendKey val="0"/>
          <c:showVal val="0"/>
          <c:showCatName val="0"/>
          <c:showSerName val="0"/>
          <c:showPercent val="0"/>
          <c:showBubbleSize val="0"/>
        </c:dLbls>
        <c:gapWidth val="75"/>
        <c:overlap val="100"/>
        <c:axId val="639420616"/>
        <c:axId val="639423752"/>
      </c:barChart>
      <c:catAx>
        <c:axId val="639420616"/>
        <c:scaling>
          <c:orientation val="minMax"/>
        </c:scaling>
        <c:delete val="0"/>
        <c:axPos val="b"/>
        <c:numFmt formatCode="General" sourceLinked="0"/>
        <c:majorTickMark val="none"/>
        <c:minorTickMark val="none"/>
        <c:tickLblPos val="nextTo"/>
        <c:crossAx val="639423752"/>
        <c:crosses val="autoZero"/>
        <c:auto val="1"/>
        <c:lblAlgn val="ctr"/>
        <c:lblOffset val="100"/>
        <c:noMultiLvlLbl val="0"/>
      </c:catAx>
      <c:valAx>
        <c:axId val="639423752"/>
        <c:scaling>
          <c:orientation val="minMax"/>
        </c:scaling>
        <c:delete val="0"/>
        <c:axPos val="l"/>
        <c:majorGridlines/>
        <c:numFmt formatCode="0.00" sourceLinked="1"/>
        <c:majorTickMark val="none"/>
        <c:minorTickMark val="none"/>
        <c:tickLblPos val="nextTo"/>
        <c:spPr>
          <a:ln w="9525">
            <a:noFill/>
          </a:ln>
        </c:spPr>
        <c:crossAx val="639420616"/>
        <c:crosses val="autoZero"/>
        <c:crossBetween val="between"/>
      </c:valAx>
    </c:plotArea>
    <c:legend>
      <c:legendPos val="b"/>
      <c:layout>
        <c:manualLayout>
          <c:xMode val="edge"/>
          <c:yMode val="edge"/>
          <c:x val="0"/>
          <c:y val="0.86759195259670074"/>
          <c:w val="1"/>
          <c:h val="0.11287203037158428"/>
        </c:manualLayout>
      </c:layou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Capital programs / Allocations and other capital</a:t>
            </a:r>
            <a:r>
              <a:rPr lang="en-AU" baseline="0"/>
              <a:t> expenditure by service category ($m)</a:t>
            </a:r>
            <a:endParaRPr lang="en-AU"/>
          </a:p>
        </c:rich>
      </c:tx>
      <c:overlay val="0"/>
    </c:title>
    <c:autoTitleDeleted val="0"/>
    <c:plotArea>
      <c:layout/>
      <c:barChart>
        <c:barDir val="col"/>
        <c:grouping val="stacked"/>
        <c:varyColors val="0"/>
        <c:ser>
          <c:idx val="0"/>
          <c:order val="0"/>
          <c:tx>
            <c:strRef>
              <c:f>'Dashboard - Data'!$Z$63</c:f>
              <c:strCache>
                <c:ptCount val="1"/>
                <c:pt idx="0">
                  <c:v>Water</c:v>
                </c:pt>
              </c:strCache>
            </c:strRef>
          </c:tx>
          <c:invertIfNegative val="0"/>
          <c:cat>
            <c:strRef>
              <c:f>'Dashboard - Data'!$AA$62:$AJ$62</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Data'!$AA$63:$AJ$63</c:f>
              <c:numCache>
                <c:formatCode>0.00</c:formatCode>
                <c:ptCount val="10"/>
                <c:pt idx="0">
                  <c:v>11.088699999999999</c:v>
                </c:pt>
                <c:pt idx="1">
                  <c:v>10.473499999999996</c:v>
                </c:pt>
                <c:pt idx="2">
                  <c:v>14.061500000000001</c:v>
                </c:pt>
                <c:pt idx="3">
                  <c:v>17.154500000000006</c:v>
                </c:pt>
                <c:pt idx="4">
                  <c:v>22.145500000000006</c:v>
                </c:pt>
                <c:pt idx="5">
                  <c:v>46.687000000000005</c:v>
                </c:pt>
                <c:pt idx="6">
                  <c:v>43.062000000000005</c:v>
                </c:pt>
                <c:pt idx="7">
                  <c:v>34.107000000000006</c:v>
                </c:pt>
                <c:pt idx="8">
                  <c:v>29.777000000000001</c:v>
                </c:pt>
                <c:pt idx="9">
                  <c:v>40.857000000000006</c:v>
                </c:pt>
              </c:numCache>
            </c:numRef>
          </c:val>
          <c:extLst>
            <c:ext xmlns:c16="http://schemas.microsoft.com/office/drawing/2014/chart" uri="{C3380CC4-5D6E-409C-BE32-E72D297353CC}">
              <c16:uniqueId val="{00000000-C546-4310-851C-224000485946}"/>
            </c:ext>
          </c:extLst>
        </c:ser>
        <c:ser>
          <c:idx val="1"/>
          <c:order val="1"/>
          <c:tx>
            <c:strRef>
              <c:f>'Dashboard - Data'!$Z$64</c:f>
              <c:strCache>
                <c:ptCount val="1"/>
                <c:pt idx="0">
                  <c:v>Sewerage</c:v>
                </c:pt>
              </c:strCache>
            </c:strRef>
          </c:tx>
          <c:invertIfNegative val="0"/>
          <c:cat>
            <c:strRef>
              <c:f>'Dashboard - Data'!$AA$62:$AJ$62</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Data'!$AA$64:$AJ$64</c:f>
              <c:numCache>
                <c:formatCode>0.00</c:formatCode>
                <c:ptCount val="10"/>
                <c:pt idx="0">
                  <c:v>6.62</c:v>
                </c:pt>
                <c:pt idx="1">
                  <c:v>7.8649999999999984</c:v>
                </c:pt>
                <c:pt idx="2">
                  <c:v>8.84</c:v>
                </c:pt>
                <c:pt idx="3">
                  <c:v>16.645000000000003</c:v>
                </c:pt>
                <c:pt idx="4">
                  <c:v>20.385000000000002</c:v>
                </c:pt>
                <c:pt idx="5">
                  <c:v>35.080000000000005</c:v>
                </c:pt>
                <c:pt idx="6">
                  <c:v>36.505000000000003</c:v>
                </c:pt>
                <c:pt idx="7">
                  <c:v>27.430000000000003</c:v>
                </c:pt>
                <c:pt idx="8">
                  <c:v>22.705000000000005</c:v>
                </c:pt>
                <c:pt idx="9">
                  <c:v>23.435000000000002</c:v>
                </c:pt>
              </c:numCache>
            </c:numRef>
          </c:val>
          <c:extLst>
            <c:ext xmlns:c16="http://schemas.microsoft.com/office/drawing/2014/chart" uri="{C3380CC4-5D6E-409C-BE32-E72D297353CC}">
              <c16:uniqueId val="{00000001-C546-4310-851C-224000485946}"/>
            </c:ext>
          </c:extLst>
        </c:ser>
        <c:ser>
          <c:idx val="2"/>
          <c:order val="2"/>
          <c:tx>
            <c:strRef>
              <c:f>'Dashboard - Data'!$Z$65</c:f>
              <c:strCache>
                <c:ptCount val="1"/>
                <c:pt idx="0">
                  <c:v>Recycled Water</c:v>
                </c:pt>
              </c:strCache>
            </c:strRef>
          </c:tx>
          <c:invertIfNegative val="0"/>
          <c:cat>
            <c:strRef>
              <c:f>'Dashboard - Data'!$AA$62:$AJ$62</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Data'!$AA$65:$AJ$65</c:f>
              <c:numCache>
                <c:formatCode>0.00</c:formatCode>
                <c:ptCount val="10"/>
                <c:pt idx="0">
                  <c:v>2.4</c:v>
                </c:pt>
                <c:pt idx="1">
                  <c:v>0.5</c:v>
                </c:pt>
                <c:pt idx="2">
                  <c:v>0.1</c:v>
                </c:pt>
                <c:pt idx="3">
                  <c:v>0.3</c:v>
                </c:pt>
                <c:pt idx="4">
                  <c:v>1.2</c:v>
                </c:pt>
                <c:pt idx="5">
                  <c:v>1.6</c:v>
                </c:pt>
                <c:pt idx="6">
                  <c:v>1.6</c:v>
                </c:pt>
                <c:pt idx="7">
                  <c:v>1.6</c:v>
                </c:pt>
                <c:pt idx="8">
                  <c:v>1.6</c:v>
                </c:pt>
                <c:pt idx="9">
                  <c:v>1.6</c:v>
                </c:pt>
              </c:numCache>
            </c:numRef>
          </c:val>
          <c:extLst>
            <c:ext xmlns:c16="http://schemas.microsoft.com/office/drawing/2014/chart" uri="{C3380CC4-5D6E-409C-BE32-E72D297353CC}">
              <c16:uniqueId val="{00000002-C546-4310-851C-224000485946}"/>
            </c:ext>
          </c:extLst>
        </c:ser>
        <c:ser>
          <c:idx val="3"/>
          <c:order val="3"/>
          <c:tx>
            <c:strRef>
              <c:f>'Dashboard - Data'!$Z$66</c:f>
              <c:strCache>
                <c:ptCount val="1"/>
                <c:pt idx="0">
                  <c:v>Rural water</c:v>
                </c:pt>
              </c:strCache>
            </c:strRef>
          </c:tx>
          <c:invertIfNegative val="0"/>
          <c:cat>
            <c:strRef>
              <c:f>'Dashboard - Data'!$AA$62:$AJ$62</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Data'!$AA$66:$AJ$66</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C546-4310-851C-224000485946}"/>
            </c:ext>
          </c:extLst>
        </c:ser>
        <c:ser>
          <c:idx val="4"/>
          <c:order val="4"/>
          <c:tx>
            <c:strRef>
              <c:f>'Dashboard - Data'!$Z$67</c:f>
              <c:strCache>
                <c:ptCount val="1"/>
                <c:pt idx="0">
                  <c:v>Bulk Water</c:v>
                </c:pt>
              </c:strCache>
            </c:strRef>
          </c:tx>
          <c:invertIfNegative val="0"/>
          <c:cat>
            <c:strRef>
              <c:f>'Dashboard - Data'!$AA$62:$AJ$62</c:f>
              <c:strCache>
                <c:ptCount val="10"/>
                <c:pt idx="0">
                  <c:v>2023-24</c:v>
                </c:pt>
                <c:pt idx="1">
                  <c:v>2024-25</c:v>
                </c:pt>
                <c:pt idx="2">
                  <c:v>2025-26</c:v>
                </c:pt>
                <c:pt idx="3">
                  <c:v>2026-27</c:v>
                </c:pt>
                <c:pt idx="4">
                  <c:v>2027-28</c:v>
                </c:pt>
                <c:pt idx="5">
                  <c:v>2028-29</c:v>
                </c:pt>
                <c:pt idx="6">
                  <c:v>2029-30</c:v>
                </c:pt>
                <c:pt idx="7">
                  <c:v>2030-31</c:v>
                </c:pt>
                <c:pt idx="8">
                  <c:v>2031-32</c:v>
                </c:pt>
                <c:pt idx="9">
                  <c:v>2032-33</c:v>
                </c:pt>
              </c:strCache>
            </c:strRef>
          </c:cat>
          <c:val>
            <c:numRef>
              <c:f>'Dashboard - Data'!$AA$67:$AJ$67</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C546-4310-851C-224000485946}"/>
            </c:ext>
          </c:extLst>
        </c:ser>
        <c:dLbls>
          <c:showLegendKey val="0"/>
          <c:showVal val="0"/>
          <c:showCatName val="0"/>
          <c:showSerName val="0"/>
          <c:showPercent val="0"/>
          <c:showBubbleSize val="0"/>
        </c:dLbls>
        <c:gapWidth val="75"/>
        <c:overlap val="100"/>
        <c:axId val="639420224"/>
        <c:axId val="639425320"/>
      </c:barChart>
      <c:catAx>
        <c:axId val="639420224"/>
        <c:scaling>
          <c:orientation val="minMax"/>
        </c:scaling>
        <c:delete val="0"/>
        <c:axPos val="b"/>
        <c:numFmt formatCode="General" sourceLinked="0"/>
        <c:majorTickMark val="none"/>
        <c:minorTickMark val="none"/>
        <c:tickLblPos val="nextTo"/>
        <c:crossAx val="639425320"/>
        <c:crosses val="autoZero"/>
        <c:auto val="1"/>
        <c:lblAlgn val="ctr"/>
        <c:lblOffset val="100"/>
        <c:noMultiLvlLbl val="0"/>
      </c:catAx>
      <c:valAx>
        <c:axId val="639425320"/>
        <c:scaling>
          <c:orientation val="minMax"/>
        </c:scaling>
        <c:delete val="0"/>
        <c:axPos val="l"/>
        <c:majorGridlines/>
        <c:numFmt formatCode="0.00" sourceLinked="1"/>
        <c:majorTickMark val="none"/>
        <c:minorTickMark val="none"/>
        <c:tickLblPos val="nextTo"/>
        <c:spPr>
          <a:ln w="9525">
            <a:noFill/>
          </a:ln>
        </c:spPr>
        <c:crossAx val="63942022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AU" sz="1000"/>
              <a:t>Total Household Bill - Maximum</a:t>
            </a:r>
          </a:p>
        </c:rich>
      </c:tx>
      <c:overlay val="0"/>
    </c:title>
    <c:autoTitleDeleted val="0"/>
    <c:plotArea>
      <c:layout>
        <c:manualLayout>
          <c:layoutTarget val="inner"/>
          <c:xMode val="edge"/>
          <c:yMode val="edge"/>
          <c:x val="8.1112742263149309E-2"/>
          <c:y val="0.11557413994632004"/>
          <c:w val="0.84609843261117779"/>
          <c:h val="0.49360237190820511"/>
        </c:manualLayout>
      </c:layout>
      <c:barChart>
        <c:barDir val="col"/>
        <c:grouping val="clustered"/>
        <c:varyColors val="0"/>
        <c:ser>
          <c:idx val="0"/>
          <c:order val="0"/>
          <c:tx>
            <c:strRef>
              <c:f>'Household Bill'!$AM$26</c:f>
              <c:strCache>
                <c:ptCount val="1"/>
                <c:pt idx="0">
                  <c:v> Owner Occupier Bill </c:v>
                </c:pt>
              </c:strCache>
            </c:strRef>
          </c:tx>
          <c:spPr>
            <a:solidFill>
              <a:schemeClr val="accent1">
                <a:lumMod val="60000"/>
                <a:lumOff val="40000"/>
              </a:schemeClr>
            </a:solidFill>
          </c:spPr>
          <c:invertIfNegative val="0"/>
          <c:cat>
            <c:multiLvlStrRef>
              <c:f>'Household Bill'!$AN$24:$BG$25</c:f>
              <c:multiLvlStrCache>
                <c:ptCount val="20"/>
                <c:lvl>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lvl>
                <c:lvl>
                  <c:pt idx="0">
                    <c:v>3rd Reg Period</c:v>
                  </c:pt>
                  <c:pt idx="5">
                    <c:v>4th Reg Period</c:v>
                  </c:pt>
                  <c:pt idx="10">
                    <c:v>5th Reg Period</c:v>
                  </c:pt>
                  <c:pt idx="15">
                    <c:v>6th Reg Period</c:v>
                  </c:pt>
                </c:lvl>
              </c:multiLvlStrCache>
            </c:multiLvlStrRef>
          </c:cat>
          <c:val>
            <c:numRef>
              <c:f>'Household Bill'!$AN$26:$BG$26</c:f>
              <c:numCache>
                <c:formatCode>_-* #,##0_-;\-* #,##0_-;_-* "-"??_-;_-@_-</c:formatCode>
                <c:ptCount val="20"/>
                <c:pt idx="0">
                  <c:v>1212.2777173913043</c:v>
                </c:pt>
                <c:pt idx="1">
                  <c:v>1239.8086231884058</c:v>
                </c:pt>
                <c:pt idx="2">
                  <c:v>1254.4674295323143</c:v>
                </c:pt>
                <c:pt idx="3">
                  <c:v>1270.7482</c:v>
                </c:pt>
                <c:pt idx="4">
                  <c:v>1299.7398188405796</c:v>
                </c:pt>
                <c:pt idx="5">
                  <c:v>1262.2233999999999</c:v>
                </c:pt>
                <c:pt idx="6">
                  <c:v>1231.5709942506298</c:v>
                </c:pt>
                <c:pt idx="7">
                  <c:v>1225.9363448015047</c:v>
                </c:pt>
                <c:pt idx="8">
                  <c:v>1201.7898752392568</c:v>
                </c:pt>
                <c:pt idx="9">
                  <c:v>1232.0612835590214</c:v>
                </c:pt>
                <c:pt idx="10">
                  <c:v>1228.551360440812</c:v>
                </c:pt>
                <c:pt idx="11">
                  <c:v>1240.0065803850057</c:v>
                </c:pt>
                <c:pt idx="12">
                  <c:v>1251.5704216056824</c:v>
                </c:pt>
                <c:pt idx="13">
                  <c:v>1263.2439277870071</c:v>
                </c:pt>
                <c:pt idx="14">
                  <c:v>1272.3520158598762</c:v>
                </c:pt>
                <c:pt idx="15">
                  <c:v>1284.7237681636175</c:v>
                </c:pt>
                <c:pt idx="16">
                  <c:v>1297.1901813914576</c:v>
                </c:pt>
                <c:pt idx="17">
                  <c:v>1312.9087608437542</c:v>
                </c:pt>
                <c:pt idx="18">
                  <c:v>1325.5646905105198</c:v>
                </c:pt>
                <c:pt idx="19">
                  <c:v>1338.3188618975041</c:v>
                </c:pt>
              </c:numCache>
            </c:numRef>
          </c:val>
          <c:extLst>
            <c:ext xmlns:c16="http://schemas.microsoft.com/office/drawing/2014/chart" uri="{C3380CC4-5D6E-409C-BE32-E72D297353CC}">
              <c16:uniqueId val="{00000000-A39A-4BA0-A3BB-3FA4BA3BE575}"/>
            </c:ext>
          </c:extLst>
        </c:ser>
        <c:ser>
          <c:idx val="2"/>
          <c:order val="2"/>
          <c:tx>
            <c:strRef>
              <c:f>'Household Bill'!$AM$28</c:f>
              <c:strCache>
                <c:ptCount val="1"/>
                <c:pt idx="0">
                  <c:v> Tenant Bill </c:v>
                </c:pt>
              </c:strCache>
            </c:strRef>
          </c:tx>
          <c:spPr>
            <a:solidFill>
              <a:schemeClr val="accent3">
                <a:lumMod val="60000"/>
                <a:lumOff val="40000"/>
              </a:schemeClr>
            </a:solidFill>
          </c:spPr>
          <c:invertIfNegative val="0"/>
          <c:cat>
            <c:multiLvlStrRef>
              <c:f>'Household Bill'!$AN$24:$BG$25</c:f>
              <c:multiLvlStrCache>
                <c:ptCount val="20"/>
                <c:lvl>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lvl>
                <c:lvl>
                  <c:pt idx="0">
                    <c:v>3rd Reg Period</c:v>
                  </c:pt>
                  <c:pt idx="5">
                    <c:v>4th Reg Period</c:v>
                  </c:pt>
                  <c:pt idx="10">
                    <c:v>5th Reg Period</c:v>
                  </c:pt>
                  <c:pt idx="15">
                    <c:v>6th Reg Period</c:v>
                  </c:pt>
                </c:lvl>
              </c:multiLvlStrCache>
            </c:multiLvlStrRef>
          </c:cat>
          <c:val>
            <c:numRef>
              <c:f>'Household Bill'!$AN$28:$BG$28</c:f>
              <c:numCache>
                <c:formatCode>_-* #,##0_-;\-* #,##0_-;_-* "-"??_-;_-@_-</c:formatCode>
                <c:ptCount val="20"/>
                <c:pt idx="0">
                  <c:v>266.51771739130436</c:v>
                </c:pt>
                <c:pt idx="1">
                  <c:v>266.34862318840578</c:v>
                </c:pt>
                <c:pt idx="2">
                  <c:v>268.08742953231433</c:v>
                </c:pt>
                <c:pt idx="3">
                  <c:v>271.44819999999999</c:v>
                </c:pt>
                <c:pt idx="4">
                  <c:v>279.20981884057966</c:v>
                </c:pt>
                <c:pt idx="5">
                  <c:v>306.99340000000001</c:v>
                </c:pt>
                <c:pt idx="6">
                  <c:v>290.22099425062981</c:v>
                </c:pt>
                <c:pt idx="7">
                  <c:v>296.56634480150467</c:v>
                </c:pt>
                <c:pt idx="8">
                  <c:v>299.85987523925684</c:v>
                </c:pt>
                <c:pt idx="9">
                  <c:v>313.6612835590214</c:v>
                </c:pt>
                <c:pt idx="10">
                  <c:v>310.15136044081191</c:v>
                </c:pt>
                <c:pt idx="11">
                  <c:v>312.4225803850058</c:v>
                </c:pt>
                <c:pt idx="12">
                  <c:v>314.71058160568242</c:v>
                </c:pt>
                <c:pt idx="13">
                  <c:v>317.01548938700694</c:v>
                </c:pt>
                <c:pt idx="14">
                  <c:v>316.66129307587619</c:v>
                </c:pt>
                <c:pt idx="15">
                  <c:v>319.47613815177743</c:v>
                </c:pt>
                <c:pt idx="16">
                  <c:v>322.29007507949916</c:v>
                </c:pt>
                <c:pt idx="17">
                  <c:v>328.25965346867611</c:v>
                </c:pt>
                <c:pt idx="18">
                  <c:v>331.06909206169092</c:v>
                </c:pt>
                <c:pt idx="19">
                  <c:v>333.87830746418695</c:v>
                </c:pt>
              </c:numCache>
            </c:numRef>
          </c:val>
          <c:extLst>
            <c:ext xmlns:c16="http://schemas.microsoft.com/office/drawing/2014/chart" uri="{C3380CC4-5D6E-409C-BE32-E72D297353CC}">
              <c16:uniqueId val="{00000001-A39A-4BA0-A3BB-3FA4BA3BE575}"/>
            </c:ext>
          </c:extLst>
        </c:ser>
        <c:dLbls>
          <c:showLegendKey val="0"/>
          <c:showVal val="0"/>
          <c:showCatName val="0"/>
          <c:showSerName val="0"/>
          <c:showPercent val="0"/>
          <c:showBubbleSize val="0"/>
        </c:dLbls>
        <c:gapWidth val="150"/>
        <c:axId val="639419048"/>
        <c:axId val="639425712"/>
      </c:barChart>
      <c:lineChart>
        <c:grouping val="standard"/>
        <c:varyColors val="0"/>
        <c:ser>
          <c:idx val="1"/>
          <c:order val="1"/>
          <c:tx>
            <c:strRef>
              <c:f>'Household Bill'!$AM$27</c:f>
              <c:strCache>
                <c:ptCount val="1"/>
                <c:pt idx="0">
                  <c:v>OB - YoY Change</c:v>
                </c:pt>
              </c:strCache>
            </c:strRef>
          </c:tx>
          <c:spPr>
            <a:ln>
              <a:solidFill>
                <a:schemeClr val="accent1">
                  <a:lumMod val="75000"/>
                </a:schemeClr>
              </a:solidFill>
            </a:ln>
          </c:spPr>
          <c:marker>
            <c:symbol val="none"/>
          </c:marker>
          <c:cat>
            <c:multiLvlStrRef>
              <c:f>'Household Bill'!$AN$24:$BG$25</c:f>
              <c:multiLvlStrCache>
                <c:ptCount val="20"/>
                <c:lvl>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lvl>
                <c:lvl>
                  <c:pt idx="0">
                    <c:v>3rd Reg Period</c:v>
                  </c:pt>
                  <c:pt idx="5">
                    <c:v>4th Reg Period</c:v>
                  </c:pt>
                  <c:pt idx="10">
                    <c:v>5th Reg Period</c:v>
                  </c:pt>
                  <c:pt idx="15">
                    <c:v>6th Reg Period</c:v>
                  </c:pt>
                </c:lvl>
              </c:multiLvlStrCache>
            </c:multiLvlStrRef>
          </c:cat>
          <c:val>
            <c:numRef>
              <c:f>'Household Bill'!$AN$27:$BG$27</c:f>
              <c:numCache>
                <c:formatCode>0.0%</c:formatCode>
                <c:ptCount val="20"/>
                <c:pt idx="1">
                  <c:v>2.2710065030598026E-2</c:v>
                </c:pt>
                <c:pt idx="2">
                  <c:v>1.1823442803785777E-2</c:v>
                </c:pt>
                <c:pt idx="3">
                  <c:v>1.2978232901395881E-2</c:v>
                </c:pt>
                <c:pt idx="4">
                  <c:v>2.2814605474617E-2</c:v>
                </c:pt>
                <c:pt idx="5">
                  <c:v>-2.8864560658029115E-2</c:v>
                </c:pt>
                <c:pt idx="6">
                  <c:v>-2.4284453726154953E-2</c:v>
                </c:pt>
                <c:pt idx="7">
                  <c:v>-4.5751722600073652E-3</c:v>
                </c:pt>
                <c:pt idx="8">
                  <c:v>-1.9696348562173838E-2</c:v>
                </c:pt>
                <c:pt idx="9">
                  <c:v>2.5188603218793126E-2</c:v>
                </c:pt>
                <c:pt idx="10">
                  <c:v>-2.8488218606060878E-3</c:v>
                </c:pt>
                <c:pt idx="11">
                  <c:v>9.3241685395093477E-3</c:v>
                </c:pt>
                <c:pt idx="12">
                  <c:v>9.3256289148775373E-3</c:v>
                </c:pt>
                <c:pt idx="13">
                  <c:v>9.3270869779331633E-3</c:v>
                </c:pt>
                <c:pt idx="14">
                  <c:v>7.2100786495170599E-3</c:v>
                </c:pt>
                <c:pt idx="15">
                  <c:v>9.7235294553137397E-3</c:v>
                </c:pt>
                <c:pt idx="16">
                  <c:v>9.7035748359040053E-3</c:v>
                </c:pt>
                <c:pt idx="17">
                  <c:v>1.2117405510605694E-2</c:v>
                </c:pt>
                <c:pt idx="18">
                  <c:v>9.6396109495318072E-3</c:v>
                </c:pt>
                <c:pt idx="19">
                  <c:v>9.6216891399485416E-3</c:v>
                </c:pt>
              </c:numCache>
            </c:numRef>
          </c:val>
          <c:smooth val="1"/>
          <c:extLst>
            <c:ext xmlns:c16="http://schemas.microsoft.com/office/drawing/2014/chart" uri="{C3380CC4-5D6E-409C-BE32-E72D297353CC}">
              <c16:uniqueId val="{00000002-A39A-4BA0-A3BB-3FA4BA3BE575}"/>
            </c:ext>
          </c:extLst>
        </c:ser>
        <c:ser>
          <c:idx val="3"/>
          <c:order val="3"/>
          <c:tx>
            <c:strRef>
              <c:f>'Household Bill'!$AM$29</c:f>
              <c:strCache>
                <c:ptCount val="1"/>
                <c:pt idx="0">
                  <c:v>TB - YoY Change</c:v>
                </c:pt>
              </c:strCache>
            </c:strRef>
          </c:tx>
          <c:spPr>
            <a:ln>
              <a:solidFill>
                <a:schemeClr val="accent3">
                  <a:lumMod val="75000"/>
                </a:schemeClr>
              </a:solidFill>
            </a:ln>
          </c:spPr>
          <c:marker>
            <c:symbol val="none"/>
          </c:marker>
          <c:cat>
            <c:multiLvlStrRef>
              <c:f>'Household Bill'!$AN$24:$BG$25</c:f>
              <c:multiLvlStrCache>
                <c:ptCount val="20"/>
                <c:lvl>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lvl>
                <c:lvl>
                  <c:pt idx="0">
                    <c:v>3rd Reg Period</c:v>
                  </c:pt>
                  <c:pt idx="5">
                    <c:v>4th Reg Period</c:v>
                  </c:pt>
                  <c:pt idx="10">
                    <c:v>5th Reg Period</c:v>
                  </c:pt>
                  <c:pt idx="15">
                    <c:v>6th Reg Period</c:v>
                  </c:pt>
                </c:lvl>
              </c:multiLvlStrCache>
            </c:multiLvlStrRef>
          </c:cat>
          <c:val>
            <c:numRef>
              <c:f>'Household Bill'!$AN$29:$BG$29</c:f>
              <c:numCache>
                <c:formatCode>0.0%</c:formatCode>
                <c:ptCount val="20"/>
                <c:pt idx="1">
                  <c:v>-6.3445764339298272E-4</c:v>
                </c:pt>
                <c:pt idx="2">
                  <c:v>6.5283098635677828E-3</c:v>
                </c:pt>
                <c:pt idx="3">
                  <c:v>1.2536098665829387E-2</c:v>
                </c:pt>
                <c:pt idx="4">
                  <c:v>2.8593370081583469E-2</c:v>
                </c:pt>
                <c:pt idx="5">
                  <c:v>9.9507894367009797E-2</c:v>
                </c:pt>
                <c:pt idx="6">
                  <c:v>-5.4634418034297139E-2</c:v>
                </c:pt>
                <c:pt idx="7">
                  <c:v>2.1863857806906584E-2</c:v>
                </c:pt>
                <c:pt idx="8">
                  <c:v>1.1105543482880842E-2</c:v>
                </c:pt>
                <c:pt idx="9">
                  <c:v>4.6026192429889035E-2</c:v>
                </c:pt>
                <c:pt idx="10">
                  <c:v>-1.1190170104462438E-2</c:v>
                </c:pt>
                <c:pt idx="11">
                  <c:v>7.322940453866833E-3</c:v>
                </c:pt>
                <c:pt idx="12">
                  <c:v>7.3234182300685458E-3</c:v>
                </c:pt>
                <c:pt idx="13">
                  <c:v>7.323896672188912E-3</c:v>
                </c:pt>
                <c:pt idx="14">
                  <c:v>-1.1172839277211466E-3</c:v>
                </c:pt>
                <c:pt idx="15">
                  <c:v>8.8891352920319466E-3</c:v>
                </c:pt>
                <c:pt idx="16">
                  <c:v>8.8079721509117803E-3</c:v>
                </c:pt>
                <c:pt idx="17">
                  <c:v>1.852237735743012E-2</c:v>
                </c:pt>
                <c:pt idx="18">
                  <c:v>8.5585863609123347E-3</c:v>
                </c:pt>
                <c:pt idx="19">
                  <c:v>8.4852844009146722E-3</c:v>
                </c:pt>
              </c:numCache>
            </c:numRef>
          </c:val>
          <c:smooth val="1"/>
          <c:extLst>
            <c:ext xmlns:c16="http://schemas.microsoft.com/office/drawing/2014/chart" uri="{C3380CC4-5D6E-409C-BE32-E72D297353CC}">
              <c16:uniqueId val="{00000003-A39A-4BA0-A3BB-3FA4BA3BE575}"/>
            </c:ext>
          </c:extLst>
        </c:ser>
        <c:ser>
          <c:idx val="4"/>
          <c:order val="4"/>
          <c:tx>
            <c:strRef>
              <c:f>'Household Bill'!$AM$30</c:f>
              <c:strCache>
                <c:ptCount val="1"/>
                <c:pt idx="0">
                  <c:v>Zero Line</c:v>
                </c:pt>
              </c:strCache>
            </c:strRef>
          </c:tx>
          <c:spPr>
            <a:ln w="12700" cmpd="sng">
              <a:solidFill>
                <a:schemeClr val="tx1"/>
              </a:solidFill>
              <a:prstDash val="solid"/>
            </a:ln>
          </c:spPr>
          <c:marker>
            <c:symbol val="none"/>
          </c:marker>
          <c:cat>
            <c:multiLvlStrRef>
              <c:f>'Household Bill'!$AN$24:$BG$25</c:f>
              <c:multiLvlStrCache>
                <c:ptCount val="20"/>
                <c:lvl>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lvl>
                <c:lvl>
                  <c:pt idx="0">
                    <c:v>3rd Reg Period</c:v>
                  </c:pt>
                  <c:pt idx="5">
                    <c:v>4th Reg Period</c:v>
                  </c:pt>
                  <c:pt idx="10">
                    <c:v>5th Reg Period</c:v>
                  </c:pt>
                  <c:pt idx="15">
                    <c:v>6th Reg Period</c:v>
                  </c:pt>
                </c:lvl>
              </c:multiLvlStrCache>
            </c:multiLvlStrRef>
          </c:cat>
          <c:val>
            <c:numRef>
              <c:f>'Household Bill'!$AN$30:$BG$30</c:f>
              <c:numCache>
                <c:formatCode>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4-A39A-4BA0-A3BB-3FA4BA3BE575}"/>
            </c:ext>
          </c:extLst>
        </c:ser>
        <c:dLbls>
          <c:showLegendKey val="0"/>
          <c:showVal val="0"/>
          <c:showCatName val="0"/>
          <c:showSerName val="0"/>
          <c:showPercent val="0"/>
          <c:showBubbleSize val="0"/>
        </c:dLbls>
        <c:marker val="1"/>
        <c:smooth val="0"/>
        <c:axId val="608131016"/>
        <c:axId val="639418656"/>
      </c:lineChart>
      <c:catAx>
        <c:axId val="639419048"/>
        <c:scaling>
          <c:orientation val="minMax"/>
        </c:scaling>
        <c:delete val="0"/>
        <c:axPos val="b"/>
        <c:numFmt formatCode="General" sourceLinked="0"/>
        <c:majorTickMark val="out"/>
        <c:minorTickMark val="none"/>
        <c:tickLblPos val="nextTo"/>
        <c:crossAx val="639425712"/>
        <c:crossesAt val="0"/>
        <c:auto val="1"/>
        <c:lblAlgn val="ctr"/>
        <c:lblOffset val="100"/>
        <c:noMultiLvlLbl val="0"/>
      </c:catAx>
      <c:valAx>
        <c:axId val="639425712"/>
        <c:scaling>
          <c:orientation val="minMax"/>
        </c:scaling>
        <c:delete val="0"/>
        <c:axPos val="l"/>
        <c:majorGridlines>
          <c:spPr>
            <a:ln>
              <a:prstDash val="dash"/>
            </a:ln>
          </c:spPr>
        </c:majorGridlines>
        <c:numFmt formatCode="_-* #,##0_-;\-* #,##0_-;_-* &quot;-&quot;??_-;_-@_-" sourceLinked="1"/>
        <c:majorTickMark val="out"/>
        <c:minorTickMark val="none"/>
        <c:tickLblPos val="nextTo"/>
        <c:crossAx val="639419048"/>
        <c:crosses val="autoZero"/>
        <c:crossBetween val="between"/>
      </c:valAx>
      <c:valAx>
        <c:axId val="639418656"/>
        <c:scaling>
          <c:orientation val="minMax"/>
        </c:scaling>
        <c:delete val="0"/>
        <c:axPos val="r"/>
        <c:numFmt formatCode="0.0%" sourceLinked="1"/>
        <c:majorTickMark val="out"/>
        <c:minorTickMark val="none"/>
        <c:tickLblPos val="nextTo"/>
        <c:crossAx val="608131016"/>
        <c:crosses val="max"/>
        <c:crossBetween val="between"/>
      </c:valAx>
      <c:catAx>
        <c:axId val="608131016"/>
        <c:scaling>
          <c:orientation val="minMax"/>
        </c:scaling>
        <c:delete val="1"/>
        <c:axPos val="b"/>
        <c:numFmt formatCode="General" sourceLinked="1"/>
        <c:majorTickMark val="out"/>
        <c:minorTickMark val="none"/>
        <c:tickLblPos val="nextTo"/>
        <c:crossAx val="639418656"/>
        <c:crosses val="autoZero"/>
        <c:auto val="1"/>
        <c:lblAlgn val="ctr"/>
        <c:lblOffset val="100"/>
        <c:noMultiLvlLbl val="0"/>
      </c:catAx>
    </c:plotArea>
    <c:legend>
      <c:legendPos val="b"/>
      <c:legendEntry>
        <c:idx val="4"/>
        <c:delete val="1"/>
      </c:legendEntry>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AU" sz="1000"/>
              <a:t>Total Household Bill - Actual</a:t>
            </a:r>
          </a:p>
        </c:rich>
      </c:tx>
      <c:overlay val="0"/>
    </c:title>
    <c:autoTitleDeleted val="0"/>
    <c:plotArea>
      <c:layout>
        <c:manualLayout>
          <c:layoutTarget val="inner"/>
          <c:xMode val="edge"/>
          <c:yMode val="edge"/>
          <c:x val="8.1112742263149309E-2"/>
          <c:y val="0.11557413994632004"/>
          <c:w val="0.84609843261117779"/>
          <c:h val="0.49360237190820511"/>
        </c:manualLayout>
      </c:layout>
      <c:barChart>
        <c:barDir val="col"/>
        <c:grouping val="clustered"/>
        <c:varyColors val="0"/>
        <c:ser>
          <c:idx val="0"/>
          <c:order val="0"/>
          <c:tx>
            <c:strRef>
              <c:f>'Household Bill'!$AM$78</c:f>
              <c:strCache>
                <c:ptCount val="1"/>
              </c:strCache>
            </c:strRef>
          </c:tx>
          <c:spPr>
            <a:solidFill>
              <a:schemeClr val="accent1">
                <a:lumMod val="60000"/>
                <a:lumOff val="40000"/>
              </a:schemeClr>
            </a:solidFill>
          </c:spPr>
          <c:invertIfNegative val="0"/>
          <c:cat>
            <c:multiLvlStrRef>
              <c:f>'Household Bill'!$AN$76:$BG$77</c:f>
              <c:multiLvlStrCache>
                <c:ptCount val="20"/>
                <c:lvl>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lvl>
                <c:lvl>
                  <c:pt idx="0">
                    <c:v>3rd Reg Period</c:v>
                  </c:pt>
                  <c:pt idx="5">
                    <c:v>4th Reg Period</c:v>
                  </c:pt>
                  <c:pt idx="10">
                    <c:v>5th Reg Period</c:v>
                  </c:pt>
                  <c:pt idx="15">
                    <c:v>6th Reg Period</c:v>
                  </c:pt>
                </c:lvl>
              </c:multiLvlStrCache>
            </c:multiLvlStrRef>
          </c:cat>
          <c:val>
            <c:numRef>
              <c:f>'Household Bill'!$AN$78:$BG$78</c:f>
              <c:numCache>
                <c:formatCode>_-* #,##0_-;\-* #,##0_-;_-* "-"??_-;_-@_-</c:formatCode>
                <c:ptCount val="20"/>
                <c:pt idx="0">
                  <c:v>1212.2777173913043</c:v>
                </c:pt>
                <c:pt idx="1">
                  <c:v>1183.6786231884057</c:v>
                </c:pt>
                <c:pt idx="2">
                  <c:v>1194.2994295323144</c:v>
                </c:pt>
                <c:pt idx="3">
                  <c:v>1207.2382</c:v>
                </c:pt>
                <c:pt idx="4">
                  <c:v>1230.7398188405796</c:v>
                </c:pt>
                <c:pt idx="5">
                  <c:v>1262.2233999999999</c:v>
                </c:pt>
                <c:pt idx="6">
                  <c:v>1231.5709942506298</c:v>
                </c:pt>
                <c:pt idx="7">
                  <c:v>1225.9363448015047</c:v>
                </c:pt>
                <c:pt idx="8">
                  <c:v>1201.7898752392568</c:v>
                </c:pt>
                <c:pt idx="9">
                  <c:v>1232.0612835590214</c:v>
                </c:pt>
                <c:pt idx="10">
                  <c:v>1228.551360440812</c:v>
                </c:pt>
                <c:pt idx="11">
                  <c:v>1240.0065803850057</c:v>
                </c:pt>
                <c:pt idx="12">
                  <c:v>1251.5704216056824</c:v>
                </c:pt>
                <c:pt idx="13">
                  <c:v>1263.2439277870071</c:v>
                </c:pt>
                <c:pt idx="14">
                  <c:v>1272.3520158598762</c:v>
                </c:pt>
                <c:pt idx="15">
                  <c:v>1284.7237681636175</c:v>
                </c:pt>
                <c:pt idx="16">
                  <c:v>1297.1901813914576</c:v>
                </c:pt>
                <c:pt idx="17">
                  <c:v>1312.9087608437542</c:v>
                </c:pt>
                <c:pt idx="18">
                  <c:v>1325.5646905105198</c:v>
                </c:pt>
                <c:pt idx="19">
                  <c:v>1338.3188618975041</c:v>
                </c:pt>
              </c:numCache>
            </c:numRef>
          </c:val>
          <c:extLst>
            <c:ext xmlns:c16="http://schemas.microsoft.com/office/drawing/2014/chart" uri="{C3380CC4-5D6E-409C-BE32-E72D297353CC}">
              <c16:uniqueId val="{00000000-8D9C-440E-BCC6-9FC9E403D6E1}"/>
            </c:ext>
          </c:extLst>
        </c:ser>
        <c:ser>
          <c:idx val="2"/>
          <c:order val="2"/>
          <c:tx>
            <c:strRef>
              <c:f>'Household Bill'!$AM$80</c:f>
              <c:strCache>
                <c:ptCount val="1"/>
              </c:strCache>
            </c:strRef>
          </c:tx>
          <c:spPr>
            <a:solidFill>
              <a:schemeClr val="accent3">
                <a:lumMod val="60000"/>
                <a:lumOff val="40000"/>
              </a:schemeClr>
            </a:solidFill>
          </c:spPr>
          <c:invertIfNegative val="0"/>
          <c:cat>
            <c:multiLvlStrRef>
              <c:f>'Household Bill'!$AN$76:$BG$77</c:f>
              <c:multiLvlStrCache>
                <c:ptCount val="20"/>
                <c:lvl>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lvl>
                <c:lvl>
                  <c:pt idx="0">
                    <c:v>3rd Reg Period</c:v>
                  </c:pt>
                  <c:pt idx="5">
                    <c:v>4th Reg Period</c:v>
                  </c:pt>
                  <c:pt idx="10">
                    <c:v>5th Reg Period</c:v>
                  </c:pt>
                  <c:pt idx="15">
                    <c:v>6th Reg Period</c:v>
                  </c:pt>
                </c:lvl>
              </c:multiLvlStrCache>
            </c:multiLvlStrRef>
          </c:cat>
          <c:val>
            <c:numRef>
              <c:f>'Household Bill'!$AN$80:$BG$80</c:f>
              <c:numCache>
                <c:formatCode>_-* #,##0_-;\-* #,##0_-;_-* "-"??_-;_-@_-</c:formatCode>
                <c:ptCount val="20"/>
                <c:pt idx="0">
                  <c:v>266.51771739130436</c:v>
                </c:pt>
                <c:pt idx="1">
                  <c:v>266.34862318840578</c:v>
                </c:pt>
                <c:pt idx="2">
                  <c:v>268.08742953231433</c:v>
                </c:pt>
                <c:pt idx="3">
                  <c:v>271.44819999999999</c:v>
                </c:pt>
                <c:pt idx="4">
                  <c:v>279.20981884057966</c:v>
                </c:pt>
                <c:pt idx="5">
                  <c:v>306.99340000000001</c:v>
                </c:pt>
                <c:pt idx="6">
                  <c:v>290.22099425062981</c:v>
                </c:pt>
                <c:pt idx="7">
                  <c:v>296.56634480150467</c:v>
                </c:pt>
                <c:pt idx="8">
                  <c:v>299.85987523925684</c:v>
                </c:pt>
                <c:pt idx="9">
                  <c:v>313.6612835590214</c:v>
                </c:pt>
                <c:pt idx="10">
                  <c:v>310.15136044081191</c:v>
                </c:pt>
                <c:pt idx="11">
                  <c:v>312.4225803850058</c:v>
                </c:pt>
                <c:pt idx="12">
                  <c:v>314.71058160568242</c:v>
                </c:pt>
                <c:pt idx="13">
                  <c:v>317.01548938700694</c:v>
                </c:pt>
                <c:pt idx="14">
                  <c:v>316.66129307587619</c:v>
                </c:pt>
                <c:pt idx="15">
                  <c:v>319.47613815177743</c:v>
                </c:pt>
                <c:pt idx="16">
                  <c:v>322.29007507949916</c:v>
                </c:pt>
                <c:pt idx="17">
                  <c:v>328.25965346867611</c:v>
                </c:pt>
                <c:pt idx="18">
                  <c:v>331.06909206169092</c:v>
                </c:pt>
                <c:pt idx="19">
                  <c:v>333.87830746418695</c:v>
                </c:pt>
              </c:numCache>
            </c:numRef>
          </c:val>
          <c:extLst>
            <c:ext xmlns:c16="http://schemas.microsoft.com/office/drawing/2014/chart" uri="{C3380CC4-5D6E-409C-BE32-E72D297353CC}">
              <c16:uniqueId val="{00000001-8D9C-440E-BCC6-9FC9E403D6E1}"/>
            </c:ext>
          </c:extLst>
        </c:ser>
        <c:dLbls>
          <c:showLegendKey val="0"/>
          <c:showVal val="0"/>
          <c:showCatName val="0"/>
          <c:showSerName val="0"/>
          <c:showPercent val="0"/>
          <c:showBubbleSize val="0"/>
        </c:dLbls>
        <c:gapWidth val="150"/>
        <c:axId val="608134152"/>
        <c:axId val="608133760"/>
      </c:barChart>
      <c:lineChart>
        <c:grouping val="standard"/>
        <c:varyColors val="0"/>
        <c:ser>
          <c:idx val="1"/>
          <c:order val="1"/>
          <c:tx>
            <c:strRef>
              <c:f>'Household Bill'!$AM$79</c:f>
              <c:strCache>
                <c:ptCount val="1"/>
              </c:strCache>
            </c:strRef>
          </c:tx>
          <c:spPr>
            <a:ln>
              <a:solidFill>
                <a:schemeClr val="accent1">
                  <a:lumMod val="75000"/>
                </a:schemeClr>
              </a:solidFill>
            </a:ln>
          </c:spPr>
          <c:marker>
            <c:symbol val="none"/>
          </c:marker>
          <c:cat>
            <c:multiLvlStrRef>
              <c:f>'Household Bill'!$AN$76:$BG$77</c:f>
              <c:multiLvlStrCache>
                <c:ptCount val="20"/>
                <c:lvl>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lvl>
                <c:lvl>
                  <c:pt idx="0">
                    <c:v>3rd Reg Period</c:v>
                  </c:pt>
                  <c:pt idx="5">
                    <c:v>4th Reg Period</c:v>
                  </c:pt>
                  <c:pt idx="10">
                    <c:v>5th Reg Period</c:v>
                  </c:pt>
                  <c:pt idx="15">
                    <c:v>6th Reg Period</c:v>
                  </c:pt>
                </c:lvl>
              </c:multiLvlStrCache>
            </c:multiLvlStrRef>
          </c:cat>
          <c:val>
            <c:numRef>
              <c:f>'Household Bill'!$AN$79:$BG$79</c:f>
              <c:numCache>
                <c:formatCode>0.0%</c:formatCode>
                <c:ptCount val="20"/>
                <c:pt idx="0">
                  <c:v>0</c:v>
                </c:pt>
                <c:pt idx="1">
                  <c:v>-2.3591206695146472E-2</c:v>
                </c:pt>
                <c:pt idx="2">
                  <c:v>8.9727111192563491E-3</c:v>
                </c:pt>
                <c:pt idx="3">
                  <c:v>1.0833774301267418E-2</c:v>
                </c:pt>
                <c:pt idx="4">
                  <c:v>1.9467259104772872E-2</c:v>
                </c:pt>
                <c:pt idx="5">
                  <c:v>2.5581021006600313E-2</c:v>
                </c:pt>
                <c:pt idx="6">
                  <c:v>-2.4284453726154953E-2</c:v>
                </c:pt>
                <c:pt idx="7">
                  <c:v>-4.5751722600073652E-3</c:v>
                </c:pt>
                <c:pt idx="8">
                  <c:v>-1.9696348562173838E-2</c:v>
                </c:pt>
                <c:pt idx="9">
                  <c:v>2.5188603218793126E-2</c:v>
                </c:pt>
                <c:pt idx="10">
                  <c:v>-2.8488218606060878E-3</c:v>
                </c:pt>
                <c:pt idx="11">
                  <c:v>9.3241685395093477E-3</c:v>
                </c:pt>
                <c:pt idx="12">
                  <c:v>9.3256289148775373E-3</c:v>
                </c:pt>
                <c:pt idx="13">
                  <c:v>9.3270869779331633E-3</c:v>
                </c:pt>
                <c:pt idx="14">
                  <c:v>7.2100786495170599E-3</c:v>
                </c:pt>
                <c:pt idx="15">
                  <c:v>9.7235294553137397E-3</c:v>
                </c:pt>
                <c:pt idx="16">
                  <c:v>9.7035748359040053E-3</c:v>
                </c:pt>
                <c:pt idx="17">
                  <c:v>1.2117405510605694E-2</c:v>
                </c:pt>
                <c:pt idx="18">
                  <c:v>9.6396109495318072E-3</c:v>
                </c:pt>
                <c:pt idx="19">
                  <c:v>9.6216891399485416E-3</c:v>
                </c:pt>
              </c:numCache>
            </c:numRef>
          </c:val>
          <c:smooth val="1"/>
          <c:extLst>
            <c:ext xmlns:c16="http://schemas.microsoft.com/office/drawing/2014/chart" uri="{C3380CC4-5D6E-409C-BE32-E72D297353CC}">
              <c16:uniqueId val="{00000002-8D9C-440E-BCC6-9FC9E403D6E1}"/>
            </c:ext>
          </c:extLst>
        </c:ser>
        <c:ser>
          <c:idx val="3"/>
          <c:order val="3"/>
          <c:tx>
            <c:strRef>
              <c:f>'Household Bill'!$AM$81</c:f>
              <c:strCache>
                <c:ptCount val="1"/>
              </c:strCache>
            </c:strRef>
          </c:tx>
          <c:spPr>
            <a:ln>
              <a:solidFill>
                <a:schemeClr val="accent3">
                  <a:lumMod val="75000"/>
                </a:schemeClr>
              </a:solidFill>
            </a:ln>
          </c:spPr>
          <c:marker>
            <c:symbol val="none"/>
          </c:marker>
          <c:cat>
            <c:multiLvlStrRef>
              <c:f>'Household Bill'!$AN$76:$BG$77</c:f>
              <c:multiLvlStrCache>
                <c:ptCount val="20"/>
                <c:lvl>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lvl>
                <c:lvl>
                  <c:pt idx="0">
                    <c:v>3rd Reg Period</c:v>
                  </c:pt>
                  <c:pt idx="5">
                    <c:v>4th Reg Period</c:v>
                  </c:pt>
                  <c:pt idx="10">
                    <c:v>5th Reg Period</c:v>
                  </c:pt>
                  <c:pt idx="15">
                    <c:v>6th Reg Period</c:v>
                  </c:pt>
                </c:lvl>
              </c:multiLvlStrCache>
            </c:multiLvlStrRef>
          </c:cat>
          <c:val>
            <c:numRef>
              <c:f>'Household Bill'!$AN$81:$BG$81</c:f>
              <c:numCache>
                <c:formatCode>0.0%</c:formatCode>
                <c:ptCount val="20"/>
                <c:pt idx="0">
                  <c:v>0</c:v>
                </c:pt>
                <c:pt idx="1">
                  <c:v>-6.3445764339298272E-4</c:v>
                </c:pt>
                <c:pt idx="2">
                  <c:v>6.5283098635677828E-3</c:v>
                </c:pt>
                <c:pt idx="3">
                  <c:v>1.2536098665829387E-2</c:v>
                </c:pt>
                <c:pt idx="4">
                  <c:v>2.8593370081583469E-2</c:v>
                </c:pt>
                <c:pt idx="5">
                  <c:v>9.9507894367009797E-2</c:v>
                </c:pt>
                <c:pt idx="6">
                  <c:v>-5.4634418034297139E-2</c:v>
                </c:pt>
                <c:pt idx="7">
                  <c:v>2.1863857806906584E-2</c:v>
                </c:pt>
                <c:pt idx="8">
                  <c:v>1.1105543482880842E-2</c:v>
                </c:pt>
                <c:pt idx="9">
                  <c:v>4.6026192429889035E-2</c:v>
                </c:pt>
                <c:pt idx="10">
                  <c:v>-1.1190170104462438E-2</c:v>
                </c:pt>
                <c:pt idx="11">
                  <c:v>7.322940453866833E-3</c:v>
                </c:pt>
                <c:pt idx="12">
                  <c:v>7.3234182300685458E-3</c:v>
                </c:pt>
                <c:pt idx="13">
                  <c:v>7.323896672188912E-3</c:v>
                </c:pt>
                <c:pt idx="14">
                  <c:v>-1.1172839277211466E-3</c:v>
                </c:pt>
                <c:pt idx="15">
                  <c:v>8.8891352920319466E-3</c:v>
                </c:pt>
                <c:pt idx="16">
                  <c:v>8.8079721509117803E-3</c:v>
                </c:pt>
                <c:pt idx="17">
                  <c:v>1.852237735743012E-2</c:v>
                </c:pt>
                <c:pt idx="18">
                  <c:v>8.5585863609123347E-3</c:v>
                </c:pt>
                <c:pt idx="19">
                  <c:v>8.4852844009146722E-3</c:v>
                </c:pt>
              </c:numCache>
            </c:numRef>
          </c:val>
          <c:smooth val="1"/>
          <c:extLst>
            <c:ext xmlns:c16="http://schemas.microsoft.com/office/drawing/2014/chart" uri="{C3380CC4-5D6E-409C-BE32-E72D297353CC}">
              <c16:uniqueId val="{00000003-8D9C-440E-BCC6-9FC9E403D6E1}"/>
            </c:ext>
          </c:extLst>
        </c:ser>
        <c:ser>
          <c:idx val="4"/>
          <c:order val="4"/>
          <c:tx>
            <c:strRef>
              <c:f>'Household Bill'!$AM$82</c:f>
              <c:strCache>
                <c:ptCount val="1"/>
              </c:strCache>
            </c:strRef>
          </c:tx>
          <c:spPr>
            <a:ln w="12700">
              <a:solidFill>
                <a:schemeClr val="tx1"/>
              </a:solidFill>
            </a:ln>
          </c:spPr>
          <c:marker>
            <c:symbol val="none"/>
          </c:marker>
          <c:cat>
            <c:multiLvlStrRef>
              <c:f>'Household Bill'!$AN$76:$BG$77</c:f>
              <c:multiLvlStrCache>
                <c:ptCount val="20"/>
                <c:lvl>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pt idx="19">
                    <c:v>2032-33</c:v>
                  </c:pt>
                </c:lvl>
                <c:lvl>
                  <c:pt idx="0">
                    <c:v>3rd Reg Period</c:v>
                  </c:pt>
                  <c:pt idx="5">
                    <c:v>4th Reg Period</c:v>
                  </c:pt>
                  <c:pt idx="10">
                    <c:v>5th Reg Period</c:v>
                  </c:pt>
                  <c:pt idx="15">
                    <c:v>6th Reg Period</c:v>
                  </c:pt>
                </c:lvl>
              </c:multiLvlStrCache>
            </c:multiLvlStrRef>
          </c:cat>
          <c:val>
            <c:numRef>
              <c:f>'Household Bill'!$AN$82:$BG$82</c:f>
              <c:numCache>
                <c:formatCode>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4-8D9C-440E-BCC6-9FC9E403D6E1}"/>
            </c:ext>
          </c:extLst>
        </c:ser>
        <c:dLbls>
          <c:showLegendKey val="0"/>
          <c:showVal val="0"/>
          <c:showCatName val="0"/>
          <c:showSerName val="0"/>
          <c:showPercent val="0"/>
          <c:showBubbleSize val="0"/>
        </c:dLbls>
        <c:marker val="1"/>
        <c:smooth val="0"/>
        <c:axId val="608130624"/>
        <c:axId val="608135720"/>
      </c:lineChart>
      <c:catAx>
        <c:axId val="608134152"/>
        <c:scaling>
          <c:orientation val="minMax"/>
        </c:scaling>
        <c:delete val="0"/>
        <c:axPos val="b"/>
        <c:numFmt formatCode="General" sourceLinked="1"/>
        <c:majorTickMark val="out"/>
        <c:minorTickMark val="none"/>
        <c:tickLblPos val="nextTo"/>
        <c:crossAx val="608133760"/>
        <c:crosses val="autoZero"/>
        <c:auto val="1"/>
        <c:lblAlgn val="ctr"/>
        <c:lblOffset val="100"/>
        <c:noMultiLvlLbl val="0"/>
      </c:catAx>
      <c:valAx>
        <c:axId val="608133760"/>
        <c:scaling>
          <c:orientation val="minMax"/>
        </c:scaling>
        <c:delete val="0"/>
        <c:axPos val="l"/>
        <c:majorGridlines>
          <c:spPr>
            <a:ln>
              <a:prstDash val="dash"/>
            </a:ln>
          </c:spPr>
        </c:majorGridlines>
        <c:numFmt formatCode="_-* #,##0_-;\-* #,##0_-;_-* &quot;-&quot;??_-;_-@_-" sourceLinked="1"/>
        <c:majorTickMark val="out"/>
        <c:minorTickMark val="none"/>
        <c:tickLblPos val="nextTo"/>
        <c:crossAx val="608134152"/>
        <c:crosses val="autoZero"/>
        <c:crossBetween val="between"/>
      </c:valAx>
      <c:valAx>
        <c:axId val="608135720"/>
        <c:scaling>
          <c:orientation val="minMax"/>
        </c:scaling>
        <c:delete val="0"/>
        <c:axPos val="r"/>
        <c:numFmt formatCode="0.0%" sourceLinked="1"/>
        <c:majorTickMark val="out"/>
        <c:minorTickMark val="none"/>
        <c:tickLblPos val="nextTo"/>
        <c:crossAx val="608130624"/>
        <c:crosses val="max"/>
        <c:crossBetween val="between"/>
      </c:valAx>
      <c:catAx>
        <c:axId val="608130624"/>
        <c:scaling>
          <c:orientation val="minMax"/>
        </c:scaling>
        <c:delete val="1"/>
        <c:axPos val="b"/>
        <c:numFmt formatCode="General" sourceLinked="1"/>
        <c:majorTickMark val="out"/>
        <c:minorTickMark val="none"/>
        <c:tickLblPos val="nextTo"/>
        <c:crossAx val="608135720"/>
        <c:crosses val="autoZero"/>
        <c:auto val="1"/>
        <c:lblAlgn val="ctr"/>
        <c:lblOffset val="100"/>
        <c:noMultiLvlLbl val="0"/>
      </c:catAx>
    </c:plotArea>
    <c:legend>
      <c:legendPos val="b"/>
      <c:legendEntry>
        <c:idx val="4"/>
        <c:delete val="1"/>
      </c:legendEntry>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Revenue</a:t>
            </a:r>
            <a:r>
              <a:rPr lang="en-AU" baseline="0"/>
              <a:t> requirement ($m)</a:t>
            </a:r>
            <a:endParaRPr lang="en-AU"/>
          </a:p>
        </c:rich>
      </c:tx>
      <c:overlay val="0"/>
    </c:title>
    <c:autoTitleDeleted val="0"/>
    <c:plotArea>
      <c:layout/>
      <c:barChart>
        <c:barDir val="col"/>
        <c:grouping val="clustered"/>
        <c:varyColors val="0"/>
        <c:ser>
          <c:idx val="0"/>
          <c:order val="0"/>
          <c:tx>
            <c:strRef>
              <c:f>'Dashboard - Data'!$C$9</c:f>
              <c:strCache>
                <c:ptCount val="1"/>
                <c:pt idx="0">
                  <c:v>Values</c:v>
                </c:pt>
              </c:strCache>
            </c:strRef>
          </c:tx>
          <c:invertIfNegative val="0"/>
          <c:cat>
            <c:multiLvlStrRef>
              <c:f>'Dashboard - Data'!$D$7:$R$8</c:f>
              <c:multiLvlStrCache>
                <c:ptCount val="15"/>
                <c:lvl>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lvl>
                <c:lvl>
                  <c:pt idx="0">
                    <c:v>4th Reg Period</c:v>
                  </c:pt>
                  <c:pt idx="5">
                    <c:v>5th Reg Period</c:v>
                  </c:pt>
                  <c:pt idx="10">
                    <c:v>6th Reg Period</c:v>
                  </c:pt>
                </c:lvl>
              </c:multiLvlStrCache>
            </c:multiLvlStrRef>
          </c:cat>
          <c:val>
            <c:numRef>
              <c:f>'Dashboard - Data'!$D$9:$R$9</c:f>
              <c:numCache>
                <c:formatCode>#,##0.00</c:formatCode>
                <c:ptCount val="15"/>
                <c:pt idx="0">
                  <c:v>98.241752731396645</c:v>
                </c:pt>
                <c:pt idx="1">
                  <c:v>98.984695770949031</c:v>
                </c:pt>
                <c:pt idx="2">
                  <c:v>99.050510493747737</c:v>
                </c:pt>
                <c:pt idx="3">
                  <c:v>99.811440983806364</c:v>
                </c:pt>
                <c:pt idx="4">
                  <c:v>100.23147140236459</c:v>
                </c:pt>
                <c:pt idx="5">
                  <c:v>104.06385545438683</c:v>
                </c:pt>
                <c:pt idx="6">
                  <c:v>106.94004285484651</c:v>
                </c:pt>
                <c:pt idx="7">
                  <c:v>109.18152309433378</c:v>
                </c:pt>
                <c:pt idx="8">
                  <c:v>110.44864096807545</c:v>
                </c:pt>
                <c:pt idx="9">
                  <c:v>118.55392838684085</c:v>
                </c:pt>
                <c:pt idx="10">
                  <c:v>120.75745129797468</c:v>
                </c:pt>
                <c:pt idx="11">
                  <c:v>124.95933650928491</c:v>
                </c:pt>
                <c:pt idx="12">
                  <c:v>128.35488889955744</c:v>
                </c:pt>
                <c:pt idx="13">
                  <c:v>130.28407684269885</c:v>
                </c:pt>
                <c:pt idx="14">
                  <c:v>131.90331196503232</c:v>
                </c:pt>
              </c:numCache>
            </c:numRef>
          </c:val>
          <c:extLst>
            <c:ext xmlns:c16="http://schemas.microsoft.com/office/drawing/2014/chart" uri="{C3380CC4-5D6E-409C-BE32-E72D297353CC}">
              <c16:uniqueId val="{00000000-8A45-4A32-A774-027012A598BE}"/>
            </c:ext>
          </c:extLst>
        </c:ser>
        <c:dLbls>
          <c:showLegendKey val="0"/>
          <c:showVal val="0"/>
          <c:showCatName val="0"/>
          <c:showSerName val="0"/>
          <c:showPercent val="0"/>
          <c:showBubbleSize val="0"/>
        </c:dLbls>
        <c:gapWidth val="75"/>
        <c:overlap val="-25"/>
        <c:axId val="608612336"/>
        <c:axId val="608614296"/>
      </c:barChart>
      <c:lineChart>
        <c:grouping val="standard"/>
        <c:varyColors val="0"/>
        <c:ser>
          <c:idx val="1"/>
          <c:order val="1"/>
          <c:tx>
            <c:strRef>
              <c:f>'Dashboard - Data'!$C$10</c:f>
              <c:strCache>
                <c:ptCount val="1"/>
                <c:pt idx="0">
                  <c:v>Reg period average</c:v>
                </c:pt>
              </c:strCache>
            </c:strRef>
          </c:tx>
          <c:spPr>
            <a:ln>
              <a:solidFill>
                <a:schemeClr val="tx1"/>
              </a:solidFill>
            </a:ln>
          </c:spPr>
          <c:marker>
            <c:symbol val="none"/>
          </c:marker>
          <c:cat>
            <c:multiLvlStrRef>
              <c:f>'Dashboard - Data'!$D$7:$R$8</c:f>
              <c:multiLvlStrCache>
                <c:ptCount val="15"/>
                <c:lvl>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lvl>
                <c:lvl>
                  <c:pt idx="0">
                    <c:v>4th Reg Period</c:v>
                  </c:pt>
                  <c:pt idx="5">
                    <c:v>5th Reg Period</c:v>
                  </c:pt>
                  <c:pt idx="10">
                    <c:v>6th Reg Period</c:v>
                  </c:pt>
                </c:lvl>
              </c:multiLvlStrCache>
            </c:multiLvlStrRef>
          </c:cat>
          <c:val>
            <c:numRef>
              <c:f>'Dashboard - Data'!$D$10:$R$10</c:f>
              <c:numCache>
                <c:formatCode>#,##0.00</c:formatCode>
                <c:ptCount val="15"/>
              </c:numCache>
            </c:numRef>
          </c:val>
          <c:smooth val="0"/>
          <c:extLst>
            <c:ext xmlns:c16="http://schemas.microsoft.com/office/drawing/2014/chart" uri="{C3380CC4-5D6E-409C-BE32-E72D297353CC}">
              <c16:uniqueId val="{00000001-8A45-4A32-A774-027012A598BE}"/>
            </c:ext>
          </c:extLst>
        </c:ser>
        <c:ser>
          <c:idx val="2"/>
          <c:order val="2"/>
          <c:tx>
            <c:strRef>
              <c:f>'Dashboard - Data'!$C$11</c:f>
              <c:strCache>
                <c:ptCount val="1"/>
                <c:pt idx="0">
                  <c:v>Reg period average</c:v>
                </c:pt>
              </c:strCache>
            </c:strRef>
          </c:tx>
          <c:spPr>
            <a:ln>
              <a:solidFill>
                <a:schemeClr val="tx1"/>
              </a:solidFill>
            </a:ln>
          </c:spPr>
          <c:marker>
            <c:symbol val="none"/>
          </c:marker>
          <c:cat>
            <c:multiLvlStrRef>
              <c:f>'Dashboard - Data'!$D$7:$R$8</c:f>
              <c:multiLvlStrCache>
                <c:ptCount val="15"/>
                <c:lvl>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lvl>
                <c:lvl>
                  <c:pt idx="0">
                    <c:v>4th Reg Period</c:v>
                  </c:pt>
                  <c:pt idx="5">
                    <c:v>5th Reg Period</c:v>
                  </c:pt>
                  <c:pt idx="10">
                    <c:v>6th Reg Period</c:v>
                  </c:pt>
                </c:lvl>
              </c:multiLvlStrCache>
            </c:multiLvlStrRef>
          </c:cat>
          <c:val>
            <c:numRef>
              <c:f>'Dashboard - Data'!$D$11:$R$11</c:f>
              <c:numCache>
                <c:formatCode>#,##0.00</c:formatCode>
                <c:ptCount val="15"/>
                <c:pt idx="0">
                  <c:v>98.613224251172838</c:v>
                </c:pt>
                <c:pt idx="1">
                  <c:v>98.613224251172838</c:v>
                </c:pt>
              </c:numCache>
            </c:numRef>
          </c:val>
          <c:smooth val="0"/>
          <c:extLst>
            <c:ext xmlns:c16="http://schemas.microsoft.com/office/drawing/2014/chart" uri="{C3380CC4-5D6E-409C-BE32-E72D297353CC}">
              <c16:uniqueId val="{00000002-8A45-4A32-A774-027012A598BE}"/>
            </c:ext>
          </c:extLst>
        </c:ser>
        <c:ser>
          <c:idx val="3"/>
          <c:order val="3"/>
          <c:tx>
            <c:strRef>
              <c:f>'Dashboard - Data'!$C$12</c:f>
              <c:strCache>
                <c:ptCount val="1"/>
                <c:pt idx="0">
                  <c:v>Reg period average</c:v>
                </c:pt>
              </c:strCache>
            </c:strRef>
          </c:tx>
          <c:spPr>
            <a:ln>
              <a:solidFill>
                <a:schemeClr val="tx1"/>
              </a:solidFill>
            </a:ln>
          </c:spPr>
          <c:marker>
            <c:symbol val="none"/>
          </c:marker>
          <c:cat>
            <c:multiLvlStrRef>
              <c:f>'Dashboard - Data'!$D$7:$R$8</c:f>
              <c:multiLvlStrCache>
                <c:ptCount val="15"/>
                <c:lvl>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lvl>
                <c:lvl>
                  <c:pt idx="0">
                    <c:v>4th Reg Period</c:v>
                  </c:pt>
                  <c:pt idx="5">
                    <c:v>5th Reg Period</c:v>
                  </c:pt>
                  <c:pt idx="10">
                    <c:v>6th Reg Period</c:v>
                  </c:pt>
                </c:lvl>
              </c:multiLvlStrCache>
            </c:multiLvlStrRef>
          </c:cat>
          <c:val>
            <c:numRef>
              <c:f>'Dashboard - Data'!$D$12:$R$12</c:f>
              <c:numCache>
                <c:formatCode>General</c:formatCode>
                <c:ptCount val="15"/>
                <c:pt idx="2" formatCode="#,##0.00">
                  <c:v>99.697807626639573</c:v>
                </c:pt>
                <c:pt idx="3" formatCode="#,##0.00">
                  <c:v>99.697807626639573</c:v>
                </c:pt>
                <c:pt idx="4" formatCode="#,##0.00">
                  <c:v>99.697807626639573</c:v>
                </c:pt>
              </c:numCache>
            </c:numRef>
          </c:val>
          <c:smooth val="0"/>
          <c:extLst>
            <c:ext xmlns:c16="http://schemas.microsoft.com/office/drawing/2014/chart" uri="{C3380CC4-5D6E-409C-BE32-E72D297353CC}">
              <c16:uniqueId val="{00000003-8A45-4A32-A774-027012A598BE}"/>
            </c:ext>
          </c:extLst>
        </c:ser>
        <c:ser>
          <c:idx val="4"/>
          <c:order val="4"/>
          <c:tx>
            <c:strRef>
              <c:f>'Dashboard - Data'!$C$13</c:f>
              <c:strCache>
                <c:ptCount val="1"/>
                <c:pt idx="0">
                  <c:v>Reg period average</c:v>
                </c:pt>
              </c:strCache>
            </c:strRef>
          </c:tx>
          <c:spPr>
            <a:ln>
              <a:solidFill>
                <a:schemeClr val="tx1"/>
              </a:solidFill>
            </a:ln>
          </c:spPr>
          <c:marker>
            <c:symbol val="none"/>
          </c:marker>
          <c:cat>
            <c:multiLvlStrRef>
              <c:f>'Dashboard - Data'!$D$7:$R$8</c:f>
              <c:multiLvlStrCache>
                <c:ptCount val="15"/>
                <c:lvl>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lvl>
                <c:lvl>
                  <c:pt idx="0">
                    <c:v>4th Reg Period</c:v>
                  </c:pt>
                  <c:pt idx="5">
                    <c:v>5th Reg Period</c:v>
                  </c:pt>
                  <c:pt idx="10">
                    <c:v>6th Reg Period</c:v>
                  </c:pt>
                </c:lvl>
              </c:multiLvlStrCache>
            </c:multiLvlStrRef>
          </c:cat>
          <c:val>
            <c:numRef>
              <c:f>'Dashboard - Data'!$D$13:$R$13</c:f>
              <c:numCache>
                <c:formatCode>General</c:formatCode>
                <c:ptCount val="15"/>
                <c:pt idx="5" formatCode="0.00">
                  <c:v>109.8375981516967</c:v>
                </c:pt>
                <c:pt idx="6" formatCode="0.00">
                  <c:v>109.8375981516967</c:v>
                </c:pt>
                <c:pt idx="7" formatCode="0.00">
                  <c:v>109.8375981516967</c:v>
                </c:pt>
                <c:pt idx="8" formatCode="0.00">
                  <c:v>109.8375981516967</c:v>
                </c:pt>
                <c:pt idx="9" formatCode="0.00">
                  <c:v>109.8375981516967</c:v>
                </c:pt>
              </c:numCache>
            </c:numRef>
          </c:val>
          <c:smooth val="0"/>
          <c:extLst>
            <c:ext xmlns:c16="http://schemas.microsoft.com/office/drawing/2014/chart" uri="{C3380CC4-5D6E-409C-BE32-E72D297353CC}">
              <c16:uniqueId val="{00000004-8A45-4A32-A774-027012A598BE}"/>
            </c:ext>
          </c:extLst>
        </c:ser>
        <c:ser>
          <c:idx val="5"/>
          <c:order val="5"/>
          <c:tx>
            <c:strRef>
              <c:f>'Dashboard - Data'!$C$14</c:f>
              <c:strCache>
                <c:ptCount val="1"/>
                <c:pt idx="0">
                  <c:v>Reg period average</c:v>
                </c:pt>
              </c:strCache>
            </c:strRef>
          </c:tx>
          <c:spPr>
            <a:ln>
              <a:solidFill>
                <a:schemeClr val="tx1"/>
              </a:solidFill>
            </a:ln>
          </c:spPr>
          <c:marker>
            <c:symbol val="none"/>
          </c:marker>
          <c:cat>
            <c:multiLvlStrRef>
              <c:f>'Dashboard - Data'!$D$7:$R$8</c:f>
              <c:multiLvlStrCache>
                <c:ptCount val="15"/>
                <c:lvl>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lvl>
                <c:lvl>
                  <c:pt idx="0">
                    <c:v>4th Reg Period</c:v>
                  </c:pt>
                  <c:pt idx="5">
                    <c:v>5th Reg Period</c:v>
                  </c:pt>
                  <c:pt idx="10">
                    <c:v>6th Reg Period</c:v>
                  </c:pt>
                </c:lvl>
              </c:multiLvlStrCache>
            </c:multiLvlStrRef>
          </c:cat>
          <c:val>
            <c:numRef>
              <c:f>'Dashboard - Data'!$D$14:$R$14</c:f>
              <c:numCache>
                <c:formatCode>General</c:formatCode>
                <c:ptCount val="15"/>
                <c:pt idx="10" formatCode="#,##0.00">
                  <c:v>127.25181310290964</c:v>
                </c:pt>
                <c:pt idx="11" formatCode="#,##0.00">
                  <c:v>127.25181310290964</c:v>
                </c:pt>
                <c:pt idx="12" formatCode="#,##0.00">
                  <c:v>127.25181310290964</c:v>
                </c:pt>
                <c:pt idx="13" formatCode="#,##0.00">
                  <c:v>127.25181310290964</c:v>
                </c:pt>
                <c:pt idx="14" formatCode="#,##0.00">
                  <c:v>127.25181310290964</c:v>
                </c:pt>
              </c:numCache>
            </c:numRef>
          </c:val>
          <c:smooth val="0"/>
          <c:extLst>
            <c:ext xmlns:c16="http://schemas.microsoft.com/office/drawing/2014/chart" uri="{C3380CC4-5D6E-409C-BE32-E72D297353CC}">
              <c16:uniqueId val="{00000001-4770-4004-BAFC-007409D186A0}"/>
            </c:ext>
          </c:extLst>
        </c:ser>
        <c:dLbls>
          <c:showLegendKey val="0"/>
          <c:showVal val="0"/>
          <c:showCatName val="0"/>
          <c:showSerName val="0"/>
          <c:showPercent val="0"/>
          <c:showBubbleSize val="0"/>
        </c:dLbls>
        <c:marker val="1"/>
        <c:smooth val="0"/>
        <c:axId val="608612336"/>
        <c:axId val="608614296"/>
      </c:lineChart>
      <c:catAx>
        <c:axId val="608612336"/>
        <c:scaling>
          <c:orientation val="minMax"/>
        </c:scaling>
        <c:delete val="0"/>
        <c:axPos val="b"/>
        <c:numFmt formatCode="General" sourceLinked="0"/>
        <c:majorTickMark val="none"/>
        <c:minorTickMark val="none"/>
        <c:tickLblPos val="nextTo"/>
        <c:crossAx val="608614296"/>
        <c:crosses val="autoZero"/>
        <c:auto val="1"/>
        <c:lblAlgn val="ctr"/>
        <c:lblOffset val="100"/>
        <c:noMultiLvlLbl val="0"/>
      </c:catAx>
      <c:valAx>
        <c:axId val="608614296"/>
        <c:scaling>
          <c:orientation val="minMax"/>
        </c:scaling>
        <c:delete val="0"/>
        <c:axPos val="l"/>
        <c:majorGridlines/>
        <c:numFmt formatCode="#,##0.00" sourceLinked="1"/>
        <c:majorTickMark val="none"/>
        <c:minorTickMark val="none"/>
        <c:tickLblPos val="nextTo"/>
        <c:spPr>
          <a:ln w="9525">
            <a:noFill/>
          </a:ln>
        </c:spPr>
        <c:crossAx val="608612336"/>
        <c:crosses val="autoZero"/>
        <c:crossBetween val="between"/>
      </c:valAx>
    </c:plotArea>
    <c:legend>
      <c:legendPos val="b"/>
      <c:legendEntry>
        <c:idx val="0"/>
        <c:delete val="1"/>
      </c:legendEntry>
      <c:legendEntry>
        <c:idx val="1"/>
        <c:delete val="1"/>
      </c:legendEntry>
      <c:legendEntry>
        <c:idx val="2"/>
        <c:delete val="1"/>
      </c:legendEntry>
      <c:legendEntry>
        <c:idx val="4"/>
        <c:delete val="1"/>
      </c:legendEntry>
      <c:legendEntry>
        <c:idx val="5"/>
        <c:delete val="1"/>
      </c:legendEntry>
      <c:layout>
        <c:manualLayout>
          <c:xMode val="edge"/>
          <c:yMode val="edge"/>
          <c:x val="0.37434906526254769"/>
          <c:y val="0.91425755225584382"/>
          <c:w val="0.2603605970746844"/>
          <c:h val="5.9834684904738644E-2"/>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Differences between regulatory period 4 and regulatory period 5 ($m)</a:t>
            </a:r>
          </a:p>
        </c:rich>
      </c:tx>
      <c:overlay val="0"/>
    </c:title>
    <c:autoTitleDeleted val="0"/>
    <c:plotArea>
      <c:layout/>
      <c:barChart>
        <c:barDir val="col"/>
        <c:grouping val="clustered"/>
        <c:varyColors val="0"/>
        <c:ser>
          <c:idx val="0"/>
          <c:order val="0"/>
          <c:tx>
            <c:strRef>
              <c:f>'Dashboard - Data'!$C$37</c:f>
              <c:strCache>
                <c:ptCount val="1"/>
                <c:pt idx="0">
                  <c:v>4th regulatory period</c:v>
                </c:pt>
              </c:strCache>
            </c:strRef>
          </c:tx>
          <c:invertIfNegative val="0"/>
          <c:cat>
            <c:strRef>
              <c:f>'Dashboard - Data'!$D$36:$F$36</c:f>
              <c:strCache>
                <c:ptCount val="3"/>
                <c:pt idx="0">
                  <c:v>Total revenue requirement </c:v>
                </c:pt>
                <c:pt idx="1">
                  <c:v>Total operating expenditure</c:v>
                </c:pt>
                <c:pt idx="2">
                  <c:v>Total capital expenditure</c:v>
                </c:pt>
              </c:strCache>
            </c:strRef>
          </c:cat>
          <c:val>
            <c:numRef>
              <c:f>'Dashboard - Data'!$D$37:$F$37</c:f>
              <c:numCache>
                <c:formatCode>_(* #,##0.00_);_(* \(#,##0.00\);_(* "-"??_);_(@_)</c:formatCode>
                <c:ptCount val="3"/>
                <c:pt idx="0">
                  <c:v>496.31987138226441</c:v>
                </c:pt>
                <c:pt idx="1">
                  <c:v>340.62847268514906</c:v>
                </c:pt>
                <c:pt idx="2" formatCode="0.00">
                  <c:v>158.04067815295605</c:v>
                </c:pt>
              </c:numCache>
            </c:numRef>
          </c:val>
          <c:extLst>
            <c:ext xmlns:c16="http://schemas.microsoft.com/office/drawing/2014/chart" uri="{C3380CC4-5D6E-409C-BE32-E72D297353CC}">
              <c16:uniqueId val="{00000000-FBC1-4D18-A7C1-877270A589B7}"/>
            </c:ext>
          </c:extLst>
        </c:ser>
        <c:ser>
          <c:idx val="1"/>
          <c:order val="1"/>
          <c:tx>
            <c:strRef>
              <c:f>'Dashboard - Data'!$C$38</c:f>
              <c:strCache>
                <c:ptCount val="1"/>
                <c:pt idx="0">
                  <c:v>5th regulatory period</c:v>
                </c:pt>
              </c:strCache>
            </c:strRef>
          </c:tx>
          <c:invertIfNegative val="0"/>
          <c:cat>
            <c:strRef>
              <c:f>'Dashboard - Data'!$D$36:$F$36</c:f>
              <c:strCache>
                <c:ptCount val="3"/>
                <c:pt idx="0">
                  <c:v>Total revenue requirement </c:v>
                </c:pt>
                <c:pt idx="1">
                  <c:v>Total operating expenditure</c:v>
                </c:pt>
                <c:pt idx="2">
                  <c:v>Total capital expenditure</c:v>
                </c:pt>
              </c:strCache>
            </c:strRef>
          </c:cat>
          <c:val>
            <c:numRef>
              <c:f>'Dashboard - Data'!$D$38:$F$38</c:f>
              <c:numCache>
                <c:formatCode>_(* #,##0.00_);_(* \(#,##0.00\);_(* "-"??_);_(@_)</c:formatCode>
                <c:ptCount val="3"/>
                <c:pt idx="0">
                  <c:v>549.18799075848347</c:v>
                </c:pt>
                <c:pt idx="1">
                  <c:v>375.23616322400574</c:v>
                </c:pt>
                <c:pt idx="2" formatCode="0.00">
                  <c:v>256.00370000000004</c:v>
                </c:pt>
              </c:numCache>
            </c:numRef>
          </c:val>
          <c:extLst>
            <c:ext xmlns:c16="http://schemas.microsoft.com/office/drawing/2014/chart" uri="{C3380CC4-5D6E-409C-BE32-E72D297353CC}">
              <c16:uniqueId val="{00000001-FBC1-4D18-A7C1-877270A589B7}"/>
            </c:ext>
          </c:extLst>
        </c:ser>
        <c:dLbls>
          <c:showLegendKey val="0"/>
          <c:showVal val="0"/>
          <c:showCatName val="0"/>
          <c:showSerName val="0"/>
          <c:showPercent val="0"/>
          <c:showBubbleSize val="0"/>
        </c:dLbls>
        <c:gapWidth val="75"/>
        <c:overlap val="-25"/>
        <c:axId val="608618608"/>
        <c:axId val="608617824"/>
      </c:barChart>
      <c:catAx>
        <c:axId val="608618608"/>
        <c:scaling>
          <c:orientation val="minMax"/>
        </c:scaling>
        <c:delete val="0"/>
        <c:axPos val="b"/>
        <c:numFmt formatCode="General" sourceLinked="0"/>
        <c:majorTickMark val="none"/>
        <c:minorTickMark val="none"/>
        <c:tickLblPos val="nextTo"/>
        <c:crossAx val="608617824"/>
        <c:crosses val="autoZero"/>
        <c:auto val="1"/>
        <c:lblAlgn val="ctr"/>
        <c:lblOffset val="100"/>
        <c:noMultiLvlLbl val="0"/>
      </c:catAx>
      <c:valAx>
        <c:axId val="608617824"/>
        <c:scaling>
          <c:orientation val="minMax"/>
        </c:scaling>
        <c:delete val="0"/>
        <c:axPos val="l"/>
        <c:majorGridlines/>
        <c:numFmt formatCode="_(* #,##0.00_);_(* \(#,##0.00\);_(* &quot;-&quot;??_);_(@_)" sourceLinked="1"/>
        <c:majorTickMark val="none"/>
        <c:minorTickMark val="none"/>
        <c:tickLblPos val="nextTo"/>
        <c:spPr>
          <a:ln w="9525">
            <a:noFill/>
          </a:ln>
        </c:spPr>
        <c:crossAx val="60861860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Total</a:t>
            </a:r>
            <a:r>
              <a:rPr lang="en-AU" baseline="0"/>
              <a:t> tariff revenue - Fixed vs Variable ($m)</a:t>
            </a:r>
            <a:endParaRPr lang="en-AU"/>
          </a:p>
        </c:rich>
      </c:tx>
      <c:overlay val="0"/>
    </c:title>
    <c:autoTitleDeleted val="0"/>
    <c:plotArea>
      <c:layout/>
      <c:barChart>
        <c:barDir val="col"/>
        <c:grouping val="stacked"/>
        <c:varyColors val="0"/>
        <c:ser>
          <c:idx val="0"/>
          <c:order val="0"/>
          <c:tx>
            <c:strRef>
              <c:f>'Dashboard - Data'!$C$30</c:f>
              <c:strCache>
                <c:ptCount val="1"/>
                <c:pt idx="0">
                  <c:v>Fixed </c:v>
                </c:pt>
              </c:strCache>
            </c:strRef>
          </c:tx>
          <c:invertIfNegative val="0"/>
          <c:cat>
            <c:strRef>
              <c:f>'Dashboard - Data'!$D$29:$R$29</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Data'!$D$30:$R$30</c:f>
              <c:numCache>
                <c:formatCode>0.00</c:formatCode>
                <c:ptCount val="15"/>
                <c:pt idx="0">
                  <c:v>62.910853079999988</c:v>
                </c:pt>
                <c:pt idx="1">
                  <c:v>63.226123340000008</c:v>
                </c:pt>
                <c:pt idx="2">
                  <c:v>64.45735028999998</c:v>
                </c:pt>
                <c:pt idx="3">
                  <c:v>64.78841577</c:v>
                </c:pt>
                <c:pt idx="4">
                  <c:v>67.518041921309973</c:v>
                </c:pt>
                <c:pt idx="5">
                  <c:v>68.944781915192451</c:v>
                </c:pt>
                <c:pt idx="6">
                  <c:v>71.086256043175055</c:v>
                </c:pt>
                <c:pt idx="7">
                  <c:v>73.307399200696281</c:v>
                </c:pt>
                <c:pt idx="8">
                  <c:v>75.599558506890119</c:v>
                </c:pt>
                <c:pt idx="9">
                  <c:v>77.965015280290984</c:v>
                </c:pt>
                <c:pt idx="10">
                  <c:v>80.406124227472972</c:v>
                </c:pt>
                <c:pt idx="11">
                  <c:v>82.925315805385196</c:v>
                </c:pt>
                <c:pt idx="12">
                  <c:v>85.52509865975756</c:v>
                </c:pt>
                <c:pt idx="13">
                  <c:v>88.208062142026805</c:v>
                </c:pt>
                <c:pt idx="14">
                  <c:v>90.9768789073119</c:v>
                </c:pt>
              </c:numCache>
            </c:numRef>
          </c:val>
          <c:extLst>
            <c:ext xmlns:c16="http://schemas.microsoft.com/office/drawing/2014/chart" uri="{C3380CC4-5D6E-409C-BE32-E72D297353CC}">
              <c16:uniqueId val="{00000000-22FE-497D-BC37-18FE3A0FD4EC}"/>
            </c:ext>
          </c:extLst>
        </c:ser>
        <c:ser>
          <c:idx val="1"/>
          <c:order val="1"/>
          <c:tx>
            <c:strRef>
              <c:f>'Dashboard - Data'!$C$31</c:f>
              <c:strCache>
                <c:ptCount val="1"/>
                <c:pt idx="0">
                  <c:v>Variable</c:v>
                </c:pt>
              </c:strCache>
            </c:strRef>
          </c:tx>
          <c:invertIfNegative val="0"/>
          <c:cat>
            <c:strRef>
              <c:f>'Dashboard - Data'!$D$29:$R$29</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Data'!$D$31:$R$31</c:f>
              <c:numCache>
                <c:formatCode>0.00</c:formatCode>
                <c:ptCount val="15"/>
                <c:pt idx="0">
                  <c:v>31.593825895589596</c:v>
                </c:pt>
                <c:pt idx="1">
                  <c:v>30.231441820541004</c:v>
                </c:pt>
                <c:pt idx="2">
                  <c:v>30.109109713635203</c:v>
                </c:pt>
                <c:pt idx="3">
                  <c:v>31.036270415703338</c:v>
                </c:pt>
                <c:pt idx="4">
                  <c:v>33.297772030607703</c:v>
                </c:pt>
                <c:pt idx="5">
                  <c:v>34.814491096309716</c:v>
                </c:pt>
                <c:pt idx="6">
                  <c:v>35.805503840927827</c:v>
                </c:pt>
                <c:pt idx="7">
                  <c:v>36.856073412521233</c:v>
                </c:pt>
                <c:pt idx="8">
                  <c:v>37.937771987486052</c:v>
                </c:pt>
                <c:pt idx="9">
                  <c:v>38.836344557179324</c:v>
                </c:pt>
                <c:pt idx="10">
                  <c:v>39.757108159107503</c:v>
                </c:pt>
                <c:pt idx="11">
                  <c:v>40.700634509135732</c:v>
                </c:pt>
                <c:pt idx="12">
                  <c:v>41.667510648375931</c:v>
                </c:pt>
                <c:pt idx="13">
                  <c:v>42.658339368456659</c:v>
                </c:pt>
                <c:pt idx="14">
                  <c:v>43.673739648934699</c:v>
                </c:pt>
              </c:numCache>
            </c:numRef>
          </c:val>
          <c:extLst>
            <c:ext xmlns:c16="http://schemas.microsoft.com/office/drawing/2014/chart" uri="{C3380CC4-5D6E-409C-BE32-E72D297353CC}">
              <c16:uniqueId val="{00000001-22FE-497D-BC37-18FE3A0FD4EC}"/>
            </c:ext>
          </c:extLst>
        </c:ser>
        <c:dLbls>
          <c:showLegendKey val="0"/>
          <c:showVal val="0"/>
          <c:showCatName val="0"/>
          <c:showSerName val="0"/>
          <c:showPercent val="0"/>
          <c:showBubbleSize val="0"/>
        </c:dLbls>
        <c:gapWidth val="75"/>
        <c:overlap val="100"/>
        <c:axId val="608617040"/>
        <c:axId val="608615864"/>
      </c:barChart>
      <c:catAx>
        <c:axId val="608617040"/>
        <c:scaling>
          <c:orientation val="minMax"/>
        </c:scaling>
        <c:delete val="0"/>
        <c:axPos val="b"/>
        <c:numFmt formatCode="General" sourceLinked="0"/>
        <c:majorTickMark val="none"/>
        <c:minorTickMark val="none"/>
        <c:tickLblPos val="nextTo"/>
        <c:crossAx val="608615864"/>
        <c:crosses val="autoZero"/>
        <c:auto val="1"/>
        <c:lblAlgn val="ctr"/>
        <c:lblOffset val="100"/>
        <c:noMultiLvlLbl val="0"/>
      </c:catAx>
      <c:valAx>
        <c:axId val="608615864"/>
        <c:scaling>
          <c:orientation val="minMax"/>
        </c:scaling>
        <c:delete val="0"/>
        <c:axPos val="l"/>
        <c:majorGridlines/>
        <c:numFmt formatCode="0.00" sourceLinked="1"/>
        <c:majorTickMark val="none"/>
        <c:minorTickMark val="none"/>
        <c:tickLblPos val="nextTo"/>
        <c:spPr>
          <a:ln w="9525">
            <a:noFill/>
          </a:ln>
        </c:spPr>
        <c:crossAx val="60861704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Totex per water connections</a:t>
            </a:r>
          </a:p>
        </c:rich>
      </c:tx>
      <c:overlay val="0"/>
    </c:title>
    <c:autoTitleDeleted val="0"/>
    <c:plotArea>
      <c:layout/>
      <c:lineChart>
        <c:grouping val="standard"/>
        <c:varyColors val="0"/>
        <c:ser>
          <c:idx val="0"/>
          <c:order val="0"/>
          <c:tx>
            <c:strRef>
              <c:f>'Dashboard - Data'!$C$97</c:f>
              <c:strCache>
                <c:ptCount val="1"/>
                <c:pt idx="0">
                  <c:v>Total prescribed expenditure per water connections</c:v>
                </c:pt>
              </c:strCache>
            </c:strRef>
          </c:tx>
          <c:marker>
            <c:symbol val="none"/>
          </c:marker>
          <c:cat>
            <c:strRef>
              <c:f>'Dashboard - Data'!$D$96:$R$96</c:f>
              <c:strCache>
                <c:ptCount val="15"/>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pt idx="14">
                  <c:v>2032-33</c:v>
                </c:pt>
              </c:strCache>
            </c:strRef>
          </c:cat>
          <c:val>
            <c:numRef>
              <c:f>'Dashboard - Data'!$D$97:$R$97</c:f>
              <c:numCache>
                <c:formatCode>0.00</c:formatCode>
                <c:ptCount val="15"/>
                <c:pt idx="0">
                  <c:v>1392.4949065211667</c:v>
                </c:pt>
                <c:pt idx="1">
                  <c:v>1376.3264884300781</c:v>
                </c:pt>
                <c:pt idx="2">
                  <c:v>1236.668322131924</c:v>
                </c:pt>
                <c:pt idx="3">
                  <c:v>1306.0378327701717</c:v>
                </c:pt>
                <c:pt idx="4">
                  <c:v>1393.5771708273978</c:v>
                </c:pt>
                <c:pt idx="5">
                  <c:v>1481.6027490482056</c:v>
                </c:pt>
                <c:pt idx="6">
                  <c:v>1501.7617410173129</c:v>
                </c:pt>
                <c:pt idx="7">
                  <c:v>1509.0513496972906</c:v>
                </c:pt>
                <c:pt idx="8">
                  <c:v>1526.9900957485384</c:v>
                </c:pt>
                <c:pt idx="9">
                  <c:v>1551.6795350852813</c:v>
                </c:pt>
                <c:pt idx="10">
                  <c:v>1957.6507234635001</c:v>
                </c:pt>
                <c:pt idx="11">
                  <c:v>1886.1316224071963</c:v>
                </c:pt>
                <c:pt idx="12">
                  <c:v>1562.4739851288293</c:v>
                </c:pt>
                <c:pt idx="13">
                  <c:v>1399.2430809373909</c:v>
                </c:pt>
                <c:pt idx="14">
                  <c:v>1498.7764928377837</c:v>
                </c:pt>
              </c:numCache>
            </c:numRef>
          </c:val>
          <c:smooth val="0"/>
          <c:extLst>
            <c:ext xmlns:c16="http://schemas.microsoft.com/office/drawing/2014/chart" uri="{C3380CC4-5D6E-409C-BE32-E72D297353CC}">
              <c16:uniqueId val="{00000000-B9BF-44AC-B426-38ECB6AEA6A9}"/>
            </c:ext>
          </c:extLst>
        </c:ser>
        <c:dLbls>
          <c:showLegendKey val="0"/>
          <c:showVal val="0"/>
          <c:showCatName val="0"/>
          <c:showSerName val="0"/>
          <c:showPercent val="0"/>
          <c:showBubbleSize val="0"/>
        </c:dLbls>
        <c:smooth val="0"/>
        <c:axId val="608611552"/>
        <c:axId val="608611944"/>
      </c:lineChart>
      <c:catAx>
        <c:axId val="608611552"/>
        <c:scaling>
          <c:orientation val="minMax"/>
        </c:scaling>
        <c:delete val="0"/>
        <c:axPos val="b"/>
        <c:numFmt formatCode="General" sourceLinked="0"/>
        <c:majorTickMark val="none"/>
        <c:minorTickMark val="none"/>
        <c:tickLblPos val="nextTo"/>
        <c:crossAx val="608611944"/>
        <c:crosses val="autoZero"/>
        <c:auto val="1"/>
        <c:lblAlgn val="ctr"/>
        <c:lblOffset val="100"/>
        <c:noMultiLvlLbl val="0"/>
      </c:catAx>
      <c:valAx>
        <c:axId val="608611944"/>
        <c:scaling>
          <c:orientation val="minMax"/>
        </c:scaling>
        <c:delete val="0"/>
        <c:axPos val="l"/>
        <c:majorGridlines/>
        <c:numFmt formatCode="0.00" sourceLinked="1"/>
        <c:majorTickMark val="none"/>
        <c:minorTickMark val="none"/>
        <c:tickLblPos val="nextTo"/>
        <c:spPr>
          <a:ln w="9525">
            <a:noFill/>
          </a:ln>
        </c:spPr>
        <c:crossAx val="60861155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Radio" checked="Checked" firstButton="1" fmlaLink="$I$48" lockText="1"/>
</file>

<file path=xl/ctrlProps/ctrlProp2.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2.xml"/><Relationship Id="rId13" Type="http://schemas.openxmlformats.org/officeDocument/2006/relationships/chart" Target="../charts/chart27.xml"/><Relationship Id="rId3" Type="http://schemas.openxmlformats.org/officeDocument/2006/relationships/chart" Target="../charts/chart17.xml"/><Relationship Id="rId7" Type="http://schemas.openxmlformats.org/officeDocument/2006/relationships/chart" Target="../charts/chart21.xml"/><Relationship Id="rId12" Type="http://schemas.openxmlformats.org/officeDocument/2006/relationships/chart" Target="../charts/chart26.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chart" Target="../charts/chart25.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5.xml"/><Relationship Id="rId3" Type="http://schemas.openxmlformats.org/officeDocument/2006/relationships/chart" Target="../charts/chart30.xml"/><Relationship Id="rId7" Type="http://schemas.openxmlformats.org/officeDocument/2006/relationships/chart" Target="../charts/chart34.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0</xdr:row>
      <xdr:rowOff>152400</xdr:rowOff>
    </xdr:from>
    <xdr:to>
      <xdr:col>2</xdr:col>
      <xdr:colOff>514350</xdr:colOff>
      <xdr:row>4</xdr:row>
      <xdr:rowOff>0</xdr:rowOff>
    </xdr:to>
    <xdr:pic>
      <xdr:nvPicPr>
        <xdr:cNvPr id="4" name="Picture 76">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152400"/>
          <a:ext cx="628650" cy="60960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57150</xdr:colOff>
          <xdr:row>47</xdr:row>
          <xdr:rowOff>0</xdr:rowOff>
        </xdr:from>
        <xdr:to>
          <xdr:col>9</xdr:col>
          <xdr:colOff>19050</xdr:colOff>
          <xdr:row>48</xdr:row>
          <xdr:rowOff>69850</xdr:rowOff>
        </xdr:to>
        <xdr:sp macro="" textlink="">
          <xdr:nvSpPr>
            <xdr:cNvPr id="22717" name="Option Button 189" hidden="1">
              <a:extLst>
                <a:ext uri="{63B3BB69-23CF-44E3-9099-C40C66FF867C}">
                  <a14:compatExt spid="_x0000_s22717"/>
                </a:ext>
                <a:ext uri="{FF2B5EF4-FFF2-40B4-BE49-F238E27FC236}">
                  <a16:creationId xmlns:a16="http://schemas.microsoft.com/office/drawing/2014/main" id="{00000000-0008-0000-0300-0000BD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48</xdr:row>
          <xdr:rowOff>133350</xdr:rowOff>
        </xdr:from>
        <xdr:to>
          <xdr:col>9</xdr:col>
          <xdr:colOff>19050</xdr:colOff>
          <xdr:row>50</xdr:row>
          <xdr:rowOff>69850</xdr:rowOff>
        </xdr:to>
        <xdr:sp macro="" textlink="">
          <xdr:nvSpPr>
            <xdr:cNvPr id="22718" name="Option Button 190" hidden="1">
              <a:extLst>
                <a:ext uri="{63B3BB69-23CF-44E3-9099-C40C66FF867C}">
                  <a14:compatExt spid="_x0000_s22718"/>
                </a:ext>
                <a:ext uri="{FF2B5EF4-FFF2-40B4-BE49-F238E27FC236}">
                  <a16:creationId xmlns:a16="http://schemas.microsoft.com/office/drawing/2014/main" id="{00000000-0008-0000-0300-0000BE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47625</xdr:colOff>
      <xdr:row>102</xdr:row>
      <xdr:rowOff>36579</xdr:rowOff>
    </xdr:from>
    <xdr:to>
      <xdr:col>19</xdr:col>
      <xdr:colOff>145677</xdr:colOff>
      <xdr:row>136</xdr:row>
      <xdr:rowOff>11205</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396240</xdr:colOff>
      <xdr:row>101</xdr:row>
      <xdr:rowOff>143483</xdr:rowOff>
    </xdr:from>
    <xdr:to>
      <xdr:col>34</xdr:col>
      <xdr:colOff>195360</xdr:colOff>
      <xdr:row>135</xdr:row>
      <xdr:rowOff>119790</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136</xdr:row>
      <xdr:rowOff>114299</xdr:rowOff>
    </xdr:from>
    <xdr:to>
      <xdr:col>19</xdr:col>
      <xdr:colOff>123825</xdr:colOff>
      <xdr:row>171</xdr:row>
      <xdr:rowOff>104775</xdr:rowOff>
    </xdr:to>
    <xdr:graphicFrame macro="">
      <xdr:nvGraphicFramePr>
        <xdr:cNvPr id="8" name="Chart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23</xdr:col>
      <xdr:colOff>171450</xdr:colOff>
      <xdr:row>9</xdr:row>
      <xdr:rowOff>133350</xdr:rowOff>
    </xdr:from>
    <xdr:to>
      <xdr:col>35</xdr:col>
      <xdr:colOff>514350</xdr:colOff>
      <xdr:row>29</xdr:row>
      <xdr:rowOff>147637</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36</xdr:col>
      <xdr:colOff>38100</xdr:colOff>
      <xdr:row>9</xdr:row>
      <xdr:rowOff>133350</xdr:rowOff>
    </xdr:from>
    <xdr:to>
      <xdr:col>48</xdr:col>
      <xdr:colOff>381000</xdr:colOff>
      <xdr:row>29</xdr:row>
      <xdr:rowOff>147637</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xdr:row>
      <xdr:rowOff>0</xdr:rowOff>
    </xdr:from>
    <xdr:to>
      <xdr:col>13</xdr:col>
      <xdr:colOff>50625</xdr:colOff>
      <xdr:row>29</xdr:row>
      <xdr:rowOff>28125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29</xdr:row>
      <xdr:rowOff>57150</xdr:rowOff>
    </xdr:from>
    <xdr:to>
      <xdr:col>13</xdr:col>
      <xdr:colOff>50625</xdr:colOff>
      <xdr:row>54</xdr:row>
      <xdr:rowOff>85275</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211928</xdr:colOff>
      <xdr:row>4</xdr:row>
      <xdr:rowOff>23813</xdr:rowOff>
    </xdr:from>
    <xdr:to>
      <xdr:col>37</xdr:col>
      <xdr:colOff>262553</xdr:colOff>
      <xdr:row>29</xdr:row>
      <xdr:rowOff>51938</xdr:rowOff>
    </xdr:to>
    <xdr:graphicFrame macro="">
      <xdr:nvGraphicFramePr>
        <xdr:cNvPr id="4" name="Chart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121443</xdr:colOff>
      <xdr:row>29</xdr:row>
      <xdr:rowOff>95249</xdr:rowOff>
    </xdr:from>
    <xdr:to>
      <xdr:col>25</xdr:col>
      <xdr:colOff>172068</xdr:colOff>
      <xdr:row>54</xdr:row>
      <xdr:rowOff>123374</xdr:rowOff>
    </xdr:to>
    <xdr:graphicFrame macro="">
      <xdr:nvGraphicFramePr>
        <xdr:cNvPr id="5" name="Chart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226218</xdr:colOff>
      <xdr:row>29</xdr:row>
      <xdr:rowOff>107156</xdr:rowOff>
    </xdr:from>
    <xdr:to>
      <xdr:col>37</xdr:col>
      <xdr:colOff>276843</xdr:colOff>
      <xdr:row>54</xdr:row>
      <xdr:rowOff>135281</xdr:rowOff>
    </xdr:to>
    <xdr:graphicFrame macro="">
      <xdr:nvGraphicFramePr>
        <xdr:cNvPr id="6" name="Chart 5">
          <a:extLst>
            <a:ext uri="{FF2B5EF4-FFF2-40B4-BE49-F238E27FC236}">
              <a16:creationId xmlns:a16="http://schemas.microsoft.com/office/drawing/2014/main" id="{00000000-0008-0000-1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55</xdr:row>
      <xdr:rowOff>11906</xdr:rowOff>
    </xdr:from>
    <xdr:to>
      <xdr:col>13</xdr:col>
      <xdr:colOff>50625</xdr:colOff>
      <xdr:row>80</xdr:row>
      <xdr:rowOff>40031</xdr:rowOff>
    </xdr:to>
    <xdr:graphicFrame macro="">
      <xdr:nvGraphicFramePr>
        <xdr:cNvPr id="7" name="Chart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126205</xdr:colOff>
      <xdr:row>55</xdr:row>
      <xdr:rowOff>30955</xdr:rowOff>
    </xdr:from>
    <xdr:to>
      <xdr:col>25</xdr:col>
      <xdr:colOff>176830</xdr:colOff>
      <xdr:row>80</xdr:row>
      <xdr:rowOff>59080</xdr:rowOff>
    </xdr:to>
    <xdr:graphicFrame macro="">
      <xdr:nvGraphicFramePr>
        <xdr:cNvPr id="8" name="Chart 7">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102393</xdr:colOff>
      <xdr:row>4</xdr:row>
      <xdr:rowOff>40481</xdr:rowOff>
    </xdr:from>
    <xdr:to>
      <xdr:col>25</xdr:col>
      <xdr:colOff>153018</xdr:colOff>
      <xdr:row>29</xdr:row>
      <xdr:rowOff>68606</xdr:rowOff>
    </xdr:to>
    <xdr:graphicFrame macro="">
      <xdr:nvGraphicFramePr>
        <xdr:cNvPr id="9" name="Chart 8">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25</xdr:col>
      <xdr:colOff>238123</xdr:colOff>
      <xdr:row>55</xdr:row>
      <xdr:rowOff>35718</xdr:rowOff>
    </xdr:from>
    <xdr:to>
      <xdr:col>37</xdr:col>
      <xdr:colOff>288748</xdr:colOff>
      <xdr:row>80</xdr:row>
      <xdr:rowOff>63843</xdr:rowOff>
    </xdr:to>
    <xdr:graphicFrame macro="">
      <xdr:nvGraphicFramePr>
        <xdr:cNvPr id="10" name="Chart 9">
          <a:extLst>
            <a:ext uri="{FF2B5EF4-FFF2-40B4-BE49-F238E27FC236}">
              <a16:creationId xmlns:a16="http://schemas.microsoft.com/office/drawing/2014/main" id="{00000000-0008-0000-1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4</xdr:row>
      <xdr:rowOff>0</xdr:rowOff>
    </xdr:from>
    <xdr:to>
      <xdr:col>13</xdr:col>
      <xdr:colOff>50625</xdr:colOff>
      <xdr:row>29</xdr:row>
      <xdr:rowOff>28125</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107155</xdr:colOff>
      <xdr:row>4</xdr:row>
      <xdr:rowOff>0</xdr:rowOff>
    </xdr:from>
    <xdr:to>
      <xdr:col>25</xdr:col>
      <xdr:colOff>157780</xdr:colOff>
      <xdr:row>29</xdr:row>
      <xdr:rowOff>28125</xdr:rowOff>
    </xdr:to>
    <xdr:graphicFrame macro="">
      <xdr:nvGraphicFramePr>
        <xdr:cNvPr id="3" name="Chart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29</xdr:row>
      <xdr:rowOff>88107</xdr:rowOff>
    </xdr:from>
    <xdr:to>
      <xdr:col>13</xdr:col>
      <xdr:colOff>50625</xdr:colOff>
      <xdr:row>54</xdr:row>
      <xdr:rowOff>116232</xdr:rowOff>
    </xdr:to>
    <xdr:graphicFrame macro="">
      <xdr:nvGraphicFramePr>
        <xdr:cNvPr id="4" name="Chart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111499</xdr:colOff>
      <xdr:row>29</xdr:row>
      <xdr:rowOff>103094</xdr:rowOff>
    </xdr:from>
    <xdr:to>
      <xdr:col>25</xdr:col>
      <xdr:colOff>162124</xdr:colOff>
      <xdr:row>54</xdr:row>
      <xdr:rowOff>131219</xdr:rowOff>
    </xdr:to>
    <xdr:graphicFrame macro="">
      <xdr:nvGraphicFramePr>
        <xdr:cNvPr id="5" name="Chart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204787</xdr:colOff>
      <xdr:row>4</xdr:row>
      <xdr:rowOff>0</xdr:rowOff>
    </xdr:from>
    <xdr:to>
      <xdr:col>37</xdr:col>
      <xdr:colOff>255412</xdr:colOff>
      <xdr:row>29</xdr:row>
      <xdr:rowOff>28125</xdr:rowOff>
    </xdr:to>
    <xdr:graphicFrame macro="">
      <xdr:nvGraphicFramePr>
        <xdr:cNvPr id="6" name="Chart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183356</xdr:colOff>
      <xdr:row>29</xdr:row>
      <xdr:rowOff>80961</xdr:rowOff>
    </xdr:from>
    <xdr:to>
      <xdr:col>37</xdr:col>
      <xdr:colOff>233981</xdr:colOff>
      <xdr:row>54</xdr:row>
      <xdr:rowOff>109086</xdr:rowOff>
    </xdr:to>
    <xdr:graphicFrame macro="">
      <xdr:nvGraphicFramePr>
        <xdr:cNvPr id="7" name="Chart 6">
          <a:extLst>
            <a:ext uri="{FF2B5EF4-FFF2-40B4-BE49-F238E27FC236}">
              <a16:creationId xmlns:a16="http://schemas.microsoft.com/office/drawing/2014/main"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55</xdr:row>
      <xdr:rowOff>59529</xdr:rowOff>
    </xdr:from>
    <xdr:to>
      <xdr:col>13</xdr:col>
      <xdr:colOff>50625</xdr:colOff>
      <xdr:row>80</xdr:row>
      <xdr:rowOff>87654</xdr:rowOff>
    </xdr:to>
    <xdr:graphicFrame macro="">
      <xdr:nvGraphicFramePr>
        <xdr:cNvPr id="8" name="Chart 7">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85726</xdr:colOff>
      <xdr:row>55</xdr:row>
      <xdr:rowOff>23812</xdr:rowOff>
    </xdr:from>
    <xdr:to>
      <xdr:col>25</xdr:col>
      <xdr:colOff>136351</xdr:colOff>
      <xdr:row>80</xdr:row>
      <xdr:rowOff>51937</xdr:rowOff>
    </xdr:to>
    <xdr:graphicFrame macro="">
      <xdr:nvGraphicFramePr>
        <xdr:cNvPr id="9" name="Chart 8">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25</xdr:col>
      <xdr:colOff>214311</xdr:colOff>
      <xdr:row>55</xdr:row>
      <xdr:rowOff>11907</xdr:rowOff>
    </xdr:from>
    <xdr:to>
      <xdr:col>37</xdr:col>
      <xdr:colOff>264936</xdr:colOff>
      <xdr:row>80</xdr:row>
      <xdr:rowOff>40032</xdr:rowOff>
    </xdr:to>
    <xdr:graphicFrame macro="">
      <xdr:nvGraphicFramePr>
        <xdr:cNvPr id="10" name="Chart 9">
          <a:extLst>
            <a:ext uri="{FF2B5EF4-FFF2-40B4-BE49-F238E27FC236}">
              <a16:creationId xmlns:a16="http://schemas.microsoft.com/office/drawing/2014/main" id="{00000000-0008-0000-1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81</xdr:row>
      <xdr:rowOff>11907</xdr:rowOff>
    </xdr:from>
    <xdr:to>
      <xdr:col>13</xdr:col>
      <xdr:colOff>50625</xdr:colOff>
      <xdr:row>106</xdr:row>
      <xdr:rowOff>40032</xdr:rowOff>
    </xdr:to>
    <xdr:graphicFrame macro="">
      <xdr:nvGraphicFramePr>
        <xdr:cNvPr id="11" name="Chart 10">
          <a:extLst>
            <a:ext uri="{FF2B5EF4-FFF2-40B4-BE49-F238E27FC236}">
              <a16:creationId xmlns:a16="http://schemas.microsoft.com/office/drawing/2014/main" id="{00000000-0008-0000-1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130967</xdr:colOff>
      <xdr:row>80</xdr:row>
      <xdr:rowOff>119062</xdr:rowOff>
    </xdr:from>
    <xdr:to>
      <xdr:col>25</xdr:col>
      <xdr:colOff>181592</xdr:colOff>
      <xdr:row>106</xdr:row>
      <xdr:rowOff>4312</xdr:rowOff>
    </xdr:to>
    <xdr:graphicFrame macro="">
      <xdr:nvGraphicFramePr>
        <xdr:cNvPr id="12" name="Chart 11">
          <a:extLst>
            <a:ext uri="{FF2B5EF4-FFF2-40B4-BE49-F238E27FC236}">
              <a16:creationId xmlns:a16="http://schemas.microsoft.com/office/drawing/2014/main" id="{00000000-0008-0000-1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226218</xdr:colOff>
      <xdr:row>80</xdr:row>
      <xdr:rowOff>122634</xdr:rowOff>
    </xdr:from>
    <xdr:to>
      <xdr:col>37</xdr:col>
      <xdr:colOff>276843</xdr:colOff>
      <xdr:row>106</xdr:row>
      <xdr:rowOff>7884</xdr:rowOff>
    </xdr:to>
    <xdr:graphicFrame macro="">
      <xdr:nvGraphicFramePr>
        <xdr:cNvPr id="13" name="Chart 12">
          <a:extLst>
            <a:ext uri="{FF2B5EF4-FFF2-40B4-BE49-F238E27FC236}">
              <a16:creationId xmlns:a16="http://schemas.microsoft.com/office/drawing/2014/main" id="{00000000-0008-0000-1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106</xdr:row>
      <xdr:rowOff>122634</xdr:rowOff>
    </xdr:from>
    <xdr:to>
      <xdr:col>13</xdr:col>
      <xdr:colOff>50625</xdr:colOff>
      <xdr:row>132</xdr:row>
      <xdr:rowOff>7884</xdr:rowOff>
    </xdr:to>
    <xdr:graphicFrame macro="">
      <xdr:nvGraphicFramePr>
        <xdr:cNvPr id="14" name="Chart 13">
          <a:extLst>
            <a:ext uri="{FF2B5EF4-FFF2-40B4-BE49-F238E27FC236}">
              <a16:creationId xmlns:a16="http://schemas.microsoft.com/office/drawing/2014/main" id="{00000000-0008-0000-1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4</xdr:row>
      <xdr:rowOff>0</xdr:rowOff>
    </xdr:from>
    <xdr:to>
      <xdr:col>13</xdr:col>
      <xdr:colOff>50625</xdr:colOff>
      <xdr:row>29</xdr:row>
      <xdr:rowOff>28125</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128586</xdr:colOff>
      <xdr:row>4</xdr:row>
      <xdr:rowOff>0</xdr:rowOff>
    </xdr:from>
    <xdr:to>
      <xdr:col>25</xdr:col>
      <xdr:colOff>179211</xdr:colOff>
      <xdr:row>29</xdr:row>
      <xdr:rowOff>28125</xdr:rowOff>
    </xdr:to>
    <xdr:graphicFrame macro="">
      <xdr:nvGraphicFramePr>
        <xdr:cNvPr id="3" name="Chart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273844</xdr:colOff>
      <xdr:row>4</xdr:row>
      <xdr:rowOff>0</xdr:rowOff>
    </xdr:from>
    <xdr:to>
      <xdr:col>37</xdr:col>
      <xdr:colOff>324469</xdr:colOff>
      <xdr:row>29</xdr:row>
      <xdr:rowOff>28125</xdr:rowOff>
    </xdr:to>
    <xdr:graphicFrame macro="">
      <xdr:nvGraphicFramePr>
        <xdr:cNvPr id="4" name="Chart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29</xdr:row>
      <xdr:rowOff>61912</xdr:rowOff>
    </xdr:from>
    <xdr:to>
      <xdr:col>13</xdr:col>
      <xdr:colOff>50625</xdr:colOff>
      <xdr:row>54</xdr:row>
      <xdr:rowOff>90037</xdr:rowOff>
    </xdr:to>
    <xdr:graphicFrame macro="">
      <xdr:nvGraphicFramePr>
        <xdr:cNvPr id="5" name="Chart 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142876</xdr:colOff>
      <xdr:row>29</xdr:row>
      <xdr:rowOff>76199</xdr:rowOff>
    </xdr:from>
    <xdr:to>
      <xdr:col>25</xdr:col>
      <xdr:colOff>193501</xdr:colOff>
      <xdr:row>54</xdr:row>
      <xdr:rowOff>104324</xdr:rowOff>
    </xdr:to>
    <xdr:graphicFrame macro="">
      <xdr:nvGraphicFramePr>
        <xdr:cNvPr id="6" name="Chart 5">
          <a:extLst>
            <a:ext uri="{FF2B5EF4-FFF2-40B4-BE49-F238E27FC236}">
              <a16:creationId xmlns:a16="http://schemas.microsoft.com/office/drawing/2014/main" id="{00000000-0008-0000-1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259557</xdr:colOff>
      <xdr:row>29</xdr:row>
      <xdr:rowOff>85723</xdr:rowOff>
    </xdr:from>
    <xdr:to>
      <xdr:col>37</xdr:col>
      <xdr:colOff>310182</xdr:colOff>
      <xdr:row>54</xdr:row>
      <xdr:rowOff>113848</xdr:rowOff>
    </xdr:to>
    <xdr:graphicFrame macro="">
      <xdr:nvGraphicFramePr>
        <xdr:cNvPr id="7" name="Chart 6">
          <a:extLst>
            <a:ext uri="{FF2B5EF4-FFF2-40B4-BE49-F238E27FC236}">
              <a16:creationId xmlns:a16="http://schemas.microsoft.com/office/drawing/2014/main" id="{00000000-0008-0000-1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55</xdr:row>
      <xdr:rowOff>23811</xdr:rowOff>
    </xdr:from>
    <xdr:to>
      <xdr:col>13</xdr:col>
      <xdr:colOff>50625</xdr:colOff>
      <xdr:row>80</xdr:row>
      <xdr:rowOff>51936</xdr:rowOff>
    </xdr:to>
    <xdr:graphicFrame macro="">
      <xdr:nvGraphicFramePr>
        <xdr:cNvPr id="8" name="Chart 7">
          <a:extLst>
            <a:ext uri="{FF2B5EF4-FFF2-40B4-BE49-F238E27FC236}">
              <a16:creationId xmlns:a16="http://schemas.microsoft.com/office/drawing/2014/main" id="{00000000-0008-0000-1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150018</xdr:colOff>
      <xdr:row>55</xdr:row>
      <xdr:rowOff>40480</xdr:rowOff>
    </xdr:from>
    <xdr:to>
      <xdr:col>25</xdr:col>
      <xdr:colOff>200643</xdr:colOff>
      <xdr:row>80</xdr:row>
      <xdr:rowOff>68605</xdr:rowOff>
    </xdr:to>
    <xdr:graphicFrame macro="">
      <xdr:nvGraphicFramePr>
        <xdr:cNvPr id="9" name="Chart 8">
          <a:extLst>
            <a:ext uri="{FF2B5EF4-FFF2-40B4-BE49-F238E27FC236}">
              <a16:creationId xmlns:a16="http://schemas.microsoft.com/office/drawing/2014/main" id="{00000000-0008-0000-1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v-files-01.sgwater.com.au\docs$\Water\2018%20Price%20Review\2018%20Price%20Review%20Modelling\005%20-%20Models%20used%20for%20the%20REVIEW\BW\BW_Price%20Review%20Template_Aug2017%20-%20v1.4_CLEAN_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KeyAssumptionsPriceControl_FO"/>
      <sheetName val="Expenditure_Detail"/>
      <sheetName val="Opex_FO"/>
      <sheetName val="Opex_Breakdown"/>
      <sheetName val="Capex_FO input"/>
      <sheetName val="Capex_FO_AC"/>
      <sheetName val="ExpSummary_FO"/>
      <sheetName val="RollForward_FO"/>
      <sheetName val="PrevPerAdj_FO"/>
      <sheetName val="RevenuePriceCap_FO"/>
      <sheetName val="RevenueTariffBasket_FO"/>
      <sheetName val="NotPres_FO"/>
      <sheetName val="Finance&amp;Tax_FO"/>
      <sheetName val="Rev&amp;RAV_FO"/>
      <sheetName val="Indicators_FO"/>
      <sheetName val="Outcomes"/>
      <sheetName val="GSL"/>
      <sheetName val="Dashboard - Pricing"/>
      <sheetName val="Dashboard - Opex"/>
      <sheetName val="Dashboard - Capex"/>
      <sheetName val="Dashboard data"/>
      <sheetName val="Determination_Lookup"/>
      <sheetName val="General_BL"/>
      <sheetName val="Household Bill"/>
    </sheetNames>
    <sheetDataSet>
      <sheetData sheetId="0" refreshError="1">
        <row r="7">
          <cell r="H7" t="str">
            <v>Barwon Water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9">
          <cell r="F9" t="str">
            <v>[Service]</v>
          </cell>
          <cell r="I9" t="str">
            <v>[Asset category]</v>
          </cell>
        </row>
        <row r="10">
          <cell r="C10" t="str">
            <v>Straight line</v>
          </cell>
          <cell r="F10" t="str">
            <v>Water</v>
          </cell>
          <cell r="I10" t="str">
            <v>Headworks</v>
          </cell>
        </row>
        <row r="11">
          <cell r="F11" t="str">
            <v>Sewerage</v>
          </cell>
          <cell r="I11" t="str">
            <v>Pipelines/network</v>
          </cell>
        </row>
        <row r="12">
          <cell r="F12" t="str">
            <v>Recycled Water</v>
          </cell>
          <cell r="I12" t="str">
            <v>Treatment</v>
          </cell>
        </row>
        <row r="13">
          <cell r="F13" t="str">
            <v>Rural water</v>
          </cell>
          <cell r="I13" t="str">
            <v>Corporate</v>
          </cell>
        </row>
        <row r="14">
          <cell r="F14" t="str">
            <v>Bulk Water</v>
          </cell>
        </row>
        <row r="24">
          <cell r="C24" t="str">
            <v>[Major Cost Driver]</v>
          </cell>
          <cell r="F24" t="str">
            <v>[Year finalised?]</v>
          </cell>
          <cell r="I24" t="str">
            <v>[Capital type]</v>
          </cell>
        </row>
        <row r="25">
          <cell r="C25" t="str">
            <v>Renewals</v>
          </cell>
          <cell r="F25" t="str">
            <v>Ongoing</v>
          </cell>
          <cell r="I25" t="str">
            <v>Top 10 Major Projects</v>
          </cell>
        </row>
        <row r="26">
          <cell r="C26" t="str">
            <v>Growth</v>
          </cell>
          <cell r="F26" t="str">
            <v>2018-19</v>
          </cell>
          <cell r="I26" t="str">
            <v>Significant projects</v>
          </cell>
        </row>
        <row r="27">
          <cell r="C27" t="str">
            <v>Improvements / Compliance</v>
          </cell>
          <cell r="F27" t="str">
            <v>2019-20</v>
          </cell>
          <cell r="I27" t="str">
            <v>Capital Programs / Allocation</v>
          </cell>
        </row>
        <row r="28">
          <cell r="F28" t="str">
            <v>2020-21</v>
          </cell>
          <cell r="I28" t="str">
            <v>Other Capital expenditure</v>
          </cell>
        </row>
        <row r="29">
          <cell r="F29" t="str">
            <v>2021-22</v>
          </cell>
        </row>
        <row r="30">
          <cell r="F30" t="str">
            <v>2022-23</v>
          </cell>
        </row>
        <row r="31">
          <cell r="F31" t="str">
            <v>2023-24</v>
          </cell>
        </row>
        <row r="32">
          <cell r="F32" t="str">
            <v>2024-25</v>
          </cell>
        </row>
        <row r="33">
          <cell r="F33" t="str">
            <v>2025-26</v>
          </cell>
        </row>
        <row r="34">
          <cell r="F34" t="str">
            <v>2026-27</v>
          </cell>
        </row>
        <row r="35">
          <cell r="F35" t="str">
            <v>2027-28</v>
          </cell>
        </row>
        <row r="40">
          <cell r="C40" t="str">
            <v>[Service]</v>
          </cell>
          <cell r="F40" t="str">
            <v>[Price]</v>
          </cell>
        </row>
        <row r="41">
          <cell r="C41" t="str">
            <v>Water</v>
          </cell>
          <cell r="F41" t="str">
            <v>Fixed</v>
          </cell>
        </row>
        <row r="42">
          <cell r="C42" t="str">
            <v>Sewerage</v>
          </cell>
          <cell r="F42" t="str">
            <v>Variable</v>
          </cell>
        </row>
        <row r="43">
          <cell r="C43" t="str">
            <v>Recycled Water</v>
          </cell>
        </row>
        <row r="44">
          <cell r="C44" t="str">
            <v>Trade Waste</v>
          </cell>
        </row>
        <row r="45">
          <cell r="C45" t="str">
            <v>Rural Water</v>
          </cell>
        </row>
        <row r="46">
          <cell r="C46" t="str">
            <v>Bulk Water</v>
          </cell>
        </row>
        <row r="55">
          <cell r="C55" t="str">
            <v>[Pricing Unit]</v>
          </cell>
        </row>
        <row r="56">
          <cell r="C56" t="str">
            <v>kL</v>
          </cell>
        </row>
        <row r="57">
          <cell r="C57" t="str">
            <v>cust</v>
          </cell>
        </row>
        <row r="58">
          <cell r="C58" t="str">
            <v>kg</v>
          </cell>
        </row>
        <row r="59">
          <cell r="C59" t="str">
            <v>Ml</v>
          </cell>
        </row>
        <row r="60">
          <cell r="C60">
            <v>0</v>
          </cell>
        </row>
        <row r="61">
          <cell r="C61">
            <v>0</v>
          </cell>
        </row>
        <row r="62">
          <cell r="C62">
            <v>0</v>
          </cell>
        </row>
        <row r="63">
          <cell r="C63">
            <v>0</v>
          </cell>
          <cell r="F63" t="str">
            <v>[Price]</v>
          </cell>
        </row>
        <row r="64">
          <cell r="C64">
            <v>0</v>
          </cell>
          <cell r="F64" t="str">
            <v>Price cap - Fixed</v>
          </cell>
        </row>
        <row r="65">
          <cell r="C65">
            <v>0</v>
          </cell>
          <cell r="F65" t="str">
            <v xml:space="preserve">Price cap - Variable </v>
          </cell>
        </row>
        <row r="66">
          <cell r="F66" t="str">
            <v xml:space="preserve">Revenue cap - Fixed </v>
          </cell>
        </row>
        <row r="67">
          <cell r="F67" t="str">
            <v>Revenue cap - Variable</v>
          </cell>
        </row>
      </sheetData>
      <sheetData sheetId="2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4.9989318521683403E-2"/>
    <pageSetUpPr autoPageBreaks="0"/>
  </sheetPr>
  <dimension ref="A1:IV42"/>
  <sheetViews>
    <sheetView showGridLines="0" zoomScaleNormal="100" workbookViewId="0">
      <pane ySplit="5" topLeftCell="A6" activePane="bottomLeft" state="frozen"/>
      <selection pane="bottomLeft"/>
    </sheetView>
  </sheetViews>
  <sheetFormatPr defaultColWidth="10.77734375" defaultRowHeight="13" outlineLevelCol="1" x14ac:dyDescent="0.3"/>
  <cols>
    <col min="1" max="1" width="3.44140625" style="3" customWidth="1"/>
    <col min="2" max="2" width="6.109375" style="3" customWidth="1"/>
    <col min="3" max="3" width="12" style="3" customWidth="1"/>
    <col min="4" max="4" width="72.77734375" style="3" customWidth="1"/>
    <col min="5" max="5" width="10" style="3" customWidth="1"/>
    <col min="6" max="6" width="4.33203125" style="3" customWidth="1"/>
    <col min="7" max="7" width="16.77734375" style="3" customWidth="1"/>
    <col min="8" max="8" width="44" style="3" customWidth="1"/>
    <col min="9" max="9" width="10.77734375" style="3" customWidth="1"/>
    <col min="10" max="10" width="7.33203125" style="3" customWidth="1"/>
    <col min="11" max="12" width="10" style="3" customWidth="1"/>
    <col min="13" max="13" width="16.44140625" style="8" hidden="1" customWidth="1" outlineLevel="1"/>
    <col min="14" max="14" width="24.33203125" style="9" hidden="1" customWidth="1" outlineLevel="1"/>
    <col min="15" max="15" width="8.44140625" style="10" hidden="1" customWidth="1" outlineLevel="1"/>
    <col min="16" max="18" width="10.77734375" style="10" hidden="1" customWidth="1" outlineLevel="1"/>
    <col min="19" max="19" width="10" style="3" customWidth="1" collapsed="1"/>
    <col min="20" max="20" width="10" style="3" customWidth="1"/>
    <col min="21" max="21" width="11.44140625" style="3" customWidth="1"/>
    <col min="22" max="256" width="10" style="3" customWidth="1"/>
    <col min="257" max="16384" width="10.77734375" style="3"/>
  </cols>
  <sheetData>
    <row r="1" spans="1:256" s="1" customFormat="1" ht="14.5" x14ac:dyDescent="0.35">
      <c r="A1" s="5">
        <v>80</v>
      </c>
      <c r="B1" s="6"/>
      <c r="C1" s="7"/>
      <c r="D1" s="7"/>
      <c r="E1" s="7"/>
      <c r="F1" s="7"/>
      <c r="G1" s="7"/>
      <c r="H1" s="6"/>
      <c r="I1" s="6"/>
      <c r="J1" s="6"/>
      <c r="K1" s="6"/>
      <c r="L1" s="6"/>
      <c r="M1" s="8" t="s">
        <v>436</v>
      </c>
      <c r="N1" s="9"/>
      <c r="O1" s="10"/>
      <c r="P1" s="10"/>
      <c r="Q1" s="10"/>
      <c r="R1" s="10"/>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6" s="1" customFormat="1" ht="14.5" x14ac:dyDescent="0.35">
      <c r="A2" s="5"/>
      <c r="B2" s="11"/>
      <c r="C2" s="7"/>
      <c r="D2" s="12" t="s">
        <v>584</v>
      </c>
      <c r="E2" s="7"/>
      <c r="F2" s="7"/>
      <c r="G2" s="7"/>
      <c r="H2" s="6"/>
      <c r="I2" s="6"/>
      <c r="J2" s="6"/>
      <c r="K2" s="6"/>
      <c r="L2" s="6"/>
      <c r="M2" s="8"/>
      <c r="N2" s="13"/>
      <c r="O2" s="14"/>
      <c r="P2" s="14"/>
      <c r="Q2" s="14"/>
      <c r="R2" s="10"/>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row>
    <row r="3" spans="1:256" s="1" customFormat="1" ht="14.5" x14ac:dyDescent="0.35">
      <c r="A3" s="5"/>
      <c r="B3" s="11"/>
      <c r="C3" s="6"/>
      <c r="D3" s="15" t="s">
        <v>902</v>
      </c>
      <c r="E3" s="7"/>
      <c r="F3" s="7"/>
      <c r="G3" s="7"/>
      <c r="H3" s="6"/>
      <c r="I3" s="6"/>
      <c r="J3" s="6"/>
      <c r="K3" s="6"/>
      <c r="L3" s="6"/>
      <c r="M3" s="8"/>
      <c r="N3" s="16"/>
      <c r="O3" s="16"/>
      <c r="P3" s="16"/>
      <c r="Q3" s="16"/>
      <c r="R3" s="10"/>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pans="1:256" s="1" customFormat="1" ht="14.5" x14ac:dyDescent="0.35">
      <c r="A4" s="5"/>
      <c r="B4" s="11"/>
      <c r="C4" s="6"/>
      <c r="D4" s="15" t="s">
        <v>389</v>
      </c>
      <c r="E4" s="7"/>
      <c r="F4" s="7"/>
      <c r="G4" s="7"/>
      <c r="H4" s="6"/>
      <c r="I4" s="6"/>
      <c r="J4" s="6"/>
      <c r="K4" s="6"/>
      <c r="L4" s="6"/>
      <c r="M4" s="8"/>
      <c r="N4" s="9"/>
      <c r="O4" s="10"/>
      <c r="P4" s="10"/>
      <c r="Q4" s="10"/>
      <c r="R4" s="10"/>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6" s="1" customFormat="1" ht="14.5" x14ac:dyDescent="0.3">
      <c r="A5" s="5"/>
      <c r="B5" s="11"/>
      <c r="C5" s="6"/>
      <c r="D5" s="6"/>
      <c r="E5" s="6"/>
      <c r="F5" s="6"/>
      <c r="G5" s="6"/>
      <c r="H5" s="6"/>
      <c r="I5" s="6"/>
      <c r="J5" s="6"/>
      <c r="K5" s="6"/>
      <c r="L5" s="6"/>
      <c r="M5" s="8"/>
      <c r="N5" s="9"/>
      <c r="O5" s="10"/>
      <c r="P5" s="10"/>
      <c r="Q5" s="10"/>
      <c r="R5" s="10"/>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6" ht="14.5" x14ac:dyDescent="0.35">
      <c r="B6" s="17"/>
      <c r="C6" s="18"/>
      <c r="D6" s="18"/>
      <c r="E6" s="18"/>
      <c r="F6" s="18"/>
      <c r="G6" s="18"/>
      <c r="H6" s="18"/>
      <c r="I6" s="19"/>
      <c r="J6" s="19"/>
      <c r="K6" s="19"/>
      <c r="M6" s="20"/>
    </row>
    <row r="7" spans="1:256" ht="14.5" x14ac:dyDescent="0.35">
      <c r="B7" s="21" t="s">
        <v>1</v>
      </c>
      <c r="F7" s="22" t="s">
        <v>403</v>
      </c>
      <c r="H7" s="23" t="str">
        <f>+N24</f>
        <v>Central Highlands Water</v>
      </c>
      <c r="I7" s="2354" t="str">
        <f>+O24</f>
        <v>CHW</v>
      </c>
      <c r="J7" s="2355"/>
      <c r="K7" s="19"/>
      <c r="M7" s="20"/>
    </row>
    <row r="8" spans="1:256" s="19" customFormat="1" ht="14.5" x14ac:dyDescent="0.35">
      <c r="A8" s="24"/>
      <c r="B8" s="25" t="s">
        <v>2</v>
      </c>
      <c r="F8" s="22" t="s">
        <v>404</v>
      </c>
      <c r="H8" s="23" t="s">
        <v>901</v>
      </c>
      <c r="I8" s="26"/>
      <c r="J8" s="26"/>
      <c r="M8" s="20"/>
      <c r="N8" s="27" t="s">
        <v>433</v>
      </c>
      <c r="O8" s="28" t="s">
        <v>416</v>
      </c>
      <c r="P8" s="27" t="s">
        <v>417</v>
      </c>
      <c r="Q8" s="27" t="s">
        <v>418</v>
      </c>
      <c r="R8" s="10"/>
    </row>
    <row r="9" spans="1:256" ht="14.5" x14ac:dyDescent="0.35">
      <c r="B9" s="29"/>
      <c r="E9" s="30"/>
      <c r="F9" s="22" t="s">
        <v>405</v>
      </c>
      <c r="G9" s="30"/>
      <c r="H9" s="23" t="str">
        <f>I7&amp;"_Price Review Template_"&amp;O9&amp;P9&amp;Q9</f>
        <v>CHW_Price Review Template_Oct2021 - v1</v>
      </c>
      <c r="I9" s="31"/>
      <c r="J9" s="31"/>
      <c r="L9" s="30"/>
      <c r="M9" s="20"/>
      <c r="N9" s="32" t="s">
        <v>434</v>
      </c>
      <c r="O9" s="33" t="s">
        <v>430</v>
      </c>
      <c r="P9" s="32">
        <v>2021</v>
      </c>
      <c r="Q9" s="34" t="s">
        <v>420</v>
      </c>
      <c r="R9" s="14" t="s">
        <v>421</v>
      </c>
    </row>
    <row r="10" spans="1:256" ht="17.25" customHeight="1" x14ac:dyDescent="0.35">
      <c r="B10" s="1268">
        <v>1</v>
      </c>
      <c r="C10" s="1269" t="s">
        <v>868</v>
      </c>
      <c r="D10" s="1269"/>
      <c r="E10" s="35"/>
      <c r="F10" s="22" t="s">
        <v>456</v>
      </c>
      <c r="G10" s="35"/>
      <c r="H10" s="23" t="str">
        <f>+N9&amp;" Decision"</f>
        <v>Draft Decision</v>
      </c>
      <c r="I10" s="36"/>
      <c r="J10" s="36"/>
      <c r="K10" s="2"/>
      <c r="L10" s="35"/>
      <c r="M10" s="20"/>
      <c r="N10" s="37" t="s">
        <v>434</v>
      </c>
      <c r="O10" s="38" t="s">
        <v>422</v>
      </c>
      <c r="P10" s="37">
        <v>2016</v>
      </c>
      <c r="Q10" s="39" t="s">
        <v>420</v>
      </c>
    </row>
    <row r="11" spans="1:256" ht="17.25" customHeight="1" x14ac:dyDescent="0.35">
      <c r="B11" s="1268">
        <v>2</v>
      </c>
      <c r="C11" s="2356" t="str">
        <f>+KeyAssumptionsPriceControl_FO!B1</f>
        <v>Key Assumptions Price Control</v>
      </c>
      <c r="D11" s="2356"/>
      <c r="E11" s="40"/>
      <c r="F11" s="35"/>
      <c r="G11" s="35"/>
      <c r="H11" s="2"/>
      <c r="I11" s="2"/>
      <c r="J11" s="2"/>
      <c r="K11" s="2"/>
      <c r="L11" s="35"/>
      <c r="M11" s="20"/>
      <c r="N11" s="37" t="s">
        <v>435</v>
      </c>
      <c r="O11" s="38" t="s">
        <v>423</v>
      </c>
      <c r="P11" s="37">
        <v>2017</v>
      </c>
      <c r="Q11" s="41"/>
      <c r="R11" s="14"/>
    </row>
    <row r="12" spans="1:256" ht="17.25" customHeight="1" x14ac:dyDescent="0.35">
      <c r="B12" s="1268">
        <v>3</v>
      </c>
      <c r="C12" s="1269" t="str">
        <f>+Expenditure_Detail!B1</f>
        <v>Expenditure - Detail</v>
      </c>
      <c r="D12" s="1269"/>
      <c r="E12" s="40"/>
      <c r="F12" s="42" t="s">
        <v>406</v>
      </c>
      <c r="G12" s="43"/>
      <c r="H12" s="43"/>
      <c r="I12" s="43"/>
      <c r="J12" s="43"/>
      <c r="L12" s="40"/>
      <c r="M12" s="20"/>
      <c r="N12" s="37"/>
      <c r="O12" s="38" t="s">
        <v>424</v>
      </c>
      <c r="P12" s="37">
        <v>2018</v>
      </c>
      <c r="Q12" s="39"/>
      <c r="R12" s="14"/>
    </row>
    <row r="13" spans="1:256" ht="17.25" customHeight="1" x14ac:dyDescent="0.35">
      <c r="B13" s="1268">
        <v>4</v>
      </c>
      <c r="C13" s="1269" t="str">
        <f>Opex_FO!B1</f>
        <v>Operating Expenditure - Forecast</v>
      </c>
      <c r="D13" s="1269"/>
      <c r="E13" s="40"/>
      <c r="F13" s="44"/>
      <c r="G13" s="45"/>
      <c r="H13" s="45"/>
      <c r="I13" s="45"/>
      <c r="J13" s="46"/>
      <c r="K13" s="2"/>
      <c r="L13" s="35"/>
      <c r="M13" s="20"/>
      <c r="N13" s="37"/>
      <c r="O13" s="38" t="s">
        <v>425</v>
      </c>
      <c r="P13" s="37">
        <v>2019</v>
      </c>
      <c r="Q13" s="39"/>
      <c r="R13" s="14"/>
    </row>
    <row r="14" spans="1:256" ht="17.25" customHeight="1" x14ac:dyDescent="0.35">
      <c r="B14" s="1268">
        <v>5</v>
      </c>
      <c r="C14" s="1269" t="str">
        <f>Opex_Breakdown!B1</f>
        <v>Operating Expenditure - Breakdown</v>
      </c>
      <c r="D14" s="1269"/>
      <c r="E14" s="40"/>
      <c r="F14" s="47"/>
      <c r="G14" s="48" t="s">
        <v>407</v>
      </c>
      <c r="H14" s="49" t="str">
        <f>+I7&amp;" - DATA INPUT CELL"</f>
        <v>CHW - DATA INPUT CELL</v>
      </c>
      <c r="I14" s="43"/>
      <c r="J14" s="50"/>
      <c r="L14" s="40"/>
      <c r="M14" s="20"/>
      <c r="N14" s="37"/>
      <c r="O14" s="38" t="s">
        <v>426</v>
      </c>
      <c r="P14" s="37">
        <v>2020</v>
      </c>
      <c r="Q14" s="39"/>
      <c r="R14" s="14"/>
    </row>
    <row r="15" spans="1:256" ht="17.25" customHeight="1" x14ac:dyDescent="0.35">
      <c r="B15" s="1268">
        <v>6</v>
      </c>
      <c r="C15" s="1269" t="str">
        <f>+'Capex_FO input'!B1</f>
        <v>Capital Expenditure - Forecast Input</v>
      </c>
      <c r="D15" s="1269"/>
      <c r="E15" s="40"/>
      <c r="F15" s="47"/>
      <c r="G15" s="51"/>
      <c r="H15" s="52"/>
      <c r="I15" s="43"/>
      <c r="J15" s="50"/>
      <c r="K15" s="2"/>
      <c r="L15" s="35"/>
      <c r="M15" s="20"/>
      <c r="N15" s="37"/>
      <c r="O15" s="38" t="s">
        <v>419</v>
      </c>
      <c r="P15" s="37">
        <v>2021</v>
      </c>
      <c r="Q15" s="39"/>
      <c r="R15" s="14"/>
    </row>
    <row r="16" spans="1:256" ht="17.25" customHeight="1" x14ac:dyDescent="0.35">
      <c r="B16" s="1268">
        <v>7</v>
      </c>
      <c r="C16" s="1269" t="str">
        <f>Capex_FO_AC!B1</f>
        <v>Capital Expenditure - Asset Category Breakdown</v>
      </c>
      <c r="D16" s="1270"/>
      <c r="E16" s="40"/>
      <c r="F16" s="47"/>
      <c r="G16" s="1400" t="s">
        <v>953</v>
      </c>
      <c r="H16" s="49" t="s">
        <v>408</v>
      </c>
      <c r="I16" s="43"/>
      <c r="J16" s="50"/>
      <c r="L16" s="40"/>
      <c r="M16" s="20"/>
      <c r="N16" s="37"/>
      <c r="O16" s="38" t="s">
        <v>427</v>
      </c>
      <c r="P16" s="37">
        <v>2022</v>
      </c>
      <c r="Q16" s="39"/>
      <c r="R16" s="14"/>
    </row>
    <row r="17" spans="2:18" ht="17.25" customHeight="1" x14ac:dyDescent="0.35">
      <c r="B17" s="1268">
        <v>8</v>
      </c>
      <c r="C17" s="1269" t="str">
        <f>ExpSummary_FO!B1</f>
        <v>Expenditure Summary</v>
      </c>
      <c r="D17" s="1269"/>
      <c r="E17" s="40"/>
      <c r="F17" s="47"/>
      <c r="G17" s="53"/>
      <c r="H17" s="52"/>
      <c r="I17" s="53"/>
      <c r="J17" s="50"/>
      <c r="L17" s="40"/>
      <c r="M17" s="20"/>
      <c r="N17" s="37"/>
      <c r="O17" s="38" t="s">
        <v>428</v>
      </c>
      <c r="P17" s="37">
        <v>2023</v>
      </c>
      <c r="Q17" s="39"/>
      <c r="R17" s="14"/>
    </row>
    <row r="18" spans="2:18" ht="17.25" customHeight="1" x14ac:dyDescent="0.35">
      <c r="B18" s="1268">
        <v>9</v>
      </c>
      <c r="C18" s="1269" t="str">
        <f>RollForward_FO!B1</f>
        <v>Rolled forward regulatory asset base (RAB)</v>
      </c>
      <c r="D18" s="1269"/>
      <c r="E18" s="40"/>
      <c r="F18" s="47"/>
      <c r="G18" s="54" t="s">
        <v>409</v>
      </c>
      <c r="H18" s="49" t="s">
        <v>567</v>
      </c>
      <c r="I18" s="43"/>
      <c r="J18" s="50"/>
      <c r="K18" s="2"/>
      <c r="L18" s="35"/>
      <c r="M18" s="20"/>
      <c r="N18" s="37"/>
      <c r="O18" s="38" t="s">
        <v>429</v>
      </c>
      <c r="P18" s="37"/>
      <c r="Q18" s="39"/>
      <c r="R18" s="14"/>
    </row>
    <row r="19" spans="2:18" ht="17.25" customHeight="1" x14ac:dyDescent="0.35">
      <c r="B19" s="1268">
        <v>10</v>
      </c>
      <c r="C19" s="1269" t="str">
        <f>PrevPerAdj_FO!B1</f>
        <v>Previous period adjustments</v>
      </c>
      <c r="D19" s="1269"/>
      <c r="E19" s="40"/>
      <c r="F19" s="47"/>
      <c r="G19" s="53"/>
      <c r="H19" s="52"/>
      <c r="I19" s="43"/>
      <c r="J19" s="50"/>
      <c r="L19" s="40"/>
      <c r="M19" s="20"/>
      <c r="N19" s="37"/>
      <c r="O19" s="38" t="s">
        <v>430</v>
      </c>
      <c r="P19" s="37"/>
      <c r="Q19" s="39"/>
      <c r="R19" s="14"/>
    </row>
    <row r="20" spans="2:18" ht="17.25" customHeight="1" x14ac:dyDescent="0.35">
      <c r="B20" s="1268">
        <v>11</v>
      </c>
      <c r="C20" s="1269" t="str">
        <f>RevenuePriceCap_FO!C1</f>
        <v>Revenue forecast (price caps)</v>
      </c>
      <c r="D20" s="1269"/>
      <c r="E20" s="40"/>
      <c r="F20" s="47"/>
      <c r="G20" s="55" t="s">
        <v>410</v>
      </c>
      <c r="H20" s="49" t="s">
        <v>411</v>
      </c>
      <c r="I20" s="43"/>
      <c r="J20" s="50"/>
      <c r="L20" s="40"/>
      <c r="M20" s="20"/>
      <c r="N20" s="37"/>
      <c r="O20" s="38" t="s">
        <v>431</v>
      </c>
      <c r="P20" s="37"/>
      <c r="Q20" s="39"/>
      <c r="R20" s="14"/>
    </row>
    <row r="21" spans="2:18" ht="17.25" customHeight="1" x14ac:dyDescent="0.35">
      <c r="B21" s="1268">
        <v>12</v>
      </c>
      <c r="C21" s="1269" t="s">
        <v>236</v>
      </c>
      <c r="D21" s="1269"/>
      <c r="E21" s="40"/>
      <c r="F21" s="47"/>
      <c r="G21" s="51"/>
      <c r="H21" s="52"/>
      <c r="I21" s="43"/>
      <c r="J21" s="50"/>
      <c r="L21" s="40"/>
      <c r="M21" s="20"/>
      <c r="N21" s="37"/>
      <c r="O21" s="38" t="s">
        <v>432</v>
      </c>
      <c r="P21" s="37"/>
      <c r="Q21" s="39"/>
      <c r="R21" s="14"/>
    </row>
    <row r="22" spans="2:18" ht="17.25" customHeight="1" x14ac:dyDescent="0.35">
      <c r="B22" s="1268">
        <v>13</v>
      </c>
      <c r="C22" s="1269" t="str">
        <f>NotPres_FO!B1</f>
        <v>Non Prescribed Services</v>
      </c>
      <c r="D22" s="1269"/>
      <c r="E22" s="40"/>
      <c r="F22" s="47"/>
      <c r="G22" s="133" t="s">
        <v>412</v>
      </c>
      <c r="H22" s="49" t="s">
        <v>413</v>
      </c>
      <c r="I22" s="43"/>
      <c r="J22" s="50"/>
      <c r="L22" s="40"/>
      <c r="M22" s="20"/>
    </row>
    <row r="23" spans="2:18" ht="17.25" customHeight="1" x14ac:dyDescent="0.35">
      <c r="B23" s="1268">
        <v>14</v>
      </c>
      <c r="C23" s="1269" t="str">
        <f>'Finance&amp;Tax_FO'!B1</f>
        <v>Cash, debt and tax assumptions</v>
      </c>
      <c r="D23" s="1269"/>
      <c r="E23" s="40"/>
      <c r="F23" s="47"/>
      <c r="H23" s="52"/>
      <c r="I23" s="43"/>
      <c r="J23" s="50"/>
      <c r="L23" s="40"/>
      <c r="M23" s="20"/>
      <c r="N23" s="27" t="s">
        <v>455</v>
      </c>
      <c r="O23" s="9"/>
    </row>
    <row r="24" spans="2:18" ht="17.25" customHeight="1" x14ac:dyDescent="0.35">
      <c r="B24" s="1268">
        <v>15</v>
      </c>
      <c r="C24" s="1269" t="str">
        <f>'Rev&amp;RAV_FO'!B1</f>
        <v>Revenue requirement detail</v>
      </c>
      <c r="D24" s="1269"/>
      <c r="E24" s="40"/>
      <c r="F24" s="47"/>
      <c r="G24" s="56" t="s">
        <v>536</v>
      </c>
      <c r="H24" s="49" t="s">
        <v>867</v>
      </c>
      <c r="I24" s="43"/>
      <c r="J24" s="50"/>
      <c r="K24" s="2"/>
      <c r="L24" s="35"/>
      <c r="M24" s="20"/>
      <c r="N24" s="32" t="s">
        <v>380</v>
      </c>
      <c r="O24" s="57" t="str">
        <f>+VLOOKUP(N24,N25:O42,2,FALSE)</f>
        <v>CHW</v>
      </c>
    </row>
    <row r="25" spans="2:18" ht="17.25" customHeight="1" x14ac:dyDescent="0.35">
      <c r="B25" s="1268">
        <v>16</v>
      </c>
      <c r="C25" s="1269" t="str">
        <f>Indicators_FO!B1</f>
        <v>Financial indicators</v>
      </c>
      <c r="D25" s="1269"/>
      <c r="E25" s="40"/>
      <c r="F25" s="47"/>
      <c r="J25" s="50"/>
      <c r="L25" s="40"/>
      <c r="M25" s="20"/>
      <c r="N25" s="58" t="s">
        <v>377</v>
      </c>
      <c r="O25" s="39" t="s">
        <v>440</v>
      </c>
    </row>
    <row r="26" spans="2:18" ht="17.25" customHeight="1" x14ac:dyDescent="0.35">
      <c r="B26" s="1268">
        <v>17</v>
      </c>
      <c r="C26" s="1269" t="str">
        <f>Outcomes!B1</f>
        <v>Outcomes</v>
      </c>
      <c r="D26" s="1269"/>
      <c r="E26" s="40"/>
      <c r="F26" s="47"/>
      <c r="G26" s="59" t="s">
        <v>414</v>
      </c>
      <c r="H26" s="49" t="s">
        <v>415</v>
      </c>
      <c r="J26" s="50"/>
      <c r="L26" s="35"/>
      <c r="M26" s="20"/>
      <c r="N26" s="58" t="s">
        <v>380</v>
      </c>
      <c r="O26" s="39" t="s">
        <v>442</v>
      </c>
    </row>
    <row r="27" spans="2:18" ht="17.25" customHeight="1" x14ac:dyDescent="0.35">
      <c r="B27" s="1268">
        <v>18</v>
      </c>
      <c r="C27" s="1269" t="str">
        <f>GSL!B1</f>
        <v>Guaranteed Service Levels (GSL)</v>
      </c>
      <c r="D27" s="1269"/>
      <c r="F27" s="60"/>
      <c r="G27" s="61"/>
      <c r="H27" s="61"/>
      <c r="I27" s="61"/>
      <c r="J27" s="62"/>
      <c r="M27" s="20"/>
      <c r="N27" s="58" t="s">
        <v>1076</v>
      </c>
      <c r="O27" s="39" t="s">
        <v>1077</v>
      </c>
    </row>
    <row r="28" spans="2:18" ht="17.25" customHeight="1" x14ac:dyDescent="0.35">
      <c r="B28" s="1268">
        <v>19</v>
      </c>
      <c r="C28" s="1269" t="s">
        <v>869</v>
      </c>
      <c r="D28" s="1269"/>
      <c r="M28" s="20"/>
      <c r="N28" s="58" t="s">
        <v>378</v>
      </c>
      <c r="O28" s="39" t="s">
        <v>443</v>
      </c>
    </row>
    <row r="29" spans="2:18" ht="17.25" customHeight="1" x14ac:dyDescent="0.35">
      <c r="B29" s="1268">
        <v>20</v>
      </c>
      <c r="C29" s="1269" t="s">
        <v>870</v>
      </c>
      <c r="D29" s="1269"/>
      <c r="M29" s="20"/>
      <c r="N29" s="58" t="s">
        <v>381</v>
      </c>
      <c r="O29" s="39" t="s">
        <v>444</v>
      </c>
    </row>
    <row r="30" spans="2:18" ht="17.25" customHeight="1" x14ac:dyDescent="0.35">
      <c r="B30" s="1268">
        <v>21</v>
      </c>
      <c r="C30" s="1269" t="s">
        <v>871</v>
      </c>
      <c r="D30" s="1269"/>
      <c r="M30" s="20"/>
      <c r="N30" s="58" t="s">
        <v>382</v>
      </c>
      <c r="O30" s="39" t="s">
        <v>441</v>
      </c>
    </row>
    <row r="31" spans="2:18" ht="17.25" customHeight="1" x14ac:dyDescent="0.35">
      <c r="B31" s="1268">
        <v>22</v>
      </c>
      <c r="C31" s="1960" t="s">
        <v>872</v>
      </c>
      <c r="D31" s="1269"/>
      <c r="M31" s="20"/>
      <c r="N31" s="58" t="s">
        <v>383</v>
      </c>
      <c r="O31" s="39" t="s">
        <v>445</v>
      </c>
    </row>
    <row r="32" spans="2:18" ht="17.25" customHeight="1" x14ac:dyDescent="0.35">
      <c r="B32" s="1268">
        <v>23</v>
      </c>
      <c r="C32" s="1269" t="s">
        <v>873</v>
      </c>
      <c r="D32" s="1269"/>
      <c r="M32" s="20"/>
      <c r="N32" s="131" t="s">
        <v>447</v>
      </c>
      <c r="O32" s="132" t="s">
        <v>446</v>
      </c>
      <c r="P32" s="10" t="s">
        <v>602</v>
      </c>
    </row>
    <row r="33" spans="14:16" x14ac:dyDescent="0.3">
      <c r="N33" s="131" t="s">
        <v>560</v>
      </c>
      <c r="O33" s="132" t="s">
        <v>561</v>
      </c>
      <c r="P33" s="10" t="s">
        <v>602</v>
      </c>
    </row>
    <row r="34" spans="14:16" x14ac:dyDescent="0.3">
      <c r="N34" s="58" t="s">
        <v>562</v>
      </c>
      <c r="O34" s="39" t="s">
        <v>564</v>
      </c>
    </row>
    <row r="35" spans="14:16" x14ac:dyDescent="0.3">
      <c r="N35" s="58" t="s">
        <v>384</v>
      </c>
      <c r="O35" s="39" t="s">
        <v>448</v>
      </c>
    </row>
    <row r="36" spans="14:16" x14ac:dyDescent="0.3">
      <c r="N36" s="58" t="s">
        <v>246</v>
      </c>
      <c r="O36" s="39" t="s">
        <v>438</v>
      </c>
    </row>
    <row r="37" spans="14:16" x14ac:dyDescent="0.3">
      <c r="N37" s="58" t="s">
        <v>385</v>
      </c>
      <c r="O37" s="39" t="s">
        <v>449</v>
      </c>
    </row>
    <row r="38" spans="14:16" x14ac:dyDescent="0.3">
      <c r="N38" s="131" t="s">
        <v>563</v>
      </c>
      <c r="O38" s="132" t="s">
        <v>454</v>
      </c>
      <c r="P38" s="10" t="s">
        <v>602</v>
      </c>
    </row>
    <row r="39" spans="14:16" x14ac:dyDescent="0.3">
      <c r="N39" s="58" t="s">
        <v>386</v>
      </c>
      <c r="O39" s="39" t="s">
        <v>450</v>
      </c>
    </row>
    <row r="40" spans="14:16" x14ac:dyDescent="0.3">
      <c r="N40" s="58" t="s">
        <v>452</v>
      </c>
      <c r="O40" s="39" t="s">
        <v>451</v>
      </c>
    </row>
    <row r="41" spans="14:16" x14ac:dyDescent="0.3">
      <c r="N41" s="58" t="s">
        <v>247</v>
      </c>
      <c r="O41" s="39" t="s">
        <v>439</v>
      </c>
    </row>
    <row r="42" spans="14:16" x14ac:dyDescent="0.3">
      <c r="N42" s="58"/>
      <c r="O42" s="39"/>
    </row>
  </sheetData>
  <sheetProtection algorithmName="SHA-512" hashValue="o7Is5Sc7/qymhrRxiJnF55sex87mp0f+YcT/FsW6Q46xpNfm+R8pzFn0eJCyLEI1oceql6wtHkH9vbZLPfBMUQ==" saltValue="bprIZiwfRkW+6eRAzhULKw==" spinCount="100000" sheet="1" objects="1" scenarios="1"/>
  <sortState xmlns:xlrd2="http://schemas.microsoft.com/office/spreadsheetml/2017/richdata2" ref="N25:O41">
    <sortCondition ref="N25:N41"/>
  </sortState>
  <mergeCells count="2">
    <mergeCell ref="I7:J7"/>
    <mergeCell ref="C11:D11"/>
  </mergeCells>
  <phoneticPr fontId="0" type="noConversion"/>
  <dataValidations count="5">
    <dataValidation type="list" allowBlank="1" showInputMessage="1" showErrorMessage="1" sqref="Q9" xr:uid="{00000000-0002-0000-0000-000000000000}">
      <formula1>$Q$10:$Q$21</formula1>
    </dataValidation>
    <dataValidation type="list" allowBlank="1" showInputMessage="1" showErrorMessage="1" sqref="P9" xr:uid="{00000000-0002-0000-0000-000001000000}">
      <formula1>$P$10:$P$21</formula1>
    </dataValidation>
    <dataValidation type="list" allowBlank="1" showInputMessage="1" showErrorMessage="1" sqref="O9" xr:uid="{00000000-0002-0000-0000-000002000000}">
      <formula1>$O$10:$O$21</formula1>
    </dataValidation>
    <dataValidation type="list" allowBlank="1" showInputMessage="1" showErrorMessage="1" sqref="N9" xr:uid="{00000000-0002-0000-0000-000003000000}">
      <formula1>$N$10:$N$21</formula1>
    </dataValidation>
    <dataValidation type="list" allowBlank="1" showInputMessage="1" showErrorMessage="1" sqref="N24" xr:uid="{00000000-0002-0000-0000-000004000000}">
      <formula1>$N$25:$N$42</formula1>
    </dataValidation>
  </dataValidations>
  <hyperlinks>
    <hyperlink ref="C14" location="'BAUOpex_FO'!A1" tooltip="Go to Operating Expenditure forecast" display="'BAUOpex_FO'!A1" xr:uid="{00000000-0004-0000-0000-000000000000}"/>
    <hyperlink ref="C16" location="Capex_FO_AC!A1" tooltip="Go to Capital Expenditure forecast by Asset Category" display="Capex_FO_AC!A1" xr:uid="{00000000-0004-0000-0000-000001000000}"/>
    <hyperlink ref="C17" location="'ExpSummary_FO'!A1" tooltip="Go to Expenditure Summary" display="'ExpSummary_FO'!A1" xr:uid="{00000000-0004-0000-0000-000002000000}"/>
    <hyperlink ref="C18" location="'RollForward_FO'!A1" tooltip="Go to Rolled forward regulatory asset base" display="'RollForward_FO'!A1" xr:uid="{00000000-0004-0000-0000-000003000000}"/>
    <hyperlink ref="C19" location="'1stPerAdj_FO'!A1" tooltip="Go to Adjustments required from first period" display="'1stPerAdj_FO'!A1" xr:uid="{00000000-0004-0000-0000-000004000000}"/>
    <hyperlink ref="C20" location="'RevenuePriceCap_FO'!A1" tooltip="Go to Revenue forecast (price caps)" display="'RevenuePriceCap_FO'!A1" xr:uid="{00000000-0004-0000-0000-000005000000}"/>
    <hyperlink ref="C22" location="'NotPres_FO'!A1" tooltip="Go to Services not prescribed" display="'NotPres_FO'!A1" xr:uid="{00000000-0004-0000-0000-000006000000}"/>
    <hyperlink ref="C23" location="'Finance&amp;Tax_FO'!A1" tooltip="Go to Cash, debt and tax assumptions" display="'Finance&amp;Tax_FO'!A1" xr:uid="{00000000-0004-0000-0000-000007000000}"/>
    <hyperlink ref="C24" location="'Rev&amp;RAV_FO'!A1" tooltip="Go to Revenue requirement detail" display="'Rev&amp;RAV_FO'!A1" xr:uid="{00000000-0004-0000-0000-000008000000}"/>
    <hyperlink ref="C25" location="'Indicators_FO'!A1" tooltip="Go to Financial indicators" display="'Indicators_FO'!A1" xr:uid="{00000000-0004-0000-0000-000009000000}"/>
    <hyperlink ref="C13" location="BAUOpexProd_FO!A1" display="Adjusted BAU expenditure and productivity test" xr:uid="{00000000-0004-0000-0000-00000A000000}"/>
    <hyperlink ref="C21" location="RevenueTariffBasket_FO!A1" display="Revenue forecast (tariff basket)" xr:uid="{00000000-0004-0000-0000-00000B000000}"/>
    <hyperlink ref="C11" location="KeyAssumptionsPriceControl_FO!B1" display="KeyAssumptionsPriceControl_FO!B1" xr:uid="{00000000-0004-0000-0000-00000C000000}"/>
    <hyperlink ref="C13:D13" location="Opex_FO!A1" display="Opex_FO!A1" xr:uid="{00000000-0004-0000-0000-00000D000000}"/>
    <hyperlink ref="C14:D14" location="Opex_Breakdown!A1" tooltip="Go to Operating Expenditure forecast" display="Opex_Breakdown!A1" xr:uid="{00000000-0004-0000-0000-00000E000000}"/>
    <hyperlink ref="C19:D19" location="PrevPerAdj_FO!A1" tooltip="Go to Adjustments required from first period" display="PrevPerAdj_FO!A1" xr:uid="{00000000-0004-0000-0000-00000F000000}"/>
    <hyperlink ref="C15" location="'CAPEX_FO input'!A1" display="'CAPEX_FO input'!A1" xr:uid="{00000000-0004-0000-0000-000010000000}"/>
    <hyperlink ref="C12" location="Expenditure_Detail!A1" display="Expenditure_Detail!A1" xr:uid="{00000000-0004-0000-0000-000011000000}"/>
    <hyperlink ref="C27:D27" location="GSL!A1" display="Guaranteed Service Levels (GSL)" xr:uid="{00000000-0004-0000-0000-000012000000}"/>
    <hyperlink ref="C26:D26" location="Outcomes!A1" display="Outcomes" xr:uid="{00000000-0004-0000-0000-000013000000}"/>
    <hyperlink ref="C10:D10" location="'Model Quality Check'!A1" display="Model Quality Check" xr:uid="{00000000-0004-0000-0000-000014000000}"/>
    <hyperlink ref="C28" location="'Dashboard - Pricing'!A1" display="Dashboard - Pricing" xr:uid="{00000000-0004-0000-0000-000015000000}"/>
    <hyperlink ref="C29" location="'Dashboard - Opex'!A1" display="Dashboard - Opex" xr:uid="{00000000-0004-0000-0000-000016000000}"/>
    <hyperlink ref="C30" location="'Dashboard - Capex'!A1" display="Dashboard - Capex" xr:uid="{00000000-0004-0000-0000-000017000000}"/>
    <hyperlink ref="C31" location="'Dashboard - Data'!A1" display="Dashboard - Data" xr:uid="{00000000-0004-0000-0000-000018000000}"/>
    <hyperlink ref="C32" location="'Household Bill'!A1" display="Household Bill" xr:uid="{00000000-0004-0000-0000-000019000000}"/>
  </hyperlinks>
  <pageMargins left="0.39370078740157499" right="0.39370078740157499" top="0.59055118110236249" bottom="0.98425196850393748" header="0" footer="0.31496062992125973"/>
  <pageSetup paperSize="9" orientation="landscape" r:id="rId1"/>
  <headerFooter alignWithMargins="0">
    <oddHeader>&amp;C&amp;B&amp;"Arial"&amp;12&amp;Kff0000​‌OFFICIAL‌​</oddHeader>
  </headerFooter>
  <ignoredErrors>
    <ignoredError sqref="L21:L24 L11 L13:L19 L26 A11:A27 C11:D27" unlocked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6">
    <tabColor theme="0" tint="-4.9989318521683403E-2"/>
    <pageSetUpPr autoPageBreaks="0"/>
  </sheetPr>
  <dimension ref="A1:BE57"/>
  <sheetViews>
    <sheetView showGridLines="0" zoomScaleNormal="100" workbookViewId="0">
      <pane ySplit="7" topLeftCell="A8" activePane="bottomLeft" state="frozen"/>
      <selection pane="bottomLeft" activeCell="AC16" sqref="AC16"/>
    </sheetView>
  </sheetViews>
  <sheetFormatPr defaultColWidth="10.77734375" defaultRowHeight="12" outlineLevelCol="1" x14ac:dyDescent="0.3"/>
  <cols>
    <col min="1" max="5" width="3.77734375" style="73" customWidth="1"/>
    <col min="6" max="6" width="12.6640625" style="73" customWidth="1"/>
    <col min="7" max="7" width="14.6640625" style="73" customWidth="1"/>
    <col min="8" max="9" width="15" style="321" customWidth="1"/>
    <col min="10" max="10" width="14.77734375" style="73" hidden="1" customWidth="1" outlineLevel="1"/>
    <col min="11" max="22" width="10.77734375" style="73" hidden="1" customWidth="1" outlineLevel="1"/>
    <col min="23" max="23" width="10.77734375" style="73" customWidth="1" collapsed="1"/>
    <col min="24" max="28" width="10.77734375" style="73" customWidth="1"/>
    <col min="29" max="30" width="10.44140625" style="73" customWidth="1"/>
    <col min="31" max="33" width="10.77734375" style="73" customWidth="1"/>
    <col min="34" max="35" width="10.44140625" style="73" customWidth="1"/>
    <col min="36" max="38" width="10.77734375" style="73" customWidth="1"/>
    <col min="39" max="39" width="4.44140625" style="73" customWidth="1"/>
    <col min="40" max="16384" width="10.77734375" style="73"/>
  </cols>
  <sheetData>
    <row r="1" spans="1:57" ht="14.5" x14ac:dyDescent="0.3">
      <c r="A1" s="1358">
        <v>80</v>
      </c>
      <c r="B1" s="158" t="s">
        <v>259</v>
      </c>
    </row>
    <row r="2" spans="1:57" ht="13" x14ac:dyDescent="0.3">
      <c r="B2" s="1359" t="str">
        <f>+Contents!H7</f>
        <v>Central Highlands Water</v>
      </c>
    </row>
    <row r="3" spans="1:57" x14ac:dyDescent="0.3">
      <c r="B3" s="2357" t="s">
        <v>0</v>
      </c>
      <c r="C3" s="2357"/>
      <c r="D3" s="2357"/>
      <c r="E3" s="2357"/>
      <c r="F3" s="2357"/>
      <c r="G3" s="439"/>
    </row>
    <row r="4" spans="1:57" x14ac:dyDescent="0.3">
      <c r="A4" s="165"/>
      <c r="B4" s="75"/>
      <c r="C4" s="76"/>
      <c r="F4" s="63"/>
      <c r="K4" s="66"/>
      <c r="L4" s="155" t="s">
        <v>60</v>
      </c>
      <c r="M4" s="65"/>
      <c r="N4" s="66"/>
      <c r="O4" s="67"/>
      <c r="P4" s="155" t="s">
        <v>61</v>
      </c>
      <c r="Q4" s="67"/>
      <c r="R4" s="65"/>
      <c r="S4" s="1202"/>
      <c r="T4" s="1203"/>
      <c r="U4" s="1572" t="s">
        <v>274</v>
      </c>
      <c r="V4" s="1203"/>
      <c r="W4" s="1204"/>
      <c r="X4" s="1944"/>
      <c r="Y4" s="1575"/>
      <c r="Z4" s="1575" t="s">
        <v>1072</v>
      </c>
      <c r="AA4" s="1575"/>
      <c r="AB4" s="1574"/>
      <c r="AC4" s="1573"/>
      <c r="AD4" s="1575"/>
      <c r="AE4" s="1575" t="s">
        <v>457</v>
      </c>
      <c r="AF4" s="1575"/>
      <c r="AG4" s="1574"/>
      <c r="AH4" s="1573"/>
      <c r="AI4" s="1575"/>
      <c r="AJ4" s="1575" t="s">
        <v>903</v>
      </c>
      <c r="AK4" s="1575"/>
      <c r="AL4" s="1574"/>
    </row>
    <row r="6" spans="1:57" x14ac:dyDescent="0.3">
      <c r="B6" s="166"/>
      <c r="F6" s="167" t="s">
        <v>63</v>
      </c>
      <c r="J6" s="1360">
        <v>2005</v>
      </c>
      <c r="K6" s="1360">
        <v>2006</v>
      </c>
      <c r="L6" s="1360">
        <v>2007</v>
      </c>
      <c r="M6" s="1360">
        <v>2008</v>
      </c>
      <c r="N6" s="1360">
        <v>2009</v>
      </c>
      <c r="O6" s="1360">
        <v>2010</v>
      </c>
      <c r="P6" s="1360">
        <v>2011</v>
      </c>
      <c r="Q6" s="1360">
        <v>2012</v>
      </c>
      <c r="R6" s="1360">
        <v>2013</v>
      </c>
      <c r="S6" s="1360">
        <v>2014</v>
      </c>
      <c r="T6" s="1360">
        <v>2015</v>
      </c>
      <c r="U6" s="1360">
        <v>2016</v>
      </c>
      <c r="V6" s="1360">
        <v>2017</v>
      </c>
      <c r="W6" s="1360">
        <v>2018</v>
      </c>
      <c r="X6" s="1360">
        <v>2019</v>
      </c>
      <c r="Y6" s="1360">
        <v>2020</v>
      </c>
      <c r="Z6" s="1360">
        <v>2021</v>
      </c>
      <c r="AA6" s="1360">
        <v>2022</v>
      </c>
      <c r="AB6" s="1360">
        <v>2023</v>
      </c>
      <c r="AC6" s="1420">
        <v>2024</v>
      </c>
      <c r="AD6" s="1420">
        <v>2025</v>
      </c>
      <c r="AE6" s="1420">
        <v>2026</v>
      </c>
      <c r="AF6" s="1420">
        <v>2027</v>
      </c>
      <c r="AG6" s="1420">
        <v>2028</v>
      </c>
      <c r="AH6" s="1420">
        <v>2029</v>
      </c>
      <c r="AI6" s="1420">
        <v>2030</v>
      </c>
      <c r="AJ6" s="1420">
        <v>2031</v>
      </c>
      <c r="AK6" s="1420">
        <v>2032</v>
      </c>
      <c r="AL6" s="1420">
        <v>2033</v>
      </c>
    </row>
    <row r="7" spans="1:57" x14ac:dyDescent="0.3">
      <c r="A7" s="78"/>
      <c r="B7" s="126" t="str">
        <f>Expenditure_Detail!$B$6</f>
        <v>$m, 01/01/23</v>
      </c>
      <c r="C7" s="78"/>
      <c r="D7" s="78"/>
      <c r="E7" s="78"/>
      <c r="F7" s="169" t="s">
        <v>64</v>
      </c>
      <c r="G7" s="78"/>
      <c r="H7" s="440"/>
      <c r="I7" s="440"/>
      <c r="J7" s="1319" t="str">
        <f>+CONCATENATE(J6-1,"-",RIGHT(J6,2))</f>
        <v>2004-05</v>
      </c>
      <c r="K7" s="1319" t="str">
        <f t="shared" ref="K7:W7" si="0">+CONCATENATE(K6-1,"-",RIGHT(K6,2))</f>
        <v>2005-06</v>
      </c>
      <c r="L7" s="1319" t="str">
        <f t="shared" si="0"/>
        <v>2006-07</v>
      </c>
      <c r="M7" s="1319" t="str">
        <f t="shared" si="0"/>
        <v>2007-08</v>
      </c>
      <c r="N7" s="1319" t="str">
        <f t="shared" si="0"/>
        <v>2008-09</v>
      </c>
      <c r="O7" s="1319" t="str">
        <f t="shared" si="0"/>
        <v>2009-10</v>
      </c>
      <c r="P7" s="1319" t="str">
        <f t="shared" si="0"/>
        <v>2010-11</v>
      </c>
      <c r="Q7" s="1319" t="str">
        <f t="shared" si="0"/>
        <v>2011-12</v>
      </c>
      <c r="R7" s="1319" t="str">
        <f t="shared" si="0"/>
        <v>2012-13</v>
      </c>
      <c r="S7" s="1319" t="str">
        <f t="shared" si="0"/>
        <v>2013-14</v>
      </c>
      <c r="T7" s="1319" t="str">
        <f t="shared" si="0"/>
        <v>2014-15</v>
      </c>
      <c r="U7" s="1319" t="str">
        <f t="shared" si="0"/>
        <v>2015-16</v>
      </c>
      <c r="V7" s="1319" t="str">
        <f t="shared" si="0"/>
        <v>2016-17</v>
      </c>
      <c r="W7" s="1319" t="str">
        <f t="shared" si="0"/>
        <v>2017-18</v>
      </c>
      <c r="X7" s="1319" t="str">
        <f t="shared" ref="X7:AG7" si="1">+CONCATENATE(X6-1,"-",RIGHT(X6,2))</f>
        <v>2018-19</v>
      </c>
      <c r="Y7" s="1319" t="str">
        <f t="shared" si="1"/>
        <v>2019-20</v>
      </c>
      <c r="Z7" s="1319" t="str">
        <f t="shared" si="1"/>
        <v>2020-21</v>
      </c>
      <c r="AA7" s="1319" t="str">
        <f t="shared" si="1"/>
        <v>2021-22</v>
      </c>
      <c r="AB7" s="1319" t="str">
        <f t="shared" si="1"/>
        <v>2022-23</v>
      </c>
      <c r="AC7" s="1319" t="str">
        <f t="shared" si="1"/>
        <v>2023-24</v>
      </c>
      <c r="AD7" s="1319" t="str">
        <f t="shared" si="1"/>
        <v>2024-25</v>
      </c>
      <c r="AE7" s="1319" t="str">
        <f t="shared" si="1"/>
        <v>2025-26</v>
      </c>
      <c r="AF7" s="1319" t="str">
        <f t="shared" si="1"/>
        <v>2026-27</v>
      </c>
      <c r="AG7" s="1319" t="str">
        <f t="shared" si="1"/>
        <v>2027-28</v>
      </c>
      <c r="AH7" s="1319" t="str">
        <f>+CONCATENATE(AH6-1,"-",RIGHT(AH6,2))</f>
        <v>2028-29</v>
      </c>
      <c r="AI7" s="1319" t="str">
        <f>+CONCATENATE(AI6-1,"-",RIGHT(AI6,2))</f>
        <v>2029-30</v>
      </c>
      <c r="AJ7" s="1319" t="str">
        <f>+CONCATENATE(AJ6-1,"-",RIGHT(AJ6,2))</f>
        <v>2030-31</v>
      </c>
      <c r="AK7" s="1319" t="str">
        <f>+CONCATENATE(AK6-1,"-",RIGHT(AK6,2))</f>
        <v>2031-32</v>
      </c>
      <c r="AL7" s="1319" t="str">
        <f>+CONCATENATE(AL6-1,"-",RIGHT(AL6,2))</f>
        <v>2032-33</v>
      </c>
    </row>
    <row r="8" spans="1:57" x14ac:dyDescent="0.3">
      <c r="C8" s="126"/>
      <c r="D8" s="126"/>
      <c r="E8" s="126"/>
      <c r="F8" s="126"/>
      <c r="G8" s="126"/>
      <c r="H8" s="441"/>
      <c r="I8" s="441"/>
      <c r="J8" s="126"/>
      <c r="K8" s="126"/>
      <c r="L8" s="126"/>
      <c r="M8" s="126"/>
      <c r="N8" s="126"/>
      <c r="O8" s="126"/>
      <c r="P8" s="126"/>
      <c r="Q8" s="126"/>
      <c r="R8" s="126"/>
      <c r="S8" s="126"/>
      <c r="T8" s="126"/>
      <c r="U8" s="126"/>
      <c r="V8" s="126"/>
      <c r="W8" s="126"/>
      <c r="X8" s="126"/>
      <c r="Y8" s="126"/>
      <c r="Z8" s="126"/>
      <c r="AA8" s="126"/>
      <c r="AB8" s="126"/>
      <c r="AC8" s="126"/>
      <c r="AD8" s="126"/>
      <c r="AE8" s="126"/>
      <c r="AH8" s="126"/>
      <c r="AI8" s="126"/>
      <c r="AJ8" s="126"/>
    </row>
    <row r="9" spans="1:57" x14ac:dyDescent="0.3">
      <c r="C9" s="102"/>
      <c r="D9" s="102"/>
      <c r="E9" s="102"/>
      <c r="F9" s="102"/>
      <c r="G9" s="102"/>
      <c r="H9" s="223"/>
      <c r="I9" s="223"/>
      <c r="J9" s="102"/>
      <c r="K9" s="102"/>
      <c r="L9" s="102"/>
      <c r="M9" s="102"/>
      <c r="N9" s="102"/>
      <c r="O9" s="102"/>
      <c r="P9" s="102"/>
      <c r="Q9" s="102"/>
      <c r="R9" s="102"/>
      <c r="S9" s="102"/>
      <c r="T9" s="102"/>
      <c r="U9" s="102"/>
      <c r="V9" s="102"/>
      <c r="W9" s="102"/>
      <c r="X9" s="102"/>
      <c r="Y9" s="102"/>
      <c r="Z9" s="102"/>
      <c r="AA9" s="102"/>
      <c r="AB9" s="102"/>
      <c r="AC9" s="102"/>
      <c r="AD9" s="126"/>
      <c r="AE9" s="126"/>
      <c r="AH9" s="102"/>
      <c r="AI9" s="126"/>
      <c r="AJ9" s="126"/>
    </row>
    <row r="10" spans="1:57" ht="12.5" thickBot="1" x14ac:dyDescent="0.35">
      <c r="C10" s="102"/>
      <c r="D10" s="207"/>
      <c r="E10" s="102"/>
      <c r="F10" s="102"/>
      <c r="G10" s="102"/>
      <c r="H10" s="223"/>
      <c r="I10" s="223"/>
      <c r="J10" s="102"/>
      <c r="K10" s="102"/>
      <c r="L10" s="102"/>
      <c r="M10" s="102"/>
      <c r="N10" s="102"/>
      <c r="O10" s="102"/>
      <c r="P10" s="102"/>
      <c r="Q10" s="102"/>
      <c r="R10" s="102"/>
      <c r="S10" s="102"/>
      <c r="T10" s="102"/>
      <c r="U10" s="102"/>
      <c r="V10" s="102"/>
      <c r="W10" s="102"/>
      <c r="X10" s="102"/>
      <c r="Y10" s="102"/>
      <c r="Z10" s="102"/>
      <c r="AA10" s="102"/>
      <c r="AB10" s="102"/>
      <c r="AC10" s="102"/>
      <c r="AD10" s="126"/>
      <c r="AE10" s="126"/>
      <c r="AH10" s="102"/>
      <c r="AI10" s="126"/>
      <c r="AJ10" s="126"/>
    </row>
    <row r="11" spans="1:57" x14ac:dyDescent="0.3">
      <c r="C11" s="102"/>
      <c r="D11" s="102"/>
      <c r="E11" s="442"/>
      <c r="F11" s="443"/>
      <c r="G11" s="443"/>
      <c r="H11" s="444"/>
      <c r="I11" s="444"/>
      <c r="J11" s="443"/>
      <c r="K11" s="443"/>
      <c r="L11" s="443"/>
      <c r="M11" s="443"/>
      <c r="N11" s="443"/>
      <c r="O11" s="443"/>
      <c r="P11" s="443"/>
      <c r="Q11" s="443"/>
      <c r="R11" s="443"/>
      <c r="S11" s="443"/>
      <c r="T11" s="443"/>
      <c r="U11" s="443"/>
      <c r="V11" s="443"/>
      <c r="W11" s="443"/>
      <c r="X11" s="443"/>
      <c r="Y11" s="443"/>
      <c r="Z11" s="443"/>
      <c r="AA11" s="443"/>
      <c r="AB11" s="443"/>
      <c r="AC11" s="443"/>
      <c r="AD11" s="443"/>
      <c r="AE11" s="443"/>
      <c r="AF11" s="443"/>
      <c r="AG11" s="443"/>
      <c r="AH11" s="443"/>
      <c r="AI11" s="443"/>
      <c r="AJ11" s="443"/>
      <c r="AK11" s="443"/>
      <c r="AL11" s="443"/>
      <c r="AM11" s="445"/>
    </row>
    <row r="12" spans="1:57" x14ac:dyDescent="0.3">
      <c r="C12" s="102"/>
      <c r="D12" s="102"/>
      <c r="E12" s="446"/>
      <c r="F12" s="447" t="s">
        <v>260</v>
      </c>
      <c r="G12" s="102"/>
      <c r="H12" s="223"/>
      <c r="I12" s="223"/>
      <c r="J12" s="297"/>
      <c r="K12" s="297"/>
      <c r="L12" s="297"/>
      <c r="M12" s="297"/>
      <c r="N12" s="297"/>
      <c r="O12" s="297"/>
      <c r="P12" s="297"/>
      <c r="Q12" s="297"/>
      <c r="R12" s="297"/>
      <c r="S12" s="297"/>
      <c r="T12" s="297"/>
      <c r="U12" s="297"/>
      <c r="V12" s="297"/>
      <c r="W12" s="297"/>
      <c r="X12" s="297"/>
      <c r="Y12" s="297"/>
      <c r="Z12" s="297"/>
      <c r="AA12" s="297"/>
      <c r="AB12" s="297"/>
      <c r="AC12" s="297"/>
      <c r="AD12" s="297"/>
      <c r="AE12" s="297"/>
      <c r="AF12" s="297"/>
      <c r="AG12" s="297"/>
      <c r="AH12" s="297"/>
      <c r="AI12" s="297"/>
      <c r="AJ12" s="297"/>
      <c r="AK12" s="297"/>
      <c r="AL12" s="297"/>
      <c r="AM12" s="224"/>
    </row>
    <row r="13" spans="1:57" x14ac:dyDescent="0.3">
      <c r="C13" s="102"/>
      <c r="D13" s="102"/>
      <c r="E13" s="446"/>
      <c r="F13" s="447"/>
      <c r="G13" s="102" t="s">
        <v>858</v>
      </c>
      <c r="H13" s="223"/>
      <c r="I13" s="223"/>
      <c r="J13" s="297"/>
      <c r="K13" s="297"/>
      <c r="L13" s="297"/>
      <c r="M13" s="297"/>
      <c r="N13" s="297"/>
      <c r="O13" s="297"/>
      <c r="P13" s="297"/>
      <c r="Q13" s="297"/>
      <c r="R13" s="297"/>
      <c r="S13" s="297"/>
      <c r="T13" s="297"/>
      <c r="U13" s="297"/>
      <c r="V13" s="297"/>
      <c r="W13" s="297">
        <f>Opex_Breakdown!W17</f>
        <v>57.803554751131216</v>
      </c>
      <c r="X13" s="297">
        <f>Opex_Breakdown!X17</f>
        <v>63.091876208576629</v>
      </c>
      <c r="Y13" s="297">
        <f>Opex_Breakdown!Y17</f>
        <v>61.009139038895711</v>
      </c>
      <c r="Z13" s="297">
        <f>Opex_Breakdown!Z17</f>
        <v>58.025791595197262</v>
      </c>
      <c r="AA13" s="297">
        <f>Opex_Breakdown!AA17</f>
        <v>64.952065200934101</v>
      </c>
      <c r="AB13" s="297">
        <f>Opex_Breakdown!AB17</f>
        <v>65.60158585294343</v>
      </c>
      <c r="AC13" s="297">
        <f>Opex_Breakdown!AC17</f>
        <v>66.075168040046904</v>
      </c>
      <c r="AD13" s="297">
        <f>Opex_Breakdown!AD17</f>
        <v>67.155205369279273</v>
      </c>
      <c r="AE13" s="297">
        <f>Opex_Breakdown!AE17</f>
        <v>68.487864196876203</v>
      </c>
      <c r="AF13" s="297">
        <f>Opex_Breakdown!AF17</f>
        <v>68.916996378015796</v>
      </c>
      <c r="AG13" s="297">
        <f>Opex_Breakdown!AG17</f>
        <v>70.018327121712886</v>
      </c>
      <c r="AH13" s="297">
        <f>Opex_Breakdown!AH17</f>
        <v>68.77546355220899</v>
      </c>
      <c r="AI13" s="297">
        <f>Opex_Breakdown!AI17</f>
        <v>69.59621315710362</v>
      </c>
      <c r="AJ13" s="297">
        <f>Opex_Breakdown!AJ17</f>
        <v>70.426804727717922</v>
      </c>
      <c r="AK13" s="297">
        <f>Opex_Breakdown!AK17</f>
        <v>71.267356512377617</v>
      </c>
      <c r="AL13" s="297">
        <f>Opex_Breakdown!AL17</f>
        <v>72.117988192218561</v>
      </c>
      <c r="AM13" s="224"/>
      <c r="AO13" s="807"/>
      <c r="AP13" s="807"/>
      <c r="AQ13" s="807"/>
      <c r="AR13" s="807"/>
      <c r="AS13" s="807"/>
      <c r="AT13" s="807"/>
      <c r="AU13" s="807"/>
      <c r="AV13" s="807"/>
      <c r="AW13" s="807"/>
      <c r="AX13" s="807"/>
      <c r="AY13" s="807"/>
      <c r="AZ13" s="807"/>
      <c r="BA13" s="807"/>
      <c r="BB13" s="807"/>
      <c r="BC13" s="807"/>
      <c r="BD13" s="807"/>
      <c r="BE13" s="807"/>
    </row>
    <row r="14" spans="1:57" x14ac:dyDescent="0.3">
      <c r="C14" s="102"/>
      <c r="D14" s="102"/>
      <c r="E14" s="446"/>
      <c r="F14" s="447"/>
      <c r="G14" s="102" t="s">
        <v>859</v>
      </c>
      <c r="H14" s="223"/>
      <c r="I14" s="223"/>
      <c r="J14" s="297"/>
      <c r="K14" s="297"/>
      <c r="L14" s="297"/>
      <c r="M14" s="297"/>
      <c r="N14" s="297"/>
      <c r="O14" s="297"/>
      <c r="P14" s="297"/>
      <c r="Q14" s="297"/>
      <c r="R14" s="297"/>
      <c r="S14" s="297"/>
      <c r="T14" s="297"/>
      <c r="U14" s="297"/>
      <c r="V14" s="297"/>
      <c r="W14" s="297">
        <f>Opex_Breakdown!W34</f>
        <v>4.4603999999999999</v>
      </c>
      <c r="X14" s="297">
        <f>Opex_Breakdown!X34</f>
        <v>5.4030933700710486</v>
      </c>
      <c r="Y14" s="297">
        <f>Opex_Breakdown!Y34</f>
        <v>5.4011778145398779</v>
      </c>
      <c r="Z14" s="297">
        <f>Opex_Breakdown!Z34</f>
        <v>5.8730300171526597</v>
      </c>
      <c r="AA14" s="297">
        <f>Opex_Breakdown!AA34</f>
        <v>5.6290424015340506</v>
      </c>
      <c r="AB14" s="297">
        <f>Opex_Breakdown!AB34</f>
        <v>5.6416711853043529</v>
      </c>
      <c r="AC14" s="297">
        <f>Opex_Breakdown!AC34</f>
        <v>6.0916434046942891</v>
      </c>
      <c r="AD14" s="297">
        <f>Opex_Breakdown!AD34</f>
        <v>7.2442437970949465</v>
      </c>
      <c r="AE14" s="297">
        <f>Opex_Breakdown!AE34</f>
        <v>7.1985348922273893</v>
      </c>
      <c r="AF14" s="297">
        <f>Opex_Breakdown!AF34</f>
        <v>7.0588547376369801</v>
      </c>
      <c r="AG14" s="297">
        <f>Opex_Breakdown!AG34</f>
        <v>6.9893252864210291</v>
      </c>
      <c r="AH14" s="297">
        <f>Opex_Breakdown!AH34</f>
        <v>6.6927140162965753</v>
      </c>
      <c r="AI14" s="297">
        <f>Opex_Breakdown!AI34</f>
        <v>6.6023520156433158</v>
      </c>
      <c r="AJ14" s="297">
        <f>Opex_Breakdown!AJ34</f>
        <v>6.5141680965973343</v>
      </c>
      <c r="AK14" s="297">
        <f>Opex_Breakdown!AK34</f>
        <v>6.4281258082682635</v>
      </c>
      <c r="AL14" s="297">
        <f>Opex_Breakdown!AL34</f>
        <v>6.3441894844186919</v>
      </c>
      <c r="AM14" s="224"/>
      <c r="AO14" s="807"/>
      <c r="AP14" s="807"/>
      <c r="AQ14" s="807"/>
      <c r="AR14" s="807"/>
      <c r="AS14" s="807"/>
      <c r="AT14" s="807"/>
      <c r="AU14" s="807"/>
      <c r="AV14" s="807"/>
      <c r="AW14" s="807"/>
      <c r="AX14" s="807"/>
      <c r="AY14" s="807"/>
      <c r="AZ14" s="807"/>
      <c r="BA14" s="807"/>
      <c r="BB14" s="807"/>
      <c r="BC14" s="807"/>
      <c r="BD14" s="807"/>
      <c r="BE14" s="807"/>
    </row>
    <row r="15" spans="1:57" x14ac:dyDescent="0.3">
      <c r="C15" s="102"/>
      <c r="D15" s="102"/>
      <c r="E15" s="446"/>
      <c r="F15" s="102"/>
      <c r="G15" s="102" t="s">
        <v>695</v>
      </c>
      <c r="H15" s="223"/>
      <c r="I15" s="223"/>
      <c r="J15" s="297"/>
      <c r="K15" s="297"/>
      <c r="L15" s="297"/>
      <c r="M15" s="297"/>
      <c r="N15" s="297"/>
      <c r="O15" s="297"/>
      <c r="P15" s="297"/>
      <c r="Q15" s="297"/>
      <c r="R15" s="297"/>
      <c r="S15" s="297"/>
      <c r="T15" s="297"/>
      <c r="U15" s="297"/>
      <c r="V15" s="297"/>
      <c r="W15" s="297">
        <f>Opex_Breakdown!W37</f>
        <v>62.263954751131216</v>
      </c>
      <c r="X15" s="297">
        <f>Opex_Breakdown!X37</f>
        <v>68.494969578647684</v>
      </c>
      <c r="Y15" s="297">
        <f>Opex_Breakdown!Y37</f>
        <v>66.410316853435589</v>
      </c>
      <c r="Z15" s="297">
        <f>Opex_Breakdown!Z37</f>
        <v>63.89882161234992</v>
      </c>
      <c r="AA15" s="297">
        <f>Opex_Breakdown!AA37</f>
        <v>70.581107602468151</v>
      </c>
      <c r="AB15" s="297">
        <f>Opex_Breakdown!AB37</f>
        <v>71.243257038247776</v>
      </c>
      <c r="AC15" s="1564">
        <f>+Opex_FO!AC95</f>
        <v>72.169469837930734</v>
      </c>
      <c r="AD15" s="1527">
        <f>+Opex_FO!AD95</f>
        <v>74.399449166374168</v>
      </c>
      <c r="AE15" s="1527">
        <f>+Opex_FO!AE95</f>
        <v>75.691158800394518</v>
      </c>
      <c r="AF15" s="1527">
        <f>+Opex_FO!AF95</f>
        <v>75.980141983741191</v>
      </c>
      <c r="AG15" s="1527">
        <f>+Opex_FO!AG95</f>
        <v>77.011878971844908</v>
      </c>
      <c r="AH15" s="1527">
        <f>+Opex_FO!AH95</f>
        <v>75.47114933831196</v>
      </c>
      <c r="AI15" s="1527">
        <f>+Opex_FO!AI95</f>
        <v>76.201399553889303</v>
      </c>
      <c r="AJ15" s="1527">
        <f>+Opex_FO!AJ95</f>
        <v>76.943675197668682</v>
      </c>
      <c r="AK15" s="1527">
        <f>+Opex_FO!AK95</f>
        <v>77.698057986918883</v>
      </c>
      <c r="AL15" s="1527">
        <f>+Opex_FO!AL95</f>
        <v>78.464631841579532</v>
      </c>
      <c r="AM15" s="224"/>
      <c r="AO15" s="807"/>
      <c r="AP15" s="807"/>
      <c r="AQ15" s="807"/>
      <c r="AR15" s="807"/>
      <c r="AS15" s="807"/>
      <c r="AT15" s="807"/>
      <c r="AU15" s="807"/>
      <c r="AV15" s="807"/>
      <c r="AW15" s="807"/>
      <c r="AX15" s="807"/>
      <c r="AY15" s="807"/>
      <c r="AZ15" s="807"/>
      <c r="BA15" s="807"/>
      <c r="BB15" s="807"/>
      <c r="BC15" s="807"/>
      <c r="BD15" s="807"/>
      <c r="BE15" s="807"/>
    </row>
    <row r="16" spans="1:57" x14ac:dyDescent="0.3">
      <c r="C16" s="102"/>
      <c r="D16" s="102"/>
      <c r="E16" s="448"/>
      <c r="F16" s="102"/>
      <c r="G16" s="102"/>
      <c r="H16" s="223"/>
      <c r="I16" s="223"/>
      <c r="J16" s="297"/>
      <c r="K16" s="297"/>
      <c r="L16" s="297"/>
      <c r="M16" s="297"/>
      <c r="N16" s="297"/>
      <c r="O16" s="297"/>
      <c r="P16" s="297"/>
      <c r="Q16" s="297"/>
      <c r="R16" s="297"/>
      <c r="S16" s="297"/>
      <c r="T16" s="297"/>
      <c r="U16" s="297"/>
      <c r="V16" s="297"/>
      <c r="W16" s="297"/>
      <c r="X16" s="297"/>
      <c r="Y16" s="297"/>
      <c r="Z16" s="297"/>
      <c r="AA16" s="297"/>
      <c r="AB16" s="297"/>
      <c r="AC16" s="275"/>
      <c r="AD16" s="275"/>
      <c r="AE16" s="275"/>
      <c r="AF16" s="275"/>
      <c r="AG16" s="275"/>
      <c r="AH16" s="275"/>
      <c r="AI16" s="275"/>
      <c r="AJ16" s="275"/>
      <c r="AK16" s="275"/>
      <c r="AL16" s="275"/>
      <c r="AM16" s="224"/>
      <c r="AO16" s="807"/>
      <c r="AP16" s="807"/>
      <c r="AQ16" s="807"/>
      <c r="AR16" s="807"/>
      <c r="AS16" s="807"/>
      <c r="AT16" s="807"/>
      <c r="AU16" s="807"/>
      <c r="AV16" s="807"/>
      <c r="AW16" s="807"/>
      <c r="AX16" s="807"/>
      <c r="AY16" s="807"/>
      <c r="AZ16" s="807"/>
      <c r="BA16" s="807"/>
      <c r="BB16" s="807"/>
      <c r="BC16" s="807"/>
      <c r="BD16" s="807"/>
      <c r="BE16" s="807"/>
    </row>
    <row r="17" spans="2:57" x14ac:dyDescent="0.3">
      <c r="C17" s="102"/>
      <c r="D17" s="102"/>
      <c r="E17" s="448"/>
      <c r="F17" s="102"/>
      <c r="G17" s="102"/>
      <c r="H17" s="223"/>
      <c r="I17" s="223"/>
      <c r="J17" s="297"/>
      <c r="K17" s="297"/>
      <c r="L17" s="297"/>
      <c r="M17" s="297"/>
      <c r="N17" s="297"/>
      <c r="O17" s="297"/>
      <c r="P17" s="297"/>
      <c r="Q17" s="297"/>
      <c r="R17" s="297"/>
      <c r="S17" s="297"/>
      <c r="T17" s="297"/>
      <c r="U17" s="297"/>
      <c r="V17" s="297"/>
      <c r="W17" s="297"/>
      <c r="X17" s="297"/>
      <c r="Y17" s="297"/>
      <c r="Z17" s="297"/>
      <c r="AA17" s="297"/>
      <c r="AB17" s="297"/>
      <c r="AC17" s="275"/>
      <c r="AD17" s="275"/>
      <c r="AE17" s="275"/>
      <c r="AF17" s="275"/>
      <c r="AG17" s="275"/>
      <c r="AH17" s="275"/>
      <c r="AI17" s="275"/>
      <c r="AJ17" s="275"/>
      <c r="AK17" s="275"/>
      <c r="AL17" s="275"/>
      <c r="AM17" s="224"/>
      <c r="AO17" s="807"/>
      <c r="AP17" s="807"/>
      <c r="AQ17" s="807"/>
      <c r="AR17" s="807"/>
      <c r="AS17" s="807"/>
      <c r="AT17" s="807"/>
      <c r="AU17" s="807"/>
      <c r="AV17" s="807"/>
      <c r="AW17" s="807"/>
      <c r="AX17" s="807"/>
      <c r="AY17" s="807"/>
      <c r="AZ17" s="807"/>
      <c r="BA17" s="807"/>
      <c r="BB17" s="807"/>
      <c r="BC17" s="807"/>
      <c r="BD17" s="807"/>
      <c r="BE17" s="807"/>
    </row>
    <row r="18" spans="2:57" x14ac:dyDescent="0.3">
      <c r="C18" s="102"/>
      <c r="D18" s="102"/>
      <c r="E18" s="222"/>
      <c r="F18" s="447" t="s">
        <v>693</v>
      </c>
      <c r="G18" s="102"/>
      <c r="H18" s="223"/>
      <c r="I18" s="223"/>
      <c r="J18" s="449"/>
      <c r="K18" s="449"/>
      <c r="L18" s="449"/>
      <c r="M18" s="449"/>
      <c r="N18" s="449"/>
      <c r="O18" s="449"/>
      <c r="P18" s="449"/>
      <c r="Q18" s="449"/>
      <c r="R18" s="449"/>
      <c r="S18" s="449"/>
      <c r="T18" s="449"/>
      <c r="U18" s="449"/>
      <c r="V18" s="449"/>
      <c r="W18" s="449"/>
      <c r="X18" s="449"/>
      <c r="Y18" s="449"/>
      <c r="Z18" s="449"/>
      <c r="AA18" s="449"/>
      <c r="AB18" s="449"/>
      <c r="AC18" s="118"/>
      <c r="AD18" s="118"/>
      <c r="AE18" s="118"/>
      <c r="AF18" s="118"/>
      <c r="AG18" s="118"/>
      <c r="AH18" s="118"/>
      <c r="AI18" s="118"/>
      <c r="AJ18" s="118"/>
      <c r="AK18" s="118"/>
      <c r="AL18" s="118"/>
      <c r="AM18" s="224"/>
      <c r="AO18" s="807"/>
      <c r="AP18" s="807"/>
      <c r="AQ18" s="807"/>
      <c r="AR18" s="807"/>
      <c r="AS18" s="807"/>
      <c r="AT18" s="807"/>
      <c r="AU18" s="807"/>
      <c r="AV18" s="807"/>
      <c r="AW18" s="807"/>
      <c r="AX18" s="807"/>
      <c r="AY18" s="807"/>
      <c r="AZ18" s="807"/>
      <c r="BA18" s="807"/>
      <c r="BB18" s="807"/>
      <c r="BC18" s="807"/>
      <c r="BD18" s="807"/>
      <c r="BE18" s="807"/>
    </row>
    <row r="19" spans="2:57" x14ac:dyDescent="0.3">
      <c r="C19" s="102"/>
      <c r="D19" s="102"/>
      <c r="E19" s="222"/>
      <c r="F19" s="102"/>
      <c r="G19" s="102" t="s">
        <v>261</v>
      </c>
      <c r="H19" s="223"/>
      <c r="I19" s="223"/>
      <c r="J19" s="449"/>
      <c r="K19" s="449"/>
      <c r="L19" s="449"/>
      <c r="M19" s="449"/>
      <c r="N19" s="449"/>
      <c r="O19" s="449"/>
      <c r="P19" s="449"/>
      <c r="Q19" s="449"/>
      <c r="R19" s="1455"/>
      <c r="S19" s="1455"/>
      <c r="T19" s="1455"/>
      <c r="U19" s="1455"/>
      <c r="V19" s="1455"/>
      <c r="W19" s="1455">
        <f>Capex_FO_AC!W17</f>
        <v>25.192626244343892</v>
      </c>
      <c r="X19" s="1455">
        <f>Capex_FO_AC!X17</f>
        <v>30.447363509307287</v>
      </c>
      <c r="Y19" s="1455">
        <f>Capex_FO_AC!Y17</f>
        <v>32.861360104049083</v>
      </c>
      <c r="Z19" s="1455">
        <f>Capex_FO_AC!Z17</f>
        <v>28.09446153439966</v>
      </c>
      <c r="AA19" s="1455">
        <f>Capex_FO_AC!AA17</f>
        <v>29.137493005200003</v>
      </c>
      <c r="AB19" s="1455">
        <f>Capex_FO_AC!AB17</f>
        <v>37.5</v>
      </c>
      <c r="AC19" s="1455">
        <f>Capex_FO_AC!AC17</f>
        <v>45.988700000000001</v>
      </c>
      <c r="AD19" s="1455">
        <f>Capex_FO_AC!AD17</f>
        <v>47.9985</v>
      </c>
      <c r="AE19" s="1455">
        <f>Capex_FO_AC!AE17</f>
        <v>50.011500000000005</v>
      </c>
      <c r="AF19" s="1455">
        <f>Capex_FO_AC!AF17</f>
        <v>54.014500000000012</v>
      </c>
      <c r="AG19" s="1455">
        <f>Capex_FO_AC!AG17</f>
        <v>57.990499999999997</v>
      </c>
      <c r="AH19" s="1455">
        <f>Capex_FO_AC!AH17</f>
        <v>98.597000000000008</v>
      </c>
      <c r="AI19" s="1455">
        <f>Capex_FO_AC!AI17</f>
        <v>95.197000000000003</v>
      </c>
      <c r="AJ19" s="1455">
        <f>Capex_FO_AC!AJ17</f>
        <v>68.167000000000002</v>
      </c>
      <c r="AK19" s="1455">
        <f>Capex_FO_AC!AK17</f>
        <v>55.112000000000002</v>
      </c>
      <c r="AL19" s="1455">
        <f>Capex_FO_AC!AL17</f>
        <v>66.921999999999997</v>
      </c>
      <c r="AM19" s="224"/>
      <c r="AO19" s="807"/>
      <c r="AP19" s="807"/>
      <c r="AQ19" s="807"/>
      <c r="AR19" s="807"/>
      <c r="AS19" s="807"/>
      <c r="AT19" s="807"/>
      <c r="AU19" s="807"/>
      <c r="AV19" s="807"/>
      <c r="AW19" s="807"/>
      <c r="AX19" s="807"/>
      <c r="AY19" s="807"/>
      <c r="AZ19" s="807"/>
      <c r="BA19" s="807"/>
      <c r="BB19" s="807"/>
      <c r="BC19" s="807"/>
      <c r="BD19" s="807"/>
      <c r="BE19" s="807"/>
    </row>
    <row r="20" spans="2:57" x14ac:dyDescent="0.3">
      <c r="C20" s="102"/>
      <c r="D20" s="102"/>
      <c r="E20" s="222"/>
      <c r="F20" s="102"/>
      <c r="G20" s="102" t="s">
        <v>262</v>
      </c>
      <c r="H20" s="223"/>
      <c r="I20" s="223"/>
      <c r="J20" s="449"/>
      <c r="K20" s="449"/>
      <c r="L20" s="449"/>
      <c r="M20" s="449"/>
      <c r="N20" s="449"/>
      <c r="O20" s="449"/>
      <c r="P20" s="449"/>
      <c r="Q20" s="449"/>
      <c r="R20" s="449"/>
      <c r="S20" s="449"/>
      <c r="T20" s="449"/>
      <c r="U20" s="449"/>
      <c r="V20" s="449"/>
      <c r="W20" s="449">
        <f>Capex_FO_AC!W20</f>
        <v>0</v>
      </c>
      <c r="X20" s="449">
        <f>Capex_FO_AC!X20</f>
        <v>0</v>
      </c>
      <c r="Y20" s="449">
        <f>Capex_FO_AC!Y20</f>
        <v>0</v>
      </c>
      <c r="Z20" s="449">
        <f>Capex_FO_AC!Z20</f>
        <v>0.43724108104631215</v>
      </c>
      <c r="AA20" s="449">
        <f>Capex_FO_AC!AA20</f>
        <v>0.44161349185677529</v>
      </c>
      <c r="AB20" s="449">
        <f>Capex_FO_AC!AB20</f>
        <v>0.44602962677534302</v>
      </c>
      <c r="AC20" s="449">
        <f>Capex_FO_AC!AC20</f>
        <v>0</v>
      </c>
      <c r="AD20" s="449">
        <f>Capex_FO_AC!AD20</f>
        <v>0</v>
      </c>
      <c r="AE20" s="449">
        <f>Capex_FO_AC!AE20</f>
        <v>0</v>
      </c>
      <c r="AF20" s="449">
        <f>Capex_FO_AC!AF20</f>
        <v>0</v>
      </c>
      <c r="AG20" s="449">
        <f>Capex_FO_AC!AG20</f>
        <v>0</v>
      </c>
      <c r="AH20" s="449">
        <f>Capex_FO_AC!AH20</f>
        <v>0</v>
      </c>
      <c r="AI20" s="449">
        <f>Capex_FO_AC!AI20</f>
        <v>0</v>
      </c>
      <c r="AJ20" s="449">
        <f>Capex_FO_AC!AJ20</f>
        <v>0</v>
      </c>
      <c r="AK20" s="449">
        <f>Capex_FO_AC!AK20</f>
        <v>0</v>
      </c>
      <c r="AL20" s="449">
        <f>Capex_FO_AC!AL20</f>
        <v>0</v>
      </c>
      <c r="AM20" s="224"/>
      <c r="AO20" s="807"/>
      <c r="AP20" s="807"/>
      <c r="AQ20" s="807"/>
      <c r="AR20" s="807"/>
      <c r="AS20" s="807"/>
      <c r="AT20" s="807"/>
      <c r="AU20" s="807"/>
      <c r="AV20" s="807"/>
      <c r="AW20" s="807"/>
      <c r="AX20" s="807"/>
      <c r="AY20" s="807"/>
      <c r="AZ20" s="807"/>
      <c r="BA20" s="807"/>
      <c r="BB20" s="807"/>
      <c r="BC20" s="807"/>
      <c r="BD20" s="807"/>
      <c r="BE20" s="807"/>
    </row>
    <row r="21" spans="2:57" x14ac:dyDescent="0.3">
      <c r="C21" s="102"/>
      <c r="D21" s="102"/>
      <c r="E21" s="222"/>
      <c r="F21" s="102"/>
      <c r="G21" s="102" t="s">
        <v>263</v>
      </c>
      <c r="H21" s="223"/>
      <c r="I21" s="223"/>
      <c r="J21" s="449"/>
      <c r="K21" s="449"/>
      <c r="L21" s="449"/>
      <c r="M21" s="449"/>
      <c r="N21" s="449"/>
      <c r="O21" s="449"/>
      <c r="P21" s="449"/>
      <c r="Q21" s="449"/>
      <c r="R21" s="449"/>
      <c r="S21" s="449"/>
      <c r="T21" s="449"/>
      <c r="U21" s="449"/>
      <c r="V21" s="449"/>
      <c r="W21" s="449">
        <f>Capex_FO_AC!W21</f>
        <v>1.8893348416289593</v>
      </c>
      <c r="X21" s="449">
        <f>Capex_FO_AC!X21</f>
        <v>2.0431804654262882</v>
      </c>
      <c r="Y21" s="449">
        <f>Capex_FO_AC!Y21</f>
        <v>3.3055239410429444</v>
      </c>
      <c r="Z21" s="449">
        <f>Capex_FO_AC!Z21</f>
        <v>3.705311320754717</v>
      </c>
      <c r="AA21" s="449">
        <f>Capex_FO_AC!AA21</f>
        <v>4.0999999999999996</v>
      </c>
      <c r="AB21" s="449">
        <f>Capex_FO_AC!AB21</f>
        <v>4.141</v>
      </c>
      <c r="AC21" s="449">
        <f>Capex_FO_AC!AC21</f>
        <v>4.51</v>
      </c>
      <c r="AD21" s="449">
        <f>Capex_FO_AC!AD21</f>
        <v>6.15</v>
      </c>
      <c r="AE21" s="449">
        <f>Capex_FO_AC!AE21</f>
        <v>7.91</v>
      </c>
      <c r="AF21" s="449">
        <f>Capex_FO_AC!AF21</f>
        <v>9.86</v>
      </c>
      <c r="AG21" s="449">
        <f>Capex_FO_AC!AG21</f>
        <v>12.16</v>
      </c>
      <c r="AH21" s="449">
        <f>Capex_FO_AC!AH21</f>
        <v>17.600000000000001</v>
      </c>
      <c r="AI21" s="449">
        <f>Capex_FO_AC!AI21</f>
        <v>17.600000000000001</v>
      </c>
      <c r="AJ21" s="449">
        <f>Capex_FO_AC!AJ21</f>
        <v>17.600000000000001</v>
      </c>
      <c r="AK21" s="449">
        <f>Capex_FO_AC!AK21</f>
        <v>17.600000000000001</v>
      </c>
      <c r="AL21" s="449">
        <f>Capex_FO_AC!AL21</f>
        <v>17.600000000000001</v>
      </c>
      <c r="AM21" s="224"/>
      <c r="AO21" s="807"/>
      <c r="AP21" s="807"/>
      <c r="AQ21" s="807"/>
      <c r="AR21" s="807"/>
      <c r="AS21" s="807"/>
      <c r="AT21" s="807"/>
      <c r="AU21" s="807"/>
      <c r="AV21" s="807"/>
      <c r="AW21" s="807"/>
      <c r="AX21" s="807"/>
      <c r="AY21" s="807"/>
      <c r="AZ21" s="807"/>
      <c r="BA21" s="807"/>
      <c r="BB21" s="807"/>
      <c r="BC21" s="807"/>
      <c r="BD21" s="807"/>
      <c r="BE21" s="807"/>
    </row>
    <row r="22" spans="2:57" x14ac:dyDescent="0.3">
      <c r="B22" s="450"/>
      <c r="C22" s="102"/>
      <c r="D22" s="102"/>
      <c r="E22" s="222"/>
      <c r="F22" s="102"/>
      <c r="G22" s="102" t="s">
        <v>264</v>
      </c>
      <c r="H22" s="223"/>
      <c r="I22" s="223"/>
      <c r="J22" s="449"/>
      <c r="K22" s="449"/>
      <c r="L22" s="449"/>
      <c r="M22" s="449"/>
      <c r="N22" s="449"/>
      <c r="O22" s="449"/>
      <c r="P22" s="449"/>
      <c r="Q22" s="449"/>
      <c r="R22" s="449"/>
      <c r="S22" s="449"/>
      <c r="T22" s="449"/>
      <c r="U22" s="449"/>
      <c r="V22" s="449"/>
      <c r="W22" s="449">
        <f t="shared" ref="W22:AG22" si="2">W19-SUM(W20:W21)</f>
        <v>23.303291402714933</v>
      </c>
      <c r="X22" s="449">
        <f t="shared" si="2"/>
        <v>28.404183043880998</v>
      </c>
      <c r="Y22" s="449">
        <f t="shared" si="2"/>
        <v>29.555836163006138</v>
      </c>
      <c r="Z22" s="449">
        <f t="shared" si="2"/>
        <v>23.95190913259863</v>
      </c>
      <c r="AA22" s="449">
        <f t="shared" si="2"/>
        <v>24.595879513343228</v>
      </c>
      <c r="AB22" s="449">
        <f t="shared" si="2"/>
        <v>32.91297037322466</v>
      </c>
      <c r="AC22" s="449">
        <f t="shared" si="2"/>
        <v>41.478700000000003</v>
      </c>
      <c r="AD22" s="449">
        <f t="shared" si="2"/>
        <v>41.848500000000001</v>
      </c>
      <c r="AE22" s="449">
        <f t="shared" si="2"/>
        <v>42.101500000000001</v>
      </c>
      <c r="AF22" s="449">
        <f t="shared" si="2"/>
        <v>44.154500000000013</v>
      </c>
      <c r="AG22" s="449">
        <f t="shared" si="2"/>
        <v>45.830500000000001</v>
      </c>
      <c r="AH22" s="449">
        <f>AH19-SUM(AH20:AH21)</f>
        <v>80.997000000000014</v>
      </c>
      <c r="AI22" s="449">
        <f>AI19-SUM(AI20:AI21)</f>
        <v>77.597000000000008</v>
      </c>
      <c r="AJ22" s="449">
        <f>AJ19-SUM(AJ20:AJ21)</f>
        <v>50.567</v>
      </c>
      <c r="AK22" s="449">
        <f>AK19-SUM(AK20:AK21)</f>
        <v>37.512</v>
      </c>
      <c r="AL22" s="449">
        <f>AL19-SUM(AL20:AL21)</f>
        <v>49.321999999999996</v>
      </c>
      <c r="AM22" s="224"/>
      <c r="AO22" s="807"/>
      <c r="AP22" s="807"/>
      <c r="AQ22" s="807"/>
      <c r="AR22" s="807"/>
      <c r="AS22" s="807"/>
      <c r="AT22" s="807"/>
      <c r="AU22" s="807"/>
      <c r="AV22" s="807"/>
      <c r="AW22" s="807"/>
      <c r="AX22" s="807"/>
      <c r="AY22" s="807"/>
      <c r="AZ22" s="807"/>
      <c r="BA22" s="807"/>
      <c r="BB22" s="807"/>
      <c r="BC22" s="807"/>
      <c r="BD22" s="807"/>
      <c r="BE22" s="807"/>
    </row>
    <row r="23" spans="2:57" x14ac:dyDescent="0.3">
      <c r="B23" s="450"/>
      <c r="C23" s="102"/>
      <c r="D23" s="102"/>
      <c r="E23" s="222"/>
      <c r="F23" s="102"/>
      <c r="G23" s="102"/>
      <c r="H23" s="223"/>
      <c r="I23" s="223"/>
      <c r="J23" s="449"/>
      <c r="K23" s="449"/>
      <c r="L23" s="449"/>
      <c r="M23" s="449"/>
      <c r="N23" s="449"/>
      <c r="O23" s="449"/>
      <c r="P23" s="449"/>
      <c r="Q23" s="449"/>
      <c r="R23" s="449"/>
      <c r="S23" s="449"/>
      <c r="T23" s="449"/>
      <c r="U23" s="449"/>
      <c r="V23" s="449"/>
      <c r="W23" s="449"/>
      <c r="X23" s="449"/>
      <c r="Y23" s="449"/>
      <c r="Z23" s="449"/>
      <c r="AA23" s="449"/>
      <c r="AB23" s="449"/>
      <c r="AC23" s="449"/>
      <c r="AD23" s="449"/>
      <c r="AE23" s="449"/>
      <c r="AF23" s="449"/>
      <c r="AG23" s="449"/>
      <c r="AH23" s="449"/>
      <c r="AI23" s="449"/>
      <c r="AJ23" s="449"/>
      <c r="AK23" s="449"/>
      <c r="AL23" s="449"/>
      <c r="AM23" s="224"/>
      <c r="AO23" s="807"/>
      <c r="AP23" s="807"/>
      <c r="AQ23" s="807"/>
      <c r="AR23" s="807"/>
      <c r="AS23" s="807"/>
      <c r="AT23" s="807"/>
      <c r="AU23" s="807"/>
      <c r="AV23" s="807"/>
      <c r="AW23" s="807"/>
      <c r="AX23" s="807"/>
      <c r="AY23" s="807"/>
      <c r="AZ23" s="807"/>
      <c r="BA23" s="807"/>
      <c r="BB23" s="807"/>
      <c r="BC23" s="807"/>
      <c r="BD23" s="807"/>
      <c r="BE23" s="807"/>
    </row>
    <row r="24" spans="2:57" x14ac:dyDescent="0.3">
      <c r="C24" s="102"/>
      <c r="D24" s="102"/>
      <c r="E24" s="222"/>
      <c r="F24" s="102"/>
      <c r="G24" s="102" t="s">
        <v>62</v>
      </c>
      <c r="H24" s="223"/>
      <c r="I24" s="223"/>
      <c r="J24" s="449"/>
      <c r="K24" s="449"/>
      <c r="L24" s="449"/>
      <c r="M24" s="449"/>
      <c r="N24" s="449"/>
      <c r="O24" s="449"/>
      <c r="P24" s="449"/>
      <c r="Q24" s="449"/>
      <c r="R24" s="449"/>
      <c r="S24" s="449"/>
      <c r="T24" s="449"/>
      <c r="U24" s="449"/>
      <c r="V24" s="449"/>
      <c r="W24" s="449">
        <f>Capex_FO_AC!W23</f>
        <v>11.1857592760181</v>
      </c>
      <c r="X24" s="449">
        <f>Capex_FO_AC!X23</f>
        <v>16.508886551456484</v>
      </c>
      <c r="Y24" s="449">
        <f>Capex_FO_AC!Y23</f>
        <v>15.78905485656442</v>
      </c>
      <c r="Z24" s="449">
        <f>Capex_FO_AC!Z23</f>
        <v>23.25728387650086</v>
      </c>
      <c r="AA24" s="449">
        <f>Capex_FO_AC!AA23</f>
        <v>23.489856715265869</v>
      </c>
      <c r="AB24" s="449">
        <f>Capex_FO_AC!AB23</f>
        <v>23.724755282418528</v>
      </c>
      <c r="AC24" s="449">
        <f>Capex_FO_AC!AC23</f>
        <v>25.9</v>
      </c>
      <c r="AD24" s="449">
        <f>Capex_FO_AC!AD23</f>
        <v>26.158999999999999</v>
      </c>
      <c r="AE24" s="449">
        <f>Capex_FO_AC!AE23</f>
        <v>26.420590000000001</v>
      </c>
      <c r="AF24" s="449">
        <f>Capex_FO_AC!AF23</f>
        <v>26.684795900000001</v>
      </c>
      <c r="AG24" s="449">
        <f>Capex_FO_AC!AG23</f>
        <v>26.951643859000001</v>
      </c>
      <c r="AH24" s="449">
        <f>Capex_FO_AC!AH23</f>
        <v>27.22116029759</v>
      </c>
      <c r="AI24" s="449">
        <f>Capex_FO_AC!AI23</f>
        <v>27.493371900565901</v>
      </c>
      <c r="AJ24" s="449">
        <f>Capex_FO_AC!AJ23</f>
        <v>27.76830561957156</v>
      </c>
      <c r="AK24" s="449">
        <f>Capex_FO_AC!AK23</f>
        <v>28.045988675767276</v>
      </c>
      <c r="AL24" s="449">
        <f>Capex_FO_AC!AL23</f>
        <v>28.326448562524948</v>
      </c>
      <c r="AM24" s="224"/>
      <c r="AO24" s="807"/>
      <c r="AP24" s="807"/>
      <c r="AQ24" s="807"/>
      <c r="AR24" s="807"/>
      <c r="AS24" s="807"/>
      <c r="AT24" s="807"/>
      <c r="AU24" s="807"/>
      <c r="AV24" s="807"/>
      <c r="AW24" s="807"/>
      <c r="AX24" s="807"/>
      <c r="AY24" s="807"/>
      <c r="AZ24" s="807"/>
      <c r="BA24" s="807"/>
      <c r="BB24" s="807"/>
      <c r="BC24" s="807"/>
      <c r="BD24" s="807"/>
      <c r="BE24" s="807"/>
    </row>
    <row r="25" spans="2:57" x14ac:dyDescent="0.3">
      <c r="C25" s="102"/>
      <c r="D25" s="102"/>
      <c r="E25" s="222"/>
      <c r="F25" s="102"/>
      <c r="G25" s="102" t="s">
        <v>699</v>
      </c>
      <c r="H25" s="223"/>
      <c r="I25" s="223"/>
      <c r="J25" s="449"/>
      <c r="K25" s="449"/>
      <c r="L25" s="449"/>
      <c r="M25" s="449"/>
      <c r="N25" s="449"/>
      <c r="O25" s="449"/>
      <c r="P25" s="449"/>
      <c r="Q25" s="449"/>
      <c r="R25" s="449"/>
      <c r="S25" s="449"/>
      <c r="T25" s="449"/>
      <c r="U25" s="449"/>
      <c r="V25" s="449"/>
      <c r="W25" s="449">
        <f>Capex_FO_AC!W24</f>
        <v>0.32740995475113122</v>
      </c>
      <c r="X25" s="449">
        <f>Capex_FO_AC!X24</f>
        <v>0.56998401420959155</v>
      </c>
      <c r="Y25" s="449">
        <f>Capex_FO_AC!Y24</f>
        <v>0.21971323822085892</v>
      </c>
      <c r="Z25" s="449">
        <f>Capex_FO_AC!Z24</f>
        <v>0.61099914236706698</v>
      </c>
      <c r="AA25" s="449">
        <f>Capex_FO_AC!AA24</f>
        <v>0.61710913379073762</v>
      </c>
      <c r="AB25" s="449">
        <f>Capex_FO_AC!AB24</f>
        <v>0.623280225128645</v>
      </c>
      <c r="AC25" s="449">
        <f>Capex_FO_AC!AC24</f>
        <v>0.4</v>
      </c>
      <c r="AD25" s="449">
        <f>Capex_FO_AC!AD24</f>
        <v>0.40400000000000003</v>
      </c>
      <c r="AE25" s="449">
        <f>Capex_FO_AC!AE24</f>
        <v>0.40804000000000001</v>
      </c>
      <c r="AF25" s="449">
        <f>Capex_FO_AC!AF24</f>
        <v>0.4121204</v>
      </c>
      <c r="AG25" s="449">
        <f>Capex_FO_AC!AG24</f>
        <v>0.41624160399999999</v>
      </c>
      <c r="AH25" s="449">
        <f>Capex_FO_AC!AH24</f>
        <v>0.42040402003999999</v>
      </c>
      <c r="AI25" s="449">
        <f>Capex_FO_AC!AI24</f>
        <v>0.42460806024039999</v>
      </c>
      <c r="AJ25" s="449">
        <f>Capex_FO_AC!AJ24</f>
        <v>0.42885414084280399</v>
      </c>
      <c r="AK25" s="449">
        <f>Capex_FO_AC!AK24</f>
        <v>0.43314268225123204</v>
      </c>
      <c r="AL25" s="449">
        <f>Capex_FO_AC!AL24</f>
        <v>0.43747410907374434</v>
      </c>
      <c r="AM25" s="224"/>
      <c r="AO25" s="807"/>
      <c r="AP25" s="807"/>
      <c r="AQ25" s="807"/>
      <c r="AR25" s="807"/>
      <c r="AS25" s="807"/>
      <c r="AT25" s="807"/>
      <c r="AU25" s="807"/>
      <c r="AV25" s="807"/>
      <c r="AW25" s="807"/>
      <c r="AX25" s="807"/>
      <c r="AY25" s="807"/>
      <c r="AZ25" s="807"/>
      <c r="BA25" s="807"/>
      <c r="BB25" s="807"/>
      <c r="BC25" s="807"/>
      <c r="BD25" s="807"/>
      <c r="BE25" s="807"/>
    </row>
    <row r="26" spans="2:57" x14ac:dyDescent="0.3">
      <c r="C26" s="102"/>
      <c r="D26" s="102"/>
      <c r="E26" s="222"/>
      <c r="F26" s="102"/>
      <c r="G26" s="102"/>
      <c r="H26" s="223"/>
      <c r="I26" s="223"/>
      <c r="J26" s="102"/>
      <c r="K26" s="102"/>
      <c r="L26" s="449"/>
      <c r="M26" s="449"/>
      <c r="N26" s="449"/>
      <c r="O26" s="449"/>
      <c r="P26" s="449"/>
      <c r="Q26" s="449"/>
      <c r="R26" s="449"/>
      <c r="S26" s="449"/>
      <c r="T26" s="449"/>
      <c r="U26" s="449"/>
      <c r="V26" s="449"/>
      <c r="W26" s="449"/>
      <c r="X26" s="449"/>
      <c r="Y26" s="449"/>
      <c r="Z26" s="449"/>
      <c r="AA26" s="449"/>
      <c r="AB26" s="449"/>
      <c r="AC26" s="118"/>
      <c r="AD26" s="118"/>
      <c r="AE26" s="118"/>
      <c r="AF26" s="118"/>
      <c r="AG26" s="118"/>
      <c r="AH26" s="118"/>
      <c r="AI26" s="118"/>
      <c r="AJ26" s="118"/>
      <c r="AK26" s="118"/>
      <c r="AL26" s="118"/>
      <c r="AM26" s="224"/>
      <c r="AO26" s="807"/>
      <c r="AP26" s="807"/>
      <c r="AQ26" s="807"/>
      <c r="AR26" s="807"/>
      <c r="AS26" s="807"/>
      <c r="AT26" s="807"/>
      <c r="AU26" s="807"/>
      <c r="AV26" s="807"/>
      <c r="AW26" s="807"/>
      <c r="AX26" s="807"/>
      <c r="AY26" s="807"/>
      <c r="AZ26" s="807"/>
      <c r="BA26" s="807"/>
      <c r="BB26" s="807"/>
      <c r="BC26" s="807"/>
      <c r="BD26" s="807"/>
      <c r="BE26" s="807"/>
    </row>
    <row r="27" spans="2:57" x14ac:dyDescent="0.3">
      <c r="C27" s="102"/>
      <c r="D27" s="102"/>
      <c r="E27" s="222"/>
      <c r="F27" s="447" t="s">
        <v>26</v>
      </c>
      <c r="G27" s="102"/>
      <c r="H27" s="223"/>
      <c r="I27" s="223"/>
      <c r="J27" s="102"/>
      <c r="K27" s="102"/>
      <c r="L27" s="449"/>
      <c r="M27" s="449"/>
      <c r="N27" s="449"/>
      <c r="O27" s="449"/>
      <c r="P27" s="449"/>
      <c r="Q27" s="449"/>
      <c r="R27" s="449"/>
      <c r="S27" s="449"/>
      <c r="T27" s="449"/>
      <c r="U27" s="449"/>
      <c r="V27" s="449"/>
      <c r="W27" s="449"/>
      <c r="X27" s="449"/>
      <c r="Y27" s="449"/>
      <c r="Z27" s="449"/>
      <c r="AA27" s="449"/>
      <c r="AB27" s="449"/>
      <c r="AC27" s="118"/>
      <c r="AD27" s="118"/>
      <c r="AE27" s="118"/>
      <c r="AF27" s="118"/>
      <c r="AG27" s="118"/>
      <c r="AH27" s="118"/>
      <c r="AI27" s="118"/>
      <c r="AJ27" s="118"/>
      <c r="AK27" s="118"/>
      <c r="AL27" s="118"/>
      <c r="AM27" s="224"/>
      <c r="AO27" s="807"/>
      <c r="AP27" s="807"/>
      <c r="AQ27" s="807"/>
      <c r="AR27" s="807"/>
      <c r="AS27" s="807"/>
      <c r="AT27" s="807"/>
      <c r="AU27" s="807"/>
      <c r="AV27" s="807"/>
      <c r="AW27" s="807"/>
      <c r="AX27" s="807"/>
      <c r="AY27" s="807"/>
      <c r="AZ27" s="807"/>
      <c r="BA27" s="807"/>
      <c r="BB27" s="807"/>
      <c r="BC27" s="807"/>
      <c r="BD27" s="807"/>
      <c r="BE27" s="807"/>
    </row>
    <row r="28" spans="2:57" x14ac:dyDescent="0.3">
      <c r="C28" s="102"/>
      <c r="D28" s="102"/>
      <c r="E28" s="222"/>
      <c r="F28" s="447"/>
      <c r="G28" s="72" t="s">
        <v>697</v>
      </c>
      <c r="H28" s="223"/>
      <c r="I28" s="223"/>
      <c r="J28" s="102"/>
      <c r="K28" s="102"/>
      <c r="L28" s="449"/>
      <c r="M28" s="449"/>
      <c r="N28" s="449"/>
      <c r="O28" s="449"/>
      <c r="P28" s="449"/>
      <c r="Q28" s="449"/>
      <c r="R28" s="449"/>
      <c r="S28" s="449"/>
      <c r="T28" s="449"/>
      <c r="U28" s="449"/>
      <c r="V28" s="449"/>
      <c r="W28" s="449"/>
      <c r="X28" s="449"/>
      <c r="Y28" s="449"/>
      <c r="Z28" s="449"/>
      <c r="AA28" s="449"/>
      <c r="AB28" s="449"/>
      <c r="AC28" s="449">
        <f>+RollForward_FO!AC15</f>
        <v>19.794033704541835</v>
      </c>
      <c r="AD28" s="449">
        <f>+RollForward_FO!AD15</f>
        <v>20.74253776682837</v>
      </c>
      <c r="AE28" s="449">
        <f>+RollForward_FO!AE15</f>
        <v>21.661387683787435</v>
      </c>
      <c r="AF28" s="449">
        <f>+RollForward_FO!AF15</f>
        <v>22.546482110649428</v>
      </c>
      <c r="AG28" s="449">
        <f>+RollForward_FO!AG15</f>
        <v>23.481760936648907</v>
      </c>
      <c r="AH28" s="449">
        <f>+RollForward_FO!AH15</f>
        <v>24.447175033238413</v>
      </c>
      <c r="AI28" s="449">
        <f>+RollForward_FO!AI15</f>
        <v>26.974040401734324</v>
      </c>
      <c r="AJ28" s="449">
        <f>+RollForward_FO!AJ15</f>
        <v>29.225980708021513</v>
      </c>
      <c r="AK28" s="449">
        <f>+RollForward_FO!AK15</f>
        <v>30.131960094124892</v>
      </c>
      <c r="AL28" s="449">
        <f>+RollForward_FO!AL15</f>
        <v>30.396297927635217</v>
      </c>
      <c r="AM28" s="224"/>
      <c r="AO28" s="807"/>
      <c r="AP28" s="807"/>
      <c r="AQ28" s="807"/>
      <c r="AR28" s="807"/>
      <c r="AS28" s="807"/>
      <c r="AT28" s="807"/>
      <c r="AU28" s="807"/>
      <c r="AV28" s="807"/>
      <c r="AW28" s="807"/>
      <c r="AX28" s="807"/>
      <c r="AY28" s="807"/>
      <c r="AZ28" s="807"/>
      <c r="BA28" s="807"/>
      <c r="BB28" s="807"/>
      <c r="BC28" s="807"/>
      <c r="BD28" s="807"/>
      <c r="BE28" s="807"/>
    </row>
    <row r="29" spans="2:57" x14ac:dyDescent="0.3">
      <c r="C29" s="102"/>
      <c r="D29" s="102"/>
      <c r="E29" s="222"/>
      <c r="F29" s="102"/>
      <c r="G29" s="102" t="s">
        <v>698</v>
      </c>
      <c r="H29" s="223"/>
      <c r="I29" s="223"/>
      <c r="J29" s="449"/>
      <c r="K29" s="449"/>
      <c r="L29" s="449"/>
      <c r="M29" s="449"/>
      <c r="N29" s="449"/>
      <c r="O29" s="449"/>
      <c r="P29" s="449"/>
      <c r="Q29" s="449"/>
      <c r="R29" s="449"/>
      <c r="S29" s="118"/>
      <c r="T29" s="118"/>
      <c r="U29" s="118"/>
      <c r="V29" s="118"/>
      <c r="W29" s="118"/>
      <c r="X29" s="449"/>
      <c r="Y29" s="449"/>
      <c r="Z29" s="449"/>
      <c r="AA29" s="449"/>
      <c r="AB29" s="449"/>
      <c r="AC29" s="449">
        <f ca="1">+'Capex_FO input'!D32</f>
        <v>0.20910958333333329</v>
      </c>
      <c r="AD29" s="449">
        <f ca="1">+'Capex_FO input'!E32</f>
        <v>0.76507958333333304</v>
      </c>
      <c r="AE29" s="449">
        <f ca="1">+'Capex_FO input'!F32</f>
        <v>1.5033900000000002</v>
      </c>
      <c r="AF29" s="449">
        <f ca="1">+'Capex_FO input'!G32</f>
        <v>2.3117972916666667</v>
      </c>
      <c r="AG29" s="449">
        <f ca="1">+'Capex_FO input'!H32</f>
        <v>2.9036160416666656</v>
      </c>
      <c r="AH29" s="449">
        <f ca="1">+'Capex_FO input'!I32</f>
        <v>3.8545045833333327</v>
      </c>
      <c r="AI29" s="449">
        <f ca="1">+'Capex_FO input'!J32</f>
        <v>5.4187462500000043</v>
      </c>
      <c r="AJ29" s="449">
        <f ca="1">+'Capex_FO input'!K32</f>
        <v>6.9452170833333362</v>
      </c>
      <c r="AK29" s="449">
        <f ca="1">+'Capex_FO input'!L32</f>
        <v>8.1038233333333327</v>
      </c>
      <c r="AL29" s="449">
        <f ca="1">+'Capex_FO input'!M32</f>
        <v>9.0227316666666688</v>
      </c>
      <c r="AM29" s="224"/>
      <c r="AO29" s="807"/>
      <c r="AP29" s="807"/>
      <c r="AQ29" s="807"/>
      <c r="AR29" s="807"/>
      <c r="AS29" s="807"/>
      <c r="AT29" s="807"/>
      <c r="AU29" s="807"/>
      <c r="AV29" s="807"/>
      <c r="AW29" s="807"/>
      <c r="AX29" s="807"/>
      <c r="AY29" s="807"/>
      <c r="AZ29" s="807"/>
      <c r="BA29" s="807"/>
      <c r="BB29" s="807"/>
      <c r="BC29" s="807"/>
      <c r="BD29" s="807"/>
      <c r="BE29" s="807"/>
    </row>
    <row r="30" spans="2:57" x14ac:dyDescent="0.3">
      <c r="C30" s="102"/>
      <c r="D30" s="102"/>
      <c r="E30" s="222"/>
      <c r="F30" s="102"/>
      <c r="G30" s="102" t="s">
        <v>696</v>
      </c>
      <c r="H30" s="223"/>
      <c r="I30" s="223"/>
      <c r="J30" s="102"/>
      <c r="K30" s="102"/>
      <c r="L30" s="449"/>
      <c r="M30" s="449"/>
      <c r="N30" s="449"/>
      <c r="O30" s="449"/>
      <c r="P30" s="449"/>
      <c r="Q30" s="449"/>
      <c r="R30" s="449"/>
      <c r="S30" s="449"/>
      <c r="T30" s="449"/>
      <c r="U30" s="449"/>
      <c r="V30" s="449"/>
      <c r="W30" s="449"/>
      <c r="X30" s="449"/>
      <c r="Y30" s="449"/>
      <c r="Z30" s="449"/>
      <c r="AA30" s="449"/>
      <c r="AB30" s="449"/>
      <c r="AC30" s="449">
        <f t="shared" ref="AC30:AG30" ca="1" si="3">SUM(AC28:AC29)</f>
        <v>20.003143287875169</v>
      </c>
      <c r="AD30" s="449">
        <f t="shared" ca="1" si="3"/>
        <v>21.507617350161702</v>
      </c>
      <c r="AE30" s="449">
        <f t="shared" ca="1" si="3"/>
        <v>23.164777683787435</v>
      </c>
      <c r="AF30" s="449">
        <f t="shared" ca="1" si="3"/>
        <v>24.858279402316096</v>
      </c>
      <c r="AG30" s="449">
        <f t="shared" ca="1" si="3"/>
        <v>26.385376978315573</v>
      </c>
      <c r="AH30" s="449">
        <f ca="1">SUM(AH28:AH29)</f>
        <v>28.301679616571747</v>
      </c>
      <c r="AI30" s="449">
        <f ca="1">SUM(AI28:AI29)</f>
        <v>32.392786651734326</v>
      </c>
      <c r="AJ30" s="449">
        <f ca="1">SUM(AJ28:AJ29)</f>
        <v>36.171197791354849</v>
      </c>
      <c r="AK30" s="449">
        <f ca="1">SUM(AK28:AK29)</f>
        <v>38.235783427458223</v>
      </c>
      <c r="AL30" s="449">
        <f ca="1">SUM(AL28:AL29)</f>
        <v>39.41902959430189</v>
      </c>
      <c r="AM30" s="224"/>
      <c r="AO30" s="807"/>
      <c r="AP30" s="807"/>
      <c r="AQ30" s="807"/>
      <c r="AR30" s="807"/>
      <c r="AS30" s="807"/>
      <c r="AT30" s="807"/>
      <c r="AU30" s="807"/>
      <c r="AV30" s="807"/>
      <c r="AW30" s="807"/>
      <c r="AX30" s="807"/>
      <c r="AY30" s="807"/>
      <c r="AZ30" s="807"/>
      <c r="BA30" s="807"/>
      <c r="BB30" s="807"/>
      <c r="BC30" s="807"/>
      <c r="BD30" s="807"/>
      <c r="BE30" s="807"/>
    </row>
    <row r="31" spans="2:57" x14ac:dyDescent="0.3">
      <c r="C31" s="102"/>
      <c r="D31" s="102"/>
      <c r="E31" s="222"/>
      <c r="F31" s="102"/>
      <c r="G31" s="102"/>
      <c r="H31" s="223"/>
      <c r="I31" s="223"/>
      <c r="J31" s="102"/>
      <c r="K31" s="102"/>
      <c r="L31" s="449"/>
      <c r="M31" s="449"/>
      <c r="N31" s="449"/>
      <c r="O31" s="449"/>
      <c r="P31" s="449"/>
      <c r="Q31" s="449"/>
      <c r="R31" s="449"/>
      <c r="S31" s="449"/>
      <c r="T31" s="449"/>
      <c r="U31" s="449"/>
      <c r="V31" s="449"/>
      <c r="W31" s="449"/>
      <c r="X31" s="449"/>
      <c r="Y31" s="449"/>
      <c r="Z31" s="449"/>
      <c r="AA31" s="449"/>
      <c r="AB31" s="449"/>
      <c r="AC31" s="118"/>
      <c r="AD31" s="118"/>
      <c r="AE31" s="118"/>
      <c r="AF31" s="118"/>
      <c r="AG31" s="118"/>
      <c r="AH31" s="118"/>
      <c r="AI31" s="118"/>
      <c r="AJ31" s="118"/>
      <c r="AK31" s="118"/>
      <c r="AL31" s="118"/>
      <c r="AM31" s="224"/>
    </row>
    <row r="32" spans="2:57" ht="12.5" thickBot="1" x14ac:dyDescent="0.35">
      <c r="C32" s="102"/>
      <c r="D32" s="102"/>
      <c r="E32" s="451"/>
      <c r="F32" s="452"/>
      <c r="G32" s="452"/>
      <c r="H32" s="453"/>
      <c r="I32" s="453"/>
      <c r="J32" s="454"/>
      <c r="K32" s="454"/>
      <c r="L32" s="454"/>
      <c r="M32" s="454"/>
      <c r="N32" s="454"/>
      <c r="O32" s="454"/>
      <c r="P32" s="454"/>
      <c r="Q32" s="454"/>
      <c r="R32" s="454"/>
      <c r="S32" s="454"/>
      <c r="T32" s="454"/>
      <c r="U32" s="454"/>
      <c r="V32" s="454"/>
      <c r="W32" s="454"/>
      <c r="X32" s="454"/>
      <c r="Y32" s="454"/>
      <c r="Z32" s="454"/>
      <c r="AA32" s="454"/>
      <c r="AB32" s="454"/>
      <c r="AC32" s="454"/>
      <c r="AD32" s="454"/>
      <c r="AE32" s="454"/>
      <c r="AF32" s="454"/>
      <c r="AG32" s="454"/>
      <c r="AH32" s="454"/>
      <c r="AI32" s="454"/>
      <c r="AJ32" s="454"/>
      <c r="AK32" s="454"/>
      <c r="AL32" s="454"/>
      <c r="AM32" s="455"/>
    </row>
    <row r="33" spans="3:39" x14ac:dyDescent="0.3">
      <c r="C33" s="102"/>
      <c r="D33" s="102"/>
      <c r="E33" s="102"/>
      <c r="F33" s="102"/>
      <c r="G33" s="102"/>
      <c r="H33" s="223"/>
      <c r="I33" s="223"/>
      <c r="J33" s="449"/>
      <c r="K33" s="449"/>
      <c r="L33" s="449"/>
      <c r="M33" s="449"/>
      <c r="N33" s="449"/>
      <c r="O33" s="449"/>
      <c r="P33" s="449"/>
      <c r="Q33" s="449"/>
      <c r="R33" s="449"/>
      <c r="S33" s="449"/>
      <c r="T33" s="449"/>
      <c r="U33" s="449"/>
      <c r="V33" s="449"/>
      <c r="W33" s="449"/>
      <c r="X33" s="449"/>
      <c r="Y33" s="449"/>
      <c r="Z33" s="449"/>
      <c r="AA33" s="449"/>
      <c r="AB33" s="449"/>
      <c r="AC33" s="102"/>
      <c r="AD33" s="126"/>
      <c r="AE33" s="126"/>
      <c r="AH33" s="102"/>
      <c r="AI33" s="126"/>
      <c r="AJ33" s="126"/>
    </row>
    <row r="34" spans="3:39" x14ac:dyDescent="0.3">
      <c r="C34" s="102"/>
      <c r="D34" s="102"/>
      <c r="E34" s="102"/>
      <c r="F34" s="102"/>
      <c r="G34" s="102"/>
      <c r="H34" s="223"/>
      <c r="I34" s="223"/>
      <c r="J34" s="449"/>
      <c r="K34" s="449"/>
      <c r="L34" s="449"/>
      <c r="M34" s="449"/>
      <c r="N34" s="449"/>
      <c r="O34" s="449"/>
      <c r="P34" s="449"/>
      <c r="Q34" s="449"/>
      <c r="R34" s="449"/>
      <c r="S34" s="449"/>
      <c r="T34" s="449"/>
      <c r="U34" s="449"/>
      <c r="V34" s="449"/>
      <c r="W34" s="449"/>
      <c r="X34" s="449"/>
      <c r="Y34" s="449"/>
      <c r="Z34" s="449"/>
      <c r="AA34" s="449"/>
      <c r="AB34" s="449"/>
      <c r="AC34" s="102"/>
      <c r="AD34" s="126"/>
      <c r="AE34" s="126"/>
      <c r="AH34" s="102"/>
      <c r="AI34" s="126"/>
      <c r="AJ34" s="126"/>
    </row>
    <row r="35" spans="3:39" x14ac:dyDescent="0.3">
      <c r="C35" s="102"/>
      <c r="D35" s="102"/>
      <c r="E35" s="102"/>
      <c r="F35" s="227"/>
      <c r="G35" s="227"/>
      <c r="H35" s="456"/>
      <c r="I35" s="456"/>
      <c r="J35" s="449"/>
      <c r="K35" s="449"/>
      <c r="L35" s="449"/>
      <c r="M35" s="449"/>
      <c r="N35" s="449"/>
      <c r="O35" s="449"/>
      <c r="P35" s="449"/>
      <c r="Q35" s="449"/>
      <c r="R35" s="449"/>
      <c r="S35" s="457"/>
      <c r="T35" s="457"/>
      <c r="U35" s="457"/>
      <c r="V35" s="457"/>
      <c r="W35" s="457"/>
      <c r="X35" s="457"/>
      <c r="Y35" s="457"/>
      <c r="Z35" s="457"/>
      <c r="AA35" s="457"/>
      <c r="AB35" s="457"/>
      <c r="AC35" s="102"/>
      <c r="AD35" s="126"/>
      <c r="AE35" s="126"/>
      <c r="AH35" s="102"/>
      <c r="AI35" s="126"/>
      <c r="AJ35" s="126"/>
    </row>
    <row r="36" spans="3:39" x14ac:dyDescent="0.3">
      <c r="C36" s="102"/>
      <c r="D36" s="102"/>
      <c r="E36" s="102"/>
      <c r="F36" s="102"/>
      <c r="G36" s="102"/>
      <c r="H36" s="223"/>
      <c r="I36" s="223"/>
      <c r="J36" s="449"/>
      <c r="K36" s="449"/>
      <c r="L36" s="449"/>
      <c r="M36" s="449"/>
      <c r="N36" s="458"/>
      <c r="O36" s="449"/>
      <c r="P36" s="449"/>
      <c r="Q36" s="449"/>
      <c r="R36" s="449"/>
      <c r="S36" s="449"/>
      <c r="T36" s="449"/>
      <c r="U36" s="449"/>
      <c r="V36" s="449"/>
      <c r="W36" s="449"/>
      <c r="X36" s="449"/>
      <c r="Y36" s="449"/>
      <c r="Z36" s="449"/>
      <c r="AA36" s="449"/>
      <c r="AB36" s="449"/>
      <c r="AC36" s="449"/>
      <c r="AD36" s="449"/>
      <c r="AE36" s="449"/>
      <c r="AF36" s="449"/>
      <c r="AG36" s="449"/>
      <c r="AH36" s="449"/>
      <c r="AI36" s="449"/>
      <c r="AJ36" s="449"/>
      <c r="AK36" s="449"/>
      <c r="AL36" s="449"/>
      <c r="AM36" s="449"/>
    </row>
    <row r="37" spans="3:39" x14ac:dyDescent="0.3">
      <c r="C37" s="102"/>
      <c r="D37" s="102"/>
      <c r="E37" s="102"/>
      <c r="F37" s="102"/>
      <c r="G37" s="102"/>
      <c r="H37" s="223"/>
      <c r="I37" s="223"/>
      <c r="J37" s="102"/>
      <c r="K37" s="102"/>
      <c r="L37" s="102"/>
      <c r="M37" s="102"/>
      <c r="N37" s="102"/>
      <c r="O37" s="102"/>
      <c r="P37" s="102"/>
      <c r="Q37" s="102"/>
      <c r="R37" s="102"/>
      <c r="S37" s="449"/>
      <c r="T37" s="449"/>
      <c r="U37" s="449"/>
      <c r="V37" s="449"/>
      <c r="W37" s="449"/>
      <c r="X37" s="449"/>
      <c r="Y37" s="449"/>
      <c r="Z37" s="1310"/>
      <c r="AA37" s="1310"/>
      <c r="AB37" s="1310"/>
      <c r="AC37" s="1310"/>
      <c r="AD37" s="1310"/>
      <c r="AE37" s="1310"/>
      <c r="AF37" s="1310"/>
      <c r="AG37" s="1310"/>
      <c r="AH37" s="1310"/>
      <c r="AI37" s="1310"/>
      <c r="AJ37" s="1310"/>
      <c r="AK37" s="1310"/>
      <c r="AL37" s="1310"/>
      <c r="AM37" s="449"/>
    </row>
    <row r="38" spans="3:39" x14ac:dyDescent="0.3">
      <c r="C38" s="102"/>
      <c r="D38" s="102"/>
      <c r="E38" s="102"/>
      <c r="F38" s="102"/>
      <c r="G38" s="102"/>
      <c r="H38" s="223"/>
      <c r="I38" s="223"/>
      <c r="J38" s="102"/>
      <c r="K38" s="102"/>
      <c r="L38" s="102"/>
      <c r="M38" s="102"/>
      <c r="N38" s="102"/>
      <c r="O38" s="102"/>
      <c r="P38" s="102"/>
      <c r="Q38" s="102"/>
      <c r="R38" s="102"/>
      <c r="S38" s="449"/>
      <c r="T38" s="449"/>
      <c r="U38" s="449"/>
      <c r="V38" s="449"/>
      <c r="W38" s="449"/>
      <c r="X38" s="449"/>
      <c r="Y38" s="449"/>
      <c r="Z38" s="1310"/>
      <c r="AA38" s="1310"/>
      <c r="AB38" s="1310"/>
      <c r="AC38" s="1310"/>
      <c r="AD38" s="1310"/>
      <c r="AE38" s="1310"/>
      <c r="AF38" s="1310"/>
      <c r="AG38" s="1310"/>
      <c r="AH38" s="1310"/>
      <c r="AI38" s="1310"/>
      <c r="AJ38" s="1310"/>
      <c r="AK38" s="1310"/>
      <c r="AL38" s="1310"/>
      <c r="AM38" s="449"/>
    </row>
    <row r="39" spans="3:39" x14ac:dyDescent="0.3">
      <c r="C39" s="126"/>
      <c r="D39" s="126"/>
      <c r="E39" s="126"/>
      <c r="F39" s="126"/>
      <c r="G39" s="126"/>
      <c r="H39" s="441"/>
      <c r="I39" s="441"/>
      <c r="J39" s="126"/>
      <c r="K39" s="126"/>
      <c r="L39" s="126"/>
      <c r="M39" s="126"/>
      <c r="N39" s="126"/>
      <c r="O39" s="126"/>
      <c r="P39" s="126"/>
      <c r="Q39" s="126"/>
      <c r="R39" s="126"/>
      <c r="S39" s="449"/>
      <c r="T39" s="449"/>
      <c r="U39" s="449"/>
      <c r="V39" s="449"/>
      <c r="W39" s="449"/>
      <c r="X39" s="449"/>
      <c r="Y39" s="449"/>
      <c r="Z39" s="449"/>
      <c r="AA39" s="449"/>
      <c r="AB39" s="449"/>
      <c r="AC39" s="449"/>
      <c r="AD39" s="449"/>
      <c r="AE39" s="449"/>
      <c r="AF39" s="449"/>
      <c r="AG39" s="449"/>
      <c r="AH39" s="449"/>
      <c r="AI39" s="449"/>
      <c r="AJ39" s="449"/>
      <c r="AK39" s="449"/>
      <c r="AL39" s="449"/>
      <c r="AM39" s="449"/>
    </row>
    <row r="40" spans="3:39" x14ac:dyDescent="0.3">
      <c r="C40" s="126"/>
      <c r="D40" s="126"/>
      <c r="E40" s="126"/>
      <c r="F40" s="126"/>
      <c r="G40" s="126"/>
      <c r="H40" s="441"/>
      <c r="I40" s="441"/>
      <c r="J40" s="126"/>
      <c r="K40" s="126"/>
      <c r="L40" s="126"/>
      <c r="M40" s="126"/>
      <c r="N40" s="126"/>
      <c r="O40" s="126"/>
      <c r="P40" s="126"/>
      <c r="Q40" s="126"/>
      <c r="R40" s="126"/>
      <c r="S40" s="449"/>
      <c r="T40" s="449"/>
      <c r="U40" s="449"/>
      <c r="V40" s="449"/>
      <c r="W40" s="449"/>
      <c r="X40" s="449"/>
      <c r="Y40" s="449"/>
      <c r="Z40" s="449"/>
      <c r="AA40" s="449"/>
      <c r="AB40" s="449"/>
      <c r="AC40" s="449"/>
      <c r="AD40" s="449"/>
      <c r="AE40" s="449"/>
      <c r="AF40" s="449"/>
      <c r="AG40" s="449"/>
      <c r="AH40" s="449"/>
      <c r="AI40" s="449"/>
      <c r="AJ40" s="449"/>
      <c r="AK40" s="449"/>
      <c r="AL40" s="449"/>
      <c r="AM40" s="449"/>
    </row>
    <row r="41" spans="3:39" x14ac:dyDescent="0.3">
      <c r="S41" s="449"/>
      <c r="T41" s="449"/>
      <c r="U41" s="449"/>
      <c r="V41" s="449"/>
      <c r="W41" s="449"/>
      <c r="X41" s="449"/>
      <c r="Y41" s="449"/>
      <c r="Z41" s="449"/>
      <c r="AA41" s="449"/>
      <c r="AB41" s="449"/>
      <c r="AC41" s="449"/>
      <c r="AD41" s="449"/>
      <c r="AE41" s="449"/>
      <c r="AF41" s="449"/>
      <c r="AG41" s="449"/>
      <c r="AH41" s="449"/>
      <c r="AI41" s="449"/>
      <c r="AJ41" s="449"/>
      <c r="AK41" s="449"/>
      <c r="AL41" s="449"/>
      <c r="AM41" s="449"/>
    </row>
    <row r="42" spans="3:39" x14ac:dyDescent="0.3">
      <c r="S42" s="449"/>
      <c r="T42" s="449"/>
      <c r="U42" s="449"/>
      <c r="V42" s="449"/>
      <c r="W42" s="449"/>
      <c r="X42" s="449"/>
      <c r="Y42" s="449"/>
      <c r="Z42" s="449"/>
      <c r="AA42" s="449"/>
      <c r="AB42" s="449"/>
      <c r="AC42" s="449"/>
      <c r="AD42" s="449"/>
      <c r="AE42" s="449"/>
      <c r="AF42" s="449"/>
      <c r="AG42" s="449"/>
      <c r="AH42" s="449"/>
      <c r="AI42" s="449"/>
      <c r="AJ42" s="449"/>
      <c r="AK42" s="449"/>
      <c r="AL42" s="449"/>
      <c r="AM42" s="449"/>
    </row>
    <row r="43" spans="3:39" x14ac:dyDescent="0.3">
      <c r="S43" s="449"/>
      <c r="T43" s="449"/>
      <c r="U43" s="449"/>
      <c r="V43" s="449"/>
      <c r="W43" s="449"/>
      <c r="X43" s="449"/>
      <c r="Y43" s="449"/>
      <c r="Z43" s="449"/>
      <c r="AA43" s="449"/>
      <c r="AB43" s="449"/>
      <c r="AC43" s="449"/>
      <c r="AD43" s="449"/>
      <c r="AE43" s="449"/>
      <c r="AF43" s="449"/>
      <c r="AG43" s="449"/>
      <c r="AH43" s="449"/>
      <c r="AI43" s="449"/>
      <c r="AJ43" s="449"/>
      <c r="AK43" s="449"/>
      <c r="AL43" s="449"/>
      <c r="AM43" s="449"/>
    </row>
    <row r="44" spans="3:39" x14ac:dyDescent="0.3">
      <c r="S44" s="449"/>
      <c r="T44" s="449"/>
      <c r="U44" s="449"/>
      <c r="V44" s="449"/>
      <c r="W44" s="449"/>
      <c r="X44" s="449"/>
      <c r="Y44" s="449"/>
      <c r="Z44" s="449"/>
      <c r="AA44" s="449"/>
      <c r="AB44" s="449"/>
      <c r="AC44" s="449"/>
      <c r="AD44" s="449"/>
      <c r="AE44" s="449"/>
      <c r="AF44" s="449"/>
      <c r="AG44" s="449"/>
      <c r="AH44" s="449"/>
      <c r="AI44" s="449"/>
      <c r="AJ44" s="449"/>
      <c r="AK44" s="449"/>
      <c r="AL44" s="449"/>
      <c r="AM44" s="449"/>
    </row>
    <row r="45" spans="3:39" x14ac:dyDescent="0.3">
      <c r="S45" s="449"/>
      <c r="T45" s="449"/>
      <c r="U45" s="449"/>
      <c r="V45" s="449"/>
      <c r="W45" s="449"/>
      <c r="X45" s="449"/>
      <c r="Y45" s="449"/>
      <c r="Z45" s="449"/>
      <c r="AA45" s="449"/>
      <c r="AB45" s="449"/>
      <c r="AC45" s="449"/>
      <c r="AD45" s="449"/>
      <c r="AE45" s="449"/>
      <c r="AF45" s="449"/>
      <c r="AG45" s="449"/>
      <c r="AH45" s="449"/>
      <c r="AI45" s="449"/>
      <c r="AJ45" s="449"/>
      <c r="AK45" s="449"/>
      <c r="AL45" s="449"/>
      <c r="AM45" s="449"/>
    </row>
    <row r="46" spans="3:39" x14ac:dyDescent="0.3">
      <c r="S46" s="449"/>
      <c r="T46" s="449"/>
      <c r="U46" s="449"/>
      <c r="V46" s="449"/>
      <c r="W46" s="449"/>
      <c r="X46" s="449"/>
      <c r="Y46" s="449"/>
      <c r="Z46" s="449"/>
      <c r="AA46" s="449"/>
      <c r="AB46" s="449"/>
      <c r="AC46" s="449"/>
      <c r="AD46" s="449"/>
      <c r="AE46" s="449"/>
      <c r="AF46" s="449"/>
      <c r="AG46" s="449"/>
      <c r="AH46" s="449"/>
      <c r="AI46" s="449"/>
      <c r="AJ46" s="449"/>
      <c r="AK46" s="449"/>
      <c r="AL46" s="449"/>
      <c r="AM46" s="449"/>
    </row>
    <row r="47" spans="3:39" x14ac:dyDescent="0.3">
      <c r="S47" s="449"/>
      <c r="T47" s="449"/>
      <c r="U47" s="449"/>
      <c r="V47" s="449"/>
      <c r="W47" s="449"/>
      <c r="X47" s="449"/>
      <c r="Y47" s="449"/>
      <c r="Z47" s="449"/>
      <c r="AA47" s="449"/>
      <c r="AB47" s="449"/>
      <c r="AC47" s="449"/>
      <c r="AD47" s="449"/>
      <c r="AE47" s="449"/>
      <c r="AF47" s="449"/>
      <c r="AG47" s="449"/>
      <c r="AH47" s="449"/>
      <c r="AI47" s="449"/>
      <c r="AJ47" s="449"/>
      <c r="AK47" s="449"/>
      <c r="AL47" s="449"/>
      <c r="AM47" s="449"/>
    </row>
    <row r="48" spans="3:39" x14ac:dyDescent="0.3">
      <c r="S48" s="449"/>
      <c r="T48" s="449"/>
      <c r="U48" s="449"/>
      <c r="V48" s="449"/>
      <c r="W48" s="449"/>
      <c r="X48" s="449"/>
      <c r="Y48" s="449"/>
      <c r="Z48" s="449"/>
      <c r="AA48" s="449"/>
      <c r="AB48" s="449"/>
      <c r="AC48" s="449"/>
      <c r="AD48" s="449"/>
      <c r="AE48" s="449"/>
      <c r="AF48" s="449"/>
      <c r="AG48" s="449"/>
      <c r="AH48" s="449"/>
      <c r="AI48" s="449"/>
      <c r="AJ48" s="449"/>
      <c r="AK48" s="449"/>
      <c r="AL48" s="449"/>
      <c r="AM48" s="449"/>
    </row>
    <row r="49" spans="19:39" x14ac:dyDescent="0.3">
      <c r="S49" s="449"/>
      <c r="T49" s="449"/>
      <c r="U49" s="449"/>
      <c r="V49" s="449"/>
      <c r="W49" s="449"/>
      <c r="X49" s="449"/>
      <c r="Y49" s="449"/>
      <c r="Z49" s="449"/>
      <c r="AA49" s="449"/>
      <c r="AB49" s="449"/>
      <c r="AC49" s="449"/>
      <c r="AD49" s="449"/>
      <c r="AE49" s="449"/>
      <c r="AF49" s="449"/>
      <c r="AG49" s="449"/>
      <c r="AH49" s="449"/>
      <c r="AI49" s="449"/>
      <c r="AJ49" s="449"/>
      <c r="AK49" s="449"/>
      <c r="AL49" s="449"/>
      <c r="AM49" s="449"/>
    </row>
    <row r="50" spans="19:39" x14ac:dyDescent="0.3">
      <c r="S50" s="449"/>
      <c r="T50" s="449"/>
      <c r="U50" s="449"/>
      <c r="V50" s="449"/>
      <c r="W50" s="449"/>
      <c r="X50" s="449"/>
      <c r="Y50" s="449"/>
      <c r="Z50" s="449"/>
      <c r="AA50" s="449"/>
      <c r="AB50" s="449"/>
      <c r="AC50" s="449"/>
      <c r="AD50" s="449"/>
      <c r="AE50" s="449"/>
      <c r="AF50" s="449"/>
      <c r="AG50" s="449"/>
      <c r="AH50" s="449"/>
      <c r="AI50" s="449"/>
      <c r="AJ50" s="449"/>
      <c r="AK50" s="449"/>
      <c r="AL50" s="449"/>
      <c r="AM50" s="449"/>
    </row>
    <row r="51" spans="19:39" x14ac:dyDescent="0.3">
      <c r="S51" s="449"/>
      <c r="T51" s="449"/>
      <c r="U51" s="449"/>
      <c r="V51" s="449"/>
      <c r="W51" s="449"/>
      <c r="X51" s="449"/>
      <c r="Y51" s="449"/>
      <c r="Z51" s="449"/>
      <c r="AA51" s="449"/>
      <c r="AB51" s="449"/>
      <c r="AC51" s="449"/>
      <c r="AD51" s="449"/>
      <c r="AE51" s="449"/>
      <c r="AF51" s="449"/>
      <c r="AG51" s="449"/>
      <c r="AH51" s="449"/>
      <c r="AI51" s="449"/>
      <c r="AJ51" s="449"/>
      <c r="AK51" s="449"/>
      <c r="AL51" s="449"/>
      <c r="AM51" s="449"/>
    </row>
    <row r="52" spans="19:39" x14ac:dyDescent="0.3">
      <c r="S52" s="449"/>
      <c r="T52" s="449"/>
      <c r="U52" s="449"/>
      <c r="V52" s="449"/>
      <c r="W52" s="449"/>
      <c r="X52" s="449"/>
      <c r="Y52" s="449"/>
      <c r="Z52" s="449"/>
      <c r="AA52" s="449"/>
      <c r="AB52" s="449"/>
      <c r="AC52" s="449"/>
      <c r="AD52" s="449"/>
      <c r="AE52" s="449"/>
      <c r="AF52" s="449"/>
      <c r="AG52" s="449"/>
      <c r="AH52" s="449"/>
      <c r="AI52" s="449"/>
      <c r="AJ52" s="449"/>
      <c r="AK52" s="449"/>
      <c r="AL52" s="449"/>
      <c r="AM52" s="449"/>
    </row>
    <row r="53" spans="19:39" x14ac:dyDescent="0.3">
      <c r="S53" s="449"/>
      <c r="T53" s="449"/>
      <c r="U53" s="449"/>
      <c r="V53" s="449"/>
      <c r="W53" s="449"/>
      <c r="X53" s="449"/>
      <c r="Y53" s="449"/>
      <c r="Z53" s="449"/>
      <c r="AA53" s="449"/>
      <c r="AB53" s="449"/>
      <c r="AC53" s="449"/>
      <c r="AD53" s="449"/>
      <c r="AE53" s="449"/>
      <c r="AF53" s="449"/>
      <c r="AG53" s="449"/>
      <c r="AH53" s="449"/>
      <c r="AI53" s="449"/>
      <c r="AJ53" s="449"/>
      <c r="AK53" s="449"/>
      <c r="AL53" s="449"/>
      <c r="AM53" s="449"/>
    </row>
    <row r="54" spans="19:39" x14ac:dyDescent="0.3">
      <c r="S54" s="449"/>
      <c r="T54" s="449"/>
      <c r="U54" s="449"/>
      <c r="V54" s="449"/>
      <c r="W54" s="449"/>
      <c r="X54" s="449"/>
      <c r="Y54" s="449"/>
      <c r="Z54" s="449"/>
      <c r="AA54" s="449"/>
      <c r="AB54" s="449"/>
      <c r="AC54" s="449"/>
      <c r="AD54" s="449"/>
      <c r="AE54" s="449"/>
      <c r="AF54" s="449"/>
      <c r="AG54" s="449"/>
      <c r="AH54" s="449"/>
      <c r="AI54" s="449"/>
      <c r="AJ54" s="449"/>
      <c r="AK54" s="449"/>
      <c r="AL54" s="449"/>
      <c r="AM54" s="449"/>
    </row>
    <row r="55" spans="19:39" x14ac:dyDescent="0.3">
      <c r="S55" s="449"/>
      <c r="T55" s="449"/>
      <c r="U55" s="449"/>
      <c r="V55" s="449"/>
      <c r="W55" s="449"/>
      <c r="X55" s="449"/>
      <c r="Y55" s="449"/>
      <c r="Z55" s="449"/>
      <c r="AA55" s="449"/>
      <c r="AB55" s="449"/>
      <c r="AC55" s="449"/>
      <c r="AD55" s="449"/>
      <c r="AE55" s="449"/>
      <c r="AF55" s="449"/>
      <c r="AG55" s="449"/>
      <c r="AH55" s="449"/>
      <c r="AI55" s="449"/>
      <c r="AJ55" s="449"/>
      <c r="AK55" s="449"/>
      <c r="AL55" s="449"/>
      <c r="AM55" s="449"/>
    </row>
    <row r="56" spans="19:39" x14ac:dyDescent="0.3">
      <c r="S56" s="449"/>
      <c r="T56" s="449"/>
      <c r="U56" s="449"/>
      <c r="V56" s="449"/>
      <c r="W56" s="449"/>
      <c r="X56" s="449"/>
      <c r="Y56" s="449"/>
      <c r="Z56" s="449"/>
      <c r="AA56" s="449"/>
      <c r="AB56" s="449"/>
      <c r="AC56" s="449"/>
      <c r="AD56" s="449"/>
      <c r="AE56" s="449"/>
      <c r="AF56" s="449"/>
      <c r="AG56" s="449"/>
      <c r="AH56" s="449"/>
      <c r="AI56" s="449"/>
      <c r="AJ56" s="449"/>
      <c r="AK56" s="449"/>
      <c r="AL56" s="449"/>
      <c r="AM56" s="449"/>
    </row>
    <row r="57" spans="19:39" x14ac:dyDescent="0.3">
      <c r="S57" s="449"/>
      <c r="T57" s="449"/>
      <c r="U57" s="449"/>
      <c r="V57" s="449"/>
      <c r="W57" s="449"/>
      <c r="X57" s="449"/>
      <c r="Y57" s="449"/>
      <c r="Z57" s="449"/>
      <c r="AA57" s="449"/>
      <c r="AB57" s="449"/>
      <c r="AC57" s="449"/>
      <c r="AD57" s="449"/>
      <c r="AE57" s="449"/>
      <c r="AF57" s="449"/>
      <c r="AG57" s="449"/>
      <c r="AH57" s="449"/>
      <c r="AI57" s="449"/>
      <c r="AJ57" s="449"/>
      <c r="AK57" s="449"/>
      <c r="AL57" s="449"/>
      <c r="AM57" s="449"/>
    </row>
  </sheetData>
  <sheetProtection algorithmName="SHA-512" hashValue="3D2A7a8arwfiQru1gHBKmVkHfyyQr0M+uqMOTXT+FJWrkiF+f7zucGDJZaRMXqAomvg0x57r9WpCV8BQ9q7gBw==" saltValue="7BjmmTNFL0H2XGug2ziNuQ==" spinCount="100000" sheet="1" objects="1" scenarios="1"/>
  <mergeCells count="1">
    <mergeCell ref="B3:F3"/>
  </mergeCells>
  <phoneticPr fontId="0" type="noConversion"/>
  <hyperlinks>
    <hyperlink ref="B3" location="HL_Home" tooltip="Go to Table of Contents" display="HL_Home" xr:uid="{00000000-0004-0000-0600-000000000000}"/>
  </hyperlinks>
  <pageMargins left="0.39370078740157483" right="0.39370078740157483" top="0.59055118110236227" bottom="0.98425196850393704" header="0" footer="0.31496062992125984"/>
  <pageSetup paperSize="9" scale="75" orientation="landscape" r:id="rId1"/>
  <headerFooter alignWithMargins="0">
    <oddHeader>&amp;C&amp;B&amp;"Arial"&amp;12&amp;Kff0000​‌OFFICIAL‌​</oddHeader>
    <oddFooter>&amp;C&amp;"Arial,Bold"&amp;8Sheet j.
Page &amp;P of &amp;N&amp;L&amp;"Arial,Bold"&amp;7&amp;F
&amp;A
Printed: &amp;T on &amp;D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9">
    <tabColor theme="0" tint="-4.9989318521683403E-2"/>
    <pageSetUpPr autoPageBreaks="0"/>
  </sheetPr>
  <dimension ref="A1:BF86"/>
  <sheetViews>
    <sheetView showGridLines="0" zoomScaleNormal="100" workbookViewId="0">
      <pane ySplit="7" topLeftCell="A8" activePane="bottomLeft" state="frozen"/>
      <selection pane="bottomLeft" activeCell="AC37" sqref="AC37"/>
    </sheetView>
  </sheetViews>
  <sheetFormatPr defaultColWidth="10.77734375" defaultRowHeight="12" outlineLevelCol="1" x14ac:dyDescent="0.3"/>
  <cols>
    <col min="1" max="3" width="3.77734375" style="73" customWidth="1"/>
    <col min="4" max="4" width="17.77734375" style="73" customWidth="1"/>
    <col min="5" max="5" width="17.109375" style="73" customWidth="1"/>
    <col min="6" max="9" width="11.77734375" style="73" customWidth="1"/>
    <col min="10" max="10" width="12.109375" style="73" hidden="1" customWidth="1" outlineLevel="1"/>
    <col min="11" max="11" width="11.44140625" style="73" hidden="1" customWidth="1" outlineLevel="1"/>
    <col min="12" max="18" width="11.6640625" style="73" hidden="1" customWidth="1" outlineLevel="1"/>
    <col min="19" max="22" width="10.77734375" style="73" hidden="1" customWidth="1" outlineLevel="1"/>
    <col min="23" max="23" width="11.6640625" style="73" customWidth="1" collapsed="1"/>
    <col min="24" max="24" width="10.77734375" style="73" customWidth="1"/>
    <col min="25" max="25" width="12.44140625" style="73" customWidth="1"/>
    <col min="26" max="27" width="10.77734375" style="73" customWidth="1"/>
    <col min="28" max="28" width="11.6640625" style="73" customWidth="1"/>
    <col min="29" max="30" width="11.33203125" style="73" customWidth="1"/>
    <col min="31" max="33" width="10.77734375" style="73" customWidth="1"/>
    <col min="34" max="35" width="11.33203125" style="73" customWidth="1"/>
    <col min="36" max="38" width="10.77734375" style="73" customWidth="1"/>
    <col min="39" max="39" width="4.44140625" style="73" customWidth="1"/>
    <col min="40" max="16384" width="10.77734375" style="73"/>
  </cols>
  <sheetData>
    <row r="1" spans="1:58" ht="14.5" x14ac:dyDescent="0.3">
      <c r="A1" s="1358">
        <v>80</v>
      </c>
      <c r="B1" s="158" t="s">
        <v>532</v>
      </c>
    </row>
    <row r="2" spans="1:58" ht="13" x14ac:dyDescent="0.3">
      <c r="B2" s="1359" t="str">
        <f>+Contents!H7</f>
        <v>Central Highlands Water</v>
      </c>
      <c r="N2" s="265"/>
    </row>
    <row r="3" spans="1:58" x14ac:dyDescent="0.3">
      <c r="B3" s="2357" t="s">
        <v>0</v>
      </c>
      <c r="C3" s="2357"/>
      <c r="D3" s="2357"/>
      <c r="E3" s="2357"/>
      <c r="F3" s="2357"/>
      <c r="G3" s="164"/>
    </row>
    <row r="4" spans="1:58" x14ac:dyDescent="0.3">
      <c r="A4" s="165"/>
      <c r="B4" s="75"/>
      <c r="C4" s="76"/>
      <c r="F4" s="63"/>
      <c r="K4" s="66"/>
      <c r="L4" s="155" t="s">
        <v>60</v>
      </c>
      <c r="M4" s="65"/>
      <c r="N4" s="66"/>
      <c r="O4" s="67"/>
      <c r="P4" s="155" t="s">
        <v>61</v>
      </c>
      <c r="Q4" s="67"/>
      <c r="R4" s="65"/>
      <c r="S4" s="1202"/>
      <c r="T4" s="1203"/>
      <c r="U4" s="1572" t="s">
        <v>274</v>
      </c>
      <c r="V4" s="1203"/>
      <c r="W4" s="1204"/>
      <c r="X4" s="1944"/>
      <c r="Y4" s="1575"/>
      <c r="Z4" s="1575" t="s">
        <v>1072</v>
      </c>
      <c r="AA4" s="1575"/>
      <c r="AB4" s="1574"/>
      <c r="AC4" s="1573"/>
      <c r="AD4" s="1575"/>
      <c r="AE4" s="1575" t="s">
        <v>457</v>
      </c>
      <c r="AF4" s="1575"/>
      <c r="AG4" s="1574"/>
      <c r="AH4" s="1573"/>
      <c r="AI4" s="1575"/>
      <c r="AJ4" s="1575" t="s">
        <v>903</v>
      </c>
      <c r="AK4" s="1575"/>
      <c r="AL4" s="1574"/>
    </row>
    <row r="6" spans="1:58" x14ac:dyDescent="0.3">
      <c r="B6" s="166"/>
      <c r="F6" s="459" t="s">
        <v>63</v>
      </c>
      <c r="J6" s="1360">
        <v>2005</v>
      </c>
      <c r="K6" s="1360">
        <v>2006</v>
      </c>
      <c r="L6" s="1360">
        <v>2007</v>
      </c>
      <c r="M6" s="1360">
        <v>2008</v>
      </c>
      <c r="N6" s="1360">
        <v>2009</v>
      </c>
      <c r="O6" s="1360">
        <v>2010</v>
      </c>
      <c r="P6" s="1360">
        <v>2011</v>
      </c>
      <c r="Q6" s="1360">
        <v>2012</v>
      </c>
      <c r="R6" s="1360">
        <v>2013</v>
      </c>
      <c r="S6" s="1360">
        <v>2014</v>
      </c>
      <c r="T6" s="1360">
        <v>2015</v>
      </c>
      <c r="U6" s="1360">
        <v>2016</v>
      </c>
      <c r="V6" s="1360">
        <v>2017</v>
      </c>
      <c r="W6" s="1360">
        <v>2018</v>
      </c>
      <c r="X6" s="1360">
        <v>2019</v>
      </c>
      <c r="Y6" s="1360">
        <v>2020</v>
      </c>
      <c r="Z6" s="1360">
        <v>2021</v>
      </c>
      <c r="AA6" s="1360">
        <v>2022</v>
      </c>
      <c r="AB6" s="1360">
        <v>2023</v>
      </c>
      <c r="AC6" s="1420">
        <v>2024</v>
      </c>
      <c r="AD6" s="1420">
        <v>2025</v>
      </c>
      <c r="AE6" s="1420">
        <v>2026</v>
      </c>
      <c r="AF6" s="1420">
        <v>2027</v>
      </c>
      <c r="AG6" s="1420">
        <v>2028</v>
      </c>
      <c r="AH6" s="1420">
        <v>2029</v>
      </c>
      <c r="AI6" s="1420">
        <v>2030</v>
      </c>
      <c r="AJ6" s="1420">
        <v>2031</v>
      </c>
      <c r="AK6" s="1420">
        <v>2032</v>
      </c>
      <c r="AL6" s="1420">
        <v>2033</v>
      </c>
    </row>
    <row r="7" spans="1:58" x14ac:dyDescent="0.3">
      <c r="B7" s="126" t="str">
        <f>Expenditure_Detail!$B$6</f>
        <v>$m, 01/01/23</v>
      </c>
      <c r="C7" s="78"/>
      <c r="D7" s="78"/>
      <c r="E7" s="78"/>
      <c r="F7" s="460" t="s">
        <v>64</v>
      </c>
      <c r="G7" s="78"/>
      <c r="H7" s="78"/>
      <c r="I7" s="78"/>
      <c r="J7" s="1319" t="str">
        <f t="shared" ref="J7" si="0">+CONCATENATE(J6-1,"-",RIGHT(J6,2))</f>
        <v>2004-05</v>
      </c>
      <c r="K7" s="1319" t="str">
        <f t="shared" ref="K7:W7" si="1">+CONCATENATE(K6-1,"-",RIGHT(K6,2))</f>
        <v>2005-06</v>
      </c>
      <c r="L7" s="1319" t="str">
        <f t="shared" si="1"/>
        <v>2006-07</v>
      </c>
      <c r="M7" s="1319" t="str">
        <f t="shared" si="1"/>
        <v>2007-08</v>
      </c>
      <c r="N7" s="1319" t="str">
        <f t="shared" si="1"/>
        <v>2008-09</v>
      </c>
      <c r="O7" s="1319" t="str">
        <f t="shared" si="1"/>
        <v>2009-10</v>
      </c>
      <c r="P7" s="1319" t="str">
        <f t="shared" si="1"/>
        <v>2010-11</v>
      </c>
      <c r="Q7" s="1319" t="str">
        <f t="shared" si="1"/>
        <v>2011-12</v>
      </c>
      <c r="R7" s="1319" t="str">
        <f t="shared" si="1"/>
        <v>2012-13</v>
      </c>
      <c r="S7" s="1319" t="str">
        <f t="shared" si="1"/>
        <v>2013-14</v>
      </c>
      <c r="T7" s="1319" t="str">
        <f t="shared" si="1"/>
        <v>2014-15</v>
      </c>
      <c r="U7" s="1319" t="str">
        <f t="shared" si="1"/>
        <v>2015-16</v>
      </c>
      <c r="V7" s="1319" t="str">
        <f t="shared" si="1"/>
        <v>2016-17</v>
      </c>
      <c r="W7" s="1319" t="str">
        <f t="shared" si="1"/>
        <v>2017-18</v>
      </c>
      <c r="X7" s="1319" t="str">
        <f t="shared" ref="X7:AG7" si="2">+CONCATENATE(X6-1,"-",RIGHT(X6,2))</f>
        <v>2018-19</v>
      </c>
      <c r="Y7" s="1319" t="str">
        <f t="shared" si="2"/>
        <v>2019-20</v>
      </c>
      <c r="Z7" s="1319" t="str">
        <f t="shared" si="2"/>
        <v>2020-21</v>
      </c>
      <c r="AA7" s="1319" t="str">
        <f t="shared" si="2"/>
        <v>2021-22</v>
      </c>
      <c r="AB7" s="1319" t="str">
        <f t="shared" si="2"/>
        <v>2022-23</v>
      </c>
      <c r="AC7" s="1319" t="str">
        <f t="shared" si="2"/>
        <v>2023-24</v>
      </c>
      <c r="AD7" s="1319" t="str">
        <f t="shared" si="2"/>
        <v>2024-25</v>
      </c>
      <c r="AE7" s="1319" t="str">
        <f t="shared" si="2"/>
        <v>2025-26</v>
      </c>
      <c r="AF7" s="1319" t="str">
        <f t="shared" si="2"/>
        <v>2026-27</v>
      </c>
      <c r="AG7" s="1319" t="str">
        <f t="shared" si="2"/>
        <v>2027-28</v>
      </c>
      <c r="AH7" s="1319" t="str">
        <f>+CONCATENATE(AH6-1,"-",RIGHT(AH6,2))</f>
        <v>2028-29</v>
      </c>
      <c r="AI7" s="1319" t="str">
        <f>+CONCATENATE(AI6-1,"-",RIGHT(AI6,2))</f>
        <v>2029-30</v>
      </c>
      <c r="AJ7" s="1319" t="str">
        <f>+CONCATENATE(AJ6-1,"-",RIGHT(AJ6,2))</f>
        <v>2030-31</v>
      </c>
      <c r="AK7" s="1319" t="str">
        <f>+CONCATENATE(AK6-1,"-",RIGHT(AK6,2))</f>
        <v>2031-32</v>
      </c>
      <c r="AL7" s="1319" t="str">
        <f>+CONCATENATE(AL6-1,"-",RIGHT(AL6,2))</f>
        <v>2032-33</v>
      </c>
    </row>
    <row r="8" spans="1:58" ht="12.5" thickBot="1" x14ac:dyDescent="0.35">
      <c r="N8" s="461"/>
      <c r="O8" s="461"/>
      <c r="P8" s="461"/>
      <c r="Q8" s="461"/>
      <c r="R8" s="461"/>
      <c r="S8" s="461"/>
      <c r="T8" s="461"/>
      <c r="U8" s="461"/>
      <c r="V8" s="461"/>
      <c r="W8" s="461"/>
      <c r="X8" s="461"/>
      <c r="Y8" s="461"/>
      <c r="Z8" s="461"/>
      <c r="AA8" s="461"/>
      <c r="AB8" s="461"/>
      <c r="AC8" s="461"/>
      <c r="AD8" s="461"/>
      <c r="AE8" s="461"/>
      <c r="AF8" s="461"/>
      <c r="AG8" s="461"/>
      <c r="AH8" s="461"/>
      <c r="AI8" s="461"/>
      <c r="AJ8" s="461"/>
      <c r="AK8" s="461"/>
      <c r="AL8" s="461"/>
    </row>
    <row r="9" spans="1:58" x14ac:dyDescent="0.3">
      <c r="C9" s="170"/>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2"/>
    </row>
    <row r="10" spans="1:58" x14ac:dyDescent="0.3">
      <c r="C10" s="173"/>
      <c r="D10" s="174" t="s">
        <v>209</v>
      </c>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175"/>
    </row>
    <row r="11" spans="1:58" x14ac:dyDescent="0.3">
      <c r="C11" s="173"/>
      <c r="D11" s="72"/>
      <c r="E11" s="72"/>
      <c r="F11" s="72"/>
      <c r="G11" s="72"/>
      <c r="H11" s="72"/>
      <c r="I11" s="72"/>
      <c r="J11" s="84"/>
      <c r="K11" s="84"/>
      <c r="L11" s="84"/>
      <c r="M11" s="84"/>
      <c r="N11" s="84"/>
      <c r="O11" s="84"/>
      <c r="P11" s="84"/>
      <c r="Q11" s="84"/>
      <c r="R11" s="72"/>
      <c r="S11" s="72"/>
      <c r="T11" s="72"/>
      <c r="U11" s="72"/>
      <c r="V11" s="72"/>
      <c r="W11" s="72"/>
      <c r="X11" s="72"/>
      <c r="Y11" s="72"/>
      <c r="Z11" s="72"/>
      <c r="AA11" s="72"/>
      <c r="AB11" s="72"/>
      <c r="AC11" s="72"/>
      <c r="AD11" s="72"/>
      <c r="AE11" s="72"/>
      <c r="AF11" s="72"/>
      <c r="AG11" s="72"/>
      <c r="AH11" s="72"/>
      <c r="AI11" s="72"/>
      <c r="AJ11" s="72"/>
      <c r="AK11" s="72"/>
      <c r="AL11" s="72"/>
      <c r="AM11" s="175"/>
    </row>
    <row r="12" spans="1:58" x14ac:dyDescent="0.3">
      <c r="C12" s="173"/>
      <c r="D12" s="72"/>
      <c r="E12" s="72" t="s">
        <v>86</v>
      </c>
      <c r="F12" s="72"/>
      <c r="G12" s="72"/>
      <c r="H12" s="72"/>
      <c r="I12" s="72"/>
      <c r="J12" s="275"/>
      <c r="K12" s="275"/>
      <c r="L12" s="275"/>
      <c r="M12" s="275"/>
      <c r="N12" s="275"/>
      <c r="O12" s="275"/>
      <c r="P12" s="275"/>
      <c r="Q12" s="275"/>
      <c r="R12" s="72"/>
      <c r="S12" s="72"/>
      <c r="T12" s="72"/>
      <c r="U12" s="72"/>
      <c r="V12" s="72"/>
      <c r="W12" s="1527">
        <f t="shared" ref="W12:AB12" si="3">+W24</f>
        <v>375.63089945463219</v>
      </c>
      <c r="X12" s="1527">
        <f t="shared" si="3"/>
        <v>381.77089091210621</v>
      </c>
      <c r="Y12" s="1527">
        <f t="shared" si="3"/>
        <v>391.44541992819109</v>
      </c>
      <c r="Z12" s="1527">
        <f t="shared" si="3"/>
        <v>401.74728460409568</v>
      </c>
      <c r="AA12" s="1527">
        <f t="shared" si="3"/>
        <v>405.58945076821254</v>
      </c>
      <c r="AB12" s="1527">
        <f t="shared" si="3"/>
        <v>409.3710695194622</v>
      </c>
      <c r="AC12" s="1527">
        <f t="shared" ref="AC12:AL12" si="4">+AC24</f>
        <v>421.14965328812417</v>
      </c>
      <c r="AD12" s="1527">
        <f t="shared" si="4"/>
        <v>441.33059078358235</v>
      </c>
      <c r="AE12" s="1527">
        <f t="shared" si="4"/>
        <v>460.88058901675396</v>
      </c>
      <c r="AF12" s="1527">
        <f t="shared" si="4"/>
        <v>479.71238533296656</v>
      </c>
      <c r="AG12" s="1527">
        <f t="shared" si="4"/>
        <v>499.61193482231721</v>
      </c>
      <c r="AH12" s="1527">
        <f t="shared" si="4"/>
        <v>520.15266028166832</v>
      </c>
      <c r="AI12" s="1527">
        <f t="shared" si="4"/>
        <v>573.91575322838992</v>
      </c>
      <c r="AJ12" s="1527">
        <f t="shared" si="4"/>
        <v>621.82937676641518</v>
      </c>
      <c r="AK12" s="1527">
        <f t="shared" si="4"/>
        <v>641.10553391755093</v>
      </c>
      <c r="AL12" s="1527">
        <f t="shared" si="4"/>
        <v>646.72974314117482</v>
      </c>
      <c r="AM12" s="175"/>
      <c r="AO12" s="807"/>
      <c r="AP12" s="807"/>
      <c r="AQ12" s="807"/>
      <c r="AR12" s="807"/>
      <c r="AS12" s="807"/>
      <c r="AT12" s="807"/>
      <c r="AU12" s="807"/>
      <c r="AV12" s="807"/>
      <c r="AW12" s="807"/>
      <c r="AX12" s="807"/>
      <c r="AY12" s="807"/>
      <c r="AZ12" s="807"/>
      <c r="BA12" s="807"/>
      <c r="BB12" s="807"/>
      <c r="BC12" s="807"/>
      <c r="BD12" s="807"/>
      <c r="BE12" s="807"/>
      <c r="BF12" s="807"/>
    </row>
    <row r="13" spans="1:58" x14ac:dyDescent="0.3">
      <c r="C13" s="173"/>
      <c r="D13" s="72"/>
      <c r="E13" s="72" t="s">
        <v>66</v>
      </c>
      <c r="F13" s="72"/>
      <c r="G13" s="72"/>
      <c r="H13" s="72"/>
      <c r="I13" s="72"/>
      <c r="J13" s="275"/>
      <c r="K13" s="275"/>
      <c r="L13" s="275"/>
      <c r="M13" s="275"/>
      <c r="N13" s="275"/>
      <c r="O13" s="275"/>
      <c r="P13" s="275"/>
      <c r="Q13" s="275"/>
      <c r="R13" s="72"/>
      <c r="S13" s="72"/>
      <c r="T13" s="72"/>
      <c r="U13" s="72"/>
      <c r="V13" s="72"/>
      <c r="W13" s="1527">
        <f t="shared" ref="W13:AB13" si="5">+W30</f>
        <v>381.77089091210621</v>
      </c>
      <c r="X13" s="1527">
        <f t="shared" si="5"/>
        <v>391.44541992819109</v>
      </c>
      <c r="Y13" s="1527">
        <f t="shared" si="5"/>
        <v>401.74728460409568</v>
      </c>
      <c r="Z13" s="1527">
        <f t="shared" si="5"/>
        <v>405.58945076821254</v>
      </c>
      <c r="AA13" s="1527">
        <f t="shared" si="5"/>
        <v>409.3710695194622</v>
      </c>
      <c r="AB13" s="1527">
        <f t="shared" si="5"/>
        <v>421.14965328812417</v>
      </c>
      <c r="AC13" s="1527">
        <f t="shared" ref="AC13:AL13" si="6">+AC30</f>
        <v>441.33059078358235</v>
      </c>
      <c r="AD13" s="1527">
        <f t="shared" si="6"/>
        <v>460.88058901675396</v>
      </c>
      <c r="AE13" s="1527">
        <f t="shared" si="6"/>
        <v>479.71238533296656</v>
      </c>
      <c r="AF13" s="1527">
        <f t="shared" si="6"/>
        <v>499.61193482231721</v>
      </c>
      <c r="AG13" s="1527">
        <f t="shared" si="6"/>
        <v>520.15266028166832</v>
      </c>
      <c r="AH13" s="1527">
        <f t="shared" si="6"/>
        <v>573.91575322838992</v>
      </c>
      <c r="AI13" s="1527">
        <f t="shared" si="6"/>
        <v>621.82937676641518</v>
      </c>
      <c r="AJ13" s="1527">
        <f t="shared" si="6"/>
        <v>641.10553391755093</v>
      </c>
      <c r="AK13" s="1527">
        <f t="shared" si="6"/>
        <v>646.72974314117482</v>
      </c>
      <c r="AL13" s="1527">
        <f t="shared" si="6"/>
        <v>663.61184310446583</v>
      </c>
      <c r="AM13" s="175"/>
      <c r="AO13" s="807"/>
      <c r="AP13" s="807"/>
      <c r="AQ13" s="807"/>
      <c r="AR13" s="807"/>
      <c r="AS13" s="807"/>
      <c r="AT13" s="807"/>
      <c r="AU13" s="807"/>
      <c r="AV13" s="807"/>
      <c r="AW13" s="807"/>
      <c r="AX13" s="807"/>
      <c r="AY13" s="807"/>
      <c r="AZ13" s="807"/>
      <c r="BA13" s="807"/>
      <c r="BB13" s="807"/>
      <c r="BC13" s="807"/>
      <c r="BD13" s="807"/>
      <c r="BE13" s="807"/>
      <c r="BF13" s="807"/>
    </row>
    <row r="14" spans="1:58" x14ac:dyDescent="0.3">
      <c r="C14" s="173"/>
      <c r="D14" s="72"/>
      <c r="E14" s="72"/>
      <c r="F14" s="72"/>
      <c r="G14" s="72"/>
      <c r="H14" s="72"/>
      <c r="I14" s="72"/>
      <c r="J14" s="84"/>
      <c r="K14" s="84"/>
      <c r="L14" s="84"/>
      <c r="M14" s="84"/>
      <c r="N14" s="84"/>
      <c r="O14" s="84"/>
      <c r="P14" s="84"/>
      <c r="Q14" s="84"/>
      <c r="R14" s="72"/>
      <c r="S14" s="72"/>
      <c r="T14" s="72"/>
      <c r="U14" s="72"/>
      <c r="V14" s="72"/>
      <c r="W14" s="72"/>
      <c r="X14" s="72"/>
      <c r="Y14" s="72"/>
      <c r="Z14" s="72"/>
      <c r="AA14" s="72"/>
      <c r="AB14" s="72"/>
      <c r="AC14" s="72"/>
      <c r="AD14" s="72"/>
      <c r="AE14" s="72"/>
      <c r="AF14" s="72"/>
      <c r="AG14" s="72"/>
      <c r="AH14" s="72"/>
      <c r="AI14" s="72"/>
      <c r="AJ14" s="72"/>
      <c r="AK14" s="72"/>
      <c r="AL14" s="72"/>
      <c r="AM14" s="175"/>
      <c r="AO14" s="807"/>
      <c r="AP14" s="807"/>
      <c r="AQ14" s="807"/>
      <c r="AR14" s="807"/>
      <c r="AS14" s="807"/>
      <c r="AT14" s="807"/>
      <c r="AU14" s="807"/>
      <c r="AV14" s="807"/>
      <c r="AW14" s="807"/>
      <c r="AX14" s="807"/>
      <c r="AY14" s="807"/>
      <c r="AZ14" s="807"/>
      <c r="BA14" s="807"/>
      <c r="BB14" s="807"/>
      <c r="BC14" s="807"/>
      <c r="BD14" s="807"/>
      <c r="BE14" s="807"/>
      <c r="BF14" s="807"/>
    </row>
    <row r="15" spans="1:58" x14ac:dyDescent="0.3">
      <c r="C15" s="173"/>
      <c r="D15" s="72"/>
      <c r="E15" s="72" t="s">
        <v>694</v>
      </c>
      <c r="F15" s="72"/>
      <c r="G15" s="72"/>
      <c r="H15" s="72"/>
      <c r="I15" s="72"/>
      <c r="J15" s="84"/>
      <c r="K15" s="84"/>
      <c r="L15" s="84"/>
      <c r="M15" s="84"/>
      <c r="N15" s="84"/>
      <c r="O15" s="84"/>
      <c r="P15" s="84"/>
      <c r="Q15" s="84"/>
      <c r="R15" s="72"/>
      <c r="S15" s="72"/>
      <c r="T15" s="72"/>
      <c r="U15" s="72"/>
      <c r="V15" s="72"/>
      <c r="W15" s="1658">
        <f>Determination_Lookup!M11</f>
        <v>12.583196341620209</v>
      </c>
      <c r="X15" s="1658">
        <f>Determination_Lookup!N11</f>
        <v>17.7223758959395</v>
      </c>
      <c r="Y15" s="1658">
        <f>Determination_Lookup!O11</f>
        <v>17.7223758959395</v>
      </c>
      <c r="Z15" s="1658">
        <f>Determination_Lookup!P11</f>
        <v>17.312273237879406</v>
      </c>
      <c r="AA15" s="1658">
        <f>Determination_Lookup!Q11</f>
        <v>17.136092804773405</v>
      </c>
      <c r="AB15" s="1658">
        <f>Determination_Lookup!R11</f>
        <v>16.575459320610509</v>
      </c>
      <c r="AC15" s="297">
        <f t="shared" ref="AC15:AL15" si="7">IF(AC37="",AC82,AC37)</f>
        <v>19.794033704541835</v>
      </c>
      <c r="AD15" s="297">
        <f t="shared" si="7"/>
        <v>20.74253776682837</v>
      </c>
      <c r="AE15" s="297">
        <f t="shared" si="7"/>
        <v>21.661387683787435</v>
      </c>
      <c r="AF15" s="297">
        <f t="shared" si="7"/>
        <v>22.546482110649428</v>
      </c>
      <c r="AG15" s="297">
        <f t="shared" si="7"/>
        <v>23.481760936648907</v>
      </c>
      <c r="AH15" s="297">
        <f t="shared" si="7"/>
        <v>24.447175033238413</v>
      </c>
      <c r="AI15" s="297">
        <f t="shared" si="7"/>
        <v>26.974040401734324</v>
      </c>
      <c r="AJ15" s="297">
        <f t="shared" si="7"/>
        <v>29.225980708021513</v>
      </c>
      <c r="AK15" s="297">
        <f t="shared" si="7"/>
        <v>30.131960094124892</v>
      </c>
      <c r="AL15" s="297">
        <f t="shared" si="7"/>
        <v>30.396297927635217</v>
      </c>
      <c r="AM15" s="175"/>
      <c r="AO15" s="807"/>
      <c r="AP15" s="807"/>
      <c r="AQ15" s="807"/>
      <c r="AR15" s="807"/>
      <c r="AS15" s="807"/>
      <c r="AT15" s="807"/>
      <c r="AU15" s="807"/>
      <c r="AV15" s="807"/>
      <c r="AW15" s="807"/>
      <c r="AX15" s="807"/>
      <c r="AY15" s="807"/>
      <c r="AZ15" s="807"/>
      <c r="BA15" s="807"/>
      <c r="BB15" s="807"/>
      <c r="BC15" s="807"/>
      <c r="BD15" s="807"/>
      <c r="BE15" s="807"/>
      <c r="BF15" s="807"/>
    </row>
    <row r="16" spans="1:58" x14ac:dyDescent="0.3">
      <c r="C16" s="173"/>
      <c r="D16" s="72"/>
      <c r="E16" s="72" t="s">
        <v>257</v>
      </c>
      <c r="F16" s="72"/>
      <c r="G16" s="72"/>
      <c r="H16" s="72"/>
      <c r="I16" s="72"/>
      <c r="J16" s="84"/>
      <c r="K16" s="84"/>
      <c r="L16" s="84"/>
      <c r="M16" s="84"/>
      <c r="N16" s="84"/>
      <c r="O16" s="84"/>
      <c r="P16" s="84"/>
      <c r="Q16" s="84"/>
      <c r="R16" s="72"/>
      <c r="S16" s="72"/>
      <c r="T16" s="72"/>
      <c r="U16" s="72"/>
      <c r="V16" s="72"/>
      <c r="W16" s="1658">
        <f>Determination_Lookup!M12</f>
        <v>4.2526936488695917</v>
      </c>
      <c r="X16" s="1658">
        <f>Determination_Lookup!N12</f>
        <v>0.43729411764705883</v>
      </c>
      <c r="Y16" s="1658">
        <f>Determination_Lookup!O12</f>
        <v>1.3118823529411765</v>
      </c>
      <c r="Z16" s="1658">
        <f>Determination_Lookup!P12</f>
        <v>2.1864705882352942</v>
      </c>
      <c r="AA16" s="1658">
        <f>Determination_Lookup!Q12</f>
        <v>3.0610588235294118</v>
      </c>
      <c r="AB16" s="1658">
        <f>Determination_Lookup!R12</f>
        <v>3.9356470588235291</v>
      </c>
      <c r="AC16" s="297">
        <f>IF(AC34="",ExpSummary_FO!AC29,AC34)</f>
        <v>1.1037288000000001</v>
      </c>
      <c r="AD16" s="297">
        <f>IF(AD34="",ExpSummary_FO!AD29,AD34)</f>
        <v>1.151964</v>
      </c>
      <c r="AE16" s="297">
        <f>IF(AE34="",ExpSummary_FO!AE29,AE34)</f>
        <v>1.2002760000000001</v>
      </c>
      <c r="AF16" s="297">
        <f>IF(AF34="",ExpSummary_FO!AF29,AF34)</f>
        <v>1.2963480000000003</v>
      </c>
      <c r="AG16" s="297">
        <f>IF(AG34="",ExpSummary_FO!AG29,AG34)</f>
        <v>1.391772</v>
      </c>
      <c r="AH16" s="297">
        <f>IF(AH34="",ExpSummary_FO!AH29,AH34)</f>
        <v>2.3663280000000002</v>
      </c>
      <c r="AI16" s="297">
        <f>IF(AI34="",ExpSummary_FO!AI29,AI34)</f>
        <v>2.2847280000000003</v>
      </c>
      <c r="AJ16" s="297">
        <f>IF(AJ34="",ExpSummary_FO!AJ29,AJ34)</f>
        <v>1.6360080000000001</v>
      </c>
      <c r="AK16" s="297">
        <f>IF(AK34="",ExpSummary_FO!AK29,AK34)</f>
        <v>1.3226880000000001</v>
      </c>
      <c r="AL16" s="297">
        <f>IF(AL34="",ExpSummary_FO!AL29,AL34)</f>
        <v>1.606128</v>
      </c>
      <c r="AM16" s="175"/>
      <c r="AO16" s="807"/>
      <c r="AP16" s="807"/>
      <c r="AQ16" s="807"/>
      <c r="AR16" s="807"/>
      <c r="AS16" s="807"/>
      <c r="AT16" s="807"/>
      <c r="AU16" s="807"/>
      <c r="AV16" s="807"/>
      <c r="AW16" s="807"/>
      <c r="AX16" s="807"/>
      <c r="AY16" s="807"/>
      <c r="AZ16" s="807"/>
      <c r="BA16" s="807"/>
      <c r="BB16" s="807"/>
      <c r="BC16" s="807"/>
      <c r="BD16" s="807"/>
      <c r="BE16" s="807"/>
      <c r="BF16" s="807"/>
    </row>
    <row r="17" spans="3:58" x14ac:dyDescent="0.3">
      <c r="C17" s="173"/>
      <c r="D17" s="72"/>
      <c r="E17" s="227" t="s">
        <v>258</v>
      </c>
      <c r="F17" s="72"/>
      <c r="G17" s="72"/>
      <c r="H17" s="72"/>
      <c r="I17" s="72"/>
      <c r="J17" s="84"/>
      <c r="K17" s="84"/>
      <c r="L17" s="84"/>
      <c r="M17" s="84"/>
      <c r="N17" s="84"/>
      <c r="O17" s="84"/>
      <c r="P17" s="84"/>
      <c r="Q17" s="84"/>
      <c r="R17" s="72"/>
      <c r="S17" s="72"/>
      <c r="T17" s="72"/>
      <c r="U17" s="72"/>
      <c r="V17" s="72"/>
      <c r="W17" s="1260">
        <f t="shared" ref="W17:AB17" si="8">SUM(W15:W16)</f>
        <v>16.8358899904898</v>
      </c>
      <c r="X17" s="1260">
        <f>SUM(X15:X16)</f>
        <v>18.15967001358656</v>
      </c>
      <c r="Y17" s="1260">
        <f>SUM(Y15:Y16)</f>
        <v>19.034258248880676</v>
      </c>
      <c r="Z17" s="1260">
        <f t="shared" si="8"/>
        <v>19.498743826114701</v>
      </c>
      <c r="AA17" s="1260">
        <f t="shared" si="8"/>
        <v>20.197151628302816</v>
      </c>
      <c r="AB17" s="1260">
        <f t="shared" si="8"/>
        <v>20.51110637943404</v>
      </c>
      <c r="AC17" s="1260">
        <f t="shared" ref="AC17:AL17" si="9">SUM(AC15:AC16)</f>
        <v>20.897762504541834</v>
      </c>
      <c r="AD17" s="1260">
        <f t="shared" si="9"/>
        <v>21.89450176682837</v>
      </c>
      <c r="AE17" s="1260">
        <f t="shared" si="9"/>
        <v>22.861663683787434</v>
      </c>
      <c r="AF17" s="1260">
        <f t="shared" si="9"/>
        <v>23.84283011064943</v>
      </c>
      <c r="AG17" s="1260">
        <f t="shared" si="9"/>
        <v>24.873532936648907</v>
      </c>
      <c r="AH17" s="1260">
        <f t="shared" si="9"/>
        <v>26.813503033238412</v>
      </c>
      <c r="AI17" s="1260">
        <f t="shared" si="9"/>
        <v>29.258768401734326</v>
      </c>
      <c r="AJ17" s="1260">
        <f t="shared" si="9"/>
        <v>30.861988708021514</v>
      </c>
      <c r="AK17" s="1260">
        <f t="shared" si="9"/>
        <v>31.454648094124892</v>
      </c>
      <c r="AL17" s="1260">
        <f t="shared" si="9"/>
        <v>32.002425927635215</v>
      </c>
      <c r="AM17" s="175"/>
      <c r="AO17" s="807"/>
      <c r="AP17" s="807"/>
      <c r="AQ17" s="807"/>
      <c r="AR17" s="807"/>
      <c r="AS17" s="807"/>
      <c r="AT17" s="807"/>
      <c r="AU17" s="807"/>
      <c r="AV17" s="807"/>
      <c r="AW17" s="807"/>
      <c r="AX17" s="807"/>
      <c r="AY17" s="807"/>
      <c r="AZ17" s="807"/>
      <c r="BA17" s="807"/>
      <c r="BB17" s="807"/>
      <c r="BC17" s="807"/>
      <c r="BD17" s="807"/>
      <c r="BE17" s="807"/>
      <c r="BF17" s="807"/>
    </row>
    <row r="18" spans="3:58" ht="12.5" thickBot="1" x14ac:dyDescent="0.35">
      <c r="C18" s="179"/>
      <c r="D18" s="180"/>
      <c r="E18" s="180"/>
      <c r="F18" s="180"/>
      <c r="G18" s="180"/>
      <c r="H18" s="180"/>
      <c r="I18" s="180"/>
      <c r="J18" s="293"/>
      <c r="K18" s="293"/>
      <c r="L18" s="293"/>
      <c r="M18" s="293"/>
      <c r="N18" s="293"/>
      <c r="O18" s="293"/>
      <c r="P18" s="293"/>
      <c r="Q18" s="293"/>
      <c r="R18" s="419"/>
      <c r="S18" s="419"/>
      <c r="T18" s="419"/>
      <c r="U18" s="419"/>
      <c r="V18" s="419"/>
      <c r="W18" s="419"/>
      <c r="X18" s="419"/>
      <c r="Y18" s="419"/>
      <c r="Z18" s="419"/>
      <c r="AA18" s="419"/>
      <c r="AB18" s="419"/>
      <c r="AC18" s="419"/>
      <c r="AD18" s="419"/>
      <c r="AE18" s="419"/>
      <c r="AF18" s="419"/>
      <c r="AG18" s="419"/>
      <c r="AH18" s="419"/>
      <c r="AI18" s="419"/>
      <c r="AJ18" s="419"/>
      <c r="AK18" s="419"/>
      <c r="AL18" s="419"/>
      <c r="AM18" s="182"/>
      <c r="AO18" s="807"/>
      <c r="AP18" s="807"/>
      <c r="AQ18" s="807"/>
      <c r="AR18" s="807"/>
      <c r="AS18" s="807"/>
      <c r="AT18" s="807"/>
      <c r="AU18" s="807"/>
      <c r="AV18" s="807"/>
      <c r="AW18" s="807"/>
      <c r="AX18" s="807"/>
      <c r="AY18" s="807"/>
      <c r="AZ18" s="807"/>
      <c r="BA18" s="807"/>
      <c r="BB18" s="807"/>
      <c r="BC18" s="807"/>
      <c r="BD18" s="807"/>
      <c r="BE18" s="807"/>
      <c r="BF18" s="807"/>
    </row>
    <row r="19" spans="3:58" x14ac:dyDescent="0.3">
      <c r="C19" s="77"/>
      <c r="J19" s="463"/>
      <c r="K19" s="463"/>
      <c r="L19" s="463"/>
      <c r="M19" s="463"/>
      <c r="N19" s="423"/>
      <c r="O19" s="423"/>
      <c r="P19" s="423"/>
      <c r="Q19" s="423"/>
      <c r="R19" s="294"/>
      <c r="S19" s="294"/>
      <c r="T19" s="294"/>
      <c r="U19" s="294"/>
      <c r="V19" s="294"/>
      <c r="W19" s="294"/>
      <c r="X19" s="294"/>
      <c r="Y19" s="294"/>
      <c r="Z19" s="294"/>
      <c r="AA19" s="294"/>
      <c r="AB19" s="294"/>
      <c r="AO19" s="807"/>
      <c r="AP19" s="807"/>
      <c r="AQ19" s="807"/>
      <c r="AR19" s="807"/>
      <c r="AS19" s="807"/>
      <c r="AT19" s="807"/>
      <c r="AU19" s="807"/>
      <c r="AV19" s="807"/>
      <c r="AW19" s="807"/>
      <c r="AX19" s="807"/>
      <c r="AY19" s="807"/>
      <c r="AZ19" s="807"/>
      <c r="BA19" s="807"/>
      <c r="BB19" s="807"/>
      <c r="BC19" s="807"/>
      <c r="BD19" s="807"/>
      <c r="BE19" s="807"/>
      <c r="BF19" s="807"/>
    </row>
    <row r="20" spans="3:58" x14ac:dyDescent="0.3">
      <c r="C20" s="464"/>
      <c r="V20" s="471"/>
      <c r="W20" s="471"/>
      <c r="AO20" s="807"/>
      <c r="AP20" s="807"/>
      <c r="AQ20" s="807"/>
      <c r="AR20" s="807"/>
      <c r="AS20" s="807"/>
      <c r="AT20" s="807"/>
      <c r="AU20" s="807"/>
      <c r="AV20" s="807"/>
      <c r="AW20" s="807"/>
      <c r="AX20" s="807"/>
      <c r="AY20" s="807"/>
      <c r="AZ20" s="807"/>
      <c r="BA20" s="807"/>
      <c r="BB20" s="807"/>
      <c r="BC20" s="807"/>
      <c r="BD20" s="807"/>
      <c r="BE20" s="807"/>
      <c r="BF20" s="807"/>
    </row>
    <row r="21" spans="3:58" x14ac:dyDescent="0.3">
      <c r="AO21" s="807"/>
      <c r="AP21" s="807"/>
      <c r="AQ21" s="807"/>
      <c r="AR21" s="807"/>
      <c r="AS21" s="807"/>
      <c r="AT21" s="807"/>
      <c r="AU21" s="807"/>
      <c r="AV21" s="807"/>
      <c r="AW21" s="807"/>
      <c r="AX21" s="807"/>
      <c r="AY21" s="807"/>
      <c r="AZ21" s="807"/>
      <c r="BA21" s="807"/>
      <c r="BB21" s="807"/>
      <c r="BC21" s="807"/>
      <c r="BD21" s="807"/>
      <c r="BE21" s="807"/>
      <c r="BF21" s="807"/>
    </row>
    <row r="22" spans="3:58" x14ac:dyDescent="0.3">
      <c r="C22" s="296" t="s">
        <v>209</v>
      </c>
      <c r="J22" s="77"/>
      <c r="K22" s="77"/>
      <c r="L22" s="77"/>
      <c r="M22" s="77"/>
      <c r="N22" s="77"/>
      <c r="O22" s="77"/>
      <c r="P22" s="77"/>
      <c r="Q22" s="77"/>
      <c r="S22" s="395"/>
      <c r="T22" s="395"/>
      <c r="U22" s="395"/>
      <c r="Y22" s="395"/>
      <c r="Z22" s="395"/>
      <c r="AA22" s="395"/>
      <c r="AB22" s="395"/>
      <c r="AO22" s="807"/>
      <c r="AP22" s="807"/>
      <c r="AQ22" s="807"/>
      <c r="AR22" s="807"/>
      <c r="AS22" s="807"/>
      <c r="AT22" s="807"/>
      <c r="AU22" s="807"/>
      <c r="AV22" s="807"/>
      <c r="AW22" s="807"/>
      <c r="AX22" s="807"/>
      <c r="AY22" s="807"/>
      <c r="AZ22" s="807"/>
      <c r="BA22" s="807"/>
      <c r="BB22" s="807"/>
      <c r="BC22" s="807"/>
      <c r="BD22" s="807"/>
      <c r="BE22" s="807"/>
      <c r="BF22" s="807"/>
    </row>
    <row r="23" spans="3:58" ht="12.5" thickBot="1" x14ac:dyDescent="0.35">
      <c r="J23" s="77"/>
      <c r="K23" s="77"/>
      <c r="L23" s="77"/>
      <c r="M23" s="77"/>
      <c r="N23" s="77"/>
      <c r="O23" s="77"/>
      <c r="P23" s="77"/>
      <c r="Q23" s="77"/>
      <c r="S23" s="294"/>
      <c r="T23" s="294"/>
      <c r="U23" s="294"/>
      <c r="V23" s="294"/>
      <c r="Y23" s="294"/>
      <c r="Z23" s="294"/>
      <c r="AA23" s="294"/>
      <c r="AB23" s="294"/>
      <c r="AF23" s="126"/>
      <c r="AK23" s="126"/>
      <c r="AO23" s="807"/>
      <c r="AP23" s="807"/>
      <c r="AQ23" s="807"/>
      <c r="AR23" s="807"/>
      <c r="AS23" s="807"/>
      <c r="AT23" s="807"/>
      <c r="AU23" s="807"/>
      <c r="AV23" s="807"/>
      <c r="AW23" s="807"/>
      <c r="AX23" s="807"/>
      <c r="AY23" s="807"/>
      <c r="AZ23" s="807"/>
      <c r="BA23" s="807"/>
      <c r="BB23" s="807"/>
      <c r="BC23" s="807"/>
      <c r="BD23" s="807"/>
      <c r="BE23" s="807"/>
      <c r="BF23" s="807"/>
    </row>
    <row r="24" spans="3:58" ht="12.5" thickBot="1" x14ac:dyDescent="0.35">
      <c r="D24" s="73" t="s">
        <v>86</v>
      </c>
      <c r="J24" s="77"/>
      <c r="K24" s="77"/>
      <c r="L24" s="77"/>
      <c r="M24" s="77"/>
      <c r="N24" s="77"/>
      <c r="O24" s="77"/>
      <c r="P24" s="77"/>
      <c r="Q24" s="77"/>
      <c r="S24" s="294"/>
      <c r="T24" s="294"/>
      <c r="U24" s="294"/>
      <c r="V24" s="294"/>
      <c r="W24" s="1570">
        <f>+Determination_Lookup!M8</f>
        <v>375.63089945463219</v>
      </c>
      <c r="X24" s="297">
        <f>+W30</f>
        <v>381.77089091210621</v>
      </c>
      <c r="Y24" s="297">
        <f>+X30</f>
        <v>391.44541992819109</v>
      </c>
      <c r="Z24" s="297">
        <f t="shared" ref="Z24:AG24" si="10">+Y30</f>
        <v>401.74728460409568</v>
      </c>
      <c r="AA24" s="297">
        <f t="shared" si="10"/>
        <v>405.58945076821254</v>
      </c>
      <c r="AB24" s="297">
        <f t="shared" si="10"/>
        <v>409.3710695194622</v>
      </c>
      <c r="AC24" s="297">
        <f t="shared" si="10"/>
        <v>421.14965328812417</v>
      </c>
      <c r="AD24" s="297">
        <f t="shared" si="10"/>
        <v>441.33059078358235</v>
      </c>
      <c r="AE24" s="297">
        <f t="shared" si="10"/>
        <v>460.88058901675396</v>
      </c>
      <c r="AF24" s="297">
        <f t="shared" si="10"/>
        <v>479.71238533296656</v>
      </c>
      <c r="AG24" s="297">
        <f t="shared" si="10"/>
        <v>499.61193482231721</v>
      </c>
      <c r="AH24" s="297">
        <f>+AG30</f>
        <v>520.15266028166832</v>
      </c>
      <c r="AI24" s="297">
        <f>+AH30</f>
        <v>573.91575322838992</v>
      </c>
      <c r="AJ24" s="297">
        <f>+AI30</f>
        <v>621.82937676641518</v>
      </c>
      <c r="AK24" s="297">
        <f>+AJ30</f>
        <v>641.10553391755093</v>
      </c>
      <c r="AL24" s="297">
        <f>+AK30</f>
        <v>646.72974314117482</v>
      </c>
      <c r="AO24" s="807"/>
      <c r="AP24" s="807"/>
      <c r="AQ24" s="807"/>
      <c r="AR24" s="807"/>
      <c r="AS24" s="807"/>
      <c r="AT24" s="807"/>
      <c r="AU24" s="807"/>
      <c r="AV24" s="807"/>
      <c r="AW24" s="807"/>
      <c r="AX24" s="807"/>
      <c r="AY24" s="807"/>
      <c r="AZ24" s="807"/>
      <c r="BA24" s="807"/>
      <c r="BB24" s="807"/>
      <c r="BC24" s="807"/>
      <c r="BD24" s="807"/>
      <c r="BE24" s="807"/>
      <c r="BF24" s="807"/>
    </row>
    <row r="25" spans="3:58" x14ac:dyDescent="0.3">
      <c r="D25" s="73" t="s">
        <v>251</v>
      </c>
      <c r="J25" s="77"/>
      <c r="K25" s="77"/>
      <c r="L25" s="77"/>
      <c r="M25" s="77"/>
      <c r="N25" s="77"/>
      <c r="O25" s="77"/>
      <c r="P25" s="77"/>
      <c r="Q25" s="77"/>
      <c r="S25" s="294"/>
      <c r="T25" s="294"/>
      <c r="U25" s="294"/>
      <c r="V25" s="294"/>
      <c r="W25" s="297">
        <f>ExpSummary_FO!W19</f>
        <v>25.192626244343892</v>
      </c>
      <c r="X25" s="297">
        <f>ExpSummary_FO!X19</f>
        <v>30.447363509307287</v>
      </c>
      <c r="Y25" s="297">
        <f>ExpSummary_FO!Y19</f>
        <v>32.861360104049083</v>
      </c>
      <c r="Z25" s="297">
        <f>ExpSummary_FO!Z19</f>
        <v>28.09446153439966</v>
      </c>
      <c r="AA25" s="297">
        <f>ExpSummary_FO!AA19</f>
        <v>29.137493005200003</v>
      </c>
      <c r="AB25" s="297">
        <f>ExpSummary_FO!AB19</f>
        <v>37.5</v>
      </c>
      <c r="AC25" s="297">
        <f>ExpSummary_FO!AC19</f>
        <v>45.988700000000001</v>
      </c>
      <c r="AD25" s="297">
        <f>ExpSummary_FO!AD19</f>
        <v>47.9985</v>
      </c>
      <c r="AE25" s="297">
        <f>ExpSummary_FO!AE19</f>
        <v>50.011500000000005</v>
      </c>
      <c r="AF25" s="297">
        <f>ExpSummary_FO!AF19</f>
        <v>54.014500000000012</v>
      </c>
      <c r="AG25" s="297">
        <f>ExpSummary_FO!AG19</f>
        <v>57.990499999999997</v>
      </c>
      <c r="AH25" s="297">
        <f>ExpSummary_FO!AH19</f>
        <v>98.597000000000008</v>
      </c>
      <c r="AI25" s="297">
        <f>ExpSummary_FO!AI19</f>
        <v>95.197000000000003</v>
      </c>
      <c r="AJ25" s="297">
        <f>ExpSummary_FO!AJ19</f>
        <v>68.167000000000002</v>
      </c>
      <c r="AK25" s="297">
        <f>ExpSummary_FO!AK19</f>
        <v>55.112000000000002</v>
      </c>
      <c r="AL25" s="297">
        <f>ExpSummary_FO!AL19</f>
        <v>66.921999999999997</v>
      </c>
      <c r="AO25" s="807"/>
      <c r="AP25" s="807"/>
      <c r="AQ25" s="807"/>
      <c r="AR25" s="807"/>
      <c r="AS25" s="807"/>
      <c r="AT25" s="807"/>
      <c r="AU25" s="807"/>
      <c r="AV25" s="807"/>
      <c r="AW25" s="807"/>
      <c r="AX25" s="807"/>
      <c r="AY25" s="807"/>
      <c r="AZ25" s="807"/>
      <c r="BA25" s="807"/>
      <c r="BB25" s="807"/>
      <c r="BC25" s="807"/>
      <c r="BD25" s="807"/>
      <c r="BE25" s="807"/>
      <c r="BF25" s="807"/>
    </row>
    <row r="26" spans="3:58" x14ac:dyDescent="0.3">
      <c r="D26" s="435" t="s">
        <v>252</v>
      </c>
      <c r="J26" s="77"/>
      <c r="K26" s="77"/>
      <c r="L26" s="77"/>
      <c r="M26" s="77"/>
      <c r="N26" s="77"/>
      <c r="O26" s="77"/>
      <c r="P26" s="77"/>
      <c r="Q26" s="77"/>
      <c r="S26" s="294"/>
      <c r="T26" s="294"/>
      <c r="U26" s="294"/>
      <c r="V26" s="294"/>
      <c r="W26" s="297">
        <f>ExpSummary_FO!W20</f>
        <v>0</v>
      </c>
      <c r="X26" s="297">
        <f>ExpSummary_FO!X20</f>
        <v>0</v>
      </c>
      <c r="Y26" s="297">
        <f>ExpSummary_FO!Y20</f>
        <v>0</v>
      </c>
      <c r="Z26" s="297">
        <f>ExpSummary_FO!Z20</f>
        <v>0.43724108104631215</v>
      </c>
      <c r="AA26" s="297">
        <f>ExpSummary_FO!AA20</f>
        <v>0.44161349185677529</v>
      </c>
      <c r="AB26" s="297">
        <f>ExpSummary_FO!AB20</f>
        <v>0.44602962677534302</v>
      </c>
      <c r="AC26" s="297">
        <f>ExpSummary_FO!AC20</f>
        <v>0</v>
      </c>
      <c r="AD26" s="297">
        <f>ExpSummary_FO!AD20</f>
        <v>0</v>
      </c>
      <c r="AE26" s="297">
        <f>ExpSummary_FO!AE20</f>
        <v>0</v>
      </c>
      <c r="AF26" s="297">
        <f>ExpSummary_FO!AF20</f>
        <v>0</v>
      </c>
      <c r="AG26" s="297">
        <f>ExpSummary_FO!AG20</f>
        <v>0</v>
      </c>
      <c r="AH26" s="297">
        <f>ExpSummary_FO!AH20</f>
        <v>0</v>
      </c>
      <c r="AI26" s="297">
        <f>ExpSummary_FO!AI20</f>
        <v>0</v>
      </c>
      <c r="AJ26" s="297">
        <f>ExpSummary_FO!AJ20</f>
        <v>0</v>
      </c>
      <c r="AK26" s="297">
        <f>ExpSummary_FO!AK20</f>
        <v>0</v>
      </c>
      <c r="AL26" s="297">
        <f>ExpSummary_FO!AL20</f>
        <v>0</v>
      </c>
      <c r="AO26" s="807"/>
      <c r="AP26" s="807"/>
      <c r="AQ26" s="807"/>
      <c r="AR26" s="807"/>
      <c r="AS26" s="807"/>
      <c r="AT26" s="807"/>
      <c r="AU26" s="807"/>
      <c r="AV26" s="807"/>
      <c r="AW26" s="807"/>
      <c r="AX26" s="807"/>
      <c r="AY26" s="807"/>
      <c r="AZ26" s="807"/>
      <c r="BA26" s="807"/>
      <c r="BB26" s="807"/>
      <c r="BC26" s="807"/>
      <c r="BD26" s="807"/>
      <c r="BE26" s="807"/>
      <c r="BF26" s="807"/>
    </row>
    <row r="27" spans="3:58" x14ac:dyDescent="0.3">
      <c r="D27" s="435" t="s">
        <v>253</v>
      </c>
      <c r="J27" s="77"/>
      <c r="K27" s="77"/>
      <c r="L27" s="77"/>
      <c r="M27" s="77"/>
      <c r="N27" s="77"/>
      <c r="O27" s="77"/>
      <c r="P27" s="77"/>
      <c r="Q27" s="77"/>
      <c r="S27" s="294"/>
      <c r="T27" s="294"/>
      <c r="U27" s="294"/>
      <c r="V27" s="294"/>
      <c r="W27" s="297">
        <f>ExpSummary_FO!W21</f>
        <v>1.8893348416289593</v>
      </c>
      <c r="X27" s="297">
        <f>ExpSummary_FO!X21</f>
        <v>2.0431804654262882</v>
      </c>
      <c r="Y27" s="297">
        <f>ExpSummary_FO!Y21</f>
        <v>3.3055239410429444</v>
      </c>
      <c r="Z27" s="297">
        <f>ExpSummary_FO!Z21</f>
        <v>3.705311320754717</v>
      </c>
      <c r="AA27" s="297">
        <f>ExpSummary_FO!AA21</f>
        <v>4.0999999999999996</v>
      </c>
      <c r="AB27" s="297">
        <f>ExpSummary_FO!AB21</f>
        <v>4.141</v>
      </c>
      <c r="AC27" s="297">
        <f>ExpSummary_FO!AC21</f>
        <v>4.51</v>
      </c>
      <c r="AD27" s="297">
        <f>ExpSummary_FO!AD21</f>
        <v>6.15</v>
      </c>
      <c r="AE27" s="297">
        <f>ExpSummary_FO!AE21</f>
        <v>7.91</v>
      </c>
      <c r="AF27" s="297">
        <f>ExpSummary_FO!AF21</f>
        <v>9.86</v>
      </c>
      <c r="AG27" s="297">
        <f>ExpSummary_FO!AG21</f>
        <v>12.16</v>
      </c>
      <c r="AH27" s="297">
        <f>ExpSummary_FO!AH21</f>
        <v>17.600000000000001</v>
      </c>
      <c r="AI27" s="297">
        <f>ExpSummary_FO!AI21</f>
        <v>17.600000000000001</v>
      </c>
      <c r="AJ27" s="297">
        <f>ExpSummary_FO!AJ21</f>
        <v>17.600000000000001</v>
      </c>
      <c r="AK27" s="297">
        <f>ExpSummary_FO!AK21</f>
        <v>17.600000000000001</v>
      </c>
      <c r="AL27" s="297">
        <f>ExpSummary_FO!AL21</f>
        <v>17.600000000000001</v>
      </c>
      <c r="AO27" s="807"/>
      <c r="AP27" s="807"/>
      <c r="AQ27" s="807"/>
      <c r="AR27" s="807"/>
      <c r="AS27" s="807"/>
      <c r="AT27" s="807"/>
      <c r="AU27" s="807"/>
      <c r="AV27" s="807"/>
      <c r="AW27" s="807"/>
      <c r="AX27" s="807"/>
      <c r="AY27" s="807"/>
      <c r="AZ27" s="807"/>
      <c r="BA27" s="807"/>
      <c r="BB27" s="807"/>
      <c r="BC27" s="807"/>
      <c r="BD27" s="807"/>
      <c r="BE27" s="807"/>
      <c r="BF27" s="807"/>
    </row>
    <row r="28" spans="3:58" x14ac:dyDescent="0.3">
      <c r="D28" s="435" t="s">
        <v>254</v>
      </c>
      <c r="J28" s="77"/>
      <c r="K28" s="77"/>
      <c r="L28" s="77"/>
      <c r="M28" s="77"/>
      <c r="N28" s="77"/>
      <c r="O28" s="77"/>
      <c r="P28" s="77"/>
      <c r="Q28" s="77"/>
      <c r="S28" s="294"/>
      <c r="T28" s="294"/>
      <c r="U28" s="294"/>
      <c r="V28" s="294"/>
      <c r="W28" s="297">
        <f>ExpSummary_FO!W25</f>
        <v>0.32740995475113122</v>
      </c>
      <c r="X28" s="297">
        <f>ExpSummary_FO!X25</f>
        <v>0.56998401420959155</v>
      </c>
      <c r="Y28" s="297">
        <f>ExpSummary_FO!Y25</f>
        <v>0.21971323822085892</v>
      </c>
      <c r="Z28" s="297">
        <f>ExpSummary_FO!Z25</f>
        <v>0.61099914236706698</v>
      </c>
      <c r="AA28" s="297">
        <f>ExpSummary_FO!AA25</f>
        <v>0.61710913379073762</v>
      </c>
      <c r="AB28" s="297">
        <f>ExpSummary_FO!AB25</f>
        <v>0.623280225128645</v>
      </c>
      <c r="AC28" s="297">
        <f>ExpSummary_FO!AC25</f>
        <v>0.4</v>
      </c>
      <c r="AD28" s="297">
        <f>ExpSummary_FO!AD25</f>
        <v>0.40400000000000003</v>
      </c>
      <c r="AE28" s="297">
        <f>ExpSummary_FO!AE25</f>
        <v>0.40804000000000001</v>
      </c>
      <c r="AF28" s="297">
        <f>ExpSummary_FO!AF25</f>
        <v>0.4121204</v>
      </c>
      <c r="AG28" s="297">
        <f>ExpSummary_FO!AG25</f>
        <v>0.41624160399999999</v>
      </c>
      <c r="AH28" s="297">
        <f>ExpSummary_FO!AH25</f>
        <v>0.42040402003999999</v>
      </c>
      <c r="AI28" s="297">
        <f>ExpSummary_FO!AI25</f>
        <v>0.42460806024039999</v>
      </c>
      <c r="AJ28" s="297">
        <f>ExpSummary_FO!AJ25</f>
        <v>0.42885414084280399</v>
      </c>
      <c r="AK28" s="297">
        <f>ExpSummary_FO!AK25</f>
        <v>0.43314268225123204</v>
      </c>
      <c r="AL28" s="297">
        <f>ExpSummary_FO!AL25</f>
        <v>0.43747410907374434</v>
      </c>
      <c r="AO28" s="807"/>
      <c r="AP28" s="807"/>
      <c r="AQ28" s="807"/>
      <c r="AR28" s="807"/>
      <c r="AS28" s="807"/>
      <c r="AT28" s="807"/>
      <c r="AU28" s="807"/>
      <c r="AV28" s="807"/>
      <c r="AW28" s="807"/>
      <c r="AX28" s="807"/>
      <c r="AY28" s="807"/>
      <c r="AZ28" s="807"/>
      <c r="BA28" s="807"/>
      <c r="BB28" s="807"/>
      <c r="BC28" s="807"/>
      <c r="BD28" s="807"/>
      <c r="BE28" s="807"/>
      <c r="BF28" s="807"/>
    </row>
    <row r="29" spans="3:58" x14ac:dyDescent="0.3">
      <c r="D29" s="435" t="s">
        <v>255</v>
      </c>
      <c r="J29" s="77"/>
      <c r="K29" s="77"/>
      <c r="L29" s="77"/>
      <c r="M29" s="77"/>
      <c r="N29" s="77"/>
      <c r="O29" s="77"/>
      <c r="P29" s="77"/>
      <c r="Q29" s="77"/>
      <c r="S29" s="294"/>
      <c r="T29" s="294"/>
      <c r="U29" s="294"/>
      <c r="V29" s="294"/>
      <c r="W29" s="449">
        <f t="shared" ref="W29:AB29" si="11">W17</f>
        <v>16.8358899904898</v>
      </c>
      <c r="X29" s="449">
        <f t="shared" si="11"/>
        <v>18.15967001358656</v>
      </c>
      <c r="Y29" s="449">
        <f t="shared" si="11"/>
        <v>19.034258248880676</v>
      </c>
      <c r="Z29" s="449">
        <f t="shared" si="11"/>
        <v>19.498743826114701</v>
      </c>
      <c r="AA29" s="449">
        <f t="shared" si="11"/>
        <v>20.197151628302816</v>
      </c>
      <c r="AB29" s="449">
        <f t="shared" si="11"/>
        <v>20.51110637943404</v>
      </c>
      <c r="AC29" s="449">
        <f t="shared" ref="AC29:AL29" si="12">AC17</f>
        <v>20.897762504541834</v>
      </c>
      <c r="AD29" s="449">
        <f t="shared" si="12"/>
        <v>21.89450176682837</v>
      </c>
      <c r="AE29" s="449">
        <f t="shared" si="12"/>
        <v>22.861663683787434</v>
      </c>
      <c r="AF29" s="449">
        <f t="shared" si="12"/>
        <v>23.84283011064943</v>
      </c>
      <c r="AG29" s="449">
        <f t="shared" si="12"/>
        <v>24.873532936648907</v>
      </c>
      <c r="AH29" s="449">
        <f t="shared" si="12"/>
        <v>26.813503033238412</v>
      </c>
      <c r="AI29" s="449">
        <f t="shared" si="12"/>
        <v>29.258768401734326</v>
      </c>
      <c r="AJ29" s="449">
        <f t="shared" si="12"/>
        <v>30.861988708021514</v>
      </c>
      <c r="AK29" s="449">
        <f t="shared" si="12"/>
        <v>31.454648094124892</v>
      </c>
      <c r="AL29" s="449">
        <f t="shared" si="12"/>
        <v>32.002425927635215</v>
      </c>
      <c r="AO29" s="807"/>
      <c r="AP29" s="807"/>
      <c r="AQ29" s="807"/>
      <c r="AR29" s="807"/>
      <c r="AS29" s="807"/>
      <c r="AT29" s="807"/>
      <c r="AU29" s="807"/>
      <c r="AV29" s="807"/>
      <c r="AW29" s="807"/>
      <c r="AX29" s="807"/>
      <c r="AY29" s="807"/>
      <c r="AZ29" s="807"/>
      <c r="BA29" s="807"/>
      <c r="BB29" s="807"/>
      <c r="BC29" s="807"/>
      <c r="BD29" s="807"/>
      <c r="BE29" s="807"/>
      <c r="BF29" s="807"/>
    </row>
    <row r="30" spans="3:58" ht="12.5" thickBot="1" x14ac:dyDescent="0.35">
      <c r="D30" s="466" t="s">
        <v>66</v>
      </c>
      <c r="J30" s="77"/>
      <c r="K30" s="77"/>
      <c r="L30" s="77"/>
      <c r="M30" s="77"/>
      <c r="N30" s="77"/>
      <c r="O30" s="77"/>
      <c r="P30" s="77"/>
      <c r="Q30" s="77"/>
      <c r="S30" s="294"/>
      <c r="T30" s="294"/>
      <c r="U30" s="294"/>
      <c r="V30" s="294"/>
      <c r="W30" s="1659">
        <f t="shared" ref="W30:AB30" si="13">+SUM(W24:W25)-SUM(W26:W29)</f>
        <v>381.77089091210621</v>
      </c>
      <c r="X30" s="1659">
        <f t="shared" si="13"/>
        <v>391.44541992819109</v>
      </c>
      <c r="Y30" s="1659">
        <f t="shared" si="13"/>
        <v>401.74728460409568</v>
      </c>
      <c r="Z30" s="1659">
        <f t="shared" si="13"/>
        <v>405.58945076821254</v>
      </c>
      <c r="AA30" s="1659">
        <f t="shared" si="13"/>
        <v>409.3710695194622</v>
      </c>
      <c r="AB30" s="1659">
        <f t="shared" si="13"/>
        <v>421.14965328812417</v>
      </c>
      <c r="AC30" s="1659">
        <f t="shared" ref="AC30:AL30" si="14">+SUM(AC24:AC25)-SUM(AC26:AC29)</f>
        <v>441.33059078358235</v>
      </c>
      <c r="AD30" s="1659">
        <f t="shared" si="14"/>
        <v>460.88058901675396</v>
      </c>
      <c r="AE30" s="1659">
        <f t="shared" si="14"/>
        <v>479.71238533296656</v>
      </c>
      <c r="AF30" s="1659">
        <f t="shared" si="14"/>
        <v>499.61193482231721</v>
      </c>
      <c r="AG30" s="1659">
        <f t="shared" si="14"/>
        <v>520.15266028166832</v>
      </c>
      <c r="AH30" s="1659">
        <f t="shared" si="14"/>
        <v>573.91575322838992</v>
      </c>
      <c r="AI30" s="1659">
        <f t="shared" si="14"/>
        <v>621.82937676641518</v>
      </c>
      <c r="AJ30" s="1659">
        <f t="shared" si="14"/>
        <v>641.10553391755093</v>
      </c>
      <c r="AK30" s="1659">
        <f t="shared" si="14"/>
        <v>646.72974314117482</v>
      </c>
      <c r="AL30" s="1659">
        <f t="shared" si="14"/>
        <v>663.61184310446583</v>
      </c>
      <c r="AO30" s="807"/>
      <c r="AP30" s="807"/>
      <c r="AQ30" s="807"/>
      <c r="AR30" s="807"/>
      <c r="AS30" s="807"/>
      <c r="AT30" s="807"/>
      <c r="AU30" s="807"/>
      <c r="AV30" s="807"/>
      <c r="AW30" s="807"/>
      <c r="AX30" s="807"/>
      <c r="AY30" s="807"/>
      <c r="AZ30" s="807"/>
      <c r="BA30" s="807"/>
      <c r="BB30" s="807"/>
      <c r="BC30" s="807"/>
      <c r="BD30" s="807"/>
      <c r="BE30" s="807"/>
      <c r="BF30" s="807"/>
    </row>
    <row r="31" spans="3:58" ht="12.5" thickTop="1" x14ac:dyDescent="0.3">
      <c r="J31" s="77"/>
      <c r="K31" s="77"/>
      <c r="L31" s="77"/>
      <c r="M31" s="77"/>
      <c r="N31" s="77"/>
      <c r="O31" s="77"/>
      <c r="P31" s="77"/>
      <c r="Q31" s="77"/>
      <c r="S31" s="294"/>
      <c r="T31" s="294"/>
      <c r="U31" s="294"/>
      <c r="V31" s="1303"/>
      <c r="W31" s="1298"/>
      <c r="X31" s="294"/>
      <c r="Y31" s="294"/>
      <c r="Z31" s="294"/>
      <c r="AA31" s="294"/>
      <c r="AB31" s="294"/>
    </row>
    <row r="32" spans="3:58" x14ac:dyDescent="0.3">
      <c r="J32" s="77"/>
      <c r="K32" s="77"/>
      <c r="L32" s="77"/>
      <c r="M32" s="77"/>
      <c r="N32" s="77"/>
      <c r="O32" s="77"/>
      <c r="P32" s="77"/>
      <c r="Q32" s="77"/>
      <c r="S32" s="294"/>
      <c r="T32" s="294"/>
      <c r="U32" s="294"/>
      <c r="V32" s="294"/>
      <c r="W32" s="294"/>
      <c r="X32" s="294"/>
      <c r="Y32" s="294"/>
      <c r="Z32" s="294"/>
      <c r="AA32" s="294"/>
      <c r="AB32" s="294"/>
    </row>
    <row r="33" spans="3:38" x14ac:dyDescent="0.3">
      <c r="J33" s="77"/>
      <c r="K33" s="77"/>
      <c r="L33" s="77"/>
      <c r="M33" s="77"/>
      <c r="N33" s="77"/>
      <c r="O33" s="77"/>
      <c r="P33" s="77"/>
      <c r="Q33" s="77"/>
      <c r="R33" s="294"/>
      <c r="S33" s="294"/>
      <c r="T33" s="294"/>
      <c r="U33" s="294"/>
      <c r="V33" s="294"/>
      <c r="W33" s="294"/>
      <c r="X33" s="294"/>
      <c r="Y33" s="294"/>
      <c r="Z33" s="294"/>
      <c r="AA33" s="294"/>
      <c r="AB33" s="294"/>
      <c r="AC33" s="1524" t="s">
        <v>538</v>
      </c>
      <c r="AD33" s="1525"/>
      <c r="AE33" s="1525"/>
      <c r="AF33" s="1525"/>
      <c r="AG33" s="1525"/>
      <c r="AH33" s="1535"/>
      <c r="AI33" s="1535"/>
      <c r="AJ33" s="1525"/>
      <c r="AK33" s="1525"/>
      <c r="AL33" s="1525"/>
    </row>
    <row r="34" spans="3:38" x14ac:dyDescent="0.3">
      <c r="J34" s="77"/>
      <c r="K34" s="77"/>
      <c r="L34" s="77"/>
      <c r="M34" s="77"/>
      <c r="N34" s="77"/>
      <c r="O34" s="77"/>
      <c r="P34" s="77"/>
      <c r="Q34" s="77"/>
      <c r="R34" s="294"/>
      <c r="S34" s="294"/>
      <c r="T34" s="294"/>
      <c r="U34" s="467"/>
      <c r="V34" s="467"/>
      <c r="X34" s="294"/>
      <c r="Y34" s="468"/>
      <c r="AA34" s="294"/>
      <c r="AB34" s="468" t="s">
        <v>586</v>
      </c>
      <c r="AC34" s="484">
        <f>'Rev&amp;RAV_FO'!AC55*0.024</f>
        <v>1.1037288000000001</v>
      </c>
      <c r="AD34" s="485">
        <f>'Rev&amp;RAV_FO'!AD55*0.024</f>
        <v>1.151964</v>
      </c>
      <c r="AE34" s="485">
        <f>'Rev&amp;RAV_FO'!AE55*0.024</f>
        <v>1.2002760000000001</v>
      </c>
      <c r="AF34" s="485">
        <f>'Rev&amp;RAV_FO'!AF55*0.024</f>
        <v>1.2963480000000003</v>
      </c>
      <c r="AG34" s="486">
        <f>'Rev&amp;RAV_FO'!AG55*0.024</f>
        <v>1.391772</v>
      </c>
      <c r="AH34" s="485">
        <f>'Rev&amp;RAV_FO'!AH55*0.024</f>
        <v>2.3663280000000002</v>
      </c>
      <c r="AI34" s="485">
        <f>'Rev&amp;RAV_FO'!AI55*0.024</f>
        <v>2.2847280000000003</v>
      </c>
      <c r="AJ34" s="485">
        <f>'Rev&amp;RAV_FO'!AJ55*0.024</f>
        <v>1.6360080000000001</v>
      </c>
      <c r="AK34" s="485">
        <f>'Rev&amp;RAV_FO'!AK55*0.024</f>
        <v>1.3226880000000001</v>
      </c>
      <c r="AL34" s="486">
        <f>'Rev&amp;RAV_FO'!AL55*0.024</f>
        <v>1.606128</v>
      </c>
    </row>
    <row r="35" spans="3:38" x14ac:dyDescent="0.3">
      <c r="J35" s="125"/>
      <c r="K35" s="294"/>
      <c r="L35" s="294"/>
      <c r="M35" s="294"/>
      <c r="N35" s="294"/>
      <c r="O35" s="294"/>
      <c r="P35" s="294"/>
      <c r="Q35" s="294"/>
      <c r="R35" s="294"/>
      <c r="S35" s="294"/>
      <c r="T35" s="294"/>
      <c r="U35" s="294"/>
      <c r="V35" s="294"/>
      <c r="X35" s="294"/>
      <c r="Y35" s="294"/>
      <c r="Z35" s="294"/>
      <c r="AA35" s="294"/>
      <c r="AB35" s="294"/>
    </row>
    <row r="36" spans="3:38" x14ac:dyDescent="0.3">
      <c r="J36" s="125"/>
      <c r="K36" s="294"/>
      <c r="L36" s="294"/>
      <c r="M36" s="294"/>
      <c r="N36" s="294"/>
      <c r="O36" s="294"/>
      <c r="P36" s="294"/>
      <c r="Q36" s="294"/>
      <c r="R36" s="294"/>
      <c r="S36" s="294"/>
      <c r="T36" s="294"/>
      <c r="U36" s="294"/>
      <c r="V36" s="294"/>
      <c r="X36" s="294"/>
      <c r="Y36" s="1154"/>
      <c r="Z36" s="294"/>
      <c r="AA36" s="294"/>
      <c r="AB36" s="1154"/>
      <c r="AC36" s="1524" t="s">
        <v>860</v>
      </c>
      <c r="AD36" s="1535"/>
      <c r="AE36" s="1525"/>
      <c r="AF36" s="1525"/>
      <c r="AG36" s="1525"/>
      <c r="AH36" s="1535"/>
      <c r="AI36" s="1535"/>
      <c r="AJ36" s="1525"/>
      <c r="AK36" s="1525"/>
      <c r="AL36" s="1525"/>
    </row>
    <row r="37" spans="3:38" x14ac:dyDescent="0.3">
      <c r="C37" s="447" t="s">
        <v>965</v>
      </c>
      <c r="J37" s="449"/>
      <c r="K37" s="449"/>
      <c r="L37" s="449"/>
      <c r="N37" s="469"/>
      <c r="O37" s="469"/>
      <c r="P37" s="469"/>
      <c r="V37" s="469"/>
      <c r="X37" s="294"/>
      <c r="Y37" s="469"/>
      <c r="AA37" s="294"/>
      <c r="AB37" s="470" t="s">
        <v>587</v>
      </c>
      <c r="AC37" s="484">
        <f>AC12*0.047</f>
        <v>19.794033704541835</v>
      </c>
      <c r="AD37" s="485">
        <f t="shared" ref="AD37:AL37" si="15">AD12*0.047</f>
        <v>20.74253776682837</v>
      </c>
      <c r="AE37" s="485">
        <f t="shared" si="15"/>
        <v>21.661387683787435</v>
      </c>
      <c r="AF37" s="485">
        <f t="shared" si="15"/>
        <v>22.546482110649428</v>
      </c>
      <c r="AG37" s="486">
        <f t="shared" si="15"/>
        <v>23.481760936648907</v>
      </c>
      <c r="AH37" s="485">
        <f t="shared" si="15"/>
        <v>24.447175033238413</v>
      </c>
      <c r="AI37" s="485">
        <f t="shared" si="15"/>
        <v>26.974040401734324</v>
      </c>
      <c r="AJ37" s="485">
        <f t="shared" si="15"/>
        <v>29.225980708021513</v>
      </c>
      <c r="AK37" s="485">
        <f t="shared" si="15"/>
        <v>30.131960094124892</v>
      </c>
      <c r="AL37" s="486">
        <f t="shared" si="15"/>
        <v>30.396297927635217</v>
      </c>
    </row>
    <row r="38" spans="3:38" x14ac:dyDescent="0.3">
      <c r="J38" s="125"/>
      <c r="K38" s="294"/>
      <c r="L38" s="294"/>
      <c r="M38" s="301"/>
      <c r="N38" s="301"/>
      <c r="O38" s="301"/>
      <c r="P38" s="294"/>
      <c r="V38" s="294"/>
      <c r="W38" s="294"/>
      <c r="X38" s="294"/>
      <c r="Y38" s="294"/>
      <c r="Z38" s="294"/>
      <c r="AA38" s="294"/>
      <c r="AB38" s="294"/>
      <c r="AC38" s="294"/>
      <c r="AD38" s="294"/>
      <c r="AE38" s="294"/>
      <c r="AF38" s="294"/>
      <c r="AG38" s="294"/>
      <c r="AH38" s="294"/>
      <c r="AI38" s="294"/>
      <c r="AJ38" s="294"/>
      <c r="AK38" s="294"/>
      <c r="AL38" s="294"/>
    </row>
    <row r="39" spans="3:38" x14ac:dyDescent="0.3">
      <c r="M39" s="265"/>
      <c r="N39" s="410"/>
      <c r="O39" s="410"/>
      <c r="P39" s="471"/>
      <c r="V39" s="471"/>
      <c r="W39" s="471"/>
      <c r="X39" s="471"/>
      <c r="AC39" s="471"/>
      <c r="AH39" s="471"/>
    </row>
    <row r="40" spans="3:38" ht="21.75" customHeight="1" x14ac:dyDescent="0.3">
      <c r="D40" s="472" t="s">
        <v>210</v>
      </c>
      <c r="F40" s="473" t="s">
        <v>211</v>
      </c>
      <c r="G40" s="473" t="s">
        <v>212</v>
      </c>
      <c r="H40" s="474" t="s">
        <v>213</v>
      </c>
      <c r="I40" s="474" t="s">
        <v>537</v>
      </c>
      <c r="M40" s="265"/>
      <c r="N40" s="265"/>
      <c r="O40" s="265"/>
      <c r="W40" s="77"/>
      <c r="X40" s="77"/>
      <c r="Y40" s="77"/>
    </row>
    <row r="41" spans="3:38" x14ac:dyDescent="0.3">
      <c r="C41" s="126">
        <v>1</v>
      </c>
      <c r="D41" s="487" t="s">
        <v>1177</v>
      </c>
      <c r="E41" s="488"/>
      <c r="F41" s="1660">
        <v>30.14</v>
      </c>
      <c r="G41" s="1661">
        <v>36.927630503704982</v>
      </c>
      <c r="H41" s="1662">
        <f t="shared" ref="H41:H69" si="16">+IF(ISERROR(G41/$G$82),"",G41/$G$82)</f>
        <v>2.4453365348978632E-2</v>
      </c>
      <c r="I41" s="1663">
        <f t="shared" ref="I41:I62" si="17">G41/$G$82*F41</f>
        <v>0.73702443161821596</v>
      </c>
      <c r="M41" s="265"/>
      <c r="N41" s="410"/>
      <c r="O41" s="410"/>
      <c r="P41" s="410"/>
      <c r="W41" s="476"/>
      <c r="X41" s="1524" t="s">
        <v>861</v>
      </c>
      <c r="Y41" s="1534"/>
      <c r="Z41" s="1534"/>
      <c r="AA41" s="1524"/>
      <c r="AB41" s="476"/>
      <c r="AC41" s="2167">
        <f t="shared" ref="AC41:AC80" si="18">IF(F41&lt;=0,0,($AB$30*H41)/MAX(F41,1))</f>
        <v>0.3416896595371659</v>
      </c>
      <c r="AD41" s="2168">
        <f>IF($F41&lt;=0,0,IF(SUM($AC41:AC41)+($AB$30*$H41)/$F41&lt;($AB$30*$H41),($AB$30*$H41)/$F41,($AB$30*$H41)-SUM($AC41:AC41)))</f>
        <v>0.3416896595371659</v>
      </c>
      <c r="AE41" s="1663">
        <f>IF($F41&lt;=0,0,IF(SUM($AC41:AD41)+($AB$30*$H41)/$F41&lt;($AB$30*$H41),($AB$30*$H41)/$F41,($AB$30*$H41)-SUM($AC41:AD41)))</f>
        <v>0.3416896595371659</v>
      </c>
      <c r="AF41" s="1663">
        <f>IF($F41&lt;=0,0,IF(SUM($AC41:AE41)+($AB$30*$H41)/$F41&lt;($AB$30*$H41),($AB$30*$H41)/$F41,($AB$30*$H41)-SUM($AC41:AE41)))</f>
        <v>0.3416896595371659</v>
      </c>
      <c r="AG41" s="1663">
        <f>IF($F41&lt;=0,0,IF(SUM($AC41:AF41)+($AB$30*$H41)/$F41&lt;($AB$30*$H41),($AB$30*$H41)/$F41,($AB$30*$H41)-SUM($AC41:AF41)))</f>
        <v>0.3416896595371659</v>
      </c>
      <c r="AH41" s="1663">
        <f>IF($F41&lt;=0,0,IF(SUM($AC41:AG41)+($AB$30*$H41)/$F41&lt;($AB$30*$H41),($AB$30*$H41)/$F41,($AB$30*$H41)-SUM($AC41:AG41)))</f>
        <v>0.3416896595371659</v>
      </c>
      <c r="AI41" s="1663">
        <f>IF($F41&lt;=0,0,IF(SUM($AC41:AH41)+($AB$30*$H41)/$F41&lt;($AB$30*$H41),($AB$30*$H41)/$F41,($AB$30*$H41)-SUM($AC41:AH41)))</f>
        <v>0.3416896595371659</v>
      </c>
      <c r="AJ41" s="1663">
        <f>IF($F41&lt;=0,0,IF(SUM($AC41:AI41)+($AB$30*$H41)/$F41&lt;($AB$30*$H41),($AB$30*$H41)/$F41,($AB$30*$H41)-SUM($AC41:AI41)))</f>
        <v>0.3416896595371659</v>
      </c>
      <c r="AK41" s="1663">
        <f>IF($F41&lt;=0,0,IF(SUM($AC41:AJ41)+($AB$30*$H41)/$F41&lt;($AB$30*$H41),($AB$30*$H41)/$F41,($AB$30*$H41)-SUM($AC41:AJ41)))</f>
        <v>0.3416896595371659</v>
      </c>
      <c r="AL41" s="1663">
        <f>IF($F41&lt;=0,0,IF(SUM($AC41:AK41)+($AB$30*$H41)/$F41&lt;($AB$30*$H41),($AB$30*$H41)/$F41,($AB$30*$H41)-SUM($AC41:AK41)))</f>
        <v>0.3416896595371659</v>
      </c>
    </row>
    <row r="42" spans="3:38" x14ac:dyDescent="0.3">
      <c r="C42" s="126">
        <v>2</v>
      </c>
      <c r="D42" s="487" t="s">
        <v>1178</v>
      </c>
      <c r="E42" s="488"/>
      <c r="F42" s="1660">
        <v>0.92</v>
      </c>
      <c r="G42" s="1661">
        <v>9.4224484530777026</v>
      </c>
      <c r="H42" s="1662">
        <f t="shared" si="16"/>
        <v>6.2395168972975484E-3</v>
      </c>
      <c r="I42" s="1663">
        <f t="shared" si="17"/>
        <v>5.7403555455137444E-3</v>
      </c>
      <c r="M42" s="265"/>
      <c r="N42" s="410"/>
      <c r="O42" s="410"/>
      <c r="P42" s="410"/>
      <c r="W42" s="476"/>
      <c r="X42" s="1524" t="s">
        <v>862</v>
      </c>
      <c r="Y42" s="1534"/>
      <c r="Z42" s="1534"/>
      <c r="AA42" s="1524"/>
      <c r="AB42" s="476"/>
      <c r="AC42" s="1663">
        <f t="shared" si="18"/>
        <v>2.6277703779822548</v>
      </c>
      <c r="AD42" s="1663">
        <f>IF($F42&lt;=0,0,IF(SUM($AC42:AC42)+($AB$30*$H42)/$F42&lt;($AB$30*$H42),($AB$30*$H42)/$F42,($AB$30*$H42)-SUM($AC42:AC42)))</f>
        <v>0</v>
      </c>
      <c r="AE42" s="1663">
        <f>IF($F42&lt;=0,0,IF(SUM($AC42:AD42)+($AB$30*$H42)/$F42&lt;($AB$30*$H42),($AB$30*$H42)/$F42,($AB$30*$H42)-SUM($AC42:AD42)))</f>
        <v>0</v>
      </c>
      <c r="AF42" s="1663">
        <f>IF($F42&lt;=0,0,IF(SUM($AC42:AE42)+($AB$30*$H42)/$F42&lt;($AB$30*$H42),($AB$30*$H42)/$F42,($AB$30*$H42)-SUM($AC42:AE42)))</f>
        <v>0</v>
      </c>
      <c r="AG42" s="1663">
        <f>IF($F42&lt;=0,0,IF(SUM($AC42:AF42)+($AB$30*$H42)/$F42&lt;($AB$30*$H42),($AB$30*$H42)/$F42,($AB$30*$H42)-SUM($AC42:AF42)))</f>
        <v>0</v>
      </c>
      <c r="AH42" s="1663">
        <f>IF($F42&lt;=0,0,IF(SUM($AC42:AG42)+($AB$30*$H42)/$F42&lt;($AB$30*$H42),($AB$30*$H42)/$F42,($AB$30*$H42)-SUM($AC42:AG42)))</f>
        <v>0</v>
      </c>
      <c r="AI42" s="1663">
        <f>IF($F42&lt;=0,0,IF(SUM($AC42:AH42)+($AB$30*$H42)/$F42&lt;($AB$30*$H42),($AB$30*$H42)/$F42,($AB$30*$H42)-SUM($AC42:AH42)))</f>
        <v>0</v>
      </c>
      <c r="AJ42" s="1663">
        <f>IF($F42&lt;=0,0,IF(SUM($AC42:AI42)+($AB$30*$H42)/$F42&lt;($AB$30*$H42),($AB$30*$H42)/$F42,($AB$30*$H42)-SUM($AC42:AI42)))</f>
        <v>0</v>
      </c>
      <c r="AK42" s="1663">
        <f>IF($F42&lt;=0,0,IF(SUM($AC42:AJ42)+($AB$30*$H42)/$F42&lt;($AB$30*$H42),($AB$30*$H42)/$F42,($AB$30*$H42)-SUM($AC42:AJ42)))</f>
        <v>0</v>
      </c>
      <c r="AL42" s="1663">
        <f>IF($F42&lt;=0,0,IF(SUM($AC42:AK42)+($AB$30*$H42)/$F42&lt;($AB$30*$H42),($AB$30*$H42)/$F42,($AB$30*$H42)-SUM($AC42:AK42)))</f>
        <v>0</v>
      </c>
    </row>
    <row r="43" spans="3:38" x14ac:dyDescent="0.3">
      <c r="C43" s="126">
        <v>3</v>
      </c>
      <c r="D43" s="487" t="s">
        <v>1179</v>
      </c>
      <c r="E43" s="488"/>
      <c r="F43" s="1660">
        <v>18.95</v>
      </c>
      <c r="G43" s="1661">
        <v>63.624654107551464</v>
      </c>
      <c r="H43" s="1662">
        <f t="shared" si="16"/>
        <v>4.2132053718915201E-2</v>
      </c>
      <c r="I43" s="1663">
        <f t="shared" si="17"/>
        <v>0.79840241797344302</v>
      </c>
      <c r="N43" s="410"/>
      <c r="O43" s="410"/>
      <c r="P43" s="410"/>
      <c r="V43" s="410"/>
      <c r="W43" s="476"/>
      <c r="X43" s="77"/>
      <c r="Y43" s="77"/>
      <c r="Z43" s="476"/>
      <c r="AA43" s="476"/>
      <c r="AB43" s="476"/>
      <c r="AC43" s="1663">
        <f t="shared" si="18"/>
        <v>0.93635355229750716</v>
      </c>
      <c r="AD43" s="1663">
        <f>IF($F43&lt;=0,0,IF(SUM($AC43:AC43)+($AB$30*$H43)/$F43&lt;($AB$30*$H43),($AB$30*$H43)/$F43,($AB$30*$H43)-SUM($AC43:AC43)))</f>
        <v>0.93635355229750716</v>
      </c>
      <c r="AE43" s="1663">
        <f>IF($F43&lt;=0,0,IF(SUM($AC43:AD43)+($AB$30*$H43)/$F43&lt;($AB$30*$H43),($AB$30*$H43)/$F43,($AB$30*$H43)-SUM($AC43:AD43)))</f>
        <v>0.93635355229750716</v>
      </c>
      <c r="AF43" s="1663">
        <f>IF($F43&lt;=0,0,IF(SUM($AC43:AE43)+($AB$30*$H43)/$F43&lt;($AB$30*$H43),($AB$30*$H43)/$F43,($AB$30*$H43)-SUM($AC43:AE43)))</f>
        <v>0.93635355229750716</v>
      </c>
      <c r="AG43" s="1663">
        <f>IF($F43&lt;=0,0,IF(SUM($AC43:AF43)+($AB$30*$H43)/$F43&lt;($AB$30*$H43),($AB$30*$H43)/$F43,($AB$30*$H43)-SUM($AC43:AF43)))</f>
        <v>0.93635355229750716</v>
      </c>
      <c r="AH43" s="1663">
        <f>IF($F43&lt;=0,0,IF(SUM($AC43:AG43)+($AB$30*$H43)/$F43&lt;($AB$30*$H43),($AB$30*$H43)/$F43,($AB$30*$H43)-SUM($AC43:AG43)))</f>
        <v>0.93635355229750716</v>
      </c>
      <c r="AI43" s="1663">
        <f>IF($F43&lt;=0,0,IF(SUM($AC43:AH43)+($AB$30*$H43)/$F43&lt;($AB$30*$H43),($AB$30*$H43)/$F43,($AB$30*$H43)-SUM($AC43:AH43)))</f>
        <v>0.93635355229750716</v>
      </c>
      <c r="AJ43" s="1663">
        <f>IF($F43&lt;=0,0,IF(SUM($AC43:AI43)+($AB$30*$H43)/$F43&lt;($AB$30*$H43),($AB$30*$H43)/$F43,($AB$30*$H43)-SUM($AC43:AI43)))</f>
        <v>0.93635355229750716</v>
      </c>
      <c r="AK43" s="1663">
        <f>IF($F43&lt;=0,0,IF(SUM($AC43:AJ43)+($AB$30*$H43)/$F43&lt;($AB$30*$H43),($AB$30*$H43)/$F43,($AB$30*$H43)-SUM($AC43:AJ43)))</f>
        <v>0.93635355229750716</v>
      </c>
      <c r="AL43" s="1663">
        <f>IF($F43&lt;=0,0,IF(SUM($AC43:AK43)+($AB$30*$H43)/$F43&lt;($AB$30*$H43),($AB$30*$H43)/$F43,($AB$30*$H43)-SUM($AC43:AK43)))</f>
        <v>0.93635355229750716</v>
      </c>
    </row>
    <row r="44" spans="3:38" x14ac:dyDescent="0.3">
      <c r="C44" s="126">
        <v>4</v>
      </c>
      <c r="D44" s="487" t="s">
        <v>1180</v>
      </c>
      <c r="E44" s="488"/>
      <c r="F44" s="1660">
        <v>48.44</v>
      </c>
      <c r="G44" s="1661">
        <v>709.27617908336367</v>
      </c>
      <c r="H44" s="1662">
        <f t="shared" si="16"/>
        <v>0.46968054283127997</v>
      </c>
      <c r="I44" s="1663">
        <f t="shared" si="17"/>
        <v>22.751325494747199</v>
      </c>
      <c r="N44" s="410"/>
      <c r="O44" s="410"/>
      <c r="P44" s="410"/>
      <c r="V44" s="410"/>
      <c r="W44" s="476"/>
      <c r="X44" s="77"/>
      <c r="Y44" s="77"/>
      <c r="Z44" s="476"/>
      <c r="AA44" s="476"/>
      <c r="AB44" s="476"/>
      <c r="AC44" s="1663">
        <f t="shared" si="18"/>
        <v>4.0835218366963568</v>
      </c>
      <c r="AD44" s="1663">
        <f>IF($F44&lt;=0,0,IF(SUM($AC44:AC44)+($AB$30*$H44)/$F44&lt;($AB$30*$H44),($AB$30*$H44)/$F44,($AB$30*$H44)-SUM($AC44:AC44)))</f>
        <v>4.0835218366963568</v>
      </c>
      <c r="AE44" s="1663">
        <f>IF($F44&lt;=0,0,IF(SUM($AC44:AD44)+($AB$30*$H44)/$F44&lt;($AB$30*$H44),($AB$30*$H44)/$F44,($AB$30*$H44)-SUM($AC44:AD44)))</f>
        <v>4.0835218366963568</v>
      </c>
      <c r="AF44" s="1663">
        <f>IF($F44&lt;=0,0,IF(SUM($AC44:AE44)+($AB$30*$H44)/$F44&lt;($AB$30*$H44),($AB$30*$H44)/$F44,($AB$30*$H44)-SUM($AC44:AE44)))</f>
        <v>4.0835218366963568</v>
      </c>
      <c r="AG44" s="1663">
        <f>IF($F44&lt;=0,0,IF(SUM($AC44:AF44)+($AB$30*$H44)/$F44&lt;($AB$30*$H44),($AB$30*$H44)/$F44,($AB$30*$H44)-SUM($AC44:AF44)))</f>
        <v>4.0835218366963568</v>
      </c>
      <c r="AH44" s="1663">
        <f>IF($F44&lt;=0,0,IF(SUM($AC44:AG44)+($AB$30*$H44)/$F44&lt;($AB$30*$H44),($AB$30*$H44)/$F44,($AB$30*$H44)-SUM($AC44:AG44)))</f>
        <v>4.0835218366963568</v>
      </c>
      <c r="AI44" s="1663">
        <f>IF($F44&lt;=0,0,IF(SUM($AC44:AH44)+($AB$30*$H44)/$F44&lt;($AB$30*$H44),($AB$30*$H44)/$F44,($AB$30*$H44)-SUM($AC44:AH44)))</f>
        <v>4.0835218366963568</v>
      </c>
      <c r="AJ44" s="1663">
        <f>IF($F44&lt;=0,0,IF(SUM($AC44:AI44)+($AB$30*$H44)/$F44&lt;($AB$30*$H44),($AB$30*$H44)/$F44,($AB$30*$H44)-SUM($AC44:AI44)))</f>
        <v>4.0835218366963568</v>
      </c>
      <c r="AK44" s="1663">
        <f>IF($F44&lt;=0,0,IF(SUM($AC44:AJ44)+($AB$30*$H44)/$F44&lt;($AB$30*$H44),($AB$30*$H44)/$F44,($AB$30*$H44)-SUM($AC44:AJ44)))</f>
        <v>4.0835218366963568</v>
      </c>
      <c r="AL44" s="1663">
        <f>IF($F44&lt;=0,0,IF(SUM($AC44:AK44)+($AB$30*$H44)/$F44&lt;($AB$30*$H44),($AB$30*$H44)/$F44,($AB$30*$H44)-SUM($AC44:AK44)))</f>
        <v>4.0835218366963568</v>
      </c>
    </row>
    <row r="45" spans="3:38" x14ac:dyDescent="0.3">
      <c r="C45" s="126">
        <v>5</v>
      </c>
      <c r="D45" s="487" t="s">
        <v>1181</v>
      </c>
      <c r="E45" s="488"/>
      <c r="F45" s="1660">
        <v>110.76</v>
      </c>
      <c r="G45" s="1661">
        <v>248.70179201732421</v>
      </c>
      <c r="H45" s="1662">
        <f t="shared" si="16"/>
        <v>0.16468957526357275</v>
      </c>
      <c r="I45" s="1663">
        <f t="shared" si="17"/>
        <v>18.241017356193318</v>
      </c>
      <c r="N45" s="410"/>
      <c r="O45" s="410"/>
      <c r="P45" s="410"/>
      <c r="V45" s="410"/>
      <c r="W45" s="476"/>
      <c r="X45" s="77"/>
      <c r="Y45" s="77"/>
      <c r="Z45" s="476"/>
      <c r="AA45" s="476"/>
      <c r="AB45" s="476"/>
      <c r="AC45" s="1663">
        <f t="shared" si="18"/>
        <v>0.62620943953071595</v>
      </c>
      <c r="AD45" s="1663">
        <f>IF($F45&lt;=0,0,IF(SUM($AC45:AC45)+($AB$30*$H45)/$F45&lt;($AB$30*$H45),($AB$30*$H45)/$F45,($AB$30*$H45)-SUM($AC45:AC45)))</f>
        <v>0.62620943953071595</v>
      </c>
      <c r="AE45" s="1663">
        <f>IF($F45&lt;=0,0,IF(SUM($AC45:AD45)+($AB$30*$H45)/$F45&lt;($AB$30*$H45),($AB$30*$H45)/$F45,($AB$30*$H45)-SUM($AC45:AD45)))</f>
        <v>0.62620943953071595</v>
      </c>
      <c r="AF45" s="1663">
        <f>IF($F45&lt;=0,0,IF(SUM($AC45:AE45)+($AB$30*$H45)/$F45&lt;($AB$30*$H45),($AB$30*$H45)/$F45,($AB$30*$H45)-SUM($AC45:AE45)))</f>
        <v>0.62620943953071595</v>
      </c>
      <c r="AG45" s="1663">
        <f>IF($F45&lt;=0,0,IF(SUM($AC45:AF45)+($AB$30*$H45)/$F45&lt;($AB$30*$H45),($AB$30*$H45)/$F45,($AB$30*$H45)-SUM($AC45:AF45)))</f>
        <v>0.62620943953071595</v>
      </c>
      <c r="AH45" s="1663">
        <f>IF($F45&lt;=0,0,IF(SUM($AC45:AG45)+($AB$30*$H45)/$F45&lt;($AB$30*$H45),($AB$30*$H45)/$F45,($AB$30*$H45)-SUM($AC45:AG45)))</f>
        <v>0.62620943953071595</v>
      </c>
      <c r="AI45" s="1663">
        <f>IF($F45&lt;=0,0,IF(SUM($AC45:AH45)+($AB$30*$H45)/$F45&lt;($AB$30*$H45),($AB$30*$H45)/$F45,($AB$30*$H45)-SUM($AC45:AH45)))</f>
        <v>0.62620943953071595</v>
      </c>
      <c r="AJ45" s="1663">
        <f>IF($F45&lt;=0,0,IF(SUM($AC45:AI45)+($AB$30*$H45)/$F45&lt;($AB$30*$H45),($AB$30*$H45)/$F45,($AB$30*$H45)-SUM($AC45:AI45)))</f>
        <v>0.62620943953071595</v>
      </c>
      <c r="AK45" s="1663">
        <f>IF($F45&lt;=0,0,IF(SUM($AC45:AJ45)+($AB$30*$H45)/$F45&lt;($AB$30*$H45),($AB$30*$H45)/$F45,($AB$30*$H45)-SUM($AC45:AJ45)))</f>
        <v>0.62620943953071595</v>
      </c>
      <c r="AL45" s="1663">
        <f>IF($F45&lt;=0,0,IF(SUM($AC45:AK45)+($AB$30*$H45)/$F45&lt;($AB$30*$H45),($AB$30*$H45)/$F45,($AB$30*$H45)-SUM($AC45:AK45)))</f>
        <v>0.62620943953071595</v>
      </c>
    </row>
    <row r="46" spans="3:38" x14ac:dyDescent="0.3">
      <c r="C46" s="126">
        <v>6</v>
      </c>
      <c r="D46" s="487" t="s">
        <v>1182</v>
      </c>
      <c r="E46" s="488"/>
      <c r="F46" s="1660">
        <v>27.08</v>
      </c>
      <c r="G46" s="1661">
        <v>98.2311844681076</v>
      </c>
      <c r="H46" s="1662">
        <f t="shared" si="16"/>
        <v>6.5048393565911231E-2</v>
      </c>
      <c r="I46" s="1663">
        <f t="shared" si="17"/>
        <v>1.7615104977648761</v>
      </c>
      <c r="N46" s="410"/>
      <c r="O46" s="410"/>
      <c r="P46" s="410"/>
      <c r="V46" s="410"/>
      <c r="W46" s="476"/>
      <c r="X46" s="77"/>
      <c r="Y46" s="77"/>
      <c r="Z46" s="476"/>
      <c r="AA46" s="476"/>
      <c r="AB46" s="476"/>
      <c r="AC46" s="1663">
        <f t="shared" si="18"/>
        <v>1.0116362037382927</v>
      </c>
      <c r="AD46" s="1663">
        <f>IF($F46&lt;=0,0,IF(SUM($AC46:AC46)+($AB$30*$H46)/$F46&lt;($AB$30*$H46),($AB$30*$H46)/$F46,($AB$30*$H46)-SUM($AC46:AC46)))</f>
        <v>1.0116362037382927</v>
      </c>
      <c r="AE46" s="1663">
        <f>IF($F46&lt;=0,0,IF(SUM($AC46:AD46)+($AB$30*$H46)/$F46&lt;($AB$30*$H46),($AB$30*$H46)/$F46,($AB$30*$H46)-SUM($AC46:AD46)))</f>
        <v>1.0116362037382927</v>
      </c>
      <c r="AF46" s="1663">
        <f>IF($F46&lt;=0,0,IF(SUM($AC46:AE46)+($AB$30*$H46)/$F46&lt;($AB$30*$H46),($AB$30*$H46)/$F46,($AB$30*$H46)-SUM($AC46:AE46)))</f>
        <v>1.0116362037382927</v>
      </c>
      <c r="AG46" s="1663">
        <f>IF($F46&lt;=0,0,IF(SUM($AC46:AF46)+($AB$30*$H46)/$F46&lt;($AB$30*$H46),($AB$30*$H46)/$F46,($AB$30*$H46)-SUM($AC46:AF46)))</f>
        <v>1.0116362037382927</v>
      </c>
      <c r="AH46" s="1663">
        <f>IF($F46&lt;=0,0,IF(SUM($AC46:AG46)+($AB$30*$H46)/$F46&lt;($AB$30*$H46),($AB$30*$H46)/$F46,($AB$30*$H46)-SUM($AC46:AG46)))</f>
        <v>1.0116362037382927</v>
      </c>
      <c r="AI46" s="1663">
        <f>IF($F46&lt;=0,0,IF(SUM($AC46:AH46)+($AB$30*$H46)/$F46&lt;($AB$30*$H46),($AB$30*$H46)/$F46,($AB$30*$H46)-SUM($AC46:AH46)))</f>
        <v>1.0116362037382927</v>
      </c>
      <c r="AJ46" s="1663">
        <f>IF($F46&lt;=0,0,IF(SUM($AC46:AI46)+($AB$30*$H46)/$F46&lt;($AB$30*$H46),($AB$30*$H46)/$F46,($AB$30*$H46)-SUM($AC46:AI46)))</f>
        <v>1.0116362037382927</v>
      </c>
      <c r="AK46" s="1663">
        <f>IF($F46&lt;=0,0,IF(SUM($AC46:AJ46)+($AB$30*$H46)/$F46&lt;($AB$30*$H46),($AB$30*$H46)/$F46,($AB$30*$H46)-SUM($AC46:AJ46)))</f>
        <v>1.0116362037382927</v>
      </c>
      <c r="AL46" s="1663">
        <f>IF($F46&lt;=0,0,IF(SUM($AC46:AK46)+($AB$30*$H46)/$F46&lt;($AB$30*$H46),($AB$30*$H46)/$F46,($AB$30*$H46)-SUM($AC46:AK46)))</f>
        <v>1.0116362037382927</v>
      </c>
    </row>
    <row r="47" spans="3:38" x14ac:dyDescent="0.3">
      <c r="C47" s="126">
        <v>7</v>
      </c>
      <c r="D47" s="487" t="s">
        <v>1183</v>
      </c>
      <c r="E47" s="488"/>
      <c r="F47" s="1660">
        <v>24.46</v>
      </c>
      <c r="G47" s="1661">
        <v>119.34136351538595</v>
      </c>
      <c r="H47" s="1662">
        <f t="shared" si="16"/>
        <v>7.9027490350192006E-2</v>
      </c>
      <c r="I47" s="1663">
        <f t="shared" si="17"/>
        <v>1.9330124139656966</v>
      </c>
      <c r="N47" s="410"/>
      <c r="O47" s="410"/>
      <c r="P47" s="410"/>
      <c r="V47" s="410"/>
      <c r="W47" s="410"/>
      <c r="X47" s="77"/>
      <c r="Y47" s="77"/>
      <c r="Z47" s="476"/>
      <c r="AA47" s="476"/>
      <c r="AB47" s="476"/>
      <c r="AC47" s="1663">
        <f t="shared" si="18"/>
        <v>1.3606868422409624</v>
      </c>
      <c r="AD47" s="1663">
        <f>IF($F47&lt;=0,0,IF(SUM($AC47:AC47)+($AB$30*$H47)/$F47&lt;($AB$30*$H47),($AB$30*$H47)/$F47,($AB$30*$H47)-SUM($AC47:AC47)))</f>
        <v>1.3606868422409624</v>
      </c>
      <c r="AE47" s="1663">
        <f>IF($F47&lt;=0,0,IF(SUM($AC47:AD47)+($AB$30*$H47)/$F47&lt;($AB$30*$H47),($AB$30*$H47)/$F47,($AB$30*$H47)-SUM($AC47:AD47)))</f>
        <v>1.3606868422409624</v>
      </c>
      <c r="AF47" s="1663">
        <f>IF($F47&lt;=0,0,IF(SUM($AC47:AE47)+($AB$30*$H47)/$F47&lt;($AB$30*$H47),($AB$30*$H47)/$F47,($AB$30*$H47)-SUM($AC47:AE47)))</f>
        <v>1.3606868422409624</v>
      </c>
      <c r="AG47" s="1663">
        <f>IF($F47&lt;=0,0,IF(SUM($AC47:AF47)+($AB$30*$H47)/$F47&lt;($AB$30*$H47),($AB$30*$H47)/$F47,($AB$30*$H47)-SUM($AC47:AF47)))</f>
        <v>1.3606868422409624</v>
      </c>
      <c r="AH47" s="1663">
        <f>IF($F47&lt;=0,0,IF(SUM($AC47:AG47)+($AB$30*$H47)/$F47&lt;($AB$30*$H47),($AB$30*$H47)/$F47,($AB$30*$H47)-SUM($AC47:AG47)))</f>
        <v>1.3606868422409624</v>
      </c>
      <c r="AI47" s="1663">
        <f>IF($F47&lt;=0,0,IF(SUM($AC47:AH47)+($AB$30*$H47)/$F47&lt;($AB$30*$H47),($AB$30*$H47)/$F47,($AB$30*$H47)-SUM($AC47:AH47)))</f>
        <v>1.3606868422409624</v>
      </c>
      <c r="AJ47" s="1663">
        <f>IF($F47&lt;=0,0,IF(SUM($AC47:AI47)+($AB$30*$H47)/$F47&lt;($AB$30*$H47),($AB$30*$H47)/$F47,($AB$30*$H47)-SUM($AC47:AI47)))</f>
        <v>1.3606868422409624</v>
      </c>
      <c r="AK47" s="1663">
        <f>IF($F47&lt;=0,0,IF(SUM($AC47:AJ47)+($AB$30*$H47)/$F47&lt;($AB$30*$H47),($AB$30*$H47)/$F47,($AB$30*$H47)-SUM($AC47:AJ47)))</f>
        <v>1.3606868422409624</v>
      </c>
      <c r="AL47" s="1663">
        <f>IF($F47&lt;=0,0,IF(SUM($AC47:AK47)+($AB$30*$H47)/$F47&lt;($AB$30*$H47),($AB$30*$H47)/$F47,($AB$30*$H47)-SUM($AC47:AK47)))</f>
        <v>1.3606868422409624</v>
      </c>
    </row>
    <row r="48" spans="3:38" x14ac:dyDescent="0.3">
      <c r="C48" s="126">
        <v>8</v>
      </c>
      <c r="D48" s="487" t="s">
        <v>1184</v>
      </c>
      <c r="E48" s="488"/>
      <c r="F48" s="1660">
        <v>35.25</v>
      </c>
      <c r="G48" s="1661">
        <v>117.79985002558661</v>
      </c>
      <c r="H48" s="1662">
        <f t="shared" si="16"/>
        <v>7.8006704774668548E-2</v>
      </c>
      <c r="I48" s="1663">
        <f t="shared" si="17"/>
        <v>2.7497363433070663</v>
      </c>
      <c r="N48" s="410"/>
      <c r="O48" s="410"/>
      <c r="P48" s="410"/>
      <c r="V48" s="410"/>
      <c r="W48" s="410"/>
      <c r="X48" s="77"/>
      <c r="Y48" s="77"/>
      <c r="Z48" s="476"/>
      <c r="AA48" s="476"/>
      <c r="AB48" s="476"/>
      <c r="AC48" s="1663">
        <f t="shared" si="18"/>
        <v>0.93198572113477218</v>
      </c>
      <c r="AD48" s="1663">
        <f>IF($F48&lt;=0,0,IF(SUM($AC48:AC48)+($AB$30*$H48)/$F48&lt;($AB$30*$H48),($AB$30*$H48)/$F48,($AB$30*$H48)-SUM($AC48:AC48)))</f>
        <v>0.93198572113477218</v>
      </c>
      <c r="AE48" s="1663">
        <f>IF($F48&lt;=0,0,IF(SUM($AC48:AD48)+($AB$30*$H48)/$F48&lt;($AB$30*$H48),($AB$30*$H48)/$F48,($AB$30*$H48)-SUM($AC48:AD48)))</f>
        <v>0.93198572113477218</v>
      </c>
      <c r="AF48" s="1663">
        <f>IF($F48&lt;=0,0,IF(SUM($AC48:AE48)+($AB$30*$H48)/$F48&lt;($AB$30*$H48),($AB$30*$H48)/$F48,($AB$30*$H48)-SUM($AC48:AE48)))</f>
        <v>0.93198572113477218</v>
      </c>
      <c r="AG48" s="1663">
        <f>IF($F48&lt;=0,0,IF(SUM($AC48:AF48)+($AB$30*$H48)/$F48&lt;($AB$30*$H48),($AB$30*$H48)/$F48,($AB$30*$H48)-SUM($AC48:AF48)))</f>
        <v>0.93198572113477218</v>
      </c>
      <c r="AH48" s="1663">
        <f>IF($F48&lt;=0,0,IF(SUM($AC48:AG48)+($AB$30*$H48)/$F48&lt;($AB$30*$H48),($AB$30*$H48)/$F48,($AB$30*$H48)-SUM($AC48:AG48)))</f>
        <v>0.93198572113477218</v>
      </c>
      <c r="AI48" s="1663">
        <f>IF($F48&lt;=0,0,IF(SUM($AC48:AH48)+($AB$30*$H48)/$F48&lt;($AB$30*$H48),($AB$30*$H48)/$F48,($AB$30*$H48)-SUM($AC48:AH48)))</f>
        <v>0.93198572113477218</v>
      </c>
      <c r="AJ48" s="1663">
        <f>IF($F48&lt;=0,0,IF(SUM($AC48:AI48)+($AB$30*$H48)/$F48&lt;($AB$30*$H48),($AB$30*$H48)/$F48,($AB$30*$H48)-SUM($AC48:AI48)))</f>
        <v>0.93198572113477218</v>
      </c>
      <c r="AK48" s="1663">
        <f>IF($F48&lt;=0,0,IF(SUM($AC48:AJ48)+($AB$30*$H48)/$F48&lt;($AB$30*$H48),($AB$30*$H48)/$F48,($AB$30*$H48)-SUM($AC48:AJ48)))</f>
        <v>0.93198572113477218</v>
      </c>
      <c r="AL48" s="1663">
        <f>IF($F48&lt;=0,0,IF(SUM($AC48:AK48)+($AB$30*$H48)/$F48&lt;($AB$30*$H48),($AB$30*$H48)/$F48,($AB$30*$H48)-SUM($AC48:AK48)))</f>
        <v>0.93198572113477218</v>
      </c>
    </row>
    <row r="49" spans="3:38" x14ac:dyDescent="0.3">
      <c r="C49" s="126">
        <v>9</v>
      </c>
      <c r="D49" s="487" t="s">
        <v>1185</v>
      </c>
      <c r="E49" s="488"/>
      <c r="F49" s="1660">
        <v>40.42</v>
      </c>
      <c r="G49" s="1661">
        <v>106.79957705526941</v>
      </c>
      <c r="H49" s="1662">
        <f t="shared" si="16"/>
        <v>7.072235724918427E-2</v>
      </c>
      <c r="I49" s="1663">
        <f t="shared" si="17"/>
        <v>2.8585976800120285</v>
      </c>
      <c r="N49" s="410"/>
      <c r="O49" s="410"/>
      <c r="P49" s="410"/>
      <c r="V49" s="410"/>
      <c r="W49" s="410"/>
      <c r="X49" s="77"/>
      <c r="Y49" s="77"/>
      <c r="Z49" s="476"/>
      <c r="AA49" s="476"/>
      <c r="AB49" s="476"/>
      <c r="AC49" s="1663">
        <f t="shared" si="18"/>
        <v>0.73688016415667512</v>
      </c>
      <c r="AD49" s="1663">
        <f>IF($F49&lt;=0,0,IF(SUM($AC49:AC49)+($AB$30*$H49)/$F49&lt;($AB$30*$H49),($AB$30*$H49)/$F49,($AB$30*$H49)-SUM($AC49:AC49)))</f>
        <v>0.73688016415667512</v>
      </c>
      <c r="AE49" s="1663">
        <f>IF($F49&lt;=0,0,IF(SUM($AC49:AD49)+($AB$30*$H49)/$F49&lt;($AB$30*$H49),($AB$30*$H49)/$F49,($AB$30*$H49)-SUM($AC49:AD49)))</f>
        <v>0.73688016415667512</v>
      </c>
      <c r="AF49" s="1663">
        <f>IF($F49&lt;=0,0,IF(SUM($AC49:AE49)+($AB$30*$H49)/$F49&lt;($AB$30*$H49),($AB$30*$H49)/$F49,($AB$30*$H49)-SUM($AC49:AE49)))</f>
        <v>0.73688016415667512</v>
      </c>
      <c r="AG49" s="1663">
        <f>IF($F49&lt;=0,0,IF(SUM($AC49:AF49)+($AB$30*$H49)/$F49&lt;($AB$30*$H49),($AB$30*$H49)/$F49,($AB$30*$H49)-SUM($AC49:AF49)))</f>
        <v>0.73688016415667512</v>
      </c>
      <c r="AH49" s="1663">
        <f>IF($F49&lt;=0,0,IF(SUM($AC49:AG49)+($AB$30*$H49)/$F49&lt;($AB$30*$H49),($AB$30*$H49)/$F49,($AB$30*$H49)-SUM($AC49:AG49)))</f>
        <v>0.73688016415667512</v>
      </c>
      <c r="AI49" s="1663">
        <f>IF($F49&lt;=0,0,IF(SUM($AC49:AH49)+($AB$30*$H49)/$F49&lt;($AB$30*$H49),($AB$30*$H49)/$F49,($AB$30*$H49)-SUM($AC49:AH49)))</f>
        <v>0.73688016415667512</v>
      </c>
      <c r="AJ49" s="1663">
        <f>IF($F49&lt;=0,0,IF(SUM($AC49:AI49)+($AB$30*$H49)/$F49&lt;($AB$30*$H49),($AB$30*$H49)/$F49,($AB$30*$H49)-SUM($AC49:AI49)))</f>
        <v>0.73688016415667512</v>
      </c>
      <c r="AK49" s="1663">
        <f>IF($F49&lt;=0,0,IF(SUM($AC49:AJ49)+($AB$30*$H49)/$F49&lt;($AB$30*$H49),($AB$30*$H49)/$F49,($AB$30*$H49)-SUM($AC49:AJ49)))</f>
        <v>0.73688016415667512</v>
      </c>
      <c r="AL49" s="1663">
        <f>IF($F49&lt;=0,0,IF(SUM($AC49:AK49)+($AB$30*$H49)/$F49&lt;($AB$30*$H49),($AB$30*$H49)/$F49,($AB$30*$H49)-SUM($AC49:AK49)))</f>
        <v>0.73688016415667512</v>
      </c>
    </row>
    <row r="50" spans="3:38" x14ac:dyDescent="0.3">
      <c r="C50" s="126">
        <v>10</v>
      </c>
      <c r="D50" s="487"/>
      <c r="E50" s="488"/>
      <c r="F50" s="489"/>
      <c r="G50" s="489"/>
      <c r="H50" s="1662">
        <f t="shared" si="16"/>
        <v>0</v>
      </c>
      <c r="I50" s="1663">
        <f t="shared" si="17"/>
        <v>0</v>
      </c>
      <c r="N50" s="410"/>
      <c r="O50" s="410"/>
      <c r="P50" s="410"/>
      <c r="V50" s="410"/>
      <c r="W50" s="410"/>
      <c r="X50" s="77"/>
      <c r="Y50" s="77"/>
      <c r="Z50" s="476"/>
      <c r="AA50" s="476"/>
      <c r="AB50" s="476"/>
      <c r="AC50" s="1663">
        <f t="shared" si="18"/>
        <v>0</v>
      </c>
      <c r="AD50" s="1663">
        <f>IF($F50&lt;=0,0,IF(SUM($AC50:AC50)+($AB$30*$H50)/$F50&lt;($AB$30*$H50),($AB$30*$H50)/$F50,($AB$30*$H50)-SUM($AC50:AC50)))</f>
        <v>0</v>
      </c>
      <c r="AE50" s="1663">
        <f>IF($F50&lt;=0,0,IF(SUM($AC50:AD50)+($AB$30*$H50)/$F50&lt;($AB$30*$H50),($AB$30*$H50)/$F50,($AB$30*$H50)-SUM($AC50:AD50)))</f>
        <v>0</v>
      </c>
      <c r="AF50" s="1663">
        <f>IF($F50&lt;=0,0,IF(SUM($AC50:AE50)+($AB$30*$H50)/$F50&lt;($AB$30*$H50),($AB$30*$H50)/$F50,($AB$30*$H50)-SUM($AC50:AE50)))</f>
        <v>0</v>
      </c>
      <c r="AG50" s="1663">
        <f>IF($F50&lt;=0,0,IF(SUM($AC50:AF50)+($AB$30*$H50)/$F50&lt;($AB$30*$H50),($AB$30*$H50)/$F50,($AB$30*$H50)-SUM($AC50:AF50)))</f>
        <v>0</v>
      </c>
      <c r="AH50" s="1663">
        <f>IF($F50&lt;=0,0,IF(SUM($AC50:AG50)+($AB$30*$H50)/$F50&lt;($AB$30*$H50),($AB$30*$H50)/$F50,($AB$30*$H50)-SUM($AC50:AG50)))</f>
        <v>0</v>
      </c>
      <c r="AI50" s="1663">
        <f>IF($F50&lt;=0,0,IF(SUM($AC50:AH50)+($AB$30*$H50)/$F50&lt;($AB$30*$H50),($AB$30*$H50)/$F50,($AB$30*$H50)-SUM($AC50:AH50)))</f>
        <v>0</v>
      </c>
      <c r="AJ50" s="1663">
        <f>IF($F50&lt;=0,0,IF(SUM($AC50:AI50)+($AB$30*$H50)/$F50&lt;($AB$30*$H50),($AB$30*$H50)/$F50,($AB$30*$H50)-SUM($AC50:AI50)))</f>
        <v>0</v>
      </c>
      <c r="AK50" s="1663">
        <f>IF($F50&lt;=0,0,IF(SUM($AC50:AJ50)+($AB$30*$H50)/$F50&lt;($AB$30*$H50),($AB$30*$H50)/$F50,($AB$30*$H50)-SUM($AC50:AJ50)))</f>
        <v>0</v>
      </c>
      <c r="AL50" s="1663">
        <f>IF($F50&lt;=0,0,IF(SUM($AC50:AK50)+($AB$30*$H50)/$F50&lt;($AB$30*$H50),($AB$30*$H50)/$F50,($AB$30*$H50)-SUM($AC50:AK50)))</f>
        <v>0</v>
      </c>
    </row>
    <row r="51" spans="3:38" x14ac:dyDescent="0.3">
      <c r="C51" s="126">
        <v>11</v>
      </c>
      <c r="D51" s="487"/>
      <c r="E51" s="488"/>
      <c r="F51" s="489"/>
      <c r="G51" s="489"/>
      <c r="H51" s="1662">
        <f t="shared" si="16"/>
        <v>0</v>
      </c>
      <c r="I51" s="1663">
        <f t="shared" si="17"/>
        <v>0</v>
      </c>
      <c r="N51" s="410"/>
      <c r="O51" s="410"/>
      <c r="P51" s="410"/>
      <c r="V51" s="410"/>
      <c r="W51" s="410"/>
      <c r="X51" s="77"/>
      <c r="Y51" s="77"/>
      <c r="Z51" s="476"/>
      <c r="AA51" s="476"/>
      <c r="AB51" s="476"/>
      <c r="AC51" s="1663">
        <f t="shared" si="18"/>
        <v>0</v>
      </c>
      <c r="AD51" s="1663">
        <f>IF($F51&lt;=0,0,IF(SUM($AC51:AC51)+($AB$30*$H51)/$F51&lt;($AB$30*$H51),($AB$30*$H51)/$F51,($AB$30*$H51)-SUM($AC51:AC51)))</f>
        <v>0</v>
      </c>
      <c r="AE51" s="1663">
        <f>IF($F51&lt;=0,0,IF(SUM($AC51:AD51)+($AB$30*$H51)/$F51&lt;($AB$30*$H51),($AB$30*$H51)/$F51,($AB$30*$H51)-SUM($AC51:AD51)))</f>
        <v>0</v>
      </c>
      <c r="AF51" s="1663">
        <f>IF($F51&lt;=0,0,IF(SUM($AC51:AE51)+($AB$30*$H51)/$F51&lt;($AB$30*$H51),($AB$30*$H51)/$F51,($AB$30*$H51)-SUM($AC51:AE51)))</f>
        <v>0</v>
      </c>
      <c r="AG51" s="1663">
        <f>IF($F51&lt;=0,0,IF(SUM($AC51:AF51)+($AB$30*$H51)/$F51&lt;($AB$30*$H51),($AB$30*$H51)/$F51,($AB$30*$H51)-SUM($AC51:AF51)))</f>
        <v>0</v>
      </c>
      <c r="AH51" s="1663">
        <f>IF($F51&lt;=0,0,IF(SUM($AC51:AG51)+($AB$30*$H51)/$F51&lt;($AB$30*$H51),($AB$30*$H51)/$F51,($AB$30*$H51)-SUM($AC51:AG51)))</f>
        <v>0</v>
      </c>
      <c r="AI51" s="1663">
        <f>IF($F51&lt;=0,0,IF(SUM($AC51:AH51)+($AB$30*$H51)/$F51&lt;($AB$30*$H51),($AB$30*$H51)/$F51,($AB$30*$H51)-SUM($AC51:AH51)))</f>
        <v>0</v>
      </c>
      <c r="AJ51" s="1663">
        <f>IF($F51&lt;=0,0,IF(SUM($AC51:AI51)+($AB$30*$H51)/$F51&lt;($AB$30*$H51),($AB$30*$H51)/$F51,($AB$30*$H51)-SUM($AC51:AI51)))</f>
        <v>0</v>
      </c>
      <c r="AK51" s="1663">
        <f>IF($F51&lt;=0,0,IF(SUM($AC51:AJ51)+($AB$30*$H51)/$F51&lt;($AB$30*$H51),($AB$30*$H51)/$F51,($AB$30*$H51)-SUM($AC51:AJ51)))</f>
        <v>0</v>
      </c>
      <c r="AL51" s="1663">
        <f>IF($F51&lt;=0,0,IF(SUM($AC51:AK51)+($AB$30*$H51)/$F51&lt;($AB$30*$H51),($AB$30*$H51)/$F51,($AB$30*$H51)-SUM($AC51:AK51)))</f>
        <v>0</v>
      </c>
    </row>
    <row r="52" spans="3:38" x14ac:dyDescent="0.3">
      <c r="C52" s="126">
        <v>12</v>
      </c>
      <c r="D52" s="487"/>
      <c r="E52" s="488"/>
      <c r="F52" s="489"/>
      <c r="G52" s="489"/>
      <c r="H52" s="1662">
        <f t="shared" si="16"/>
        <v>0</v>
      </c>
      <c r="I52" s="1663">
        <f t="shared" si="17"/>
        <v>0</v>
      </c>
      <c r="N52" s="410"/>
      <c r="O52" s="410"/>
      <c r="P52" s="410"/>
      <c r="V52" s="410"/>
      <c r="W52" s="410"/>
      <c r="X52" s="77"/>
      <c r="Y52" s="77"/>
      <c r="Z52" s="476"/>
      <c r="AA52" s="476"/>
      <c r="AB52" s="476"/>
      <c r="AC52" s="1663">
        <f t="shared" si="18"/>
        <v>0</v>
      </c>
      <c r="AD52" s="1663">
        <f>IF($F52&lt;=0,0,IF(SUM($AC52:AC52)+($AB$30*$H52)/$F52&lt;($AB$30*$H52),($AB$30*$H52)/$F52,($AB$30*$H52)-SUM($AC52:AC52)))</f>
        <v>0</v>
      </c>
      <c r="AE52" s="1663">
        <f>IF($F52&lt;=0,0,IF(SUM($AC52:AD52)+($AB$30*$H52)/$F52&lt;($AB$30*$H52),($AB$30*$H52)/$F52,($AB$30*$H52)-SUM($AC52:AD52)))</f>
        <v>0</v>
      </c>
      <c r="AF52" s="1663">
        <f>IF($F52&lt;=0,0,IF(SUM($AC52:AE52)+($AB$30*$H52)/$F52&lt;($AB$30*$H52),($AB$30*$H52)/$F52,($AB$30*$H52)-SUM($AC52:AE52)))</f>
        <v>0</v>
      </c>
      <c r="AG52" s="1663">
        <f>IF($F52&lt;=0,0,IF(SUM($AC52:AF52)+($AB$30*$H52)/$F52&lt;($AB$30*$H52),($AB$30*$H52)/$F52,($AB$30*$H52)-SUM($AC52:AF52)))</f>
        <v>0</v>
      </c>
      <c r="AH52" s="1663">
        <f>IF($F52&lt;=0,0,IF(SUM($AC52:AG52)+($AB$30*$H52)/$F52&lt;($AB$30*$H52),($AB$30*$H52)/$F52,($AB$30*$H52)-SUM($AC52:AG52)))</f>
        <v>0</v>
      </c>
      <c r="AI52" s="1663">
        <f>IF($F52&lt;=0,0,IF(SUM($AC52:AH52)+($AB$30*$H52)/$F52&lt;($AB$30*$H52),($AB$30*$H52)/$F52,($AB$30*$H52)-SUM($AC52:AH52)))</f>
        <v>0</v>
      </c>
      <c r="AJ52" s="1663">
        <f>IF($F52&lt;=0,0,IF(SUM($AC52:AI52)+($AB$30*$H52)/$F52&lt;($AB$30*$H52),($AB$30*$H52)/$F52,($AB$30*$H52)-SUM($AC52:AI52)))</f>
        <v>0</v>
      </c>
      <c r="AK52" s="1663">
        <f>IF($F52&lt;=0,0,IF(SUM($AC52:AJ52)+($AB$30*$H52)/$F52&lt;($AB$30*$H52),($AB$30*$H52)/$F52,($AB$30*$H52)-SUM($AC52:AJ52)))</f>
        <v>0</v>
      </c>
      <c r="AL52" s="1663">
        <f>IF($F52&lt;=0,0,IF(SUM($AC52:AK52)+($AB$30*$H52)/$F52&lt;($AB$30*$H52),($AB$30*$H52)/$F52,($AB$30*$H52)-SUM($AC52:AK52)))</f>
        <v>0</v>
      </c>
    </row>
    <row r="53" spans="3:38" x14ac:dyDescent="0.3">
      <c r="C53" s="126">
        <v>13</v>
      </c>
      <c r="D53" s="487"/>
      <c r="E53" s="488"/>
      <c r="F53" s="489"/>
      <c r="G53" s="489"/>
      <c r="H53" s="1662">
        <f t="shared" si="16"/>
        <v>0</v>
      </c>
      <c r="I53" s="1663">
        <f t="shared" si="17"/>
        <v>0</v>
      </c>
      <c r="N53" s="410"/>
      <c r="O53" s="410"/>
      <c r="P53" s="410"/>
      <c r="V53" s="410"/>
      <c r="W53" s="410"/>
      <c r="X53" s="77"/>
      <c r="Y53" s="77"/>
      <c r="Z53" s="476"/>
      <c r="AA53" s="476"/>
      <c r="AB53" s="476"/>
      <c r="AC53" s="1663">
        <f t="shared" si="18"/>
        <v>0</v>
      </c>
      <c r="AD53" s="1663">
        <f>IF($F53&lt;=0,0,IF(SUM($AC53:AC53)+($AB$30*$H53)/$F53&lt;($AB$30*$H53),($AB$30*$H53)/$F53,($AB$30*$H53)-SUM($AC53:AC53)))</f>
        <v>0</v>
      </c>
      <c r="AE53" s="1663">
        <f>IF($F53&lt;=0,0,IF(SUM($AC53:AD53)+($AB$30*$H53)/$F53&lt;($AB$30*$H53),($AB$30*$H53)/$F53,($AB$30*$H53)-SUM($AC53:AD53)))</f>
        <v>0</v>
      </c>
      <c r="AF53" s="1663">
        <f>IF($F53&lt;=0,0,IF(SUM($AC53:AE53)+($AB$30*$H53)/$F53&lt;($AB$30*$H53),($AB$30*$H53)/$F53,($AB$30*$H53)-SUM($AC53:AE53)))</f>
        <v>0</v>
      </c>
      <c r="AG53" s="1663">
        <f>IF($F53&lt;=0,0,IF(SUM($AC53:AF53)+($AB$30*$H53)/$F53&lt;($AB$30*$H53),($AB$30*$H53)/$F53,($AB$30*$H53)-SUM($AC53:AF53)))</f>
        <v>0</v>
      </c>
      <c r="AH53" s="1663">
        <f>IF($F53&lt;=0,0,IF(SUM($AC53:AG53)+($AB$30*$H53)/$F53&lt;($AB$30*$H53),($AB$30*$H53)/$F53,($AB$30*$H53)-SUM($AC53:AG53)))</f>
        <v>0</v>
      </c>
      <c r="AI53" s="1663">
        <f>IF($F53&lt;=0,0,IF(SUM($AC53:AH53)+($AB$30*$H53)/$F53&lt;($AB$30*$H53),($AB$30*$H53)/$F53,($AB$30*$H53)-SUM($AC53:AH53)))</f>
        <v>0</v>
      </c>
      <c r="AJ53" s="1663">
        <f>IF($F53&lt;=0,0,IF(SUM($AC53:AI53)+($AB$30*$H53)/$F53&lt;($AB$30*$H53),($AB$30*$H53)/$F53,($AB$30*$H53)-SUM($AC53:AI53)))</f>
        <v>0</v>
      </c>
      <c r="AK53" s="1663">
        <f>IF($F53&lt;=0,0,IF(SUM($AC53:AJ53)+($AB$30*$H53)/$F53&lt;($AB$30*$H53),($AB$30*$H53)/$F53,($AB$30*$H53)-SUM($AC53:AJ53)))</f>
        <v>0</v>
      </c>
      <c r="AL53" s="1663">
        <f>IF($F53&lt;=0,0,IF(SUM($AC53:AK53)+($AB$30*$H53)/$F53&lt;($AB$30*$H53),($AB$30*$H53)/$F53,($AB$30*$H53)-SUM($AC53:AK53)))</f>
        <v>0</v>
      </c>
    </row>
    <row r="54" spans="3:38" x14ac:dyDescent="0.3">
      <c r="C54" s="126">
        <v>14</v>
      </c>
      <c r="D54" s="487"/>
      <c r="E54" s="488"/>
      <c r="F54" s="489"/>
      <c r="G54" s="489"/>
      <c r="H54" s="1662">
        <f t="shared" si="16"/>
        <v>0</v>
      </c>
      <c r="I54" s="1663">
        <f t="shared" si="17"/>
        <v>0</v>
      </c>
      <c r="N54" s="410"/>
      <c r="O54" s="410"/>
      <c r="P54" s="410"/>
      <c r="V54" s="410"/>
      <c r="W54" s="410"/>
      <c r="X54" s="77"/>
      <c r="Y54" s="77"/>
      <c r="Z54" s="476"/>
      <c r="AA54" s="476"/>
      <c r="AB54" s="476"/>
      <c r="AC54" s="1663">
        <f t="shared" si="18"/>
        <v>0</v>
      </c>
      <c r="AD54" s="1663">
        <f>IF($F54&lt;=0,0,IF(SUM($AC54:AC54)+($AB$30*$H54)/$F54&lt;($AB$30*$H54),($AB$30*$H54)/$F54,($AB$30*$H54)-SUM($AC54:AC54)))</f>
        <v>0</v>
      </c>
      <c r="AE54" s="1663">
        <f>IF($F54&lt;=0,0,IF(SUM($AC54:AD54)+($AB$30*$H54)/$F54&lt;($AB$30*$H54),($AB$30*$H54)/$F54,($AB$30*$H54)-SUM($AC54:AD54)))</f>
        <v>0</v>
      </c>
      <c r="AF54" s="1663">
        <f>IF($F54&lt;=0,0,IF(SUM($AC54:AE54)+($AB$30*$H54)/$F54&lt;($AB$30*$H54),($AB$30*$H54)/$F54,($AB$30*$H54)-SUM($AC54:AE54)))</f>
        <v>0</v>
      </c>
      <c r="AG54" s="1663">
        <f>IF($F54&lt;=0,0,IF(SUM($AC54:AF54)+($AB$30*$H54)/$F54&lt;($AB$30*$H54),($AB$30*$H54)/$F54,($AB$30*$H54)-SUM($AC54:AF54)))</f>
        <v>0</v>
      </c>
      <c r="AH54" s="1663">
        <f>IF($F54&lt;=0,0,IF(SUM($AC54:AG54)+($AB$30*$H54)/$F54&lt;($AB$30*$H54),($AB$30*$H54)/$F54,($AB$30*$H54)-SUM($AC54:AG54)))</f>
        <v>0</v>
      </c>
      <c r="AI54" s="1663">
        <f>IF($F54&lt;=0,0,IF(SUM($AC54:AH54)+($AB$30*$H54)/$F54&lt;($AB$30*$H54),($AB$30*$H54)/$F54,($AB$30*$H54)-SUM($AC54:AH54)))</f>
        <v>0</v>
      </c>
      <c r="AJ54" s="1663">
        <f>IF($F54&lt;=0,0,IF(SUM($AC54:AI54)+($AB$30*$H54)/$F54&lt;($AB$30*$H54),($AB$30*$H54)/$F54,($AB$30*$H54)-SUM($AC54:AI54)))</f>
        <v>0</v>
      </c>
      <c r="AK54" s="1663">
        <f>IF($F54&lt;=0,0,IF(SUM($AC54:AJ54)+($AB$30*$H54)/$F54&lt;($AB$30*$H54),($AB$30*$H54)/$F54,($AB$30*$H54)-SUM($AC54:AJ54)))</f>
        <v>0</v>
      </c>
      <c r="AL54" s="1663">
        <f>IF($F54&lt;=0,0,IF(SUM($AC54:AK54)+($AB$30*$H54)/$F54&lt;($AB$30*$H54),($AB$30*$H54)/$F54,($AB$30*$H54)-SUM($AC54:AK54)))</f>
        <v>0</v>
      </c>
    </row>
    <row r="55" spans="3:38" x14ac:dyDescent="0.3">
      <c r="C55" s="126">
        <v>15</v>
      </c>
      <c r="D55" s="487"/>
      <c r="E55" s="488"/>
      <c r="F55" s="489"/>
      <c r="G55" s="489"/>
      <c r="H55" s="1662">
        <f t="shared" si="16"/>
        <v>0</v>
      </c>
      <c r="I55" s="1663">
        <f t="shared" si="17"/>
        <v>0</v>
      </c>
      <c r="N55" s="410"/>
      <c r="O55" s="410"/>
      <c r="P55" s="410"/>
      <c r="V55" s="410"/>
      <c r="W55" s="410"/>
      <c r="X55" s="77"/>
      <c r="Y55" s="77"/>
      <c r="Z55" s="476"/>
      <c r="AA55" s="476"/>
      <c r="AB55" s="476"/>
      <c r="AC55" s="1663">
        <f t="shared" si="18"/>
        <v>0</v>
      </c>
      <c r="AD55" s="1663">
        <f>IF($F55&lt;=0,0,IF(SUM($AC55:AC55)+($AB$30*$H55)/$F55&lt;($AB$30*$H55),($AB$30*$H55)/$F55,($AB$30*$H55)-SUM($AC55:AC55)))</f>
        <v>0</v>
      </c>
      <c r="AE55" s="1663">
        <f>IF($F55&lt;=0,0,IF(SUM($AC55:AD55)+($AB$30*$H55)/$F55&lt;($AB$30*$H55),($AB$30*$H55)/$F55,($AB$30*$H55)-SUM($AC55:AD55)))</f>
        <v>0</v>
      </c>
      <c r="AF55" s="1663">
        <f>IF($F55&lt;=0,0,IF(SUM($AC55:AE55)+($AB$30*$H55)/$F55&lt;($AB$30*$H55),($AB$30*$H55)/$F55,($AB$30*$H55)-SUM($AC55:AE55)))</f>
        <v>0</v>
      </c>
      <c r="AG55" s="1663">
        <f>IF($F55&lt;=0,0,IF(SUM($AC55:AF55)+($AB$30*$H55)/$F55&lt;($AB$30*$H55),($AB$30*$H55)/$F55,($AB$30*$H55)-SUM($AC55:AF55)))</f>
        <v>0</v>
      </c>
      <c r="AH55" s="1663">
        <f>IF($F55&lt;=0,0,IF(SUM($AC55:AG55)+($AB$30*$H55)/$F55&lt;($AB$30*$H55),($AB$30*$H55)/$F55,($AB$30*$H55)-SUM($AC55:AG55)))</f>
        <v>0</v>
      </c>
      <c r="AI55" s="1663">
        <f>IF($F55&lt;=0,0,IF(SUM($AC55:AH55)+($AB$30*$H55)/$F55&lt;($AB$30*$H55),($AB$30*$H55)/$F55,($AB$30*$H55)-SUM($AC55:AH55)))</f>
        <v>0</v>
      </c>
      <c r="AJ55" s="1663">
        <f>IF($F55&lt;=0,0,IF(SUM($AC55:AI55)+($AB$30*$H55)/$F55&lt;($AB$30*$H55),($AB$30*$H55)/$F55,($AB$30*$H55)-SUM($AC55:AI55)))</f>
        <v>0</v>
      </c>
      <c r="AK55" s="1663">
        <f>IF($F55&lt;=0,0,IF(SUM($AC55:AJ55)+($AB$30*$H55)/$F55&lt;($AB$30*$H55),($AB$30*$H55)/$F55,($AB$30*$H55)-SUM($AC55:AJ55)))</f>
        <v>0</v>
      </c>
      <c r="AL55" s="1663">
        <f>IF($F55&lt;=0,0,IF(SUM($AC55:AK55)+($AB$30*$H55)/$F55&lt;($AB$30*$H55),($AB$30*$H55)/$F55,($AB$30*$H55)-SUM($AC55:AK55)))</f>
        <v>0</v>
      </c>
    </row>
    <row r="56" spans="3:38" x14ac:dyDescent="0.3">
      <c r="C56" s="126">
        <v>16</v>
      </c>
      <c r="D56" s="487"/>
      <c r="E56" s="488"/>
      <c r="F56" s="489"/>
      <c r="G56" s="489"/>
      <c r="H56" s="1662">
        <f t="shared" si="16"/>
        <v>0</v>
      </c>
      <c r="I56" s="1663">
        <f t="shared" si="17"/>
        <v>0</v>
      </c>
      <c r="N56" s="410"/>
      <c r="O56" s="410"/>
      <c r="P56" s="410"/>
      <c r="V56" s="410"/>
      <c r="W56" s="410"/>
      <c r="X56" s="77"/>
      <c r="Y56" s="77"/>
      <c r="Z56" s="476"/>
      <c r="AA56" s="476"/>
      <c r="AB56" s="476"/>
      <c r="AC56" s="1663">
        <f t="shared" si="18"/>
        <v>0</v>
      </c>
      <c r="AD56" s="1663">
        <f>IF($F56&lt;=0,0,IF(SUM($AC56:AC56)+($AB$30*$H56)/$F56&lt;($AB$30*$H56),($AB$30*$H56)/$F56,($AB$30*$H56)-SUM($AC56:AC56)))</f>
        <v>0</v>
      </c>
      <c r="AE56" s="1663">
        <f>IF($F56&lt;=0,0,IF(SUM($AC56:AD56)+($AB$30*$H56)/$F56&lt;($AB$30*$H56),($AB$30*$H56)/$F56,($AB$30*$H56)-SUM($AC56:AD56)))</f>
        <v>0</v>
      </c>
      <c r="AF56" s="1663">
        <f>IF($F56&lt;=0,0,IF(SUM($AC56:AE56)+($AB$30*$H56)/$F56&lt;($AB$30*$H56),($AB$30*$H56)/$F56,($AB$30*$H56)-SUM($AC56:AE56)))</f>
        <v>0</v>
      </c>
      <c r="AG56" s="1663">
        <f>IF($F56&lt;=0,0,IF(SUM($AC56:AF56)+($AB$30*$H56)/$F56&lt;($AB$30*$H56),($AB$30*$H56)/$F56,($AB$30*$H56)-SUM($AC56:AF56)))</f>
        <v>0</v>
      </c>
      <c r="AH56" s="1663">
        <f>IF($F56&lt;=0,0,IF(SUM($AC56:AG56)+($AB$30*$H56)/$F56&lt;($AB$30*$H56),($AB$30*$H56)/$F56,($AB$30*$H56)-SUM($AC56:AG56)))</f>
        <v>0</v>
      </c>
      <c r="AI56" s="1663">
        <f>IF($F56&lt;=0,0,IF(SUM($AC56:AH56)+($AB$30*$H56)/$F56&lt;($AB$30*$H56),($AB$30*$H56)/$F56,($AB$30*$H56)-SUM($AC56:AH56)))</f>
        <v>0</v>
      </c>
      <c r="AJ56" s="1663">
        <f>IF($F56&lt;=0,0,IF(SUM($AC56:AI56)+($AB$30*$H56)/$F56&lt;($AB$30*$H56),($AB$30*$H56)/$F56,($AB$30*$H56)-SUM($AC56:AI56)))</f>
        <v>0</v>
      </c>
      <c r="AK56" s="1663">
        <f>IF($F56&lt;=0,0,IF(SUM($AC56:AJ56)+($AB$30*$H56)/$F56&lt;($AB$30*$H56),($AB$30*$H56)/$F56,($AB$30*$H56)-SUM($AC56:AJ56)))</f>
        <v>0</v>
      </c>
      <c r="AL56" s="1663">
        <f>IF($F56&lt;=0,0,IF(SUM($AC56:AK56)+($AB$30*$H56)/$F56&lt;($AB$30*$H56),($AB$30*$H56)/$F56,($AB$30*$H56)-SUM($AC56:AK56)))</f>
        <v>0</v>
      </c>
    </row>
    <row r="57" spans="3:38" x14ac:dyDescent="0.3">
      <c r="C57" s="126">
        <v>17</v>
      </c>
      <c r="D57" s="487"/>
      <c r="E57" s="488"/>
      <c r="F57" s="489"/>
      <c r="G57" s="489"/>
      <c r="H57" s="1662">
        <f t="shared" si="16"/>
        <v>0</v>
      </c>
      <c r="I57" s="1663">
        <f t="shared" si="17"/>
        <v>0</v>
      </c>
      <c r="N57" s="410"/>
      <c r="O57" s="410"/>
      <c r="P57" s="410"/>
      <c r="V57" s="410"/>
      <c r="W57" s="410"/>
      <c r="X57" s="77"/>
      <c r="Y57" s="77"/>
      <c r="Z57" s="476"/>
      <c r="AA57" s="476"/>
      <c r="AB57" s="476"/>
      <c r="AC57" s="1663">
        <f t="shared" si="18"/>
        <v>0</v>
      </c>
      <c r="AD57" s="1663">
        <f>IF($F57&lt;=0,0,IF(SUM($AC57:AC57)+($AB$30*$H57)/$F57&lt;($AB$30*$H57),($AB$30*$H57)/$F57,($AB$30*$H57)-SUM($AC57:AC57)))</f>
        <v>0</v>
      </c>
      <c r="AE57" s="1663">
        <f>IF($F57&lt;=0,0,IF(SUM($AC57:AD57)+($AB$30*$H57)/$F57&lt;($AB$30*$H57),($AB$30*$H57)/$F57,($AB$30*$H57)-SUM($AC57:AD57)))</f>
        <v>0</v>
      </c>
      <c r="AF57" s="1663">
        <f>IF($F57&lt;=0,0,IF(SUM($AC57:AE57)+($AB$30*$H57)/$F57&lt;($AB$30*$H57),($AB$30*$H57)/$F57,($AB$30*$H57)-SUM($AC57:AE57)))</f>
        <v>0</v>
      </c>
      <c r="AG57" s="1663">
        <f>IF($F57&lt;=0,0,IF(SUM($AC57:AF57)+($AB$30*$H57)/$F57&lt;($AB$30*$H57),($AB$30*$H57)/$F57,($AB$30*$H57)-SUM($AC57:AF57)))</f>
        <v>0</v>
      </c>
      <c r="AH57" s="1663">
        <f>IF($F57&lt;=0,0,IF(SUM($AC57:AG57)+($AB$30*$H57)/$F57&lt;($AB$30*$H57),($AB$30*$H57)/$F57,($AB$30*$H57)-SUM($AC57:AG57)))</f>
        <v>0</v>
      </c>
      <c r="AI57" s="1663">
        <f>IF($F57&lt;=0,0,IF(SUM($AC57:AH57)+($AB$30*$H57)/$F57&lt;($AB$30*$H57),($AB$30*$H57)/$F57,($AB$30*$H57)-SUM($AC57:AH57)))</f>
        <v>0</v>
      </c>
      <c r="AJ57" s="1663">
        <f>IF($F57&lt;=0,0,IF(SUM($AC57:AI57)+($AB$30*$H57)/$F57&lt;($AB$30*$H57),($AB$30*$H57)/$F57,($AB$30*$H57)-SUM($AC57:AI57)))</f>
        <v>0</v>
      </c>
      <c r="AK57" s="1663">
        <f>IF($F57&lt;=0,0,IF(SUM($AC57:AJ57)+($AB$30*$H57)/$F57&lt;($AB$30*$H57),($AB$30*$H57)/$F57,($AB$30*$H57)-SUM($AC57:AJ57)))</f>
        <v>0</v>
      </c>
      <c r="AL57" s="1663">
        <f>IF($F57&lt;=0,0,IF(SUM($AC57:AK57)+($AB$30*$H57)/$F57&lt;($AB$30*$H57),($AB$30*$H57)/$F57,($AB$30*$H57)-SUM($AC57:AK57)))</f>
        <v>0</v>
      </c>
    </row>
    <row r="58" spans="3:38" x14ac:dyDescent="0.3">
      <c r="C58" s="126">
        <v>18</v>
      </c>
      <c r="D58" s="487"/>
      <c r="E58" s="488"/>
      <c r="F58" s="489"/>
      <c r="G58" s="489"/>
      <c r="H58" s="1662">
        <f t="shared" si="16"/>
        <v>0</v>
      </c>
      <c r="I58" s="1663">
        <f t="shared" si="17"/>
        <v>0</v>
      </c>
      <c r="N58" s="410"/>
      <c r="O58" s="410"/>
      <c r="P58" s="410"/>
      <c r="V58" s="410"/>
      <c r="W58" s="410"/>
      <c r="X58" s="77"/>
      <c r="Y58" s="77"/>
      <c r="Z58" s="476"/>
      <c r="AA58" s="476"/>
      <c r="AB58" s="476"/>
      <c r="AC58" s="1663">
        <f t="shared" si="18"/>
        <v>0</v>
      </c>
      <c r="AD58" s="1663">
        <f>IF($F58&lt;=0,0,IF(SUM($AC58:AC58)+($AB$30*$H58)/$F58&lt;($AB$30*$H58),($AB$30*$H58)/$F58,($AB$30*$H58)-SUM($AC58:AC58)))</f>
        <v>0</v>
      </c>
      <c r="AE58" s="1663">
        <f>IF($F58&lt;=0,0,IF(SUM($AC58:AD58)+($AB$30*$H58)/$F58&lt;($AB$30*$H58),($AB$30*$H58)/$F58,($AB$30*$H58)-SUM($AC58:AD58)))</f>
        <v>0</v>
      </c>
      <c r="AF58" s="1663">
        <f>IF($F58&lt;=0,0,IF(SUM($AC58:AE58)+($AB$30*$H58)/$F58&lt;($AB$30*$H58),($AB$30*$H58)/$F58,($AB$30*$H58)-SUM($AC58:AE58)))</f>
        <v>0</v>
      </c>
      <c r="AG58" s="1663">
        <f>IF($F58&lt;=0,0,IF(SUM($AC58:AF58)+($AB$30*$H58)/$F58&lt;($AB$30*$H58),($AB$30*$H58)/$F58,($AB$30*$H58)-SUM($AC58:AF58)))</f>
        <v>0</v>
      </c>
      <c r="AH58" s="1663">
        <f>IF($F58&lt;=0,0,IF(SUM($AC58:AG58)+($AB$30*$H58)/$F58&lt;($AB$30*$H58),($AB$30*$H58)/$F58,($AB$30*$H58)-SUM($AC58:AG58)))</f>
        <v>0</v>
      </c>
      <c r="AI58" s="1663">
        <f>IF($F58&lt;=0,0,IF(SUM($AC58:AH58)+($AB$30*$H58)/$F58&lt;($AB$30*$H58),($AB$30*$H58)/$F58,($AB$30*$H58)-SUM($AC58:AH58)))</f>
        <v>0</v>
      </c>
      <c r="AJ58" s="1663">
        <f>IF($F58&lt;=0,0,IF(SUM($AC58:AI58)+($AB$30*$H58)/$F58&lt;($AB$30*$H58),($AB$30*$H58)/$F58,($AB$30*$H58)-SUM($AC58:AI58)))</f>
        <v>0</v>
      </c>
      <c r="AK58" s="1663">
        <f>IF($F58&lt;=0,0,IF(SUM($AC58:AJ58)+($AB$30*$H58)/$F58&lt;($AB$30*$H58),($AB$30*$H58)/$F58,($AB$30*$H58)-SUM($AC58:AJ58)))</f>
        <v>0</v>
      </c>
      <c r="AL58" s="1663">
        <f>IF($F58&lt;=0,0,IF(SUM($AC58:AK58)+($AB$30*$H58)/$F58&lt;($AB$30*$H58),($AB$30*$H58)/$F58,($AB$30*$H58)-SUM($AC58:AK58)))</f>
        <v>0</v>
      </c>
    </row>
    <row r="59" spans="3:38" x14ac:dyDescent="0.3">
      <c r="C59" s="126">
        <v>19</v>
      </c>
      <c r="D59" s="487"/>
      <c r="E59" s="488"/>
      <c r="F59" s="489"/>
      <c r="G59" s="489"/>
      <c r="H59" s="1662">
        <f t="shared" si="16"/>
        <v>0</v>
      </c>
      <c r="I59" s="1663">
        <f t="shared" si="17"/>
        <v>0</v>
      </c>
      <c r="N59" s="410"/>
      <c r="O59" s="410"/>
      <c r="P59" s="410"/>
      <c r="V59" s="410"/>
      <c r="W59" s="410"/>
      <c r="X59" s="77"/>
      <c r="Y59" s="77"/>
      <c r="Z59" s="476"/>
      <c r="AA59" s="476"/>
      <c r="AB59" s="476"/>
      <c r="AC59" s="1663">
        <f t="shared" si="18"/>
        <v>0</v>
      </c>
      <c r="AD59" s="1663">
        <f>IF($F59&lt;=0,0,IF(SUM($AC59:AC59)+($AB$30*$H59)/$F59&lt;($AB$30*$H59),($AB$30*$H59)/$F59,($AB$30*$H59)-SUM($AC59:AC59)))</f>
        <v>0</v>
      </c>
      <c r="AE59" s="1663">
        <f>IF($F59&lt;=0,0,IF(SUM($AC59:AD59)+($AB$30*$H59)/$F59&lt;($AB$30*$H59),($AB$30*$H59)/$F59,($AB$30*$H59)-SUM($AC59:AD59)))</f>
        <v>0</v>
      </c>
      <c r="AF59" s="1663">
        <f>IF($F59&lt;=0,0,IF(SUM($AC59:AE59)+($AB$30*$H59)/$F59&lt;($AB$30*$H59),($AB$30*$H59)/$F59,($AB$30*$H59)-SUM($AC59:AE59)))</f>
        <v>0</v>
      </c>
      <c r="AG59" s="1663">
        <f>IF($F59&lt;=0,0,IF(SUM($AC59:AF59)+($AB$30*$H59)/$F59&lt;($AB$30*$H59),($AB$30*$H59)/$F59,($AB$30*$H59)-SUM($AC59:AF59)))</f>
        <v>0</v>
      </c>
      <c r="AH59" s="1663">
        <f>IF($F59&lt;=0,0,IF(SUM($AC59:AG59)+($AB$30*$H59)/$F59&lt;($AB$30*$H59),($AB$30*$H59)/$F59,($AB$30*$H59)-SUM($AC59:AG59)))</f>
        <v>0</v>
      </c>
      <c r="AI59" s="1663">
        <f>IF($F59&lt;=0,0,IF(SUM($AC59:AH59)+($AB$30*$H59)/$F59&lt;($AB$30*$H59),($AB$30*$H59)/$F59,($AB$30*$H59)-SUM($AC59:AH59)))</f>
        <v>0</v>
      </c>
      <c r="AJ59" s="1663">
        <f>IF($F59&lt;=0,0,IF(SUM($AC59:AI59)+($AB$30*$H59)/$F59&lt;($AB$30*$H59),($AB$30*$H59)/$F59,($AB$30*$H59)-SUM($AC59:AI59)))</f>
        <v>0</v>
      </c>
      <c r="AK59" s="1663">
        <f>IF($F59&lt;=0,0,IF(SUM($AC59:AJ59)+($AB$30*$H59)/$F59&lt;($AB$30*$H59),($AB$30*$H59)/$F59,($AB$30*$H59)-SUM($AC59:AJ59)))</f>
        <v>0</v>
      </c>
      <c r="AL59" s="1663">
        <f>IF($F59&lt;=0,0,IF(SUM($AC59:AK59)+($AB$30*$H59)/$F59&lt;($AB$30*$H59),($AB$30*$H59)/$F59,($AB$30*$H59)-SUM($AC59:AK59)))</f>
        <v>0</v>
      </c>
    </row>
    <row r="60" spans="3:38" x14ac:dyDescent="0.3">
      <c r="C60" s="126">
        <v>20</v>
      </c>
      <c r="D60" s="487"/>
      <c r="E60" s="488"/>
      <c r="F60" s="489"/>
      <c r="G60" s="489"/>
      <c r="H60" s="1662">
        <f t="shared" si="16"/>
        <v>0</v>
      </c>
      <c r="I60" s="1663">
        <f t="shared" si="17"/>
        <v>0</v>
      </c>
      <c r="N60" s="410"/>
      <c r="O60" s="410"/>
      <c r="P60" s="410"/>
      <c r="V60" s="410"/>
      <c r="W60" s="410"/>
      <c r="X60" s="77"/>
      <c r="Y60" s="77"/>
      <c r="Z60" s="476"/>
      <c r="AA60" s="476"/>
      <c r="AB60" s="476"/>
      <c r="AC60" s="1663">
        <f t="shared" si="18"/>
        <v>0</v>
      </c>
      <c r="AD60" s="1663">
        <f>IF($F60&lt;=0,0,IF(SUM($AC60:AC60)+($AB$30*$H60)/$F60&lt;($AB$30*$H60),($AB$30*$H60)/$F60,($AB$30*$H60)-SUM($AC60:AC60)))</f>
        <v>0</v>
      </c>
      <c r="AE60" s="1663">
        <f>IF($F60&lt;=0,0,IF(SUM($AC60:AD60)+($AB$30*$H60)/$F60&lt;($AB$30*$H60),($AB$30*$H60)/$F60,($AB$30*$H60)-SUM($AC60:AD60)))</f>
        <v>0</v>
      </c>
      <c r="AF60" s="1663">
        <f>IF($F60&lt;=0,0,IF(SUM($AC60:AE60)+($AB$30*$H60)/$F60&lt;($AB$30*$H60),($AB$30*$H60)/$F60,($AB$30*$H60)-SUM($AC60:AE60)))</f>
        <v>0</v>
      </c>
      <c r="AG60" s="1663">
        <f>IF($F60&lt;=0,0,IF(SUM($AC60:AF60)+($AB$30*$H60)/$F60&lt;($AB$30*$H60),($AB$30*$H60)/$F60,($AB$30*$H60)-SUM($AC60:AF60)))</f>
        <v>0</v>
      </c>
      <c r="AH60" s="1663">
        <f>IF($F60&lt;=0,0,IF(SUM($AC60:AG60)+($AB$30*$H60)/$F60&lt;($AB$30*$H60),($AB$30*$H60)/$F60,($AB$30*$H60)-SUM($AC60:AG60)))</f>
        <v>0</v>
      </c>
      <c r="AI60" s="1663">
        <f>IF($F60&lt;=0,0,IF(SUM($AC60:AH60)+($AB$30*$H60)/$F60&lt;($AB$30*$H60),($AB$30*$H60)/$F60,($AB$30*$H60)-SUM($AC60:AH60)))</f>
        <v>0</v>
      </c>
      <c r="AJ60" s="1663">
        <f>IF($F60&lt;=0,0,IF(SUM($AC60:AI60)+($AB$30*$H60)/$F60&lt;($AB$30*$H60),($AB$30*$H60)/$F60,($AB$30*$H60)-SUM($AC60:AI60)))</f>
        <v>0</v>
      </c>
      <c r="AK60" s="1663">
        <f>IF($F60&lt;=0,0,IF(SUM($AC60:AJ60)+($AB$30*$H60)/$F60&lt;($AB$30*$H60),($AB$30*$H60)/$F60,($AB$30*$H60)-SUM($AC60:AJ60)))</f>
        <v>0</v>
      </c>
      <c r="AL60" s="1663">
        <f>IF($F60&lt;=0,0,IF(SUM($AC60:AK60)+($AB$30*$H60)/$F60&lt;($AB$30*$H60),($AB$30*$H60)/$F60,($AB$30*$H60)-SUM($AC60:AK60)))</f>
        <v>0</v>
      </c>
    </row>
    <row r="61" spans="3:38" x14ac:dyDescent="0.3">
      <c r="C61" s="126">
        <v>21</v>
      </c>
      <c r="D61" s="487"/>
      <c r="E61" s="488"/>
      <c r="F61" s="489"/>
      <c r="G61" s="489"/>
      <c r="H61" s="1662">
        <f t="shared" si="16"/>
        <v>0</v>
      </c>
      <c r="I61" s="1663">
        <f t="shared" si="17"/>
        <v>0</v>
      </c>
      <c r="N61" s="410"/>
      <c r="O61" s="410"/>
      <c r="P61" s="410"/>
      <c r="V61" s="410"/>
      <c r="W61" s="410"/>
      <c r="X61" s="77"/>
      <c r="Y61" s="77"/>
      <c r="Z61" s="476"/>
      <c r="AA61" s="476"/>
      <c r="AB61" s="476"/>
      <c r="AC61" s="1663">
        <f t="shared" si="18"/>
        <v>0</v>
      </c>
      <c r="AD61" s="1663">
        <f>IF($F61&lt;=0,0,IF(SUM($AC61:AC61)+($AB$30*$H61)/$F61&lt;($AB$30*$H61),($AB$30*$H61)/$F61,($AB$30*$H61)-SUM($AC61:AC61)))</f>
        <v>0</v>
      </c>
      <c r="AE61" s="1663">
        <f>IF($F61&lt;=0,0,IF(SUM($AC61:AD61)+($AB$30*$H61)/$F61&lt;($AB$30*$H61),($AB$30*$H61)/$F61,($AB$30*$H61)-SUM($AC61:AD61)))</f>
        <v>0</v>
      </c>
      <c r="AF61" s="1663">
        <f>IF($F61&lt;=0,0,IF(SUM($AC61:AE61)+($AB$30*$H61)/$F61&lt;($AB$30*$H61),($AB$30*$H61)/$F61,($AB$30*$H61)-SUM($AC61:AE61)))</f>
        <v>0</v>
      </c>
      <c r="AG61" s="1663">
        <f>IF($F61&lt;=0,0,IF(SUM($AC61:AF61)+($AB$30*$H61)/$F61&lt;($AB$30*$H61),($AB$30*$H61)/$F61,($AB$30*$H61)-SUM($AC61:AF61)))</f>
        <v>0</v>
      </c>
      <c r="AH61" s="1663">
        <f>IF($F61&lt;=0,0,IF(SUM($AC61:AG61)+($AB$30*$H61)/$F61&lt;($AB$30*$H61),($AB$30*$H61)/$F61,($AB$30*$H61)-SUM($AC61:AG61)))</f>
        <v>0</v>
      </c>
      <c r="AI61" s="1663">
        <f>IF($F61&lt;=0,0,IF(SUM($AC61:AH61)+($AB$30*$H61)/$F61&lt;($AB$30*$H61),($AB$30*$H61)/$F61,($AB$30*$H61)-SUM($AC61:AH61)))</f>
        <v>0</v>
      </c>
      <c r="AJ61" s="1663">
        <f>IF($F61&lt;=0,0,IF(SUM($AC61:AI61)+($AB$30*$H61)/$F61&lt;($AB$30*$H61),($AB$30*$H61)/$F61,($AB$30*$H61)-SUM($AC61:AI61)))</f>
        <v>0</v>
      </c>
      <c r="AK61" s="1663">
        <f>IF($F61&lt;=0,0,IF(SUM($AC61:AJ61)+($AB$30*$H61)/$F61&lt;($AB$30*$H61),($AB$30*$H61)/$F61,($AB$30*$H61)-SUM($AC61:AJ61)))</f>
        <v>0</v>
      </c>
      <c r="AL61" s="1663">
        <f>IF($F61&lt;=0,0,IF(SUM($AC61:AK61)+($AB$30*$H61)/$F61&lt;($AB$30*$H61),($AB$30*$H61)/$F61,($AB$30*$H61)-SUM($AC61:AK61)))</f>
        <v>0</v>
      </c>
    </row>
    <row r="62" spans="3:38" x14ac:dyDescent="0.3">
      <c r="C62" s="126">
        <v>22</v>
      </c>
      <c r="D62" s="487"/>
      <c r="E62" s="488"/>
      <c r="F62" s="489"/>
      <c r="G62" s="489"/>
      <c r="H62" s="1662">
        <f t="shared" si="16"/>
        <v>0</v>
      </c>
      <c r="I62" s="1663">
        <f t="shared" si="17"/>
        <v>0</v>
      </c>
      <c r="N62" s="410"/>
      <c r="O62" s="410"/>
      <c r="P62" s="410"/>
      <c r="V62" s="410"/>
      <c r="W62" s="410"/>
      <c r="X62" s="77"/>
      <c r="Y62" s="77"/>
      <c r="Z62" s="476"/>
      <c r="AA62" s="476"/>
      <c r="AB62" s="476"/>
      <c r="AC62" s="1663">
        <f t="shared" si="18"/>
        <v>0</v>
      </c>
      <c r="AD62" s="1663">
        <f>IF($F62&lt;=0,0,IF(SUM($AC62:AC62)+($AB$30*$H62)/$F62&lt;($AB$30*$H62),($AB$30*$H62)/$F62,($AB$30*$H62)-SUM($AC62:AC62)))</f>
        <v>0</v>
      </c>
      <c r="AE62" s="1663">
        <f>IF($F62&lt;=0,0,IF(SUM($AC62:AD62)+($AB$30*$H62)/$F62&lt;($AB$30*$H62),($AB$30*$H62)/$F62,($AB$30*$H62)-SUM($AC62:AD62)))</f>
        <v>0</v>
      </c>
      <c r="AF62" s="1663">
        <f>IF($F62&lt;=0,0,IF(SUM($AC62:AE62)+($AB$30*$H62)/$F62&lt;($AB$30*$H62),($AB$30*$H62)/$F62,($AB$30*$H62)-SUM($AC62:AE62)))</f>
        <v>0</v>
      </c>
      <c r="AG62" s="1663">
        <f>IF($F62&lt;=0,0,IF(SUM($AC62:AF62)+($AB$30*$H62)/$F62&lt;($AB$30*$H62),($AB$30*$H62)/$F62,($AB$30*$H62)-SUM($AC62:AF62)))</f>
        <v>0</v>
      </c>
      <c r="AH62" s="1663">
        <f>IF($F62&lt;=0,0,IF(SUM($AC62:AG62)+($AB$30*$H62)/$F62&lt;($AB$30*$H62),($AB$30*$H62)/$F62,($AB$30*$H62)-SUM($AC62:AG62)))</f>
        <v>0</v>
      </c>
      <c r="AI62" s="1663">
        <f>IF($F62&lt;=0,0,IF(SUM($AC62:AH62)+($AB$30*$H62)/$F62&lt;($AB$30*$H62),($AB$30*$H62)/$F62,($AB$30*$H62)-SUM($AC62:AH62)))</f>
        <v>0</v>
      </c>
      <c r="AJ62" s="1663">
        <f>IF($F62&lt;=0,0,IF(SUM($AC62:AI62)+($AB$30*$H62)/$F62&lt;($AB$30*$H62),($AB$30*$H62)/$F62,($AB$30*$H62)-SUM($AC62:AI62)))</f>
        <v>0</v>
      </c>
      <c r="AK62" s="1663">
        <f>IF($F62&lt;=0,0,IF(SUM($AC62:AJ62)+($AB$30*$H62)/$F62&lt;($AB$30*$H62),($AB$30*$H62)/$F62,($AB$30*$H62)-SUM($AC62:AJ62)))</f>
        <v>0</v>
      </c>
      <c r="AL62" s="1663">
        <f>IF($F62&lt;=0,0,IF(SUM($AC62:AK62)+($AB$30*$H62)/$F62&lt;($AB$30*$H62),($AB$30*$H62)/$F62,($AB$30*$H62)-SUM($AC62:AK62)))</f>
        <v>0</v>
      </c>
    </row>
    <row r="63" spans="3:38" x14ac:dyDescent="0.3">
      <c r="C63" s="126">
        <v>23</v>
      </c>
      <c r="D63" s="487"/>
      <c r="E63" s="488"/>
      <c r="F63" s="489"/>
      <c r="G63" s="489"/>
      <c r="H63" s="1662">
        <f t="shared" si="16"/>
        <v>0</v>
      </c>
      <c r="I63" s="1663">
        <f t="shared" ref="I63:I69" si="19">G63/$G$82*F63</f>
        <v>0</v>
      </c>
      <c r="N63" s="410"/>
      <c r="O63" s="410"/>
      <c r="P63" s="410"/>
      <c r="V63" s="410"/>
      <c r="W63" s="410"/>
      <c r="X63" s="77"/>
      <c r="Y63" s="77"/>
      <c r="Z63" s="476"/>
      <c r="AA63" s="476"/>
      <c r="AB63" s="476"/>
      <c r="AC63" s="1663">
        <f t="shared" si="18"/>
        <v>0</v>
      </c>
      <c r="AD63" s="1663">
        <f>IF($F63&lt;=0,0,IF(SUM($AC63:AC63)+($AB$30*$H63)/$F63&lt;($AB$30*$H63),($AB$30*$H63)/$F63,($AB$30*$H63)-SUM($AC63:AC63)))</f>
        <v>0</v>
      </c>
      <c r="AE63" s="1663">
        <f>IF($F63&lt;=0,0,IF(SUM($AC63:AD63)+($AB$30*$H63)/$F63&lt;($AB$30*$H63),($AB$30*$H63)/$F63,($AB$30*$H63)-SUM($AC63:AD63)))</f>
        <v>0</v>
      </c>
      <c r="AF63" s="1663">
        <f>IF($F63&lt;=0,0,IF(SUM($AC63:AE63)+($AB$30*$H63)/$F63&lt;($AB$30*$H63),($AB$30*$H63)/$F63,($AB$30*$H63)-SUM($AC63:AE63)))</f>
        <v>0</v>
      </c>
      <c r="AG63" s="1663">
        <f>IF($F63&lt;=0,0,IF(SUM($AC63:AF63)+($AB$30*$H63)/$F63&lt;($AB$30*$H63),($AB$30*$H63)/$F63,($AB$30*$H63)-SUM($AC63:AF63)))</f>
        <v>0</v>
      </c>
      <c r="AH63" s="1663">
        <f>IF($F63&lt;=0,0,IF(SUM($AC63:AG63)+($AB$30*$H63)/$F63&lt;($AB$30*$H63),($AB$30*$H63)/$F63,($AB$30*$H63)-SUM($AC63:AG63)))</f>
        <v>0</v>
      </c>
      <c r="AI63" s="1663">
        <f>IF($F63&lt;=0,0,IF(SUM($AC63:AH63)+($AB$30*$H63)/$F63&lt;($AB$30*$H63),($AB$30*$H63)/$F63,($AB$30*$H63)-SUM($AC63:AH63)))</f>
        <v>0</v>
      </c>
      <c r="AJ63" s="1663">
        <f>IF($F63&lt;=0,0,IF(SUM($AC63:AI63)+($AB$30*$H63)/$F63&lt;($AB$30*$H63),($AB$30*$H63)/$F63,($AB$30*$H63)-SUM($AC63:AI63)))</f>
        <v>0</v>
      </c>
      <c r="AK63" s="1663">
        <f>IF($F63&lt;=0,0,IF(SUM($AC63:AJ63)+($AB$30*$H63)/$F63&lt;($AB$30*$H63),($AB$30*$H63)/$F63,($AB$30*$H63)-SUM($AC63:AJ63)))</f>
        <v>0</v>
      </c>
      <c r="AL63" s="1663">
        <f>IF($F63&lt;=0,0,IF(SUM($AC63:AK63)+($AB$30*$H63)/$F63&lt;($AB$30*$H63),($AB$30*$H63)/$F63,($AB$30*$H63)-SUM($AC63:AK63)))</f>
        <v>0</v>
      </c>
    </row>
    <row r="64" spans="3:38" x14ac:dyDescent="0.3">
      <c r="C64" s="126">
        <v>24</v>
      </c>
      <c r="D64" s="487"/>
      <c r="E64" s="488"/>
      <c r="F64" s="489"/>
      <c r="G64" s="489"/>
      <c r="H64" s="1662">
        <f t="shared" si="16"/>
        <v>0</v>
      </c>
      <c r="I64" s="1663">
        <f t="shared" si="19"/>
        <v>0</v>
      </c>
      <c r="N64" s="410"/>
      <c r="O64" s="410"/>
      <c r="P64" s="410"/>
      <c r="V64" s="410"/>
      <c r="W64" s="410"/>
      <c r="X64" s="77"/>
      <c r="Y64" s="77"/>
      <c r="Z64" s="476"/>
      <c r="AA64" s="476"/>
      <c r="AB64" s="476"/>
      <c r="AC64" s="1663">
        <f t="shared" si="18"/>
        <v>0</v>
      </c>
      <c r="AD64" s="1663">
        <f>IF($F64&lt;=0,0,IF(SUM($AC64:AC64)+($AB$30*$H64)/$F64&lt;($AB$30*$H64),($AB$30*$H64)/$F64,($AB$30*$H64)-SUM($AC64:AC64)))</f>
        <v>0</v>
      </c>
      <c r="AE64" s="1663">
        <f>IF($F64&lt;=0,0,IF(SUM($AC64:AD64)+($AB$30*$H64)/$F64&lt;($AB$30*$H64),($AB$30*$H64)/$F64,($AB$30*$H64)-SUM($AC64:AD64)))</f>
        <v>0</v>
      </c>
      <c r="AF64" s="1663">
        <f>IF($F64&lt;=0,0,IF(SUM($AC64:AE64)+($AB$30*$H64)/$F64&lt;($AB$30*$H64),($AB$30*$H64)/$F64,($AB$30*$H64)-SUM($AC64:AE64)))</f>
        <v>0</v>
      </c>
      <c r="AG64" s="1663">
        <f>IF($F64&lt;=0,0,IF(SUM($AC64:AF64)+($AB$30*$H64)/$F64&lt;($AB$30*$H64),($AB$30*$H64)/$F64,($AB$30*$H64)-SUM($AC64:AF64)))</f>
        <v>0</v>
      </c>
      <c r="AH64" s="1663">
        <f>IF($F64&lt;=0,0,IF(SUM($AC64:AG64)+($AB$30*$H64)/$F64&lt;($AB$30*$H64),($AB$30*$H64)/$F64,($AB$30*$H64)-SUM($AC64:AG64)))</f>
        <v>0</v>
      </c>
      <c r="AI64" s="1663">
        <f>IF($F64&lt;=0,0,IF(SUM($AC64:AH64)+($AB$30*$H64)/$F64&lt;($AB$30*$H64),($AB$30*$H64)/$F64,($AB$30*$H64)-SUM($AC64:AH64)))</f>
        <v>0</v>
      </c>
      <c r="AJ64" s="1663">
        <f>IF($F64&lt;=0,0,IF(SUM($AC64:AI64)+($AB$30*$H64)/$F64&lt;($AB$30*$H64),($AB$30*$H64)/$F64,($AB$30*$H64)-SUM($AC64:AI64)))</f>
        <v>0</v>
      </c>
      <c r="AK64" s="1663">
        <f>IF($F64&lt;=0,0,IF(SUM($AC64:AJ64)+($AB$30*$H64)/$F64&lt;($AB$30*$H64),($AB$30*$H64)/$F64,($AB$30*$H64)-SUM($AC64:AJ64)))</f>
        <v>0</v>
      </c>
      <c r="AL64" s="1663">
        <f>IF($F64&lt;=0,0,IF(SUM($AC64:AK64)+($AB$30*$H64)/$F64&lt;($AB$30*$H64),($AB$30*$H64)/$F64,($AB$30*$H64)-SUM($AC64:AK64)))</f>
        <v>0</v>
      </c>
    </row>
    <row r="65" spans="3:38" x14ac:dyDescent="0.3">
      <c r="C65" s="126">
        <v>25</v>
      </c>
      <c r="D65" s="487"/>
      <c r="E65" s="488"/>
      <c r="F65" s="489"/>
      <c r="G65" s="489"/>
      <c r="H65" s="1662">
        <f t="shared" si="16"/>
        <v>0</v>
      </c>
      <c r="I65" s="1663">
        <f t="shared" si="19"/>
        <v>0</v>
      </c>
      <c r="N65" s="410"/>
      <c r="O65" s="410"/>
      <c r="P65" s="410"/>
      <c r="V65" s="410"/>
      <c r="W65" s="410"/>
      <c r="X65" s="77"/>
      <c r="Y65" s="77"/>
      <c r="Z65" s="476"/>
      <c r="AA65" s="476"/>
      <c r="AB65" s="476"/>
      <c r="AC65" s="1663">
        <f t="shared" si="18"/>
        <v>0</v>
      </c>
      <c r="AD65" s="1663">
        <f>IF($F65&lt;=0,0,IF(SUM($AC65:AC65)+($AB$30*$H65)/$F65&lt;($AB$30*$H65),($AB$30*$H65)/$F65,($AB$30*$H65)-SUM($AC65:AC65)))</f>
        <v>0</v>
      </c>
      <c r="AE65" s="1663">
        <f>IF($F65&lt;=0,0,IF(SUM($AC65:AD65)+($AB$30*$H65)/$F65&lt;($AB$30*$H65),($AB$30*$H65)/$F65,($AB$30*$H65)-SUM($AC65:AD65)))</f>
        <v>0</v>
      </c>
      <c r="AF65" s="1663">
        <f>IF($F65&lt;=0,0,IF(SUM($AC65:AE65)+($AB$30*$H65)/$F65&lt;($AB$30*$H65),($AB$30*$H65)/$F65,($AB$30*$H65)-SUM($AC65:AE65)))</f>
        <v>0</v>
      </c>
      <c r="AG65" s="1663">
        <f>IF($F65&lt;=0,0,IF(SUM($AC65:AF65)+($AB$30*$H65)/$F65&lt;($AB$30*$H65),($AB$30*$H65)/$F65,($AB$30*$H65)-SUM($AC65:AF65)))</f>
        <v>0</v>
      </c>
      <c r="AH65" s="1663">
        <f>IF($F65&lt;=0,0,IF(SUM($AC65:AG65)+($AB$30*$H65)/$F65&lt;($AB$30*$H65),($AB$30*$H65)/$F65,($AB$30*$H65)-SUM($AC65:AG65)))</f>
        <v>0</v>
      </c>
      <c r="AI65" s="1663">
        <f>IF($F65&lt;=0,0,IF(SUM($AC65:AH65)+($AB$30*$H65)/$F65&lt;($AB$30*$H65),($AB$30*$H65)/$F65,($AB$30*$H65)-SUM($AC65:AH65)))</f>
        <v>0</v>
      </c>
      <c r="AJ65" s="1663">
        <f>IF($F65&lt;=0,0,IF(SUM($AC65:AI65)+($AB$30*$H65)/$F65&lt;($AB$30*$H65),($AB$30*$H65)/$F65,($AB$30*$H65)-SUM($AC65:AI65)))</f>
        <v>0</v>
      </c>
      <c r="AK65" s="1663">
        <f>IF($F65&lt;=0,0,IF(SUM($AC65:AJ65)+($AB$30*$H65)/$F65&lt;($AB$30*$H65),($AB$30*$H65)/$F65,($AB$30*$H65)-SUM($AC65:AJ65)))</f>
        <v>0</v>
      </c>
      <c r="AL65" s="1663">
        <f>IF($F65&lt;=0,0,IF(SUM($AC65:AK65)+($AB$30*$H65)/$F65&lt;($AB$30*$H65),($AB$30*$H65)/$F65,($AB$30*$H65)-SUM($AC65:AK65)))</f>
        <v>0</v>
      </c>
    </row>
    <row r="66" spans="3:38" x14ac:dyDescent="0.3">
      <c r="C66" s="126">
        <v>26</v>
      </c>
      <c r="D66" s="487"/>
      <c r="E66" s="488"/>
      <c r="F66" s="489"/>
      <c r="G66" s="489"/>
      <c r="H66" s="1662">
        <f t="shared" si="16"/>
        <v>0</v>
      </c>
      <c r="I66" s="1663">
        <f t="shared" si="19"/>
        <v>0</v>
      </c>
      <c r="N66" s="410"/>
      <c r="O66" s="410"/>
      <c r="P66" s="410"/>
      <c r="V66" s="410"/>
      <c r="W66" s="410"/>
      <c r="X66" s="77"/>
      <c r="Y66" s="77"/>
      <c r="Z66" s="476"/>
      <c r="AA66" s="476"/>
      <c r="AB66" s="476"/>
      <c r="AC66" s="1663">
        <f t="shared" si="18"/>
        <v>0</v>
      </c>
      <c r="AD66" s="1663">
        <f>IF($F66&lt;=0,0,IF(SUM($AC66:AC66)+($AB$30*$H66)/$F66&lt;($AB$30*$H66),($AB$30*$H66)/$F66,($AB$30*$H66)-SUM($AC66:AC66)))</f>
        <v>0</v>
      </c>
      <c r="AE66" s="1663">
        <f>IF($F66&lt;=0,0,IF(SUM($AC66:AD66)+($AB$30*$H66)/$F66&lt;($AB$30*$H66),($AB$30*$H66)/$F66,($AB$30*$H66)-SUM($AC66:AD66)))</f>
        <v>0</v>
      </c>
      <c r="AF66" s="1663">
        <f>IF($F66&lt;=0,0,IF(SUM($AC66:AE66)+($AB$30*$H66)/$F66&lt;($AB$30*$H66),($AB$30*$H66)/$F66,($AB$30*$H66)-SUM($AC66:AE66)))</f>
        <v>0</v>
      </c>
      <c r="AG66" s="1663">
        <f>IF($F66&lt;=0,0,IF(SUM($AC66:AF66)+($AB$30*$H66)/$F66&lt;($AB$30*$H66),($AB$30*$H66)/$F66,($AB$30*$H66)-SUM($AC66:AF66)))</f>
        <v>0</v>
      </c>
      <c r="AH66" s="1663">
        <f>IF($F66&lt;=0,0,IF(SUM($AC66:AG66)+($AB$30*$H66)/$F66&lt;($AB$30*$H66),($AB$30*$H66)/$F66,($AB$30*$H66)-SUM($AC66:AG66)))</f>
        <v>0</v>
      </c>
      <c r="AI66" s="1663">
        <f>IF($F66&lt;=0,0,IF(SUM($AC66:AH66)+($AB$30*$H66)/$F66&lt;($AB$30*$H66),($AB$30*$H66)/$F66,($AB$30*$H66)-SUM($AC66:AH66)))</f>
        <v>0</v>
      </c>
      <c r="AJ66" s="1663">
        <f>IF($F66&lt;=0,0,IF(SUM($AC66:AI66)+($AB$30*$H66)/$F66&lt;($AB$30*$H66),($AB$30*$H66)/$F66,($AB$30*$H66)-SUM($AC66:AI66)))</f>
        <v>0</v>
      </c>
      <c r="AK66" s="1663">
        <f>IF($F66&lt;=0,0,IF(SUM($AC66:AJ66)+($AB$30*$H66)/$F66&lt;($AB$30*$H66),($AB$30*$H66)/$F66,($AB$30*$H66)-SUM($AC66:AJ66)))</f>
        <v>0</v>
      </c>
      <c r="AL66" s="1663">
        <f>IF($F66&lt;=0,0,IF(SUM($AC66:AK66)+($AB$30*$H66)/$F66&lt;($AB$30*$H66),($AB$30*$H66)/$F66,($AB$30*$H66)-SUM($AC66:AK66)))</f>
        <v>0</v>
      </c>
    </row>
    <row r="67" spans="3:38" x14ac:dyDescent="0.3">
      <c r="C67" s="126">
        <v>27</v>
      </c>
      <c r="D67" s="487"/>
      <c r="E67" s="488"/>
      <c r="F67" s="489"/>
      <c r="G67" s="489"/>
      <c r="H67" s="1662">
        <f t="shared" si="16"/>
        <v>0</v>
      </c>
      <c r="I67" s="1663">
        <f t="shared" si="19"/>
        <v>0</v>
      </c>
      <c r="N67" s="410"/>
      <c r="O67" s="410"/>
      <c r="P67" s="410"/>
      <c r="V67" s="410"/>
      <c r="W67" s="410"/>
      <c r="X67" s="77"/>
      <c r="Y67" s="77"/>
      <c r="Z67" s="476"/>
      <c r="AA67" s="476"/>
      <c r="AB67" s="476"/>
      <c r="AC67" s="1663">
        <f t="shared" si="18"/>
        <v>0</v>
      </c>
      <c r="AD67" s="1663">
        <f>IF($F67&lt;=0,0,IF(SUM($AC67:AC67)+($AB$30*$H67)/$F67&lt;($AB$30*$H67),($AB$30*$H67)/$F67,($AB$30*$H67)-SUM($AC67:AC67)))</f>
        <v>0</v>
      </c>
      <c r="AE67" s="1663">
        <f>IF($F67&lt;=0,0,IF(SUM($AC67:AD67)+($AB$30*$H67)/$F67&lt;($AB$30*$H67),($AB$30*$H67)/$F67,($AB$30*$H67)-SUM($AC67:AD67)))</f>
        <v>0</v>
      </c>
      <c r="AF67" s="1663">
        <f>IF($F67&lt;=0,0,IF(SUM($AC67:AE67)+($AB$30*$H67)/$F67&lt;($AB$30*$H67),($AB$30*$H67)/$F67,($AB$30*$H67)-SUM($AC67:AE67)))</f>
        <v>0</v>
      </c>
      <c r="AG67" s="1663">
        <f>IF($F67&lt;=0,0,IF(SUM($AC67:AF67)+($AB$30*$H67)/$F67&lt;($AB$30*$H67),($AB$30*$H67)/$F67,($AB$30*$H67)-SUM($AC67:AF67)))</f>
        <v>0</v>
      </c>
      <c r="AH67" s="1663">
        <f>IF($F67&lt;=0,0,IF(SUM($AC67:AG67)+($AB$30*$H67)/$F67&lt;($AB$30*$H67),($AB$30*$H67)/$F67,($AB$30*$H67)-SUM($AC67:AG67)))</f>
        <v>0</v>
      </c>
      <c r="AI67" s="1663">
        <f>IF($F67&lt;=0,0,IF(SUM($AC67:AH67)+($AB$30*$H67)/$F67&lt;($AB$30*$H67),($AB$30*$H67)/$F67,($AB$30*$H67)-SUM($AC67:AH67)))</f>
        <v>0</v>
      </c>
      <c r="AJ67" s="1663">
        <f>IF($F67&lt;=0,0,IF(SUM($AC67:AI67)+($AB$30*$H67)/$F67&lt;($AB$30*$H67),($AB$30*$H67)/$F67,($AB$30*$H67)-SUM($AC67:AI67)))</f>
        <v>0</v>
      </c>
      <c r="AK67" s="1663">
        <f>IF($F67&lt;=0,0,IF(SUM($AC67:AJ67)+($AB$30*$H67)/$F67&lt;($AB$30*$H67),($AB$30*$H67)/$F67,($AB$30*$H67)-SUM($AC67:AJ67)))</f>
        <v>0</v>
      </c>
      <c r="AL67" s="1663">
        <f>IF($F67&lt;=0,0,IF(SUM($AC67:AK67)+($AB$30*$H67)/$F67&lt;($AB$30*$H67),($AB$30*$H67)/$F67,($AB$30*$H67)-SUM($AC67:AK67)))</f>
        <v>0</v>
      </c>
    </row>
    <row r="68" spans="3:38" x14ac:dyDescent="0.3">
      <c r="C68" s="126">
        <v>28</v>
      </c>
      <c r="D68" s="487"/>
      <c r="E68" s="488"/>
      <c r="F68" s="489"/>
      <c r="G68" s="489"/>
      <c r="H68" s="1662">
        <f t="shared" si="16"/>
        <v>0</v>
      </c>
      <c r="I68" s="1663">
        <f t="shared" si="19"/>
        <v>0</v>
      </c>
      <c r="N68" s="410"/>
      <c r="O68" s="410"/>
      <c r="P68" s="410"/>
      <c r="V68" s="410"/>
      <c r="W68" s="410"/>
      <c r="X68" s="77"/>
      <c r="Y68" s="77"/>
      <c r="Z68" s="476"/>
      <c r="AA68" s="476"/>
      <c r="AB68" s="476"/>
      <c r="AC68" s="1663">
        <f t="shared" si="18"/>
        <v>0</v>
      </c>
      <c r="AD68" s="1663">
        <f>IF($F68&lt;=0,0,IF(SUM($AC68:AC68)+($AB$30*$H68)/$F68&lt;($AB$30*$H68),($AB$30*$H68)/$F68,($AB$30*$H68)-SUM($AC68:AC68)))</f>
        <v>0</v>
      </c>
      <c r="AE68" s="1663">
        <f>IF($F68&lt;=0,0,IF(SUM($AC68:AD68)+($AB$30*$H68)/$F68&lt;($AB$30*$H68),($AB$30*$H68)/$F68,($AB$30*$H68)-SUM($AC68:AD68)))</f>
        <v>0</v>
      </c>
      <c r="AF68" s="1663">
        <f>IF($F68&lt;=0,0,IF(SUM($AC68:AE68)+($AB$30*$H68)/$F68&lt;($AB$30*$H68),($AB$30*$H68)/$F68,($AB$30*$H68)-SUM($AC68:AE68)))</f>
        <v>0</v>
      </c>
      <c r="AG68" s="1663">
        <f>IF($F68&lt;=0,0,IF(SUM($AC68:AF68)+($AB$30*$H68)/$F68&lt;($AB$30*$H68),($AB$30*$H68)/$F68,($AB$30*$H68)-SUM($AC68:AF68)))</f>
        <v>0</v>
      </c>
      <c r="AH68" s="1663">
        <f>IF($F68&lt;=0,0,IF(SUM($AC68:AG68)+($AB$30*$H68)/$F68&lt;($AB$30*$H68),($AB$30*$H68)/$F68,($AB$30*$H68)-SUM($AC68:AG68)))</f>
        <v>0</v>
      </c>
      <c r="AI68" s="1663">
        <f>IF($F68&lt;=0,0,IF(SUM($AC68:AH68)+($AB$30*$H68)/$F68&lt;($AB$30*$H68),($AB$30*$H68)/$F68,($AB$30*$H68)-SUM($AC68:AH68)))</f>
        <v>0</v>
      </c>
      <c r="AJ68" s="1663">
        <f>IF($F68&lt;=0,0,IF(SUM($AC68:AI68)+($AB$30*$H68)/$F68&lt;($AB$30*$H68),($AB$30*$H68)/$F68,($AB$30*$H68)-SUM($AC68:AI68)))</f>
        <v>0</v>
      </c>
      <c r="AK68" s="1663">
        <f>IF($F68&lt;=0,0,IF(SUM($AC68:AJ68)+($AB$30*$H68)/$F68&lt;($AB$30*$H68),($AB$30*$H68)/$F68,($AB$30*$H68)-SUM($AC68:AJ68)))</f>
        <v>0</v>
      </c>
      <c r="AL68" s="1663">
        <f>IF($F68&lt;=0,0,IF(SUM($AC68:AK68)+($AB$30*$H68)/$F68&lt;($AB$30*$H68),($AB$30*$H68)/$F68,($AB$30*$H68)-SUM($AC68:AK68)))</f>
        <v>0</v>
      </c>
    </row>
    <row r="69" spans="3:38" x14ac:dyDescent="0.3">
      <c r="C69" s="126">
        <v>29</v>
      </c>
      <c r="D69" s="487"/>
      <c r="E69" s="488"/>
      <c r="F69" s="489"/>
      <c r="G69" s="489"/>
      <c r="H69" s="1662">
        <f t="shared" si="16"/>
        <v>0</v>
      </c>
      <c r="I69" s="1663">
        <f t="shared" si="19"/>
        <v>0</v>
      </c>
      <c r="N69" s="410"/>
      <c r="O69" s="410"/>
      <c r="P69" s="410"/>
      <c r="V69" s="410"/>
      <c r="W69" s="410"/>
      <c r="X69" s="77"/>
      <c r="Y69" s="77"/>
      <c r="Z69" s="476"/>
      <c r="AA69" s="476"/>
      <c r="AB69" s="476"/>
      <c r="AC69" s="1663">
        <f t="shared" si="18"/>
        <v>0</v>
      </c>
      <c r="AD69" s="1663">
        <f>IF($F69&lt;=0,0,IF(SUM($AC69:AC69)+($AB$30*$H69)/$F69&lt;($AB$30*$H69),($AB$30*$H69)/$F69,($AB$30*$H69)-SUM($AC69:AC69)))</f>
        <v>0</v>
      </c>
      <c r="AE69" s="1663">
        <f>IF($F69&lt;=0,0,IF(SUM($AC69:AD69)+($AB$30*$H69)/$F69&lt;($AB$30*$H69),($AB$30*$H69)/$F69,($AB$30*$H69)-SUM($AC69:AD69)))</f>
        <v>0</v>
      </c>
      <c r="AF69" s="1663">
        <f>IF($F69&lt;=0,0,IF(SUM($AC69:AE69)+($AB$30*$H69)/$F69&lt;($AB$30*$H69),($AB$30*$H69)/$F69,($AB$30*$H69)-SUM($AC69:AE69)))</f>
        <v>0</v>
      </c>
      <c r="AG69" s="1663">
        <f>IF($F69&lt;=0,0,IF(SUM($AC69:AF69)+($AB$30*$H69)/$F69&lt;($AB$30*$H69),($AB$30*$H69)/$F69,($AB$30*$H69)-SUM($AC69:AF69)))</f>
        <v>0</v>
      </c>
      <c r="AH69" s="1663">
        <f>IF($F69&lt;=0,0,IF(SUM($AC69:AG69)+($AB$30*$H69)/$F69&lt;($AB$30*$H69),($AB$30*$H69)/$F69,($AB$30*$H69)-SUM($AC69:AG69)))</f>
        <v>0</v>
      </c>
      <c r="AI69" s="1663">
        <f>IF($F69&lt;=0,0,IF(SUM($AC69:AH69)+($AB$30*$H69)/$F69&lt;($AB$30*$H69),($AB$30*$H69)/$F69,($AB$30*$H69)-SUM($AC69:AH69)))</f>
        <v>0</v>
      </c>
      <c r="AJ69" s="1663">
        <f>IF($F69&lt;=0,0,IF(SUM($AC69:AI69)+($AB$30*$H69)/$F69&lt;($AB$30*$H69),($AB$30*$H69)/$F69,($AB$30*$H69)-SUM($AC69:AI69)))</f>
        <v>0</v>
      </c>
      <c r="AK69" s="1663">
        <f>IF($F69&lt;=0,0,IF(SUM($AC69:AJ69)+($AB$30*$H69)/$F69&lt;($AB$30*$H69),($AB$30*$H69)/$F69,($AB$30*$H69)-SUM($AC69:AJ69)))</f>
        <v>0</v>
      </c>
      <c r="AL69" s="1663">
        <f>IF($F69&lt;=0,0,IF(SUM($AC69:AK69)+($AB$30*$H69)/$F69&lt;($AB$30*$H69),($AB$30*$H69)/$F69,($AB$30*$H69)-SUM($AC69:AK69)))</f>
        <v>0</v>
      </c>
    </row>
    <row r="70" spans="3:38" x14ac:dyDescent="0.3">
      <c r="C70" s="126">
        <v>30</v>
      </c>
      <c r="D70" s="487"/>
      <c r="E70" s="488"/>
      <c r="F70" s="489"/>
      <c r="G70" s="489"/>
      <c r="H70" s="1662">
        <f t="shared" ref="H70:H80" si="20">+IF(ISERROR(G70/$G$82),"",G70/$G$82)</f>
        <v>0</v>
      </c>
      <c r="I70" s="1663">
        <f t="shared" ref="I70:I80" si="21">G70/$G$82*F70</f>
        <v>0</v>
      </c>
      <c r="N70" s="410"/>
      <c r="O70" s="410"/>
      <c r="P70" s="410"/>
      <c r="V70" s="410"/>
      <c r="W70" s="410"/>
      <c r="X70" s="77"/>
      <c r="Y70" s="77"/>
      <c r="Z70" s="476"/>
      <c r="AA70" s="476"/>
      <c r="AB70" s="476"/>
      <c r="AC70" s="1663">
        <f t="shared" si="18"/>
        <v>0</v>
      </c>
      <c r="AD70" s="1663">
        <f>IF($F70&lt;=0,0,IF(SUM($AC70:AC70)+($AB$30*$H70)/$F70&lt;($AB$30*$H70),($AB$30*$H70)/$F70,($AB$30*$H70)-SUM($AC70:AC70)))</f>
        <v>0</v>
      </c>
      <c r="AE70" s="1663">
        <f>IF($F70&lt;=0,0,IF(SUM($AC70:AD70)+($AB$30*$H70)/$F70&lt;($AB$30*$H70),($AB$30*$H70)/$F70,($AB$30*$H70)-SUM($AC70:AD70)))</f>
        <v>0</v>
      </c>
      <c r="AF70" s="1663">
        <f>IF($F70&lt;=0,0,IF(SUM($AC70:AE70)+($AB$30*$H70)/$F70&lt;($AB$30*$H70),($AB$30*$H70)/$F70,($AB$30*$H70)-SUM($AC70:AE70)))</f>
        <v>0</v>
      </c>
      <c r="AG70" s="1663">
        <f>IF($F70&lt;=0,0,IF(SUM($AC70:AF70)+($AB$30*$H70)/$F70&lt;($AB$30*$H70),($AB$30*$H70)/$F70,($AB$30*$H70)-SUM($AC70:AF70)))</f>
        <v>0</v>
      </c>
      <c r="AH70" s="1663">
        <f>IF($F70&lt;=0,0,IF(SUM($AC70:AG70)+($AB$30*$H70)/$F70&lt;($AB$30*$H70),($AB$30*$H70)/$F70,($AB$30*$H70)-SUM($AC70:AG70)))</f>
        <v>0</v>
      </c>
      <c r="AI70" s="1663">
        <f>IF($F70&lt;=0,0,IF(SUM($AC70:AH70)+($AB$30*$H70)/$F70&lt;($AB$30*$H70),($AB$30*$H70)/$F70,($AB$30*$H70)-SUM($AC70:AH70)))</f>
        <v>0</v>
      </c>
      <c r="AJ70" s="1663">
        <f>IF($F70&lt;=0,0,IF(SUM($AC70:AI70)+($AB$30*$H70)/$F70&lt;($AB$30*$H70),($AB$30*$H70)/$F70,($AB$30*$H70)-SUM($AC70:AI70)))</f>
        <v>0</v>
      </c>
      <c r="AK70" s="1663">
        <f>IF($F70&lt;=0,0,IF(SUM($AC70:AJ70)+($AB$30*$H70)/$F70&lt;($AB$30*$H70),($AB$30*$H70)/$F70,($AB$30*$H70)-SUM($AC70:AJ70)))</f>
        <v>0</v>
      </c>
      <c r="AL70" s="1663">
        <f>IF($F70&lt;=0,0,IF(SUM($AC70:AK70)+($AB$30*$H70)/$F70&lt;($AB$30*$H70),($AB$30*$H70)/$F70,($AB$30*$H70)-SUM($AC70:AK70)))</f>
        <v>0</v>
      </c>
    </row>
    <row r="71" spans="3:38" x14ac:dyDescent="0.3">
      <c r="C71" s="126">
        <v>31</v>
      </c>
      <c r="D71" s="487"/>
      <c r="E71" s="488"/>
      <c r="F71" s="489"/>
      <c r="G71" s="489"/>
      <c r="H71" s="1662">
        <f t="shared" si="20"/>
        <v>0</v>
      </c>
      <c r="I71" s="1663">
        <f t="shared" si="21"/>
        <v>0</v>
      </c>
      <c r="N71" s="410"/>
      <c r="O71" s="410"/>
      <c r="P71" s="410"/>
      <c r="V71" s="410"/>
      <c r="W71" s="410"/>
      <c r="X71" s="77"/>
      <c r="Y71" s="77"/>
      <c r="Z71" s="476"/>
      <c r="AA71" s="476"/>
      <c r="AB71" s="476"/>
      <c r="AC71" s="1663">
        <f t="shared" si="18"/>
        <v>0</v>
      </c>
      <c r="AD71" s="1663">
        <f>IF($F71&lt;=0,0,IF(SUM($AC71:AC71)+($AB$30*$H71)/$F71&lt;($AB$30*$H71),($AB$30*$H71)/$F71,($AB$30*$H71)-SUM($AC71:AC71)))</f>
        <v>0</v>
      </c>
      <c r="AE71" s="1663">
        <f>IF($F71&lt;=0,0,IF(SUM($AC71:AD71)+($AB$30*$H71)/$F71&lt;($AB$30*$H71),($AB$30*$H71)/$F71,($AB$30*$H71)-SUM($AC71:AD71)))</f>
        <v>0</v>
      </c>
      <c r="AF71" s="1663">
        <f>IF($F71&lt;=0,0,IF(SUM($AC71:AE71)+($AB$30*$H71)/$F71&lt;($AB$30*$H71),($AB$30*$H71)/$F71,($AB$30*$H71)-SUM($AC71:AE71)))</f>
        <v>0</v>
      </c>
      <c r="AG71" s="1663">
        <f>IF($F71&lt;=0,0,IF(SUM($AC71:AF71)+($AB$30*$H71)/$F71&lt;($AB$30*$H71),($AB$30*$H71)/$F71,($AB$30*$H71)-SUM($AC71:AF71)))</f>
        <v>0</v>
      </c>
      <c r="AH71" s="1663">
        <f>IF($F71&lt;=0,0,IF(SUM($AC71:AG71)+($AB$30*$H71)/$F71&lt;($AB$30*$H71),($AB$30*$H71)/$F71,($AB$30*$H71)-SUM($AC71:AG71)))</f>
        <v>0</v>
      </c>
      <c r="AI71" s="1663">
        <f>IF($F71&lt;=0,0,IF(SUM($AC71:AH71)+($AB$30*$H71)/$F71&lt;($AB$30*$H71),($AB$30*$H71)/$F71,($AB$30*$H71)-SUM($AC71:AH71)))</f>
        <v>0</v>
      </c>
      <c r="AJ71" s="1663">
        <f>IF($F71&lt;=0,0,IF(SUM($AC71:AI71)+($AB$30*$H71)/$F71&lt;($AB$30*$H71),($AB$30*$H71)/$F71,($AB$30*$H71)-SUM($AC71:AI71)))</f>
        <v>0</v>
      </c>
      <c r="AK71" s="1663">
        <f>IF($F71&lt;=0,0,IF(SUM($AC71:AJ71)+($AB$30*$H71)/$F71&lt;($AB$30*$H71),($AB$30*$H71)/$F71,($AB$30*$H71)-SUM($AC71:AJ71)))</f>
        <v>0</v>
      </c>
      <c r="AL71" s="1663">
        <f>IF($F71&lt;=0,0,IF(SUM($AC71:AK71)+($AB$30*$H71)/$F71&lt;($AB$30*$H71),($AB$30*$H71)/$F71,($AB$30*$H71)-SUM($AC71:AK71)))</f>
        <v>0</v>
      </c>
    </row>
    <row r="72" spans="3:38" x14ac:dyDescent="0.3">
      <c r="C72" s="126">
        <v>32</v>
      </c>
      <c r="D72" s="487"/>
      <c r="E72" s="488"/>
      <c r="F72" s="489"/>
      <c r="G72" s="489"/>
      <c r="H72" s="1662">
        <f t="shared" si="20"/>
        <v>0</v>
      </c>
      <c r="I72" s="1663">
        <f t="shared" si="21"/>
        <v>0</v>
      </c>
      <c r="N72" s="410"/>
      <c r="O72" s="410"/>
      <c r="P72" s="410"/>
      <c r="V72" s="410"/>
      <c r="W72" s="410"/>
      <c r="X72" s="77"/>
      <c r="Y72" s="77"/>
      <c r="Z72" s="476"/>
      <c r="AA72" s="476"/>
      <c r="AB72" s="476"/>
      <c r="AC72" s="1663">
        <f t="shared" si="18"/>
        <v>0</v>
      </c>
      <c r="AD72" s="1663">
        <f>IF($F72&lt;=0,0,IF(SUM($AC72:AC72)+($AB$30*$H72)/$F72&lt;($AB$30*$H72),($AB$30*$H72)/$F72,($AB$30*$H72)-SUM($AC72:AC72)))</f>
        <v>0</v>
      </c>
      <c r="AE72" s="1663">
        <f>IF($F72&lt;=0,0,IF(SUM($AC72:AD72)+($AB$30*$H72)/$F72&lt;($AB$30*$H72),($AB$30*$H72)/$F72,($AB$30*$H72)-SUM($AC72:AD72)))</f>
        <v>0</v>
      </c>
      <c r="AF72" s="1663">
        <f>IF($F72&lt;=0,0,IF(SUM($AC72:AE72)+($AB$30*$H72)/$F72&lt;($AB$30*$H72),($AB$30*$H72)/$F72,($AB$30*$H72)-SUM($AC72:AE72)))</f>
        <v>0</v>
      </c>
      <c r="AG72" s="1663">
        <f>IF($F72&lt;=0,0,IF(SUM($AC72:AF72)+($AB$30*$H72)/$F72&lt;($AB$30*$H72),($AB$30*$H72)/$F72,($AB$30*$H72)-SUM($AC72:AF72)))</f>
        <v>0</v>
      </c>
      <c r="AH72" s="1663">
        <f>IF($F72&lt;=0,0,IF(SUM($AC72:AG72)+($AB$30*$H72)/$F72&lt;($AB$30*$H72),($AB$30*$H72)/$F72,($AB$30*$H72)-SUM($AC72:AG72)))</f>
        <v>0</v>
      </c>
      <c r="AI72" s="1663">
        <f>IF($F72&lt;=0,0,IF(SUM($AC72:AH72)+($AB$30*$H72)/$F72&lt;($AB$30*$H72),($AB$30*$H72)/$F72,($AB$30*$H72)-SUM($AC72:AH72)))</f>
        <v>0</v>
      </c>
      <c r="AJ72" s="1663">
        <f>IF($F72&lt;=0,0,IF(SUM($AC72:AI72)+($AB$30*$H72)/$F72&lt;($AB$30*$H72),($AB$30*$H72)/$F72,($AB$30*$H72)-SUM($AC72:AI72)))</f>
        <v>0</v>
      </c>
      <c r="AK72" s="1663">
        <f>IF($F72&lt;=0,0,IF(SUM($AC72:AJ72)+($AB$30*$H72)/$F72&lt;($AB$30*$H72),($AB$30*$H72)/$F72,($AB$30*$H72)-SUM($AC72:AJ72)))</f>
        <v>0</v>
      </c>
      <c r="AL72" s="1663">
        <f>IF($F72&lt;=0,0,IF(SUM($AC72:AK72)+($AB$30*$H72)/$F72&lt;($AB$30*$H72),($AB$30*$H72)/$F72,($AB$30*$H72)-SUM($AC72:AK72)))</f>
        <v>0</v>
      </c>
    </row>
    <row r="73" spans="3:38" x14ac:dyDescent="0.3">
      <c r="C73" s="126">
        <v>33</v>
      </c>
      <c r="D73" s="487"/>
      <c r="E73" s="488"/>
      <c r="F73" s="489"/>
      <c r="G73" s="489"/>
      <c r="H73" s="1662">
        <f t="shared" si="20"/>
        <v>0</v>
      </c>
      <c r="I73" s="1663">
        <f t="shared" si="21"/>
        <v>0</v>
      </c>
      <c r="N73" s="410"/>
      <c r="O73" s="410"/>
      <c r="P73" s="410"/>
      <c r="V73" s="410"/>
      <c r="W73" s="410"/>
      <c r="X73" s="77"/>
      <c r="Y73" s="77"/>
      <c r="Z73" s="476"/>
      <c r="AA73" s="476"/>
      <c r="AB73" s="476"/>
      <c r="AC73" s="1663">
        <f t="shared" si="18"/>
        <v>0</v>
      </c>
      <c r="AD73" s="1663">
        <f>IF($F73&lt;=0,0,IF(SUM($AC73:AC73)+($AB$30*$H73)/$F73&lt;($AB$30*$H73),($AB$30*$H73)/$F73,($AB$30*$H73)-SUM($AC73:AC73)))</f>
        <v>0</v>
      </c>
      <c r="AE73" s="1663">
        <f>IF($F73&lt;=0,0,IF(SUM($AC73:AD73)+($AB$30*$H73)/$F73&lt;($AB$30*$H73),($AB$30*$H73)/$F73,($AB$30*$H73)-SUM($AC73:AD73)))</f>
        <v>0</v>
      </c>
      <c r="AF73" s="1663">
        <f>IF($F73&lt;=0,0,IF(SUM($AC73:AE73)+($AB$30*$H73)/$F73&lt;($AB$30*$H73),($AB$30*$H73)/$F73,($AB$30*$H73)-SUM($AC73:AE73)))</f>
        <v>0</v>
      </c>
      <c r="AG73" s="1663">
        <f>IF($F73&lt;=0,0,IF(SUM($AC73:AF73)+($AB$30*$H73)/$F73&lt;($AB$30*$H73),($AB$30*$H73)/$F73,($AB$30*$H73)-SUM($AC73:AF73)))</f>
        <v>0</v>
      </c>
      <c r="AH73" s="1663">
        <f>IF($F73&lt;=0,0,IF(SUM($AC73:AG73)+($AB$30*$H73)/$F73&lt;($AB$30*$H73),($AB$30*$H73)/$F73,($AB$30*$H73)-SUM($AC73:AG73)))</f>
        <v>0</v>
      </c>
      <c r="AI73" s="1663">
        <f>IF($F73&lt;=0,0,IF(SUM($AC73:AH73)+($AB$30*$H73)/$F73&lt;($AB$30*$H73),($AB$30*$H73)/$F73,($AB$30*$H73)-SUM($AC73:AH73)))</f>
        <v>0</v>
      </c>
      <c r="AJ73" s="1663">
        <f>IF($F73&lt;=0,0,IF(SUM($AC73:AI73)+($AB$30*$H73)/$F73&lt;($AB$30*$H73),($AB$30*$H73)/$F73,($AB$30*$H73)-SUM($AC73:AI73)))</f>
        <v>0</v>
      </c>
      <c r="AK73" s="1663">
        <f>IF($F73&lt;=0,0,IF(SUM($AC73:AJ73)+($AB$30*$H73)/$F73&lt;($AB$30*$H73),($AB$30*$H73)/$F73,($AB$30*$H73)-SUM($AC73:AJ73)))</f>
        <v>0</v>
      </c>
      <c r="AL73" s="1663">
        <f>IF($F73&lt;=0,0,IF(SUM($AC73:AK73)+($AB$30*$H73)/$F73&lt;($AB$30*$H73),($AB$30*$H73)/$F73,($AB$30*$H73)-SUM($AC73:AK73)))</f>
        <v>0</v>
      </c>
    </row>
    <row r="74" spans="3:38" x14ac:dyDescent="0.3">
      <c r="C74" s="126">
        <v>34</v>
      </c>
      <c r="D74" s="487"/>
      <c r="E74" s="488"/>
      <c r="F74" s="489"/>
      <c r="G74" s="489"/>
      <c r="H74" s="1662">
        <f t="shared" si="20"/>
        <v>0</v>
      </c>
      <c r="I74" s="1663">
        <f t="shared" si="21"/>
        <v>0</v>
      </c>
      <c r="N74" s="410"/>
      <c r="O74" s="410"/>
      <c r="P74" s="410"/>
      <c r="V74" s="410"/>
      <c r="W74" s="410"/>
      <c r="X74" s="77"/>
      <c r="Y74" s="77"/>
      <c r="Z74" s="476"/>
      <c r="AA74" s="476"/>
      <c r="AB74" s="476"/>
      <c r="AC74" s="1663">
        <f t="shared" si="18"/>
        <v>0</v>
      </c>
      <c r="AD74" s="1663">
        <f>IF($F74&lt;=0,0,IF(SUM($AC74:AC74)+($AB$30*$H74)/$F74&lt;($AB$30*$H74),($AB$30*$H74)/$F74,($AB$30*$H74)-SUM($AC74:AC74)))</f>
        <v>0</v>
      </c>
      <c r="AE74" s="1663">
        <f>IF($F74&lt;=0,0,IF(SUM($AC74:AD74)+($AB$30*$H74)/$F74&lt;($AB$30*$H74),($AB$30*$H74)/$F74,($AB$30*$H74)-SUM($AC74:AD74)))</f>
        <v>0</v>
      </c>
      <c r="AF74" s="1663">
        <f>IF($F74&lt;=0,0,IF(SUM($AC74:AE74)+($AB$30*$H74)/$F74&lt;($AB$30*$H74),($AB$30*$H74)/$F74,($AB$30*$H74)-SUM($AC74:AE74)))</f>
        <v>0</v>
      </c>
      <c r="AG74" s="1663">
        <f>IF($F74&lt;=0,0,IF(SUM($AC74:AF74)+($AB$30*$H74)/$F74&lt;($AB$30*$H74),($AB$30*$H74)/$F74,($AB$30*$H74)-SUM($AC74:AF74)))</f>
        <v>0</v>
      </c>
      <c r="AH74" s="1663">
        <f>IF($F74&lt;=0,0,IF(SUM($AC74:AG74)+($AB$30*$H74)/$F74&lt;($AB$30*$H74),($AB$30*$H74)/$F74,($AB$30*$H74)-SUM($AC74:AG74)))</f>
        <v>0</v>
      </c>
      <c r="AI74" s="1663">
        <f>IF($F74&lt;=0,0,IF(SUM($AC74:AH74)+($AB$30*$H74)/$F74&lt;($AB$30*$H74),($AB$30*$H74)/$F74,($AB$30*$H74)-SUM($AC74:AH74)))</f>
        <v>0</v>
      </c>
      <c r="AJ74" s="1663">
        <f>IF($F74&lt;=0,0,IF(SUM($AC74:AI74)+($AB$30*$H74)/$F74&lt;($AB$30*$H74),($AB$30*$H74)/$F74,($AB$30*$H74)-SUM($AC74:AI74)))</f>
        <v>0</v>
      </c>
      <c r="AK74" s="1663">
        <f>IF($F74&lt;=0,0,IF(SUM($AC74:AJ74)+($AB$30*$H74)/$F74&lt;($AB$30*$H74),($AB$30*$H74)/$F74,($AB$30*$H74)-SUM($AC74:AJ74)))</f>
        <v>0</v>
      </c>
      <c r="AL74" s="1663">
        <f>IF($F74&lt;=0,0,IF(SUM($AC74:AK74)+($AB$30*$H74)/$F74&lt;($AB$30*$H74),($AB$30*$H74)/$F74,($AB$30*$H74)-SUM($AC74:AK74)))</f>
        <v>0</v>
      </c>
    </row>
    <row r="75" spans="3:38" x14ac:dyDescent="0.3">
      <c r="C75" s="126">
        <v>35</v>
      </c>
      <c r="D75" s="487"/>
      <c r="E75" s="488"/>
      <c r="F75" s="489"/>
      <c r="G75" s="489"/>
      <c r="H75" s="1662">
        <f t="shared" si="20"/>
        <v>0</v>
      </c>
      <c r="I75" s="1663">
        <f t="shared" si="21"/>
        <v>0</v>
      </c>
      <c r="N75" s="410"/>
      <c r="O75" s="410"/>
      <c r="P75" s="410"/>
      <c r="V75" s="410"/>
      <c r="W75" s="410"/>
      <c r="X75" s="77"/>
      <c r="Y75" s="77"/>
      <c r="Z75" s="476"/>
      <c r="AA75" s="476"/>
      <c r="AB75" s="476"/>
      <c r="AC75" s="1663">
        <f t="shared" si="18"/>
        <v>0</v>
      </c>
      <c r="AD75" s="1663">
        <f>IF($F75&lt;=0,0,IF(SUM($AC75:AC75)+($AB$30*$H75)/$F75&lt;($AB$30*$H75),($AB$30*$H75)/$F75,($AB$30*$H75)-SUM($AC75:AC75)))</f>
        <v>0</v>
      </c>
      <c r="AE75" s="1663">
        <f>IF($F75&lt;=0,0,IF(SUM($AC75:AD75)+($AB$30*$H75)/$F75&lt;($AB$30*$H75),($AB$30*$H75)/$F75,($AB$30*$H75)-SUM($AC75:AD75)))</f>
        <v>0</v>
      </c>
      <c r="AF75" s="1663">
        <f>IF($F75&lt;=0,0,IF(SUM($AC75:AE75)+($AB$30*$H75)/$F75&lt;($AB$30*$H75),($AB$30*$H75)/$F75,($AB$30*$H75)-SUM($AC75:AE75)))</f>
        <v>0</v>
      </c>
      <c r="AG75" s="1663">
        <f>IF($F75&lt;=0,0,IF(SUM($AC75:AF75)+($AB$30*$H75)/$F75&lt;($AB$30*$H75),($AB$30*$H75)/$F75,($AB$30*$H75)-SUM($AC75:AF75)))</f>
        <v>0</v>
      </c>
      <c r="AH75" s="1663">
        <f>IF($F75&lt;=0,0,IF(SUM($AC75:AG75)+($AB$30*$H75)/$F75&lt;($AB$30*$H75),($AB$30*$H75)/$F75,($AB$30*$H75)-SUM($AC75:AG75)))</f>
        <v>0</v>
      </c>
      <c r="AI75" s="1663">
        <f>IF($F75&lt;=0,0,IF(SUM($AC75:AH75)+($AB$30*$H75)/$F75&lt;($AB$30*$H75),($AB$30*$H75)/$F75,($AB$30*$H75)-SUM($AC75:AH75)))</f>
        <v>0</v>
      </c>
      <c r="AJ75" s="1663">
        <f>IF($F75&lt;=0,0,IF(SUM($AC75:AI75)+($AB$30*$H75)/$F75&lt;($AB$30*$H75),($AB$30*$H75)/$F75,($AB$30*$H75)-SUM($AC75:AI75)))</f>
        <v>0</v>
      </c>
      <c r="AK75" s="1663">
        <f>IF($F75&lt;=0,0,IF(SUM($AC75:AJ75)+($AB$30*$H75)/$F75&lt;($AB$30*$H75),($AB$30*$H75)/$F75,($AB$30*$H75)-SUM($AC75:AJ75)))</f>
        <v>0</v>
      </c>
      <c r="AL75" s="1663">
        <f>IF($F75&lt;=0,0,IF(SUM($AC75:AK75)+($AB$30*$H75)/$F75&lt;($AB$30*$H75),($AB$30*$H75)/$F75,($AB$30*$H75)-SUM($AC75:AK75)))</f>
        <v>0</v>
      </c>
    </row>
    <row r="76" spans="3:38" x14ac:dyDescent="0.3">
      <c r="C76" s="126">
        <v>36</v>
      </c>
      <c r="D76" s="487"/>
      <c r="E76" s="488"/>
      <c r="F76" s="489"/>
      <c r="G76" s="489"/>
      <c r="H76" s="1662">
        <f t="shared" si="20"/>
        <v>0</v>
      </c>
      <c r="I76" s="1663">
        <f t="shared" si="21"/>
        <v>0</v>
      </c>
      <c r="N76" s="410"/>
      <c r="O76" s="410"/>
      <c r="P76" s="410"/>
      <c r="V76" s="410"/>
      <c r="W76" s="410"/>
      <c r="X76" s="77"/>
      <c r="Y76" s="77"/>
      <c r="Z76" s="476"/>
      <c r="AA76" s="476"/>
      <c r="AB76" s="476"/>
      <c r="AC76" s="1663">
        <f t="shared" si="18"/>
        <v>0</v>
      </c>
      <c r="AD76" s="1663">
        <f>IF($F76&lt;=0,0,IF(SUM($AC76:AC76)+($AB$30*$H76)/$F76&lt;($AB$30*$H76),($AB$30*$H76)/$F76,($AB$30*$H76)-SUM($AC76:AC76)))</f>
        <v>0</v>
      </c>
      <c r="AE76" s="1663">
        <f>IF($F76&lt;=0,0,IF(SUM($AC76:AD76)+($AB$30*$H76)/$F76&lt;($AB$30*$H76),($AB$30*$H76)/$F76,($AB$30*$H76)-SUM($AC76:AD76)))</f>
        <v>0</v>
      </c>
      <c r="AF76" s="1663">
        <f>IF($F76&lt;=0,0,IF(SUM($AC76:AE76)+($AB$30*$H76)/$F76&lt;($AB$30*$H76),($AB$30*$H76)/$F76,($AB$30*$H76)-SUM($AC76:AE76)))</f>
        <v>0</v>
      </c>
      <c r="AG76" s="1663">
        <f>IF($F76&lt;=0,0,IF(SUM($AC76:AF76)+($AB$30*$H76)/$F76&lt;($AB$30*$H76),($AB$30*$H76)/$F76,($AB$30*$H76)-SUM($AC76:AF76)))</f>
        <v>0</v>
      </c>
      <c r="AH76" s="1663">
        <f>IF($F76&lt;=0,0,IF(SUM($AC76:AG76)+($AB$30*$H76)/$F76&lt;($AB$30*$H76),($AB$30*$H76)/$F76,($AB$30*$H76)-SUM($AC76:AG76)))</f>
        <v>0</v>
      </c>
      <c r="AI76" s="1663">
        <f>IF($F76&lt;=0,0,IF(SUM($AC76:AH76)+($AB$30*$H76)/$F76&lt;($AB$30*$H76),($AB$30*$H76)/$F76,($AB$30*$H76)-SUM($AC76:AH76)))</f>
        <v>0</v>
      </c>
      <c r="AJ76" s="1663">
        <f>IF($F76&lt;=0,0,IF(SUM($AC76:AI76)+($AB$30*$H76)/$F76&lt;($AB$30*$H76),($AB$30*$H76)/$F76,($AB$30*$H76)-SUM($AC76:AI76)))</f>
        <v>0</v>
      </c>
      <c r="AK76" s="1663">
        <f>IF($F76&lt;=0,0,IF(SUM($AC76:AJ76)+($AB$30*$H76)/$F76&lt;($AB$30*$H76),($AB$30*$H76)/$F76,($AB$30*$H76)-SUM($AC76:AJ76)))</f>
        <v>0</v>
      </c>
      <c r="AL76" s="1663">
        <f>IF($F76&lt;=0,0,IF(SUM($AC76:AK76)+($AB$30*$H76)/$F76&lt;($AB$30*$H76),($AB$30*$H76)/$F76,($AB$30*$H76)-SUM($AC76:AK76)))</f>
        <v>0</v>
      </c>
    </row>
    <row r="77" spans="3:38" x14ac:dyDescent="0.3">
      <c r="C77" s="126">
        <v>37</v>
      </c>
      <c r="D77" s="487"/>
      <c r="E77" s="488"/>
      <c r="F77" s="489"/>
      <c r="G77" s="489"/>
      <c r="H77" s="1662">
        <f t="shared" si="20"/>
        <v>0</v>
      </c>
      <c r="I77" s="1663">
        <f t="shared" si="21"/>
        <v>0</v>
      </c>
      <c r="N77" s="410"/>
      <c r="O77" s="410"/>
      <c r="P77" s="410"/>
      <c r="V77" s="410"/>
      <c r="W77" s="410"/>
      <c r="X77" s="77"/>
      <c r="Y77" s="77"/>
      <c r="Z77" s="476"/>
      <c r="AA77" s="476"/>
      <c r="AB77" s="476"/>
      <c r="AC77" s="1663">
        <f t="shared" si="18"/>
        <v>0</v>
      </c>
      <c r="AD77" s="1663">
        <f>IF($F77&lt;=0,0,IF(SUM($AC77:AC77)+($AB$30*$H77)/$F77&lt;($AB$30*$H77),($AB$30*$H77)/$F77,($AB$30*$H77)-SUM($AC77:AC77)))</f>
        <v>0</v>
      </c>
      <c r="AE77" s="1663">
        <f>IF($F77&lt;=0,0,IF(SUM($AC77:AD77)+($AB$30*$H77)/$F77&lt;($AB$30*$H77),($AB$30*$H77)/$F77,($AB$30*$H77)-SUM($AC77:AD77)))</f>
        <v>0</v>
      </c>
      <c r="AF77" s="1663">
        <f>IF($F77&lt;=0,0,IF(SUM($AC77:AE77)+($AB$30*$H77)/$F77&lt;($AB$30*$H77),($AB$30*$H77)/$F77,($AB$30*$H77)-SUM($AC77:AE77)))</f>
        <v>0</v>
      </c>
      <c r="AG77" s="1663">
        <f>IF($F77&lt;=0,0,IF(SUM($AC77:AF77)+($AB$30*$H77)/$F77&lt;($AB$30*$H77),($AB$30*$H77)/$F77,($AB$30*$H77)-SUM($AC77:AF77)))</f>
        <v>0</v>
      </c>
      <c r="AH77" s="1663">
        <f>IF($F77&lt;=0,0,IF(SUM($AC77:AG77)+($AB$30*$H77)/$F77&lt;($AB$30*$H77),($AB$30*$H77)/$F77,($AB$30*$H77)-SUM($AC77:AG77)))</f>
        <v>0</v>
      </c>
      <c r="AI77" s="1663">
        <f>IF($F77&lt;=0,0,IF(SUM($AC77:AH77)+($AB$30*$H77)/$F77&lt;($AB$30*$H77),($AB$30*$H77)/$F77,($AB$30*$H77)-SUM($AC77:AH77)))</f>
        <v>0</v>
      </c>
      <c r="AJ77" s="1663">
        <f>IF($F77&lt;=0,0,IF(SUM($AC77:AI77)+($AB$30*$H77)/$F77&lt;($AB$30*$H77),($AB$30*$H77)/$F77,($AB$30*$H77)-SUM($AC77:AI77)))</f>
        <v>0</v>
      </c>
      <c r="AK77" s="1663">
        <f>IF($F77&lt;=0,0,IF(SUM($AC77:AJ77)+($AB$30*$H77)/$F77&lt;($AB$30*$H77),($AB$30*$H77)/$F77,($AB$30*$H77)-SUM($AC77:AJ77)))</f>
        <v>0</v>
      </c>
      <c r="AL77" s="1663">
        <f>IF($F77&lt;=0,0,IF(SUM($AC77:AK77)+($AB$30*$H77)/$F77&lt;($AB$30*$H77),($AB$30*$H77)/$F77,($AB$30*$H77)-SUM($AC77:AK77)))</f>
        <v>0</v>
      </c>
    </row>
    <row r="78" spans="3:38" x14ac:dyDescent="0.3">
      <c r="C78" s="126">
        <v>38</v>
      </c>
      <c r="D78" s="487"/>
      <c r="E78" s="488"/>
      <c r="F78" s="489"/>
      <c r="G78" s="489"/>
      <c r="H78" s="1662">
        <f t="shared" si="20"/>
        <v>0</v>
      </c>
      <c r="I78" s="1663">
        <f t="shared" si="21"/>
        <v>0</v>
      </c>
      <c r="N78" s="410"/>
      <c r="O78" s="410"/>
      <c r="P78" s="410"/>
      <c r="V78" s="410"/>
      <c r="W78" s="410"/>
      <c r="X78" s="77"/>
      <c r="Y78" s="77"/>
      <c r="Z78" s="476"/>
      <c r="AA78" s="476"/>
      <c r="AB78" s="476"/>
      <c r="AC78" s="1663">
        <f t="shared" si="18"/>
        <v>0</v>
      </c>
      <c r="AD78" s="1663">
        <f>IF($F78&lt;=0,0,IF(SUM($AC78:AC78)+($AB$30*$H78)/$F78&lt;($AB$30*$H78),($AB$30*$H78)/$F78,($AB$30*$H78)-SUM($AC78:AC78)))</f>
        <v>0</v>
      </c>
      <c r="AE78" s="1663">
        <f>IF($F78&lt;=0,0,IF(SUM($AC78:AD78)+($AB$30*$H78)/$F78&lt;($AB$30*$H78),($AB$30*$H78)/$F78,($AB$30*$H78)-SUM($AC78:AD78)))</f>
        <v>0</v>
      </c>
      <c r="AF78" s="1663">
        <f>IF($F78&lt;=0,0,IF(SUM($AC78:AE78)+($AB$30*$H78)/$F78&lt;($AB$30*$H78),($AB$30*$H78)/$F78,($AB$30*$H78)-SUM($AC78:AE78)))</f>
        <v>0</v>
      </c>
      <c r="AG78" s="1663">
        <f>IF($F78&lt;=0,0,IF(SUM($AC78:AF78)+($AB$30*$H78)/$F78&lt;($AB$30*$H78),($AB$30*$H78)/$F78,($AB$30*$H78)-SUM($AC78:AF78)))</f>
        <v>0</v>
      </c>
      <c r="AH78" s="1663">
        <f>IF($F78&lt;=0,0,IF(SUM($AC78:AG78)+($AB$30*$H78)/$F78&lt;($AB$30*$H78),($AB$30*$H78)/$F78,($AB$30*$H78)-SUM($AC78:AG78)))</f>
        <v>0</v>
      </c>
      <c r="AI78" s="1663">
        <f>IF($F78&lt;=0,0,IF(SUM($AC78:AH78)+($AB$30*$H78)/$F78&lt;($AB$30*$H78),($AB$30*$H78)/$F78,($AB$30*$H78)-SUM($AC78:AH78)))</f>
        <v>0</v>
      </c>
      <c r="AJ78" s="1663">
        <f>IF($F78&lt;=0,0,IF(SUM($AC78:AI78)+($AB$30*$H78)/$F78&lt;($AB$30*$H78),($AB$30*$H78)/$F78,($AB$30*$H78)-SUM($AC78:AI78)))</f>
        <v>0</v>
      </c>
      <c r="AK78" s="1663">
        <f>IF($F78&lt;=0,0,IF(SUM($AC78:AJ78)+($AB$30*$H78)/$F78&lt;($AB$30*$H78),($AB$30*$H78)/$F78,($AB$30*$H78)-SUM($AC78:AJ78)))</f>
        <v>0</v>
      </c>
      <c r="AL78" s="1663">
        <f>IF($F78&lt;=0,0,IF(SUM($AC78:AK78)+($AB$30*$H78)/$F78&lt;($AB$30*$H78),($AB$30*$H78)/$F78,($AB$30*$H78)-SUM($AC78:AK78)))</f>
        <v>0</v>
      </c>
    </row>
    <row r="79" spans="3:38" x14ac:dyDescent="0.3">
      <c r="C79" s="126">
        <v>39</v>
      </c>
      <c r="D79" s="487"/>
      <c r="E79" s="488"/>
      <c r="F79" s="489"/>
      <c r="G79" s="489"/>
      <c r="H79" s="1662">
        <f t="shared" si="20"/>
        <v>0</v>
      </c>
      <c r="I79" s="1663">
        <f t="shared" si="21"/>
        <v>0</v>
      </c>
      <c r="N79" s="410"/>
      <c r="O79" s="410"/>
      <c r="P79" s="410"/>
      <c r="V79" s="410"/>
      <c r="W79" s="410"/>
      <c r="X79" s="77"/>
      <c r="Y79" s="77"/>
      <c r="Z79" s="476"/>
      <c r="AA79" s="476"/>
      <c r="AB79" s="476"/>
      <c r="AC79" s="1663">
        <f t="shared" si="18"/>
        <v>0</v>
      </c>
      <c r="AD79" s="1663">
        <f>IF($F79&lt;=0,0,IF(SUM($AC79:AC79)+($AB$30*$H79)/$F79&lt;($AB$30*$H79),($AB$30*$H79)/$F79,($AB$30*$H79)-SUM($AC79:AC79)))</f>
        <v>0</v>
      </c>
      <c r="AE79" s="1663">
        <f>IF($F79&lt;=0,0,IF(SUM($AC79:AD79)+($AB$30*$H79)/$F79&lt;($AB$30*$H79),($AB$30*$H79)/$F79,($AB$30*$H79)-SUM($AC79:AD79)))</f>
        <v>0</v>
      </c>
      <c r="AF79" s="1663">
        <f>IF($F79&lt;=0,0,IF(SUM($AC79:AE79)+($AB$30*$H79)/$F79&lt;($AB$30*$H79),($AB$30*$H79)/$F79,($AB$30*$H79)-SUM($AC79:AE79)))</f>
        <v>0</v>
      </c>
      <c r="AG79" s="1663">
        <f>IF($F79&lt;=0,0,IF(SUM($AC79:AF79)+($AB$30*$H79)/$F79&lt;($AB$30*$H79),($AB$30*$H79)/$F79,($AB$30*$H79)-SUM($AC79:AF79)))</f>
        <v>0</v>
      </c>
      <c r="AH79" s="1663">
        <f>IF($F79&lt;=0,0,IF(SUM($AC79:AG79)+($AB$30*$H79)/$F79&lt;($AB$30*$H79),($AB$30*$H79)/$F79,($AB$30*$H79)-SUM($AC79:AG79)))</f>
        <v>0</v>
      </c>
      <c r="AI79" s="1663">
        <f>IF($F79&lt;=0,0,IF(SUM($AC79:AH79)+($AB$30*$H79)/$F79&lt;($AB$30*$H79),($AB$30*$H79)/$F79,($AB$30*$H79)-SUM($AC79:AH79)))</f>
        <v>0</v>
      </c>
      <c r="AJ79" s="1663">
        <f>IF($F79&lt;=0,0,IF(SUM($AC79:AI79)+($AB$30*$H79)/$F79&lt;($AB$30*$H79),($AB$30*$H79)/$F79,($AB$30*$H79)-SUM($AC79:AI79)))</f>
        <v>0</v>
      </c>
      <c r="AK79" s="1663">
        <f>IF($F79&lt;=0,0,IF(SUM($AC79:AJ79)+($AB$30*$H79)/$F79&lt;($AB$30*$H79),($AB$30*$H79)/$F79,($AB$30*$H79)-SUM($AC79:AJ79)))</f>
        <v>0</v>
      </c>
      <c r="AL79" s="1663">
        <f>IF($F79&lt;=0,0,IF(SUM($AC79:AK79)+($AB$30*$H79)/$F79&lt;($AB$30*$H79),($AB$30*$H79)/$F79,($AB$30*$H79)-SUM($AC79:AK79)))</f>
        <v>0</v>
      </c>
    </row>
    <row r="80" spans="3:38" x14ac:dyDescent="0.3">
      <c r="C80" s="126">
        <v>40</v>
      </c>
      <c r="D80" s="487"/>
      <c r="E80" s="488"/>
      <c r="F80" s="489"/>
      <c r="G80" s="489"/>
      <c r="H80" s="1662">
        <f t="shared" si="20"/>
        <v>0</v>
      </c>
      <c r="I80" s="1663">
        <f t="shared" si="21"/>
        <v>0</v>
      </c>
      <c r="N80" s="410"/>
      <c r="O80" s="410"/>
      <c r="P80" s="410"/>
      <c r="V80" s="410"/>
      <c r="W80" s="410"/>
      <c r="X80" s="77"/>
      <c r="Y80" s="77"/>
      <c r="Z80" s="476"/>
      <c r="AA80" s="476"/>
      <c r="AB80" s="476"/>
      <c r="AC80" s="1663">
        <f t="shared" si="18"/>
        <v>0</v>
      </c>
      <c r="AD80" s="1663">
        <f>IF($F80&lt;=0,0,IF(SUM($AC80:AC80)+($AB$30*$H80)/$F80&lt;($AB$30*$H80),($AB$30*$H80)/$F80,($AB$30*$H80)-SUM($AC80:AC80)))</f>
        <v>0</v>
      </c>
      <c r="AE80" s="1663">
        <f>IF($F80&lt;=0,0,IF(SUM($AC80:AD80)+($AB$30*$H80)/$F80&lt;($AB$30*$H80),($AB$30*$H80)/$F80,($AB$30*$H80)-SUM($AC80:AD80)))</f>
        <v>0</v>
      </c>
      <c r="AF80" s="1663">
        <f>IF($F80&lt;=0,0,IF(SUM($AC80:AE80)+($AB$30*$H80)/$F80&lt;($AB$30*$H80),($AB$30*$H80)/$F80,($AB$30*$H80)-SUM($AC80:AE80)))</f>
        <v>0</v>
      </c>
      <c r="AG80" s="1663">
        <f>IF($F80&lt;=0,0,IF(SUM($AC80:AF80)+($AB$30*$H80)/$F80&lt;($AB$30*$H80),($AB$30*$H80)/$F80,($AB$30*$H80)-SUM($AC80:AF80)))</f>
        <v>0</v>
      </c>
      <c r="AH80" s="1663">
        <f>IF($F80&lt;=0,0,IF(SUM($AC80:AG80)+($AB$30*$H80)/$F80&lt;($AB$30*$H80),($AB$30*$H80)/$F80,($AB$30*$H80)-SUM($AC80:AG80)))</f>
        <v>0</v>
      </c>
      <c r="AI80" s="1663">
        <f>IF($F80&lt;=0,0,IF(SUM($AC80:AH80)+($AB$30*$H80)/$F80&lt;($AB$30*$H80),($AB$30*$H80)/$F80,($AB$30*$H80)-SUM($AC80:AH80)))</f>
        <v>0</v>
      </c>
      <c r="AJ80" s="1663">
        <f>IF($F80&lt;=0,0,IF(SUM($AC80:AI80)+($AB$30*$H80)/$F80&lt;($AB$30*$H80),($AB$30*$H80)/$F80,($AB$30*$H80)-SUM($AC80:AI80)))</f>
        <v>0</v>
      </c>
      <c r="AK80" s="1663">
        <f>IF($F80&lt;=0,0,IF(SUM($AC80:AJ80)+($AB$30*$H80)/$F80&lt;($AB$30*$H80),($AB$30*$H80)/$F80,($AB$30*$H80)-SUM($AC80:AJ80)))</f>
        <v>0</v>
      </c>
      <c r="AL80" s="1663">
        <f>IF($F80&lt;=0,0,IF(SUM($AC80:AK80)+($AB$30*$H80)/$F80&lt;($AB$30*$H80),($AB$30*$H80)/$F80,($AB$30*$H80)-SUM($AC80:AK80)))</f>
        <v>0</v>
      </c>
    </row>
    <row r="81" spans="4:38" x14ac:dyDescent="0.3">
      <c r="D81" s="63"/>
      <c r="N81" s="265"/>
      <c r="O81" s="265"/>
      <c r="P81" s="265"/>
      <c r="V81" s="265"/>
      <c r="W81" s="265"/>
      <c r="X81" s="77"/>
      <c r="Y81" s="77"/>
      <c r="Z81" s="476"/>
      <c r="AA81" s="476"/>
      <c r="AB81" s="476"/>
    </row>
    <row r="82" spans="4:38" ht="12.5" thickBot="1" x14ac:dyDescent="0.35">
      <c r="D82" s="103" t="s">
        <v>214</v>
      </c>
      <c r="G82" s="1566">
        <f>+SUM(G41:G81)</f>
        <v>1510.1246792293714</v>
      </c>
      <c r="I82" s="1566">
        <f>SUM(I41:I81)</f>
        <v>51.836366991127349</v>
      </c>
      <c r="N82" s="477"/>
      <c r="O82" s="477"/>
      <c r="P82" s="477"/>
      <c r="X82" s="477"/>
      <c r="Z82" s="476"/>
      <c r="AA82" s="476"/>
      <c r="AB82" s="478" t="s">
        <v>588</v>
      </c>
      <c r="AC82" s="1566">
        <f t="shared" ref="AC82:AL82" si="22">+SUM(AC41:AC81)</f>
        <v>12.656733797314704</v>
      </c>
      <c r="AD82" s="1566">
        <f t="shared" si="22"/>
        <v>10.028963419332449</v>
      </c>
      <c r="AE82" s="1566">
        <f t="shared" si="22"/>
        <v>10.028963419332449</v>
      </c>
      <c r="AF82" s="1566">
        <f t="shared" si="22"/>
        <v>10.028963419332449</v>
      </c>
      <c r="AG82" s="1566">
        <f t="shared" si="22"/>
        <v>10.028963419332449</v>
      </c>
      <c r="AH82" s="1566">
        <f t="shared" si="22"/>
        <v>10.028963419332449</v>
      </c>
      <c r="AI82" s="1566">
        <f t="shared" si="22"/>
        <v>10.028963419332449</v>
      </c>
      <c r="AJ82" s="1566">
        <f t="shared" si="22"/>
        <v>10.028963419332449</v>
      </c>
      <c r="AK82" s="1566">
        <f t="shared" si="22"/>
        <v>10.028963419332449</v>
      </c>
      <c r="AL82" s="1566">
        <f t="shared" si="22"/>
        <v>10.028963419332449</v>
      </c>
    </row>
    <row r="84" spans="4:38" x14ac:dyDescent="0.3">
      <c r="E84" s="329"/>
      <c r="F84" s="479" t="s">
        <v>539</v>
      </c>
      <c r="G84" s="1664">
        <f>+AB30</f>
        <v>421.14965328812417</v>
      </c>
      <c r="J84" s="102"/>
      <c r="K84" s="102"/>
      <c r="L84" s="102"/>
      <c r="M84" s="102"/>
      <c r="N84" s="480"/>
      <c r="O84" s="480"/>
      <c r="P84" s="480"/>
      <c r="Q84" s="480"/>
      <c r="R84" s="480"/>
    </row>
    <row r="85" spans="4:38" x14ac:dyDescent="0.3">
      <c r="E85" s="329"/>
      <c r="F85" s="481" t="s">
        <v>461</v>
      </c>
      <c r="G85" s="1665">
        <f>G82-G84</f>
        <v>1088.9750259412472</v>
      </c>
    </row>
    <row r="86" spans="4:38" x14ac:dyDescent="0.3">
      <c r="M86" s="482"/>
      <c r="N86" s="483"/>
      <c r="O86" s="483"/>
      <c r="P86" s="483"/>
      <c r="Q86" s="483"/>
      <c r="R86" s="483"/>
      <c r="S86" s="483"/>
      <c r="T86" s="483"/>
      <c r="U86" s="483"/>
      <c r="V86" s="483"/>
      <c r="W86" s="483"/>
      <c r="X86" s="483"/>
      <c r="Y86" s="483"/>
      <c r="Z86" s="483"/>
      <c r="AA86" s="483"/>
      <c r="AB86" s="483"/>
    </row>
  </sheetData>
  <sheetProtection algorithmName="SHA-512" hashValue="8f5x3briUckQkhRqm8km59SQjbr7gwiQ3Z2UssxdJ5MXFpPrx7ClTjIK1FDSp5eW44x99EQwwCZJ3SWk36OJHA==" saltValue="E+snz4319TD8QrWUkMGJOg==" spinCount="100000" sheet="1" objects="1" scenarios="1"/>
  <mergeCells count="1">
    <mergeCell ref="B3:F3"/>
  </mergeCells>
  <phoneticPr fontId="0" type="noConversion"/>
  <hyperlinks>
    <hyperlink ref="B3" location="HL_Home" tooltip="Go to Table of Contents" display="HL_Home" xr:uid="{00000000-0004-0000-0C00-000000000000}"/>
  </hyperlinks>
  <pageMargins left="0.39370078740157499" right="0.39370078740157499" top="0.59055118110236249" bottom="0.98425196850393748" header="0" footer="0.31496062992125973"/>
  <pageSetup paperSize="9" scale="64" orientation="landscape" r:id="rId1"/>
  <headerFooter alignWithMargins="0">
    <oddHeader>&amp;C&amp;B&amp;"Arial"&amp;12&amp;Kff0000​‌OFFICIAL‌​</oddHeader>
    <oddFooter>&amp;C&amp;"Arial,Bold"&amp;8Sheet f.
Page &amp;P of &amp;N&amp;L&amp;"Arial,Bold"&amp;7&amp;F
&amp;A
Printed: &amp;T on &amp;D</oddFooter>
  </headerFooter>
  <rowBreaks count="1" manualBreakCount="1">
    <brk id="36" min="1" max="2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2">
    <tabColor theme="0" tint="-4.9989318521683403E-2"/>
    <pageSetUpPr autoPageBreaks="0"/>
  </sheetPr>
  <dimension ref="A1:AP71"/>
  <sheetViews>
    <sheetView showGridLines="0" zoomScaleNormal="100" workbookViewId="0">
      <pane ySplit="7" topLeftCell="A8" activePane="bottomLeft" state="frozen"/>
      <selection pane="bottomLeft"/>
    </sheetView>
  </sheetViews>
  <sheetFormatPr defaultColWidth="10.77734375" defaultRowHeight="12" outlineLevelCol="1" x14ac:dyDescent="0.3"/>
  <cols>
    <col min="1" max="5" width="3.77734375" style="73" customWidth="1"/>
    <col min="6" max="6" width="15.6640625" style="73" customWidth="1"/>
    <col min="7" max="7" width="10.77734375" style="73" customWidth="1"/>
    <col min="8" max="8" width="16.77734375" style="73" customWidth="1"/>
    <col min="9" max="9" width="10.77734375" style="73" customWidth="1"/>
    <col min="10" max="10" width="10.77734375" style="77" customWidth="1"/>
    <col min="11" max="11" width="10.77734375" style="73" hidden="1" customWidth="1" outlineLevel="1"/>
    <col min="12" max="13" width="12.33203125" style="73" hidden="1" customWidth="1" outlineLevel="1"/>
    <col min="14" max="22" width="10.77734375" style="73" hidden="1" customWidth="1" outlineLevel="1"/>
    <col min="23" max="23" width="10.77734375" style="73" customWidth="1" collapsed="1"/>
    <col min="24" max="28" width="10.77734375" style="73" customWidth="1"/>
    <col min="29" max="30" width="9.109375" style="73" customWidth="1"/>
    <col min="31" max="33" width="10.77734375" style="73"/>
    <col min="34" max="35" width="9.109375" style="73" customWidth="1"/>
    <col min="36" max="16384" width="10.77734375" style="73"/>
  </cols>
  <sheetData>
    <row r="1" spans="1:39" ht="14.5" x14ac:dyDescent="0.3">
      <c r="A1" s="1358">
        <v>80</v>
      </c>
      <c r="B1" s="158" t="s">
        <v>363</v>
      </c>
      <c r="G1" s="265"/>
      <c r="H1" s="265"/>
      <c r="V1" s="265"/>
    </row>
    <row r="2" spans="1:39" ht="13" x14ac:dyDescent="0.3">
      <c r="B2" s="1359" t="str">
        <f>+Contents!H7</f>
        <v>Central Highlands Water</v>
      </c>
    </row>
    <row r="3" spans="1:39" x14ac:dyDescent="0.3">
      <c r="B3" s="2357" t="s">
        <v>0</v>
      </c>
      <c r="C3" s="2357"/>
      <c r="D3" s="2357"/>
      <c r="E3" s="2357"/>
      <c r="F3" s="2357"/>
      <c r="G3" s="164"/>
    </row>
    <row r="4" spans="1:39" x14ac:dyDescent="0.3">
      <c r="A4" s="165"/>
      <c r="B4" s="75"/>
      <c r="C4" s="76"/>
      <c r="F4" s="63"/>
      <c r="K4" s="66"/>
      <c r="L4" s="155" t="s">
        <v>60</v>
      </c>
      <c r="M4" s="65"/>
      <c r="N4" s="66"/>
      <c r="O4" s="67"/>
      <c r="P4" s="155" t="s">
        <v>61</v>
      </c>
      <c r="Q4" s="67"/>
      <c r="R4" s="65"/>
      <c r="S4" s="1202"/>
      <c r="T4" s="1203"/>
      <c r="U4" s="1572" t="s">
        <v>274</v>
      </c>
      <c r="V4" s="1203"/>
      <c r="W4" s="1204"/>
      <c r="X4" s="1944"/>
      <c r="Y4" s="1575"/>
      <c r="Z4" s="1575" t="s">
        <v>1072</v>
      </c>
      <c r="AA4" s="1575"/>
      <c r="AB4" s="1574"/>
      <c r="AC4" s="1573"/>
      <c r="AD4" s="1575"/>
      <c r="AE4" s="1575" t="s">
        <v>457</v>
      </c>
      <c r="AF4" s="1575"/>
      <c r="AG4" s="1574"/>
      <c r="AH4" s="1573"/>
      <c r="AI4" s="1575"/>
      <c r="AJ4" s="1575" t="s">
        <v>903</v>
      </c>
      <c r="AK4" s="1575"/>
      <c r="AL4" s="1574"/>
    </row>
    <row r="6" spans="1:39" x14ac:dyDescent="0.3">
      <c r="B6" s="166"/>
      <c r="F6" s="459" t="s">
        <v>63</v>
      </c>
      <c r="K6" s="1360">
        <v>2006</v>
      </c>
      <c r="L6" s="1360">
        <v>2007</v>
      </c>
      <c r="M6" s="1360">
        <v>2008</v>
      </c>
      <c r="N6" s="1360">
        <v>2009</v>
      </c>
      <c r="O6" s="1360">
        <v>2010</v>
      </c>
      <c r="P6" s="1360">
        <v>2011</v>
      </c>
      <c r="Q6" s="1360">
        <v>2012</v>
      </c>
      <c r="R6" s="1360">
        <v>2013</v>
      </c>
      <c r="S6" s="1360">
        <v>2014</v>
      </c>
      <c r="T6" s="1360">
        <v>2015</v>
      </c>
      <c r="U6" s="1360">
        <v>2016</v>
      </c>
      <c r="V6" s="1360">
        <v>2017</v>
      </c>
      <c r="W6" s="1360">
        <v>2018</v>
      </c>
      <c r="X6" s="1360">
        <v>2019</v>
      </c>
      <c r="Y6" s="1360">
        <v>2020</v>
      </c>
      <c r="Z6" s="1360">
        <v>2021</v>
      </c>
      <c r="AA6" s="1360">
        <v>2022</v>
      </c>
      <c r="AB6" s="1360">
        <v>2023</v>
      </c>
      <c r="AC6" s="1420">
        <v>2024</v>
      </c>
      <c r="AD6" s="1420">
        <v>2025</v>
      </c>
      <c r="AE6" s="1420">
        <v>2026</v>
      </c>
      <c r="AF6" s="1420">
        <v>2027</v>
      </c>
      <c r="AG6" s="1420">
        <v>2028</v>
      </c>
      <c r="AH6" s="1420">
        <v>2029</v>
      </c>
      <c r="AI6" s="1420">
        <v>2030</v>
      </c>
      <c r="AJ6" s="1420">
        <v>2031</v>
      </c>
      <c r="AK6" s="1420">
        <v>2032</v>
      </c>
      <c r="AL6" s="1420">
        <v>2033</v>
      </c>
    </row>
    <row r="7" spans="1:39" x14ac:dyDescent="0.3">
      <c r="A7" s="78"/>
      <c r="B7" s="126" t="str">
        <f>Expenditure_Detail!$B$6</f>
        <v>$m, 01/01/23</v>
      </c>
      <c r="C7" s="78"/>
      <c r="D7" s="78"/>
      <c r="E7" s="78"/>
      <c r="F7" s="460" t="s">
        <v>64</v>
      </c>
      <c r="G7" s="78"/>
      <c r="H7" s="78"/>
      <c r="I7" s="268"/>
      <c r="J7" s="490"/>
      <c r="K7" s="1319" t="str">
        <f t="shared" ref="K7:W7" si="0">+CONCATENATE(K6-1,"-",RIGHT(K6,2))</f>
        <v>2005-06</v>
      </c>
      <c r="L7" s="1319" t="str">
        <f t="shared" si="0"/>
        <v>2006-07</v>
      </c>
      <c r="M7" s="1319" t="str">
        <f t="shared" si="0"/>
        <v>2007-08</v>
      </c>
      <c r="N7" s="1319" t="str">
        <f t="shared" si="0"/>
        <v>2008-09</v>
      </c>
      <c r="O7" s="1319" t="str">
        <f t="shared" si="0"/>
        <v>2009-10</v>
      </c>
      <c r="P7" s="1319" t="str">
        <f t="shared" si="0"/>
        <v>2010-11</v>
      </c>
      <c r="Q7" s="1319" t="str">
        <f t="shared" si="0"/>
        <v>2011-12</v>
      </c>
      <c r="R7" s="1319" t="str">
        <f t="shared" si="0"/>
        <v>2012-13</v>
      </c>
      <c r="S7" s="1319" t="str">
        <f t="shared" si="0"/>
        <v>2013-14</v>
      </c>
      <c r="T7" s="1319" t="str">
        <f t="shared" si="0"/>
        <v>2014-15</v>
      </c>
      <c r="U7" s="1319" t="str">
        <f t="shared" si="0"/>
        <v>2015-16</v>
      </c>
      <c r="V7" s="1319" t="str">
        <f t="shared" si="0"/>
        <v>2016-17</v>
      </c>
      <c r="W7" s="1319" t="str">
        <f t="shared" si="0"/>
        <v>2017-18</v>
      </c>
      <c r="X7" s="1319" t="str">
        <f t="shared" ref="X7:AG7" si="1">+CONCATENATE(X6-1,"-",RIGHT(X6,2))</f>
        <v>2018-19</v>
      </c>
      <c r="Y7" s="1319" t="str">
        <f t="shared" si="1"/>
        <v>2019-20</v>
      </c>
      <c r="Z7" s="1319" t="str">
        <f t="shared" si="1"/>
        <v>2020-21</v>
      </c>
      <c r="AA7" s="1319" t="str">
        <f t="shared" si="1"/>
        <v>2021-22</v>
      </c>
      <c r="AB7" s="1319" t="str">
        <f t="shared" si="1"/>
        <v>2022-23</v>
      </c>
      <c r="AC7" s="1319" t="str">
        <f t="shared" si="1"/>
        <v>2023-24</v>
      </c>
      <c r="AD7" s="1319" t="str">
        <f t="shared" si="1"/>
        <v>2024-25</v>
      </c>
      <c r="AE7" s="1319" t="str">
        <f t="shared" si="1"/>
        <v>2025-26</v>
      </c>
      <c r="AF7" s="1319" t="str">
        <f t="shared" si="1"/>
        <v>2026-27</v>
      </c>
      <c r="AG7" s="1319" t="str">
        <f t="shared" si="1"/>
        <v>2027-28</v>
      </c>
      <c r="AH7" s="1319" t="str">
        <f>+CONCATENATE(AH6-1,"-",RIGHT(AH6,2))</f>
        <v>2028-29</v>
      </c>
      <c r="AI7" s="1319" t="str">
        <f>+CONCATENATE(AI6-1,"-",RIGHT(AI6,2))</f>
        <v>2029-30</v>
      </c>
      <c r="AJ7" s="1319" t="str">
        <f>+CONCATENATE(AJ6-1,"-",RIGHT(AJ6,2))</f>
        <v>2030-31</v>
      </c>
      <c r="AK7" s="1319" t="str">
        <f>+CONCATENATE(AK6-1,"-",RIGHT(AK6,2))</f>
        <v>2031-32</v>
      </c>
      <c r="AL7" s="1319" t="str">
        <f>+CONCATENATE(AL6-1,"-",RIGHT(AL6,2))</f>
        <v>2032-33</v>
      </c>
    </row>
    <row r="8" spans="1:39" ht="12.5" thickBot="1" x14ac:dyDescent="0.35">
      <c r="N8" s="491"/>
      <c r="O8" s="491"/>
      <c r="P8" s="491"/>
      <c r="Q8" s="491"/>
      <c r="R8" s="491"/>
      <c r="S8" s="491"/>
      <c r="T8" s="491"/>
      <c r="U8" s="491"/>
      <c r="V8" s="491"/>
      <c r="W8" s="491"/>
      <c r="X8" s="491"/>
      <c r="Y8" s="491"/>
      <c r="Z8" s="1666"/>
      <c r="AA8" s="1666"/>
      <c r="AB8" s="1666"/>
      <c r="AC8" s="1666"/>
      <c r="AD8" s="1666"/>
      <c r="AE8" s="1666"/>
      <c r="AF8" s="1666"/>
      <c r="AG8" s="1666"/>
      <c r="AH8" s="1666"/>
      <c r="AI8" s="1666"/>
      <c r="AJ8" s="1666"/>
      <c r="AK8" s="1666"/>
      <c r="AL8" s="1666"/>
    </row>
    <row r="9" spans="1:39" x14ac:dyDescent="0.3">
      <c r="C9" s="170"/>
      <c r="D9" s="171"/>
      <c r="E9" s="171"/>
      <c r="F9" s="171"/>
      <c r="G9" s="171"/>
      <c r="H9" s="171"/>
      <c r="I9" s="171"/>
      <c r="J9" s="23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2"/>
    </row>
    <row r="10" spans="1:39" x14ac:dyDescent="0.3">
      <c r="C10" s="173"/>
      <c r="D10" s="174" t="s">
        <v>241</v>
      </c>
      <c r="E10" s="72"/>
      <c r="F10" s="72"/>
      <c r="G10" s="72"/>
      <c r="H10" s="72"/>
      <c r="I10" s="72"/>
      <c r="J10" s="84"/>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175"/>
    </row>
    <row r="11" spans="1:39" x14ac:dyDescent="0.3">
      <c r="C11" s="173"/>
      <c r="D11" s="72"/>
      <c r="E11" s="72"/>
      <c r="F11" s="72"/>
      <c r="G11" s="72"/>
      <c r="H11" s="72"/>
      <c r="I11" s="72"/>
      <c r="J11" s="84"/>
      <c r="K11" s="72"/>
      <c r="L11" s="72"/>
      <c r="M11" s="72"/>
      <c r="N11" s="72"/>
      <c r="O11" s="72"/>
      <c r="P11" s="72"/>
      <c r="Q11" s="72"/>
      <c r="R11" s="72"/>
      <c r="S11" s="72"/>
      <c r="T11" s="72"/>
      <c r="U11" s="72"/>
      <c r="V11" s="72"/>
      <c r="W11" s="72"/>
      <c r="X11" s="72"/>
      <c r="Y11" s="72"/>
      <c r="Z11" s="72"/>
      <c r="AA11" s="72"/>
      <c r="AB11" s="72"/>
      <c r="AC11" s="72"/>
      <c r="AD11" s="72"/>
      <c r="AE11" s="72"/>
      <c r="AF11" s="72"/>
      <c r="AG11" s="72"/>
      <c r="AH11" s="72"/>
      <c r="AI11" s="72"/>
      <c r="AJ11" s="72"/>
      <c r="AK11" s="72"/>
      <c r="AL11" s="72"/>
      <c r="AM11" s="175"/>
    </row>
    <row r="12" spans="1:39" x14ac:dyDescent="0.3">
      <c r="C12" s="173"/>
      <c r="D12" s="72"/>
      <c r="E12" s="102" t="str">
        <f>+D26</f>
        <v>Additional expenses incurred to be carried forward</v>
      </c>
      <c r="F12" s="72"/>
      <c r="G12" s="72"/>
      <c r="H12" s="72"/>
      <c r="I12" s="462"/>
      <c r="J12" s="275"/>
      <c r="K12" s="315"/>
      <c r="L12" s="315"/>
      <c r="M12" s="315"/>
      <c r="N12" s="315"/>
      <c r="O12" s="315"/>
      <c r="P12" s="315"/>
      <c r="Q12" s="315"/>
      <c r="R12" s="315"/>
      <c r="S12" s="1527">
        <f t="shared" ref="S12:Y12" si="2">+SUMIF($D$26:$D$72,$E12,S26:S72)</f>
        <v>0</v>
      </c>
      <c r="T12" s="1527">
        <f t="shared" si="2"/>
        <v>0</v>
      </c>
      <c r="U12" s="1527">
        <f t="shared" si="2"/>
        <v>0</v>
      </c>
      <c r="V12" s="1527">
        <f t="shared" si="2"/>
        <v>0</v>
      </c>
      <c r="W12" s="1527">
        <f t="shared" si="2"/>
        <v>0</v>
      </c>
      <c r="X12" s="1527">
        <f t="shared" si="2"/>
        <v>0</v>
      </c>
      <c r="Y12" s="1527">
        <f t="shared" si="2"/>
        <v>0</v>
      </c>
      <c r="Z12" s="462"/>
      <c r="AA12" s="462"/>
      <c r="AB12" s="462"/>
      <c r="AC12" s="462"/>
      <c r="AD12" s="462"/>
      <c r="AE12" s="462"/>
      <c r="AF12" s="462"/>
      <c r="AG12" s="462"/>
      <c r="AH12" s="462"/>
      <c r="AI12" s="462"/>
      <c r="AJ12" s="462"/>
      <c r="AK12" s="462"/>
      <c r="AL12" s="462"/>
      <c r="AM12" s="175"/>
    </row>
    <row r="13" spans="1:39" x14ac:dyDescent="0.3">
      <c r="C13" s="173"/>
      <c r="D13" s="72"/>
      <c r="E13" s="72"/>
      <c r="F13" s="72"/>
      <c r="G13" s="72"/>
      <c r="H13" s="72"/>
      <c r="I13" s="462"/>
      <c r="J13" s="275"/>
      <c r="K13" s="462"/>
      <c r="L13" s="462"/>
      <c r="M13" s="462"/>
      <c r="N13" s="462"/>
      <c r="O13" s="462"/>
      <c r="P13" s="462"/>
      <c r="Q13" s="462"/>
      <c r="R13" s="462"/>
      <c r="S13" s="462"/>
      <c r="T13" s="462"/>
      <c r="U13" s="462"/>
      <c r="V13" s="462"/>
      <c r="W13" s="275"/>
      <c r="X13" s="275"/>
      <c r="Y13" s="462"/>
      <c r="Z13" s="462"/>
      <c r="AA13" s="462"/>
      <c r="AB13" s="462"/>
      <c r="AC13" s="462"/>
      <c r="AD13" s="462"/>
      <c r="AE13" s="462"/>
      <c r="AF13" s="462"/>
      <c r="AG13" s="462"/>
      <c r="AH13" s="462"/>
      <c r="AI13" s="462"/>
      <c r="AJ13" s="462"/>
      <c r="AK13" s="462"/>
      <c r="AL13" s="462"/>
      <c r="AM13" s="175"/>
    </row>
    <row r="14" spans="1:39" x14ac:dyDescent="0.3">
      <c r="C14" s="173"/>
      <c r="D14" s="72"/>
      <c r="E14" s="102" t="str">
        <f>+D29</f>
        <v>Allocation of carried forward expenses (NPV of cash flows should equate to net present cost to recover)</v>
      </c>
      <c r="F14" s="72"/>
      <c r="G14" s="72"/>
      <c r="H14" s="72"/>
      <c r="I14" s="462"/>
      <c r="J14" s="275"/>
      <c r="K14" s="462"/>
      <c r="L14" s="462"/>
      <c r="M14" s="462"/>
      <c r="N14" s="462"/>
      <c r="O14" s="462"/>
      <c r="P14" s="462"/>
      <c r="Q14" s="462"/>
      <c r="R14" s="462"/>
      <c r="S14" s="462"/>
      <c r="T14" s="462"/>
      <c r="U14" s="462"/>
      <c r="V14" s="462"/>
      <c r="W14" s="275"/>
      <c r="X14" s="275"/>
      <c r="Y14" s="275"/>
      <c r="Z14" s="1527">
        <f>+SUMIF($D$26:$D$72,$E14,Z26:Z72)</f>
        <v>0</v>
      </c>
      <c r="AA14" s="1527">
        <f>+SUMIF($D$26:$D$72,$E14,AA26:AA72)</f>
        <v>0</v>
      </c>
      <c r="AB14" s="1527">
        <f t="shared" ref="AB14:AG14" si="3">+SUMIF($D$26:$D$72,$E14,AB26:AB72)</f>
        <v>0</v>
      </c>
      <c r="AC14" s="1527">
        <f t="shared" si="3"/>
        <v>0</v>
      </c>
      <c r="AD14" s="1527">
        <f t="shared" si="3"/>
        <v>0</v>
      </c>
      <c r="AE14" s="1527">
        <f t="shared" si="3"/>
        <v>0</v>
      </c>
      <c r="AF14" s="1527">
        <f t="shared" si="3"/>
        <v>0</v>
      </c>
      <c r="AG14" s="1527">
        <f t="shared" si="3"/>
        <v>0</v>
      </c>
      <c r="AH14" s="1527">
        <f>+SUMIF($D$26:$D$72,$E14,AH26:AH72)</f>
        <v>0</v>
      </c>
      <c r="AI14" s="1527">
        <f>+SUMIF($D$26:$D$72,$E14,AI26:AI72)</f>
        <v>0</v>
      </c>
      <c r="AJ14" s="1527">
        <f>+SUMIF($D$26:$D$72,$E14,AJ26:AJ72)</f>
        <v>0</v>
      </c>
      <c r="AK14" s="1527">
        <f>+SUMIF($D$26:$D$72,$E14,AK26:AK72)</f>
        <v>0</v>
      </c>
      <c r="AL14" s="1527">
        <f>+SUMIF($D$26:$D$72,$E14,AL26:AL72)</f>
        <v>0</v>
      </c>
      <c r="AM14" s="175"/>
    </row>
    <row r="15" spans="1:39" ht="12.5" thickBot="1" x14ac:dyDescent="0.35">
      <c r="C15" s="179"/>
      <c r="D15" s="180"/>
      <c r="E15" s="180"/>
      <c r="F15" s="180"/>
      <c r="G15" s="180"/>
      <c r="H15" s="180"/>
      <c r="I15" s="419"/>
      <c r="J15" s="293"/>
      <c r="K15" s="419"/>
      <c r="L15" s="419"/>
      <c r="M15" s="419"/>
      <c r="N15" s="419"/>
      <c r="O15" s="419"/>
      <c r="P15" s="419"/>
      <c r="Q15" s="419"/>
      <c r="R15" s="419"/>
      <c r="S15" s="419"/>
      <c r="T15" s="419"/>
      <c r="U15" s="419"/>
      <c r="V15" s="419"/>
      <c r="W15" s="419"/>
      <c r="X15" s="293"/>
      <c r="Y15" s="293"/>
      <c r="Z15" s="293"/>
      <c r="AA15" s="293"/>
      <c r="AB15" s="293"/>
      <c r="AC15" s="293"/>
      <c r="AD15" s="293"/>
      <c r="AE15" s="293"/>
      <c r="AF15" s="293"/>
      <c r="AG15" s="293"/>
      <c r="AH15" s="293"/>
      <c r="AI15" s="293"/>
      <c r="AJ15" s="293"/>
      <c r="AK15" s="293"/>
      <c r="AL15" s="293"/>
      <c r="AM15" s="182"/>
    </row>
    <row r="16" spans="1:39" x14ac:dyDescent="0.3">
      <c r="C16" s="77"/>
      <c r="I16" s="294"/>
      <c r="J16" s="423"/>
      <c r="K16" s="294"/>
      <c r="L16" s="294"/>
      <c r="M16" s="294"/>
      <c r="S16" s="492"/>
      <c r="T16" s="492"/>
      <c r="U16" s="492"/>
      <c r="V16" s="492"/>
      <c r="W16" s="492"/>
      <c r="X16" s="423"/>
      <c r="Y16" s="423"/>
      <c r="Z16" s="423"/>
      <c r="AA16" s="423"/>
      <c r="AB16" s="493"/>
      <c r="AC16" s="493"/>
      <c r="AD16" s="493"/>
      <c r="AE16" s="493"/>
      <c r="AF16" s="493"/>
      <c r="AG16" s="493"/>
      <c r="AH16" s="493"/>
      <c r="AI16" s="493"/>
      <c r="AJ16" s="493"/>
      <c r="AK16" s="493"/>
      <c r="AL16" s="493"/>
    </row>
    <row r="17" spans="2:42" x14ac:dyDescent="0.3">
      <c r="I17" s="494"/>
      <c r="J17" s="463"/>
      <c r="K17" s="495"/>
      <c r="L17" s="495"/>
      <c r="M17" s="495"/>
      <c r="S17" s="495"/>
      <c r="T17" s="495"/>
      <c r="U17" s="495"/>
      <c r="V17" s="495"/>
      <c r="W17" s="495"/>
      <c r="X17" s="77"/>
      <c r="Y17" s="463"/>
      <c r="Z17" s="463"/>
      <c r="AA17" s="463"/>
      <c r="AB17" s="463"/>
      <c r="AC17" s="463"/>
      <c r="AD17" s="463"/>
      <c r="AE17" s="463"/>
      <c r="AF17" s="463"/>
      <c r="AG17" s="463"/>
      <c r="AH17" s="463"/>
      <c r="AI17" s="463"/>
      <c r="AJ17" s="463"/>
      <c r="AK17" s="463"/>
      <c r="AL17" s="463"/>
      <c r="AM17" s="126"/>
    </row>
    <row r="18" spans="2:42" x14ac:dyDescent="0.3">
      <c r="C18" s="464"/>
      <c r="I18" s="125"/>
      <c r="J18" s="465"/>
      <c r="K18" s="302"/>
      <c r="L18" s="496"/>
      <c r="M18" s="302"/>
      <c r="S18" s="302"/>
      <c r="T18" s="302"/>
      <c r="U18" s="302"/>
      <c r="V18" s="302"/>
      <c r="W18" s="302"/>
      <c r="X18" s="302"/>
      <c r="Y18" s="302"/>
      <c r="Z18" s="302"/>
      <c r="AA18" s="302"/>
      <c r="AB18" s="302"/>
      <c r="AC18" s="302"/>
      <c r="AD18" s="302"/>
      <c r="AE18" s="302"/>
      <c r="AF18" s="302"/>
      <c r="AG18" s="302"/>
      <c r="AH18" s="302"/>
      <c r="AI18" s="302"/>
      <c r="AJ18" s="302"/>
      <c r="AK18" s="302"/>
      <c r="AL18" s="302"/>
      <c r="AM18" s="126"/>
    </row>
    <row r="19" spans="2:42" x14ac:dyDescent="0.3">
      <c r="I19" s="125"/>
      <c r="J19" s="465"/>
      <c r="K19" s="302"/>
      <c r="L19" s="302"/>
      <c r="M19" s="302"/>
      <c r="S19" s="302"/>
      <c r="T19" s="302"/>
      <c r="U19" s="302"/>
      <c r="V19" s="302"/>
      <c r="W19" s="302"/>
      <c r="X19" s="302"/>
      <c r="Y19" s="302"/>
      <c r="Z19" s="302"/>
      <c r="AA19" s="302"/>
      <c r="AB19" s="302"/>
      <c r="AC19" s="302"/>
      <c r="AD19" s="302"/>
      <c r="AE19" s="302"/>
      <c r="AF19" s="302"/>
      <c r="AG19" s="302"/>
      <c r="AH19" s="302"/>
      <c r="AI19" s="302"/>
      <c r="AJ19" s="302"/>
      <c r="AK19" s="302"/>
      <c r="AL19" s="302"/>
      <c r="AM19" s="126"/>
    </row>
    <row r="20" spans="2:42" x14ac:dyDescent="0.3">
      <c r="B20" s="296" t="s">
        <v>242</v>
      </c>
      <c r="G20" s="1536" t="s">
        <v>866</v>
      </c>
      <c r="H20" s="1525"/>
      <c r="I20" s="1525"/>
      <c r="J20" s="1525"/>
      <c r="K20" s="1535"/>
      <c r="L20" s="1535"/>
      <c r="M20" s="1535"/>
      <c r="N20" s="1525"/>
      <c r="O20" s="1525"/>
      <c r="P20" s="1525"/>
      <c r="Q20" s="1525"/>
      <c r="R20" s="1525"/>
      <c r="S20" s="1535"/>
      <c r="T20" s="1525"/>
      <c r="U20" s="1525"/>
      <c r="V20" s="1525"/>
      <c r="W20" s="1525"/>
      <c r="X20" s="302"/>
      <c r="Y20" s="302"/>
      <c r="Z20" s="302"/>
      <c r="AA20" s="302"/>
      <c r="AB20" s="302"/>
      <c r="AC20" s="302"/>
      <c r="AD20" s="302"/>
      <c r="AE20" s="302"/>
      <c r="AF20" s="302"/>
      <c r="AG20" s="302"/>
      <c r="AH20" s="302"/>
      <c r="AI20" s="302"/>
      <c r="AJ20" s="302"/>
      <c r="AK20" s="302"/>
      <c r="AL20" s="302"/>
      <c r="AM20" s="126"/>
    </row>
    <row r="21" spans="2:42" x14ac:dyDescent="0.3">
      <c r="V21" s="302"/>
      <c r="W21" s="302"/>
      <c r="X21" s="302"/>
      <c r="Y21" s="302"/>
      <c r="Z21" s="302"/>
      <c r="AA21" s="302"/>
      <c r="AB21" s="302"/>
      <c r="AC21" s="302"/>
      <c r="AD21" s="302"/>
      <c r="AE21" s="302"/>
      <c r="AF21" s="302"/>
      <c r="AG21" s="302"/>
      <c r="AH21" s="302"/>
      <c r="AI21" s="302"/>
      <c r="AJ21" s="302"/>
      <c r="AK21" s="302"/>
      <c r="AL21" s="302"/>
      <c r="AM21" s="126"/>
    </row>
    <row r="22" spans="2:42" x14ac:dyDescent="0.3">
      <c r="B22" s="126"/>
      <c r="C22" s="497"/>
      <c r="D22" s="102"/>
      <c r="E22" s="102"/>
      <c r="F22" s="102"/>
      <c r="G22" s="102"/>
      <c r="H22" s="126"/>
      <c r="I22" s="126"/>
      <c r="K22" s="126"/>
      <c r="L22" s="126"/>
      <c r="M22" s="126"/>
      <c r="N22" s="126"/>
      <c r="O22" s="126"/>
      <c r="P22" s="126"/>
      <c r="Q22" s="126"/>
      <c r="R22" s="126"/>
      <c r="S22" s="126"/>
      <c r="T22" s="126"/>
      <c r="U22" s="126"/>
      <c r="V22" s="302"/>
      <c r="W22" s="302"/>
      <c r="X22" s="302"/>
      <c r="Y22" s="302"/>
      <c r="Z22" s="302"/>
      <c r="AA22" s="302"/>
      <c r="AB22" s="302"/>
      <c r="AC22" s="302"/>
      <c r="AD22" s="302"/>
      <c r="AE22" s="302"/>
      <c r="AF22" s="302"/>
      <c r="AG22" s="302"/>
      <c r="AH22" s="302"/>
      <c r="AI22" s="302"/>
      <c r="AJ22" s="302"/>
      <c r="AK22" s="302"/>
      <c r="AL22" s="302"/>
    </row>
    <row r="23" spans="2:42" x14ac:dyDescent="0.3">
      <c r="B23" s="126"/>
      <c r="C23" s="2370"/>
      <c r="D23" s="2371"/>
      <c r="E23" s="2371"/>
      <c r="F23" s="2371"/>
      <c r="G23" s="2371"/>
      <c r="H23" s="2372"/>
      <c r="I23" s="509" t="s">
        <v>28</v>
      </c>
      <c r="J23" s="498"/>
      <c r="K23" s="499"/>
      <c r="L23" s="499"/>
      <c r="M23" s="499"/>
      <c r="N23" s="499"/>
      <c r="O23" s="499"/>
      <c r="P23" s="499"/>
      <c r="Q23" s="499"/>
      <c r="R23" s="499"/>
      <c r="S23" s="499"/>
      <c r="T23" s="499"/>
      <c r="U23" s="499"/>
      <c r="V23" s="499"/>
      <c r="W23" s="499"/>
      <c r="X23" s="499"/>
      <c r="Y23" s="499"/>
      <c r="Z23" s="499"/>
      <c r="AA23" s="499"/>
      <c r="AB23" s="499"/>
      <c r="AC23" s="499"/>
      <c r="AD23" s="499"/>
      <c r="AE23" s="499"/>
      <c r="AF23" s="499"/>
      <c r="AG23" s="499"/>
      <c r="AH23" s="499"/>
      <c r="AI23" s="499"/>
      <c r="AJ23" s="499"/>
      <c r="AK23" s="499"/>
      <c r="AL23" s="499"/>
      <c r="AM23" s="500"/>
    </row>
    <row r="24" spans="2:42" x14ac:dyDescent="0.3">
      <c r="B24" s="126"/>
      <c r="C24" s="501"/>
      <c r="D24" s="502"/>
      <c r="E24" s="502"/>
      <c r="F24" s="502"/>
      <c r="G24" s="502"/>
      <c r="H24" s="102"/>
      <c r="I24" s="414"/>
      <c r="J24" s="118"/>
      <c r="K24" s="72"/>
      <c r="L24" s="72"/>
      <c r="M24" s="72"/>
      <c r="N24" s="72"/>
      <c r="O24" s="72"/>
      <c r="P24" s="72"/>
      <c r="Q24" s="72"/>
      <c r="R24" s="72"/>
      <c r="S24" s="503"/>
      <c r="T24" s="503"/>
      <c r="U24" s="503"/>
      <c r="V24" s="503"/>
      <c r="W24" s="503"/>
      <c r="X24" s="72"/>
      <c r="Y24" s="72"/>
      <c r="Z24" s="414"/>
      <c r="AA24" s="414"/>
      <c r="AB24" s="414"/>
      <c r="AC24" s="414"/>
      <c r="AD24" s="414"/>
      <c r="AE24" s="414"/>
      <c r="AF24" s="414"/>
      <c r="AG24" s="414"/>
      <c r="AH24" s="414"/>
      <c r="AI24" s="414"/>
      <c r="AJ24" s="414"/>
      <c r="AK24" s="414"/>
      <c r="AL24" s="414"/>
      <c r="AM24" s="504"/>
    </row>
    <row r="25" spans="2:42" x14ac:dyDescent="0.3">
      <c r="B25" s="126"/>
      <c r="C25" s="501"/>
      <c r="D25" s="502"/>
      <c r="E25" s="502"/>
      <c r="F25" s="502"/>
      <c r="G25" s="502"/>
      <c r="H25" s="102"/>
      <c r="I25" s="414"/>
      <c r="J25" s="118"/>
      <c r="K25" s="72"/>
      <c r="L25" s="72"/>
      <c r="M25" s="72"/>
      <c r="N25" s="72"/>
      <c r="O25" s="72"/>
      <c r="P25" s="72"/>
      <c r="Q25" s="72"/>
      <c r="R25" s="72"/>
      <c r="V25" s="503"/>
      <c r="W25" s="503"/>
      <c r="X25" s="72"/>
      <c r="Y25" s="72"/>
      <c r="Z25" s="414"/>
      <c r="AA25" s="414"/>
      <c r="AB25" s="414"/>
      <c r="AC25" s="414"/>
      <c r="AD25" s="414"/>
      <c r="AE25" s="414"/>
      <c r="AF25" s="414"/>
      <c r="AG25" s="414"/>
      <c r="AH25" s="414"/>
      <c r="AI25" s="414"/>
      <c r="AJ25" s="414"/>
      <c r="AK25" s="414"/>
      <c r="AL25" s="414"/>
      <c r="AM25" s="504"/>
    </row>
    <row r="26" spans="2:42" x14ac:dyDescent="0.3">
      <c r="B26" s="126"/>
      <c r="C26" s="501"/>
      <c r="D26" s="502" t="s">
        <v>243</v>
      </c>
      <c r="E26" s="502"/>
      <c r="F26" s="502"/>
      <c r="G26" s="502"/>
      <c r="H26" s="102"/>
      <c r="I26" s="414"/>
      <c r="J26" s="118"/>
      <c r="K26" s="72"/>
      <c r="L26" s="72"/>
      <c r="M26" s="72"/>
      <c r="N26" s="72"/>
      <c r="O26" s="72"/>
      <c r="P26" s="72"/>
      <c r="Q26" s="72"/>
      <c r="R26" s="72"/>
      <c r="S26" s="503"/>
      <c r="T26" s="503"/>
      <c r="U26" s="503"/>
      <c r="V26" s="503"/>
      <c r="W26" s="503"/>
      <c r="X26" s="484"/>
      <c r="Y26" s="485"/>
      <c r="Z26" s="485"/>
      <c r="AA26" s="485"/>
      <c r="AB26" s="486"/>
      <c r="AC26" s="1667">
        <f>(X26*(1+RRR)^4.5)+(Y26*(1+RRR)^3.5)+(Z26*(1+RRR)^2.5)+(AA26*(1+RRR)^1.5)+(AB26*(1+RRR)^0.5)</f>
        <v>0</v>
      </c>
      <c r="AD26" s="505" t="s">
        <v>268</v>
      </c>
      <c r="AE26" s="414"/>
      <c r="AF26" s="414"/>
      <c r="AG26" s="414"/>
      <c r="AH26" s="414"/>
      <c r="AI26" s="414"/>
      <c r="AJ26" s="414"/>
      <c r="AK26" s="414"/>
      <c r="AL26" s="414"/>
      <c r="AM26" s="504"/>
    </row>
    <row r="27" spans="2:42" x14ac:dyDescent="0.3">
      <c r="B27" s="126"/>
      <c r="C27" s="501"/>
      <c r="D27" s="502"/>
      <c r="E27" s="502"/>
      <c r="F27" s="502"/>
      <c r="G27" s="502"/>
      <c r="H27" s="102"/>
      <c r="I27" s="414"/>
      <c r="J27" s="118"/>
      <c r="K27" s="414"/>
      <c r="L27" s="414"/>
      <c r="M27" s="414"/>
      <c r="N27" s="414"/>
      <c r="O27" s="414"/>
      <c r="P27" s="414"/>
      <c r="Q27" s="414"/>
      <c r="R27" s="414"/>
      <c r="S27" s="414"/>
      <c r="T27" s="414"/>
      <c r="U27" s="414"/>
      <c r="V27" s="414"/>
      <c r="W27" s="414"/>
      <c r="Z27" s="72"/>
      <c r="AA27" s="72"/>
      <c r="AB27" s="72"/>
      <c r="AC27" s="72"/>
      <c r="AD27" s="414"/>
      <c r="AE27" s="414"/>
      <c r="AF27" s="414"/>
      <c r="AG27" s="414"/>
      <c r="AH27" s="72"/>
      <c r="AI27" s="414"/>
      <c r="AJ27" s="414"/>
      <c r="AK27" s="414"/>
      <c r="AL27" s="414"/>
      <c r="AM27" s="504"/>
    </row>
    <row r="28" spans="2:42" x14ac:dyDescent="0.3">
      <c r="B28" s="126"/>
      <c r="C28" s="501"/>
      <c r="D28" s="502"/>
      <c r="E28" s="502"/>
      <c r="F28" s="502"/>
      <c r="G28" s="502"/>
      <c r="H28" s="102"/>
      <c r="I28" s="414"/>
      <c r="J28" s="118"/>
      <c r="K28" s="414"/>
      <c r="L28" s="414"/>
      <c r="M28" s="414"/>
      <c r="N28" s="414"/>
      <c r="O28" s="414"/>
      <c r="P28" s="414"/>
      <c r="Q28" s="414"/>
      <c r="R28" s="414"/>
      <c r="S28" s="414"/>
      <c r="T28" s="414"/>
      <c r="U28" s="414"/>
      <c r="V28" s="414"/>
      <c r="W28" s="414"/>
      <c r="AB28" s="72"/>
      <c r="AC28" s="1667">
        <f>+NPV(RRR,AC29:AL29)*(1+RRR)^0.5</f>
        <v>0</v>
      </c>
      <c r="AD28" s="506" t="s">
        <v>268</v>
      </c>
      <c r="AE28" s="414"/>
      <c r="AF28" s="414"/>
      <c r="AG28" s="414"/>
      <c r="AH28" s="72"/>
      <c r="AI28" s="414"/>
      <c r="AJ28" s="414"/>
      <c r="AK28" s="414"/>
      <c r="AL28" s="414"/>
      <c r="AM28" s="504"/>
    </row>
    <row r="29" spans="2:42" x14ac:dyDescent="0.3">
      <c r="B29" s="126"/>
      <c r="C29" s="501"/>
      <c r="D29" s="502" t="s">
        <v>267</v>
      </c>
      <c r="E29" s="502"/>
      <c r="F29" s="502"/>
      <c r="G29" s="502"/>
      <c r="H29" s="102"/>
      <c r="I29" s="414"/>
      <c r="J29" s="118"/>
      <c r="K29" s="414"/>
      <c r="L29" s="414"/>
      <c r="M29" s="507"/>
      <c r="N29" s="507"/>
      <c r="O29" s="507"/>
      <c r="P29" s="507"/>
      <c r="Q29" s="507"/>
      <c r="R29" s="507"/>
      <c r="S29" s="414"/>
      <c r="T29" s="414"/>
      <c r="U29" s="414"/>
      <c r="AB29" s="72"/>
      <c r="AC29" s="1668"/>
      <c r="AD29" s="1669"/>
      <c r="AE29" s="1669"/>
      <c r="AF29" s="1669"/>
      <c r="AG29" s="1670"/>
      <c r="AH29" s="1669"/>
      <c r="AI29" s="1669"/>
      <c r="AJ29" s="1669"/>
      <c r="AK29" s="1669"/>
      <c r="AL29" s="1670"/>
      <c r="AM29" s="504"/>
    </row>
    <row r="30" spans="2:42" x14ac:dyDescent="0.3">
      <c r="C30" s="86"/>
      <c r="D30" s="72"/>
      <c r="E30" s="72"/>
      <c r="F30" s="72"/>
      <c r="G30" s="72"/>
      <c r="H30" s="72"/>
      <c r="I30" s="72"/>
      <c r="J30" s="84"/>
      <c r="K30" s="72"/>
      <c r="L30" s="72"/>
      <c r="M30" s="72"/>
      <c r="N30" s="72"/>
      <c r="O30" s="72"/>
      <c r="P30" s="72"/>
      <c r="Q30" s="72"/>
      <c r="R30" s="72"/>
      <c r="S30" s="72"/>
      <c r="T30" s="72"/>
      <c r="U30" s="72"/>
      <c r="V30" s="72"/>
      <c r="W30" s="72"/>
      <c r="AB30" s="72"/>
      <c r="AC30" s="72"/>
      <c r="AD30" s="72"/>
      <c r="AE30" s="72"/>
      <c r="AF30" s="72"/>
      <c r="AG30" s="72"/>
      <c r="AH30" s="72"/>
      <c r="AI30" s="72"/>
      <c r="AJ30" s="72"/>
      <c r="AK30" s="72"/>
      <c r="AL30" s="72"/>
      <c r="AM30" s="85"/>
    </row>
    <row r="31" spans="2:42" x14ac:dyDescent="0.3">
      <c r="C31" s="92"/>
      <c r="D31" s="78"/>
      <c r="E31" s="78"/>
      <c r="F31" s="78"/>
      <c r="G31" s="78"/>
      <c r="H31" s="78"/>
      <c r="I31" s="78"/>
      <c r="J31" s="323"/>
      <c r="K31" s="78"/>
      <c r="L31" s="78"/>
      <c r="M31" s="78"/>
      <c r="N31" s="78"/>
      <c r="O31" s="78"/>
      <c r="P31" s="78"/>
      <c r="Q31" s="78"/>
      <c r="R31" s="78"/>
      <c r="S31" s="78"/>
      <c r="T31" s="78"/>
      <c r="U31" s="78"/>
      <c r="V31" s="78"/>
      <c r="W31" s="78"/>
      <c r="X31" s="1671"/>
      <c r="Y31" s="1672"/>
      <c r="Z31" s="78"/>
      <c r="AA31" s="78"/>
      <c r="AB31" s="78"/>
      <c r="AC31" s="1673" t="str">
        <f>IFERROR(((AC28-AC26)/AC26),"")</f>
        <v/>
      </c>
      <c r="AD31" s="1674" t="str">
        <f>IF(AC31="","","Difference")</f>
        <v/>
      </c>
      <c r="AE31" s="78"/>
      <c r="AF31" s="78"/>
      <c r="AG31" s="78"/>
      <c r="AH31" s="78"/>
      <c r="AI31" s="78"/>
      <c r="AJ31" s="78"/>
      <c r="AK31" s="78"/>
      <c r="AL31" s="78"/>
      <c r="AM31" s="94"/>
      <c r="AN31" s="125"/>
      <c r="AO31" s="125"/>
      <c r="AP31" s="125"/>
    </row>
    <row r="32" spans="2:42" x14ac:dyDescent="0.3">
      <c r="X32" s="508"/>
      <c r="Y32" s="123"/>
      <c r="AN32" s="125"/>
      <c r="AO32" s="125"/>
      <c r="AP32" s="125"/>
    </row>
    <row r="33" spans="2:42" x14ac:dyDescent="0.3">
      <c r="B33" s="126"/>
      <c r="C33" s="2370"/>
      <c r="D33" s="2371"/>
      <c r="E33" s="2371"/>
      <c r="F33" s="2371"/>
      <c r="G33" s="2371"/>
      <c r="H33" s="2372"/>
      <c r="I33" s="509" t="s">
        <v>28</v>
      </c>
      <c r="J33" s="498"/>
      <c r="K33" s="499"/>
      <c r="L33" s="499"/>
      <c r="M33" s="499"/>
      <c r="N33" s="499"/>
      <c r="O33" s="499"/>
      <c r="P33" s="499"/>
      <c r="Q33" s="499"/>
      <c r="R33" s="499"/>
      <c r="S33" s="499"/>
      <c r="T33" s="499"/>
      <c r="U33" s="499"/>
      <c r="V33" s="499"/>
      <c r="W33" s="499"/>
      <c r="X33" s="499"/>
      <c r="Y33" s="499"/>
      <c r="Z33" s="499"/>
      <c r="AA33" s="499"/>
      <c r="AB33" s="499"/>
      <c r="AC33" s="499"/>
      <c r="AD33" s="499"/>
      <c r="AE33" s="499"/>
      <c r="AF33" s="499"/>
      <c r="AG33" s="499"/>
      <c r="AH33" s="499"/>
      <c r="AI33" s="499"/>
      <c r="AJ33" s="499"/>
      <c r="AK33" s="499"/>
      <c r="AL33" s="499"/>
      <c r="AM33" s="500"/>
    </row>
    <row r="34" spans="2:42" x14ac:dyDescent="0.3">
      <c r="B34" s="126"/>
      <c r="C34" s="501"/>
      <c r="D34" s="502"/>
      <c r="E34" s="502"/>
      <c r="F34" s="502"/>
      <c r="G34" s="502"/>
      <c r="H34" s="102"/>
      <c r="I34" s="414"/>
      <c r="J34" s="118"/>
      <c r="K34" s="72"/>
      <c r="L34" s="72"/>
      <c r="M34" s="72"/>
      <c r="N34" s="72"/>
      <c r="O34" s="72"/>
      <c r="P34" s="72"/>
      <c r="Q34" s="72"/>
      <c r="R34" s="72"/>
      <c r="S34" s="503"/>
      <c r="T34" s="503"/>
      <c r="U34" s="503"/>
      <c r="V34" s="503"/>
      <c r="W34" s="503"/>
      <c r="X34" s="72"/>
      <c r="Y34" s="72"/>
      <c r="Z34" s="414"/>
      <c r="AA34" s="414"/>
      <c r="AB34" s="414"/>
      <c r="AC34" s="414"/>
      <c r="AD34" s="414"/>
      <c r="AE34" s="414"/>
      <c r="AF34" s="414"/>
      <c r="AG34" s="414"/>
      <c r="AH34" s="414"/>
      <c r="AI34" s="414"/>
      <c r="AJ34" s="414"/>
      <c r="AK34" s="414"/>
      <c r="AL34" s="414"/>
      <c r="AM34" s="504"/>
    </row>
    <row r="35" spans="2:42" x14ac:dyDescent="0.3">
      <c r="B35" s="126"/>
      <c r="C35" s="501"/>
      <c r="D35" s="502"/>
      <c r="E35" s="502"/>
      <c r="F35" s="502"/>
      <c r="G35" s="502"/>
      <c r="H35" s="102"/>
      <c r="I35" s="414"/>
      <c r="J35" s="118"/>
      <c r="K35" s="72"/>
      <c r="L35" s="72"/>
      <c r="M35" s="72"/>
      <c r="N35" s="72"/>
      <c r="O35" s="72"/>
      <c r="P35" s="72"/>
      <c r="Q35" s="72"/>
      <c r="R35" s="72"/>
      <c r="S35" s="503"/>
      <c r="T35" s="503"/>
      <c r="U35" s="503"/>
      <c r="V35" s="503"/>
      <c r="W35" s="503"/>
      <c r="X35" s="72"/>
      <c r="Y35" s="72"/>
      <c r="Z35" s="414"/>
      <c r="AA35" s="414"/>
      <c r="AB35" s="414"/>
      <c r="AC35" s="414"/>
      <c r="AD35" s="414"/>
      <c r="AE35" s="414"/>
      <c r="AF35" s="414"/>
      <c r="AG35" s="414"/>
      <c r="AH35" s="414"/>
      <c r="AI35" s="414"/>
      <c r="AJ35" s="414"/>
      <c r="AK35" s="414"/>
      <c r="AL35" s="414"/>
      <c r="AM35" s="504"/>
    </row>
    <row r="36" spans="2:42" x14ac:dyDescent="0.3">
      <c r="B36" s="126"/>
      <c r="C36" s="501"/>
      <c r="D36" s="502" t="s">
        <v>243</v>
      </c>
      <c r="E36" s="502"/>
      <c r="F36" s="502"/>
      <c r="G36" s="502"/>
      <c r="H36" s="102"/>
      <c r="I36" s="414"/>
      <c r="J36" s="118"/>
      <c r="K36" s="72"/>
      <c r="L36" s="72"/>
      <c r="M36" s="72"/>
      <c r="N36" s="72"/>
      <c r="O36" s="72"/>
      <c r="P36" s="72"/>
      <c r="Q36" s="72"/>
      <c r="R36" s="72"/>
      <c r="S36" s="503"/>
      <c r="T36" s="503"/>
      <c r="U36" s="503"/>
      <c r="V36" s="503"/>
      <c r="W36" s="503"/>
      <c r="X36" s="484"/>
      <c r="Y36" s="485"/>
      <c r="Z36" s="485"/>
      <c r="AA36" s="485"/>
      <c r="AB36" s="486"/>
      <c r="AC36" s="1667">
        <f>(X36*(1+RRR)^4.5)+(Y36*(1+RRR)^3.5)+(Z36*(1+RRR)^2.5)+(AA36*(1+RRR)^1.5)+(AB36*(1+RRR)^0.5)</f>
        <v>0</v>
      </c>
      <c r="AD36" s="505" t="s">
        <v>268</v>
      </c>
      <c r="AE36" s="414"/>
      <c r="AF36" s="414"/>
      <c r="AG36" s="414"/>
      <c r="AH36" s="414"/>
      <c r="AI36" s="414"/>
      <c r="AJ36" s="414"/>
      <c r="AK36" s="414"/>
      <c r="AL36" s="414"/>
      <c r="AM36" s="504"/>
    </row>
    <row r="37" spans="2:42" x14ac:dyDescent="0.3">
      <c r="B37" s="126"/>
      <c r="C37" s="501"/>
      <c r="D37" s="502"/>
      <c r="E37" s="502"/>
      <c r="F37" s="502"/>
      <c r="G37" s="502"/>
      <c r="H37" s="102"/>
      <c r="I37" s="414"/>
      <c r="J37" s="118"/>
      <c r="K37" s="414"/>
      <c r="L37" s="414"/>
      <c r="M37" s="414"/>
      <c r="N37" s="414"/>
      <c r="O37" s="414"/>
      <c r="P37" s="414"/>
      <c r="Q37" s="414"/>
      <c r="R37" s="414"/>
      <c r="S37" s="414"/>
      <c r="T37" s="414"/>
      <c r="U37" s="414"/>
      <c r="V37" s="414"/>
      <c r="W37" s="414"/>
      <c r="Z37" s="72"/>
      <c r="AA37" s="72"/>
      <c r="AB37" s="72"/>
      <c r="AC37" s="72"/>
      <c r="AD37" s="414"/>
      <c r="AE37" s="414"/>
      <c r="AF37" s="414"/>
      <c r="AG37" s="414"/>
      <c r="AH37" s="72"/>
      <c r="AI37" s="414"/>
      <c r="AJ37" s="414"/>
      <c r="AK37" s="414"/>
      <c r="AL37" s="414"/>
      <c r="AM37" s="504"/>
    </row>
    <row r="38" spans="2:42" x14ac:dyDescent="0.3">
      <c r="B38" s="126"/>
      <c r="C38" s="501"/>
      <c r="D38" s="502"/>
      <c r="E38" s="502"/>
      <c r="F38" s="502"/>
      <c r="G38" s="502"/>
      <c r="H38" s="102"/>
      <c r="I38" s="414"/>
      <c r="J38" s="118"/>
      <c r="K38" s="414"/>
      <c r="L38" s="414"/>
      <c r="M38" s="414"/>
      <c r="N38" s="414"/>
      <c r="O38" s="414"/>
      <c r="P38" s="414"/>
      <c r="Q38" s="414"/>
      <c r="R38" s="414"/>
      <c r="S38" s="414"/>
      <c r="T38" s="414"/>
      <c r="U38" s="414"/>
      <c r="V38" s="414"/>
      <c r="W38" s="414"/>
      <c r="AB38" s="72"/>
      <c r="AC38" s="1667">
        <f>+NPV(RRR,AC39:AL39)*(1+RRR)^0.5</f>
        <v>0</v>
      </c>
      <c r="AD38" s="506" t="s">
        <v>268</v>
      </c>
      <c r="AE38" s="414"/>
      <c r="AF38" s="414"/>
      <c r="AG38" s="414"/>
      <c r="AH38" s="72"/>
      <c r="AI38" s="414"/>
      <c r="AJ38" s="414"/>
      <c r="AK38" s="414"/>
      <c r="AL38" s="414"/>
      <c r="AM38" s="504"/>
    </row>
    <row r="39" spans="2:42" x14ac:dyDescent="0.3">
      <c r="B39" s="126"/>
      <c r="C39" s="501"/>
      <c r="D39" s="502" t="s">
        <v>267</v>
      </c>
      <c r="E39" s="502"/>
      <c r="F39" s="502"/>
      <c r="G39" s="502"/>
      <c r="H39" s="102"/>
      <c r="I39" s="414"/>
      <c r="J39" s="118"/>
      <c r="K39" s="414"/>
      <c r="L39" s="414"/>
      <c r="M39" s="507"/>
      <c r="N39" s="507"/>
      <c r="O39" s="507"/>
      <c r="P39" s="507"/>
      <c r="Q39" s="507"/>
      <c r="R39" s="507"/>
      <c r="S39" s="414"/>
      <c r="T39" s="414"/>
      <c r="U39" s="414"/>
      <c r="AB39" s="72"/>
      <c r="AC39" s="1668"/>
      <c r="AD39" s="1669"/>
      <c r="AE39" s="1669"/>
      <c r="AF39" s="1669"/>
      <c r="AG39" s="1670"/>
      <c r="AH39" s="1669"/>
      <c r="AI39" s="1669"/>
      <c r="AJ39" s="1669"/>
      <c r="AK39" s="1669"/>
      <c r="AL39" s="1670"/>
      <c r="AM39" s="504"/>
    </row>
    <row r="40" spans="2:42" x14ac:dyDescent="0.3">
      <c r="C40" s="86"/>
      <c r="D40" s="72"/>
      <c r="E40" s="72"/>
      <c r="F40" s="72"/>
      <c r="G40" s="72"/>
      <c r="H40" s="72"/>
      <c r="I40" s="72"/>
      <c r="J40" s="84"/>
      <c r="K40" s="72"/>
      <c r="L40" s="72"/>
      <c r="M40" s="72"/>
      <c r="N40" s="72"/>
      <c r="O40" s="72"/>
      <c r="P40" s="72"/>
      <c r="Q40" s="72"/>
      <c r="R40" s="72"/>
      <c r="S40" s="72"/>
      <c r="T40" s="72"/>
      <c r="U40" s="72"/>
      <c r="V40" s="72"/>
      <c r="W40" s="72"/>
      <c r="Z40" s="72"/>
      <c r="AA40" s="72"/>
      <c r="AB40" s="72"/>
      <c r="AC40" s="72"/>
      <c r="AD40" s="72"/>
      <c r="AE40" s="72"/>
      <c r="AF40" s="72"/>
      <c r="AG40" s="72"/>
      <c r="AH40" s="72"/>
      <c r="AI40" s="72"/>
      <c r="AJ40" s="72"/>
      <c r="AK40" s="72"/>
      <c r="AL40" s="72"/>
      <c r="AM40" s="85"/>
    </row>
    <row r="41" spans="2:42" x14ac:dyDescent="0.3">
      <c r="C41" s="92"/>
      <c r="D41" s="78"/>
      <c r="E41" s="78"/>
      <c r="F41" s="78"/>
      <c r="G41" s="78"/>
      <c r="H41" s="78"/>
      <c r="I41" s="78"/>
      <c r="J41" s="323"/>
      <c r="K41" s="78"/>
      <c r="L41" s="78"/>
      <c r="M41" s="78"/>
      <c r="N41" s="78"/>
      <c r="O41" s="78"/>
      <c r="P41" s="78"/>
      <c r="Q41" s="78"/>
      <c r="R41" s="78"/>
      <c r="S41" s="78"/>
      <c r="T41" s="78"/>
      <c r="U41" s="78"/>
      <c r="V41" s="78"/>
      <c r="W41" s="78"/>
      <c r="X41" s="1671"/>
      <c r="Y41" s="1672"/>
      <c r="Z41" s="78"/>
      <c r="AA41" s="78"/>
      <c r="AB41" s="78"/>
      <c r="AC41" s="1673" t="str">
        <f>IFERROR(((AC38-AC36)/AC36),"")</f>
        <v/>
      </c>
      <c r="AD41" s="1674" t="str">
        <f>IF(AC41="","","Difference")</f>
        <v/>
      </c>
      <c r="AE41" s="78"/>
      <c r="AF41" s="78"/>
      <c r="AG41" s="78"/>
      <c r="AH41" s="78"/>
      <c r="AI41" s="78"/>
      <c r="AJ41" s="78"/>
      <c r="AK41" s="78"/>
      <c r="AL41" s="78"/>
      <c r="AM41" s="94"/>
      <c r="AN41" s="125"/>
      <c r="AO41" s="125"/>
      <c r="AP41" s="125"/>
    </row>
    <row r="42" spans="2:42" x14ac:dyDescent="0.3">
      <c r="B42" s="126"/>
      <c r="X42" s="508"/>
      <c r="Y42" s="123"/>
    </row>
    <row r="43" spans="2:42" x14ac:dyDescent="0.3">
      <c r="B43" s="126"/>
      <c r="C43" s="2370"/>
      <c r="D43" s="2371"/>
      <c r="E43" s="2371"/>
      <c r="F43" s="2371"/>
      <c r="G43" s="2371"/>
      <c r="H43" s="2372"/>
      <c r="I43" s="509" t="s">
        <v>28</v>
      </c>
      <c r="J43" s="498"/>
      <c r="K43" s="499"/>
      <c r="L43" s="499"/>
      <c r="M43" s="499"/>
      <c r="N43" s="499"/>
      <c r="O43" s="499"/>
      <c r="P43" s="499"/>
      <c r="Q43" s="499"/>
      <c r="R43" s="499"/>
      <c r="S43" s="499"/>
      <c r="T43" s="499"/>
      <c r="U43" s="499"/>
      <c r="V43" s="499"/>
      <c r="W43" s="499"/>
      <c r="X43" s="499"/>
      <c r="Y43" s="499"/>
      <c r="Z43" s="499"/>
      <c r="AA43" s="499"/>
      <c r="AB43" s="499"/>
      <c r="AC43" s="499"/>
      <c r="AD43" s="499"/>
      <c r="AE43" s="499"/>
      <c r="AF43" s="499"/>
      <c r="AG43" s="499"/>
      <c r="AH43" s="499"/>
      <c r="AI43" s="499"/>
      <c r="AJ43" s="499"/>
      <c r="AK43" s="499"/>
      <c r="AL43" s="499"/>
      <c r="AM43" s="500"/>
    </row>
    <row r="44" spans="2:42" x14ac:dyDescent="0.3">
      <c r="B44" s="126"/>
      <c r="C44" s="501"/>
      <c r="D44" s="502"/>
      <c r="E44" s="502"/>
      <c r="F44" s="502"/>
      <c r="G44" s="502"/>
      <c r="H44" s="102"/>
      <c r="I44" s="414"/>
      <c r="J44" s="118"/>
      <c r="K44" s="72"/>
      <c r="L44" s="72"/>
      <c r="M44" s="72"/>
      <c r="N44" s="72"/>
      <c r="O44" s="72"/>
      <c r="P44" s="72"/>
      <c r="Q44" s="72"/>
      <c r="R44" s="72"/>
      <c r="S44" s="503"/>
      <c r="T44" s="503"/>
      <c r="U44" s="503"/>
      <c r="V44" s="503"/>
      <c r="W44" s="503"/>
      <c r="X44" s="72"/>
      <c r="Y44" s="72"/>
      <c r="Z44" s="414"/>
      <c r="AA44" s="414"/>
      <c r="AB44" s="414"/>
      <c r="AC44" s="414"/>
      <c r="AD44" s="414"/>
      <c r="AE44" s="414"/>
      <c r="AF44" s="414"/>
      <c r="AG44" s="414"/>
      <c r="AH44" s="414"/>
      <c r="AI44" s="414"/>
      <c r="AJ44" s="414"/>
      <c r="AK44" s="414"/>
      <c r="AL44" s="414"/>
      <c r="AM44" s="504"/>
    </row>
    <row r="45" spans="2:42" x14ac:dyDescent="0.3">
      <c r="B45" s="126"/>
      <c r="C45" s="501"/>
      <c r="D45" s="502"/>
      <c r="E45" s="502"/>
      <c r="F45" s="502"/>
      <c r="G45" s="502"/>
      <c r="H45" s="102"/>
      <c r="I45" s="414"/>
      <c r="J45" s="118"/>
      <c r="K45" s="72"/>
      <c r="L45" s="72"/>
      <c r="M45" s="72"/>
      <c r="N45" s="72"/>
      <c r="O45" s="72"/>
      <c r="P45" s="72"/>
      <c r="Q45" s="72"/>
      <c r="R45" s="72"/>
      <c r="S45" s="503"/>
      <c r="T45" s="503"/>
      <c r="U45" s="503"/>
      <c r="V45" s="503"/>
      <c r="W45" s="503"/>
      <c r="X45" s="72"/>
      <c r="Y45" s="72"/>
      <c r="Z45" s="414"/>
      <c r="AA45" s="414"/>
      <c r="AB45" s="414"/>
      <c r="AC45" s="414"/>
      <c r="AD45" s="414"/>
      <c r="AE45" s="414"/>
      <c r="AF45" s="414"/>
      <c r="AG45" s="414"/>
      <c r="AH45" s="414"/>
      <c r="AI45" s="414"/>
      <c r="AJ45" s="414"/>
      <c r="AK45" s="414"/>
      <c r="AL45" s="414"/>
      <c r="AM45" s="504"/>
    </row>
    <row r="46" spans="2:42" x14ac:dyDescent="0.3">
      <c r="B46" s="126"/>
      <c r="C46" s="501"/>
      <c r="D46" s="502" t="s">
        <v>243</v>
      </c>
      <c r="E46" s="502"/>
      <c r="F46" s="502"/>
      <c r="G46" s="502"/>
      <c r="H46" s="102"/>
      <c r="I46" s="414"/>
      <c r="J46" s="118"/>
      <c r="K46" s="72"/>
      <c r="L46" s="72"/>
      <c r="M46" s="72"/>
      <c r="N46" s="72"/>
      <c r="O46" s="72"/>
      <c r="P46" s="72"/>
      <c r="Q46" s="72"/>
      <c r="R46" s="72"/>
      <c r="S46" s="503"/>
      <c r="T46" s="503"/>
      <c r="U46" s="503"/>
      <c r="V46" s="503"/>
      <c r="W46" s="503"/>
      <c r="X46" s="484"/>
      <c r="Y46" s="485"/>
      <c r="Z46" s="485"/>
      <c r="AA46" s="485"/>
      <c r="AB46" s="486"/>
      <c r="AC46" s="1667">
        <f>(X46*(1+RRR)^4.5)+(Y46*(1+RRR)^3.5)+(Z46*(1+RRR)^2.5)+(AA46*(1+RRR)^1.5)+(AB46*(1+RRR)^0.5)</f>
        <v>0</v>
      </c>
      <c r="AD46" s="505" t="s">
        <v>268</v>
      </c>
      <c r="AE46" s="414"/>
      <c r="AF46" s="414"/>
      <c r="AG46" s="414"/>
      <c r="AH46" s="414"/>
      <c r="AI46" s="414"/>
      <c r="AJ46" s="414"/>
      <c r="AK46" s="414"/>
      <c r="AL46" s="414"/>
      <c r="AM46" s="504"/>
    </row>
    <row r="47" spans="2:42" x14ac:dyDescent="0.3">
      <c r="B47" s="126"/>
      <c r="C47" s="501"/>
      <c r="D47" s="502"/>
      <c r="E47" s="502"/>
      <c r="F47" s="502"/>
      <c r="G47" s="502"/>
      <c r="H47" s="102"/>
      <c r="I47" s="414"/>
      <c r="J47" s="118"/>
      <c r="K47" s="414"/>
      <c r="L47" s="414"/>
      <c r="M47" s="414"/>
      <c r="N47" s="414"/>
      <c r="O47" s="414"/>
      <c r="P47" s="414"/>
      <c r="Q47" s="414"/>
      <c r="R47" s="414"/>
      <c r="S47" s="414"/>
      <c r="T47" s="414"/>
      <c r="U47" s="414"/>
      <c r="V47" s="414"/>
      <c r="W47" s="414"/>
      <c r="Z47" s="72"/>
      <c r="AA47" s="72"/>
      <c r="AB47" s="72"/>
      <c r="AC47" s="72"/>
      <c r="AD47" s="414"/>
      <c r="AE47" s="414"/>
      <c r="AF47" s="414"/>
      <c r="AG47" s="414"/>
      <c r="AH47" s="72"/>
      <c r="AI47" s="414"/>
      <c r="AJ47" s="414"/>
      <c r="AK47" s="414"/>
      <c r="AL47" s="414"/>
      <c r="AM47" s="504"/>
    </row>
    <row r="48" spans="2:42" x14ac:dyDescent="0.3">
      <c r="B48" s="126"/>
      <c r="C48" s="501"/>
      <c r="D48" s="502"/>
      <c r="E48" s="502"/>
      <c r="F48" s="502"/>
      <c r="G48" s="502"/>
      <c r="H48" s="102"/>
      <c r="I48" s="414"/>
      <c r="J48" s="118"/>
      <c r="K48" s="414"/>
      <c r="L48" s="414"/>
      <c r="M48" s="414"/>
      <c r="N48" s="414"/>
      <c r="O48" s="414"/>
      <c r="P48" s="414"/>
      <c r="Q48" s="414"/>
      <c r="R48" s="414"/>
      <c r="S48" s="414"/>
      <c r="T48" s="414"/>
      <c r="U48" s="414"/>
      <c r="V48" s="414"/>
      <c r="W48" s="414"/>
      <c r="AB48" s="72"/>
      <c r="AC48" s="1667">
        <f>+NPV(RRR,AC49:AL49)*(1+RRR)^0.5</f>
        <v>0</v>
      </c>
      <c r="AD48" s="506" t="s">
        <v>268</v>
      </c>
      <c r="AE48" s="414"/>
      <c r="AF48" s="414"/>
      <c r="AG48" s="414"/>
      <c r="AH48" s="72"/>
      <c r="AI48" s="414"/>
      <c r="AJ48" s="414"/>
      <c r="AK48" s="414"/>
      <c r="AL48" s="414"/>
      <c r="AM48" s="504"/>
    </row>
    <row r="49" spans="2:42" x14ac:dyDescent="0.3">
      <c r="B49" s="126"/>
      <c r="C49" s="501"/>
      <c r="D49" s="502" t="s">
        <v>267</v>
      </c>
      <c r="E49" s="502"/>
      <c r="F49" s="502"/>
      <c r="G49" s="502"/>
      <c r="H49" s="102"/>
      <c r="I49" s="414"/>
      <c r="J49" s="118"/>
      <c r="K49" s="414"/>
      <c r="L49" s="414"/>
      <c r="M49" s="507"/>
      <c r="N49" s="507"/>
      <c r="O49" s="507"/>
      <c r="P49" s="507"/>
      <c r="Q49" s="507"/>
      <c r="R49" s="507"/>
      <c r="S49" s="414"/>
      <c r="T49" s="414"/>
      <c r="U49" s="414"/>
      <c r="AB49" s="72"/>
      <c r="AC49" s="1668"/>
      <c r="AD49" s="1669"/>
      <c r="AE49" s="1669"/>
      <c r="AF49" s="1669"/>
      <c r="AG49" s="1670"/>
      <c r="AH49" s="1669"/>
      <c r="AI49" s="1669"/>
      <c r="AJ49" s="1669"/>
      <c r="AK49" s="1669"/>
      <c r="AL49" s="1670"/>
      <c r="AM49" s="504"/>
    </row>
    <row r="50" spans="2:42" x14ac:dyDescent="0.3">
      <c r="C50" s="86"/>
      <c r="D50" s="72"/>
      <c r="E50" s="72"/>
      <c r="F50" s="72"/>
      <c r="G50" s="72"/>
      <c r="H50" s="72"/>
      <c r="I50" s="72"/>
      <c r="J50" s="84"/>
      <c r="K50" s="72"/>
      <c r="L50" s="72"/>
      <c r="M50" s="72"/>
      <c r="N50" s="72"/>
      <c r="O50" s="72"/>
      <c r="P50" s="72"/>
      <c r="Q50" s="72"/>
      <c r="R50" s="72"/>
      <c r="S50" s="72"/>
      <c r="T50" s="72"/>
      <c r="U50" s="72"/>
      <c r="V50" s="72"/>
      <c r="W50" s="72"/>
      <c r="Z50" s="72"/>
      <c r="AA50" s="72"/>
      <c r="AB50" s="72"/>
      <c r="AC50" s="72"/>
      <c r="AD50" s="72"/>
      <c r="AE50" s="72"/>
      <c r="AF50" s="72"/>
      <c r="AG50" s="72"/>
      <c r="AH50" s="72"/>
      <c r="AI50" s="72"/>
      <c r="AJ50" s="72"/>
      <c r="AK50" s="72"/>
      <c r="AL50" s="72"/>
      <c r="AM50" s="85"/>
    </row>
    <row r="51" spans="2:42" x14ac:dyDescent="0.3">
      <c r="C51" s="92"/>
      <c r="D51" s="78"/>
      <c r="E51" s="78"/>
      <c r="F51" s="78"/>
      <c r="G51" s="78"/>
      <c r="H51" s="78"/>
      <c r="I51" s="78"/>
      <c r="J51" s="323"/>
      <c r="K51" s="78"/>
      <c r="L51" s="78"/>
      <c r="M51" s="78"/>
      <c r="N51" s="78"/>
      <c r="O51" s="78"/>
      <c r="P51" s="78"/>
      <c r="Q51" s="78"/>
      <c r="R51" s="78"/>
      <c r="S51" s="78"/>
      <c r="T51" s="78"/>
      <c r="U51" s="78"/>
      <c r="V51" s="78"/>
      <c r="W51" s="78"/>
      <c r="X51" s="1671"/>
      <c r="Y51" s="1672"/>
      <c r="Z51" s="78"/>
      <c r="AA51" s="78"/>
      <c r="AB51" s="78"/>
      <c r="AC51" s="1673" t="str">
        <f>IFERROR(((AC48-AC46)/AC46),"")</f>
        <v/>
      </c>
      <c r="AD51" s="1674" t="str">
        <f>IF(AC51="","","Difference")</f>
        <v/>
      </c>
      <c r="AE51" s="78"/>
      <c r="AF51" s="78"/>
      <c r="AG51" s="78"/>
      <c r="AH51" s="78"/>
      <c r="AI51" s="78"/>
      <c r="AJ51" s="78"/>
      <c r="AK51" s="78"/>
      <c r="AL51" s="78"/>
      <c r="AM51" s="94"/>
      <c r="AN51" s="125"/>
      <c r="AO51" s="125"/>
      <c r="AP51" s="125"/>
    </row>
    <row r="52" spans="2:42" x14ac:dyDescent="0.3">
      <c r="X52" s="508"/>
      <c r="Y52" s="123"/>
    </row>
    <row r="53" spans="2:42" x14ac:dyDescent="0.3">
      <c r="B53" s="126"/>
      <c r="C53" s="2370"/>
      <c r="D53" s="2371"/>
      <c r="E53" s="2371"/>
      <c r="F53" s="2371"/>
      <c r="G53" s="2371"/>
      <c r="H53" s="2372"/>
      <c r="I53" s="509" t="s">
        <v>28</v>
      </c>
      <c r="J53" s="498"/>
      <c r="K53" s="499"/>
      <c r="L53" s="499"/>
      <c r="M53" s="499"/>
      <c r="N53" s="499"/>
      <c r="O53" s="499"/>
      <c r="P53" s="499"/>
      <c r="Q53" s="499"/>
      <c r="R53" s="499"/>
      <c r="S53" s="499"/>
      <c r="T53" s="499"/>
      <c r="U53" s="499"/>
      <c r="V53" s="499"/>
      <c r="W53" s="499"/>
      <c r="X53" s="499"/>
      <c r="Y53" s="499"/>
      <c r="Z53" s="499"/>
      <c r="AA53" s="499"/>
      <c r="AB53" s="499"/>
      <c r="AC53" s="499"/>
      <c r="AD53" s="499"/>
      <c r="AE53" s="499"/>
      <c r="AF53" s="499"/>
      <c r="AG53" s="499"/>
      <c r="AH53" s="499"/>
      <c r="AI53" s="499"/>
      <c r="AJ53" s="499"/>
      <c r="AK53" s="499"/>
      <c r="AL53" s="499"/>
      <c r="AM53" s="500"/>
    </row>
    <row r="54" spans="2:42" x14ac:dyDescent="0.3">
      <c r="B54" s="126"/>
      <c r="C54" s="501"/>
      <c r="D54" s="502"/>
      <c r="E54" s="502"/>
      <c r="F54" s="502"/>
      <c r="G54" s="502"/>
      <c r="H54" s="102"/>
      <c r="I54" s="414"/>
      <c r="J54" s="118"/>
      <c r="K54" s="72"/>
      <c r="L54" s="72"/>
      <c r="M54" s="72"/>
      <c r="N54" s="72"/>
      <c r="O54" s="72"/>
      <c r="P54" s="72"/>
      <c r="Q54" s="72"/>
      <c r="R54" s="72"/>
      <c r="S54" s="503"/>
      <c r="T54" s="503"/>
      <c r="U54" s="503"/>
      <c r="V54" s="503"/>
      <c r="W54" s="503"/>
      <c r="X54" s="72"/>
      <c r="Y54" s="72"/>
      <c r="Z54" s="414"/>
      <c r="AA54" s="414"/>
      <c r="AB54" s="414"/>
      <c r="AC54" s="414"/>
      <c r="AD54" s="414"/>
      <c r="AE54" s="414"/>
      <c r="AF54" s="414"/>
      <c r="AG54" s="414"/>
      <c r="AH54" s="414"/>
      <c r="AI54" s="414"/>
      <c r="AJ54" s="414"/>
      <c r="AK54" s="414"/>
      <c r="AL54" s="414"/>
      <c r="AM54" s="504"/>
    </row>
    <row r="55" spans="2:42" x14ac:dyDescent="0.3">
      <c r="B55" s="126"/>
      <c r="C55" s="501"/>
      <c r="D55" s="502"/>
      <c r="E55" s="502"/>
      <c r="F55" s="502"/>
      <c r="G55" s="502"/>
      <c r="H55" s="102"/>
      <c r="I55" s="414"/>
      <c r="J55" s="118"/>
      <c r="K55" s="72"/>
      <c r="L55" s="72"/>
      <c r="M55" s="72"/>
      <c r="N55" s="72"/>
      <c r="O55" s="72"/>
      <c r="P55" s="72"/>
      <c r="Q55" s="72"/>
      <c r="R55" s="72"/>
      <c r="S55" s="503"/>
      <c r="T55" s="503"/>
      <c r="U55" s="503"/>
      <c r="V55" s="503"/>
      <c r="W55" s="503"/>
      <c r="X55" s="72"/>
      <c r="Y55" s="72"/>
      <c r="Z55" s="414"/>
      <c r="AA55" s="414"/>
      <c r="AB55" s="414"/>
      <c r="AC55" s="414"/>
      <c r="AD55" s="414"/>
      <c r="AE55" s="414"/>
      <c r="AF55" s="414"/>
      <c r="AG55" s="414"/>
      <c r="AH55" s="414"/>
      <c r="AI55" s="414"/>
      <c r="AJ55" s="414"/>
      <c r="AK55" s="414"/>
      <c r="AL55" s="414"/>
      <c r="AM55" s="504"/>
    </row>
    <row r="56" spans="2:42" x14ac:dyDescent="0.3">
      <c r="B56" s="126"/>
      <c r="C56" s="501"/>
      <c r="D56" s="502" t="s">
        <v>243</v>
      </c>
      <c r="E56" s="502"/>
      <c r="F56" s="502"/>
      <c r="G56" s="502"/>
      <c r="H56" s="102"/>
      <c r="I56" s="414"/>
      <c r="J56" s="118"/>
      <c r="K56" s="72"/>
      <c r="L56" s="72"/>
      <c r="M56" s="72"/>
      <c r="N56" s="72"/>
      <c r="O56" s="72"/>
      <c r="P56" s="72"/>
      <c r="Q56" s="72"/>
      <c r="R56" s="72"/>
      <c r="S56" s="503"/>
      <c r="T56" s="503"/>
      <c r="U56" s="503"/>
      <c r="V56" s="503"/>
      <c r="W56" s="503"/>
      <c r="X56" s="484"/>
      <c r="Y56" s="485"/>
      <c r="Z56" s="485"/>
      <c r="AA56" s="485"/>
      <c r="AB56" s="486"/>
      <c r="AC56" s="1667">
        <f>(X56*(1+RRR)^4.5)+(Y56*(1+RRR)^3.5)+(Z56*(1+RRR)^2.5)+(AA56*(1+RRR)^1.5)+(AB56*(1+RRR)^0.5)</f>
        <v>0</v>
      </c>
      <c r="AD56" s="505" t="s">
        <v>268</v>
      </c>
      <c r="AE56" s="414"/>
      <c r="AF56" s="414"/>
      <c r="AG56" s="414"/>
      <c r="AH56" s="414"/>
      <c r="AI56" s="414"/>
      <c r="AJ56" s="414"/>
      <c r="AK56" s="414"/>
      <c r="AL56" s="414"/>
      <c r="AM56" s="504"/>
    </row>
    <row r="57" spans="2:42" x14ac:dyDescent="0.3">
      <c r="B57" s="126"/>
      <c r="C57" s="501"/>
      <c r="D57" s="502"/>
      <c r="E57" s="502"/>
      <c r="F57" s="502"/>
      <c r="G57" s="502"/>
      <c r="H57" s="102"/>
      <c r="I57" s="414"/>
      <c r="J57" s="118"/>
      <c r="K57" s="414"/>
      <c r="L57" s="414"/>
      <c r="M57" s="414"/>
      <c r="N57" s="414"/>
      <c r="O57" s="414"/>
      <c r="P57" s="414"/>
      <c r="Q57" s="414"/>
      <c r="R57" s="414"/>
      <c r="S57" s="414"/>
      <c r="T57" s="414"/>
      <c r="U57" s="414"/>
      <c r="V57" s="414"/>
      <c r="W57" s="414"/>
      <c r="Z57" s="72"/>
      <c r="AA57" s="72"/>
      <c r="AB57" s="72"/>
      <c r="AC57" s="72"/>
      <c r="AD57" s="414"/>
      <c r="AE57" s="414"/>
      <c r="AF57" s="414"/>
      <c r="AG57" s="414"/>
      <c r="AH57" s="72"/>
      <c r="AI57" s="414"/>
      <c r="AJ57" s="414"/>
      <c r="AK57" s="414"/>
      <c r="AL57" s="414"/>
      <c r="AM57" s="504"/>
    </row>
    <row r="58" spans="2:42" x14ac:dyDescent="0.3">
      <c r="B58" s="126"/>
      <c r="C58" s="501"/>
      <c r="D58" s="502"/>
      <c r="E58" s="502"/>
      <c r="F58" s="502"/>
      <c r="G58" s="502"/>
      <c r="H58" s="102"/>
      <c r="I58" s="414"/>
      <c r="J58" s="118"/>
      <c r="K58" s="414"/>
      <c r="L58" s="414"/>
      <c r="M58" s="414"/>
      <c r="N58" s="414"/>
      <c r="O58" s="414"/>
      <c r="P58" s="414"/>
      <c r="Q58" s="414"/>
      <c r="R58" s="414"/>
      <c r="S58" s="414"/>
      <c r="T58" s="414"/>
      <c r="U58" s="414"/>
      <c r="V58" s="414"/>
      <c r="W58" s="414"/>
      <c r="AB58" s="72"/>
      <c r="AC58" s="1667">
        <f>+NPV(RRR,AC59:AL59)*(1+RRR)^0.5</f>
        <v>0</v>
      </c>
      <c r="AD58" s="506" t="s">
        <v>268</v>
      </c>
      <c r="AE58" s="414"/>
      <c r="AF58" s="414"/>
      <c r="AG58" s="414"/>
      <c r="AH58" s="72"/>
      <c r="AI58" s="414"/>
      <c r="AJ58" s="414"/>
      <c r="AK58" s="414"/>
      <c r="AL58" s="414"/>
      <c r="AM58" s="504"/>
    </row>
    <row r="59" spans="2:42" x14ac:dyDescent="0.3">
      <c r="B59" s="126"/>
      <c r="C59" s="501"/>
      <c r="D59" s="502" t="s">
        <v>267</v>
      </c>
      <c r="E59" s="502"/>
      <c r="F59" s="502"/>
      <c r="G59" s="502"/>
      <c r="H59" s="102"/>
      <c r="I59" s="414"/>
      <c r="J59" s="118"/>
      <c r="K59" s="414"/>
      <c r="L59" s="414"/>
      <c r="M59" s="507"/>
      <c r="N59" s="507"/>
      <c r="O59" s="507"/>
      <c r="P59" s="507"/>
      <c r="Q59" s="507"/>
      <c r="R59" s="507"/>
      <c r="S59" s="414"/>
      <c r="T59" s="414"/>
      <c r="U59" s="414"/>
      <c r="AB59" s="72"/>
      <c r="AC59" s="1668"/>
      <c r="AD59" s="1669"/>
      <c r="AE59" s="1669"/>
      <c r="AF59" s="1669"/>
      <c r="AG59" s="1670"/>
      <c r="AH59" s="1669"/>
      <c r="AI59" s="1669"/>
      <c r="AJ59" s="1669"/>
      <c r="AK59" s="1669"/>
      <c r="AL59" s="1670"/>
      <c r="AM59" s="504"/>
    </row>
    <row r="60" spans="2:42" x14ac:dyDescent="0.3">
      <c r="C60" s="86"/>
      <c r="D60" s="72"/>
      <c r="E60" s="72"/>
      <c r="F60" s="72"/>
      <c r="G60" s="72"/>
      <c r="H60" s="72"/>
      <c r="I60" s="72"/>
      <c r="J60" s="84"/>
      <c r="K60" s="72"/>
      <c r="L60" s="72"/>
      <c r="M60" s="72"/>
      <c r="N60" s="72"/>
      <c r="O60" s="72"/>
      <c r="P60" s="72"/>
      <c r="Q60" s="72"/>
      <c r="R60" s="72"/>
      <c r="S60" s="72"/>
      <c r="T60" s="72"/>
      <c r="U60" s="72"/>
      <c r="V60" s="72"/>
      <c r="W60" s="72"/>
      <c r="Z60" s="72"/>
      <c r="AA60" s="72"/>
      <c r="AB60" s="72"/>
      <c r="AC60" s="72"/>
      <c r="AD60" s="72"/>
      <c r="AE60" s="72"/>
      <c r="AF60" s="72"/>
      <c r="AG60" s="72"/>
      <c r="AH60" s="72"/>
      <c r="AI60" s="72"/>
      <c r="AJ60" s="72"/>
      <c r="AK60" s="72"/>
      <c r="AL60" s="72"/>
      <c r="AM60" s="85"/>
    </row>
    <row r="61" spans="2:42" x14ac:dyDescent="0.3">
      <c r="C61" s="92"/>
      <c r="D61" s="78"/>
      <c r="E61" s="78"/>
      <c r="F61" s="78"/>
      <c r="G61" s="78"/>
      <c r="H61" s="78"/>
      <c r="I61" s="78"/>
      <c r="J61" s="323"/>
      <c r="K61" s="78"/>
      <c r="L61" s="78"/>
      <c r="M61" s="78"/>
      <c r="N61" s="78"/>
      <c r="O61" s="78"/>
      <c r="P61" s="78"/>
      <c r="Q61" s="78"/>
      <c r="R61" s="78"/>
      <c r="S61" s="78"/>
      <c r="T61" s="78"/>
      <c r="U61" s="78"/>
      <c r="V61" s="78"/>
      <c r="W61" s="78"/>
      <c r="X61" s="1671"/>
      <c r="Y61" s="1672"/>
      <c r="Z61" s="78"/>
      <c r="AA61" s="78"/>
      <c r="AB61" s="78"/>
      <c r="AC61" s="1673" t="str">
        <f>IFERROR(((AC58-AC56)/AC56),"")</f>
        <v/>
      </c>
      <c r="AD61" s="1674" t="str">
        <f>IF(AC61="","","Difference")</f>
        <v/>
      </c>
      <c r="AE61" s="78"/>
      <c r="AF61" s="78"/>
      <c r="AG61" s="78"/>
      <c r="AH61" s="78"/>
      <c r="AI61" s="78"/>
      <c r="AJ61" s="78"/>
      <c r="AK61" s="78"/>
      <c r="AL61" s="78"/>
      <c r="AM61" s="94"/>
      <c r="AN61" s="125"/>
      <c r="AO61" s="125"/>
      <c r="AP61" s="125"/>
    </row>
    <row r="62" spans="2:42" x14ac:dyDescent="0.3">
      <c r="X62" s="508"/>
      <c r="Y62" s="123"/>
    </row>
    <row r="63" spans="2:42" x14ac:dyDescent="0.3">
      <c r="B63" s="126"/>
      <c r="C63" s="2370"/>
      <c r="D63" s="2371"/>
      <c r="E63" s="2371"/>
      <c r="F63" s="2371"/>
      <c r="G63" s="2371"/>
      <c r="H63" s="2372"/>
      <c r="I63" s="509" t="s">
        <v>28</v>
      </c>
      <c r="J63" s="498"/>
      <c r="K63" s="499"/>
      <c r="L63" s="499"/>
      <c r="M63" s="499"/>
      <c r="N63" s="499"/>
      <c r="O63" s="499"/>
      <c r="P63" s="499"/>
      <c r="Q63" s="499"/>
      <c r="R63" s="499"/>
      <c r="S63" s="499"/>
      <c r="T63" s="499"/>
      <c r="U63" s="499"/>
      <c r="V63" s="499"/>
      <c r="W63" s="499"/>
      <c r="X63" s="499"/>
      <c r="Y63" s="499"/>
      <c r="Z63" s="499"/>
      <c r="AA63" s="499"/>
      <c r="AB63" s="499"/>
      <c r="AC63" s="499"/>
      <c r="AD63" s="499"/>
      <c r="AE63" s="499"/>
      <c r="AF63" s="499"/>
      <c r="AG63" s="499"/>
      <c r="AH63" s="499"/>
      <c r="AI63" s="499"/>
      <c r="AJ63" s="499"/>
      <c r="AK63" s="499"/>
      <c r="AL63" s="499"/>
      <c r="AM63" s="500"/>
    </row>
    <row r="64" spans="2:42" x14ac:dyDescent="0.3">
      <c r="B64" s="126"/>
      <c r="C64" s="501"/>
      <c r="D64" s="502"/>
      <c r="E64" s="502"/>
      <c r="F64" s="502"/>
      <c r="G64" s="502"/>
      <c r="H64" s="102"/>
      <c r="I64" s="414"/>
      <c r="J64" s="118"/>
      <c r="K64" s="72"/>
      <c r="L64" s="72"/>
      <c r="M64" s="72"/>
      <c r="N64" s="72"/>
      <c r="O64" s="72"/>
      <c r="P64" s="72"/>
      <c r="Q64" s="72"/>
      <c r="R64" s="72"/>
      <c r="S64" s="503"/>
      <c r="T64" s="503"/>
      <c r="U64" s="503"/>
      <c r="V64" s="503"/>
      <c r="W64" s="503"/>
      <c r="X64" s="72"/>
      <c r="Y64" s="72"/>
      <c r="Z64" s="414"/>
      <c r="AA64" s="414"/>
      <c r="AB64" s="414"/>
      <c r="AC64" s="414"/>
      <c r="AD64" s="414"/>
      <c r="AE64" s="414"/>
      <c r="AF64" s="414"/>
      <c r="AG64" s="414"/>
      <c r="AH64" s="414"/>
      <c r="AI64" s="414"/>
      <c r="AJ64" s="414"/>
      <c r="AK64" s="414"/>
      <c r="AL64" s="414"/>
      <c r="AM64" s="504"/>
    </row>
    <row r="65" spans="2:42" x14ac:dyDescent="0.3">
      <c r="B65" s="126"/>
      <c r="C65" s="501"/>
      <c r="D65" s="502"/>
      <c r="E65" s="502"/>
      <c r="F65" s="502"/>
      <c r="G65" s="502"/>
      <c r="H65" s="102"/>
      <c r="I65" s="414"/>
      <c r="J65" s="118"/>
      <c r="K65" s="72"/>
      <c r="L65" s="72"/>
      <c r="M65" s="72"/>
      <c r="N65" s="72"/>
      <c r="O65" s="72"/>
      <c r="P65" s="72"/>
      <c r="Q65" s="72"/>
      <c r="R65" s="72"/>
      <c r="S65" s="503"/>
      <c r="T65" s="503"/>
      <c r="U65" s="503"/>
      <c r="V65" s="503"/>
      <c r="W65" s="503"/>
      <c r="X65" s="72"/>
      <c r="Y65" s="72"/>
      <c r="Z65" s="414"/>
      <c r="AA65" s="414"/>
      <c r="AB65" s="414"/>
      <c r="AC65" s="414"/>
      <c r="AD65" s="414"/>
      <c r="AE65" s="414"/>
      <c r="AF65" s="414"/>
      <c r="AG65" s="414"/>
      <c r="AH65" s="414"/>
      <c r="AI65" s="414"/>
      <c r="AJ65" s="414"/>
      <c r="AK65" s="414"/>
      <c r="AL65" s="414"/>
      <c r="AM65" s="504"/>
    </row>
    <row r="66" spans="2:42" x14ac:dyDescent="0.3">
      <c r="B66" s="126"/>
      <c r="C66" s="501"/>
      <c r="D66" s="502" t="s">
        <v>243</v>
      </c>
      <c r="E66" s="502"/>
      <c r="F66" s="502"/>
      <c r="G66" s="502"/>
      <c r="H66" s="102"/>
      <c r="I66" s="414"/>
      <c r="J66" s="118"/>
      <c r="K66" s="72"/>
      <c r="L66" s="72"/>
      <c r="M66" s="72"/>
      <c r="N66" s="72"/>
      <c r="O66" s="72"/>
      <c r="P66" s="72"/>
      <c r="Q66" s="72"/>
      <c r="R66" s="72"/>
      <c r="S66" s="503"/>
      <c r="T66" s="503"/>
      <c r="U66" s="503"/>
      <c r="V66" s="503"/>
      <c r="W66" s="503"/>
      <c r="X66" s="484"/>
      <c r="Y66" s="485"/>
      <c r="Z66" s="485"/>
      <c r="AA66" s="485"/>
      <c r="AB66" s="486"/>
      <c r="AC66" s="1667">
        <f>(X66*(1+RRR)^4.5)+(Y66*(1+RRR)^3.5)+(Z66*(1+RRR)^2.5)+(AA66*(1+RRR)^1.5)+(AB66*(1+RRR)^0.5)</f>
        <v>0</v>
      </c>
      <c r="AD66" s="505" t="s">
        <v>268</v>
      </c>
      <c r="AE66" s="414"/>
      <c r="AF66" s="414"/>
      <c r="AG66" s="414"/>
      <c r="AH66" s="414"/>
      <c r="AI66" s="414"/>
      <c r="AJ66" s="414"/>
      <c r="AK66" s="414"/>
      <c r="AL66" s="414"/>
      <c r="AM66" s="504"/>
    </row>
    <row r="67" spans="2:42" x14ac:dyDescent="0.3">
      <c r="B67" s="126"/>
      <c r="C67" s="501"/>
      <c r="D67" s="502"/>
      <c r="E67" s="502"/>
      <c r="F67" s="502"/>
      <c r="G67" s="502"/>
      <c r="H67" s="102"/>
      <c r="I67" s="414"/>
      <c r="J67" s="118"/>
      <c r="K67" s="414"/>
      <c r="L67" s="414"/>
      <c r="M67" s="414"/>
      <c r="N67" s="414"/>
      <c r="O67" s="414"/>
      <c r="P67" s="414"/>
      <c r="Q67" s="414"/>
      <c r="R67" s="414"/>
      <c r="S67" s="414"/>
      <c r="T67" s="414"/>
      <c r="U67" s="414"/>
      <c r="V67" s="414"/>
      <c r="W67" s="414"/>
      <c r="Z67" s="72"/>
      <c r="AA67" s="72"/>
      <c r="AB67" s="72"/>
      <c r="AC67" s="72"/>
      <c r="AD67" s="414"/>
      <c r="AE67" s="414"/>
      <c r="AF67" s="414"/>
      <c r="AG67" s="414"/>
      <c r="AH67" s="72"/>
      <c r="AI67" s="414"/>
      <c r="AJ67" s="414"/>
      <c r="AK67" s="414"/>
      <c r="AL67" s="414"/>
      <c r="AM67" s="504"/>
    </row>
    <row r="68" spans="2:42" x14ac:dyDescent="0.3">
      <c r="B68" s="126"/>
      <c r="C68" s="501"/>
      <c r="D68" s="502"/>
      <c r="E68" s="502"/>
      <c r="F68" s="502"/>
      <c r="G68" s="502"/>
      <c r="H68" s="102"/>
      <c r="I68" s="414"/>
      <c r="J68" s="118"/>
      <c r="K68" s="414"/>
      <c r="L68" s="414"/>
      <c r="M68" s="414"/>
      <c r="N68" s="414"/>
      <c r="O68" s="414"/>
      <c r="P68" s="414"/>
      <c r="Q68" s="414"/>
      <c r="R68" s="414"/>
      <c r="S68" s="414"/>
      <c r="T68" s="414"/>
      <c r="U68" s="414"/>
      <c r="V68" s="414"/>
      <c r="W68" s="414"/>
      <c r="AB68" s="72"/>
      <c r="AC68" s="1667">
        <f>+NPV(RRR,AC69:AL69)*(1+RRR)^0.5</f>
        <v>0</v>
      </c>
      <c r="AD68" s="506" t="s">
        <v>268</v>
      </c>
      <c r="AE68" s="414"/>
      <c r="AF68" s="414"/>
      <c r="AG68" s="414"/>
      <c r="AH68" s="72"/>
      <c r="AI68" s="414"/>
      <c r="AJ68" s="414"/>
      <c r="AK68" s="414"/>
      <c r="AL68" s="414"/>
      <c r="AM68" s="504"/>
    </row>
    <row r="69" spans="2:42" x14ac:dyDescent="0.3">
      <c r="B69" s="126"/>
      <c r="C69" s="501"/>
      <c r="D69" s="502" t="s">
        <v>267</v>
      </c>
      <c r="E69" s="502"/>
      <c r="F69" s="502"/>
      <c r="G69" s="502"/>
      <c r="H69" s="102"/>
      <c r="I69" s="414"/>
      <c r="J69" s="118"/>
      <c r="K69" s="414"/>
      <c r="L69" s="414"/>
      <c r="M69" s="507"/>
      <c r="N69" s="507"/>
      <c r="O69" s="507"/>
      <c r="P69" s="507"/>
      <c r="Q69" s="507"/>
      <c r="R69" s="507"/>
      <c r="S69" s="414"/>
      <c r="T69" s="414"/>
      <c r="U69" s="414"/>
      <c r="AB69" s="72"/>
      <c r="AC69" s="1668"/>
      <c r="AD69" s="1669"/>
      <c r="AE69" s="1669"/>
      <c r="AF69" s="1669"/>
      <c r="AG69" s="1670"/>
      <c r="AH69" s="1669"/>
      <c r="AI69" s="1669"/>
      <c r="AJ69" s="1669"/>
      <c r="AK69" s="1669"/>
      <c r="AL69" s="1670"/>
      <c r="AM69" s="504"/>
    </row>
    <row r="70" spans="2:42" x14ac:dyDescent="0.3">
      <c r="C70" s="86"/>
      <c r="D70" s="72"/>
      <c r="E70" s="72"/>
      <c r="F70" s="72"/>
      <c r="G70" s="72"/>
      <c r="H70" s="72"/>
      <c r="I70" s="72"/>
      <c r="J70" s="84"/>
      <c r="K70" s="72"/>
      <c r="L70" s="72"/>
      <c r="M70" s="72"/>
      <c r="N70" s="72"/>
      <c r="O70" s="72"/>
      <c r="P70" s="72"/>
      <c r="Q70" s="72"/>
      <c r="R70" s="72"/>
      <c r="S70" s="72"/>
      <c r="T70" s="72"/>
      <c r="U70" s="72"/>
      <c r="V70" s="72"/>
      <c r="W70" s="72"/>
      <c r="Z70" s="72"/>
      <c r="AA70" s="72"/>
      <c r="AB70" s="72"/>
      <c r="AC70" s="72"/>
      <c r="AD70" s="72"/>
      <c r="AE70" s="72"/>
      <c r="AF70" s="72"/>
      <c r="AG70" s="72"/>
      <c r="AH70" s="72"/>
      <c r="AI70" s="72"/>
      <c r="AJ70" s="72"/>
      <c r="AK70" s="72"/>
      <c r="AL70" s="72"/>
      <c r="AM70" s="85"/>
    </row>
    <row r="71" spans="2:42" x14ac:dyDescent="0.3">
      <c r="C71" s="92"/>
      <c r="D71" s="78"/>
      <c r="E71" s="78"/>
      <c r="F71" s="78"/>
      <c r="G71" s="78"/>
      <c r="H71" s="78"/>
      <c r="I71" s="78"/>
      <c r="J71" s="323"/>
      <c r="K71" s="78"/>
      <c r="L71" s="78"/>
      <c r="M71" s="78"/>
      <c r="N71" s="78"/>
      <c r="O71" s="78"/>
      <c r="P71" s="78"/>
      <c r="Q71" s="78"/>
      <c r="R71" s="78"/>
      <c r="S71" s="78"/>
      <c r="T71" s="78"/>
      <c r="U71" s="78"/>
      <c r="V71" s="78"/>
      <c r="W71" s="78"/>
      <c r="X71" s="1671"/>
      <c r="Y71" s="1672"/>
      <c r="Z71" s="78"/>
      <c r="AA71" s="78"/>
      <c r="AB71" s="78"/>
      <c r="AC71" s="1673" t="str">
        <f>IFERROR(((AC68-AC66)/AC66),"")</f>
        <v/>
      </c>
      <c r="AD71" s="1674" t="str">
        <f>IF(AC71="","","Difference")</f>
        <v/>
      </c>
      <c r="AE71" s="78"/>
      <c r="AF71" s="78"/>
      <c r="AG71" s="78"/>
      <c r="AH71" s="78"/>
      <c r="AI71" s="78"/>
      <c r="AJ71" s="78"/>
      <c r="AK71" s="78"/>
      <c r="AL71" s="78"/>
      <c r="AM71" s="94"/>
      <c r="AN71" s="125"/>
      <c r="AO71" s="125"/>
      <c r="AP71" s="125"/>
    </row>
  </sheetData>
  <sheetProtection algorithmName="SHA-512" hashValue="AK1UVqiagCB/0XGjiLDa6kI2TOrIwEiYF8YYEzu4TDVOQvZ4/FpeGfxSTqvOY0LDCOvssYPo2t6TRSVx7UXRpw==" saltValue="Ehkilg2HIjPehFqqUlRcAg==" spinCount="100000" sheet="1" objects="1" scenarios="1"/>
  <mergeCells count="6">
    <mergeCell ref="C63:H63"/>
    <mergeCell ref="B3:F3"/>
    <mergeCell ref="C23:H23"/>
    <mergeCell ref="C33:H33"/>
    <mergeCell ref="C43:H43"/>
    <mergeCell ref="C53:H53"/>
  </mergeCells>
  <phoneticPr fontId="0" type="noConversion"/>
  <dataValidations count="1">
    <dataValidation type="list" allowBlank="1" showInputMessage="1" showErrorMessage="1" sqref="I23:J23 I43:J43 I33:J33 I53:J53 I63:J63" xr:uid="{00000000-0002-0000-0A00-000000000000}">
      <formula1>Asset_Class</formula1>
    </dataValidation>
  </dataValidations>
  <hyperlinks>
    <hyperlink ref="B3" location="HL_Home" tooltip="Go to Table of Contents" display="HL_Home" xr:uid="{00000000-0004-0000-0A00-000000000000}"/>
  </hyperlinks>
  <pageMargins left="0.39370078740157499" right="0.39370078740157499" top="0.59055118110236249" bottom="0.98425196850393748" header="0" footer="0.31496062992125973"/>
  <pageSetup paperSize="9" scale="81" orientation="landscape" r:id="rId1"/>
  <headerFooter alignWithMargins="0">
    <oddHeader>&amp;C&amp;B&amp;"Arial"&amp;12&amp;Kff0000​‌OFFICIAL‌​</oddHeader>
    <oddFooter>&amp;C&amp;"Arial,Bold"&amp;8Sheet g.
Page &amp;P of &amp;N&amp;L&amp;"Arial,Bold"&amp;7&amp;F
&amp;A
Printed: &amp;T on &amp;D</oddFooter>
  </headerFooter>
  <rowBreaks count="1" manualBreakCount="1">
    <brk id="46" min="1"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1">
    <tabColor theme="0" tint="-4.9989318521683403E-2"/>
    <pageSetUpPr autoPageBreaks="0" fitToPage="1"/>
  </sheetPr>
  <dimension ref="A1:CA568"/>
  <sheetViews>
    <sheetView showGridLines="0" topLeftCell="D1" zoomScaleNormal="100" workbookViewId="0">
      <pane ySplit="7" topLeftCell="A8" activePane="bottomLeft" state="frozen"/>
      <selection pane="bottomLeft" activeCell="Z37" sqref="Z37"/>
    </sheetView>
  </sheetViews>
  <sheetFormatPr defaultColWidth="10.77734375" defaultRowHeight="12" outlineLevelCol="1" x14ac:dyDescent="0.3"/>
  <cols>
    <col min="1" max="2" width="3.77734375" style="73" customWidth="1"/>
    <col min="3" max="3" width="4" style="73" customWidth="1"/>
    <col min="4" max="5" width="5" style="73" customWidth="1"/>
    <col min="6" max="6" width="11.33203125" style="73" customWidth="1"/>
    <col min="7" max="7" width="18.44140625" style="73" customWidth="1"/>
    <col min="8" max="8" width="27.109375" style="73" customWidth="1"/>
    <col min="9" max="9" width="13.33203125" style="72" customWidth="1"/>
    <col min="10" max="10" width="12.109375" style="73" customWidth="1"/>
    <col min="11" max="11" width="12.6640625" style="73" hidden="1" customWidth="1" outlineLevel="1"/>
    <col min="12" max="12" width="13.109375" style="73" hidden="1" customWidth="1" outlineLevel="1"/>
    <col min="13" max="15" width="11.77734375" style="73" hidden="1" customWidth="1" outlineLevel="1"/>
    <col min="16" max="16" width="11.6640625" style="73" hidden="1" customWidth="1" outlineLevel="1"/>
    <col min="17" max="17" width="12.44140625" style="73" hidden="1" customWidth="1" outlineLevel="1"/>
    <col min="18" max="18" width="12.109375" style="73" hidden="1" customWidth="1" outlineLevel="1"/>
    <col min="19" max="22" width="11.77734375" style="73" hidden="1" customWidth="1" outlineLevel="1"/>
    <col min="23" max="23" width="12.77734375" style="73" customWidth="1" collapsed="1"/>
    <col min="24" max="24" width="13.44140625" style="73" customWidth="1"/>
    <col min="25" max="28" width="11.77734375" style="73" customWidth="1"/>
    <col min="29" max="30" width="11.44140625" style="73" customWidth="1"/>
    <col min="31" max="31" width="11.77734375" style="73" customWidth="1"/>
    <col min="32" max="33" width="10.77734375" style="73" customWidth="1"/>
    <col min="34" max="35" width="11.44140625" style="73" customWidth="1"/>
    <col min="36" max="36" width="11.77734375" style="73" customWidth="1"/>
    <col min="37" max="39" width="10.77734375" style="73" customWidth="1"/>
    <col min="40" max="40" width="2.77734375" style="990" customWidth="1"/>
    <col min="41" max="41" width="10.77734375" style="73" customWidth="1"/>
    <col min="42" max="42" width="8.77734375" style="73" customWidth="1"/>
    <col min="43" max="43" width="15.6640625" style="73" customWidth="1"/>
    <col min="44" max="44" width="23" style="72" customWidth="1"/>
    <col min="45" max="59" width="10.77734375" style="73" customWidth="1"/>
    <col min="60" max="60" width="5.77734375" style="126" customWidth="1"/>
    <col min="61" max="61" width="8.77734375" style="73" customWidth="1"/>
    <col min="62" max="62" width="15.6640625" style="73" customWidth="1"/>
    <col min="63" max="63" width="23" style="72" customWidth="1"/>
    <col min="64" max="78" width="10.77734375" style="73" customWidth="1"/>
    <col min="79" max="79" width="5.77734375" style="126" customWidth="1"/>
    <col min="80" max="16384" width="10.77734375" style="73"/>
  </cols>
  <sheetData>
    <row r="1" spans="1:63" ht="14.5" x14ac:dyDescent="0.3">
      <c r="A1" s="1358">
        <v>80</v>
      </c>
      <c r="B1" s="157"/>
      <c r="C1" s="158" t="s">
        <v>237</v>
      </c>
      <c r="I1" s="73"/>
      <c r="K1" s="471"/>
      <c r="L1" s="471"/>
      <c r="M1" s="471"/>
      <c r="N1" s="471"/>
      <c r="O1" s="471"/>
      <c r="P1" s="471"/>
      <c r="Q1" s="471"/>
      <c r="R1" s="471"/>
      <c r="S1" s="471"/>
      <c r="T1" s="471"/>
      <c r="U1" s="471"/>
      <c r="V1" s="471"/>
      <c r="W1" s="471"/>
      <c r="X1" s="471"/>
      <c r="Y1" s="265"/>
      <c r="Z1" s="265"/>
      <c r="AA1" s="265"/>
      <c r="AB1" s="265"/>
      <c r="AC1" s="265"/>
      <c r="AD1" s="265"/>
      <c r="AE1" s="265"/>
      <c r="AF1" s="265"/>
      <c r="AH1" s="265"/>
      <c r="AI1" s="265"/>
      <c r="AJ1" s="265"/>
      <c r="AK1" s="265"/>
      <c r="AR1" s="73"/>
      <c r="BK1" s="73"/>
    </row>
    <row r="2" spans="1:63" ht="13" x14ac:dyDescent="0.3">
      <c r="C2" s="1359" t="str">
        <f>+Contents!H7</f>
        <v>Central Highlands Water</v>
      </c>
      <c r="I2" s="73"/>
      <c r="N2" s="510"/>
      <c r="O2" s="163"/>
      <c r="Y2" s="265"/>
      <c r="Z2" s="265"/>
      <c r="AA2" s="265"/>
      <c r="AB2" s="265"/>
      <c r="AC2" s="265"/>
      <c r="AD2" s="265"/>
      <c r="AE2" s="265"/>
      <c r="AF2" s="265"/>
      <c r="AH2" s="265"/>
      <c r="AI2" s="265"/>
      <c r="AJ2" s="265"/>
      <c r="AK2" s="265"/>
      <c r="AR2" s="73"/>
      <c r="BK2" s="73"/>
    </row>
    <row r="3" spans="1:63" x14ac:dyDescent="0.3">
      <c r="C3" s="2357" t="s">
        <v>0</v>
      </c>
      <c r="D3" s="2357"/>
      <c r="E3" s="2357"/>
      <c r="F3" s="2357"/>
      <c r="G3" s="2357"/>
      <c r="H3" s="164"/>
      <c r="I3" s="73"/>
      <c r="Y3" s="265"/>
      <c r="Z3" s="265"/>
      <c r="AA3" s="265"/>
      <c r="AB3" s="265"/>
      <c r="AC3" s="265"/>
      <c r="AD3" s="265"/>
      <c r="AE3" s="265"/>
      <c r="AF3" s="265"/>
      <c r="AH3" s="265"/>
      <c r="AI3" s="265"/>
      <c r="AJ3" s="265"/>
      <c r="AK3" s="265"/>
      <c r="AR3" s="73"/>
      <c r="BK3" s="73"/>
    </row>
    <row r="4" spans="1:63" x14ac:dyDescent="0.3">
      <c r="A4" s="165"/>
      <c r="B4" s="165"/>
      <c r="C4" s="75"/>
      <c r="D4" s="76"/>
      <c r="G4" s="63"/>
      <c r="I4" s="73"/>
      <c r="K4" s="66"/>
      <c r="L4" s="155" t="s">
        <v>60</v>
      </c>
      <c r="M4" s="65"/>
      <c r="N4" s="66"/>
      <c r="O4" s="67"/>
      <c r="P4" s="155" t="s">
        <v>61</v>
      </c>
      <c r="Q4" s="67"/>
      <c r="R4" s="65"/>
      <c r="S4" s="1202"/>
      <c r="T4" s="1203"/>
      <c r="U4" s="1572" t="s">
        <v>274</v>
      </c>
      <c r="V4" s="1203"/>
      <c r="W4" s="1204"/>
      <c r="X4" s="1944"/>
      <c r="Y4" s="1575"/>
      <c r="Z4" s="1575" t="s">
        <v>1072</v>
      </c>
      <c r="AA4" s="1575"/>
      <c r="AB4" s="1574"/>
      <c r="AC4" s="1573"/>
      <c r="AD4" s="1575"/>
      <c r="AE4" s="1575" t="s">
        <v>457</v>
      </c>
      <c r="AF4" s="1575"/>
      <c r="AG4" s="1574"/>
      <c r="AH4" s="1573"/>
      <c r="AI4" s="1575"/>
      <c r="AJ4" s="1575" t="s">
        <v>903</v>
      </c>
      <c r="AK4" s="1575"/>
      <c r="AL4" s="1574"/>
      <c r="AR4" s="73"/>
      <c r="BK4" s="73"/>
    </row>
    <row r="5" spans="1:63" x14ac:dyDescent="0.3">
      <c r="I5" s="73"/>
      <c r="AR5" s="73"/>
      <c r="BK5" s="73"/>
    </row>
    <row r="6" spans="1:63" x14ac:dyDescent="0.3">
      <c r="C6" s="166"/>
      <c r="G6" s="167" t="s">
        <v>63</v>
      </c>
      <c r="I6" s="73"/>
      <c r="K6" s="1360">
        <v>2006</v>
      </c>
      <c r="L6" s="1360">
        <v>2007</v>
      </c>
      <c r="M6" s="1360">
        <v>2008</v>
      </c>
      <c r="N6" s="1360">
        <v>2009</v>
      </c>
      <c r="O6" s="1360">
        <v>2010</v>
      </c>
      <c r="P6" s="1360">
        <v>2011</v>
      </c>
      <c r="Q6" s="1360">
        <v>2012</v>
      </c>
      <c r="R6" s="1360">
        <v>2013</v>
      </c>
      <c r="S6" s="1360">
        <v>2014</v>
      </c>
      <c r="T6" s="1360">
        <v>2015</v>
      </c>
      <c r="U6" s="1360">
        <v>2016</v>
      </c>
      <c r="V6" s="1360">
        <v>2017</v>
      </c>
      <c r="W6" s="1360">
        <v>2018</v>
      </c>
      <c r="X6" s="1360">
        <v>2019</v>
      </c>
      <c r="Y6" s="1360">
        <v>2020</v>
      </c>
      <c r="Z6" s="1360">
        <v>2021</v>
      </c>
      <c r="AA6" s="1360">
        <v>2022</v>
      </c>
      <c r="AB6" s="1360">
        <v>2023</v>
      </c>
      <c r="AC6" s="1420">
        <v>2024</v>
      </c>
      <c r="AD6" s="1420">
        <v>2025</v>
      </c>
      <c r="AE6" s="1420">
        <v>2026</v>
      </c>
      <c r="AF6" s="1420">
        <v>2027</v>
      </c>
      <c r="AG6" s="1420">
        <v>2028</v>
      </c>
      <c r="AH6" s="1420">
        <v>2029</v>
      </c>
      <c r="AI6" s="1420">
        <v>2030</v>
      </c>
      <c r="AJ6" s="1420">
        <v>2031</v>
      </c>
      <c r="AK6" s="1420">
        <v>2032</v>
      </c>
      <c r="AL6" s="1420">
        <v>2033</v>
      </c>
      <c r="AR6" s="73"/>
      <c r="BK6" s="73"/>
    </row>
    <row r="7" spans="1:63" x14ac:dyDescent="0.3">
      <c r="A7" s="78"/>
      <c r="B7" s="78"/>
      <c r="C7" s="126" t="str">
        <f>Expenditure_Detail!$B$6</f>
        <v>$m, 01/01/23</v>
      </c>
      <c r="D7" s="78"/>
      <c r="E7" s="78"/>
      <c r="F7" s="78"/>
      <c r="G7" s="169" t="s">
        <v>64</v>
      </c>
      <c r="H7" s="78"/>
      <c r="I7" s="78"/>
      <c r="J7" s="78"/>
      <c r="K7" s="1319" t="str">
        <f t="shared" ref="K7:R7" si="0">+CONCATENATE(K6-1,"-",RIGHT(K6,2))</f>
        <v>2005-06</v>
      </c>
      <c r="L7" s="1319" t="str">
        <f t="shared" si="0"/>
        <v>2006-07</v>
      </c>
      <c r="M7" s="1319" t="str">
        <f t="shared" si="0"/>
        <v>2007-08</v>
      </c>
      <c r="N7" s="1319" t="str">
        <f t="shared" si="0"/>
        <v>2008-09</v>
      </c>
      <c r="O7" s="1319" t="str">
        <f t="shared" si="0"/>
        <v>2009-10</v>
      </c>
      <c r="P7" s="1319" t="str">
        <f t="shared" si="0"/>
        <v>2010-11</v>
      </c>
      <c r="Q7" s="1319" t="str">
        <f t="shared" si="0"/>
        <v>2011-12</v>
      </c>
      <c r="R7" s="1319" t="str">
        <f t="shared" si="0"/>
        <v>2012-13</v>
      </c>
      <c r="S7" s="1319" t="str">
        <f t="shared" ref="S7:X7" si="1">+CONCATENATE(S6-1,"-",RIGHT(S6,2))</f>
        <v>2013-14</v>
      </c>
      <c r="T7" s="1319" t="str">
        <f t="shared" si="1"/>
        <v>2014-15</v>
      </c>
      <c r="U7" s="1319" t="str">
        <f t="shared" si="1"/>
        <v>2015-16</v>
      </c>
      <c r="V7" s="1319" t="str">
        <f t="shared" si="1"/>
        <v>2016-17</v>
      </c>
      <c r="W7" s="1319" t="str">
        <f t="shared" si="1"/>
        <v>2017-18</v>
      </c>
      <c r="X7" s="1319" t="str">
        <f t="shared" si="1"/>
        <v>2018-19</v>
      </c>
      <c r="Y7" s="1319" t="str">
        <f t="shared" ref="Y7:AF7" si="2">+CONCATENATE(Y6-1,"-",RIGHT(Y6,2))</f>
        <v>2019-20</v>
      </c>
      <c r="Z7" s="1319" t="str">
        <f t="shared" si="2"/>
        <v>2020-21</v>
      </c>
      <c r="AA7" s="1319" t="str">
        <f t="shared" si="2"/>
        <v>2021-22</v>
      </c>
      <c r="AB7" s="1319" t="str">
        <f t="shared" si="2"/>
        <v>2022-23</v>
      </c>
      <c r="AC7" s="1319" t="str">
        <f t="shared" si="2"/>
        <v>2023-24</v>
      </c>
      <c r="AD7" s="1319" t="str">
        <f t="shared" si="2"/>
        <v>2024-25</v>
      </c>
      <c r="AE7" s="1319" t="str">
        <f t="shared" si="2"/>
        <v>2025-26</v>
      </c>
      <c r="AF7" s="1319" t="str">
        <f t="shared" si="2"/>
        <v>2026-27</v>
      </c>
      <c r="AG7" s="1319" t="str">
        <f t="shared" ref="AG7:AL7" si="3">+CONCATENATE(AG6-1,"-",RIGHT(AG6,2))</f>
        <v>2027-28</v>
      </c>
      <c r="AH7" s="1319" t="str">
        <f t="shared" si="3"/>
        <v>2028-29</v>
      </c>
      <c r="AI7" s="1319" t="str">
        <f t="shared" si="3"/>
        <v>2029-30</v>
      </c>
      <c r="AJ7" s="1319" t="str">
        <f t="shared" si="3"/>
        <v>2030-31</v>
      </c>
      <c r="AK7" s="1319" t="str">
        <f t="shared" si="3"/>
        <v>2031-32</v>
      </c>
      <c r="AL7" s="1319" t="str">
        <f t="shared" si="3"/>
        <v>2032-33</v>
      </c>
      <c r="AO7" s="78"/>
      <c r="AP7" s="78"/>
      <c r="AQ7" s="78"/>
      <c r="AR7" s="78"/>
      <c r="BI7" s="78"/>
      <c r="BJ7" s="78"/>
      <c r="BK7" s="78"/>
    </row>
    <row r="8" spans="1:63" ht="11.25" customHeight="1" thickBot="1" x14ac:dyDescent="0.35">
      <c r="I8" s="73"/>
      <c r="AQ8" s="72"/>
      <c r="AR8" s="590"/>
      <c r="BJ8" s="72"/>
      <c r="BK8" s="590"/>
    </row>
    <row r="9" spans="1:63" x14ac:dyDescent="0.3">
      <c r="D9" s="170"/>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2"/>
      <c r="AQ9" s="72"/>
      <c r="AR9" s="590"/>
      <c r="BJ9" s="72"/>
      <c r="BK9" s="590"/>
    </row>
    <row r="10" spans="1:63" x14ac:dyDescent="0.3">
      <c r="D10" s="173"/>
      <c r="E10" s="174" t="s">
        <v>70</v>
      </c>
      <c r="F10" s="72"/>
      <c r="G10" s="72"/>
      <c r="H10" s="72"/>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175"/>
      <c r="AQ10" s="72"/>
      <c r="AR10" s="590"/>
      <c r="BJ10" s="72"/>
      <c r="BK10" s="590"/>
    </row>
    <row r="11" spans="1:63" x14ac:dyDescent="0.3">
      <c r="D11" s="173"/>
      <c r="E11" s="72"/>
      <c r="F11" s="72"/>
      <c r="G11" s="72"/>
      <c r="H11" s="72"/>
      <c r="J11" s="72"/>
      <c r="K11" s="72"/>
      <c r="L11" s="72"/>
      <c r="M11" s="72"/>
      <c r="N11" s="72"/>
      <c r="O11" s="72"/>
      <c r="P11" s="72"/>
      <c r="Q11" s="72"/>
      <c r="R11" s="72"/>
      <c r="S11" s="72"/>
      <c r="T11" s="72"/>
      <c r="U11" s="72"/>
      <c r="V11" s="72"/>
      <c r="W11" s="72"/>
      <c r="X11" s="72"/>
      <c r="Y11" s="72"/>
      <c r="Z11" s="72"/>
      <c r="AA11" s="72"/>
      <c r="AB11" s="72"/>
      <c r="AC11" s="72"/>
      <c r="AD11" s="72"/>
      <c r="AE11" s="72"/>
      <c r="AF11" s="72"/>
      <c r="AG11" s="72"/>
      <c r="AH11" s="72"/>
      <c r="AI11" s="72"/>
      <c r="AJ11" s="72"/>
      <c r="AK11" s="72"/>
      <c r="AL11" s="72"/>
      <c r="AM11" s="175"/>
      <c r="AQ11" s="72"/>
      <c r="AR11" s="590"/>
      <c r="BJ11" s="72"/>
      <c r="BK11" s="590"/>
    </row>
    <row r="12" spans="1:63" x14ac:dyDescent="0.3">
      <c r="D12" s="173"/>
      <c r="E12" s="72"/>
      <c r="F12" s="502" t="s">
        <v>283</v>
      </c>
      <c r="G12" s="72"/>
      <c r="H12" s="72"/>
      <c r="J12" s="178"/>
      <c r="K12" s="72"/>
      <c r="L12" s="72"/>
      <c r="M12" s="72"/>
      <c r="N12" s="72"/>
      <c r="O12" s="72"/>
      <c r="P12" s="72"/>
      <c r="Q12" s="72"/>
      <c r="R12" s="72"/>
      <c r="S12" s="72"/>
      <c r="T12" s="72"/>
      <c r="U12" s="72"/>
      <c r="V12" s="72"/>
      <c r="W12" s="297">
        <f t="shared" ref="W12:AG12" si="4">+W57</f>
        <v>0</v>
      </c>
      <c r="X12" s="297">
        <f t="shared" si="4"/>
        <v>0</v>
      </c>
      <c r="Y12" s="297">
        <f t="shared" si="4"/>
        <v>0</v>
      </c>
      <c r="Z12" s="297">
        <f t="shared" si="4"/>
        <v>0</v>
      </c>
      <c r="AA12" s="297">
        <f t="shared" si="4"/>
        <v>0</v>
      </c>
      <c r="AB12" s="297">
        <f t="shared" si="4"/>
        <v>0</v>
      </c>
      <c r="AC12" s="297">
        <f t="shared" si="4"/>
        <v>0.65</v>
      </c>
      <c r="AD12" s="297">
        <f t="shared" si="4"/>
        <v>0.65</v>
      </c>
      <c r="AE12" s="297">
        <f t="shared" si="4"/>
        <v>0.65</v>
      </c>
      <c r="AF12" s="297">
        <f t="shared" si="4"/>
        <v>0.65</v>
      </c>
      <c r="AG12" s="297">
        <f t="shared" si="4"/>
        <v>0.65</v>
      </c>
      <c r="AH12" s="297">
        <f>+AH57</f>
        <v>0</v>
      </c>
      <c r="AI12" s="297">
        <f>+AI57</f>
        <v>0</v>
      </c>
      <c r="AJ12" s="297">
        <f>+AJ57</f>
        <v>0</v>
      </c>
      <c r="AK12" s="297">
        <f>+AK57</f>
        <v>0</v>
      </c>
      <c r="AL12" s="297">
        <f>+AL57</f>
        <v>0</v>
      </c>
      <c r="AM12" s="175"/>
      <c r="AP12" s="807"/>
      <c r="AQ12" s="807"/>
      <c r="AR12" s="807"/>
      <c r="AS12" s="807"/>
      <c r="AT12" s="807"/>
      <c r="AU12" s="807"/>
      <c r="AV12" s="807"/>
      <c r="AW12" s="807"/>
      <c r="AX12" s="807"/>
      <c r="AY12" s="807"/>
      <c r="AZ12" s="807"/>
      <c r="BA12" s="807"/>
      <c r="BC12" s="807"/>
      <c r="BD12" s="807"/>
      <c r="BE12" s="807"/>
      <c r="BF12" s="807"/>
      <c r="BJ12" s="72"/>
      <c r="BK12" s="590"/>
    </row>
    <row r="13" spans="1:63" x14ac:dyDescent="0.3">
      <c r="D13" s="173"/>
      <c r="E13" s="72"/>
      <c r="F13" s="435" t="s">
        <v>39</v>
      </c>
      <c r="G13" s="72"/>
      <c r="H13" s="72"/>
      <c r="J13" s="178"/>
      <c r="K13" s="72"/>
      <c r="L13" s="72"/>
      <c r="M13" s="72"/>
      <c r="N13" s="72"/>
      <c r="O13" s="72"/>
      <c r="P13" s="72"/>
      <c r="Q13" s="72"/>
      <c r="R13" s="72"/>
      <c r="S13" s="72"/>
      <c r="T13" s="72"/>
      <c r="U13" s="72"/>
      <c r="V13" s="72"/>
      <c r="W13" s="297">
        <f t="shared" ref="W13:AB13" si="5">+SUMIF($E$69:$E$65543,$E$71,W$69:W$65543)+W65</f>
        <v>92.133528049180811</v>
      </c>
      <c r="X13" s="297">
        <f t="shared" si="5"/>
        <v>94.504678975589613</v>
      </c>
      <c r="Y13" s="297">
        <f t="shared" si="5"/>
        <v>93.457565160540994</v>
      </c>
      <c r="Z13" s="2024">
        <f t="shared" si="5"/>
        <v>94.566460003635157</v>
      </c>
      <c r="AA13" s="2024">
        <f t="shared" si="5"/>
        <v>95.824686185703342</v>
      </c>
      <c r="AB13" s="2024">
        <f t="shared" si="5"/>
        <v>100.81581395191769</v>
      </c>
      <c r="AC13" s="2234">
        <f t="shared" ref="AC13" si="6">+SUMIF($E$69:$E$65543,$E$71,AC$69:AC$65543)</f>
        <v>103.75927301150219</v>
      </c>
      <c r="AD13" s="297">
        <f t="shared" ref="AD13:AL13" si="7">+SUMIF($E$69:$E$65543,$E$71,AD$69:AD$65543)</f>
        <v>106.89175988410285</v>
      </c>
      <c r="AE13" s="297">
        <f t="shared" si="7"/>
        <v>110.16347261321754</v>
      </c>
      <c r="AF13" s="297">
        <f t="shared" si="7"/>
        <v>113.53733049437619</v>
      </c>
      <c r="AG13" s="297">
        <f t="shared" si="7"/>
        <v>116.80135983747027</v>
      </c>
      <c r="AH13" s="297">
        <f t="shared" si="7"/>
        <v>120.16323238658045</v>
      </c>
      <c r="AI13" s="297">
        <f t="shared" si="7"/>
        <v>123.62595031452092</v>
      </c>
      <c r="AJ13" s="297">
        <f t="shared" si="7"/>
        <v>127.19260930813344</v>
      </c>
      <c r="AK13" s="297">
        <f t="shared" si="7"/>
        <v>130.86640151048343</v>
      </c>
      <c r="AL13" s="297">
        <f t="shared" si="7"/>
        <v>134.6506185562466</v>
      </c>
      <c r="AM13" s="175"/>
      <c r="AP13" s="807"/>
      <c r="AQ13" s="807"/>
      <c r="AR13" s="807"/>
      <c r="AS13" s="807"/>
      <c r="AT13" s="807"/>
      <c r="AU13" s="807"/>
      <c r="AV13" s="807"/>
      <c r="AW13" s="807"/>
      <c r="AX13" s="807"/>
      <c r="AY13" s="807"/>
      <c r="AZ13" s="807"/>
      <c r="BA13" s="807"/>
      <c r="BC13" s="807"/>
      <c r="BD13" s="807"/>
      <c r="BE13" s="807"/>
      <c r="BF13" s="807"/>
      <c r="BJ13" s="72"/>
      <c r="BK13" s="590"/>
    </row>
    <row r="14" spans="1:63" x14ac:dyDescent="0.3">
      <c r="D14" s="173"/>
      <c r="E14" s="72"/>
      <c r="F14" s="466" t="s">
        <v>71</v>
      </c>
      <c r="G14" s="105"/>
      <c r="H14" s="105"/>
      <c r="I14" s="105"/>
      <c r="J14" s="178"/>
      <c r="K14" s="72"/>
      <c r="L14" s="72"/>
      <c r="M14" s="72"/>
      <c r="N14" s="72"/>
      <c r="O14" s="72"/>
      <c r="P14" s="72"/>
      <c r="Q14" s="72"/>
      <c r="R14" s="72"/>
      <c r="S14" s="72"/>
      <c r="T14" s="72"/>
      <c r="U14" s="72"/>
      <c r="V14" s="72"/>
      <c r="W14" s="1565">
        <f t="shared" ref="W14:X14" si="8">+W12+W13</f>
        <v>92.133528049180811</v>
      </c>
      <c r="X14" s="1565">
        <f t="shared" si="8"/>
        <v>94.504678975589613</v>
      </c>
      <c r="Y14" s="1565">
        <f t="shared" ref="Y14:AG14" si="9">+Y12+Y13</f>
        <v>93.457565160540994</v>
      </c>
      <c r="Z14" s="1565">
        <f t="shared" si="9"/>
        <v>94.566460003635157</v>
      </c>
      <c r="AA14" s="1565">
        <f t="shared" si="9"/>
        <v>95.824686185703342</v>
      </c>
      <c r="AB14" s="1565">
        <f t="shared" si="9"/>
        <v>100.81581395191769</v>
      </c>
      <c r="AC14" s="1565">
        <f t="shared" si="9"/>
        <v>104.40927301150219</v>
      </c>
      <c r="AD14" s="1565">
        <f t="shared" si="9"/>
        <v>107.54175988410286</v>
      </c>
      <c r="AE14" s="1565">
        <f t="shared" si="9"/>
        <v>110.81347261321754</v>
      </c>
      <c r="AF14" s="1565">
        <f t="shared" si="9"/>
        <v>114.1873304943762</v>
      </c>
      <c r="AG14" s="1565">
        <f t="shared" si="9"/>
        <v>117.45135983747028</v>
      </c>
      <c r="AH14" s="1565">
        <f>+AH12+AH13</f>
        <v>120.16323238658045</v>
      </c>
      <c r="AI14" s="1565">
        <f>+AI12+AI13</f>
        <v>123.62595031452092</v>
      </c>
      <c r="AJ14" s="1565">
        <f>+AJ12+AJ13</f>
        <v>127.19260930813344</v>
      </c>
      <c r="AK14" s="1565">
        <f>+AK12+AK13</f>
        <v>130.86640151048343</v>
      </c>
      <c r="AL14" s="1565">
        <f>+AL12+AL13</f>
        <v>134.6506185562466</v>
      </c>
      <c r="AM14" s="175"/>
      <c r="AP14" s="807"/>
      <c r="AQ14" s="807"/>
      <c r="AR14" s="807"/>
      <c r="AS14" s="807"/>
      <c r="AT14" s="807"/>
      <c r="AU14" s="807"/>
      <c r="AV14" s="807"/>
      <c r="AW14" s="807"/>
      <c r="AX14" s="807"/>
      <c r="AY14" s="807"/>
      <c r="AZ14" s="807"/>
      <c r="BA14" s="807"/>
      <c r="BC14" s="807"/>
      <c r="BD14" s="807"/>
      <c r="BE14" s="807"/>
      <c r="BF14" s="807"/>
      <c r="BJ14" s="72"/>
      <c r="BK14" s="590"/>
    </row>
    <row r="15" spans="1:63" x14ac:dyDescent="0.3">
      <c r="D15" s="173"/>
      <c r="E15" s="72"/>
      <c r="F15" s="435" t="s">
        <v>38</v>
      </c>
      <c r="G15" s="72"/>
      <c r="H15" s="72"/>
      <c r="J15" s="178"/>
      <c r="K15" s="72"/>
      <c r="L15" s="72"/>
      <c r="M15" s="72"/>
      <c r="N15" s="72"/>
      <c r="O15" s="72"/>
      <c r="P15" s="72"/>
      <c r="Q15" s="72"/>
      <c r="R15" s="72"/>
      <c r="S15" s="72"/>
      <c r="T15" s="72"/>
      <c r="U15" s="72"/>
      <c r="V15" s="72"/>
      <c r="W15" s="297">
        <f t="shared" ref="W15:X15" si="10">+W59</f>
        <v>0</v>
      </c>
      <c r="X15" s="297">
        <f t="shared" si="10"/>
        <v>0</v>
      </c>
      <c r="Y15" s="297">
        <f t="shared" ref="Y15:AG15" si="11">+Y59</f>
        <v>0</v>
      </c>
      <c r="Z15" s="297">
        <f t="shared" si="11"/>
        <v>0</v>
      </c>
      <c r="AA15" s="297">
        <f t="shared" si="11"/>
        <v>0</v>
      </c>
      <c r="AB15" s="297">
        <f t="shared" si="11"/>
        <v>0</v>
      </c>
      <c r="AC15" s="297">
        <f t="shared" si="11"/>
        <v>1</v>
      </c>
      <c r="AD15" s="297">
        <f t="shared" si="11"/>
        <v>1</v>
      </c>
      <c r="AE15" s="297">
        <f t="shared" si="11"/>
        <v>1</v>
      </c>
      <c r="AF15" s="297">
        <f t="shared" si="11"/>
        <v>1</v>
      </c>
      <c r="AG15" s="297">
        <f t="shared" si="11"/>
        <v>1</v>
      </c>
      <c r="AH15" s="297">
        <f>+AH59</f>
        <v>0.5</v>
      </c>
      <c r="AI15" s="297">
        <f>+AI59</f>
        <v>0.5</v>
      </c>
      <c r="AJ15" s="297">
        <f>+AJ59</f>
        <v>0.5</v>
      </c>
      <c r="AK15" s="297">
        <f>+AK59</f>
        <v>0.5</v>
      </c>
      <c r="AL15" s="297">
        <f>+AL59</f>
        <v>0.5</v>
      </c>
      <c r="AM15" s="175"/>
      <c r="AP15" s="807"/>
      <c r="AQ15" s="807"/>
      <c r="AR15" s="807"/>
      <c r="AS15" s="807"/>
      <c r="AT15" s="807"/>
      <c r="AU15" s="807"/>
      <c r="AV15" s="807"/>
      <c r="AW15" s="807"/>
      <c r="AX15" s="807"/>
      <c r="AY15" s="807"/>
      <c r="AZ15" s="807"/>
      <c r="BA15" s="807"/>
      <c r="BC15" s="807"/>
      <c r="BD15" s="807"/>
      <c r="BE15" s="807"/>
      <c r="BF15" s="807"/>
      <c r="BJ15" s="72"/>
      <c r="BK15" s="590"/>
    </row>
    <row r="16" spans="1:63" x14ac:dyDescent="0.3">
      <c r="D16" s="173"/>
      <c r="E16" s="72"/>
      <c r="F16" s="435"/>
      <c r="G16" s="72"/>
      <c r="H16" s="72"/>
      <c r="J16" s="178"/>
      <c r="K16" s="72"/>
      <c r="L16" s="72"/>
      <c r="M16" s="72"/>
      <c r="N16" s="72"/>
      <c r="O16" s="72"/>
      <c r="P16" s="72"/>
      <c r="Q16" s="72"/>
      <c r="R16" s="72"/>
      <c r="S16" s="72"/>
      <c r="T16" s="72"/>
      <c r="U16" s="72"/>
      <c r="V16" s="72"/>
      <c r="W16" s="462"/>
      <c r="X16" s="1155"/>
      <c r="Y16" s="1155"/>
      <c r="Z16" s="462"/>
      <c r="AA16" s="462"/>
      <c r="AB16" s="462"/>
      <c r="AC16" s="462"/>
      <c r="AD16" s="462"/>
      <c r="AE16" s="462"/>
      <c r="AF16" s="462"/>
      <c r="AG16" s="462"/>
      <c r="AH16" s="462"/>
      <c r="AI16" s="462"/>
      <c r="AJ16" s="462"/>
      <c r="AK16" s="462"/>
      <c r="AL16" s="462"/>
      <c r="AM16" s="175"/>
      <c r="AP16" s="807"/>
      <c r="AQ16" s="807"/>
      <c r="AR16" s="807"/>
      <c r="AS16" s="807"/>
      <c r="AT16" s="807"/>
      <c r="AU16" s="807"/>
      <c r="AV16" s="807"/>
      <c r="AW16" s="807"/>
      <c r="AX16" s="807"/>
      <c r="AY16" s="807"/>
      <c r="AZ16" s="807"/>
      <c r="BA16" s="807"/>
      <c r="BC16" s="807"/>
      <c r="BD16" s="807"/>
      <c r="BE16" s="807"/>
      <c r="BF16" s="807"/>
      <c r="BJ16" s="72"/>
      <c r="BK16" s="590"/>
    </row>
    <row r="17" spans="4:63" ht="12.5" thickBot="1" x14ac:dyDescent="0.35">
      <c r="D17" s="173"/>
      <c r="E17" s="72"/>
      <c r="F17" s="466" t="s">
        <v>72</v>
      </c>
      <c r="G17" s="72"/>
      <c r="H17" s="72"/>
      <c r="J17" s="178"/>
      <c r="K17" s="72"/>
      <c r="L17" s="72"/>
      <c r="M17" s="72"/>
      <c r="N17" s="72"/>
      <c r="O17" s="72"/>
      <c r="P17" s="72"/>
      <c r="Q17" s="72"/>
      <c r="R17" s="72"/>
      <c r="S17" s="72"/>
      <c r="T17" s="72"/>
      <c r="U17" s="72"/>
      <c r="V17" s="72"/>
      <c r="W17" s="1698">
        <f t="shared" ref="W17:AG17" si="12">+W14-W15</f>
        <v>92.133528049180811</v>
      </c>
      <c r="X17" s="1698">
        <f t="shared" si="12"/>
        <v>94.504678975589613</v>
      </c>
      <c r="Y17" s="1698">
        <f t="shared" si="12"/>
        <v>93.457565160540994</v>
      </c>
      <c r="Z17" s="1698">
        <f t="shared" si="12"/>
        <v>94.566460003635157</v>
      </c>
      <c r="AA17" s="1698">
        <f t="shared" si="12"/>
        <v>95.824686185703342</v>
      </c>
      <c r="AB17" s="1698">
        <f t="shared" si="12"/>
        <v>100.81581395191769</v>
      </c>
      <c r="AC17" s="1698">
        <f t="shared" si="12"/>
        <v>103.40927301150219</v>
      </c>
      <c r="AD17" s="1698">
        <f t="shared" si="12"/>
        <v>106.54175988410286</v>
      </c>
      <c r="AE17" s="1698">
        <f t="shared" si="12"/>
        <v>109.81347261321754</v>
      </c>
      <c r="AF17" s="1698">
        <f t="shared" si="12"/>
        <v>113.1873304943762</v>
      </c>
      <c r="AG17" s="1698">
        <f t="shared" si="12"/>
        <v>116.45135983747028</v>
      </c>
      <c r="AH17" s="1698">
        <f>+AH14-AH15</f>
        <v>119.66323238658045</v>
      </c>
      <c r="AI17" s="1698">
        <f>+AI14-AI15</f>
        <v>123.12595031452092</v>
      </c>
      <c r="AJ17" s="1698">
        <f>+AJ14-AJ15</f>
        <v>126.69260930813344</v>
      </c>
      <c r="AK17" s="1698">
        <f>+AK14-AK15</f>
        <v>130.36640151048343</v>
      </c>
      <c r="AL17" s="1698">
        <f>+AL14-AL15</f>
        <v>134.1506185562466</v>
      </c>
      <c r="AM17" s="175"/>
      <c r="AO17" s="1315"/>
      <c r="AP17" s="807"/>
      <c r="AQ17" s="807"/>
      <c r="AR17" s="807"/>
      <c r="AS17" s="807"/>
      <c r="AT17" s="807"/>
      <c r="AU17" s="807"/>
      <c r="AV17" s="807"/>
      <c r="AW17" s="807"/>
      <c r="AX17" s="807"/>
      <c r="AY17" s="807"/>
      <c r="AZ17" s="807"/>
      <c r="BA17" s="807"/>
      <c r="BC17" s="807"/>
      <c r="BD17" s="807"/>
      <c r="BE17" s="807"/>
      <c r="BF17" s="807"/>
      <c r="BJ17" s="72"/>
      <c r="BK17" s="590"/>
    </row>
    <row r="18" spans="4:63" x14ac:dyDescent="0.3">
      <c r="D18" s="173"/>
      <c r="E18" s="72"/>
      <c r="F18" s="514" t="s">
        <v>73</v>
      </c>
      <c r="G18" s="87"/>
      <c r="H18" s="87"/>
      <c r="I18" s="87"/>
      <c r="J18" s="178"/>
      <c r="K18" s="72"/>
      <c r="L18" s="72"/>
      <c r="M18" s="72"/>
      <c r="N18" s="72"/>
      <c r="O18" s="72"/>
      <c r="P18" s="72"/>
      <c r="Q18" s="72"/>
      <c r="R18" s="72"/>
      <c r="S18" s="72"/>
      <c r="T18" s="72"/>
      <c r="U18" s="72"/>
      <c r="V18" s="72"/>
      <c r="W18" s="1699">
        <f>+Determination_Lookup!M10</f>
        <v>99.217006173245181</v>
      </c>
      <c r="X18" s="1699">
        <f>+Determination_Lookup!N10</f>
        <v>98.241752731396645</v>
      </c>
      <c r="Y18" s="1699">
        <f>+Determination_Lookup!O10</f>
        <v>98.984695770949031</v>
      </c>
      <c r="Z18" s="1699">
        <f>+Determination_Lookup!P10</f>
        <v>99.050510493747737</v>
      </c>
      <c r="AA18" s="1699">
        <f>+Determination_Lookup!Q10</f>
        <v>99.811440983806364</v>
      </c>
      <c r="AB18" s="1699">
        <f>+Determination_Lookup!R10</f>
        <v>100.23147140236459</v>
      </c>
      <c r="AC18" s="297">
        <f>+'Rev&amp;RAV_FO'!AC23</f>
        <v>104.06385545438683</v>
      </c>
      <c r="AD18" s="297">
        <f>+'Rev&amp;RAV_FO'!AD23</f>
        <v>106.94004285484651</v>
      </c>
      <c r="AE18" s="297">
        <f>+'Rev&amp;RAV_FO'!AE23</f>
        <v>109.18152309433378</v>
      </c>
      <c r="AF18" s="297">
        <f>+'Rev&amp;RAV_FO'!AF23</f>
        <v>110.44864096807545</v>
      </c>
      <c r="AG18" s="297">
        <f>+'Rev&amp;RAV_FO'!AG23</f>
        <v>118.55392838684085</v>
      </c>
      <c r="AH18" s="297">
        <f ca="1">+'Rev&amp;RAV_FO'!AH23</f>
        <v>120.75745129797468</v>
      </c>
      <c r="AI18" s="297">
        <f ca="1">+'Rev&amp;RAV_FO'!AI23</f>
        <v>124.95933650928491</v>
      </c>
      <c r="AJ18" s="297">
        <f ca="1">+'Rev&amp;RAV_FO'!AJ23</f>
        <v>128.35488889955744</v>
      </c>
      <c r="AK18" s="297">
        <f ca="1">+'Rev&amp;RAV_FO'!AK23</f>
        <v>130.28407684269885</v>
      </c>
      <c r="AL18" s="297">
        <f ca="1">+'Rev&amp;RAV_FO'!AL23</f>
        <v>131.90331196503232</v>
      </c>
      <c r="AM18" s="175"/>
      <c r="AO18" s="1315"/>
      <c r="AP18" s="807"/>
      <c r="AQ18" s="807"/>
      <c r="AR18" s="807"/>
      <c r="AS18" s="1307"/>
      <c r="AT18" s="1307"/>
      <c r="AU18" s="1307"/>
      <c r="AV18" s="1307"/>
      <c r="AW18" s="1307"/>
      <c r="AX18" s="1307"/>
      <c r="AY18" s="1307"/>
      <c r="AZ18" s="807"/>
      <c r="BA18" s="807"/>
      <c r="BC18" s="1307"/>
      <c r="BD18" s="1307"/>
      <c r="BE18" s="807"/>
      <c r="BF18" s="807"/>
      <c r="BJ18" s="72"/>
      <c r="BK18" s="590"/>
    </row>
    <row r="19" spans="4:63" x14ac:dyDescent="0.3">
      <c r="D19" s="173"/>
      <c r="E19" s="72"/>
      <c r="F19" s="435"/>
      <c r="G19" s="72"/>
      <c r="H19" s="72"/>
      <c r="J19" s="178"/>
      <c r="K19" s="72"/>
      <c r="L19" s="72"/>
      <c r="M19" s="72"/>
      <c r="N19" s="72"/>
      <c r="O19" s="72"/>
      <c r="P19" s="72"/>
      <c r="Q19" s="72"/>
      <c r="R19" s="72"/>
      <c r="S19" s="72"/>
      <c r="T19" s="72"/>
      <c r="U19" s="72"/>
      <c r="V19" s="72"/>
      <c r="W19" s="462"/>
      <c r="X19" s="462"/>
      <c r="Y19" s="462"/>
      <c r="Z19" s="462"/>
      <c r="AA19" s="462"/>
      <c r="AB19" s="462"/>
      <c r="AC19" s="462"/>
      <c r="AD19" s="462"/>
      <c r="AE19" s="462"/>
      <c r="AF19" s="462"/>
      <c r="AG19" s="462"/>
      <c r="AH19" s="462"/>
      <c r="AI19" s="462"/>
      <c r="AJ19" s="462"/>
      <c r="AK19" s="462"/>
      <c r="AL19" s="462"/>
      <c r="AM19" s="175"/>
      <c r="AO19" s="1315"/>
      <c r="AP19" s="807"/>
      <c r="AQ19" s="807"/>
      <c r="AR19" s="807"/>
      <c r="AS19" s="807"/>
      <c r="AT19" s="807"/>
      <c r="AU19" s="807"/>
      <c r="AV19" s="807"/>
      <c r="AW19" s="807"/>
      <c r="AX19" s="807"/>
      <c r="AY19" s="807"/>
      <c r="AZ19" s="807"/>
      <c r="BA19" s="807"/>
      <c r="BC19" s="807"/>
      <c r="BD19" s="807"/>
      <c r="BE19" s="807"/>
      <c r="BF19" s="807"/>
      <c r="BJ19" s="72"/>
      <c r="BK19" s="590"/>
    </row>
    <row r="20" spans="4:63" x14ac:dyDescent="0.3">
      <c r="D20" s="173"/>
      <c r="E20" s="72"/>
      <c r="F20" s="435" t="s">
        <v>74</v>
      </c>
      <c r="G20" s="72"/>
      <c r="H20" s="72"/>
      <c r="J20" s="178"/>
      <c r="K20" s="72"/>
      <c r="L20" s="72"/>
      <c r="M20" s="72"/>
      <c r="N20" s="72"/>
      <c r="O20" s="72"/>
      <c r="P20" s="72"/>
      <c r="Q20" s="72"/>
      <c r="R20" s="72"/>
      <c r="S20" s="72"/>
      <c r="T20" s="72"/>
      <c r="U20" s="72"/>
      <c r="V20" s="72"/>
      <c r="W20" s="1527">
        <f ca="1">+NotPres_FO!W12</f>
        <v>4.6124123131221726</v>
      </c>
      <c r="X20" s="1527">
        <f ca="1">+NotPres_FO!X12</f>
        <v>6.1082183861210302</v>
      </c>
      <c r="Y20" s="1527">
        <f ca="1">+NotPres_FO!Y12</f>
        <v>8.7013893496078776</v>
      </c>
      <c r="Z20" s="1527">
        <f ca="1">+NotPres_FO!Z12</f>
        <v>3.7585105493132165</v>
      </c>
      <c r="AA20" s="1527">
        <f ca="1">+NotPres_FO!AA12</f>
        <v>3.7960956548063485</v>
      </c>
      <c r="AB20" s="1527">
        <f ca="1">+NotPres_FO!AB12</f>
        <v>3.8340566113544119</v>
      </c>
      <c r="AC20" s="1527">
        <f ca="1">+NotPres_FO!AC12</f>
        <v>3.8723971774679562</v>
      </c>
      <c r="AD20" s="1527">
        <f ca="1">+NotPres_FO!AD12</f>
        <v>3.9111211492426357</v>
      </c>
      <c r="AE20" s="1527">
        <f ca="1">+NotPres_FO!AE12</f>
        <v>3.950232360735062</v>
      </c>
      <c r="AF20" s="1527">
        <f ca="1">+NotPres_FO!AF12</f>
        <v>3.9897346843424129</v>
      </c>
      <c r="AG20" s="1527">
        <f ca="1">+NotPres_FO!AG12</f>
        <v>4.0296320311858373</v>
      </c>
      <c r="AH20" s="1527">
        <f ca="1">+NotPres_FO!AH12</f>
        <v>4.0699283514976958</v>
      </c>
      <c r="AI20" s="1527">
        <f ca="1">+NotPres_FO!AI12</f>
        <v>4.1106276350126727</v>
      </c>
      <c r="AJ20" s="1527">
        <f ca="1">+NotPres_FO!AJ12</f>
        <v>4.1517339113627996</v>
      </c>
      <c r="AK20" s="1527">
        <f ca="1">+NotPres_FO!AK12</f>
        <v>4.1932512504764272</v>
      </c>
      <c r="AL20" s="1527">
        <f ca="1">+NotPres_FO!AL12</f>
        <v>4.2351837629811913</v>
      </c>
      <c r="AM20" s="175"/>
      <c r="AP20" s="807"/>
      <c r="AQ20" s="807"/>
      <c r="AR20" s="807"/>
      <c r="AS20" s="807"/>
      <c r="AT20" s="807"/>
      <c r="AU20" s="807"/>
      <c r="AV20" s="807"/>
      <c r="AW20" s="807"/>
      <c r="AX20" s="807"/>
      <c r="AY20" s="807"/>
      <c r="AZ20" s="807"/>
      <c r="BA20" s="807"/>
      <c r="BC20" s="807"/>
      <c r="BD20" s="807"/>
      <c r="BE20" s="807"/>
      <c r="BF20" s="807"/>
      <c r="BJ20" s="72"/>
      <c r="BK20" s="590"/>
    </row>
    <row r="21" spans="4:63" x14ac:dyDescent="0.3">
      <c r="D21" s="173"/>
      <c r="E21" s="72"/>
      <c r="F21" s="435"/>
      <c r="G21" s="72"/>
      <c r="H21" s="72"/>
      <c r="J21" s="178"/>
      <c r="K21" s="72"/>
      <c r="L21" s="72"/>
      <c r="M21" s="72"/>
      <c r="N21" s="72"/>
      <c r="O21" s="72"/>
      <c r="P21" s="72"/>
      <c r="Q21" s="72"/>
      <c r="R21" s="72"/>
      <c r="S21" s="72"/>
      <c r="T21" s="72"/>
      <c r="U21" s="72"/>
      <c r="V21" s="72"/>
      <c r="W21" s="462"/>
      <c r="X21" s="462"/>
      <c r="Y21" s="462"/>
      <c r="Z21" s="462"/>
      <c r="AA21" s="462"/>
      <c r="AB21" s="462"/>
      <c r="AC21" s="462"/>
      <c r="AD21" s="462"/>
      <c r="AE21" s="462"/>
      <c r="AF21" s="462"/>
      <c r="AG21" s="462"/>
      <c r="AH21" s="462"/>
      <c r="AI21" s="462"/>
      <c r="AJ21" s="462"/>
      <c r="AK21" s="462"/>
      <c r="AL21" s="462"/>
      <c r="AM21" s="175"/>
      <c r="AO21" s="84"/>
      <c r="AP21" s="807"/>
      <c r="AQ21" s="807"/>
      <c r="AR21" s="807"/>
      <c r="AS21" s="807"/>
      <c r="AT21" s="807"/>
      <c r="AU21" s="807"/>
      <c r="AV21" s="807"/>
      <c r="AW21" s="807"/>
      <c r="AX21" s="807"/>
      <c r="AY21" s="807"/>
      <c r="AZ21" s="807"/>
      <c r="BA21" s="807"/>
      <c r="BC21" s="807"/>
      <c r="BD21" s="807"/>
      <c r="BE21" s="807"/>
      <c r="BF21" s="807"/>
      <c r="BJ21" s="72"/>
      <c r="BK21" s="590"/>
    </row>
    <row r="22" spans="4:63" ht="12.5" thickBot="1" x14ac:dyDescent="0.35">
      <c r="D22" s="173"/>
      <c r="E22" s="72"/>
      <c r="F22" s="466" t="s">
        <v>75</v>
      </c>
      <c r="G22" s="105"/>
      <c r="H22" s="105"/>
      <c r="I22" s="105"/>
      <c r="J22" s="178"/>
      <c r="K22" s="72"/>
      <c r="L22" s="72"/>
      <c r="M22" s="72"/>
      <c r="N22" s="72"/>
      <c r="O22" s="72"/>
      <c r="P22" s="72"/>
      <c r="Q22" s="72"/>
      <c r="R22" s="72"/>
      <c r="S22" s="72"/>
      <c r="T22" s="72"/>
      <c r="U22" s="72"/>
      <c r="V22" s="72"/>
      <c r="W22" s="1698">
        <f t="shared" ref="W22:AG22" ca="1" si="13">+W17+W20</f>
        <v>96.745940362302989</v>
      </c>
      <c r="X22" s="1698">
        <f t="shared" ca="1" si="13"/>
        <v>100.61289736171064</v>
      </c>
      <c r="Y22" s="1698">
        <f t="shared" ca="1" si="13"/>
        <v>102.15895451014887</v>
      </c>
      <c r="Z22" s="1698">
        <f t="shared" ca="1" si="13"/>
        <v>98.324970552948372</v>
      </c>
      <c r="AA22" s="1698">
        <f t="shared" ca="1" si="13"/>
        <v>99.620781840509693</v>
      </c>
      <c r="AB22" s="1698">
        <f t="shared" ca="1" si="13"/>
        <v>104.6498705632721</v>
      </c>
      <c r="AC22" s="1698">
        <f t="shared" ca="1" si="13"/>
        <v>107.28167018897015</v>
      </c>
      <c r="AD22" s="1698">
        <f t="shared" ca="1" si="13"/>
        <v>110.45288103334549</v>
      </c>
      <c r="AE22" s="1698">
        <f t="shared" ca="1" si="13"/>
        <v>113.7637049739526</v>
      </c>
      <c r="AF22" s="1698">
        <f t="shared" ca="1" si="13"/>
        <v>117.17706517871861</v>
      </c>
      <c r="AG22" s="1698">
        <f t="shared" ca="1" si="13"/>
        <v>120.48099186865612</v>
      </c>
      <c r="AH22" s="1698">
        <f ca="1">+AH17+AH20</f>
        <v>123.73316073807814</v>
      </c>
      <c r="AI22" s="1698">
        <f ca="1">+AI17+AI20</f>
        <v>127.2365779495336</v>
      </c>
      <c r="AJ22" s="1698">
        <f ca="1">+AJ17+AJ20</f>
        <v>130.84434321949624</v>
      </c>
      <c r="AK22" s="1698">
        <f ca="1">+AK17+AK20</f>
        <v>134.55965276095986</v>
      </c>
      <c r="AL22" s="1698">
        <f ca="1">+AL17+AL20</f>
        <v>138.38580231922779</v>
      </c>
      <c r="AM22" s="175"/>
      <c r="AO22" s="84"/>
      <c r="AP22" s="807"/>
      <c r="AQ22" s="807"/>
      <c r="AR22" s="807"/>
      <c r="AS22" s="807"/>
      <c r="AT22" s="807"/>
      <c r="AU22" s="807"/>
      <c r="AV22" s="807"/>
      <c r="AW22" s="807"/>
      <c r="AX22" s="807"/>
      <c r="AY22" s="807"/>
      <c r="AZ22" s="807"/>
      <c r="BA22" s="807"/>
      <c r="BC22" s="807"/>
      <c r="BD22" s="807"/>
      <c r="BE22" s="807"/>
      <c r="BF22" s="807"/>
      <c r="BJ22" s="72"/>
      <c r="BK22" s="590"/>
    </row>
    <row r="23" spans="4:63" x14ac:dyDescent="0.3">
      <c r="D23" s="173"/>
      <c r="E23" s="72"/>
      <c r="F23" s="466"/>
      <c r="G23" s="105"/>
      <c r="H23" s="105"/>
      <c r="I23" s="105"/>
      <c r="J23" s="178"/>
      <c r="K23" s="72"/>
      <c r="L23" s="72"/>
      <c r="M23" s="72"/>
      <c r="N23" s="72"/>
      <c r="O23" s="72"/>
      <c r="P23" s="72"/>
      <c r="Q23" s="72"/>
      <c r="R23" s="72"/>
      <c r="S23" s="72"/>
      <c r="T23" s="72"/>
      <c r="U23" s="72"/>
      <c r="V23" s="72"/>
      <c r="W23" s="178"/>
      <c r="X23" s="178"/>
      <c r="Y23" s="178"/>
      <c r="Z23" s="1316"/>
      <c r="AA23" s="1316"/>
      <c r="AB23" s="1316"/>
      <c r="AC23" s="178"/>
      <c r="AD23" s="178"/>
      <c r="AE23" s="178"/>
      <c r="AF23" s="178"/>
      <c r="AG23" s="178"/>
      <c r="AH23" s="178"/>
      <c r="AI23" s="178"/>
      <c r="AJ23" s="178"/>
      <c r="AK23" s="178"/>
      <c r="AL23" s="178"/>
      <c r="AM23" s="175"/>
      <c r="AO23" s="84"/>
      <c r="AQ23" s="72"/>
      <c r="AR23" s="590"/>
      <c r="BJ23" s="72"/>
      <c r="BK23" s="590"/>
    </row>
    <row r="24" spans="4:63" ht="12.5" thickBot="1" x14ac:dyDescent="0.35">
      <c r="D24" s="179"/>
      <c r="E24" s="180"/>
      <c r="F24" s="180"/>
      <c r="G24" s="180"/>
      <c r="H24" s="180"/>
      <c r="I24" s="180"/>
      <c r="J24" s="180"/>
      <c r="K24" s="516"/>
      <c r="L24" s="516"/>
      <c r="M24" s="516"/>
      <c r="N24" s="516"/>
      <c r="O24" s="516"/>
      <c r="P24" s="516"/>
      <c r="Q24" s="516"/>
      <c r="R24" s="516"/>
      <c r="S24" s="516"/>
      <c r="T24" s="516"/>
      <c r="U24" s="516"/>
      <c r="V24" s="516"/>
      <c r="W24" s="516"/>
      <c r="X24" s="516"/>
      <c r="Y24" s="516"/>
      <c r="Z24" s="516"/>
      <c r="AA24" s="516"/>
      <c r="AB24" s="516"/>
      <c r="AC24" s="516"/>
      <c r="AD24" s="516"/>
      <c r="AE24" s="516"/>
      <c r="AF24" s="516"/>
      <c r="AG24" s="516"/>
      <c r="AH24" s="516"/>
      <c r="AI24" s="516"/>
      <c r="AJ24" s="516"/>
      <c r="AK24" s="516"/>
      <c r="AL24" s="516"/>
      <c r="AM24" s="182"/>
      <c r="AO24" s="84"/>
      <c r="AQ24" s="72"/>
      <c r="AR24" s="590"/>
      <c r="BJ24" s="72"/>
      <c r="BK24" s="590"/>
    </row>
    <row r="25" spans="4:63" x14ac:dyDescent="0.3">
      <c r="D25" s="77"/>
      <c r="I25" s="73"/>
      <c r="K25" s="517"/>
      <c r="L25" s="517"/>
      <c r="M25" s="517"/>
      <c r="N25" s="517"/>
      <c r="O25" s="517"/>
      <c r="P25" s="517"/>
      <c r="Q25" s="517"/>
      <c r="R25" s="517"/>
      <c r="S25" s="517"/>
      <c r="T25" s="517"/>
      <c r="U25" s="517"/>
      <c r="V25" s="517"/>
      <c r="W25" s="517"/>
      <c r="X25" s="517"/>
      <c r="Y25" s="517"/>
      <c r="Z25" s="517"/>
      <c r="AA25" s="517"/>
      <c r="AB25" s="517"/>
      <c r="AC25" s="517"/>
      <c r="AH25" s="517"/>
      <c r="AM25" s="84"/>
      <c r="AO25" s="84"/>
      <c r="AQ25" s="72"/>
      <c r="AR25" s="590"/>
      <c r="BJ25" s="72"/>
      <c r="BK25" s="590"/>
    </row>
    <row r="26" spans="4:63" ht="12.5" thickBot="1" x14ac:dyDescent="0.35">
      <c r="I26" s="73"/>
      <c r="K26" s="518"/>
      <c r="L26" s="518"/>
      <c r="M26" s="518"/>
      <c r="S26" s="518"/>
      <c r="T26" s="518"/>
      <c r="U26" s="518"/>
      <c r="V26" s="518"/>
      <c r="W26" s="518"/>
      <c r="X26" s="518"/>
      <c r="Y26" s="518"/>
      <c r="Z26" s="518"/>
      <c r="AA26" s="518"/>
      <c r="AB26" s="518"/>
      <c r="AM26" s="84"/>
      <c r="AO26" s="84"/>
      <c r="AQ26" s="72"/>
      <c r="AR26" s="590"/>
      <c r="BJ26" s="72"/>
      <c r="BK26" s="590"/>
    </row>
    <row r="27" spans="4:63" x14ac:dyDescent="0.3">
      <c r="D27" s="464"/>
      <c r="J27" s="72"/>
      <c r="K27" s="414"/>
      <c r="L27" s="72"/>
      <c r="M27" s="518"/>
      <c r="S27" s="521"/>
      <c r="T27" s="521"/>
      <c r="U27" s="521"/>
      <c r="V27" s="521"/>
      <c r="W27" s="521"/>
      <c r="X27" s="521"/>
      <c r="Y27" s="521"/>
      <c r="Z27" s="521"/>
      <c r="AA27" s="521"/>
      <c r="AB27" s="521"/>
      <c r="AC27" s="170"/>
      <c r="AD27" s="171"/>
      <c r="AE27" s="171"/>
      <c r="AF27" s="171"/>
      <c r="AG27" s="172"/>
      <c r="AH27" s="171"/>
      <c r="AI27" s="171"/>
      <c r="AJ27" s="171"/>
      <c r="AK27" s="171"/>
      <c r="AL27" s="172"/>
      <c r="AM27" s="84"/>
      <c r="AO27" s="84"/>
      <c r="AQ27" s="72"/>
      <c r="AR27" s="590"/>
      <c r="BJ27" s="72"/>
      <c r="BK27" s="590"/>
    </row>
    <row r="28" spans="4:63" x14ac:dyDescent="0.3">
      <c r="D28" s="464"/>
      <c r="H28" s="421"/>
      <c r="I28" s="315"/>
      <c r="J28" s="315"/>
      <c r="K28" s="422"/>
      <c r="L28" s="72"/>
      <c r="M28" s="518"/>
      <c r="S28" s="521"/>
      <c r="T28" s="521"/>
      <c r="U28" s="521"/>
      <c r="V28" s="521"/>
      <c r="W28" s="521"/>
      <c r="X28" s="521"/>
      <c r="Y28" s="521"/>
      <c r="Z28" s="521"/>
      <c r="AA28" s="521"/>
      <c r="AB28" s="521"/>
      <c r="AC28" s="522" t="s">
        <v>553</v>
      </c>
      <c r="AD28" s="72"/>
      <c r="AE28" s="72"/>
      <c r="AF28" s="72"/>
      <c r="AG28" s="175"/>
      <c r="AH28" s="523" t="s">
        <v>927</v>
      </c>
      <c r="AI28" s="72"/>
      <c r="AJ28" s="72"/>
      <c r="AK28" s="72"/>
      <c r="AL28" s="175"/>
      <c r="AM28" s="84"/>
      <c r="AO28" s="84"/>
      <c r="AQ28" s="72"/>
      <c r="AR28" s="590"/>
      <c r="BJ28" s="72"/>
      <c r="BK28" s="590"/>
    </row>
    <row r="29" spans="4:63" x14ac:dyDescent="0.3">
      <c r="D29" s="464"/>
      <c r="E29" s="72"/>
      <c r="F29" s="72"/>
      <c r="G29" s="72"/>
      <c r="H29" s="315"/>
      <c r="I29" s="315"/>
      <c r="J29" s="315"/>
      <c r="K29" s="422"/>
      <c r="L29" s="72"/>
      <c r="M29" s="518"/>
      <c r="S29" s="521"/>
      <c r="T29" s="521"/>
      <c r="U29" s="521"/>
      <c r="V29" s="521"/>
      <c r="W29" s="521"/>
      <c r="X29" s="521"/>
      <c r="Y29" s="521"/>
      <c r="Z29" s="521"/>
      <c r="AA29" s="521"/>
      <c r="AB29" s="521"/>
      <c r="AC29" s="173"/>
      <c r="AD29" s="72"/>
      <c r="AE29" s="72"/>
      <c r="AF29" s="1544"/>
      <c r="AG29" s="524"/>
      <c r="AH29" s="72"/>
      <c r="AI29" s="72"/>
      <c r="AJ29" s="72"/>
      <c r="AK29" s="1413"/>
      <c r="AL29" s="524"/>
      <c r="AM29" s="84"/>
      <c r="AO29" s="84"/>
      <c r="AQ29" s="72"/>
      <c r="AR29" s="590"/>
      <c r="BJ29" s="72"/>
      <c r="BK29" s="590"/>
    </row>
    <row r="30" spans="4:63" x14ac:dyDescent="0.3">
      <c r="D30" s="464"/>
      <c r="E30" s="72"/>
      <c r="F30" s="105"/>
      <c r="G30" s="105"/>
      <c r="H30" s="525"/>
      <c r="I30" s="206"/>
      <c r="J30" s="206"/>
      <c r="K30" s="526"/>
      <c r="L30" s="72"/>
      <c r="M30" s="518"/>
      <c r="S30" s="521"/>
      <c r="T30" s="521"/>
      <c r="U30" s="521"/>
      <c r="V30" s="521"/>
      <c r="W30" s="521"/>
      <c r="X30" s="521"/>
      <c r="Y30" s="521"/>
      <c r="Z30" s="521"/>
      <c r="AA30" s="521"/>
      <c r="AB30" s="521"/>
      <c r="AC30" s="527" t="s">
        <v>77</v>
      </c>
      <c r="AD30" s="72"/>
      <c r="AE30" s="72"/>
      <c r="AF30" s="1402">
        <f>+NPV(RRR,AC17:AG17)*(1+RRR)^0.5</f>
        <v>515.43707536083798</v>
      </c>
      <c r="AG30" s="524"/>
      <c r="AH30" s="528" t="s">
        <v>77</v>
      </c>
      <c r="AI30" s="72"/>
      <c r="AJ30" s="72"/>
      <c r="AK30" s="1402">
        <f>+NPV(RRR,AH17:AL17)*(1+RRR)^0.5</f>
        <v>594.83953711303354</v>
      </c>
      <c r="AL30" s="524"/>
      <c r="AM30" s="84"/>
      <c r="AO30" s="84"/>
      <c r="AQ30" s="72"/>
      <c r="AR30" s="590"/>
      <c r="BJ30" s="72"/>
      <c r="BK30" s="590"/>
    </row>
    <row r="31" spans="4:63" x14ac:dyDescent="0.3">
      <c r="D31" s="464"/>
      <c r="E31" s="72"/>
      <c r="F31" s="105"/>
      <c r="G31" s="105"/>
      <c r="H31" s="105"/>
      <c r="J31" s="72"/>
      <c r="K31" s="414"/>
      <c r="L31" s="72"/>
      <c r="M31" s="518"/>
      <c r="S31" s="521"/>
      <c r="T31" s="521"/>
      <c r="U31" s="521"/>
      <c r="V31" s="521"/>
      <c r="W31" s="521"/>
      <c r="X31" s="521"/>
      <c r="Y31" s="521"/>
      <c r="Z31" s="521"/>
      <c r="AA31" s="521"/>
      <c r="AB31" s="521"/>
      <c r="AC31" s="527" t="s">
        <v>76</v>
      </c>
      <c r="AD31" s="72"/>
      <c r="AE31" s="72"/>
      <c r="AF31" s="1402">
        <f>+NPV(RRR,AC18:AG18)*(1+RRR)^0.5</f>
        <v>515.24326408994943</v>
      </c>
      <c r="AG31" s="524"/>
      <c r="AH31" s="528" t="s">
        <v>76</v>
      </c>
      <c r="AI31" s="72"/>
      <c r="AJ31" s="72"/>
      <c r="AK31" s="1402">
        <f ca="1">+NPV(RRR,AH18:AL18)*(1+RRR)^0.5</f>
        <v>597.1644209122677</v>
      </c>
      <c r="AL31" s="524"/>
      <c r="AM31" s="84"/>
      <c r="AO31" s="84"/>
      <c r="AQ31" s="72"/>
      <c r="AR31" s="590"/>
      <c r="BJ31" s="72"/>
      <c r="BK31" s="590"/>
    </row>
    <row r="32" spans="4:63" x14ac:dyDescent="0.3">
      <c r="D32" s="464"/>
      <c r="E32" s="72"/>
      <c r="F32" s="105"/>
      <c r="G32" s="105"/>
      <c r="H32" s="105"/>
      <c r="J32" s="72"/>
      <c r="K32" s="414"/>
      <c r="L32" s="72"/>
      <c r="M32" s="518"/>
      <c r="S32" s="521"/>
      <c r="T32" s="521"/>
      <c r="U32" s="521"/>
      <c r="V32" s="521"/>
      <c r="W32" s="521"/>
      <c r="X32" s="521"/>
      <c r="Y32" s="521"/>
      <c r="Z32" s="521"/>
      <c r="AA32" s="521"/>
      <c r="AB32" s="521"/>
      <c r="AC32" s="527" t="s">
        <v>78</v>
      </c>
      <c r="AD32" s="72"/>
      <c r="AE32" s="109"/>
      <c r="AF32" s="297">
        <f>+AF30-AF31</f>
        <v>0.19381127088854555</v>
      </c>
      <c r="AG32" s="524"/>
      <c r="AH32" s="528" t="s">
        <v>78</v>
      </c>
      <c r="AI32" s="72"/>
      <c r="AJ32" s="109"/>
      <c r="AK32" s="297">
        <f ca="1">+AK30-AK31</f>
        <v>-2.3248837992341578</v>
      </c>
      <c r="AL32" s="524"/>
      <c r="AM32" s="84"/>
      <c r="AO32" s="84"/>
      <c r="AQ32" s="72"/>
      <c r="AR32" s="593"/>
      <c r="BJ32" s="72"/>
      <c r="BK32" s="593"/>
    </row>
    <row r="33" spans="3:66" x14ac:dyDescent="0.3">
      <c r="D33" s="464"/>
      <c r="E33" s="72"/>
      <c r="F33" s="105"/>
      <c r="G33" s="105"/>
      <c r="H33" s="105"/>
      <c r="J33" s="72"/>
      <c r="K33" s="414"/>
      <c r="L33" s="72"/>
      <c r="M33" s="518"/>
      <c r="S33" s="521"/>
      <c r="T33" s="521"/>
      <c r="U33" s="521"/>
      <c r="V33" s="521"/>
      <c r="W33" s="521"/>
      <c r="X33" s="521"/>
      <c r="Y33" s="521"/>
      <c r="Z33" s="521"/>
      <c r="AA33" s="521"/>
      <c r="AB33" s="521"/>
      <c r="AC33" s="173"/>
      <c r="AD33" s="72"/>
      <c r="AE33" s="72"/>
      <c r="AF33" s="72"/>
      <c r="AG33" s="524"/>
      <c r="AH33" s="72"/>
      <c r="AI33" s="72"/>
      <c r="AJ33" s="72"/>
      <c r="AK33" s="72"/>
      <c r="AL33" s="524"/>
      <c r="AM33" s="84"/>
      <c r="AO33" s="84"/>
      <c r="AQ33" s="72"/>
      <c r="BJ33" s="72"/>
    </row>
    <row r="34" spans="3:66" x14ac:dyDescent="0.3">
      <c r="D34" s="464"/>
      <c r="E34" s="72"/>
      <c r="F34" s="105"/>
      <c r="G34" s="105"/>
      <c r="H34" s="105"/>
      <c r="J34" s="72"/>
      <c r="K34" s="533"/>
      <c r="L34" s="105"/>
      <c r="M34" s="518"/>
      <c r="S34" s="521"/>
      <c r="T34" s="521"/>
      <c r="U34" s="521"/>
      <c r="V34" s="521"/>
      <c r="W34" s="521"/>
      <c r="X34" s="521"/>
      <c r="Y34" s="521"/>
      <c r="Z34" s="521"/>
      <c r="AA34" s="521"/>
      <c r="AB34" s="521"/>
      <c r="AC34" s="173"/>
      <c r="AD34" s="2387" t="str">
        <f>IF(AF30+AF31=0,"",IF(AF30&lt;(AF31*0.99),"INSUFFICIENT REVENUE",IF(AF30&gt;(AF31*1.001),"BREACH","PRICE CONTROL OK")))</f>
        <v>PRICE CONTROL OK</v>
      </c>
      <c r="AE34" s="2388"/>
      <c r="AF34" s="2389"/>
      <c r="AG34" s="524"/>
      <c r="AH34" s="72"/>
      <c r="AI34" s="2387" t="str">
        <f ca="1">IF(AK30+AK31=0,"",IF(AK30&lt;(AK31*0.99),"INSUFFICIENT REVENUE",IF(AK30&gt;(AK31*1.001),"BREACH","PRICE CONTROL OK")))</f>
        <v>PRICE CONTROL OK</v>
      </c>
      <c r="AJ34" s="2388"/>
      <c r="AK34" s="2389"/>
      <c r="AL34" s="524"/>
      <c r="AM34" s="84"/>
      <c r="AO34" s="84"/>
      <c r="AQ34" s="72"/>
      <c r="AR34" s="1187"/>
      <c r="BJ34" s="72"/>
      <c r="BK34" s="1187"/>
    </row>
    <row r="35" spans="3:66" x14ac:dyDescent="0.3">
      <c r="D35" s="464"/>
      <c r="E35" s="72"/>
      <c r="F35" s="72"/>
      <c r="G35" s="72"/>
      <c r="H35" s="72"/>
      <c r="J35" s="72"/>
      <c r="K35" s="414"/>
      <c r="L35" s="72"/>
      <c r="M35" s="518"/>
      <c r="S35" s="521"/>
      <c r="T35" s="521"/>
      <c r="U35" s="521"/>
      <c r="V35" s="521"/>
      <c r="W35" s="521"/>
      <c r="X35" s="521"/>
      <c r="Y35" s="521"/>
      <c r="Z35" s="521"/>
      <c r="AA35" s="521"/>
      <c r="AB35" s="521"/>
      <c r="AC35" s="534"/>
      <c r="AD35" s="72"/>
      <c r="AE35" s="72"/>
      <c r="AF35" s="414"/>
      <c r="AG35" s="524"/>
      <c r="AH35" s="1413"/>
      <c r="AI35" s="72"/>
      <c r="AJ35" s="72"/>
      <c r="AK35" s="414"/>
      <c r="AL35" s="524"/>
      <c r="AM35" s="84"/>
      <c r="AO35" s="84"/>
      <c r="AQ35" s="72"/>
      <c r="BJ35" s="72"/>
    </row>
    <row r="36" spans="3:66" ht="12.5" thickBot="1" x14ac:dyDescent="0.35">
      <c r="D36" s="464"/>
      <c r="J36" s="72"/>
      <c r="K36" s="72"/>
      <c r="L36" s="72"/>
      <c r="M36" s="518"/>
      <c r="S36" s="521"/>
      <c r="T36" s="521"/>
      <c r="U36" s="521"/>
      <c r="V36" s="521"/>
      <c r="W36" s="521"/>
      <c r="X36" s="521"/>
      <c r="Y36" s="521"/>
      <c r="Z36" s="521"/>
      <c r="AA36" s="521"/>
      <c r="AB36" s="521"/>
      <c r="AC36" s="535"/>
      <c r="AD36" s="180"/>
      <c r="AE36" s="180"/>
      <c r="AF36" s="516"/>
      <c r="AG36" s="536"/>
      <c r="AH36" s="537"/>
      <c r="AI36" s="180"/>
      <c r="AJ36" s="180"/>
      <c r="AK36" s="516"/>
      <c r="AL36" s="536"/>
      <c r="AM36" s="84"/>
      <c r="AO36" s="84"/>
      <c r="AQ36" s="72"/>
      <c r="AR36" s="530"/>
      <c r="BJ36" s="72"/>
      <c r="BK36" s="530"/>
    </row>
    <row r="37" spans="3:66" x14ac:dyDescent="0.3">
      <c r="D37" s="464"/>
      <c r="J37" s="72"/>
      <c r="K37" s="72"/>
      <c r="L37" s="72"/>
      <c r="M37" s="518"/>
      <c r="S37" s="521"/>
      <c r="T37" s="521"/>
      <c r="U37" s="521"/>
      <c r="V37" s="521"/>
      <c r="W37" s="521"/>
      <c r="X37" s="539"/>
      <c r="Y37" s="72"/>
      <c r="Z37" s="72"/>
      <c r="AA37" s="414"/>
      <c r="AB37" s="414"/>
      <c r="AC37" s="539"/>
      <c r="AD37" s="72"/>
      <c r="AE37" s="72"/>
      <c r="AF37" s="414"/>
      <c r="AG37" s="414"/>
      <c r="AH37" s="539"/>
      <c r="AI37" s="72"/>
      <c r="AJ37" s="72"/>
      <c r="AK37" s="414"/>
      <c r="AL37" s="414"/>
      <c r="AM37" s="84"/>
      <c r="AO37" s="84"/>
      <c r="AQ37" s="72"/>
      <c r="BJ37" s="72"/>
    </row>
    <row r="38" spans="3:66" x14ac:dyDescent="0.3">
      <c r="D38" s="464"/>
      <c r="J38" s="72"/>
      <c r="K38" s="72"/>
      <c r="L38" s="72"/>
      <c r="M38" s="518"/>
      <c r="S38" s="521"/>
      <c r="T38" s="521"/>
      <c r="U38" s="521"/>
      <c r="V38" s="521"/>
      <c r="W38" s="521"/>
      <c r="X38" s="539"/>
      <c r="Y38" s="72"/>
      <c r="Z38" s="72"/>
      <c r="AA38" s="414"/>
      <c r="AB38" s="414"/>
      <c r="AC38" s="539"/>
      <c r="AD38" s="72"/>
      <c r="AE38" s="72"/>
      <c r="AF38" s="414"/>
      <c r="AG38" s="414"/>
      <c r="AH38" s="539"/>
      <c r="AI38" s="72"/>
      <c r="AJ38" s="72"/>
      <c r="AK38" s="414"/>
      <c r="AL38" s="414"/>
      <c r="AM38" s="84"/>
      <c r="AO38" s="84"/>
      <c r="AQ38" s="72"/>
      <c r="BJ38" s="72"/>
    </row>
    <row r="39" spans="3:66" x14ac:dyDescent="0.3">
      <c r="D39" s="464"/>
      <c r="J39" s="72"/>
      <c r="K39" s="72"/>
      <c r="L39" s="72"/>
      <c r="M39" s="518"/>
      <c r="S39" s="521"/>
      <c r="T39" s="521"/>
      <c r="U39" s="521"/>
      <c r="V39" s="521"/>
      <c r="W39" s="521"/>
      <c r="X39" s="539"/>
      <c r="Y39" s="72"/>
      <c r="Z39" s="72"/>
      <c r="AA39" s="414"/>
      <c r="AB39" s="414"/>
      <c r="AC39" s="539"/>
      <c r="AD39" s="72"/>
      <c r="AE39" s="72"/>
      <c r="AF39" s="414"/>
      <c r="AG39" s="414"/>
      <c r="AH39" s="539"/>
      <c r="AI39" s="72"/>
      <c r="AJ39" s="72"/>
      <c r="AK39" s="414"/>
      <c r="AL39" s="414"/>
      <c r="AM39" s="84"/>
      <c r="AO39" s="84"/>
      <c r="AQ39" s="72"/>
      <c r="BJ39" s="72"/>
    </row>
    <row r="40" spans="3:66" x14ac:dyDescent="0.3">
      <c r="C40" s="538" t="s">
        <v>29</v>
      </c>
      <c r="D40" s="126"/>
      <c r="E40" s="126"/>
      <c r="F40" s="126"/>
      <c r="G40" s="126"/>
      <c r="H40" s="126"/>
      <c r="I40" s="126"/>
      <c r="J40" s="126"/>
      <c r="K40" s="126"/>
      <c r="M40" s="518"/>
      <c r="X40" s="539"/>
      <c r="AM40" s="84"/>
      <c r="AO40" s="84"/>
      <c r="AP40" s="126"/>
      <c r="AQ40" s="126"/>
      <c r="AR40" s="126"/>
      <c r="BI40" s="126"/>
      <c r="BJ40" s="126"/>
      <c r="BK40" s="126"/>
      <c r="BL40" s="395"/>
      <c r="BM40" s="395"/>
    </row>
    <row r="41" spans="3:66" x14ac:dyDescent="0.3">
      <c r="C41" s="126"/>
      <c r="D41" s="126"/>
      <c r="E41" s="126"/>
      <c r="F41" s="126"/>
      <c r="G41" s="126"/>
      <c r="H41" s="126"/>
      <c r="J41" s="126"/>
      <c r="K41" s="126"/>
      <c r="AM41" s="84"/>
      <c r="AO41" s="84"/>
      <c r="AP41" s="126"/>
      <c r="AQ41" s="126"/>
      <c r="AR41" s="126"/>
      <c r="BI41" s="126"/>
      <c r="BJ41" s="126"/>
      <c r="BK41" s="126"/>
      <c r="BL41" s="395"/>
      <c r="BM41" s="395"/>
    </row>
    <row r="42" spans="3:66" x14ac:dyDescent="0.3">
      <c r="C42" s="126"/>
      <c r="D42" s="126"/>
      <c r="E42" s="540" t="s">
        <v>283</v>
      </c>
      <c r="F42" s="126"/>
      <c r="H42" s="126"/>
      <c r="I42" s="126" t="str">
        <f>Expenditure_Detail!$B$6</f>
        <v>$m, 01/01/23</v>
      </c>
      <c r="J42" s="126"/>
      <c r="K42" s="77"/>
      <c r="L42" s="77"/>
      <c r="M42" s="77"/>
      <c r="N42" s="77"/>
      <c r="O42" s="77"/>
      <c r="P42" s="77"/>
      <c r="Q42" s="77"/>
      <c r="AM42" s="84"/>
      <c r="AO42" s="84"/>
      <c r="AP42" s="540"/>
      <c r="AQ42" s="126"/>
      <c r="AR42" s="126"/>
      <c r="BI42" s="540"/>
      <c r="BJ42" s="126"/>
      <c r="BK42" s="126"/>
      <c r="BL42" s="395"/>
      <c r="BM42" s="395"/>
    </row>
    <row r="43" spans="3:66" x14ac:dyDescent="0.3">
      <c r="C43" s="126"/>
      <c r="D43" s="126"/>
      <c r="E43" s="126"/>
      <c r="F43" s="126"/>
      <c r="G43" s="126"/>
      <c r="H43" s="126"/>
      <c r="I43" s="126"/>
      <c r="J43" s="126"/>
      <c r="K43" s="77"/>
      <c r="L43" s="77"/>
      <c r="M43" s="77"/>
      <c r="N43" s="77"/>
      <c r="O43" s="77"/>
      <c r="P43" s="77"/>
      <c r="Q43" s="77"/>
      <c r="AM43" s="84"/>
      <c r="AO43" s="84"/>
      <c r="AP43" s="126"/>
      <c r="AQ43" s="126"/>
      <c r="AR43" s="126"/>
      <c r="BI43" s="126"/>
      <c r="BJ43" s="126"/>
      <c r="BK43" s="126"/>
      <c r="BL43" s="395"/>
      <c r="BM43" s="395"/>
    </row>
    <row r="44" spans="3:66" x14ac:dyDescent="0.3">
      <c r="C44" s="126"/>
      <c r="D44" s="126"/>
      <c r="E44" s="126"/>
      <c r="F44" s="541" t="s">
        <v>31</v>
      </c>
      <c r="H44" s="126"/>
      <c r="I44" s="126"/>
      <c r="J44" s="126"/>
      <c r="K44" s="84"/>
      <c r="L44" s="84"/>
      <c r="M44" s="84"/>
      <c r="N44" s="77"/>
      <c r="O44" s="77"/>
      <c r="P44" s="77"/>
      <c r="Q44" s="77"/>
      <c r="R44" s="77"/>
      <c r="S44" s="265"/>
      <c r="AM44" s="84"/>
      <c r="AO44" s="84"/>
      <c r="AP44" s="126"/>
      <c r="AQ44" s="541"/>
      <c r="AR44" s="126"/>
      <c r="BI44" s="126"/>
      <c r="BJ44" s="541"/>
      <c r="BK44" s="126"/>
      <c r="BL44" s="395"/>
      <c r="BM44" s="395"/>
    </row>
    <row r="45" spans="3:66" x14ac:dyDescent="0.3">
      <c r="C45" s="126"/>
      <c r="D45" s="126"/>
      <c r="E45" s="126"/>
      <c r="F45" s="303" t="s">
        <v>32</v>
      </c>
      <c r="H45" s="126"/>
      <c r="I45" s="126"/>
      <c r="J45" s="126"/>
      <c r="K45" s="304"/>
      <c r="L45" s="305"/>
      <c r="M45" s="305"/>
      <c r="N45" s="304"/>
      <c r="O45" s="305"/>
      <c r="P45" s="305"/>
      <c r="Q45" s="305"/>
      <c r="R45" s="305"/>
      <c r="S45" s="304"/>
      <c r="T45" s="305"/>
      <c r="U45" s="305"/>
      <c r="V45" s="305"/>
      <c r="W45" s="436"/>
      <c r="X45" s="1643"/>
      <c r="Y45" s="1584"/>
      <c r="Z45" s="1584"/>
      <c r="AA45" s="1584"/>
      <c r="AB45" s="1644"/>
      <c r="AC45" s="1584"/>
      <c r="AD45" s="1584"/>
      <c r="AE45" s="1584"/>
      <c r="AF45" s="1584"/>
      <c r="AG45" s="1644"/>
      <c r="AH45" s="1584"/>
      <c r="AI45" s="1584"/>
      <c r="AJ45" s="1584"/>
      <c r="AK45" s="1584"/>
      <c r="AL45" s="1644"/>
      <c r="AM45" s="84"/>
      <c r="AO45" s="84"/>
      <c r="AP45" s="126"/>
      <c r="AQ45" s="303"/>
      <c r="AR45" s="126"/>
      <c r="BI45" s="126"/>
      <c r="BJ45" s="303"/>
      <c r="BK45" s="126"/>
      <c r="BL45" s="395"/>
      <c r="BM45" s="475"/>
      <c r="BN45" s="807"/>
    </row>
    <row r="46" spans="3:66" x14ac:dyDescent="0.3">
      <c r="C46" s="126"/>
      <c r="D46" s="126"/>
      <c r="E46" s="126"/>
      <c r="F46" s="303" t="s">
        <v>33</v>
      </c>
      <c r="H46" s="126"/>
      <c r="I46" s="126"/>
      <c r="J46" s="126"/>
      <c r="K46" s="307"/>
      <c r="L46" s="275"/>
      <c r="M46" s="275"/>
      <c r="N46" s="307"/>
      <c r="O46" s="275"/>
      <c r="P46" s="275"/>
      <c r="Q46" s="275"/>
      <c r="R46" s="275"/>
      <c r="S46" s="307"/>
      <c r="T46" s="275"/>
      <c r="U46" s="275"/>
      <c r="V46" s="275"/>
      <c r="W46" s="437"/>
      <c r="X46" s="1645"/>
      <c r="Y46" s="1647"/>
      <c r="Z46" s="1647"/>
      <c r="AA46" s="1647"/>
      <c r="AB46" s="1646"/>
      <c r="AC46" s="1647"/>
      <c r="AD46" s="1647"/>
      <c r="AE46" s="1647"/>
      <c r="AF46" s="1647"/>
      <c r="AG46" s="1646"/>
      <c r="AH46" s="1647"/>
      <c r="AI46" s="1647"/>
      <c r="AJ46" s="1647"/>
      <c r="AK46" s="1647"/>
      <c r="AL46" s="1646"/>
      <c r="AM46" s="84"/>
      <c r="AO46" s="84"/>
      <c r="AP46" s="126"/>
      <c r="AQ46" s="303"/>
      <c r="AR46" s="126"/>
      <c r="BI46" s="126"/>
      <c r="BJ46" s="303"/>
      <c r="BK46" s="126"/>
    </row>
    <row r="47" spans="3:66" x14ac:dyDescent="0.3">
      <c r="C47" s="126"/>
      <c r="D47" s="126"/>
      <c r="E47" s="126"/>
      <c r="F47" s="303" t="s">
        <v>34</v>
      </c>
      <c r="H47" s="126"/>
      <c r="I47" s="126"/>
      <c r="J47" s="126"/>
      <c r="K47" s="307"/>
      <c r="L47" s="275"/>
      <c r="M47" s="275"/>
      <c r="N47" s="307"/>
      <c r="O47" s="275"/>
      <c r="P47" s="275"/>
      <c r="Q47" s="275"/>
      <c r="R47" s="275"/>
      <c r="S47" s="307"/>
      <c r="T47" s="275"/>
      <c r="U47" s="275"/>
      <c r="V47" s="275"/>
      <c r="W47" s="437"/>
      <c r="X47" s="338"/>
      <c r="Y47" s="339"/>
      <c r="Z47" s="339"/>
      <c r="AA47" s="339"/>
      <c r="AB47" s="340"/>
      <c r="AC47" s="339"/>
      <c r="AD47" s="339"/>
      <c r="AE47" s="339"/>
      <c r="AF47" s="339"/>
      <c r="AG47" s="340"/>
      <c r="AH47" s="339"/>
      <c r="AI47" s="339"/>
      <c r="AJ47" s="339"/>
      <c r="AK47" s="339"/>
      <c r="AL47" s="340"/>
      <c r="AM47" s="84"/>
      <c r="AO47" s="84"/>
      <c r="AP47" s="126"/>
      <c r="AQ47" s="126"/>
      <c r="AR47" s="126"/>
      <c r="BK47" s="73"/>
    </row>
    <row r="48" spans="3:66" x14ac:dyDescent="0.3">
      <c r="C48" s="126"/>
      <c r="D48" s="126"/>
      <c r="E48" s="126"/>
      <c r="F48" s="303" t="s">
        <v>35</v>
      </c>
      <c r="H48" s="126"/>
      <c r="I48" s="126"/>
      <c r="J48" s="126"/>
      <c r="K48" s="309"/>
      <c r="L48" s="310"/>
      <c r="M48" s="310"/>
      <c r="N48" s="309"/>
      <c r="O48" s="310"/>
      <c r="P48" s="310"/>
      <c r="Q48" s="310"/>
      <c r="R48" s="310"/>
      <c r="S48" s="309"/>
      <c r="T48" s="310"/>
      <c r="U48" s="310"/>
      <c r="V48" s="310"/>
      <c r="W48" s="438"/>
      <c r="X48" s="341"/>
      <c r="Y48" s="342"/>
      <c r="Z48" s="342"/>
      <c r="AA48" s="342"/>
      <c r="AB48" s="343"/>
      <c r="AC48" s="342">
        <v>0.25</v>
      </c>
      <c r="AD48" s="342">
        <v>0.25</v>
      </c>
      <c r="AE48" s="342">
        <v>0.25</v>
      </c>
      <c r="AF48" s="342">
        <v>0.25</v>
      </c>
      <c r="AG48" s="343">
        <v>0.25</v>
      </c>
      <c r="AH48" s="342"/>
      <c r="AI48" s="342"/>
      <c r="AJ48" s="342"/>
      <c r="AK48" s="342"/>
      <c r="AL48" s="343"/>
      <c r="AM48" s="84"/>
      <c r="AO48" s="84"/>
      <c r="AP48" s="126"/>
      <c r="AQ48" s="126"/>
      <c r="AR48" s="126"/>
      <c r="BK48" s="73"/>
    </row>
    <row r="49" spans="3:78" x14ac:dyDescent="0.3">
      <c r="C49" s="126"/>
      <c r="D49" s="126"/>
      <c r="E49" s="126"/>
      <c r="F49" s="541" t="str">
        <f>+CONCATENATE("Total ",F44)</f>
        <v>Total Contract revenue</v>
      </c>
      <c r="H49" s="126"/>
      <c r="I49" s="126"/>
      <c r="J49" s="126"/>
      <c r="K49" s="1527"/>
      <c r="L49" s="1527"/>
      <c r="M49" s="1527"/>
      <c r="N49" s="1700"/>
      <c r="O49" s="1700"/>
      <c r="P49" s="1700"/>
      <c r="Q49" s="1700"/>
      <c r="R49" s="1527"/>
      <c r="S49" s="1700"/>
      <c r="T49" s="1700"/>
      <c r="U49" s="1700"/>
      <c r="V49" s="1700"/>
      <c r="W49" s="1587">
        <f t="shared" ref="W49" si="14">+SUM(W45:W48)</f>
        <v>0</v>
      </c>
      <c r="X49" s="302">
        <f t="shared" ref="X49:AG49" si="15">+SUM(X45:X48)</f>
        <v>0</v>
      </c>
      <c r="Y49" s="302">
        <f t="shared" si="15"/>
        <v>0</v>
      </c>
      <c r="Z49" s="302">
        <f t="shared" si="15"/>
        <v>0</v>
      </c>
      <c r="AA49" s="302">
        <f t="shared" si="15"/>
        <v>0</v>
      </c>
      <c r="AB49" s="302">
        <f t="shared" si="15"/>
        <v>0</v>
      </c>
      <c r="AC49" s="302">
        <f t="shared" si="15"/>
        <v>0.25</v>
      </c>
      <c r="AD49" s="302">
        <f t="shared" si="15"/>
        <v>0.25</v>
      </c>
      <c r="AE49" s="302">
        <f t="shared" si="15"/>
        <v>0.25</v>
      </c>
      <c r="AF49" s="302">
        <f t="shared" si="15"/>
        <v>0.25</v>
      </c>
      <c r="AG49" s="302">
        <f t="shared" si="15"/>
        <v>0.25</v>
      </c>
      <c r="AH49" s="302">
        <f>+SUM(AH45:AH48)</f>
        <v>0</v>
      </c>
      <c r="AI49" s="302">
        <f>+SUM(AI45:AI48)</f>
        <v>0</v>
      </c>
      <c r="AJ49" s="302">
        <f>+SUM(AJ45:AJ48)</f>
        <v>0</v>
      </c>
      <c r="AK49" s="302">
        <f>+SUM(AK45:AK48)</f>
        <v>0</v>
      </c>
      <c r="AL49" s="302">
        <f>+SUM(AL45:AL48)</f>
        <v>0</v>
      </c>
      <c r="AM49" s="520"/>
      <c r="AO49" s="84"/>
      <c r="AP49" s="126"/>
      <c r="AQ49" s="126"/>
      <c r="AR49" s="126"/>
      <c r="BK49" s="73"/>
    </row>
    <row r="50" spans="3:78" x14ac:dyDescent="0.3">
      <c r="C50" s="126"/>
      <c r="D50" s="126"/>
      <c r="E50" s="126"/>
      <c r="F50" s="126"/>
      <c r="H50" s="126"/>
      <c r="I50" s="126"/>
      <c r="J50" s="126"/>
      <c r="K50" s="118"/>
      <c r="L50" s="118"/>
      <c r="M50" s="118"/>
      <c r="N50" s="465"/>
      <c r="O50" s="465"/>
      <c r="P50" s="465"/>
      <c r="Q50" s="465"/>
      <c r="R50" s="118"/>
      <c r="S50" s="465"/>
      <c r="T50" s="465"/>
      <c r="U50" s="465"/>
      <c r="V50" s="465"/>
      <c r="W50" s="465"/>
      <c r="X50" s="125"/>
      <c r="Y50" s="125"/>
      <c r="Z50" s="125"/>
      <c r="AA50" s="125"/>
      <c r="AB50" s="125"/>
      <c r="AC50" s="125"/>
      <c r="AD50" s="125"/>
      <c r="AE50" s="125"/>
      <c r="AF50" s="125"/>
      <c r="AG50" s="125"/>
      <c r="AH50" s="125"/>
      <c r="AI50" s="125"/>
      <c r="AJ50" s="125"/>
      <c r="AK50" s="125"/>
      <c r="AL50" s="125"/>
      <c r="AM50" s="520"/>
      <c r="AO50" s="84"/>
      <c r="AP50" s="126"/>
      <c r="AQ50" s="126"/>
      <c r="AR50" s="126"/>
      <c r="BK50" s="73"/>
    </row>
    <row r="51" spans="3:78" x14ac:dyDescent="0.3">
      <c r="C51" s="126"/>
      <c r="D51" s="126"/>
      <c r="E51" s="126"/>
      <c r="F51" s="541" t="s">
        <v>284</v>
      </c>
      <c r="H51" s="126"/>
      <c r="I51" s="126"/>
      <c r="J51" s="126"/>
      <c r="K51" s="118"/>
      <c r="L51" s="118"/>
      <c r="M51" s="118"/>
      <c r="N51" s="465"/>
      <c r="O51" s="465"/>
      <c r="P51" s="465"/>
      <c r="Q51" s="465"/>
      <c r="R51" s="118"/>
      <c r="S51" s="465"/>
      <c r="T51" s="465"/>
      <c r="U51" s="465"/>
      <c r="V51" s="465"/>
      <c r="W51" s="465"/>
      <c r="X51" s="125"/>
      <c r="Y51" s="125"/>
      <c r="Z51" s="125"/>
      <c r="AA51" s="125"/>
      <c r="AB51" s="125"/>
      <c r="AC51" s="125"/>
      <c r="AD51" s="125"/>
      <c r="AE51" s="125"/>
      <c r="AF51" s="125"/>
      <c r="AG51" s="125"/>
      <c r="AH51" s="125"/>
      <c r="AI51" s="125"/>
      <c r="AJ51" s="125"/>
      <c r="AK51" s="125"/>
      <c r="AL51" s="125"/>
      <c r="AM51" s="520"/>
      <c r="AO51" s="84"/>
      <c r="AP51" s="126"/>
      <c r="AQ51" s="541"/>
      <c r="AR51" s="126"/>
      <c r="BK51" s="73"/>
    </row>
    <row r="52" spans="3:78" x14ac:dyDescent="0.3">
      <c r="C52" s="126"/>
      <c r="D52" s="126"/>
      <c r="E52" s="126"/>
      <c r="F52" s="303" t="s">
        <v>36</v>
      </c>
      <c r="H52" s="126"/>
      <c r="I52" s="126"/>
      <c r="J52" s="126"/>
      <c r="K52" s="304"/>
      <c r="L52" s="305"/>
      <c r="M52" s="305"/>
      <c r="N52" s="304"/>
      <c r="O52" s="305"/>
      <c r="P52" s="305"/>
      <c r="Q52" s="305"/>
      <c r="R52" s="305"/>
      <c r="S52" s="304"/>
      <c r="T52" s="305"/>
      <c r="U52" s="305"/>
      <c r="V52" s="305"/>
      <c r="W52" s="436"/>
      <c r="X52" s="1643"/>
      <c r="Y52" s="1584"/>
      <c r="Z52" s="1584"/>
      <c r="AA52" s="1584"/>
      <c r="AB52" s="1644"/>
      <c r="AC52" s="1584">
        <v>0.4</v>
      </c>
      <c r="AD52" s="1584">
        <v>0.4</v>
      </c>
      <c r="AE52" s="1584">
        <v>0.4</v>
      </c>
      <c r="AF52" s="1584">
        <v>0.4</v>
      </c>
      <c r="AG52" s="1644">
        <v>0.4</v>
      </c>
      <c r="AH52" s="1584"/>
      <c r="AI52" s="1584"/>
      <c r="AJ52" s="1584"/>
      <c r="AK52" s="1584"/>
      <c r="AL52" s="1644"/>
      <c r="AM52" s="520"/>
      <c r="AO52" s="84"/>
      <c r="AP52" s="126"/>
      <c r="AQ52" s="126"/>
      <c r="AR52" s="102"/>
      <c r="BI52" s="482"/>
      <c r="BJ52" s="482"/>
      <c r="BK52" s="482"/>
    </row>
    <row r="53" spans="3:78" ht="12.5" thickBot="1" x14ac:dyDescent="0.35">
      <c r="C53" s="126"/>
      <c r="D53" s="126"/>
      <c r="E53" s="126"/>
      <c r="F53" s="303" t="s">
        <v>276</v>
      </c>
      <c r="H53" s="126"/>
      <c r="I53" s="126"/>
      <c r="J53" s="126"/>
      <c r="K53" s="307"/>
      <c r="L53" s="275"/>
      <c r="M53" s="275"/>
      <c r="N53" s="307"/>
      <c r="O53" s="275"/>
      <c r="P53" s="275"/>
      <c r="Q53" s="275"/>
      <c r="R53" s="275"/>
      <c r="S53" s="307"/>
      <c r="T53" s="275"/>
      <c r="U53" s="275"/>
      <c r="V53" s="275"/>
      <c r="W53" s="437"/>
      <c r="X53" s="1645"/>
      <c r="Y53" s="1647"/>
      <c r="Z53" s="1647"/>
      <c r="AA53" s="1647"/>
      <c r="AB53" s="1646"/>
      <c r="AC53" s="1647"/>
      <c r="AD53" s="1647"/>
      <c r="AE53" s="1647"/>
      <c r="AF53" s="1647"/>
      <c r="AG53" s="1646"/>
      <c r="AH53" s="1647"/>
      <c r="AI53" s="1647"/>
      <c r="AJ53" s="1647"/>
      <c r="AK53" s="1647"/>
      <c r="AL53" s="1646"/>
      <c r="AM53" s="520"/>
      <c r="AO53" s="84"/>
      <c r="AQ53" s="126"/>
      <c r="AR53" s="126"/>
      <c r="AS53" s="126"/>
      <c r="AT53" s="126"/>
      <c r="AU53" s="126"/>
      <c r="AV53" s="126"/>
      <c r="AW53" s="126"/>
      <c r="AX53" s="126"/>
      <c r="AY53" s="126"/>
      <c r="AZ53" s="126"/>
      <c r="BA53" s="126"/>
      <c r="BB53" s="126"/>
      <c r="BC53" s="126"/>
      <c r="BD53" s="126"/>
      <c r="BE53" s="126"/>
      <c r="BF53" s="126"/>
      <c r="BG53" s="126"/>
      <c r="BK53" s="395"/>
    </row>
    <row r="54" spans="3:78" ht="12.5" thickBot="1" x14ac:dyDescent="0.35">
      <c r="C54" s="126"/>
      <c r="D54" s="126"/>
      <c r="E54" s="126"/>
      <c r="F54" s="303" t="s">
        <v>37</v>
      </c>
      <c r="H54" s="126"/>
      <c r="I54" s="126"/>
      <c r="J54" s="126"/>
      <c r="K54" s="309"/>
      <c r="L54" s="310"/>
      <c r="M54" s="310"/>
      <c r="N54" s="309"/>
      <c r="O54" s="310"/>
      <c r="P54" s="310"/>
      <c r="Q54" s="310"/>
      <c r="R54" s="310"/>
      <c r="S54" s="309"/>
      <c r="T54" s="310"/>
      <c r="U54" s="310"/>
      <c r="V54" s="310"/>
      <c r="W54" s="438"/>
      <c r="X54" s="1648"/>
      <c r="Y54" s="1650"/>
      <c r="Z54" s="1650"/>
      <c r="AA54" s="1650"/>
      <c r="AB54" s="1649"/>
      <c r="AC54" s="1650"/>
      <c r="AD54" s="1650"/>
      <c r="AE54" s="1650"/>
      <c r="AF54" s="1650"/>
      <c r="AG54" s="1649"/>
      <c r="AH54" s="1650"/>
      <c r="AI54" s="1650"/>
      <c r="AJ54" s="1650"/>
      <c r="AK54" s="1650"/>
      <c r="AL54" s="1649"/>
      <c r="AM54" s="520"/>
      <c r="AO54" s="84"/>
      <c r="AP54" s="1304"/>
      <c r="AQ54" s="1304"/>
      <c r="AR54" s="1304"/>
      <c r="AS54" s="2390" t="s">
        <v>961</v>
      </c>
      <c r="AT54" s="2391"/>
      <c r="AU54" s="2391"/>
      <c r="AV54" s="2391"/>
      <c r="AW54" s="2391"/>
      <c r="AX54" s="2391"/>
      <c r="AY54" s="2391"/>
      <c r="AZ54" s="2391"/>
      <c r="BA54" s="2391"/>
      <c r="BB54" s="2391"/>
      <c r="BC54" s="2391"/>
      <c r="BD54" s="2391"/>
      <c r="BE54" s="2391"/>
      <c r="BF54" s="2391"/>
      <c r="BG54" s="2392"/>
      <c r="BH54" s="1304"/>
      <c r="BI54" s="1304"/>
      <c r="BJ54" s="1304"/>
      <c r="BK54" s="1304"/>
      <c r="BL54" s="2390" t="s">
        <v>963</v>
      </c>
      <c r="BM54" s="2391"/>
      <c r="BN54" s="2391"/>
      <c r="BO54" s="2391"/>
      <c r="BP54" s="2391"/>
      <c r="BQ54" s="2391"/>
      <c r="BR54" s="2391"/>
      <c r="BS54" s="2391"/>
      <c r="BT54" s="2391"/>
      <c r="BU54" s="2391"/>
      <c r="BV54" s="2391"/>
      <c r="BW54" s="2391"/>
      <c r="BX54" s="2391"/>
      <c r="BY54" s="2391"/>
      <c r="BZ54" s="2392"/>
    </row>
    <row r="55" spans="3:78" ht="12.5" thickBot="1" x14ac:dyDescent="0.35">
      <c r="C55" s="126"/>
      <c r="D55" s="126"/>
      <c r="E55" s="126"/>
      <c r="F55" s="541" t="str">
        <f>+CONCATENATE("Total ",F51)</f>
        <v>Total Other non-scheduled tariff revenue</v>
      </c>
      <c r="H55" s="126"/>
      <c r="I55" s="126"/>
      <c r="J55" s="126"/>
      <c r="K55" s="1527"/>
      <c r="L55" s="1527"/>
      <c r="M55" s="1527"/>
      <c r="N55" s="1527"/>
      <c r="O55" s="1527"/>
      <c r="P55" s="1527"/>
      <c r="Q55" s="1527"/>
      <c r="R55" s="1527"/>
      <c r="S55" s="1527"/>
      <c r="T55" s="1527"/>
      <c r="U55" s="1527"/>
      <c r="V55" s="1527"/>
      <c r="W55" s="1527">
        <f t="shared" ref="W55" si="16">+SUM(W50:W54)</f>
        <v>0</v>
      </c>
      <c r="X55" s="1527">
        <f t="shared" ref="X55:AG55" si="17">+SUM(X52:X54)</f>
        <v>0</v>
      </c>
      <c r="Y55" s="1527">
        <f t="shared" si="17"/>
        <v>0</v>
      </c>
      <c r="Z55" s="1527">
        <f t="shared" si="17"/>
        <v>0</v>
      </c>
      <c r="AA55" s="1527">
        <f t="shared" si="17"/>
        <v>0</v>
      </c>
      <c r="AB55" s="1527">
        <f t="shared" si="17"/>
        <v>0</v>
      </c>
      <c r="AC55" s="1527">
        <f t="shared" si="17"/>
        <v>0.4</v>
      </c>
      <c r="AD55" s="1527">
        <f t="shared" si="17"/>
        <v>0.4</v>
      </c>
      <c r="AE55" s="1527">
        <f t="shared" si="17"/>
        <v>0.4</v>
      </c>
      <c r="AF55" s="1527">
        <f t="shared" si="17"/>
        <v>0.4</v>
      </c>
      <c r="AG55" s="1527">
        <f t="shared" si="17"/>
        <v>0.4</v>
      </c>
      <c r="AH55" s="1527">
        <f>+SUM(AH52:AH54)</f>
        <v>0</v>
      </c>
      <c r="AI55" s="1527">
        <f>+SUM(AI52:AI54)</f>
        <v>0</v>
      </c>
      <c r="AJ55" s="1527">
        <f>+SUM(AJ52:AJ54)</f>
        <v>0</v>
      </c>
      <c r="AK55" s="1527">
        <f>+SUM(AK52:AK54)</f>
        <v>0</v>
      </c>
      <c r="AL55" s="1527">
        <f>+SUM(AL52:AL54)</f>
        <v>0</v>
      </c>
      <c r="AM55" s="520"/>
      <c r="AO55" s="84"/>
      <c r="AP55" s="1304"/>
      <c r="AQ55" s="1304"/>
      <c r="AR55" s="1304"/>
      <c r="AS55" s="2382" t="s">
        <v>1072</v>
      </c>
      <c r="AT55" s="2376"/>
      <c r="AU55" s="2376"/>
      <c r="AV55" s="2376"/>
      <c r="AW55" s="2376"/>
      <c r="AX55" s="2382" t="s">
        <v>457</v>
      </c>
      <c r="AY55" s="2376"/>
      <c r="AZ55" s="2376"/>
      <c r="BA55" s="2376"/>
      <c r="BB55" s="2377"/>
      <c r="BC55" s="2376" t="s">
        <v>903</v>
      </c>
      <c r="BD55" s="2376"/>
      <c r="BE55" s="2376"/>
      <c r="BF55" s="2376"/>
      <c r="BG55" s="2377"/>
      <c r="BH55" s="1304"/>
      <c r="BI55" s="1304"/>
      <c r="BJ55" s="1304"/>
      <c r="BK55" s="1304"/>
      <c r="BL55" s="2382" t="s">
        <v>1072</v>
      </c>
      <c r="BM55" s="2376"/>
      <c r="BN55" s="2376"/>
      <c r="BO55" s="2376"/>
      <c r="BP55" s="2393"/>
      <c r="BQ55" s="2376" t="s">
        <v>457</v>
      </c>
      <c r="BR55" s="2376"/>
      <c r="BS55" s="2376"/>
      <c r="BT55" s="2376"/>
      <c r="BU55" s="2377"/>
      <c r="BV55" s="2376" t="s">
        <v>903</v>
      </c>
      <c r="BW55" s="2376"/>
      <c r="BX55" s="2376"/>
      <c r="BY55" s="2376"/>
      <c r="BZ55" s="2377"/>
    </row>
    <row r="56" spans="3:78" ht="12.5" thickBot="1" x14ac:dyDescent="0.35">
      <c r="C56" s="126"/>
      <c r="D56" s="126"/>
      <c r="E56" s="126"/>
      <c r="F56" s="126"/>
      <c r="G56" s="126"/>
      <c r="H56" s="126"/>
      <c r="I56" s="126"/>
      <c r="J56" s="126"/>
      <c r="K56" s="118"/>
      <c r="L56" s="118"/>
      <c r="M56" s="118"/>
      <c r="N56" s="465"/>
      <c r="O56" s="465"/>
      <c r="P56" s="465"/>
      <c r="Q56" s="465"/>
      <c r="R56" s="118"/>
      <c r="S56" s="465"/>
      <c r="T56" s="465"/>
      <c r="U56" s="465"/>
      <c r="V56" s="465"/>
      <c r="W56" s="465"/>
      <c r="X56" s="125"/>
      <c r="Y56" s="125"/>
      <c r="Z56" s="125"/>
      <c r="AA56" s="125"/>
      <c r="AB56" s="125"/>
      <c r="AC56" s="125"/>
      <c r="AD56" s="125"/>
      <c r="AE56" s="125"/>
      <c r="AF56" s="125"/>
      <c r="AG56" s="125"/>
      <c r="AH56" s="125"/>
      <c r="AI56" s="125"/>
      <c r="AJ56" s="125"/>
      <c r="AK56" s="125"/>
      <c r="AL56" s="125"/>
      <c r="AM56" s="520"/>
      <c r="AO56" s="84"/>
      <c r="AP56" s="2250" t="str">
        <f>AP68</f>
        <v>PQR</v>
      </c>
      <c r="AQ56" s="2251"/>
      <c r="AR56" s="2251"/>
      <c r="AS56" s="2252" t="str">
        <f t="shared" ref="AS56:BG56" si="18">AS68</f>
        <v>2018-19</v>
      </c>
      <c r="AT56" s="2253" t="str">
        <f t="shared" si="18"/>
        <v>2019-20</v>
      </c>
      <c r="AU56" s="2253" t="str">
        <f t="shared" si="18"/>
        <v>2020-21</v>
      </c>
      <c r="AV56" s="2253" t="str">
        <f t="shared" si="18"/>
        <v>2021-22</v>
      </c>
      <c r="AW56" s="2253" t="str">
        <f t="shared" si="18"/>
        <v>2022-23</v>
      </c>
      <c r="AX56" s="2252" t="str">
        <f t="shared" si="18"/>
        <v>2023-24</v>
      </c>
      <c r="AY56" s="2253" t="str">
        <f t="shared" si="18"/>
        <v>2024-25</v>
      </c>
      <c r="AZ56" s="2253" t="str">
        <f t="shared" si="18"/>
        <v>2025-26</v>
      </c>
      <c r="BA56" s="2253" t="str">
        <f t="shared" si="18"/>
        <v>2026-27</v>
      </c>
      <c r="BB56" s="2254" t="str">
        <f t="shared" si="18"/>
        <v>2027-28</v>
      </c>
      <c r="BC56" s="2253" t="str">
        <f t="shared" si="18"/>
        <v>2028-29</v>
      </c>
      <c r="BD56" s="2253" t="str">
        <f t="shared" si="18"/>
        <v>2029-30</v>
      </c>
      <c r="BE56" s="2253" t="str">
        <f t="shared" si="18"/>
        <v>2030-31</v>
      </c>
      <c r="BF56" s="2253" t="str">
        <f t="shared" si="18"/>
        <v>2031-32</v>
      </c>
      <c r="BG56" s="2254" t="str">
        <f t="shared" si="18"/>
        <v>2032-33</v>
      </c>
      <c r="BH56" s="1304"/>
      <c r="BI56" s="2250" t="str">
        <f>BI68</f>
        <v>PQR</v>
      </c>
      <c r="BJ56" s="2251"/>
      <c r="BK56" s="2251"/>
      <c r="BL56" s="2252" t="str">
        <f t="shared" ref="BL56:BZ56" si="19">BL68</f>
        <v>2018-19</v>
      </c>
      <c r="BM56" s="2253" t="str">
        <f t="shared" si="19"/>
        <v>2019-20</v>
      </c>
      <c r="BN56" s="2253" t="str">
        <f t="shared" si="19"/>
        <v>2020-21</v>
      </c>
      <c r="BO56" s="2253" t="str">
        <f t="shared" si="19"/>
        <v>2021-22</v>
      </c>
      <c r="BP56" s="2255" t="str">
        <f t="shared" si="19"/>
        <v>2022-23</v>
      </c>
      <c r="BQ56" s="2253" t="str">
        <f t="shared" si="19"/>
        <v>2023-24</v>
      </c>
      <c r="BR56" s="2253" t="str">
        <f t="shared" si="19"/>
        <v>2024-25</v>
      </c>
      <c r="BS56" s="2253" t="str">
        <f t="shared" si="19"/>
        <v>2025-26</v>
      </c>
      <c r="BT56" s="2253" t="str">
        <f t="shared" si="19"/>
        <v>2026-27</v>
      </c>
      <c r="BU56" s="2254" t="str">
        <f t="shared" si="19"/>
        <v>2027-28</v>
      </c>
      <c r="BV56" s="2253" t="str">
        <f t="shared" si="19"/>
        <v>2028-29</v>
      </c>
      <c r="BW56" s="2253" t="str">
        <f t="shared" si="19"/>
        <v>2029-30</v>
      </c>
      <c r="BX56" s="2253" t="str">
        <f t="shared" si="19"/>
        <v>2030-31</v>
      </c>
      <c r="BY56" s="2253" t="str">
        <f t="shared" si="19"/>
        <v>2031-32</v>
      </c>
      <c r="BZ56" s="2254" t="str">
        <f t="shared" si="19"/>
        <v>2032-33</v>
      </c>
    </row>
    <row r="57" spans="3:78" x14ac:dyDescent="0.3">
      <c r="C57" s="126"/>
      <c r="D57" s="126"/>
      <c r="E57" s="540" t="str">
        <f>+CONCATENATE("Total ",E42)</f>
        <v>Total Non-scheduled tariff revenue</v>
      </c>
      <c r="F57" s="126"/>
      <c r="G57" s="126"/>
      <c r="H57" s="126"/>
      <c r="I57" s="126"/>
      <c r="J57" s="126"/>
      <c r="K57" s="111"/>
      <c r="L57" s="112"/>
      <c r="M57" s="113"/>
      <c r="N57" s="111"/>
      <c r="O57" s="112"/>
      <c r="P57" s="112"/>
      <c r="Q57" s="112"/>
      <c r="R57" s="113"/>
      <c r="S57" s="111"/>
      <c r="T57" s="112"/>
      <c r="U57" s="112"/>
      <c r="V57" s="112"/>
      <c r="W57" s="1443">
        <f t="shared" ref="W57" si="20">+W49+W55</f>
        <v>0</v>
      </c>
      <c r="X57" s="542">
        <f t="shared" ref="X57:AG57" si="21">+X49+X55</f>
        <v>0</v>
      </c>
      <c r="Y57" s="543">
        <f t="shared" si="21"/>
        <v>0</v>
      </c>
      <c r="Z57" s="543">
        <f t="shared" si="21"/>
        <v>0</v>
      </c>
      <c r="AA57" s="543">
        <f t="shared" si="21"/>
        <v>0</v>
      </c>
      <c r="AB57" s="544">
        <f t="shared" si="21"/>
        <v>0</v>
      </c>
      <c r="AC57" s="542">
        <f t="shared" si="21"/>
        <v>0.65</v>
      </c>
      <c r="AD57" s="543">
        <f t="shared" si="21"/>
        <v>0.65</v>
      </c>
      <c r="AE57" s="543">
        <f t="shared" si="21"/>
        <v>0.65</v>
      </c>
      <c r="AF57" s="543">
        <f t="shared" si="21"/>
        <v>0.65</v>
      </c>
      <c r="AG57" s="544">
        <f t="shared" si="21"/>
        <v>0.65</v>
      </c>
      <c r="AH57" s="542">
        <f>+AH49+AH55</f>
        <v>0</v>
      </c>
      <c r="AI57" s="543">
        <f>+AI49+AI55</f>
        <v>0</v>
      </c>
      <c r="AJ57" s="543">
        <f>+AJ49+AJ55</f>
        <v>0</v>
      </c>
      <c r="AK57" s="543">
        <f>+AK49+AK55</f>
        <v>0</v>
      </c>
      <c r="AL57" s="544">
        <f>+AL49+AL55</f>
        <v>0</v>
      </c>
      <c r="AM57" s="520"/>
      <c r="AO57" s="84"/>
      <c r="AP57" s="2256" t="s">
        <v>45</v>
      </c>
      <c r="AQ57" s="2257"/>
      <c r="AR57" s="2257"/>
      <c r="AS57" s="2258">
        <f t="shared" ref="AS57:BG57" si="22">IFERROR(AVERAGEIF($AP$69:$AP$65549,$AP$69,AS$69:AS$65549),"-")</f>
        <v>-7.9968024271363184E-3</v>
      </c>
      <c r="AT57" s="1038">
        <f t="shared" si="22"/>
        <v>6.9875047921043746E-3</v>
      </c>
      <c r="AU57" s="1038">
        <f t="shared" si="22"/>
        <v>1.2171614715461828E-2</v>
      </c>
      <c r="AV57" s="1038">
        <f t="shared" si="22"/>
        <v>1.4140595373564579E-2</v>
      </c>
      <c r="AW57" s="1038">
        <f t="shared" si="22"/>
        <v>4.6389914631865793E-2</v>
      </c>
      <c r="AX57" s="2259">
        <f t="shared" si="22"/>
        <v>0</v>
      </c>
      <c r="AY57" s="1038">
        <f t="shared" si="22"/>
        <v>6.8421052631579011E-3</v>
      </c>
      <c r="AZ57" s="1038">
        <f t="shared" si="22"/>
        <v>6.8421052631579011E-3</v>
      </c>
      <c r="BA57" s="1038">
        <f t="shared" si="22"/>
        <v>6.8421052631579011E-3</v>
      </c>
      <c r="BB57" s="1040">
        <f t="shared" si="22"/>
        <v>6.8421052631579011E-3</v>
      </c>
      <c r="BC57" s="1038">
        <f t="shared" si="22"/>
        <v>6.8421052631579011E-3</v>
      </c>
      <c r="BD57" s="1038">
        <f t="shared" si="22"/>
        <v>6.8421052631579011E-3</v>
      </c>
      <c r="BE57" s="1038">
        <f t="shared" si="22"/>
        <v>6.8421052631579011E-3</v>
      </c>
      <c r="BF57" s="1038">
        <f t="shared" si="22"/>
        <v>6.8421052631579011E-3</v>
      </c>
      <c r="BG57" s="1040">
        <f t="shared" si="22"/>
        <v>6.8421052631579011E-3</v>
      </c>
      <c r="BH57" s="1304"/>
      <c r="BI57" s="2256" t="s">
        <v>45</v>
      </c>
      <c r="BJ57" s="2257"/>
      <c r="BK57" s="2257"/>
      <c r="BL57" s="2258">
        <f t="shared" ref="BL57:BZ57" si="23">SUMIF($BI$69:$BI$65549,$BI$69,BL$69:BL$65549)</f>
        <v>3.4179627088902907E-3</v>
      </c>
      <c r="BM57" s="1038">
        <f t="shared" si="23"/>
        <v>-4.9133091003217564E-3</v>
      </c>
      <c r="BN57" s="1038">
        <f t="shared" si="23"/>
        <v>-1.6859552686969616E-3</v>
      </c>
      <c r="BO57" s="1038">
        <f t="shared" si="23"/>
        <v>-1.2511091579961036E-2</v>
      </c>
      <c r="BP57" s="1039">
        <f t="shared" si="23"/>
        <v>3.028160700650134E-2</v>
      </c>
      <c r="BQ57" s="1038">
        <f t="shared" si="23"/>
        <v>0</v>
      </c>
      <c r="BR57" s="1038">
        <f t="shared" si="23"/>
        <v>9.8033246470673099E-3</v>
      </c>
      <c r="BS57" s="1038">
        <f t="shared" si="23"/>
        <v>9.8081337034771326E-3</v>
      </c>
      <c r="BT57" s="1038">
        <f t="shared" si="23"/>
        <v>9.8129010438820288E-3</v>
      </c>
      <c r="BU57" s="1040">
        <f t="shared" si="23"/>
        <v>9.8175531519747068E-3</v>
      </c>
      <c r="BV57" s="1038">
        <f t="shared" si="23"/>
        <v>9.8217649113736174E-3</v>
      </c>
      <c r="BW57" s="1038">
        <f t="shared" si="23"/>
        <v>9.8258852495028085E-3</v>
      </c>
      <c r="BX57" s="1038">
        <f t="shared" si="23"/>
        <v>9.829915951072082E-3</v>
      </c>
      <c r="BY57" s="1038">
        <f t="shared" si="23"/>
        <v>9.8338587728649274E-3</v>
      </c>
      <c r="BZ57" s="1040">
        <f t="shared" si="23"/>
        <v>9.837715443927534E-3</v>
      </c>
    </row>
    <row r="58" spans="3:78" x14ac:dyDescent="0.3">
      <c r="C58" s="126"/>
      <c r="D58" s="126"/>
      <c r="E58" s="126"/>
      <c r="F58" s="126"/>
      <c r="G58" s="126"/>
      <c r="H58" s="126"/>
      <c r="I58" s="126"/>
      <c r="J58" s="126"/>
      <c r="K58" s="118"/>
      <c r="L58" s="118"/>
      <c r="M58" s="118"/>
      <c r="N58" s="465"/>
      <c r="O58" s="465"/>
      <c r="P58" s="465"/>
      <c r="Q58" s="465"/>
      <c r="R58" s="118"/>
      <c r="S58" s="465"/>
      <c r="T58" s="465"/>
      <c r="U58" s="465"/>
      <c r="V58" s="465"/>
      <c r="W58" s="465"/>
      <c r="X58" s="125"/>
      <c r="Y58" s="125"/>
      <c r="Z58" s="125"/>
      <c r="AA58" s="125"/>
      <c r="AB58" s="125"/>
      <c r="AC58" s="125"/>
      <c r="AD58" s="125"/>
      <c r="AE58" s="125"/>
      <c r="AF58" s="125"/>
      <c r="AG58" s="125"/>
      <c r="AH58" s="125"/>
      <c r="AI58" s="125"/>
      <c r="AJ58" s="125"/>
      <c r="AK58" s="125"/>
      <c r="AL58" s="125"/>
      <c r="AM58" s="84"/>
      <c r="AO58" s="84"/>
      <c r="AP58" s="2260" t="s">
        <v>842</v>
      </c>
      <c r="AQ58" s="2261"/>
      <c r="AR58" s="2261"/>
      <c r="AS58" s="2262">
        <f t="shared" ref="AS58:BG58" si="24">IFERROR(AVERAGEIF($AP$69:$AP$65549,$AP$70,AS$69:AS$65549),"-")</f>
        <v>-5.5850834269046898E-2</v>
      </c>
      <c r="AT58" s="1701">
        <f t="shared" si="24"/>
        <v>-1.7973300357650147E-2</v>
      </c>
      <c r="AU58" s="1701">
        <f t="shared" si="24"/>
        <v>0.1536836796992688</v>
      </c>
      <c r="AV58" s="1701">
        <f t="shared" si="24"/>
        <v>5.3897140666390925E-2</v>
      </c>
      <c r="AW58" s="1701">
        <f t="shared" si="24"/>
        <v>1.1578947368421027E-2</v>
      </c>
      <c r="AX58" s="2262">
        <f t="shared" si="24"/>
        <v>9.7368421052631254E-3</v>
      </c>
      <c r="AY58" s="1701">
        <f t="shared" si="24"/>
        <v>7.1052631578947022E-3</v>
      </c>
      <c r="AZ58" s="1701">
        <f t="shared" si="24"/>
        <v>1.131578947368418E-2</v>
      </c>
      <c r="BA58" s="1701">
        <f t="shared" si="24"/>
        <v>1.131578947368418E-2</v>
      </c>
      <c r="BB58" s="1705">
        <f t="shared" si="24"/>
        <v>1.0789473684210495E-2</v>
      </c>
      <c r="BC58" s="1701">
        <f t="shared" si="24"/>
        <v>1.0789473684210495E-2</v>
      </c>
      <c r="BD58" s="1701">
        <f t="shared" si="24"/>
        <v>1.0789473684210495E-2</v>
      </c>
      <c r="BE58" s="1701">
        <f t="shared" si="24"/>
        <v>1.0789473684210495E-2</v>
      </c>
      <c r="BF58" s="1701">
        <f t="shared" si="24"/>
        <v>1.0789473684210495E-2</v>
      </c>
      <c r="BG58" s="1705">
        <f t="shared" si="24"/>
        <v>1.0789473684210495E-2</v>
      </c>
      <c r="BH58" s="1304"/>
      <c r="BI58" s="2260" t="s">
        <v>842</v>
      </c>
      <c r="BJ58" s="2261"/>
      <c r="BK58" s="2261"/>
      <c r="BL58" s="2262">
        <f t="shared" ref="BL58:BZ58" si="25">SUMIF($BI$69:$BI$65549,$BI$70,BL$69:BL$65549)</f>
        <v>2.2264439423101939E-2</v>
      </c>
      <c r="BM58" s="1701">
        <f t="shared" si="25"/>
        <v>-5.7169645419096792E-3</v>
      </c>
      <c r="BN58" s="1701">
        <f t="shared" si="25"/>
        <v>1.390221940942578E-2</v>
      </c>
      <c r="BO58" s="1701">
        <f t="shared" si="25"/>
        <v>2.6326000689099068E-2</v>
      </c>
      <c r="BP58" s="1703">
        <f t="shared" si="25"/>
        <v>2.1176735426692239E-2</v>
      </c>
      <c r="BQ58" s="1701">
        <f t="shared" si="25"/>
        <v>2.9196402272646641E-2</v>
      </c>
      <c r="BR58" s="1701">
        <f t="shared" si="25"/>
        <v>2.0185747480264141E-2</v>
      </c>
      <c r="BS58" s="1701">
        <f t="shared" si="25"/>
        <v>2.0594596596090781E-2</v>
      </c>
      <c r="BT58" s="1701">
        <f t="shared" si="25"/>
        <v>2.0607877329548344E-2</v>
      </c>
      <c r="BU58" s="1705">
        <f t="shared" si="25"/>
        <v>1.8744427118718071E-2</v>
      </c>
      <c r="BV58" s="1701">
        <f t="shared" si="25"/>
        <v>1.8774204502881978E-2</v>
      </c>
      <c r="BW58" s="1701">
        <f t="shared" si="25"/>
        <v>1.8803732132041614E-2</v>
      </c>
      <c r="BX58" s="1701">
        <f t="shared" si="25"/>
        <v>1.8833011445930546E-2</v>
      </c>
      <c r="BY58" s="1701">
        <f t="shared" si="25"/>
        <v>1.8862043890750444E-2</v>
      </c>
      <c r="BZ58" s="1705">
        <f t="shared" si="25"/>
        <v>1.8890830918697324E-2</v>
      </c>
    </row>
    <row r="59" spans="3:78" ht="12.5" thickBot="1" x14ac:dyDescent="0.35">
      <c r="C59" s="126"/>
      <c r="D59" s="126"/>
      <c r="E59" s="540" t="s">
        <v>38</v>
      </c>
      <c r="F59" s="126"/>
      <c r="H59" s="126"/>
      <c r="I59" s="126" t="str">
        <f>Expenditure_Detail!$B$6</f>
        <v>$m, 01/01/23</v>
      </c>
      <c r="J59" s="126"/>
      <c r="K59" s="316"/>
      <c r="L59" s="317"/>
      <c r="M59" s="317"/>
      <c r="N59" s="316"/>
      <c r="O59" s="317"/>
      <c r="P59" s="317"/>
      <c r="Q59" s="317"/>
      <c r="R59" s="317"/>
      <c r="S59" s="316"/>
      <c r="T59" s="317"/>
      <c r="U59" s="317"/>
      <c r="V59" s="317"/>
      <c r="W59" s="347"/>
      <c r="X59" s="1548"/>
      <c r="Y59" s="1557"/>
      <c r="Z59" s="1557"/>
      <c r="AA59" s="1557"/>
      <c r="AB59" s="1558"/>
      <c r="AC59" s="1548">
        <v>1</v>
      </c>
      <c r="AD59" s="1557">
        <v>1</v>
      </c>
      <c r="AE59" s="1557">
        <v>1</v>
      </c>
      <c r="AF59" s="1557">
        <v>1</v>
      </c>
      <c r="AG59" s="1558">
        <v>1</v>
      </c>
      <c r="AH59" s="1548">
        <v>0.5</v>
      </c>
      <c r="AI59" s="1557">
        <v>0.5</v>
      </c>
      <c r="AJ59" s="1557">
        <v>0.5</v>
      </c>
      <c r="AK59" s="1557">
        <v>0.5</v>
      </c>
      <c r="AL59" s="1558">
        <v>0.5</v>
      </c>
      <c r="AM59" s="520"/>
      <c r="AO59" s="84"/>
      <c r="AP59" s="2263" t="s">
        <v>69</v>
      </c>
      <c r="AQ59" s="1344"/>
      <c r="AR59" s="1344"/>
      <c r="AS59" s="2264">
        <f t="shared" ref="AS59:BG59" si="26">IFERROR(AVERAGEIF($AP$69:$AP$65549,$AP$71,AS$69:AS$65549),"-")</f>
        <v>-6.5670635749354306E-2</v>
      </c>
      <c r="AT59" s="1702">
        <f t="shared" si="26"/>
        <v>-1.1491960670285111E-2</v>
      </c>
      <c r="AU59" s="1702">
        <f t="shared" si="26"/>
        <v>0.16930652939979637</v>
      </c>
      <c r="AV59" s="1702">
        <f t="shared" si="26"/>
        <v>6.8644336872163592E-2</v>
      </c>
      <c r="AW59" s="1702">
        <f t="shared" si="26"/>
        <v>5.8486375982372656E-2</v>
      </c>
      <c r="AX59" s="2264">
        <f t="shared" si="26"/>
        <v>9.7368421052631601E-3</v>
      </c>
      <c r="AY59" s="1702">
        <f t="shared" si="26"/>
        <v>1.400263157894727E-2</v>
      </c>
      <c r="AZ59" s="1702">
        <f t="shared" si="26"/>
        <v>1.8255263157894729E-2</v>
      </c>
      <c r="BA59" s="1702">
        <f t="shared" si="26"/>
        <v>1.8255263157894684E-2</v>
      </c>
      <c r="BB59" s="1706">
        <f t="shared" si="26"/>
        <v>1.7723684210526287E-2</v>
      </c>
      <c r="BC59" s="1702">
        <f t="shared" si="26"/>
        <v>1.7723684210526298E-2</v>
      </c>
      <c r="BD59" s="1702">
        <f t="shared" si="26"/>
        <v>1.7723684210526298E-2</v>
      </c>
      <c r="BE59" s="1702">
        <f t="shared" si="26"/>
        <v>1.7723684210526357E-2</v>
      </c>
      <c r="BF59" s="1702">
        <f t="shared" si="26"/>
        <v>1.7723684210526332E-2</v>
      </c>
      <c r="BG59" s="1706">
        <f t="shared" si="26"/>
        <v>1.7723684210526298E-2</v>
      </c>
      <c r="BH59" s="1304"/>
      <c r="BI59" s="2263" t="s">
        <v>69</v>
      </c>
      <c r="BJ59" s="1344"/>
      <c r="BK59" s="1344"/>
      <c r="BL59" s="2264">
        <f t="shared" ref="BL59:BZ59" si="27">SUMIF($BI$69:$BI$65549,$BI$71,BL$69:BL$65549)</f>
        <v>2.5736026575939638E-2</v>
      </c>
      <c r="BM59" s="1702">
        <f t="shared" si="27"/>
        <v>-1.1080020866681726E-2</v>
      </c>
      <c r="BN59" s="1702">
        <f t="shared" si="27"/>
        <v>1.186522290827215E-2</v>
      </c>
      <c r="BO59" s="1702">
        <f t="shared" si="27"/>
        <v>1.3305205482152771E-2</v>
      </c>
      <c r="BP59" s="1704">
        <f t="shared" si="27"/>
        <v>5.2086032993020233E-2</v>
      </c>
      <c r="BQ59" s="1702">
        <f t="shared" si="27"/>
        <v>2.9196402272646742E-2</v>
      </c>
      <c r="BR59" s="1702">
        <f t="shared" si="27"/>
        <v>3.0189946225369475E-2</v>
      </c>
      <c r="BS59" s="1702">
        <f t="shared" si="27"/>
        <v>3.0607716934046153E-2</v>
      </c>
      <c r="BT59" s="1702">
        <f t="shared" si="27"/>
        <v>3.0625921651945397E-2</v>
      </c>
      <c r="BU59" s="1706">
        <f t="shared" si="27"/>
        <v>2.8748512307639765E-2</v>
      </c>
      <c r="BV59" s="1702">
        <f t="shared" si="27"/>
        <v>2.878282028384125E-2</v>
      </c>
      <c r="BW59" s="1702">
        <f t="shared" si="27"/>
        <v>2.881678412911241E-2</v>
      </c>
      <c r="BX59" s="1702">
        <f t="shared" si="27"/>
        <v>2.8850407091217379E-2</v>
      </c>
      <c r="BY59" s="1702">
        <f t="shared" si="27"/>
        <v>2.8883692396387221E-2</v>
      </c>
      <c r="BZ59" s="1706">
        <f t="shared" si="27"/>
        <v>2.891664324903144E-2</v>
      </c>
    </row>
    <row r="60" spans="3:78" x14ac:dyDescent="0.3">
      <c r="C60" s="126"/>
      <c r="D60" s="126"/>
      <c r="E60" s="126"/>
      <c r="F60" s="126"/>
      <c r="G60" s="126"/>
      <c r="H60" s="126"/>
      <c r="I60" s="126"/>
      <c r="J60" s="126"/>
      <c r="K60" s="77"/>
      <c r="L60" s="77"/>
      <c r="M60" s="77"/>
      <c r="N60" s="77"/>
      <c r="O60" s="77"/>
      <c r="P60" s="77"/>
      <c r="Q60" s="77"/>
      <c r="R60" s="84"/>
      <c r="S60" s="84"/>
      <c r="T60" s="77"/>
      <c r="U60" s="77"/>
      <c r="V60" s="77"/>
      <c r="W60" s="77"/>
      <c r="X60" s="72"/>
      <c r="AM60" s="531"/>
      <c r="AO60" s="84"/>
      <c r="AP60" s="2256" t="s">
        <v>843</v>
      </c>
      <c r="AQ60" s="2257"/>
      <c r="AR60" s="2257"/>
      <c r="AS60" s="2259"/>
      <c r="AT60" s="2265"/>
      <c r="AU60" s="1038"/>
      <c r="AV60" s="1038"/>
      <c r="AW60" s="2265">
        <f>IFERROR(AVERAGE(AS57:AW57),"-")</f>
        <v>1.433856541717205E-2</v>
      </c>
      <c r="AX60" s="2259"/>
      <c r="AY60" s="1038"/>
      <c r="AZ60" s="1038"/>
      <c r="BA60" s="1038"/>
      <c r="BB60" s="1708">
        <f>IFERROR(AVERAGE(AX57:BB57),"-")</f>
        <v>5.4736842105263207E-3</v>
      </c>
      <c r="BC60" s="1038"/>
      <c r="BD60" s="1038"/>
      <c r="BE60" s="1038"/>
      <c r="BF60" s="1038"/>
      <c r="BG60" s="1708">
        <f>IFERROR(AVERAGE(BC57:BG57),"-")</f>
        <v>6.8421052631579011E-3</v>
      </c>
      <c r="BH60" s="1304"/>
      <c r="BI60" s="2256" t="s">
        <v>844</v>
      </c>
      <c r="BJ60" s="2257"/>
      <c r="BK60" s="2257"/>
      <c r="BL60" s="2259"/>
      <c r="BM60" s="2265"/>
      <c r="BN60" s="1038"/>
      <c r="BO60" s="1038"/>
      <c r="BP60" s="1707">
        <f>IFERROR(AVERAGE(BL57:BP57),"-")</f>
        <v>2.9178427532823752E-3</v>
      </c>
      <c r="BQ60" s="1038"/>
      <c r="BR60" s="1038"/>
      <c r="BS60" s="1038"/>
      <c r="BT60" s="1038"/>
      <c r="BU60" s="1708">
        <f>IFERROR(AVERAGE(BQ57:BU57),"-")</f>
        <v>7.8483825092802353E-3</v>
      </c>
      <c r="BV60" s="1038"/>
      <c r="BW60" s="1038"/>
      <c r="BX60" s="1038"/>
      <c r="BY60" s="1038"/>
      <c r="BZ60" s="1708">
        <f>IFERROR(AVERAGE(BV57:BZ57),"-")</f>
        <v>9.8298280657481939E-3</v>
      </c>
    </row>
    <row r="61" spans="3:78" x14ac:dyDescent="0.3">
      <c r="C61" s="126"/>
      <c r="D61" s="126"/>
      <c r="E61" s="545" t="s">
        <v>379</v>
      </c>
      <c r="F61" s="265"/>
      <c r="G61" s="265"/>
      <c r="I61" s="126" t="str">
        <f>Expenditure_Detail!$B$6</f>
        <v>$m, 01/01/23</v>
      </c>
      <c r="J61" s="126"/>
      <c r="K61" s="275"/>
      <c r="L61" s="275"/>
      <c r="M61" s="275"/>
      <c r="N61" s="275"/>
      <c r="O61" s="275"/>
      <c r="P61" s="275"/>
      <c r="S61" s="299"/>
      <c r="T61" s="299"/>
      <c r="U61" s="299"/>
      <c r="V61" s="299"/>
      <c r="W61" s="299"/>
      <c r="X61" s="299"/>
      <c r="Y61" s="299"/>
      <c r="Z61" s="1695"/>
      <c r="AA61" s="1696"/>
      <c r="AB61" s="1697" t="s">
        <v>863</v>
      </c>
      <c r="AC61" s="1548"/>
      <c r="AD61" s="1557"/>
      <c r="AE61" s="1557"/>
      <c r="AF61" s="1557"/>
      <c r="AG61" s="1558"/>
      <c r="AH61" s="1548"/>
      <c r="AI61" s="1557"/>
      <c r="AJ61" s="1557"/>
      <c r="AK61" s="1557"/>
      <c r="AL61" s="1558"/>
      <c r="AM61" s="84"/>
      <c r="AO61" s="84"/>
      <c r="AP61" s="2260" t="s">
        <v>845</v>
      </c>
      <c r="AQ61" s="2261"/>
      <c r="AR61" s="2261"/>
      <c r="AS61" s="2266"/>
      <c r="AT61" s="1701"/>
      <c r="AU61" s="1041"/>
      <c r="AV61" s="1041"/>
      <c r="AW61" s="1701">
        <f>IFERROR(AVERAGE(AS58:AW58),"-")</f>
        <v>2.906712662147674E-2</v>
      </c>
      <c r="AX61" s="2266"/>
      <c r="AY61" s="1041"/>
      <c r="AZ61" s="1041"/>
      <c r="BA61" s="1041"/>
      <c r="BB61" s="1705">
        <f>IFERROR(AVERAGE(AX58:BB58),"-")</f>
        <v>1.0052631578947337E-2</v>
      </c>
      <c r="BC61" s="1041"/>
      <c r="BD61" s="1041"/>
      <c r="BE61" s="1041"/>
      <c r="BF61" s="1041"/>
      <c r="BG61" s="1705">
        <f>IFERROR(AVERAGE(BC58:BG58),"-")</f>
        <v>1.0789473684210495E-2</v>
      </c>
      <c r="BH61" s="1304"/>
      <c r="BI61" s="2260" t="s">
        <v>846</v>
      </c>
      <c r="BJ61" s="2261"/>
      <c r="BK61" s="2261"/>
      <c r="BL61" s="2266"/>
      <c r="BM61" s="1701"/>
      <c r="BN61" s="1041"/>
      <c r="BO61" s="1041"/>
      <c r="BP61" s="1703">
        <f t="shared" ref="BP61:BP62" si="28">IFERROR(AVERAGE(BL58:BP58),"-")</f>
        <v>1.5590486081281871E-2</v>
      </c>
      <c r="BQ61" s="1041"/>
      <c r="BR61" s="1041"/>
      <c r="BS61" s="1041"/>
      <c r="BT61" s="1041"/>
      <c r="BU61" s="1705">
        <f>IFERROR(AVERAGE(BQ58:BU58),"-")</f>
        <v>2.1865810159453596E-2</v>
      </c>
      <c r="BV61" s="1041"/>
      <c r="BW61" s="1041"/>
      <c r="BX61" s="1041"/>
      <c r="BY61" s="1041"/>
      <c r="BZ61" s="1705">
        <f>IFERROR(AVERAGE(BV58:BZ58),"-")</f>
        <v>1.8832764578060383E-2</v>
      </c>
    </row>
    <row r="62" spans="3:78" ht="12.5" thickBot="1" x14ac:dyDescent="0.35">
      <c r="C62" s="126"/>
      <c r="D62" s="126"/>
      <c r="E62" s="126"/>
      <c r="F62" s="126"/>
      <c r="G62" s="126"/>
      <c r="H62" s="126"/>
      <c r="I62" s="126"/>
      <c r="J62" s="126"/>
      <c r="K62" s="126"/>
      <c r="L62" s="126"/>
      <c r="N62" s="265"/>
      <c r="O62" s="265"/>
      <c r="P62" s="265"/>
      <c r="Q62" s="265"/>
      <c r="R62" s="265"/>
      <c r="S62" s="546"/>
      <c r="T62" s="546"/>
      <c r="U62" s="546"/>
      <c r="V62" s="546"/>
      <c r="W62" s="546"/>
      <c r="X62" s="546"/>
      <c r="Y62" s="546"/>
      <c r="Z62" s="546"/>
      <c r="AA62" s="546"/>
      <c r="AB62" s="546"/>
      <c r="AC62" s="1527" t="str">
        <f t="shared" ref="AC62:AG62" si="29">+IF(AC61&gt;0,"CHECK","")</f>
        <v/>
      </c>
      <c r="AD62" s="1527" t="str">
        <f t="shared" si="29"/>
        <v/>
      </c>
      <c r="AE62" s="1527" t="str">
        <f t="shared" si="29"/>
        <v/>
      </c>
      <c r="AF62" s="1527" t="str">
        <f t="shared" si="29"/>
        <v/>
      </c>
      <c r="AG62" s="1527" t="str">
        <f t="shared" si="29"/>
        <v/>
      </c>
      <c r="AH62" s="1527" t="str">
        <f>+IF(AH61&gt;0,"CHECK","")</f>
        <v/>
      </c>
      <c r="AI62" s="1527" t="str">
        <f>+IF(AI61&gt;0,"CHECK","")</f>
        <v/>
      </c>
      <c r="AJ62" s="1527" t="str">
        <f>+IF(AJ61&gt;0,"CHECK","")</f>
        <v/>
      </c>
      <c r="AK62" s="1527" t="str">
        <f>+IF(AK61&gt;0,"CHECK","")</f>
        <v/>
      </c>
      <c r="AL62" s="1527" t="str">
        <f>+IF(AL61&gt;0,"CHECK","")</f>
        <v/>
      </c>
      <c r="AM62" s="547"/>
      <c r="AO62" s="84"/>
      <c r="AP62" s="2263" t="s">
        <v>847</v>
      </c>
      <c r="AQ62" s="1344"/>
      <c r="AR62" s="1344"/>
      <c r="AS62" s="2267"/>
      <c r="AT62" s="1702"/>
      <c r="AU62" s="1042"/>
      <c r="AV62" s="1042"/>
      <c r="AW62" s="1702">
        <f>IFERROR(AVERAGE(AS59:AW59),"-")</f>
        <v>4.3854929166938637E-2</v>
      </c>
      <c r="AX62" s="2267"/>
      <c r="AY62" s="1042"/>
      <c r="AZ62" s="1042"/>
      <c r="BA62" s="1042"/>
      <c r="BB62" s="1706">
        <f>IFERROR(AVERAGE(AX59:BB59),"-")</f>
        <v>1.5594736842105225E-2</v>
      </c>
      <c r="BC62" s="1042"/>
      <c r="BD62" s="1042"/>
      <c r="BE62" s="1042"/>
      <c r="BF62" s="1042"/>
      <c r="BG62" s="1706">
        <f>IFERROR(AVERAGE(BC59:BG59),"-")</f>
        <v>1.7723684210526315E-2</v>
      </c>
      <c r="BH62" s="1304"/>
      <c r="BI62" s="2263" t="s">
        <v>848</v>
      </c>
      <c r="BJ62" s="1344"/>
      <c r="BK62" s="1344"/>
      <c r="BL62" s="2267"/>
      <c r="BM62" s="1702"/>
      <c r="BN62" s="1042"/>
      <c r="BO62" s="1042"/>
      <c r="BP62" s="1704">
        <f t="shared" si="28"/>
        <v>1.8382493418540612E-2</v>
      </c>
      <c r="BQ62" s="1042"/>
      <c r="BR62" s="1042"/>
      <c r="BS62" s="1042"/>
      <c r="BT62" s="1042"/>
      <c r="BU62" s="1706">
        <f>IFERROR(AVERAGE(BQ59:BU59),"-")</f>
        <v>2.9873699878329506E-2</v>
      </c>
      <c r="BV62" s="1042"/>
      <c r="BW62" s="1042"/>
      <c r="BX62" s="1042"/>
      <c r="BY62" s="1042"/>
      <c r="BZ62" s="1706">
        <f>IFERROR(AVERAGE(BV59:BZ59),"-")</f>
        <v>2.8850069429917934E-2</v>
      </c>
    </row>
    <row r="63" spans="3:78" x14ac:dyDescent="0.3">
      <c r="C63" s="126"/>
      <c r="D63" s="126"/>
      <c r="E63" s="540" t="s">
        <v>39</v>
      </c>
      <c r="F63" s="126"/>
      <c r="H63" s="126"/>
      <c r="I63" s="126" t="str">
        <f>Expenditure_Detail!$B$6</f>
        <v>$m, 01/01/23</v>
      </c>
      <c r="J63" s="126"/>
      <c r="K63" s="126"/>
      <c r="L63" s="126"/>
      <c r="X63" s="299"/>
      <c r="Y63" s="299"/>
      <c r="Z63" s="299"/>
      <c r="AA63" s="299"/>
      <c r="AB63" s="299"/>
      <c r="AF63" s="548"/>
      <c r="AG63" s="549"/>
      <c r="AK63" s="548"/>
      <c r="AL63" s="549"/>
      <c r="AM63" s="519"/>
      <c r="AO63" s="84"/>
      <c r="AP63" s="1304"/>
      <c r="AQ63" s="1304"/>
      <c r="AR63" s="1304"/>
      <c r="AS63" s="1304"/>
      <c r="AT63" s="1304"/>
      <c r="AU63" s="1304"/>
      <c r="AV63" s="1304"/>
      <c r="AW63" s="1304"/>
      <c r="AX63" s="1304"/>
      <c r="AY63" s="1304"/>
      <c r="AZ63" s="1304"/>
      <c r="BA63" s="1304"/>
      <c r="BB63" s="1304"/>
      <c r="BC63" s="1304"/>
      <c r="BD63" s="1304"/>
      <c r="BE63" s="1304"/>
      <c r="BF63" s="1304"/>
      <c r="BG63" s="1304"/>
      <c r="BH63" s="1304"/>
      <c r="BI63" s="1339"/>
      <c r="BJ63" s="1339"/>
      <c r="BK63" s="1043" t="s">
        <v>688</v>
      </c>
      <c r="BL63" s="1302">
        <f t="shared" ref="BL63:BZ63" si="30">IFERROR((X13/W13-1)-BL59,"-")</f>
        <v>1.3877787807814457E-17</v>
      </c>
      <c r="BM63" s="1302">
        <f t="shared" si="30"/>
        <v>-3.0184188481996443E-16</v>
      </c>
      <c r="BN63" s="1302">
        <f t="shared" si="30"/>
        <v>-2.9490299091605721E-16</v>
      </c>
      <c r="BO63" s="1302">
        <f t="shared" si="30"/>
        <v>4.2153780466236412E-16</v>
      </c>
      <c r="BP63" s="1302">
        <f t="shared" si="30"/>
        <v>-6.2450045135165055E-17</v>
      </c>
      <c r="BQ63" s="1302">
        <f t="shared" si="30"/>
        <v>6.9388939039072284E-18</v>
      </c>
      <c r="BR63" s="1302">
        <f t="shared" si="30"/>
        <v>-6.2450045135165055E-17</v>
      </c>
      <c r="BS63" s="1302">
        <f t="shared" si="30"/>
        <v>2.4980018054066022E-16</v>
      </c>
      <c r="BT63" s="1302">
        <f t="shared" si="30"/>
        <v>1.5612511283791264E-16</v>
      </c>
      <c r="BU63" s="1302">
        <f t="shared" si="30"/>
        <v>-5.6898930012039273E-16</v>
      </c>
      <c r="BV63" s="1302">
        <f t="shared" si="30"/>
        <v>-9.0205620750793969E-17</v>
      </c>
      <c r="BW63" s="1302">
        <f t="shared" si="30"/>
        <v>7.2858385991025898E-17</v>
      </c>
      <c r="BX63" s="1302">
        <f t="shared" si="30"/>
        <v>-1.5612511283791264E-16</v>
      </c>
      <c r="BY63" s="1302">
        <f t="shared" si="30"/>
        <v>1.0755285551056204E-16</v>
      </c>
      <c r="BZ63" s="1302">
        <f t="shared" si="30"/>
        <v>9.7144514654701197E-17</v>
      </c>
    </row>
    <row r="64" spans="3:78" ht="12.5" thickBot="1" x14ac:dyDescent="0.35">
      <c r="C64" s="126"/>
      <c r="D64" s="126"/>
      <c r="E64" s="540"/>
      <c r="F64" s="126"/>
      <c r="H64" s="126"/>
      <c r="I64" s="77"/>
      <c r="J64" s="126"/>
      <c r="K64" s="126"/>
      <c r="L64" s="126"/>
      <c r="X64" s="299"/>
      <c r="Y64" s="299"/>
      <c r="Z64" s="299"/>
      <c r="AA64" s="299"/>
      <c r="AB64" s="299"/>
      <c r="AF64" s="548"/>
      <c r="AG64" s="549"/>
      <c r="AK64" s="548"/>
      <c r="AL64" s="549"/>
      <c r="AM64" s="519"/>
      <c r="AO64" s="84"/>
      <c r="AP64" s="1304"/>
      <c r="AQ64" s="1304"/>
      <c r="AR64" s="1304"/>
      <c r="AS64" s="1304"/>
      <c r="AT64" s="1304"/>
      <c r="AU64" s="1304"/>
      <c r="AV64" s="1304"/>
      <c r="AW64" s="1304"/>
      <c r="AX64" s="1304"/>
      <c r="AY64" s="1304"/>
      <c r="AZ64" s="1304"/>
      <c r="BA64" s="1304"/>
      <c r="BB64" s="1304"/>
      <c r="BC64" s="1304"/>
      <c r="BD64" s="1304"/>
      <c r="BE64" s="1304"/>
      <c r="BF64" s="1304"/>
      <c r="BG64" s="1304"/>
      <c r="BH64" s="1304"/>
      <c r="BI64" s="1339"/>
      <c r="BJ64" s="1339"/>
      <c r="BK64" s="1043"/>
      <c r="BL64" s="1044"/>
      <c r="BM64" s="1044"/>
      <c r="BN64" s="1044"/>
      <c r="BO64" s="1044"/>
      <c r="BP64" s="1044"/>
      <c r="BQ64" s="1044"/>
      <c r="BR64" s="1044"/>
      <c r="BS64" s="1044"/>
      <c r="BT64" s="1044"/>
      <c r="BU64" s="1044"/>
      <c r="BV64" s="1044"/>
      <c r="BW64" s="1044"/>
      <c r="BX64" s="1044"/>
      <c r="BY64" s="1044"/>
      <c r="BZ64" s="1044"/>
    </row>
    <row r="65" spans="3:79" ht="12.5" thickBot="1" x14ac:dyDescent="0.35">
      <c r="C65" s="126"/>
      <c r="D65" s="126"/>
      <c r="E65" s="540"/>
      <c r="F65" s="806" t="s">
        <v>782</v>
      </c>
      <c r="K65" s="126"/>
      <c r="L65" s="126"/>
      <c r="W65" s="1601"/>
      <c r="X65" s="344"/>
      <c r="Y65" s="1557"/>
      <c r="Z65" s="1557"/>
      <c r="AA65" s="1557"/>
      <c r="AB65" s="1558"/>
      <c r="AC65" s="2235" t="s">
        <v>960</v>
      </c>
      <c r="AD65" s="1695"/>
      <c r="AE65" s="2236"/>
      <c r="AF65" s="548"/>
      <c r="AG65" s="549"/>
      <c r="AK65" s="548"/>
      <c r="AL65" s="549"/>
      <c r="AM65" s="519"/>
      <c r="AO65" s="84"/>
      <c r="AP65" s="1304"/>
      <c r="AQ65" s="1304"/>
      <c r="AR65" s="1304"/>
      <c r="AS65" s="2390" t="s">
        <v>962</v>
      </c>
      <c r="AT65" s="2391"/>
      <c r="AU65" s="2391"/>
      <c r="AV65" s="2391"/>
      <c r="AW65" s="2391"/>
      <c r="AX65" s="2391"/>
      <c r="AY65" s="2391"/>
      <c r="AZ65" s="2391"/>
      <c r="BA65" s="2391"/>
      <c r="BB65" s="2391"/>
      <c r="BC65" s="2391"/>
      <c r="BD65" s="2391"/>
      <c r="BE65" s="2391"/>
      <c r="BF65" s="2391"/>
      <c r="BG65" s="2392"/>
      <c r="BH65" s="1304"/>
      <c r="BI65" s="1339"/>
      <c r="BJ65" s="1339"/>
      <c r="BK65" s="1339"/>
      <c r="BL65" s="2390" t="s">
        <v>964</v>
      </c>
      <c r="BM65" s="2391"/>
      <c r="BN65" s="2391"/>
      <c r="BO65" s="2391"/>
      <c r="BP65" s="2391"/>
      <c r="BQ65" s="2391"/>
      <c r="BR65" s="2391"/>
      <c r="BS65" s="2391"/>
      <c r="BT65" s="2391"/>
      <c r="BU65" s="2391"/>
      <c r="BV65" s="2391"/>
      <c r="BW65" s="2391"/>
      <c r="BX65" s="2391"/>
      <c r="BY65" s="2391"/>
      <c r="BZ65" s="2392"/>
    </row>
    <row r="66" spans="3:79" ht="12.5" thickBot="1" x14ac:dyDescent="0.35">
      <c r="C66" s="126"/>
      <c r="D66" s="126"/>
      <c r="E66" s="540"/>
      <c r="F66" s="126"/>
      <c r="G66" s="126"/>
      <c r="H66" s="126"/>
      <c r="I66" s="126"/>
      <c r="J66" s="126"/>
      <c r="K66" s="126"/>
      <c r="L66" s="126"/>
      <c r="W66" s="1527" t="str">
        <f t="shared" ref="W66:Y66" si="31">+IF(W65&gt;0,"CHECK","")</f>
        <v/>
      </c>
      <c r="X66" s="1781" t="str">
        <f t="shared" si="31"/>
        <v/>
      </c>
      <c r="Y66" s="1781" t="str">
        <f t="shared" si="31"/>
        <v/>
      </c>
      <c r="Z66" s="299"/>
      <c r="AA66" s="299"/>
      <c r="AB66" s="299"/>
      <c r="AF66" s="548"/>
      <c r="AG66" s="549"/>
      <c r="AK66" s="548"/>
      <c r="AL66" s="549"/>
      <c r="AM66" s="519"/>
      <c r="AO66" s="84"/>
      <c r="AP66" s="2268"/>
      <c r="AQ66" s="1304"/>
      <c r="AR66" s="1304"/>
      <c r="AS66" s="2383" t="str">
        <f>AS55</f>
        <v>FOURTH REG PERIOD</v>
      </c>
      <c r="AT66" s="2378"/>
      <c r="AU66" s="2378"/>
      <c r="AV66" s="2378"/>
      <c r="AW66" s="2394"/>
      <c r="AX66" s="2383" t="str">
        <f>AX55</f>
        <v>FIFTH REG PERIOD</v>
      </c>
      <c r="AY66" s="2376"/>
      <c r="AZ66" s="2376"/>
      <c r="BA66" s="2376"/>
      <c r="BB66" s="2377"/>
      <c r="BC66" s="2378" t="str">
        <f>BC55</f>
        <v>SIXTH REG PERIOD</v>
      </c>
      <c r="BD66" s="2376"/>
      <c r="BE66" s="2376"/>
      <c r="BF66" s="2376"/>
      <c r="BG66" s="2377"/>
      <c r="BH66" s="2269"/>
      <c r="BI66" s="2268"/>
      <c r="BJ66" s="1304"/>
      <c r="BK66" s="1304"/>
      <c r="BL66" s="2383" t="str">
        <f>BL55</f>
        <v>FOURTH REG PERIOD</v>
      </c>
      <c r="BM66" s="2378"/>
      <c r="BN66" s="2378"/>
      <c r="BO66" s="2378"/>
      <c r="BP66" s="2378"/>
      <c r="BQ66" s="2383" t="str">
        <f>BQ55</f>
        <v>FIFTH REG PERIOD</v>
      </c>
      <c r="BR66" s="2376"/>
      <c r="BS66" s="2376"/>
      <c r="BT66" s="2376"/>
      <c r="BU66" s="2377"/>
      <c r="BV66" s="2378" t="str">
        <f>BV55</f>
        <v>SIXTH REG PERIOD</v>
      </c>
      <c r="BW66" s="2376"/>
      <c r="BX66" s="2376"/>
      <c r="BY66" s="2376"/>
      <c r="BZ66" s="2377"/>
      <c r="CA66" s="1037"/>
    </row>
    <row r="67" spans="3:79" ht="12.5" thickBot="1" x14ac:dyDescent="0.35">
      <c r="H67" s="126"/>
      <c r="I67" s="126"/>
      <c r="J67" s="126"/>
      <c r="K67" s="126"/>
      <c r="AF67" s="550"/>
      <c r="AG67" s="548"/>
      <c r="AK67" s="550"/>
      <c r="AL67" s="548"/>
      <c r="AM67" s="519"/>
      <c r="AO67" s="89"/>
      <c r="AP67" s="1304"/>
      <c r="AQ67" s="1304"/>
      <c r="AR67" s="1304"/>
      <c r="AS67" s="2373" t="s">
        <v>864</v>
      </c>
      <c r="AT67" s="2374"/>
      <c r="AU67" s="2374"/>
      <c r="AV67" s="2375"/>
      <c r="AW67" s="2379" t="s">
        <v>865</v>
      </c>
      <c r="AX67" s="2380"/>
      <c r="AY67" s="2380"/>
      <c r="AZ67" s="2380"/>
      <c r="BA67" s="2380"/>
      <c r="BB67" s="2380"/>
      <c r="BC67" s="2380"/>
      <c r="BD67" s="2380"/>
      <c r="BE67" s="2380"/>
      <c r="BF67" s="2380"/>
      <c r="BG67" s="2381"/>
      <c r="BH67" s="2269"/>
      <c r="BI67" s="1304"/>
      <c r="BJ67" s="1304"/>
      <c r="BK67" s="1304"/>
      <c r="BL67" s="2373" t="s">
        <v>864</v>
      </c>
      <c r="BM67" s="2374"/>
      <c r="BN67" s="2374"/>
      <c r="BO67" s="2375"/>
      <c r="BP67" s="2379" t="s">
        <v>865</v>
      </c>
      <c r="BQ67" s="2380"/>
      <c r="BR67" s="2380"/>
      <c r="BS67" s="2380"/>
      <c r="BT67" s="2380"/>
      <c r="BU67" s="2380"/>
      <c r="BV67" s="2380"/>
      <c r="BW67" s="2380"/>
      <c r="BX67" s="2380"/>
      <c r="BY67" s="2380"/>
      <c r="BZ67" s="2381"/>
      <c r="CA67" s="1037"/>
    </row>
    <row r="68" spans="3:79" ht="12.5" thickBot="1" x14ac:dyDescent="0.35">
      <c r="C68" s="126"/>
      <c r="D68" s="126"/>
      <c r="E68" s="466" t="s">
        <v>40</v>
      </c>
      <c r="F68" s="466" t="s">
        <v>41</v>
      </c>
      <c r="G68" s="466" t="s">
        <v>219</v>
      </c>
      <c r="H68" s="466" t="s">
        <v>43</v>
      </c>
      <c r="I68" s="466" t="s">
        <v>220</v>
      </c>
      <c r="J68" s="466" t="s">
        <v>44</v>
      </c>
      <c r="K68" s="1147" t="str">
        <f t="shared" ref="K68:AG68" si="32">+K7</f>
        <v>2005-06</v>
      </c>
      <c r="L68" s="1147" t="str">
        <f t="shared" si="32"/>
        <v>2006-07</v>
      </c>
      <c r="M68" s="1147" t="str">
        <f t="shared" si="32"/>
        <v>2007-08</v>
      </c>
      <c r="N68" s="1147" t="str">
        <f t="shared" si="32"/>
        <v>2008-09</v>
      </c>
      <c r="O68" s="1147" t="str">
        <f t="shared" si="32"/>
        <v>2009-10</v>
      </c>
      <c r="P68" s="1147" t="str">
        <f t="shared" si="32"/>
        <v>2010-11</v>
      </c>
      <c r="Q68" s="1147" t="str">
        <f t="shared" si="32"/>
        <v>2011-12</v>
      </c>
      <c r="R68" s="1147" t="str">
        <f t="shared" si="32"/>
        <v>2012-13</v>
      </c>
      <c r="S68" s="1147" t="str">
        <f t="shared" si="32"/>
        <v>2013-14</v>
      </c>
      <c r="T68" s="1147" t="str">
        <f t="shared" si="32"/>
        <v>2014-15</v>
      </c>
      <c r="U68" s="1147" t="str">
        <f t="shared" si="32"/>
        <v>2015-16</v>
      </c>
      <c r="V68" s="1147" t="str">
        <f t="shared" si="32"/>
        <v>2016-17</v>
      </c>
      <c r="W68" s="1147" t="str">
        <f t="shared" si="32"/>
        <v>2017-18</v>
      </c>
      <c r="X68" s="1147" t="str">
        <f t="shared" si="32"/>
        <v>2018-19</v>
      </c>
      <c r="Y68" s="1147" t="str">
        <f t="shared" si="32"/>
        <v>2019-20</v>
      </c>
      <c r="Z68" s="1147" t="str">
        <f t="shared" si="32"/>
        <v>2020-21</v>
      </c>
      <c r="AA68" s="1147" t="str">
        <f t="shared" si="32"/>
        <v>2021-22</v>
      </c>
      <c r="AB68" s="1147" t="str">
        <f t="shared" si="32"/>
        <v>2022-23</v>
      </c>
      <c r="AC68" s="1147" t="str">
        <f t="shared" si="32"/>
        <v>2023-24</v>
      </c>
      <c r="AD68" s="1147" t="str">
        <f t="shared" si="32"/>
        <v>2024-25</v>
      </c>
      <c r="AE68" s="1147" t="str">
        <f t="shared" si="32"/>
        <v>2025-26</v>
      </c>
      <c r="AF68" s="1147" t="str">
        <f t="shared" si="32"/>
        <v>2026-27</v>
      </c>
      <c r="AG68" s="1147" t="str">
        <f t="shared" si="32"/>
        <v>2027-28</v>
      </c>
      <c r="AH68" s="1147" t="str">
        <f>+AH7</f>
        <v>2028-29</v>
      </c>
      <c r="AI68" s="1147" t="str">
        <f>+AI7</f>
        <v>2029-30</v>
      </c>
      <c r="AJ68" s="1147" t="str">
        <f>+AJ7</f>
        <v>2030-31</v>
      </c>
      <c r="AK68" s="1147" t="str">
        <f>+AK7</f>
        <v>2031-32</v>
      </c>
      <c r="AL68" s="1147" t="str">
        <f>+AL7</f>
        <v>2032-33</v>
      </c>
      <c r="AM68" s="547"/>
      <c r="AP68" s="2270" t="s">
        <v>40</v>
      </c>
      <c r="AQ68" s="2271" t="s">
        <v>41</v>
      </c>
      <c r="AR68" s="2272" t="s">
        <v>220</v>
      </c>
      <c r="AS68" s="2273" t="str">
        <f t="shared" ref="AS68:BG68" si="33">X68</f>
        <v>2018-19</v>
      </c>
      <c r="AT68" s="2253" t="str">
        <f t="shared" si="33"/>
        <v>2019-20</v>
      </c>
      <c r="AU68" s="2253" t="str">
        <f t="shared" si="33"/>
        <v>2020-21</v>
      </c>
      <c r="AV68" s="2253" t="str">
        <f t="shared" si="33"/>
        <v>2021-22</v>
      </c>
      <c r="AW68" s="2253" t="str">
        <f t="shared" si="33"/>
        <v>2022-23</v>
      </c>
      <c r="AX68" s="2252" t="str">
        <f t="shared" si="33"/>
        <v>2023-24</v>
      </c>
      <c r="AY68" s="2253" t="str">
        <f t="shared" si="33"/>
        <v>2024-25</v>
      </c>
      <c r="AZ68" s="2253" t="str">
        <f t="shared" si="33"/>
        <v>2025-26</v>
      </c>
      <c r="BA68" s="2253" t="str">
        <f t="shared" si="33"/>
        <v>2026-27</v>
      </c>
      <c r="BB68" s="2254" t="str">
        <f t="shared" si="33"/>
        <v>2027-28</v>
      </c>
      <c r="BC68" s="2253" t="str">
        <f t="shared" si="33"/>
        <v>2028-29</v>
      </c>
      <c r="BD68" s="2253" t="str">
        <f t="shared" si="33"/>
        <v>2029-30</v>
      </c>
      <c r="BE68" s="2253" t="str">
        <f t="shared" si="33"/>
        <v>2030-31</v>
      </c>
      <c r="BF68" s="2253" t="str">
        <f t="shared" si="33"/>
        <v>2031-32</v>
      </c>
      <c r="BG68" s="2254" t="str">
        <f t="shared" si="33"/>
        <v>2032-33</v>
      </c>
      <c r="BH68" s="2274"/>
      <c r="BI68" s="2275" t="str">
        <f t="shared" ref="BI68:BX83" si="34">AP68</f>
        <v>PQR</v>
      </c>
      <c r="BJ68" s="2276" t="str">
        <f t="shared" si="34"/>
        <v>Service</v>
      </c>
      <c r="BK68" s="2277" t="str">
        <f t="shared" si="34"/>
        <v>Type</v>
      </c>
      <c r="BL68" s="2273" t="str">
        <f t="shared" si="34"/>
        <v>2018-19</v>
      </c>
      <c r="BM68" s="2253" t="str">
        <f t="shared" si="34"/>
        <v>2019-20</v>
      </c>
      <c r="BN68" s="2253" t="str">
        <f t="shared" si="34"/>
        <v>2020-21</v>
      </c>
      <c r="BO68" s="2253" t="str">
        <f t="shared" si="34"/>
        <v>2021-22</v>
      </c>
      <c r="BP68" s="2253" t="str">
        <f t="shared" si="34"/>
        <v>2022-23</v>
      </c>
      <c r="BQ68" s="2252" t="str">
        <f t="shared" si="34"/>
        <v>2023-24</v>
      </c>
      <c r="BR68" s="2253" t="str">
        <f t="shared" si="34"/>
        <v>2024-25</v>
      </c>
      <c r="BS68" s="2253" t="str">
        <f t="shared" si="34"/>
        <v>2025-26</v>
      </c>
      <c r="BT68" s="2253" t="str">
        <f t="shared" si="34"/>
        <v>2026-27</v>
      </c>
      <c r="BU68" s="2254" t="str">
        <f t="shared" si="34"/>
        <v>2027-28</v>
      </c>
      <c r="BV68" s="2253" t="str">
        <f t="shared" si="34"/>
        <v>2028-29</v>
      </c>
      <c r="BW68" s="2253" t="str">
        <f t="shared" si="34"/>
        <v>2029-30</v>
      </c>
      <c r="BX68" s="2253" t="str">
        <f t="shared" si="34"/>
        <v>2030-31</v>
      </c>
      <c r="BY68" s="2253" t="str">
        <f t="shared" ref="BY68:BZ68" si="35">BF68</f>
        <v>2031-32</v>
      </c>
      <c r="BZ68" s="2254" t="str">
        <f t="shared" si="35"/>
        <v>2032-33</v>
      </c>
      <c r="CA68" s="1045"/>
    </row>
    <row r="69" spans="3:79" x14ac:dyDescent="0.3">
      <c r="C69" s="126"/>
      <c r="D69" s="126">
        <f>D66+1</f>
        <v>1</v>
      </c>
      <c r="E69" s="553" t="s">
        <v>45</v>
      </c>
      <c r="F69" s="2105" t="s">
        <v>21</v>
      </c>
      <c r="G69" s="2105" t="s">
        <v>1187</v>
      </c>
      <c r="H69" s="2105" t="s">
        <v>1191</v>
      </c>
      <c r="I69" s="573" t="s">
        <v>320</v>
      </c>
      <c r="J69" s="573" t="s">
        <v>348</v>
      </c>
      <c r="K69" s="1969"/>
      <c r="L69" s="1970"/>
      <c r="M69" s="1970"/>
      <c r="N69" s="1971"/>
      <c r="O69" s="1970"/>
      <c r="P69" s="1970"/>
      <c r="Q69" s="1970"/>
      <c r="R69" s="1972"/>
      <c r="S69" s="1971"/>
      <c r="T69" s="1970"/>
      <c r="U69" s="1970"/>
      <c r="V69" s="1970"/>
      <c r="W69" s="1709">
        <v>195.13</v>
      </c>
      <c r="X69" s="1710">
        <v>198.83</v>
      </c>
      <c r="Y69" s="1709">
        <v>194.81</v>
      </c>
      <c r="Z69" s="1709">
        <v>186.31</v>
      </c>
      <c r="AA69" s="1709">
        <v>208.17</v>
      </c>
      <c r="AB69" s="1711">
        <v>218.76</v>
      </c>
      <c r="AC69" s="1709">
        <v>218.76</v>
      </c>
      <c r="AD69" s="1709">
        <v>220.94759999999999</v>
      </c>
      <c r="AE69" s="1709">
        <v>223.15707599999999</v>
      </c>
      <c r="AF69" s="1709">
        <v>225.38864676</v>
      </c>
      <c r="AG69" s="1712">
        <v>227.64253322760001</v>
      </c>
      <c r="AH69" s="1709">
        <v>229.91895855987602</v>
      </c>
      <c r="AI69" s="1709">
        <v>232.21814814547477</v>
      </c>
      <c r="AJ69" s="1709">
        <v>234.54032962692952</v>
      </c>
      <c r="AK69" s="1709">
        <v>236.88573292319882</v>
      </c>
      <c r="AL69" s="1712">
        <v>239.2545902524308</v>
      </c>
      <c r="AM69" s="560"/>
      <c r="AN69" s="1052"/>
      <c r="AO69" s="992"/>
      <c r="AP69" s="2278" t="str">
        <f t="shared" ref="AP69:AQ132" si="36">E69</f>
        <v>Price</v>
      </c>
      <c r="AQ69" s="2279" t="str">
        <f t="shared" si="36"/>
        <v>Water</v>
      </c>
      <c r="AR69" s="1717" t="str">
        <f t="shared" ref="AR69:AR132" si="37">I69</f>
        <v>Fixed</v>
      </c>
      <c r="AS69" s="2280">
        <f t="shared" ref="AS69:BG85" si="38">IF(OR(X69="",X69=0),"-",IFERROR(X69/W69-1,"-"))</f>
        <v>1.896171782913969E-2</v>
      </c>
      <c r="AT69" s="1046">
        <f t="shared" si="38"/>
        <v>-2.0218276919981903E-2</v>
      </c>
      <c r="AU69" s="1046">
        <f t="shared" si="38"/>
        <v>-4.3632257070992275E-2</v>
      </c>
      <c r="AV69" s="2281">
        <f t="shared" si="38"/>
        <v>0.11733132950458902</v>
      </c>
      <c r="AW69" s="1046">
        <f t="shared" si="38"/>
        <v>5.0871883556708575E-2</v>
      </c>
      <c r="AX69" s="2282">
        <f t="shared" si="38"/>
        <v>0</v>
      </c>
      <c r="AY69" s="1046">
        <f t="shared" si="38"/>
        <v>1.0000000000000009E-2</v>
      </c>
      <c r="AZ69" s="1046">
        <f t="shared" si="38"/>
        <v>1.0000000000000009E-2</v>
      </c>
      <c r="BA69" s="1046">
        <f t="shared" si="38"/>
        <v>1.0000000000000009E-2</v>
      </c>
      <c r="BB69" s="1047">
        <f t="shared" si="38"/>
        <v>1.0000000000000009E-2</v>
      </c>
      <c r="BC69" s="1046">
        <f t="shared" si="38"/>
        <v>1.0000000000000009E-2</v>
      </c>
      <c r="BD69" s="1046">
        <f t="shared" si="38"/>
        <v>1.0000000000000009E-2</v>
      </c>
      <c r="BE69" s="1046">
        <f t="shared" si="38"/>
        <v>1.0000000000000009E-2</v>
      </c>
      <c r="BF69" s="1046">
        <f t="shared" si="38"/>
        <v>1.0000000000000009E-2</v>
      </c>
      <c r="BG69" s="1047">
        <f t="shared" si="38"/>
        <v>1.0000000000000009E-2</v>
      </c>
      <c r="BH69" s="1048"/>
      <c r="BI69" s="2283" t="str">
        <f t="shared" si="34"/>
        <v>Price</v>
      </c>
      <c r="BJ69" s="2284" t="str">
        <f t="shared" si="34"/>
        <v>Water</v>
      </c>
      <c r="BK69" s="1718" t="str">
        <f t="shared" si="34"/>
        <v>Fixed</v>
      </c>
      <c r="BL69" s="2280">
        <f t="shared" ref="BL69:BZ69" si="39">IF(OR(X69="",X69=0),"-",IFERROR((X69/W69-1)*(W71/W$13),"-"))</f>
        <v>2.7936681189784361E-3</v>
      </c>
      <c r="BM69" s="1046">
        <f t="shared" si="39"/>
        <v>-3.0224649519605233E-3</v>
      </c>
      <c r="BN69" s="1046">
        <f t="shared" si="39"/>
        <v>-6.5600681865276558E-3</v>
      </c>
      <c r="BO69" s="2281">
        <f t="shared" si="39"/>
        <v>1.7195543535599093E-2</v>
      </c>
      <c r="BP69" s="1046">
        <f t="shared" si="39"/>
        <v>8.4379893343249669E-3</v>
      </c>
      <c r="BQ69" s="2282">
        <f t="shared" si="39"/>
        <v>0</v>
      </c>
      <c r="BR69" s="1046">
        <f t="shared" si="39"/>
        <v>1.681369649774797E-3</v>
      </c>
      <c r="BS69" s="1046">
        <f t="shared" si="39"/>
        <v>1.6846828939164049E-3</v>
      </c>
      <c r="BT69" s="1046">
        <f t="shared" si="39"/>
        <v>1.6873184124136301E-3</v>
      </c>
      <c r="BU69" s="1047">
        <f t="shared" si="39"/>
        <v>1.6899282029215106E-3</v>
      </c>
      <c r="BV69" s="1046">
        <f t="shared" si="39"/>
        <v>1.6956308259505886E-3</v>
      </c>
      <c r="BW69" s="1046">
        <f t="shared" si="39"/>
        <v>1.7012959554280063E-3</v>
      </c>
      <c r="BX69" s="1046">
        <f t="shared" si="39"/>
        <v>1.7069236604634467E-3</v>
      </c>
      <c r="BY69" s="1046">
        <f t="shared" si="39"/>
        <v>1.7125140143404432E-3</v>
      </c>
      <c r="BZ69" s="1047">
        <f t="shared" si="39"/>
        <v>1.7180670944111653E-3</v>
      </c>
      <c r="CA69" s="1048"/>
    </row>
    <row r="70" spans="3:79" x14ac:dyDescent="0.3">
      <c r="C70" s="126"/>
      <c r="D70" s="126"/>
      <c r="E70" s="558" t="s">
        <v>46</v>
      </c>
      <c r="F70" s="2161" t="str">
        <f t="shared" ref="F70:I85" si="40">+F69</f>
        <v>Water</v>
      </c>
      <c r="G70" s="2163" t="str">
        <f t="shared" si="40"/>
        <v>Res + Non-Res</v>
      </c>
      <c r="H70" s="2163" t="str">
        <f t="shared" si="40"/>
        <v>Service Charge</v>
      </c>
      <c r="I70" s="2164" t="str">
        <f t="shared" si="40"/>
        <v>Fixed</v>
      </c>
      <c r="J70" s="574" t="s">
        <v>324</v>
      </c>
      <c r="K70" s="1973"/>
      <c r="L70" s="1974"/>
      <c r="M70" s="1974"/>
      <c r="N70" s="1975"/>
      <c r="O70" s="1974"/>
      <c r="P70" s="1974"/>
      <c r="Q70" s="1974"/>
      <c r="R70" s="1976"/>
      <c r="S70" s="1975"/>
      <c r="T70" s="1974"/>
      <c r="U70" s="1974"/>
      <c r="V70" s="1974"/>
      <c r="W70" s="1713">
        <v>69565</v>
      </c>
      <c r="X70" s="1714">
        <v>71054</v>
      </c>
      <c r="Y70" s="1713">
        <v>72128</v>
      </c>
      <c r="Z70" s="1713">
        <v>74388</v>
      </c>
      <c r="AA70" s="1713">
        <v>76352</v>
      </c>
      <c r="AB70" s="1715">
        <v>78031.744000000006</v>
      </c>
      <c r="AC70" s="1713">
        <v>79748.442368000004</v>
      </c>
      <c r="AD70" s="1713">
        <v>81502.908100096</v>
      </c>
      <c r="AE70" s="1713">
        <v>83295.972078298117</v>
      </c>
      <c r="AF70" s="1713">
        <v>85128.483464020683</v>
      </c>
      <c r="AG70" s="1716">
        <v>87001.310100229137</v>
      </c>
      <c r="AH70" s="1713">
        <v>88915.338922434181</v>
      </c>
      <c r="AI70" s="1713">
        <v>90871.476378727733</v>
      </c>
      <c r="AJ70" s="1713">
        <v>92870.648859059744</v>
      </c>
      <c r="AK70" s="1713">
        <v>94913.803133959067</v>
      </c>
      <c r="AL70" s="1716">
        <v>97001.906802906175</v>
      </c>
      <c r="AM70" s="560"/>
      <c r="AN70" s="991"/>
      <c r="AO70" s="992"/>
      <c r="AP70" s="2285" t="str">
        <f t="shared" si="36"/>
        <v>Qty</v>
      </c>
      <c r="AQ70" s="2286" t="str">
        <f t="shared" si="36"/>
        <v>Water</v>
      </c>
      <c r="AR70" s="2287" t="str">
        <f t="shared" si="37"/>
        <v>Fixed</v>
      </c>
      <c r="AS70" s="2288">
        <f t="shared" si="38"/>
        <v>2.1404441888880799E-2</v>
      </c>
      <c r="AT70" s="1720">
        <f t="shared" si="38"/>
        <v>1.5115264446758703E-2</v>
      </c>
      <c r="AU70" s="1720">
        <f t="shared" si="38"/>
        <v>3.1333185448092271E-2</v>
      </c>
      <c r="AV70" s="2289">
        <f t="shared" si="38"/>
        <v>2.6402107866860147E-2</v>
      </c>
      <c r="AW70" s="1720">
        <f t="shared" si="38"/>
        <v>2.200000000000002E-2</v>
      </c>
      <c r="AX70" s="2290">
        <f t="shared" si="38"/>
        <v>2.200000000000002E-2</v>
      </c>
      <c r="AY70" s="1720">
        <f t="shared" si="38"/>
        <v>2.200000000000002E-2</v>
      </c>
      <c r="AZ70" s="1720">
        <f t="shared" si="38"/>
        <v>2.200000000000002E-2</v>
      </c>
      <c r="BA70" s="1720">
        <f t="shared" si="38"/>
        <v>2.200000000000002E-2</v>
      </c>
      <c r="BB70" s="1721">
        <f t="shared" si="38"/>
        <v>2.200000000000002E-2</v>
      </c>
      <c r="BC70" s="1720">
        <f t="shared" si="38"/>
        <v>2.200000000000002E-2</v>
      </c>
      <c r="BD70" s="1720">
        <f t="shared" si="38"/>
        <v>2.200000000000002E-2</v>
      </c>
      <c r="BE70" s="1720">
        <f t="shared" si="38"/>
        <v>2.200000000000002E-2</v>
      </c>
      <c r="BF70" s="1720">
        <f t="shared" si="38"/>
        <v>2.200000000000002E-2</v>
      </c>
      <c r="BG70" s="1721">
        <f t="shared" si="38"/>
        <v>2.200000000000002E-2</v>
      </c>
      <c r="BH70" s="1048"/>
      <c r="BI70" s="2285" t="str">
        <f t="shared" si="34"/>
        <v>Qty</v>
      </c>
      <c r="BJ70" s="2286" t="str">
        <f t="shared" si="34"/>
        <v>Water</v>
      </c>
      <c r="BK70" s="2287" t="str">
        <f t="shared" si="34"/>
        <v>Fixed</v>
      </c>
      <c r="BL70" s="2288">
        <f t="shared" ref="BL70:BZ70" si="41">IF(OR(X70="",X70=0),"-",IFERROR((X70/W70-1)*(W71/W$13),"-"))</f>
        <v>3.153559579797096E-3</v>
      </c>
      <c r="BM70" s="1720">
        <f t="shared" si="41"/>
        <v>2.2596068503143263E-3</v>
      </c>
      <c r="BN70" s="1720">
        <f t="shared" si="41"/>
        <v>4.7109145123105335E-3</v>
      </c>
      <c r="BO70" s="2289">
        <f t="shared" si="41"/>
        <v>3.8693722910420128E-3</v>
      </c>
      <c r="BP70" s="1720">
        <f t="shared" si="41"/>
        <v>3.6490837841342185E-3</v>
      </c>
      <c r="BQ70" s="2290">
        <f t="shared" si="41"/>
        <v>3.7250597923336693E-3</v>
      </c>
      <c r="BR70" s="1720">
        <f t="shared" si="41"/>
        <v>3.6990132295045531E-3</v>
      </c>
      <c r="BS70" s="1720">
        <f t="shared" si="41"/>
        <v>3.7063023666160911E-3</v>
      </c>
      <c r="BT70" s="1720">
        <f t="shared" si="41"/>
        <v>3.7121005073099864E-3</v>
      </c>
      <c r="BU70" s="1721">
        <f t="shared" si="41"/>
        <v>3.7178420464273232E-3</v>
      </c>
      <c r="BV70" s="1720">
        <f t="shared" si="41"/>
        <v>3.7303878170912947E-3</v>
      </c>
      <c r="BW70" s="1720">
        <f t="shared" si="41"/>
        <v>3.7428511019416137E-3</v>
      </c>
      <c r="BX70" s="1720">
        <f t="shared" si="41"/>
        <v>3.7552320530195829E-3</v>
      </c>
      <c r="BY70" s="1720">
        <f t="shared" si="41"/>
        <v>3.7675308315489749E-3</v>
      </c>
      <c r="BZ70" s="1721">
        <f t="shared" si="41"/>
        <v>3.7797476077045633E-3</v>
      </c>
      <c r="CA70" s="1048"/>
    </row>
    <row r="71" spans="3:79" ht="12.5" thickBot="1" x14ac:dyDescent="0.35">
      <c r="C71" s="126"/>
      <c r="D71" s="126"/>
      <c r="E71" s="559" t="s">
        <v>47</v>
      </c>
      <c r="F71" s="2162" t="str">
        <f t="shared" ref="F71:I71" si="42">+F69</f>
        <v>Water</v>
      </c>
      <c r="G71" s="2165" t="str">
        <f t="shared" si="42"/>
        <v>Res + Non-Res</v>
      </c>
      <c r="H71" s="2165" t="str">
        <f t="shared" si="42"/>
        <v>Service Charge</v>
      </c>
      <c r="I71" s="2166" t="str">
        <f t="shared" si="42"/>
        <v>Fixed</v>
      </c>
      <c r="J71" s="2106" t="s">
        <v>347</v>
      </c>
      <c r="K71" s="1977"/>
      <c r="L71" s="1206"/>
      <c r="M71" s="1206"/>
      <c r="N71" s="1978"/>
      <c r="O71" s="1206"/>
      <c r="P71" s="1206"/>
      <c r="Q71" s="1206"/>
      <c r="R71" s="1206"/>
      <c r="S71" s="1978"/>
      <c r="T71" s="1206"/>
      <c r="U71" s="1206"/>
      <c r="V71" s="1206"/>
      <c r="W71" s="1731">
        <f t="shared" ref="W71:AG71" si="43">W69*W70/10^6</f>
        <v>13.57421845</v>
      </c>
      <c r="X71" s="1730">
        <f t="shared" si="43"/>
        <v>14.12766682</v>
      </c>
      <c r="Y71" s="1731">
        <f t="shared" si="43"/>
        <v>14.051255680000001</v>
      </c>
      <c r="Z71" s="1731">
        <f t="shared" si="43"/>
        <v>13.85922828</v>
      </c>
      <c r="AA71" s="1731">
        <f t="shared" si="43"/>
        <v>15.89419584</v>
      </c>
      <c r="AB71" s="1733">
        <f t="shared" si="43"/>
        <v>17.070224317440001</v>
      </c>
      <c r="AC71" s="1731">
        <f t="shared" si="43"/>
        <v>17.44576925242368</v>
      </c>
      <c r="AD71" s="1731">
        <f t="shared" si="43"/>
        <v>18.007871937736773</v>
      </c>
      <c r="AE71" s="1731">
        <f t="shared" si="43"/>
        <v>18.588085571570648</v>
      </c>
      <c r="AF71" s="1731">
        <f t="shared" si="43"/>
        <v>19.186993688686659</v>
      </c>
      <c r="AG71" s="1733">
        <f t="shared" si="43"/>
        <v>19.805198625336143</v>
      </c>
      <c r="AH71" s="1731">
        <f>AH69*AH70/10^6</f>
        <v>20.443322125044475</v>
      </c>
      <c r="AI71" s="1731">
        <f>AI69*AI70/10^6</f>
        <v>21.102005963913406</v>
      </c>
      <c r="AJ71" s="1731">
        <f>AJ69*AJ70/10^6</f>
        <v>21.781912596070701</v>
      </c>
      <c r="AK71" s="1731">
        <f>AK69*AK70/10^6</f>
        <v>22.483725819916099</v>
      </c>
      <c r="AL71" s="1733">
        <f>AL69*AL70/10^6</f>
        <v>23.208151465833797</v>
      </c>
      <c r="AM71" s="560"/>
      <c r="AN71" s="991"/>
      <c r="AO71" s="992"/>
      <c r="AP71" s="2291" t="str">
        <f t="shared" si="36"/>
        <v>Rev</v>
      </c>
      <c r="AQ71" s="2292" t="str">
        <f t="shared" si="36"/>
        <v>Water</v>
      </c>
      <c r="AR71" s="2293" t="str">
        <f t="shared" si="37"/>
        <v>Fixed</v>
      </c>
      <c r="AS71" s="2294">
        <f t="shared" si="38"/>
        <v>4.0772024705407528E-2</v>
      </c>
      <c r="AT71" s="1048">
        <f t="shared" si="38"/>
        <v>-5.4086170755264229E-3</v>
      </c>
      <c r="AU71" s="1048">
        <f t="shared" si="38"/>
        <v>-1.3666209225224213E-2</v>
      </c>
      <c r="AV71" s="2295">
        <f t="shared" si="38"/>
        <v>0.14683123178919177</v>
      </c>
      <c r="AW71" s="1048">
        <f t="shared" si="38"/>
        <v>7.3991064994956002E-2</v>
      </c>
      <c r="AX71" s="2296">
        <f t="shared" si="38"/>
        <v>2.200000000000002E-2</v>
      </c>
      <c r="AY71" s="1048">
        <f t="shared" si="38"/>
        <v>3.2220000000000137E-2</v>
      </c>
      <c r="AZ71" s="1048">
        <f t="shared" si="38"/>
        <v>3.2219999999999693E-2</v>
      </c>
      <c r="BA71" s="1048">
        <f t="shared" si="38"/>
        <v>3.2220000000000137E-2</v>
      </c>
      <c r="BB71" s="1051">
        <f t="shared" si="38"/>
        <v>3.2219999999999915E-2</v>
      </c>
      <c r="BC71" s="1048">
        <f t="shared" si="38"/>
        <v>3.2220000000000137E-2</v>
      </c>
      <c r="BD71" s="1048">
        <f t="shared" si="38"/>
        <v>3.2219999999999915E-2</v>
      </c>
      <c r="BE71" s="1048">
        <f t="shared" si="38"/>
        <v>3.2220000000000137E-2</v>
      </c>
      <c r="BF71" s="1048">
        <f t="shared" si="38"/>
        <v>3.2220000000000137E-2</v>
      </c>
      <c r="BG71" s="1051">
        <f t="shared" si="38"/>
        <v>3.2220000000000137E-2</v>
      </c>
      <c r="BH71" s="1048"/>
      <c r="BI71" s="2291" t="str">
        <f t="shared" si="34"/>
        <v>Rev</v>
      </c>
      <c r="BJ71" s="2292" t="str">
        <f t="shared" si="34"/>
        <v>Water</v>
      </c>
      <c r="BK71" s="2293" t="str">
        <f t="shared" si="34"/>
        <v>Fixed</v>
      </c>
      <c r="BL71" s="2294">
        <f t="shared" ref="BL71:BZ71" si="44">IF(OR(X71="",X71=0),"-",IFERROR((X71/W71-1)*(W71/W$13),"-"))</f>
        <v>6.0070246056850045E-3</v>
      </c>
      <c r="BM71" s="1048">
        <f t="shared" si="44"/>
        <v>-8.0854345867612475E-4</v>
      </c>
      <c r="BN71" s="1048">
        <f t="shared" si="44"/>
        <v>-2.0547015072577197E-3</v>
      </c>
      <c r="BO71" s="2295">
        <f t="shared" si="44"/>
        <v>2.1518914421897333E-2</v>
      </c>
      <c r="BP71" s="1048">
        <f t="shared" si="44"/>
        <v>1.2272708883814305E-2</v>
      </c>
      <c r="BQ71" s="2296">
        <f t="shared" si="44"/>
        <v>3.7250597923336693E-3</v>
      </c>
      <c r="BR71" s="1048">
        <f t="shared" si="44"/>
        <v>5.4173730115744138E-3</v>
      </c>
      <c r="BS71" s="1048">
        <f t="shared" si="44"/>
        <v>5.4280482841986008E-3</v>
      </c>
      <c r="BT71" s="1048">
        <f t="shared" si="44"/>
        <v>5.4365399247967346E-3</v>
      </c>
      <c r="BU71" s="1051">
        <f t="shared" si="44"/>
        <v>5.4449486698130876E-3</v>
      </c>
      <c r="BV71" s="1048">
        <f t="shared" si="44"/>
        <v>5.4633225212128147E-3</v>
      </c>
      <c r="BW71" s="1048">
        <f t="shared" si="44"/>
        <v>5.4815755683890162E-3</v>
      </c>
      <c r="BX71" s="1048">
        <f t="shared" si="44"/>
        <v>5.4997080340132443E-3</v>
      </c>
      <c r="BY71" s="1048">
        <f t="shared" si="44"/>
        <v>5.517720154204926E-3</v>
      </c>
      <c r="BZ71" s="1051">
        <f t="shared" si="44"/>
        <v>5.5356121781927926E-3</v>
      </c>
      <c r="CA71" s="1048"/>
    </row>
    <row r="72" spans="3:79" x14ac:dyDescent="0.3">
      <c r="C72" s="126"/>
      <c r="D72" s="126">
        <f>D69+1</f>
        <v>2</v>
      </c>
      <c r="E72" s="553" t="s">
        <v>45</v>
      </c>
      <c r="F72" s="2105" t="s">
        <v>22</v>
      </c>
      <c r="G72" s="2105" t="s">
        <v>1187</v>
      </c>
      <c r="H72" s="2105" t="s">
        <v>1191</v>
      </c>
      <c r="I72" s="573" t="s">
        <v>320</v>
      </c>
      <c r="J72" s="573" t="s">
        <v>348</v>
      </c>
      <c r="K72" s="1969"/>
      <c r="L72" s="1970"/>
      <c r="M72" s="1970"/>
      <c r="N72" s="1971"/>
      <c r="O72" s="1970"/>
      <c r="P72" s="1970"/>
      <c r="Q72" s="1970"/>
      <c r="R72" s="1972"/>
      <c r="S72" s="1971"/>
      <c r="T72" s="1970"/>
      <c r="U72" s="1970"/>
      <c r="V72" s="1970"/>
      <c r="W72" s="1709">
        <v>756.4</v>
      </c>
      <c r="X72" s="1710">
        <v>756.4</v>
      </c>
      <c r="Y72" s="1709">
        <v>746.54</v>
      </c>
      <c r="Z72" s="1709">
        <v>743.06</v>
      </c>
      <c r="AA72" s="1709">
        <v>693.76</v>
      </c>
      <c r="AB72" s="1711">
        <v>699.64</v>
      </c>
      <c r="AC72" s="1709">
        <v>699.64</v>
      </c>
      <c r="AD72" s="1709">
        <v>706.63639999999998</v>
      </c>
      <c r="AE72" s="1709">
        <v>713.702764</v>
      </c>
      <c r="AF72" s="1709">
        <v>720.83979164000004</v>
      </c>
      <c r="AG72" s="1712">
        <v>728.04818955640008</v>
      </c>
      <c r="AH72" s="1709">
        <v>735.32867145196406</v>
      </c>
      <c r="AI72" s="1709">
        <v>742.6819581664837</v>
      </c>
      <c r="AJ72" s="1709">
        <v>750.10877774814855</v>
      </c>
      <c r="AK72" s="1709">
        <v>757.60986552563008</v>
      </c>
      <c r="AL72" s="1712">
        <v>765.18596418088634</v>
      </c>
      <c r="AM72" s="560"/>
      <c r="AN72" s="1052"/>
      <c r="AO72" s="992"/>
      <c r="AP72" s="2297" t="str">
        <f t="shared" si="36"/>
        <v>Price</v>
      </c>
      <c r="AQ72" s="2298" t="str">
        <f t="shared" si="36"/>
        <v>Sewerage</v>
      </c>
      <c r="AR72" s="1719" t="str">
        <f t="shared" si="37"/>
        <v>Fixed</v>
      </c>
      <c r="AS72" s="2299">
        <f t="shared" si="38"/>
        <v>0</v>
      </c>
      <c r="AT72" s="1728">
        <f t="shared" si="38"/>
        <v>-1.3035430988894814E-2</v>
      </c>
      <c r="AU72" s="1728">
        <f t="shared" si="38"/>
        <v>-4.6615050767541133E-3</v>
      </c>
      <c r="AV72" s="2300">
        <f t="shared" si="38"/>
        <v>-6.6347266707937447E-2</v>
      </c>
      <c r="AW72" s="1728">
        <f t="shared" si="38"/>
        <v>8.4755535055349718E-3</v>
      </c>
      <c r="AX72" s="2301">
        <f t="shared" si="38"/>
        <v>0</v>
      </c>
      <c r="AY72" s="1728">
        <f t="shared" si="38"/>
        <v>1.0000000000000009E-2</v>
      </c>
      <c r="AZ72" s="1728">
        <f t="shared" si="38"/>
        <v>1.0000000000000009E-2</v>
      </c>
      <c r="BA72" s="1728">
        <f t="shared" si="38"/>
        <v>1.0000000000000009E-2</v>
      </c>
      <c r="BB72" s="1729">
        <f t="shared" si="38"/>
        <v>1.0000000000000009E-2</v>
      </c>
      <c r="BC72" s="1728">
        <f t="shared" si="38"/>
        <v>1.0000000000000009E-2</v>
      </c>
      <c r="BD72" s="1728">
        <f t="shared" si="38"/>
        <v>1.0000000000000009E-2</v>
      </c>
      <c r="BE72" s="1728">
        <f t="shared" si="38"/>
        <v>1.0000000000000009E-2</v>
      </c>
      <c r="BF72" s="1728">
        <f t="shared" si="38"/>
        <v>1.0000000000000009E-2</v>
      </c>
      <c r="BG72" s="1729">
        <f t="shared" si="38"/>
        <v>1.0000000000000009E-2</v>
      </c>
      <c r="BH72" s="1048"/>
      <c r="BI72" s="2297" t="str">
        <f t="shared" si="34"/>
        <v>Price</v>
      </c>
      <c r="BJ72" s="2298" t="str">
        <f t="shared" si="34"/>
        <v>Sewerage</v>
      </c>
      <c r="BK72" s="1719" t="str">
        <f t="shared" si="34"/>
        <v>Fixed</v>
      </c>
      <c r="BL72" s="2301">
        <f t="shared" ref="BL72:BZ72" si="45">IF(OR(X72="",X72=0),"-",IFERROR((X72/W72-1)*(W74/W$13),"-"))</f>
        <v>0</v>
      </c>
      <c r="BM72" s="1053">
        <f t="shared" si="45"/>
        <v>-6.3806169867605773E-3</v>
      </c>
      <c r="BN72" s="1053">
        <f t="shared" si="45"/>
        <v>-2.3263285281028873E-3</v>
      </c>
      <c r="BO72" s="2302">
        <f t="shared" si="45"/>
        <v>-3.347802275646463E-2</v>
      </c>
      <c r="BP72" s="1053">
        <f t="shared" si="45"/>
        <v>4.060879669836614E-3</v>
      </c>
      <c r="BQ72" s="2303">
        <f t="shared" si="45"/>
        <v>0</v>
      </c>
      <c r="BR72" s="1053">
        <f t="shared" si="45"/>
        <v>4.6608991172721525E-3</v>
      </c>
      <c r="BS72" s="1053">
        <f t="shared" si="45"/>
        <v>4.6700837107355809E-3</v>
      </c>
      <c r="BT72" s="1053">
        <f t="shared" si="45"/>
        <v>4.6773895912948721E-3</v>
      </c>
      <c r="BU72" s="1054">
        <f t="shared" si="45"/>
        <v>4.684624151687986E-3</v>
      </c>
      <c r="BV72" s="1053">
        <f t="shared" si="45"/>
        <v>4.7004323058591558E-3</v>
      </c>
      <c r="BW72" s="1053">
        <f t="shared" si="45"/>
        <v>4.7161365247286148E-3</v>
      </c>
      <c r="BX72" s="1053">
        <f t="shared" si="45"/>
        <v>4.7317369998742592E-3</v>
      </c>
      <c r="BY72" s="1053">
        <f t="shared" si="45"/>
        <v>4.7472339344442512E-3</v>
      </c>
      <c r="BZ72" s="1054">
        <f t="shared" si="45"/>
        <v>4.7626275428653605E-3</v>
      </c>
      <c r="CA72" s="1048"/>
    </row>
    <row r="73" spans="3:79" x14ac:dyDescent="0.3">
      <c r="C73" s="126"/>
      <c r="D73" s="126"/>
      <c r="E73" s="558" t="s">
        <v>46</v>
      </c>
      <c r="F73" s="2161" t="str">
        <f t="shared" si="40"/>
        <v>Sewerage</v>
      </c>
      <c r="G73" s="2163" t="str">
        <f t="shared" si="40"/>
        <v>Res + Non-Res</v>
      </c>
      <c r="H73" s="2163" t="str">
        <f t="shared" si="40"/>
        <v>Service Charge</v>
      </c>
      <c r="I73" s="2164" t="str">
        <f t="shared" si="40"/>
        <v>Fixed</v>
      </c>
      <c r="J73" s="574" t="s">
        <v>324</v>
      </c>
      <c r="K73" s="1973"/>
      <c r="L73" s="1974"/>
      <c r="M73" s="1974"/>
      <c r="N73" s="1975"/>
      <c r="O73" s="1974"/>
      <c r="P73" s="1974"/>
      <c r="Q73" s="1974"/>
      <c r="R73" s="1976"/>
      <c r="S73" s="1975"/>
      <c r="T73" s="1974"/>
      <c r="U73" s="1974"/>
      <c r="V73" s="1974"/>
      <c r="W73" s="1713">
        <v>59932</v>
      </c>
      <c r="X73" s="1714">
        <v>61156</v>
      </c>
      <c r="Y73" s="1713">
        <v>62475</v>
      </c>
      <c r="Z73" s="1713">
        <v>64217</v>
      </c>
      <c r="AA73" s="1713">
        <v>66179</v>
      </c>
      <c r="AB73" s="1715">
        <v>67634.937999999995</v>
      </c>
      <c r="AC73" s="1713">
        <v>69122.906636</v>
      </c>
      <c r="AD73" s="1713">
        <v>70643.610581992005</v>
      </c>
      <c r="AE73" s="1713">
        <v>72197.770014795824</v>
      </c>
      <c r="AF73" s="1713">
        <v>73786.12095512134</v>
      </c>
      <c r="AG73" s="1716">
        <v>75409.415616134007</v>
      </c>
      <c r="AH73" s="1713">
        <v>77068.422759688954</v>
      </c>
      <c r="AI73" s="1713">
        <v>78763.928060402119</v>
      </c>
      <c r="AJ73" s="1713">
        <v>80496.734477730963</v>
      </c>
      <c r="AK73" s="1713">
        <v>82267.662636241046</v>
      </c>
      <c r="AL73" s="1716">
        <v>84077.551214238352</v>
      </c>
      <c r="AM73" s="560"/>
      <c r="AN73" s="991"/>
      <c r="AO73" s="992"/>
      <c r="AP73" s="2285" t="str">
        <f t="shared" si="36"/>
        <v>Qty</v>
      </c>
      <c r="AQ73" s="2286" t="str">
        <f t="shared" si="36"/>
        <v>Sewerage</v>
      </c>
      <c r="AR73" s="2287" t="str">
        <f t="shared" si="37"/>
        <v>Fixed</v>
      </c>
      <c r="AS73" s="2288">
        <f t="shared" si="38"/>
        <v>2.0423146232396716E-2</v>
      </c>
      <c r="AT73" s="1720">
        <f t="shared" si="38"/>
        <v>2.156779383870755E-2</v>
      </c>
      <c r="AU73" s="1720">
        <f t="shared" si="38"/>
        <v>2.7883153261304416E-2</v>
      </c>
      <c r="AV73" s="2289">
        <f t="shared" si="38"/>
        <v>3.0552657396016647E-2</v>
      </c>
      <c r="AW73" s="1720">
        <f t="shared" si="38"/>
        <v>2.200000000000002E-2</v>
      </c>
      <c r="AX73" s="2290">
        <f t="shared" si="38"/>
        <v>2.200000000000002E-2</v>
      </c>
      <c r="AY73" s="1720">
        <f t="shared" si="38"/>
        <v>2.200000000000002E-2</v>
      </c>
      <c r="AZ73" s="1720">
        <f t="shared" si="38"/>
        <v>2.200000000000002E-2</v>
      </c>
      <c r="BA73" s="1720">
        <f t="shared" si="38"/>
        <v>2.200000000000002E-2</v>
      </c>
      <c r="BB73" s="1721">
        <f t="shared" si="38"/>
        <v>2.200000000000002E-2</v>
      </c>
      <c r="BC73" s="1720">
        <f t="shared" si="38"/>
        <v>2.200000000000002E-2</v>
      </c>
      <c r="BD73" s="1720">
        <f t="shared" si="38"/>
        <v>2.200000000000002E-2</v>
      </c>
      <c r="BE73" s="1720">
        <f t="shared" si="38"/>
        <v>2.200000000000002E-2</v>
      </c>
      <c r="BF73" s="1720">
        <f t="shared" si="38"/>
        <v>2.200000000000002E-2</v>
      </c>
      <c r="BG73" s="1721">
        <f t="shared" si="38"/>
        <v>2.200000000000002E-2</v>
      </c>
      <c r="BH73" s="1048"/>
      <c r="BI73" s="2285" t="str">
        <f t="shared" si="34"/>
        <v>Qty</v>
      </c>
      <c r="BJ73" s="2286" t="str">
        <f t="shared" si="34"/>
        <v>Sewerage</v>
      </c>
      <c r="BK73" s="2287" t="str">
        <f t="shared" si="34"/>
        <v>Fixed</v>
      </c>
      <c r="BL73" s="2290">
        <f t="shared" ref="BL73:BZ73" si="46">IF(OR(X73="",X73=0),"-",IFERROR((X73/W73-1)*(W74/W$13),"-"))</f>
        <v>1.0048823914631714E-2</v>
      </c>
      <c r="BM73" s="1720">
        <f t="shared" si="46"/>
        <v>1.0557060357378719E-2</v>
      </c>
      <c r="BN73" s="1720">
        <f t="shared" si="46"/>
        <v>1.3915114070926724E-2</v>
      </c>
      <c r="BO73" s="2289">
        <f t="shared" si="46"/>
        <v>1.5416498829965288E-2</v>
      </c>
      <c r="BP73" s="1720">
        <f t="shared" si="46"/>
        <v>1.0540828121498189E-2</v>
      </c>
      <c r="BQ73" s="2290">
        <f t="shared" si="46"/>
        <v>1.032618133686395E-2</v>
      </c>
      <c r="BR73" s="1720">
        <f t="shared" si="46"/>
        <v>1.0253978057998736E-2</v>
      </c>
      <c r="BS73" s="1720">
        <f t="shared" si="46"/>
        <v>1.0274184163618279E-2</v>
      </c>
      <c r="BT73" s="1720">
        <f t="shared" si="46"/>
        <v>1.0290257100848719E-2</v>
      </c>
      <c r="BU73" s="1721">
        <f t="shared" si="46"/>
        <v>1.030617313371357E-2</v>
      </c>
      <c r="BV73" s="1720">
        <f t="shared" si="46"/>
        <v>1.0340951072890143E-2</v>
      </c>
      <c r="BW73" s="1720">
        <f t="shared" si="46"/>
        <v>1.0375500354402952E-2</v>
      </c>
      <c r="BX73" s="1720">
        <f t="shared" si="46"/>
        <v>1.040982139972337E-2</v>
      </c>
      <c r="BY73" s="1720">
        <f t="shared" si="46"/>
        <v>1.0443914655777353E-2</v>
      </c>
      <c r="BZ73" s="1721">
        <f t="shared" si="46"/>
        <v>1.0477780594303793E-2</v>
      </c>
      <c r="CA73" s="1048"/>
    </row>
    <row r="74" spans="3:79" ht="12.5" thickBot="1" x14ac:dyDescent="0.35">
      <c r="C74" s="126"/>
      <c r="D74" s="126"/>
      <c r="E74" s="559" t="s">
        <v>47</v>
      </c>
      <c r="F74" s="2162" t="str">
        <f t="shared" ref="F74:I74" si="47">+F72</f>
        <v>Sewerage</v>
      </c>
      <c r="G74" s="2165" t="str">
        <f t="shared" si="47"/>
        <v>Res + Non-Res</v>
      </c>
      <c r="H74" s="2165" t="str">
        <f t="shared" si="47"/>
        <v>Service Charge</v>
      </c>
      <c r="I74" s="2166" t="str">
        <f t="shared" si="47"/>
        <v>Fixed</v>
      </c>
      <c r="J74" s="2106" t="s">
        <v>347</v>
      </c>
      <c r="K74" s="1977"/>
      <c r="L74" s="1206"/>
      <c r="M74" s="1206"/>
      <c r="N74" s="1978"/>
      <c r="O74" s="1206"/>
      <c r="P74" s="1206"/>
      <c r="Q74" s="1206"/>
      <c r="R74" s="1206"/>
      <c r="S74" s="1978"/>
      <c r="T74" s="1206"/>
      <c r="U74" s="1206"/>
      <c r="V74" s="1206"/>
      <c r="W74" s="1731">
        <f t="shared" ref="W74:AG74" si="48">W72*W73/10^6</f>
        <v>45.3325648</v>
      </c>
      <c r="X74" s="1730">
        <f t="shared" si="48"/>
        <v>46.258398399999997</v>
      </c>
      <c r="Y74" s="1731">
        <f t="shared" si="48"/>
        <v>46.640086500000002</v>
      </c>
      <c r="Z74" s="1731">
        <f t="shared" si="48"/>
        <v>47.717084019999994</v>
      </c>
      <c r="AA74" s="1731">
        <f t="shared" si="48"/>
        <v>45.912343039999996</v>
      </c>
      <c r="AB74" s="1733">
        <f t="shared" si="48"/>
        <v>47.320108022319992</v>
      </c>
      <c r="AC74" s="1731">
        <f t="shared" si="48"/>
        <v>48.361150398811041</v>
      </c>
      <c r="AD74" s="1731">
        <f t="shared" si="48"/>
        <v>49.919346664660736</v>
      </c>
      <c r="AE74" s="1731">
        <f t="shared" si="48"/>
        <v>51.527748014196099</v>
      </c>
      <c r="AF74" s="1731">
        <f t="shared" si="48"/>
        <v>53.187972055213514</v>
      </c>
      <c r="AG74" s="1733">
        <f t="shared" si="48"/>
        <v>54.901688514832486</v>
      </c>
      <c r="AH74" s="1731">
        <f>AH72*AH73/10^6</f>
        <v>56.670620918780386</v>
      </c>
      <c r="AI74" s="1731">
        <f>AI72*AI73/10^6</f>
        <v>58.496548324783497</v>
      </c>
      <c r="AJ74" s="1731">
        <f>AJ72*AJ73/10^6</f>
        <v>60.381307111808027</v>
      </c>
      <c r="AK74" s="1731">
        <f>AK72*AK73/10^6</f>
        <v>62.326792826950481</v>
      </c>
      <c r="AL74" s="1733">
        <f>AL72*AL73/10^6</f>
        <v>64.334962091834825</v>
      </c>
      <c r="AM74" s="560"/>
      <c r="AN74" s="991"/>
      <c r="AO74" s="992"/>
      <c r="AP74" s="2304" t="str">
        <f t="shared" si="36"/>
        <v>Rev</v>
      </c>
      <c r="AQ74" s="2305" t="str">
        <f t="shared" si="36"/>
        <v>Sewerage</v>
      </c>
      <c r="AR74" s="2306" t="str">
        <f t="shared" si="37"/>
        <v>Fixed</v>
      </c>
      <c r="AS74" s="2307">
        <f t="shared" si="38"/>
        <v>2.0423146232396716E-2</v>
      </c>
      <c r="AT74" s="1055">
        <f t="shared" si="38"/>
        <v>8.2512173616458018E-3</v>
      </c>
      <c r="AU74" s="1055">
        <f t="shared" si="38"/>
        <v>2.3091670724066704E-2</v>
      </c>
      <c r="AV74" s="2308">
        <f t="shared" si="38"/>
        <v>-3.7821694620810531E-2</v>
      </c>
      <c r="AW74" s="1055">
        <f t="shared" si="38"/>
        <v>3.0662015682656696E-2</v>
      </c>
      <c r="AX74" s="2309">
        <f t="shared" si="38"/>
        <v>2.2000000000000242E-2</v>
      </c>
      <c r="AY74" s="1055">
        <f t="shared" si="38"/>
        <v>3.2220000000000137E-2</v>
      </c>
      <c r="AZ74" s="1055">
        <f t="shared" si="38"/>
        <v>3.2219999999999915E-2</v>
      </c>
      <c r="BA74" s="1055">
        <f t="shared" si="38"/>
        <v>3.2220000000000359E-2</v>
      </c>
      <c r="BB74" s="1056">
        <f t="shared" si="38"/>
        <v>3.2219999999999915E-2</v>
      </c>
      <c r="BC74" s="1055">
        <f t="shared" si="38"/>
        <v>3.2219999999999915E-2</v>
      </c>
      <c r="BD74" s="1055">
        <f t="shared" si="38"/>
        <v>3.2220000000000137E-2</v>
      </c>
      <c r="BE74" s="1055">
        <f t="shared" si="38"/>
        <v>3.2220000000000137E-2</v>
      </c>
      <c r="BF74" s="1055">
        <f t="shared" si="38"/>
        <v>3.2219999999999915E-2</v>
      </c>
      <c r="BG74" s="1056">
        <f t="shared" si="38"/>
        <v>3.2219999999999915E-2</v>
      </c>
      <c r="BH74" s="1048"/>
      <c r="BI74" s="2304" t="str">
        <f t="shared" si="34"/>
        <v>Rev</v>
      </c>
      <c r="BJ74" s="2305" t="str">
        <f t="shared" si="34"/>
        <v>Sewerage</v>
      </c>
      <c r="BK74" s="2306" t="str">
        <f t="shared" si="34"/>
        <v>Fixed</v>
      </c>
      <c r="BL74" s="2309">
        <f t="shared" ref="BL74:BZ74" si="49">IF(OR(X74="",X74=0),"-",IFERROR((X74/W74-1)*(W74/W$13),"-"))</f>
        <v>1.0048823914631714E-2</v>
      </c>
      <c r="BM74" s="1055">
        <f t="shared" si="49"/>
        <v>4.0388275388840555E-3</v>
      </c>
      <c r="BN74" s="1055">
        <f t="shared" si="49"/>
        <v>1.1523920167938542E-2</v>
      </c>
      <c r="BO74" s="2308">
        <f t="shared" si="49"/>
        <v>-1.9084366486073638E-2</v>
      </c>
      <c r="BP74" s="1055">
        <f t="shared" si="49"/>
        <v>1.4691047144071177E-2</v>
      </c>
      <c r="BQ74" s="2309">
        <f t="shared" si="49"/>
        <v>1.0326181336864054E-2</v>
      </c>
      <c r="BR74" s="1055">
        <f t="shared" si="49"/>
        <v>1.5017416955850927E-2</v>
      </c>
      <c r="BS74" s="1055">
        <f t="shared" si="49"/>
        <v>1.504700971598999E-2</v>
      </c>
      <c r="BT74" s="1055">
        <f t="shared" si="49"/>
        <v>1.5070549263152233E-2</v>
      </c>
      <c r="BU74" s="1056">
        <f t="shared" si="49"/>
        <v>1.5093859016738639E-2</v>
      </c>
      <c r="BV74" s="1055">
        <f t="shared" si="49"/>
        <v>1.5144792889478146E-2</v>
      </c>
      <c r="BW74" s="1055">
        <f t="shared" si="49"/>
        <v>1.5195391882675647E-2</v>
      </c>
      <c r="BX74" s="1055">
        <f t="shared" si="49"/>
        <v>1.5245656613594916E-2</v>
      </c>
      <c r="BY74" s="1055">
        <f t="shared" si="49"/>
        <v>1.5295587736779324E-2</v>
      </c>
      <c r="BZ74" s="1056">
        <f t="shared" si="49"/>
        <v>1.5345185943112136E-2</v>
      </c>
      <c r="CA74" s="1048"/>
    </row>
    <row r="75" spans="3:79" x14ac:dyDescent="0.3">
      <c r="C75" s="126"/>
      <c r="D75" s="126">
        <f>D72+1</f>
        <v>3</v>
      </c>
      <c r="E75" s="553" t="s">
        <v>45</v>
      </c>
      <c r="F75" s="2105" t="s">
        <v>21</v>
      </c>
      <c r="G75" s="2105" t="s">
        <v>1186</v>
      </c>
      <c r="H75" s="2105" t="s">
        <v>1192</v>
      </c>
      <c r="I75" s="573" t="s">
        <v>321</v>
      </c>
      <c r="J75" s="573" t="s">
        <v>348</v>
      </c>
      <c r="K75" s="1969"/>
      <c r="L75" s="1970"/>
      <c r="M75" s="1970"/>
      <c r="N75" s="1971"/>
      <c r="O75" s="1970"/>
      <c r="P75" s="1970"/>
      <c r="Q75" s="1970"/>
      <c r="R75" s="1972"/>
      <c r="S75" s="1971"/>
      <c r="T75" s="1970"/>
      <c r="U75" s="1970"/>
      <c r="V75" s="1970"/>
      <c r="W75" s="1709">
        <v>1.8605</v>
      </c>
      <c r="X75" s="1710">
        <v>1.8957999999999999</v>
      </c>
      <c r="Y75" s="1709">
        <v>1.921</v>
      </c>
      <c r="Z75" s="1709">
        <v>1.9630000000000001</v>
      </c>
      <c r="AA75" s="1709">
        <v>1.9847999999999999</v>
      </c>
      <c r="AB75" s="1711">
        <v>2.0857999999999999</v>
      </c>
      <c r="AC75" s="1709">
        <v>2.0857999999999999</v>
      </c>
      <c r="AD75" s="1709">
        <v>2.1066579999999999</v>
      </c>
      <c r="AE75" s="1709">
        <v>2.1277245799999998</v>
      </c>
      <c r="AF75" s="1709">
        <v>2.1490018257999997</v>
      </c>
      <c r="AG75" s="1712">
        <v>2.1704918440579997</v>
      </c>
      <c r="AH75" s="1709">
        <v>2.1921967624985799</v>
      </c>
      <c r="AI75" s="1709">
        <v>2.2141187301235656</v>
      </c>
      <c r="AJ75" s="1709">
        <v>2.2362599174248015</v>
      </c>
      <c r="AK75" s="1709">
        <v>2.2586225165990497</v>
      </c>
      <c r="AL75" s="1712">
        <v>2.2812087417650404</v>
      </c>
      <c r="AM75" s="560"/>
      <c r="AN75" s="1052"/>
      <c r="AO75" s="992"/>
      <c r="AP75" s="2297" t="str">
        <f t="shared" si="36"/>
        <v>Price</v>
      </c>
      <c r="AQ75" s="2298" t="str">
        <f t="shared" si="36"/>
        <v>Water</v>
      </c>
      <c r="AR75" s="1719" t="str">
        <f t="shared" si="37"/>
        <v>Variable</v>
      </c>
      <c r="AS75" s="2299">
        <f t="shared" si="38"/>
        <v>1.8973394248857689E-2</v>
      </c>
      <c r="AT75" s="1728">
        <f t="shared" si="38"/>
        <v>1.3292541407321501E-2</v>
      </c>
      <c r="AU75" s="1728">
        <f t="shared" si="38"/>
        <v>2.1863612701717772E-2</v>
      </c>
      <c r="AV75" s="2300">
        <f t="shared" si="38"/>
        <v>1.1105450840550146E-2</v>
      </c>
      <c r="AW75" s="1728">
        <f t="shared" si="38"/>
        <v>5.0886739218057198E-2</v>
      </c>
      <c r="AX75" s="2301">
        <f t="shared" si="38"/>
        <v>0</v>
      </c>
      <c r="AY75" s="1728">
        <f t="shared" si="38"/>
        <v>1.0000000000000009E-2</v>
      </c>
      <c r="AZ75" s="1728">
        <f t="shared" si="38"/>
        <v>1.0000000000000009E-2</v>
      </c>
      <c r="BA75" s="1728">
        <f t="shared" si="38"/>
        <v>1.0000000000000009E-2</v>
      </c>
      <c r="BB75" s="1729">
        <f t="shared" si="38"/>
        <v>1.0000000000000009E-2</v>
      </c>
      <c r="BC75" s="1728">
        <f t="shared" si="38"/>
        <v>1.0000000000000009E-2</v>
      </c>
      <c r="BD75" s="1728">
        <f t="shared" si="38"/>
        <v>1.0000000000000009E-2</v>
      </c>
      <c r="BE75" s="1728">
        <f t="shared" si="38"/>
        <v>1.0000000000000009E-2</v>
      </c>
      <c r="BF75" s="1728">
        <f t="shared" si="38"/>
        <v>1.0000000000000009E-2</v>
      </c>
      <c r="BG75" s="1729">
        <f t="shared" si="38"/>
        <v>1.0000000000000009E-2</v>
      </c>
      <c r="BH75" s="1048"/>
      <c r="BI75" s="2297" t="str">
        <f t="shared" si="34"/>
        <v>Price</v>
      </c>
      <c r="BJ75" s="2298" t="str">
        <f t="shared" si="34"/>
        <v>Water</v>
      </c>
      <c r="BK75" s="1719" t="str">
        <f t="shared" si="34"/>
        <v>Variable</v>
      </c>
      <c r="BL75" s="2310">
        <f t="shared" ref="BL75:BZ75" si="50">IF(OR(X75="",X75=0),"-",IFERROR((X75/W75-1)*(W77/W$13),"-"))</f>
        <v>3.3728210713815229E-3</v>
      </c>
      <c r="BM75" s="2311">
        <f t="shared" si="50"/>
        <v>2.3984862623569027E-3</v>
      </c>
      <c r="BN75" s="2311">
        <f t="shared" si="50"/>
        <v>3.8481289145957972E-3</v>
      </c>
      <c r="BO75" s="2312">
        <f t="shared" si="50"/>
        <v>1.9709918315725743E-3</v>
      </c>
      <c r="BP75" s="2311">
        <f t="shared" si="50"/>
        <v>9.0045192354909469E-3</v>
      </c>
      <c r="BQ75" s="2313">
        <f t="shared" si="50"/>
        <v>0</v>
      </c>
      <c r="BR75" s="2311">
        <f t="shared" si="50"/>
        <v>1.878006012920323E-3</v>
      </c>
      <c r="BS75" s="2311">
        <f t="shared" si="50"/>
        <v>1.8780243406561719E-3</v>
      </c>
      <c r="BT75" s="2311">
        <f t="shared" si="50"/>
        <v>1.8772813786992067E-3</v>
      </c>
      <c r="BU75" s="2314">
        <f t="shared" si="50"/>
        <v>1.8765055639548029E-3</v>
      </c>
      <c r="BV75" s="2311">
        <f t="shared" si="50"/>
        <v>1.8607301035083886E-3</v>
      </c>
      <c r="BW75" s="2311">
        <f t="shared" si="50"/>
        <v>1.8450257344550264E-3</v>
      </c>
      <c r="BX75" s="2311">
        <f t="shared" si="50"/>
        <v>1.8293935137447903E-3</v>
      </c>
      <c r="BY75" s="2311">
        <f t="shared" si="50"/>
        <v>1.8138344607814374E-3</v>
      </c>
      <c r="BZ75" s="2314">
        <f t="shared" si="50"/>
        <v>1.7983495579890112E-3</v>
      </c>
      <c r="CA75" s="1048"/>
    </row>
    <row r="76" spans="3:79" x14ac:dyDescent="0.3">
      <c r="C76" s="126"/>
      <c r="D76" s="126"/>
      <c r="E76" s="558" t="s">
        <v>46</v>
      </c>
      <c r="F76" s="2161" t="str">
        <f t="shared" si="40"/>
        <v>Water</v>
      </c>
      <c r="G76" s="2163" t="str">
        <f t="shared" si="40"/>
        <v>Residential</v>
      </c>
      <c r="H76" s="2163" t="str">
        <f t="shared" si="40"/>
        <v>Usage 0-175kL</v>
      </c>
      <c r="I76" s="2164" t="str">
        <f t="shared" si="40"/>
        <v>Variable</v>
      </c>
      <c r="J76" s="574" t="s">
        <v>48</v>
      </c>
      <c r="K76" s="1973"/>
      <c r="L76" s="1974"/>
      <c r="M76" s="1974"/>
      <c r="N76" s="1975"/>
      <c r="O76" s="1974"/>
      <c r="P76" s="1974"/>
      <c r="Q76" s="1974"/>
      <c r="R76" s="1976"/>
      <c r="S76" s="1975"/>
      <c r="T76" s="1974"/>
      <c r="U76" s="1974"/>
      <c r="V76" s="1974"/>
      <c r="W76" s="1713">
        <v>8803113.4499999993</v>
      </c>
      <c r="X76" s="1714">
        <v>8994768.8194999993</v>
      </c>
      <c r="Y76" s="1713">
        <v>8562779.970999999</v>
      </c>
      <c r="Z76" s="1713">
        <v>8549987.1655000001</v>
      </c>
      <c r="AA76" s="1713">
        <v>8543121.0890500005</v>
      </c>
      <c r="AB76" s="1715">
        <v>8731069.7530091014</v>
      </c>
      <c r="AC76" s="1713">
        <v>9342244.6357197389</v>
      </c>
      <c r="AD76" s="1713">
        <v>9529089.5284341332</v>
      </c>
      <c r="AE76" s="1713">
        <v>9719671.3190028165</v>
      </c>
      <c r="AF76" s="1713">
        <v>9914064.7453828733</v>
      </c>
      <c r="AG76" s="1716">
        <v>10013205.392836703</v>
      </c>
      <c r="AH76" s="1713">
        <v>10113337.446765071</v>
      </c>
      <c r="AI76" s="1713">
        <v>10214470.821232721</v>
      </c>
      <c r="AJ76" s="1713">
        <v>10316615.529445048</v>
      </c>
      <c r="AK76" s="1713">
        <v>10419781.684739498</v>
      </c>
      <c r="AL76" s="1716">
        <v>10523979.501586894</v>
      </c>
      <c r="AM76" s="560"/>
      <c r="AN76" s="991"/>
      <c r="AO76" s="992"/>
      <c r="AP76" s="2285" t="str">
        <f t="shared" si="36"/>
        <v>Qty</v>
      </c>
      <c r="AQ76" s="2286" t="str">
        <f t="shared" si="36"/>
        <v>Water</v>
      </c>
      <c r="AR76" s="2287" t="str">
        <f t="shared" si="37"/>
        <v>Variable</v>
      </c>
      <c r="AS76" s="2288">
        <f t="shared" si="38"/>
        <v>2.1771316544829888E-2</v>
      </c>
      <c r="AT76" s="1720">
        <f t="shared" si="38"/>
        <v>-4.8026676079042763E-2</v>
      </c>
      <c r="AU76" s="1720">
        <f t="shared" si="38"/>
        <v>-1.4940014274948954E-3</v>
      </c>
      <c r="AV76" s="2289">
        <f t="shared" si="38"/>
        <v>-8.0305108266187641E-4</v>
      </c>
      <c r="AW76" s="1720">
        <f t="shared" si="38"/>
        <v>2.200000000000002E-2</v>
      </c>
      <c r="AX76" s="2290">
        <f t="shared" si="38"/>
        <v>7.0000000000000062E-2</v>
      </c>
      <c r="AY76" s="1720">
        <f t="shared" si="38"/>
        <v>2.0000000000000018E-2</v>
      </c>
      <c r="AZ76" s="1720">
        <f t="shared" si="38"/>
        <v>2.0000000000000018E-2</v>
      </c>
      <c r="BA76" s="1720">
        <f t="shared" si="38"/>
        <v>2.0000000000000018E-2</v>
      </c>
      <c r="BB76" s="1721">
        <f t="shared" si="38"/>
        <v>1.0000000000000009E-2</v>
      </c>
      <c r="BC76" s="1720">
        <f t="shared" si="38"/>
        <v>1.0000000000000009E-2</v>
      </c>
      <c r="BD76" s="1720">
        <f t="shared" si="38"/>
        <v>1.0000000000000009E-2</v>
      </c>
      <c r="BE76" s="1720">
        <f t="shared" si="38"/>
        <v>1.0000000000000009E-2</v>
      </c>
      <c r="BF76" s="1720">
        <f t="shared" si="38"/>
        <v>1.0000000000000009E-2</v>
      </c>
      <c r="BG76" s="1721">
        <f t="shared" si="38"/>
        <v>1.0000000000000009E-2</v>
      </c>
      <c r="BH76" s="1048"/>
      <c r="BI76" s="2285" t="str">
        <f t="shared" si="34"/>
        <v>Qty</v>
      </c>
      <c r="BJ76" s="2286" t="str">
        <f t="shared" si="34"/>
        <v>Water</v>
      </c>
      <c r="BK76" s="2287" t="str">
        <f t="shared" si="34"/>
        <v>Variable</v>
      </c>
      <c r="BL76" s="2290">
        <f t="shared" ref="BL76:BZ76" si="51">IF(OR(X76="",X76=0),"-",IFERROR((X76/W76-1)*(W77/W$13),"-"))</f>
        <v>3.8701960350895248E-3</v>
      </c>
      <c r="BM76" s="1720">
        <f t="shared" si="51"/>
        <v>-8.6658614987501058E-3</v>
      </c>
      <c r="BN76" s="1720">
        <f t="shared" si="51"/>
        <v>-2.6295334490346193E-4</v>
      </c>
      <c r="BO76" s="2289">
        <f t="shared" si="51"/>
        <v>-1.4252524701497492E-4</v>
      </c>
      <c r="BP76" s="1720">
        <f t="shared" si="51"/>
        <v>3.8929478725668728E-3</v>
      </c>
      <c r="BQ76" s="2290">
        <f t="shared" si="51"/>
        <v>1.2644728246362575E-2</v>
      </c>
      <c r="BR76" s="1720">
        <f t="shared" si="51"/>
        <v>3.756012025840646E-3</v>
      </c>
      <c r="BS76" s="1720">
        <f t="shared" si="51"/>
        <v>3.7560486813123439E-3</v>
      </c>
      <c r="BT76" s="1720">
        <f t="shared" si="51"/>
        <v>3.7545627573984134E-3</v>
      </c>
      <c r="BU76" s="1721">
        <f t="shared" si="51"/>
        <v>1.8765055639548029E-3</v>
      </c>
      <c r="BV76" s="1720">
        <f t="shared" si="51"/>
        <v>1.8607301035083886E-3</v>
      </c>
      <c r="BW76" s="1720">
        <f t="shared" si="51"/>
        <v>1.8450257344550264E-3</v>
      </c>
      <c r="BX76" s="1720">
        <f t="shared" si="51"/>
        <v>1.8293935137447903E-3</v>
      </c>
      <c r="BY76" s="1720">
        <f t="shared" si="51"/>
        <v>1.8138344607814374E-3</v>
      </c>
      <c r="BZ76" s="1721">
        <f t="shared" si="51"/>
        <v>1.7983495579890112E-3</v>
      </c>
      <c r="CA76" s="1048"/>
    </row>
    <row r="77" spans="3:79" ht="12.5" thickBot="1" x14ac:dyDescent="0.35">
      <c r="C77" s="126"/>
      <c r="D77" s="126"/>
      <c r="E77" s="559" t="s">
        <v>47</v>
      </c>
      <c r="F77" s="2162" t="str">
        <f t="shared" ref="F77:I77" si="52">+F75</f>
        <v>Water</v>
      </c>
      <c r="G77" s="2165" t="str">
        <f t="shared" si="52"/>
        <v>Residential</v>
      </c>
      <c r="H77" s="2165" t="str">
        <f t="shared" si="52"/>
        <v>Usage 0-175kL</v>
      </c>
      <c r="I77" s="2166" t="str">
        <f t="shared" si="52"/>
        <v>Variable</v>
      </c>
      <c r="J77" s="2106" t="s">
        <v>347</v>
      </c>
      <c r="K77" s="1977"/>
      <c r="L77" s="1206"/>
      <c r="M77" s="1206"/>
      <c r="N77" s="1978"/>
      <c r="O77" s="1206"/>
      <c r="P77" s="1206"/>
      <c r="Q77" s="1206"/>
      <c r="R77" s="1206"/>
      <c r="S77" s="1978"/>
      <c r="T77" s="1206"/>
      <c r="U77" s="1206"/>
      <c r="V77" s="1206"/>
      <c r="W77" s="1731">
        <f t="shared" ref="W77:AG77" si="53">W75*W76/10^6</f>
        <v>16.378192573724998</v>
      </c>
      <c r="X77" s="1730">
        <f t="shared" si="53"/>
        <v>17.052282728008098</v>
      </c>
      <c r="Y77" s="1731">
        <f t="shared" si="53"/>
        <v>16.449100324290999</v>
      </c>
      <c r="Z77" s="1731">
        <f t="shared" si="53"/>
        <v>16.783624805876499</v>
      </c>
      <c r="AA77" s="1731">
        <f t="shared" si="53"/>
        <v>16.956386737546442</v>
      </c>
      <c r="AB77" s="1733">
        <f t="shared" si="53"/>
        <v>18.211265290826383</v>
      </c>
      <c r="AC77" s="1731">
        <f t="shared" si="53"/>
        <v>19.486053861184232</v>
      </c>
      <c r="AD77" s="1731">
        <f t="shared" si="53"/>
        <v>20.074532687791994</v>
      </c>
      <c r="AE77" s="1731">
        <f t="shared" si="53"/>
        <v>20.680783574963314</v>
      </c>
      <c r="AF77" s="1731">
        <f t="shared" si="53"/>
        <v>21.305343238927204</v>
      </c>
      <c r="AG77" s="1733">
        <f t="shared" si="53"/>
        <v>21.733580638029643</v>
      </c>
      <c r="AH77" s="1731">
        <f>AH75*AH76/10^6</f>
        <v>22.170425608854039</v>
      </c>
      <c r="AI77" s="1731">
        <f>AI75*AI76/10^6</f>
        <v>22.616051163592008</v>
      </c>
      <c r="AJ77" s="1731">
        <f>AJ75*AJ76/10^6</f>
        <v>23.070633791980207</v>
      </c>
      <c r="AK77" s="1731">
        <f>AK75*AK76/10^6</f>
        <v>23.534353531199013</v>
      </c>
      <c r="AL77" s="1733">
        <f>AL75*AL76/10^6</f>
        <v>24.007394037176113</v>
      </c>
      <c r="AM77" s="560"/>
      <c r="AN77" s="991"/>
      <c r="AO77" s="992"/>
      <c r="AP77" s="2304" t="str">
        <f t="shared" si="36"/>
        <v>Rev</v>
      </c>
      <c r="AQ77" s="2305" t="str">
        <f t="shared" si="36"/>
        <v>Water</v>
      </c>
      <c r="AR77" s="2306" t="str">
        <f t="shared" si="37"/>
        <v>Variable</v>
      </c>
      <c r="AS77" s="2307">
        <f t="shared" si="38"/>
        <v>4.1157786565809484E-2</v>
      </c>
      <c r="AT77" s="1055">
        <f t="shared" si="38"/>
        <v>-3.5372531252157891E-2</v>
      </c>
      <c r="AU77" s="1055">
        <f t="shared" si="38"/>
        <v>2.0336947005636263E-2</v>
      </c>
      <c r="AV77" s="2308">
        <f t="shared" si="38"/>
        <v>1.0293481513567571E-2</v>
      </c>
      <c r="AW77" s="1055">
        <f t="shared" si="38"/>
        <v>7.4006247480854492E-2</v>
      </c>
      <c r="AX77" s="2309">
        <f t="shared" si="38"/>
        <v>7.0000000000000062E-2</v>
      </c>
      <c r="AY77" s="1055">
        <f t="shared" si="38"/>
        <v>3.0200000000000005E-2</v>
      </c>
      <c r="AZ77" s="1055">
        <f t="shared" si="38"/>
        <v>3.0200000000000227E-2</v>
      </c>
      <c r="BA77" s="1055">
        <f t="shared" si="38"/>
        <v>3.0199999999999783E-2</v>
      </c>
      <c r="BB77" s="1056">
        <f t="shared" si="38"/>
        <v>2.0100000000000007E-2</v>
      </c>
      <c r="BC77" s="1055">
        <f t="shared" si="38"/>
        <v>2.0100000000000007E-2</v>
      </c>
      <c r="BD77" s="1055">
        <f t="shared" si="38"/>
        <v>2.0100000000000229E-2</v>
      </c>
      <c r="BE77" s="1055">
        <f t="shared" si="38"/>
        <v>2.0100000000000007E-2</v>
      </c>
      <c r="BF77" s="1055">
        <f t="shared" si="38"/>
        <v>2.0100000000000229E-2</v>
      </c>
      <c r="BG77" s="1056">
        <f t="shared" si="38"/>
        <v>2.0100000000000007E-2</v>
      </c>
      <c r="BH77" s="1048"/>
      <c r="BI77" s="2304" t="str">
        <f t="shared" si="34"/>
        <v>Rev</v>
      </c>
      <c r="BJ77" s="2305" t="str">
        <f t="shared" si="34"/>
        <v>Water</v>
      </c>
      <c r="BK77" s="2306" t="str">
        <f t="shared" si="34"/>
        <v>Variable</v>
      </c>
      <c r="BL77" s="2296">
        <f t="shared" ref="BL77:BZ77" si="54">IF(OR(X77="",X77=0),"-",IFERROR((X77/W77-1)*(W77/W$13),"-"))</f>
        <v>7.3164478616651978E-3</v>
      </c>
      <c r="BM77" s="1048">
        <f t="shared" si="54"/>
        <v>-6.3825665591954409E-3</v>
      </c>
      <c r="BN77" s="1048">
        <f t="shared" si="54"/>
        <v>3.5794264596007361E-3</v>
      </c>
      <c r="BO77" s="2295">
        <f t="shared" si="54"/>
        <v>1.8268837774333821E-3</v>
      </c>
      <c r="BP77" s="1048">
        <f t="shared" si="54"/>
        <v>1.3095566531238624E-2</v>
      </c>
      <c r="BQ77" s="2296">
        <f t="shared" si="54"/>
        <v>1.2644728246362575E-2</v>
      </c>
      <c r="BR77" s="1048">
        <f t="shared" si="54"/>
        <v>5.6715781590193715E-3</v>
      </c>
      <c r="BS77" s="1048">
        <f t="shared" si="54"/>
        <v>5.6716335087816771E-3</v>
      </c>
      <c r="BT77" s="1048">
        <f t="shared" si="54"/>
        <v>5.6693897636715587E-3</v>
      </c>
      <c r="BU77" s="1051">
        <f t="shared" si="54"/>
        <v>3.7717761835491517E-3</v>
      </c>
      <c r="BV77" s="1048">
        <f t="shared" si="54"/>
        <v>3.740067508051859E-3</v>
      </c>
      <c r="BW77" s="1048">
        <f t="shared" si="54"/>
        <v>3.7085017262546418E-3</v>
      </c>
      <c r="BX77" s="1048">
        <f t="shared" si="54"/>
        <v>3.6770809626270264E-3</v>
      </c>
      <c r="BY77" s="1048">
        <f t="shared" si="54"/>
        <v>3.6458072661707274E-3</v>
      </c>
      <c r="BZ77" s="1051">
        <f t="shared" si="54"/>
        <v>3.6146826115579108E-3</v>
      </c>
      <c r="CA77" s="1048"/>
    </row>
    <row r="78" spans="3:79" x14ac:dyDescent="0.3">
      <c r="C78" s="126"/>
      <c r="D78" s="126">
        <f>D75+1</f>
        <v>4</v>
      </c>
      <c r="E78" s="553" t="s">
        <v>45</v>
      </c>
      <c r="F78" s="2105" t="s">
        <v>21</v>
      </c>
      <c r="G78" s="2105" t="s">
        <v>1186</v>
      </c>
      <c r="H78" s="2105" t="s">
        <v>1193</v>
      </c>
      <c r="I78" s="573" t="s">
        <v>321</v>
      </c>
      <c r="J78" s="573" t="s">
        <v>348</v>
      </c>
      <c r="K78" s="1969"/>
      <c r="L78" s="1970"/>
      <c r="M78" s="1970"/>
      <c r="N78" s="1971"/>
      <c r="O78" s="1970"/>
      <c r="P78" s="1970"/>
      <c r="Q78" s="1970"/>
      <c r="R78" s="1972"/>
      <c r="S78" s="1971"/>
      <c r="T78" s="1970"/>
      <c r="U78" s="1970"/>
      <c r="V78" s="1970"/>
      <c r="W78" s="1709">
        <v>2.2326000000000001</v>
      </c>
      <c r="X78" s="1710">
        <v>2.2749999999999999</v>
      </c>
      <c r="Y78" s="1709">
        <v>2.3052999999999999</v>
      </c>
      <c r="Z78" s="1709">
        <v>2.3557999999999999</v>
      </c>
      <c r="AA78" s="1709">
        <v>2.3820000000000001</v>
      </c>
      <c r="AB78" s="1711">
        <v>2.5032000000000001</v>
      </c>
      <c r="AC78" s="1709">
        <v>2.5032000000000001</v>
      </c>
      <c r="AD78" s="1709">
        <v>2.528232</v>
      </c>
      <c r="AE78" s="1709">
        <v>2.5535143200000001</v>
      </c>
      <c r="AF78" s="1709">
        <v>2.5790494632000001</v>
      </c>
      <c r="AG78" s="1712">
        <v>2.6048399578320001</v>
      </c>
      <c r="AH78" s="1709">
        <v>2.6308883574103201</v>
      </c>
      <c r="AI78" s="1709">
        <v>2.6571972409844236</v>
      </c>
      <c r="AJ78" s="1709">
        <v>2.6837692133942679</v>
      </c>
      <c r="AK78" s="1709">
        <v>2.7106069055282105</v>
      </c>
      <c r="AL78" s="1712">
        <v>2.7377129745834927</v>
      </c>
      <c r="AM78" s="560"/>
      <c r="AN78" s="1052"/>
      <c r="AO78" s="992"/>
      <c r="AP78" s="2297" t="str">
        <f t="shared" si="36"/>
        <v>Price</v>
      </c>
      <c r="AQ78" s="2298" t="str">
        <f t="shared" si="36"/>
        <v>Water</v>
      </c>
      <c r="AR78" s="1719" t="str">
        <f t="shared" si="37"/>
        <v>Variable</v>
      </c>
      <c r="AS78" s="2299">
        <f t="shared" si="38"/>
        <v>1.8991310579593135E-2</v>
      </c>
      <c r="AT78" s="1728">
        <f t="shared" si="38"/>
        <v>1.3318681318681413E-2</v>
      </c>
      <c r="AU78" s="1728">
        <f t="shared" si="38"/>
        <v>2.1906042597492625E-2</v>
      </c>
      <c r="AV78" s="2300">
        <f t="shared" si="38"/>
        <v>1.1121487392817819E-2</v>
      </c>
      <c r="AW78" s="1728">
        <f t="shared" si="38"/>
        <v>5.0881612090680095E-2</v>
      </c>
      <c r="AX78" s="2301">
        <f t="shared" si="38"/>
        <v>0</v>
      </c>
      <c r="AY78" s="1728">
        <f t="shared" si="38"/>
        <v>1.0000000000000009E-2</v>
      </c>
      <c r="AZ78" s="1728">
        <f t="shared" si="38"/>
        <v>1.0000000000000009E-2</v>
      </c>
      <c r="BA78" s="1728">
        <f t="shared" si="38"/>
        <v>1.0000000000000009E-2</v>
      </c>
      <c r="BB78" s="1729">
        <f t="shared" si="38"/>
        <v>1.0000000000000009E-2</v>
      </c>
      <c r="BC78" s="1728">
        <f t="shared" si="38"/>
        <v>1.0000000000000009E-2</v>
      </c>
      <c r="BD78" s="1728">
        <f t="shared" si="38"/>
        <v>1.0000000000000009E-2</v>
      </c>
      <c r="BE78" s="1728">
        <f t="shared" si="38"/>
        <v>1.0000000000000009E-2</v>
      </c>
      <c r="BF78" s="1728">
        <f t="shared" si="38"/>
        <v>1.0000000000000009E-2</v>
      </c>
      <c r="BG78" s="1729">
        <f t="shared" si="38"/>
        <v>1.0000000000000009E-2</v>
      </c>
      <c r="BH78" s="1048"/>
      <c r="BI78" s="2297" t="str">
        <f t="shared" si="34"/>
        <v>Price</v>
      </c>
      <c r="BJ78" s="2298" t="str">
        <f t="shared" si="34"/>
        <v>Water</v>
      </c>
      <c r="BK78" s="1719" t="str">
        <f t="shared" si="34"/>
        <v>Variable</v>
      </c>
      <c r="BL78" s="2301">
        <f t="shared" ref="BL78:BZ78" si="55">IF(OR(X78="",X78=0),"-",IFERROR((X78/W78-1)*(W80/W$13),"-"))</f>
        <v>6.9299165973452754E-4</v>
      </c>
      <c r="BM78" s="1053">
        <f t="shared" si="55"/>
        <v>5.0179344646416192E-4</v>
      </c>
      <c r="BN78" s="1053">
        <f t="shared" si="55"/>
        <v>8.1336799181447436E-4</v>
      </c>
      <c r="BO78" s="2302">
        <f t="shared" si="55"/>
        <v>4.1802471117540765E-4</v>
      </c>
      <c r="BP78" s="1053">
        <f t="shared" si="55"/>
        <v>1.906839367515731E-3</v>
      </c>
      <c r="BQ78" s="2303">
        <f t="shared" si="55"/>
        <v>0</v>
      </c>
      <c r="BR78" s="1053">
        <f t="shared" si="55"/>
        <v>3.7989127300881877E-4</v>
      </c>
      <c r="BS78" s="1053">
        <f t="shared" si="55"/>
        <v>3.8063987254189177E-4</v>
      </c>
      <c r="BT78" s="1053">
        <f t="shared" si="55"/>
        <v>3.8123534568908663E-4</v>
      </c>
      <c r="BU78" s="1054">
        <f t="shared" si="55"/>
        <v>3.8182500581436469E-4</v>
      </c>
      <c r="BV78" s="1053">
        <f t="shared" si="55"/>
        <v>3.8311346532848508E-4</v>
      </c>
      <c r="BW78" s="1053">
        <f t="shared" si="55"/>
        <v>3.8439345349124539E-4</v>
      </c>
      <c r="BX78" s="1053">
        <f t="shared" si="55"/>
        <v>3.8566498591739452E-4</v>
      </c>
      <c r="BY78" s="1053">
        <f t="shared" si="55"/>
        <v>3.8692807916472787E-4</v>
      </c>
      <c r="BZ78" s="1054">
        <f t="shared" si="55"/>
        <v>3.8818275071031519E-4</v>
      </c>
      <c r="CA78" s="1048"/>
    </row>
    <row r="79" spans="3:79" x14ac:dyDescent="0.3">
      <c r="C79" s="126"/>
      <c r="D79" s="126"/>
      <c r="E79" s="558" t="s">
        <v>46</v>
      </c>
      <c r="F79" s="2161" t="str">
        <f t="shared" si="40"/>
        <v>Water</v>
      </c>
      <c r="G79" s="2163" t="str">
        <f t="shared" si="40"/>
        <v>Residential</v>
      </c>
      <c r="H79" s="2163" t="str">
        <f t="shared" si="40"/>
        <v>Usage &gt;175kL</v>
      </c>
      <c r="I79" s="2164" t="str">
        <f t="shared" si="40"/>
        <v>Variable</v>
      </c>
      <c r="J79" s="574" t="s">
        <v>48</v>
      </c>
      <c r="K79" s="1973"/>
      <c r="L79" s="1974"/>
      <c r="M79" s="1974"/>
      <c r="N79" s="1975"/>
      <c r="O79" s="1974"/>
      <c r="P79" s="1974"/>
      <c r="Q79" s="1974"/>
      <c r="R79" s="1976"/>
      <c r="S79" s="1975"/>
      <c r="T79" s="1974"/>
      <c r="U79" s="1974"/>
      <c r="V79" s="1974"/>
      <c r="W79" s="1713">
        <v>1505843.55</v>
      </c>
      <c r="X79" s="1714">
        <v>1565076.8504999999</v>
      </c>
      <c r="Y79" s="1713">
        <v>1505255.2889999999</v>
      </c>
      <c r="Z79" s="1713">
        <v>1508821.2644999998</v>
      </c>
      <c r="AA79" s="1713">
        <v>1507609.6039499999</v>
      </c>
      <c r="AB79" s="1715">
        <v>1540777.0152369</v>
      </c>
      <c r="AC79" s="1713">
        <v>1574674.1095721119</v>
      </c>
      <c r="AD79" s="1713">
        <v>1609316.9399826983</v>
      </c>
      <c r="AE79" s="1713">
        <v>1644721.9126623177</v>
      </c>
      <c r="AF79" s="1713">
        <v>1680905.7947408888</v>
      </c>
      <c r="AG79" s="1716">
        <v>1717885.7222251883</v>
      </c>
      <c r="AH79" s="1713">
        <v>1755679.2081141425</v>
      </c>
      <c r="AI79" s="1713">
        <v>1794304.1506926536</v>
      </c>
      <c r="AJ79" s="1713">
        <v>1833778.842007892</v>
      </c>
      <c r="AK79" s="1713">
        <v>1874121.9765320655</v>
      </c>
      <c r="AL79" s="1716">
        <v>1915352.6600157709</v>
      </c>
      <c r="AM79" s="560"/>
      <c r="AN79" s="991"/>
      <c r="AO79" s="992"/>
      <c r="AP79" s="2285" t="str">
        <f t="shared" si="36"/>
        <v>Qty</v>
      </c>
      <c r="AQ79" s="2286" t="str">
        <f t="shared" si="36"/>
        <v>Water</v>
      </c>
      <c r="AR79" s="2287" t="str">
        <f t="shared" si="37"/>
        <v>Variable</v>
      </c>
      <c r="AS79" s="2288">
        <f t="shared" si="38"/>
        <v>3.9335627197128131E-2</v>
      </c>
      <c r="AT79" s="1720">
        <f t="shared" si="38"/>
        <v>-3.8222762978628588E-2</v>
      </c>
      <c r="AU79" s="1720">
        <f t="shared" si="38"/>
        <v>2.3690170870409588E-3</v>
      </c>
      <c r="AV79" s="2289">
        <f t="shared" si="38"/>
        <v>-8.0305108266187641E-4</v>
      </c>
      <c r="AW79" s="1720">
        <f t="shared" si="38"/>
        <v>2.200000000000002E-2</v>
      </c>
      <c r="AX79" s="2290">
        <f t="shared" si="38"/>
        <v>2.200000000000002E-2</v>
      </c>
      <c r="AY79" s="1720">
        <f t="shared" si="38"/>
        <v>2.200000000000002E-2</v>
      </c>
      <c r="AZ79" s="1720">
        <f t="shared" si="38"/>
        <v>2.200000000000002E-2</v>
      </c>
      <c r="BA79" s="1720">
        <f t="shared" si="38"/>
        <v>2.200000000000002E-2</v>
      </c>
      <c r="BB79" s="1721">
        <f t="shared" si="38"/>
        <v>2.200000000000002E-2</v>
      </c>
      <c r="BC79" s="1720">
        <f t="shared" si="38"/>
        <v>2.200000000000002E-2</v>
      </c>
      <c r="BD79" s="1720">
        <f t="shared" si="38"/>
        <v>2.200000000000002E-2</v>
      </c>
      <c r="BE79" s="1720">
        <f t="shared" si="38"/>
        <v>2.200000000000002E-2</v>
      </c>
      <c r="BF79" s="1720">
        <f t="shared" si="38"/>
        <v>2.200000000000002E-2</v>
      </c>
      <c r="BG79" s="1721">
        <f t="shared" si="38"/>
        <v>2.200000000000002E-2</v>
      </c>
      <c r="BH79" s="1048"/>
      <c r="BI79" s="2285" t="str">
        <f t="shared" si="34"/>
        <v>Qty</v>
      </c>
      <c r="BJ79" s="2286" t="str">
        <f t="shared" si="34"/>
        <v>Water</v>
      </c>
      <c r="BK79" s="2287" t="str">
        <f t="shared" si="34"/>
        <v>Variable</v>
      </c>
      <c r="BL79" s="2290">
        <f t="shared" ref="BL79:BZ79" si="56">IF(OR(X79="",X79=0),"-",IFERROR((X79/W79-1)*(W80/W$13),"-"))</f>
        <v>1.4353544197906768E-3</v>
      </c>
      <c r="BM79" s="1720">
        <f t="shared" si="56"/>
        <v>-1.44007740026981E-3</v>
      </c>
      <c r="BN79" s="1720">
        <f t="shared" si="56"/>
        <v>8.7961240013348287E-5</v>
      </c>
      <c r="BO79" s="2289">
        <f t="shared" si="56"/>
        <v>-3.0184379573690744E-5</v>
      </c>
      <c r="BP79" s="1720">
        <f t="shared" si="56"/>
        <v>8.2447203147932731E-4</v>
      </c>
      <c r="BQ79" s="2290">
        <f t="shared" si="56"/>
        <v>8.4164580152445653E-4</v>
      </c>
      <c r="BR79" s="1720">
        <f t="shared" si="56"/>
        <v>8.3576080061940135E-4</v>
      </c>
      <c r="BS79" s="1720">
        <f t="shared" si="56"/>
        <v>8.3740771959216187E-4</v>
      </c>
      <c r="BT79" s="1720">
        <f t="shared" si="56"/>
        <v>8.3871776051599057E-4</v>
      </c>
      <c r="BU79" s="1721">
        <f t="shared" si="56"/>
        <v>8.4001501279160236E-4</v>
      </c>
      <c r="BV79" s="1720">
        <f t="shared" si="56"/>
        <v>8.4284962372266727E-4</v>
      </c>
      <c r="BW79" s="1720">
        <f t="shared" si="56"/>
        <v>8.4566559768073986E-4</v>
      </c>
      <c r="BX79" s="1720">
        <f t="shared" si="56"/>
        <v>8.4846296901826799E-4</v>
      </c>
      <c r="BY79" s="1720">
        <f t="shared" si="56"/>
        <v>8.5124177416240137E-4</v>
      </c>
      <c r="BZ79" s="1721">
        <f t="shared" si="56"/>
        <v>8.5400205156269343E-4</v>
      </c>
      <c r="CA79" s="1048"/>
    </row>
    <row r="80" spans="3:79" ht="12.5" thickBot="1" x14ac:dyDescent="0.35">
      <c r="C80" s="126"/>
      <c r="D80" s="126"/>
      <c r="E80" s="559" t="s">
        <v>47</v>
      </c>
      <c r="F80" s="2162" t="str">
        <f t="shared" ref="F80:I80" si="57">+F78</f>
        <v>Water</v>
      </c>
      <c r="G80" s="2165" t="str">
        <f t="shared" si="57"/>
        <v>Residential</v>
      </c>
      <c r="H80" s="2165" t="str">
        <f t="shared" si="57"/>
        <v>Usage &gt;175kL</v>
      </c>
      <c r="I80" s="2166" t="str">
        <f t="shared" si="57"/>
        <v>Variable</v>
      </c>
      <c r="J80" s="2106" t="s">
        <v>347</v>
      </c>
      <c r="K80" s="1977"/>
      <c r="L80" s="1206"/>
      <c r="M80" s="1206"/>
      <c r="N80" s="1978"/>
      <c r="O80" s="1206"/>
      <c r="P80" s="1206"/>
      <c r="Q80" s="1206"/>
      <c r="R80" s="1206"/>
      <c r="S80" s="1978"/>
      <c r="T80" s="1206"/>
      <c r="U80" s="1206"/>
      <c r="V80" s="1206"/>
      <c r="W80" s="1731">
        <f t="shared" ref="W80:AG80" si="58">W78*W79/10^6</f>
        <v>3.3619463097300004</v>
      </c>
      <c r="X80" s="1730">
        <f t="shared" si="58"/>
        <v>3.5605498348875</v>
      </c>
      <c r="Y80" s="1731">
        <f t="shared" si="58"/>
        <v>3.4700650177316996</v>
      </c>
      <c r="Z80" s="1731">
        <f t="shared" si="58"/>
        <v>3.5544811349090994</v>
      </c>
      <c r="AA80" s="1731">
        <f t="shared" si="58"/>
        <v>3.5911260766089002</v>
      </c>
      <c r="AB80" s="1733">
        <f t="shared" si="58"/>
        <v>3.8568730245410081</v>
      </c>
      <c r="AC80" s="1731">
        <f t="shared" si="58"/>
        <v>3.9417242310809106</v>
      </c>
      <c r="AD80" s="1731">
        <f t="shared" si="58"/>
        <v>4.0687265858063375</v>
      </c>
      <c r="AE80" s="1731">
        <f t="shared" si="58"/>
        <v>4.1998209564010178</v>
      </c>
      <c r="AF80" s="1731">
        <f t="shared" si="58"/>
        <v>4.3351391876162593</v>
      </c>
      <c r="AG80" s="1733">
        <f t="shared" si="58"/>
        <v>4.4748173722412536</v>
      </c>
      <c r="AH80" s="1731">
        <f>AH78*AH79/10^6</f>
        <v>4.6189959879748681</v>
      </c>
      <c r="AI80" s="1731">
        <f>AI78*AI79/10^6</f>
        <v>4.7678200387074181</v>
      </c>
      <c r="AJ80" s="1731">
        <f>AJ78*AJ79/10^6</f>
        <v>4.9214392003545715</v>
      </c>
      <c r="AK80" s="1731">
        <f>AK78*AK79/10^6</f>
        <v>5.0800079713899962</v>
      </c>
      <c r="AL80" s="1733">
        <f>AL78*AL79/10^6</f>
        <v>5.2436858282281813</v>
      </c>
      <c r="AM80" s="560"/>
      <c r="AN80" s="991"/>
      <c r="AO80" s="992"/>
      <c r="AP80" s="2304" t="str">
        <f t="shared" si="36"/>
        <v>Rev</v>
      </c>
      <c r="AQ80" s="2305" t="str">
        <f t="shared" si="36"/>
        <v>Water</v>
      </c>
      <c r="AR80" s="2306" t="str">
        <f t="shared" si="37"/>
        <v>Variable</v>
      </c>
      <c r="AS80" s="2307">
        <f t="shared" si="38"/>
        <v>5.9073972889664983E-2</v>
      </c>
      <c r="AT80" s="1055">
        <f t="shared" si="38"/>
        <v>-2.5413158459179241E-2</v>
      </c>
      <c r="AU80" s="1055">
        <f t="shared" si="38"/>
        <v>2.4326955473756628E-2</v>
      </c>
      <c r="AV80" s="2308">
        <f t="shared" si="38"/>
        <v>1.0309505187664492E-2</v>
      </c>
      <c r="AW80" s="1055">
        <f t="shared" si="38"/>
        <v>7.4001007556675047E-2</v>
      </c>
      <c r="AX80" s="2309">
        <f t="shared" si="38"/>
        <v>2.200000000000002E-2</v>
      </c>
      <c r="AY80" s="1055">
        <f t="shared" si="38"/>
        <v>3.2219999999999915E-2</v>
      </c>
      <c r="AZ80" s="1055">
        <f t="shared" si="38"/>
        <v>3.2220000000000137E-2</v>
      </c>
      <c r="BA80" s="1055">
        <f t="shared" si="38"/>
        <v>3.2220000000000137E-2</v>
      </c>
      <c r="BB80" s="1056">
        <f t="shared" si="38"/>
        <v>3.2219999999999693E-2</v>
      </c>
      <c r="BC80" s="1055">
        <f t="shared" si="38"/>
        <v>3.2220000000000359E-2</v>
      </c>
      <c r="BD80" s="1055">
        <f t="shared" si="38"/>
        <v>3.2219999999999915E-2</v>
      </c>
      <c r="BE80" s="1055">
        <f t="shared" si="38"/>
        <v>3.2220000000000137E-2</v>
      </c>
      <c r="BF80" s="1055">
        <f t="shared" si="38"/>
        <v>3.2220000000000137E-2</v>
      </c>
      <c r="BG80" s="1056">
        <f t="shared" si="38"/>
        <v>3.2219999999999915E-2</v>
      </c>
      <c r="BH80" s="1048"/>
      <c r="BI80" s="2304" t="str">
        <f t="shared" si="34"/>
        <v>Rev</v>
      </c>
      <c r="BJ80" s="2305" t="str">
        <f t="shared" si="34"/>
        <v>Water</v>
      </c>
      <c r="BK80" s="2306" t="str">
        <f t="shared" si="34"/>
        <v>Variable</v>
      </c>
      <c r="BL80" s="2309">
        <f t="shared" ref="BL80:BZ80" si="59">IF(OR(X80="",X80=0),"-",IFERROR((X80/W80-1)*(W80/W$13),"-"))</f>
        <v>2.1556053411032395E-3</v>
      </c>
      <c r="BM80" s="1055">
        <f t="shared" si="59"/>
        <v>-9.5746388577408524E-4</v>
      </c>
      <c r="BN80" s="1055">
        <f t="shared" si="59"/>
        <v>9.0325611449848845E-4</v>
      </c>
      <c r="BO80" s="2308">
        <f t="shared" si="59"/>
        <v>3.8750463640483415E-4</v>
      </c>
      <c r="BP80" s="1055">
        <f t="shared" si="59"/>
        <v>2.7732618650804031E-3</v>
      </c>
      <c r="BQ80" s="2309">
        <f t="shared" si="59"/>
        <v>8.4164580152445653E-4</v>
      </c>
      <c r="BR80" s="1055">
        <f t="shared" si="59"/>
        <v>1.2240096816344098E-3</v>
      </c>
      <c r="BS80" s="1055">
        <f t="shared" si="59"/>
        <v>1.2264216693299794E-3</v>
      </c>
      <c r="BT80" s="1055">
        <f t="shared" si="59"/>
        <v>1.2283402838102412E-3</v>
      </c>
      <c r="BU80" s="1056">
        <f t="shared" si="59"/>
        <v>1.2302401687338703E-3</v>
      </c>
      <c r="BV80" s="1055">
        <f t="shared" si="59"/>
        <v>1.2343915852883916E-3</v>
      </c>
      <c r="BW80" s="1055">
        <f t="shared" si="59"/>
        <v>1.2385157071487885E-3</v>
      </c>
      <c r="BX80" s="1055">
        <f t="shared" si="59"/>
        <v>1.2426125846258494E-3</v>
      </c>
      <c r="BY80" s="1055">
        <f t="shared" si="59"/>
        <v>1.2466822710687575E-3</v>
      </c>
      <c r="BZ80" s="1056">
        <f t="shared" si="59"/>
        <v>1.2507248227886312E-3</v>
      </c>
      <c r="CA80" s="1048"/>
    </row>
    <row r="81" spans="3:79" x14ac:dyDescent="0.3">
      <c r="C81" s="126"/>
      <c r="D81" s="126">
        <f>D78+1</f>
        <v>5</v>
      </c>
      <c r="E81" s="553" t="s">
        <v>45</v>
      </c>
      <c r="F81" s="2105" t="s">
        <v>21</v>
      </c>
      <c r="G81" s="2105" t="s">
        <v>1188</v>
      </c>
      <c r="H81" s="2105" t="s">
        <v>1194</v>
      </c>
      <c r="I81" s="573" t="s">
        <v>321</v>
      </c>
      <c r="J81" s="573" t="s">
        <v>348</v>
      </c>
      <c r="K81" s="1969"/>
      <c r="L81" s="1970"/>
      <c r="M81" s="1970"/>
      <c r="N81" s="1971"/>
      <c r="O81" s="1970"/>
      <c r="P81" s="1970"/>
      <c r="Q81" s="1970"/>
      <c r="R81" s="1972"/>
      <c r="S81" s="1971"/>
      <c r="T81" s="1970"/>
      <c r="U81" s="1970"/>
      <c r="V81" s="1970"/>
      <c r="W81" s="1709">
        <v>1.8605</v>
      </c>
      <c r="X81" s="1710">
        <v>1.8957999999999999</v>
      </c>
      <c r="Y81" s="1709">
        <v>1.921</v>
      </c>
      <c r="Z81" s="1709">
        <v>1.9630000000000001</v>
      </c>
      <c r="AA81" s="1709">
        <v>1.9847999999999999</v>
      </c>
      <c r="AB81" s="1711">
        <v>2.0857999999999999</v>
      </c>
      <c r="AC81" s="1709">
        <v>2.0857999999999999</v>
      </c>
      <c r="AD81" s="1709">
        <v>2.1066579999999999</v>
      </c>
      <c r="AE81" s="1709">
        <v>2.1277245799999998</v>
      </c>
      <c r="AF81" s="1709">
        <v>2.1490018257999997</v>
      </c>
      <c r="AG81" s="1712">
        <v>2.1704918440579997</v>
      </c>
      <c r="AH81" s="1709">
        <v>2.1921967624985799</v>
      </c>
      <c r="AI81" s="1709">
        <v>2.2141187301235656</v>
      </c>
      <c r="AJ81" s="1709">
        <v>2.2362599174248015</v>
      </c>
      <c r="AK81" s="1709">
        <v>2.2586225165990497</v>
      </c>
      <c r="AL81" s="1712">
        <v>2.2812087417650404</v>
      </c>
      <c r="AM81" s="560"/>
      <c r="AN81" s="1052"/>
      <c r="AO81" s="992"/>
      <c r="AP81" s="2297" t="str">
        <f t="shared" si="36"/>
        <v>Price</v>
      </c>
      <c r="AQ81" s="2298" t="str">
        <f t="shared" si="36"/>
        <v>Water</v>
      </c>
      <c r="AR81" s="1719" t="str">
        <f t="shared" si="37"/>
        <v>Variable</v>
      </c>
      <c r="AS81" s="2299">
        <f t="shared" si="38"/>
        <v>1.8973394248857689E-2</v>
      </c>
      <c r="AT81" s="1728">
        <f t="shared" si="38"/>
        <v>1.3292541407321501E-2</v>
      </c>
      <c r="AU81" s="1728">
        <f t="shared" si="38"/>
        <v>2.1863612701717772E-2</v>
      </c>
      <c r="AV81" s="2300">
        <f t="shared" si="38"/>
        <v>1.1105450840550146E-2</v>
      </c>
      <c r="AW81" s="1728">
        <f t="shared" si="38"/>
        <v>5.0886739218057198E-2</v>
      </c>
      <c r="AX81" s="2301">
        <f t="shared" si="38"/>
        <v>0</v>
      </c>
      <c r="AY81" s="1728">
        <f t="shared" si="38"/>
        <v>1.0000000000000009E-2</v>
      </c>
      <c r="AZ81" s="1728">
        <f t="shared" si="38"/>
        <v>1.0000000000000009E-2</v>
      </c>
      <c r="BA81" s="1728">
        <f t="shared" si="38"/>
        <v>1.0000000000000009E-2</v>
      </c>
      <c r="BB81" s="1729">
        <f t="shared" si="38"/>
        <v>1.0000000000000009E-2</v>
      </c>
      <c r="BC81" s="1728">
        <f t="shared" si="38"/>
        <v>1.0000000000000009E-2</v>
      </c>
      <c r="BD81" s="1728">
        <f t="shared" si="38"/>
        <v>1.0000000000000009E-2</v>
      </c>
      <c r="BE81" s="1728">
        <f t="shared" si="38"/>
        <v>1.0000000000000009E-2</v>
      </c>
      <c r="BF81" s="1728">
        <f t="shared" si="38"/>
        <v>1.0000000000000009E-2</v>
      </c>
      <c r="BG81" s="1729">
        <f t="shared" si="38"/>
        <v>1.0000000000000009E-2</v>
      </c>
      <c r="BH81" s="1048"/>
      <c r="BI81" s="2297" t="str">
        <f t="shared" si="34"/>
        <v>Price</v>
      </c>
      <c r="BJ81" s="2298" t="str">
        <f t="shared" si="34"/>
        <v>Water</v>
      </c>
      <c r="BK81" s="1719" t="str">
        <f t="shared" si="34"/>
        <v>Variable</v>
      </c>
      <c r="BL81" s="2315">
        <f t="shared" ref="BL81:BZ81" si="60">IF(OR(X81="",X81=0),"-",IFERROR((X81/W81-1)*(W83/W$13),"-"))</f>
        <v>1.5881757328113073E-3</v>
      </c>
      <c r="BM81" s="2311">
        <f t="shared" si="60"/>
        <v>1.1655327763448787E-3</v>
      </c>
      <c r="BN81" s="2311">
        <f t="shared" si="60"/>
        <v>1.7904320414571216E-3</v>
      </c>
      <c r="BO81" s="2312">
        <f t="shared" si="60"/>
        <v>8.5342550873636857E-4</v>
      </c>
      <c r="BP81" s="2311">
        <f t="shared" si="60"/>
        <v>4.0877632462149515E-3</v>
      </c>
      <c r="BQ81" s="2313">
        <f t="shared" si="60"/>
        <v>0</v>
      </c>
      <c r="BR81" s="2311">
        <f t="shared" si="60"/>
        <v>8.1191878412340511E-4</v>
      </c>
      <c r="BS81" s="2311">
        <f t="shared" si="60"/>
        <v>8.1113070118154996E-4</v>
      </c>
      <c r="BT81" s="2311">
        <f t="shared" si="60"/>
        <v>8.1001489959002775E-4</v>
      </c>
      <c r="BU81" s="2314">
        <f t="shared" si="60"/>
        <v>8.0888634469121858E-4</v>
      </c>
      <c r="BV81" s="2311">
        <f t="shared" si="60"/>
        <v>8.0923347847700533E-4</v>
      </c>
      <c r="BW81" s="2311">
        <f t="shared" si="60"/>
        <v>8.0955376323640818E-4</v>
      </c>
      <c r="BX81" s="2311">
        <f t="shared" si="60"/>
        <v>8.0984743876487658E-4</v>
      </c>
      <c r="BY81" s="2311">
        <f t="shared" si="60"/>
        <v>8.1011474530964258E-4</v>
      </c>
      <c r="BZ81" s="2314">
        <f t="shared" si="60"/>
        <v>8.1035592349928726E-4</v>
      </c>
      <c r="CA81" s="1048"/>
    </row>
    <row r="82" spans="3:79" x14ac:dyDescent="0.3">
      <c r="C82" s="126"/>
      <c r="D82" s="126"/>
      <c r="E82" s="558" t="s">
        <v>46</v>
      </c>
      <c r="F82" s="2161" t="str">
        <f t="shared" si="40"/>
        <v>Water</v>
      </c>
      <c r="G82" s="2163" t="str">
        <f t="shared" si="40"/>
        <v>Non- Residential</v>
      </c>
      <c r="H82" s="2163" t="str">
        <f t="shared" si="40"/>
        <v>Usage</v>
      </c>
      <c r="I82" s="2164" t="str">
        <f t="shared" si="40"/>
        <v>Variable</v>
      </c>
      <c r="J82" s="574" t="s">
        <v>48</v>
      </c>
      <c r="K82" s="1973"/>
      <c r="L82" s="1974"/>
      <c r="M82" s="1974"/>
      <c r="N82" s="1975"/>
      <c r="O82" s="1974"/>
      <c r="P82" s="1974"/>
      <c r="Q82" s="1974"/>
      <c r="R82" s="1976"/>
      <c r="S82" s="1975"/>
      <c r="T82" s="1974"/>
      <c r="U82" s="1974"/>
      <c r="V82" s="1974"/>
      <c r="W82" s="1713">
        <v>4145162.42</v>
      </c>
      <c r="X82" s="1714">
        <v>4370964.32</v>
      </c>
      <c r="Y82" s="1713">
        <v>3984033.79</v>
      </c>
      <c r="Z82" s="1713">
        <v>3702083.91</v>
      </c>
      <c r="AA82" s="1713">
        <v>3878303.27</v>
      </c>
      <c r="AB82" s="1715">
        <v>3963625.9419400003</v>
      </c>
      <c r="AC82" s="1713">
        <v>4038934.8348368597</v>
      </c>
      <c r="AD82" s="1713">
        <v>4115674.5966987596</v>
      </c>
      <c r="AE82" s="1713">
        <v>4193872.4140360355</v>
      </c>
      <c r="AF82" s="1713">
        <v>4273555.9899027199</v>
      </c>
      <c r="AG82" s="1716">
        <v>4354753.5537108714</v>
      </c>
      <c r="AH82" s="1713">
        <v>4437493.8712313771</v>
      </c>
      <c r="AI82" s="1713">
        <v>4521806.2547847731</v>
      </c>
      <c r="AJ82" s="1713">
        <v>4607720.5736256838</v>
      </c>
      <c r="AK82" s="1713">
        <v>4695267.2645245716</v>
      </c>
      <c r="AL82" s="1716">
        <v>4784477.3425505385</v>
      </c>
      <c r="AM82" s="560"/>
      <c r="AN82" s="991"/>
      <c r="AO82" s="992"/>
      <c r="AP82" s="2285" t="str">
        <f t="shared" si="36"/>
        <v>Qty</v>
      </c>
      <c r="AQ82" s="2286" t="str">
        <f t="shared" si="36"/>
        <v>Water</v>
      </c>
      <c r="AR82" s="2287" t="str">
        <f t="shared" si="37"/>
        <v>Variable</v>
      </c>
      <c r="AS82" s="2288">
        <f t="shared" si="38"/>
        <v>5.4473595271087305E-2</v>
      </c>
      <c r="AT82" s="1720">
        <f t="shared" si="38"/>
        <v>-8.85229211845866E-2</v>
      </c>
      <c r="AU82" s="1720">
        <f t="shared" si="38"/>
        <v>-7.0769951978745582E-2</v>
      </c>
      <c r="AV82" s="2289">
        <f t="shared" si="38"/>
        <v>4.7600044808276509E-2</v>
      </c>
      <c r="AW82" s="1720">
        <f t="shared" si="38"/>
        <v>2.200000000000002E-2</v>
      </c>
      <c r="AX82" s="2290">
        <f t="shared" si="38"/>
        <v>1.8999999999999906E-2</v>
      </c>
      <c r="AY82" s="1720">
        <f t="shared" si="38"/>
        <v>1.8999999999999906E-2</v>
      </c>
      <c r="AZ82" s="1720">
        <f t="shared" si="38"/>
        <v>1.8999999999999906E-2</v>
      </c>
      <c r="BA82" s="1720">
        <f t="shared" si="38"/>
        <v>1.8999999999999906E-2</v>
      </c>
      <c r="BB82" s="1721">
        <f t="shared" si="38"/>
        <v>1.8999999999999906E-2</v>
      </c>
      <c r="BC82" s="1720">
        <f t="shared" si="38"/>
        <v>1.8999999999999906E-2</v>
      </c>
      <c r="BD82" s="1720">
        <f t="shared" si="38"/>
        <v>1.8999999999999906E-2</v>
      </c>
      <c r="BE82" s="1720">
        <f t="shared" si="38"/>
        <v>1.8999999999999906E-2</v>
      </c>
      <c r="BF82" s="1720">
        <f t="shared" si="38"/>
        <v>1.8999999999999906E-2</v>
      </c>
      <c r="BG82" s="1721">
        <f t="shared" si="38"/>
        <v>1.8999999999999906E-2</v>
      </c>
      <c r="BH82" s="1048"/>
      <c r="BI82" s="2285" t="str">
        <f t="shared" si="34"/>
        <v>Qty</v>
      </c>
      <c r="BJ82" s="2286" t="str">
        <f t="shared" si="34"/>
        <v>Water</v>
      </c>
      <c r="BK82" s="2287" t="str">
        <f t="shared" si="34"/>
        <v>Variable</v>
      </c>
      <c r="BL82" s="2288">
        <f t="shared" ref="BL82:BZ82" si="61">IF(OR(X82="",X82=0),"-",IFERROR((X82/W82-1)*(W83/W$13),"-"))</f>
        <v>4.559734592229552E-3</v>
      </c>
      <c r="BM82" s="1720">
        <f t="shared" si="61"/>
        <v>-7.761974398785833E-3</v>
      </c>
      <c r="BN82" s="1720">
        <f t="shared" si="61"/>
        <v>-5.7954186860057532E-3</v>
      </c>
      <c r="BO82" s="2289">
        <f t="shared" si="61"/>
        <v>3.6579417656820599E-3</v>
      </c>
      <c r="BP82" s="1720">
        <f t="shared" si="61"/>
        <v>1.7672736119200383E-3</v>
      </c>
      <c r="BQ82" s="2290">
        <f t="shared" si="61"/>
        <v>1.5580818390176963E-3</v>
      </c>
      <c r="BR82" s="1720">
        <f t="shared" si="61"/>
        <v>1.5426456898344606E-3</v>
      </c>
      <c r="BS82" s="1720">
        <f t="shared" si="61"/>
        <v>1.541148332244936E-3</v>
      </c>
      <c r="BT82" s="1720">
        <f t="shared" si="61"/>
        <v>1.5390283092210437E-3</v>
      </c>
      <c r="BU82" s="1721">
        <f t="shared" si="61"/>
        <v>1.5368840549133062E-3</v>
      </c>
      <c r="BV82" s="1720">
        <f t="shared" si="61"/>
        <v>1.5375436091063011E-3</v>
      </c>
      <c r="BW82" s="1720">
        <f t="shared" si="61"/>
        <v>1.5381521501491666E-3</v>
      </c>
      <c r="BX82" s="1720">
        <f t="shared" si="61"/>
        <v>1.5387101336532566E-3</v>
      </c>
      <c r="BY82" s="1720">
        <f t="shared" si="61"/>
        <v>1.5392180160883121E-3</v>
      </c>
      <c r="BZ82" s="1721">
        <f t="shared" si="61"/>
        <v>1.5396762546486368E-3</v>
      </c>
      <c r="CA82" s="1048"/>
    </row>
    <row r="83" spans="3:79" ht="12.5" thickBot="1" x14ac:dyDescent="0.35">
      <c r="C83" s="126"/>
      <c r="D83" s="126"/>
      <c r="E83" s="559" t="s">
        <v>47</v>
      </c>
      <c r="F83" s="2162" t="str">
        <f t="shared" ref="F83:I83" si="62">+F81</f>
        <v>Water</v>
      </c>
      <c r="G83" s="2165" t="str">
        <f t="shared" si="62"/>
        <v>Non- Residential</v>
      </c>
      <c r="H83" s="2165" t="str">
        <f t="shared" si="62"/>
        <v>Usage</v>
      </c>
      <c r="I83" s="2166" t="str">
        <f t="shared" si="62"/>
        <v>Variable</v>
      </c>
      <c r="J83" s="2106" t="s">
        <v>347</v>
      </c>
      <c r="K83" s="1977"/>
      <c r="L83" s="1206"/>
      <c r="M83" s="1206"/>
      <c r="N83" s="1978"/>
      <c r="O83" s="1206"/>
      <c r="P83" s="1206"/>
      <c r="Q83" s="1206"/>
      <c r="R83" s="1206"/>
      <c r="S83" s="1978"/>
      <c r="T83" s="1206"/>
      <c r="U83" s="1206"/>
      <c r="V83" s="1206"/>
      <c r="W83" s="1731">
        <f t="shared" ref="W83:AG83" si="63">W81*W82/10^6</f>
        <v>7.7120746824099999</v>
      </c>
      <c r="X83" s="1730">
        <f t="shared" si="63"/>
        <v>8.2864741578560004</v>
      </c>
      <c r="Y83" s="1731">
        <f t="shared" si="63"/>
        <v>7.6533289105900009</v>
      </c>
      <c r="Z83" s="1731">
        <f t="shared" si="63"/>
        <v>7.2671907153300008</v>
      </c>
      <c r="AA83" s="1731">
        <f t="shared" si="63"/>
        <v>7.6976563302959997</v>
      </c>
      <c r="AB83" s="1733">
        <f t="shared" si="63"/>
        <v>8.2673309896984524</v>
      </c>
      <c r="AC83" s="1731">
        <f t="shared" si="63"/>
        <v>8.4244102785027213</v>
      </c>
      <c r="AD83" s="1731">
        <f t="shared" si="63"/>
        <v>8.6703188145322141</v>
      </c>
      <c r="AE83" s="1731">
        <f t="shared" si="63"/>
        <v>8.9234054207284093</v>
      </c>
      <c r="AF83" s="1731">
        <f t="shared" si="63"/>
        <v>9.1838796249594701</v>
      </c>
      <c r="AG83" s="1733">
        <f t="shared" si="63"/>
        <v>9.4519570712120373</v>
      </c>
      <c r="AH83" s="1731">
        <f>AH81*AH82/10^6</f>
        <v>9.7278596981207155</v>
      </c>
      <c r="AI83" s="1731">
        <f>AI81*AI82/10^6</f>
        <v>10.011815922708857</v>
      </c>
      <c r="AJ83" s="1731">
        <f>AJ81*AJ82/10^6</f>
        <v>10.30406082949273</v>
      </c>
      <c r="AK83" s="1731">
        <f>AK81*AK82/10^6</f>
        <v>10.604836365105623</v>
      </c>
      <c r="AL83" s="1733">
        <f>AL81*AL82/10^6</f>
        <v>10.914391538603057</v>
      </c>
      <c r="AM83" s="560"/>
      <c r="AN83" s="991"/>
      <c r="AO83" s="992"/>
      <c r="AP83" s="2304" t="str">
        <f t="shared" si="36"/>
        <v>Rev</v>
      </c>
      <c r="AQ83" s="2305" t="str">
        <f t="shared" si="36"/>
        <v>Water</v>
      </c>
      <c r="AR83" s="2306" t="str">
        <f t="shared" si="37"/>
        <v>Variable</v>
      </c>
      <c r="AS83" s="2307">
        <f t="shared" si="38"/>
        <v>7.4480538519176021E-2</v>
      </c>
      <c r="AT83" s="1055">
        <f t="shared" si="38"/>
        <v>-7.6407074372608186E-2</v>
      </c>
      <c r="AU83" s="1055">
        <f t="shared" si="38"/>
        <v>-5.0453626098010296E-2</v>
      </c>
      <c r="AV83" s="2308">
        <f t="shared" si="38"/>
        <v>5.9234115606452864E-2</v>
      </c>
      <c r="AW83" s="1055">
        <f t="shared" si="38"/>
        <v>7.4006247480854492E-2</v>
      </c>
      <c r="AX83" s="2309">
        <f t="shared" si="38"/>
        <v>1.8999999999999906E-2</v>
      </c>
      <c r="AY83" s="1055">
        <f t="shared" si="38"/>
        <v>2.9189999999999827E-2</v>
      </c>
      <c r="AZ83" s="1055">
        <f t="shared" si="38"/>
        <v>2.9190000000000049E-2</v>
      </c>
      <c r="BA83" s="1055">
        <f t="shared" si="38"/>
        <v>2.9189999999999827E-2</v>
      </c>
      <c r="BB83" s="1056">
        <f t="shared" si="38"/>
        <v>2.9190000000000049E-2</v>
      </c>
      <c r="BC83" s="1055">
        <f t="shared" si="38"/>
        <v>2.9189999999999827E-2</v>
      </c>
      <c r="BD83" s="1055">
        <f t="shared" si="38"/>
        <v>2.9189999999999827E-2</v>
      </c>
      <c r="BE83" s="1055">
        <f t="shared" si="38"/>
        <v>2.9190000000000049E-2</v>
      </c>
      <c r="BF83" s="1055">
        <f t="shared" si="38"/>
        <v>2.9190000000000049E-2</v>
      </c>
      <c r="BG83" s="1056">
        <f t="shared" si="38"/>
        <v>2.9190000000000049E-2</v>
      </c>
      <c r="BH83" s="1048"/>
      <c r="BI83" s="2304" t="str">
        <f t="shared" si="34"/>
        <v>Rev</v>
      </c>
      <c r="BJ83" s="2305" t="str">
        <f t="shared" si="34"/>
        <v>Water</v>
      </c>
      <c r="BK83" s="2306" t="str">
        <f t="shared" si="34"/>
        <v>Variable</v>
      </c>
      <c r="BL83" s="2294">
        <f t="shared" ref="BL83:BZ83" si="64">IF(OR(X83="",X83=0),"-",IFERROR((X83/W83-1)*(W83/W$13),"-"))</f>
        <v>6.2344239671293837E-3</v>
      </c>
      <c r="BM83" s="1048">
        <f t="shared" si="64"/>
        <v>-6.6996179885393768E-3</v>
      </c>
      <c r="BN83" s="1048">
        <f t="shared" si="64"/>
        <v>-4.1316954341437621E-3</v>
      </c>
      <c r="BO83" s="2295">
        <f t="shared" si="64"/>
        <v>4.5519903668747985E-3</v>
      </c>
      <c r="BP83" s="1048">
        <f t="shared" si="64"/>
        <v>5.9449676495517195E-3</v>
      </c>
      <c r="BQ83" s="2296">
        <f t="shared" si="64"/>
        <v>1.5580818390176963E-3</v>
      </c>
      <c r="BR83" s="1048">
        <f t="shared" si="64"/>
        <v>2.3699909308562031E-3</v>
      </c>
      <c r="BS83" s="1048">
        <f t="shared" si="64"/>
        <v>2.3676905167489461E-3</v>
      </c>
      <c r="BT83" s="1048">
        <f t="shared" si="64"/>
        <v>2.364433491903275E-3</v>
      </c>
      <c r="BU83" s="1051">
        <f t="shared" si="64"/>
        <v>2.361139240153669E-3</v>
      </c>
      <c r="BV83" s="1048">
        <f t="shared" si="64"/>
        <v>2.3621525236743623E-3</v>
      </c>
      <c r="BW83" s="1048">
        <f t="shared" si="64"/>
        <v>2.3630874348870594E-3</v>
      </c>
      <c r="BX83" s="1048">
        <f t="shared" si="64"/>
        <v>2.3639446737546768E-3</v>
      </c>
      <c r="BY83" s="1048">
        <f t="shared" si="64"/>
        <v>2.3647249415588486E-3</v>
      </c>
      <c r="BZ83" s="1051">
        <f t="shared" si="64"/>
        <v>2.3654289406944214E-3</v>
      </c>
      <c r="CA83" s="1048"/>
    </row>
    <row r="84" spans="3:79" x14ac:dyDescent="0.3">
      <c r="C84" s="126"/>
      <c r="D84" s="126">
        <f>D81+1</f>
        <v>6</v>
      </c>
      <c r="E84" s="553" t="s">
        <v>45</v>
      </c>
      <c r="F84" s="2105" t="s">
        <v>21</v>
      </c>
      <c r="G84" s="2105" t="s">
        <v>1187</v>
      </c>
      <c r="H84" s="2105" t="s">
        <v>1195</v>
      </c>
      <c r="I84" s="573" t="s">
        <v>320</v>
      </c>
      <c r="J84" s="573" t="s">
        <v>348</v>
      </c>
      <c r="K84" s="1969"/>
      <c r="L84" s="1970"/>
      <c r="M84" s="1970"/>
      <c r="N84" s="1971"/>
      <c r="O84" s="1970"/>
      <c r="P84" s="1970"/>
      <c r="Q84" s="1970"/>
      <c r="R84" s="1972"/>
      <c r="S84" s="1971"/>
      <c r="T84" s="1970"/>
      <c r="U84" s="1970"/>
      <c r="V84" s="1970"/>
      <c r="W84" s="1709">
        <v>97.91</v>
      </c>
      <c r="X84" s="1710">
        <v>99.77</v>
      </c>
      <c r="Y84" s="1709">
        <v>97.75</v>
      </c>
      <c r="Z84" s="1709">
        <v>93.48</v>
      </c>
      <c r="AA84" s="1709">
        <v>104.45</v>
      </c>
      <c r="AB84" s="1711">
        <v>109.76</v>
      </c>
      <c r="AC84" s="1709">
        <v>109.76</v>
      </c>
      <c r="AD84" s="1709">
        <v>110.85760000000001</v>
      </c>
      <c r="AE84" s="1709">
        <v>111.966176</v>
      </c>
      <c r="AF84" s="1709">
        <v>113.08583776</v>
      </c>
      <c r="AG84" s="1712">
        <v>114.21669613760001</v>
      </c>
      <c r="AH84" s="1709">
        <v>115.35886309897602</v>
      </c>
      <c r="AI84" s="1709">
        <v>116.51245172996578</v>
      </c>
      <c r="AJ84" s="1709">
        <v>117.67757624726543</v>
      </c>
      <c r="AK84" s="1709">
        <v>118.85435200973809</v>
      </c>
      <c r="AL84" s="1712">
        <v>120.04289552983548</v>
      </c>
      <c r="AM84" s="560"/>
      <c r="AN84" s="1052"/>
      <c r="AO84" s="992"/>
      <c r="AP84" s="2297" t="str">
        <f t="shared" si="36"/>
        <v>Price</v>
      </c>
      <c r="AQ84" s="2298" t="str">
        <f t="shared" si="36"/>
        <v>Water</v>
      </c>
      <c r="AR84" s="1719" t="str">
        <f t="shared" si="37"/>
        <v>Fixed</v>
      </c>
      <c r="AS84" s="2299">
        <f t="shared" si="38"/>
        <v>1.8997038096210783E-2</v>
      </c>
      <c r="AT84" s="1728">
        <f t="shared" si="38"/>
        <v>-2.0246567104339919E-2</v>
      </c>
      <c r="AU84" s="1728">
        <f t="shared" si="38"/>
        <v>-4.3682864450127812E-2</v>
      </c>
      <c r="AV84" s="2300">
        <f t="shared" si="38"/>
        <v>0.11735130509199831</v>
      </c>
      <c r="AW84" s="1728">
        <f t="shared" si="38"/>
        <v>5.0837721397797964E-2</v>
      </c>
      <c r="AX84" s="2301">
        <f t="shared" si="38"/>
        <v>0</v>
      </c>
      <c r="AY84" s="1728">
        <f t="shared" si="38"/>
        <v>1.0000000000000009E-2</v>
      </c>
      <c r="AZ84" s="1728">
        <f t="shared" si="38"/>
        <v>1.0000000000000009E-2</v>
      </c>
      <c r="BA84" s="1728">
        <f t="shared" si="38"/>
        <v>1.0000000000000009E-2</v>
      </c>
      <c r="BB84" s="1729">
        <f t="shared" si="38"/>
        <v>1.0000000000000009E-2</v>
      </c>
      <c r="BC84" s="1728">
        <f t="shared" si="38"/>
        <v>1.0000000000000009E-2</v>
      </c>
      <c r="BD84" s="1728">
        <f t="shared" si="38"/>
        <v>1.0000000000000009E-2</v>
      </c>
      <c r="BE84" s="1728">
        <f t="shared" si="38"/>
        <v>1.0000000000000009E-2</v>
      </c>
      <c r="BF84" s="1728">
        <f t="shared" si="38"/>
        <v>1.0000000000000009E-2</v>
      </c>
      <c r="BG84" s="1729">
        <f t="shared" si="38"/>
        <v>1.0000000000000009E-2</v>
      </c>
      <c r="BH84" s="1048"/>
      <c r="BI84" s="2297" t="str">
        <f t="shared" ref="BI84:BK147" si="65">AP84</f>
        <v>Price</v>
      </c>
      <c r="BJ84" s="2298" t="str">
        <f t="shared" si="65"/>
        <v>Water</v>
      </c>
      <c r="BK84" s="1719" t="str">
        <f t="shared" si="65"/>
        <v>Fixed</v>
      </c>
      <c r="BL84" s="2299">
        <f t="shared" ref="BL84:BZ84" si="66">IF(OR(X84="",X84=0),"-",IFERROR((X84/W84-1)*(W86/W$13),"-"))</f>
        <v>7.5806279732083836E-5</v>
      </c>
      <c r="BM84" s="1053">
        <f t="shared" si="66"/>
        <v>-8.1351739229607907E-5</v>
      </c>
      <c r="BN84" s="1053">
        <f t="shared" si="66"/>
        <v>-1.8645756467190101E-4</v>
      </c>
      <c r="BO84" s="2302">
        <f t="shared" si="66"/>
        <v>4.4939590631145948E-4</v>
      </c>
      <c r="BP84" s="1053">
        <f t="shared" si="66"/>
        <v>2.2719615233394977E-4</v>
      </c>
      <c r="BQ84" s="2303">
        <f t="shared" si="66"/>
        <v>0</v>
      </c>
      <c r="BR84" s="1053">
        <f t="shared" si="66"/>
        <v>4.3804871295659065E-5</v>
      </c>
      <c r="BS84" s="1053">
        <f t="shared" si="66"/>
        <v>4.294637136648668E-5</v>
      </c>
      <c r="BT84" s="1053">
        <f t="shared" si="66"/>
        <v>4.2508505138387825E-5</v>
      </c>
      <c r="BU84" s="1054">
        <f t="shared" si="66"/>
        <v>4.2074360037602058E-5</v>
      </c>
      <c r="BV84" s="1053">
        <f t="shared" si="66"/>
        <v>4.1720648108721598E-5</v>
      </c>
      <c r="BW84" s="1053">
        <f t="shared" si="66"/>
        <v>4.1368530166517378E-5</v>
      </c>
      <c r="BX84" s="1053">
        <f t="shared" si="66"/>
        <v>4.1018029909559129E-5</v>
      </c>
      <c r="BY84" s="1053">
        <f t="shared" si="66"/>
        <v>4.0669170194566048E-5</v>
      </c>
      <c r="BZ84" s="1054">
        <f t="shared" si="66"/>
        <v>4.0321973049110893E-5</v>
      </c>
      <c r="CA84" s="1048"/>
    </row>
    <row r="85" spans="3:79" x14ac:dyDescent="0.3">
      <c r="C85" s="126"/>
      <c r="D85" s="126"/>
      <c r="E85" s="558" t="s">
        <v>46</v>
      </c>
      <c r="F85" s="2161" t="str">
        <f t="shared" si="40"/>
        <v>Water</v>
      </c>
      <c r="G85" s="2163" t="str">
        <f t="shared" si="40"/>
        <v>Res + Non-Res</v>
      </c>
      <c r="H85" s="2163" t="str">
        <f t="shared" si="40"/>
        <v>Service Charge - vacant</v>
      </c>
      <c r="I85" s="2164" t="str">
        <f t="shared" si="40"/>
        <v>Fixed</v>
      </c>
      <c r="J85" s="574" t="s">
        <v>324</v>
      </c>
      <c r="K85" s="1973"/>
      <c r="L85" s="1974"/>
      <c r="M85" s="1974"/>
      <c r="N85" s="1975"/>
      <c r="O85" s="1974"/>
      <c r="P85" s="1974"/>
      <c r="Q85" s="1974"/>
      <c r="R85" s="1976"/>
      <c r="S85" s="1975"/>
      <c r="T85" s="1974"/>
      <c r="U85" s="1974"/>
      <c r="V85" s="1974"/>
      <c r="W85" s="1713">
        <v>3755</v>
      </c>
      <c r="X85" s="1714">
        <v>3806</v>
      </c>
      <c r="Y85" s="1713">
        <v>4081</v>
      </c>
      <c r="Z85" s="1713">
        <v>3874</v>
      </c>
      <c r="AA85" s="1713">
        <v>4100</v>
      </c>
      <c r="AB85" s="1715">
        <v>4141</v>
      </c>
      <c r="AC85" s="1713">
        <v>4141</v>
      </c>
      <c r="AD85" s="1713">
        <v>4141</v>
      </c>
      <c r="AE85" s="1713">
        <v>4182.41</v>
      </c>
      <c r="AF85" s="1713">
        <v>4224.2340999999997</v>
      </c>
      <c r="AG85" s="1716">
        <v>4266.4764409999998</v>
      </c>
      <c r="AH85" s="1713">
        <v>4309.1412054100001</v>
      </c>
      <c r="AI85" s="1713">
        <v>4352.2326174641003</v>
      </c>
      <c r="AJ85" s="1713">
        <v>4395.7549436387417</v>
      </c>
      <c r="AK85" s="1713">
        <v>4439.7124930751288</v>
      </c>
      <c r="AL85" s="1716">
        <v>4484.1096180058803</v>
      </c>
      <c r="AM85" s="560"/>
      <c r="AN85" s="991"/>
      <c r="AO85" s="992"/>
      <c r="AP85" s="2285" t="str">
        <f t="shared" si="36"/>
        <v>Qty</v>
      </c>
      <c r="AQ85" s="2286" t="str">
        <f t="shared" si="36"/>
        <v>Water</v>
      </c>
      <c r="AR85" s="2287" t="str">
        <f t="shared" si="37"/>
        <v>Fixed</v>
      </c>
      <c r="AS85" s="2288">
        <f t="shared" si="38"/>
        <v>1.3581890812250252E-2</v>
      </c>
      <c r="AT85" s="1720">
        <f t="shared" si="38"/>
        <v>7.225433526011571E-2</v>
      </c>
      <c r="AU85" s="1720">
        <f t="shared" si="38"/>
        <v>-5.0722862043616757E-2</v>
      </c>
      <c r="AV85" s="2289">
        <f t="shared" si="38"/>
        <v>5.8337635518843634E-2</v>
      </c>
      <c r="AW85" s="1720">
        <f t="shared" si="38"/>
        <v>1.0000000000000009E-2</v>
      </c>
      <c r="AX85" s="2290">
        <f t="shared" si="38"/>
        <v>0</v>
      </c>
      <c r="AY85" s="1720">
        <f t="shared" si="38"/>
        <v>0</v>
      </c>
      <c r="AZ85" s="1720">
        <f t="shared" si="38"/>
        <v>1.0000000000000009E-2</v>
      </c>
      <c r="BA85" s="1720">
        <f t="shared" si="38"/>
        <v>1.0000000000000009E-2</v>
      </c>
      <c r="BB85" s="1721">
        <f t="shared" si="38"/>
        <v>1.0000000000000009E-2</v>
      </c>
      <c r="BC85" s="1720">
        <f t="shared" si="38"/>
        <v>1.0000000000000009E-2</v>
      </c>
      <c r="BD85" s="1720">
        <f t="shared" si="38"/>
        <v>1.0000000000000009E-2</v>
      </c>
      <c r="BE85" s="1720">
        <f t="shared" si="38"/>
        <v>1.0000000000000009E-2</v>
      </c>
      <c r="BF85" s="1720">
        <f t="shared" si="38"/>
        <v>1.0000000000000009E-2</v>
      </c>
      <c r="BG85" s="1721">
        <f t="shared" si="38"/>
        <v>1.0000000000000009E-2</v>
      </c>
      <c r="BH85" s="1048"/>
      <c r="BI85" s="2285" t="str">
        <f t="shared" si="65"/>
        <v>Qty</v>
      </c>
      <c r="BJ85" s="2286" t="str">
        <f t="shared" si="65"/>
        <v>Water</v>
      </c>
      <c r="BK85" s="2287" t="str">
        <f t="shared" si="65"/>
        <v>Fixed</v>
      </c>
      <c r="BL85" s="2288">
        <f t="shared" ref="BL85:BZ85" si="67">IF(OR(X85="",X85=0),"-",IFERROR((X85/W85-1)*(W86/W$13),"-"))</f>
        <v>5.4197533793935387E-5</v>
      </c>
      <c r="BM85" s="1720">
        <f t="shared" si="67"/>
        <v>2.9032160415133417E-4</v>
      </c>
      <c r="BN85" s="1720">
        <f t="shared" si="67"/>
        <v>-2.1650735245714667E-4</v>
      </c>
      <c r="BO85" s="2289">
        <f t="shared" si="67"/>
        <v>2.2340351959022168E-4</v>
      </c>
      <c r="BP85" s="1720">
        <f t="shared" si="67"/>
        <v>4.4690467252883406E-5</v>
      </c>
      <c r="BQ85" s="2290">
        <f t="shared" si="67"/>
        <v>0</v>
      </c>
      <c r="BR85" s="1720">
        <f t="shared" si="67"/>
        <v>0</v>
      </c>
      <c r="BS85" s="1720">
        <f t="shared" si="67"/>
        <v>4.294637136648668E-5</v>
      </c>
      <c r="BT85" s="1720">
        <f t="shared" si="67"/>
        <v>4.2508505138387825E-5</v>
      </c>
      <c r="BU85" s="1721">
        <f t="shared" si="67"/>
        <v>4.2074360037602058E-5</v>
      </c>
      <c r="BV85" s="1720">
        <f t="shared" si="67"/>
        <v>4.1720648108721598E-5</v>
      </c>
      <c r="BW85" s="1720">
        <f t="shared" si="67"/>
        <v>4.1368530166517378E-5</v>
      </c>
      <c r="BX85" s="1720">
        <f t="shared" si="67"/>
        <v>4.1018029909559129E-5</v>
      </c>
      <c r="BY85" s="1720">
        <f t="shared" si="67"/>
        <v>4.0669170194566048E-5</v>
      </c>
      <c r="BZ85" s="1721">
        <f t="shared" si="67"/>
        <v>4.0321973049110893E-5</v>
      </c>
      <c r="CA85" s="1048"/>
    </row>
    <row r="86" spans="3:79" ht="12.5" thickBot="1" x14ac:dyDescent="0.35">
      <c r="C86" s="126"/>
      <c r="D86" s="126"/>
      <c r="E86" s="559" t="s">
        <v>47</v>
      </c>
      <c r="F86" s="2162" t="str">
        <f t="shared" ref="F86:I86" si="68">+F84</f>
        <v>Water</v>
      </c>
      <c r="G86" s="2165" t="str">
        <f t="shared" si="68"/>
        <v>Res + Non-Res</v>
      </c>
      <c r="H86" s="2165" t="str">
        <f t="shared" si="68"/>
        <v>Service Charge - vacant</v>
      </c>
      <c r="I86" s="2166" t="str">
        <f t="shared" si="68"/>
        <v>Fixed</v>
      </c>
      <c r="J86" s="2106" t="s">
        <v>347</v>
      </c>
      <c r="K86" s="1977"/>
      <c r="L86" s="1206"/>
      <c r="M86" s="1206"/>
      <c r="N86" s="1978"/>
      <c r="O86" s="1206"/>
      <c r="P86" s="1206"/>
      <c r="Q86" s="1206"/>
      <c r="R86" s="1206"/>
      <c r="S86" s="1978"/>
      <c r="T86" s="1206"/>
      <c r="U86" s="1206"/>
      <c r="V86" s="1206"/>
      <c r="W86" s="1731">
        <f t="shared" ref="W86:AG86" si="69">W84*W85/10^6</f>
        <v>0.36765205000000001</v>
      </c>
      <c r="X86" s="1730">
        <f t="shared" si="69"/>
        <v>0.37972462000000001</v>
      </c>
      <c r="Y86" s="1731">
        <f t="shared" si="69"/>
        <v>0.39891775000000002</v>
      </c>
      <c r="Z86" s="1731">
        <f t="shared" si="69"/>
        <v>0.36214151999999999</v>
      </c>
      <c r="AA86" s="1731">
        <f t="shared" si="69"/>
        <v>0.42824499999999999</v>
      </c>
      <c r="AB86" s="1733">
        <f t="shared" si="69"/>
        <v>0.45451616000000006</v>
      </c>
      <c r="AC86" s="1731">
        <f t="shared" si="69"/>
        <v>0.45451616000000006</v>
      </c>
      <c r="AD86" s="1731">
        <f t="shared" si="69"/>
        <v>0.45906132160000002</v>
      </c>
      <c r="AE86" s="1731">
        <f t="shared" si="69"/>
        <v>0.46828845416415998</v>
      </c>
      <c r="AF86" s="1731">
        <f t="shared" si="69"/>
        <v>0.47770105209285957</v>
      </c>
      <c r="AG86" s="1733">
        <f t="shared" si="69"/>
        <v>0.48730284323992612</v>
      </c>
      <c r="AH86" s="1731">
        <f>AH84*AH85/10^6</f>
        <v>0.49709763038904869</v>
      </c>
      <c r="AI86" s="1731">
        <f>AI84*AI85/10^6</f>
        <v>0.50708929275986858</v>
      </c>
      <c r="AJ86" s="1731">
        <f>AJ84*AJ85/10^6</f>
        <v>0.51728178754434195</v>
      </c>
      <c r="AK86" s="1731">
        <f>AK84*AK85/10^6</f>
        <v>0.52767915147398325</v>
      </c>
      <c r="AL86" s="1733">
        <f>AL84*AL85/10^6</f>
        <v>0.5382855024186104</v>
      </c>
      <c r="AM86" s="560"/>
      <c r="AN86" s="991"/>
      <c r="AO86" s="992"/>
      <c r="AP86" s="2304" t="str">
        <f t="shared" si="36"/>
        <v>Rev</v>
      </c>
      <c r="AQ86" s="2305" t="str">
        <f t="shared" si="36"/>
        <v>Water</v>
      </c>
      <c r="AR86" s="2306" t="str">
        <f t="shared" si="37"/>
        <v>Fixed</v>
      </c>
      <c r="AS86" s="2307">
        <f t="shared" ref="AS86:BG102" si="70">IF(OR(X86="",X86=0),"-",IFERROR(X86/W86-1,"-"))</f>
        <v>3.2836944605640017E-2</v>
      </c>
      <c r="AT86" s="1055">
        <f t="shared" si="70"/>
        <v>5.0544865908352277E-2</v>
      </c>
      <c r="AU86" s="1055">
        <f t="shared" si="70"/>
        <v>-9.2190006586570838E-2</v>
      </c>
      <c r="AV86" s="2308">
        <f t="shared" si="70"/>
        <v>0.18253493827495948</v>
      </c>
      <c r="AW86" s="1055">
        <f t="shared" si="70"/>
        <v>6.1346098611776201E-2</v>
      </c>
      <c r="AX86" s="2309">
        <f t="shared" si="70"/>
        <v>0</v>
      </c>
      <c r="AY86" s="1055">
        <f t="shared" si="70"/>
        <v>1.0000000000000009E-2</v>
      </c>
      <c r="AZ86" s="1055">
        <f t="shared" si="70"/>
        <v>2.0100000000000007E-2</v>
      </c>
      <c r="BA86" s="1055">
        <f t="shared" si="70"/>
        <v>2.0100000000000007E-2</v>
      </c>
      <c r="BB86" s="1056">
        <f t="shared" si="70"/>
        <v>2.0100000000000229E-2</v>
      </c>
      <c r="BC86" s="1055">
        <f t="shared" si="70"/>
        <v>2.0100000000000229E-2</v>
      </c>
      <c r="BD86" s="1055">
        <f t="shared" si="70"/>
        <v>2.0100000000000007E-2</v>
      </c>
      <c r="BE86" s="1055">
        <f t="shared" si="70"/>
        <v>2.0100000000000007E-2</v>
      </c>
      <c r="BF86" s="1055">
        <f t="shared" si="70"/>
        <v>2.0100000000000007E-2</v>
      </c>
      <c r="BG86" s="1056">
        <f t="shared" si="70"/>
        <v>2.0100000000000229E-2</v>
      </c>
      <c r="BH86" s="1048"/>
      <c r="BI86" s="2304" t="str">
        <f t="shared" si="65"/>
        <v>Rev</v>
      </c>
      <c r="BJ86" s="2305" t="str">
        <f t="shared" si="65"/>
        <v>Water</v>
      </c>
      <c r="BK86" s="2306" t="str">
        <f t="shared" si="65"/>
        <v>Fixed</v>
      </c>
      <c r="BL86" s="2307">
        <f t="shared" ref="BL86:BZ86" si="71">IF(OR(X86="",X86=0),"-",IFERROR((X86/W86-1)*(W86/W$13),"-"))</f>
        <v>1.3103340614022363E-4</v>
      </c>
      <c r="BM86" s="1055">
        <f t="shared" si="71"/>
        <v>2.0309184908143621E-4</v>
      </c>
      <c r="BN86" s="1055">
        <f t="shared" si="71"/>
        <v>-3.935072557992066E-4</v>
      </c>
      <c r="BO86" s="2308">
        <f t="shared" si="71"/>
        <v>6.9901612048773915E-4</v>
      </c>
      <c r="BP86" s="1055">
        <f t="shared" si="71"/>
        <v>2.741585811101738E-4</v>
      </c>
      <c r="BQ86" s="2309">
        <f t="shared" si="71"/>
        <v>0</v>
      </c>
      <c r="BR86" s="1055">
        <f t="shared" si="71"/>
        <v>4.3804871295659065E-5</v>
      </c>
      <c r="BS86" s="1055">
        <f t="shared" si="71"/>
        <v>8.6322206446638177E-5</v>
      </c>
      <c r="BT86" s="1055">
        <f t="shared" si="71"/>
        <v>8.5442095328159469E-5</v>
      </c>
      <c r="BU86" s="1056">
        <f t="shared" si="71"/>
        <v>8.4569463675581027E-5</v>
      </c>
      <c r="BV86" s="1055">
        <f t="shared" si="71"/>
        <v>8.3858502698531303E-5</v>
      </c>
      <c r="BW86" s="1055">
        <f t="shared" si="71"/>
        <v>8.3150745634699886E-5</v>
      </c>
      <c r="BX86" s="1055">
        <f t="shared" si="71"/>
        <v>8.2446240118213808E-5</v>
      </c>
      <c r="BY86" s="1055">
        <f t="shared" si="71"/>
        <v>8.1745032091077704E-5</v>
      </c>
      <c r="BZ86" s="1056">
        <f t="shared" si="71"/>
        <v>8.1047165828713742E-5</v>
      </c>
      <c r="CA86" s="1048"/>
    </row>
    <row r="87" spans="3:79" x14ac:dyDescent="0.3">
      <c r="C87" s="126"/>
      <c r="D87" s="126">
        <f>D84+1</f>
        <v>7</v>
      </c>
      <c r="E87" s="553" t="s">
        <v>45</v>
      </c>
      <c r="F87" s="2105" t="s">
        <v>22</v>
      </c>
      <c r="G87" s="2105" t="s">
        <v>1187</v>
      </c>
      <c r="H87" s="2105" t="s">
        <v>1195</v>
      </c>
      <c r="I87" s="573" t="s">
        <v>320</v>
      </c>
      <c r="J87" s="573" t="s">
        <v>348</v>
      </c>
      <c r="K87" s="1969"/>
      <c r="L87" s="1970"/>
      <c r="M87" s="1970"/>
      <c r="N87" s="1971"/>
      <c r="O87" s="1970"/>
      <c r="P87" s="1970"/>
      <c r="Q87" s="1970"/>
      <c r="R87" s="1972"/>
      <c r="S87" s="1971"/>
      <c r="T87" s="1970"/>
      <c r="U87" s="1970"/>
      <c r="V87" s="1970"/>
      <c r="W87" s="1709">
        <v>378.19</v>
      </c>
      <c r="X87" s="1710">
        <v>198.83</v>
      </c>
      <c r="Y87" s="1709">
        <v>196.24</v>
      </c>
      <c r="Z87" s="1709">
        <v>195.32</v>
      </c>
      <c r="AA87" s="1709">
        <v>182.36</v>
      </c>
      <c r="AB87" s="1711">
        <v>183.9</v>
      </c>
      <c r="AC87" s="1709">
        <v>183.9</v>
      </c>
      <c r="AD87" s="1709">
        <v>185.739</v>
      </c>
      <c r="AE87" s="1709">
        <v>187.59639000000001</v>
      </c>
      <c r="AF87" s="1709">
        <v>189.4723539</v>
      </c>
      <c r="AG87" s="1712">
        <v>191.36707743900001</v>
      </c>
      <c r="AH87" s="1709">
        <v>193.28074821339001</v>
      </c>
      <c r="AI87" s="1709">
        <v>195.21355569552392</v>
      </c>
      <c r="AJ87" s="1709">
        <v>197.16569125247915</v>
      </c>
      <c r="AK87" s="1709">
        <v>199.13734816500394</v>
      </c>
      <c r="AL87" s="1712">
        <v>201.12872164665399</v>
      </c>
      <c r="AM87" s="560"/>
      <c r="AN87" s="1052"/>
      <c r="AO87" s="992"/>
      <c r="AP87" s="2297" t="str">
        <f t="shared" si="36"/>
        <v>Price</v>
      </c>
      <c r="AQ87" s="2298" t="str">
        <f t="shared" si="36"/>
        <v>Sewerage</v>
      </c>
      <c r="AR87" s="1719" t="str">
        <f t="shared" si="37"/>
        <v>Fixed</v>
      </c>
      <c r="AS87" s="2299">
        <f t="shared" si="70"/>
        <v>-0.47425897035881437</v>
      </c>
      <c r="AT87" s="1728">
        <f t="shared" si="70"/>
        <v>-1.3026203289242089E-2</v>
      </c>
      <c r="AU87" s="1728">
        <f t="shared" si="70"/>
        <v>-4.6881369751325952E-3</v>
      </c>
      <c r="AV87" s="2300">
        <f t="shared" si="70"/>
        <v>-6.6352652058160877E-2</v>
      </c>
      <c r="AW87" s="1728">
        <f t="shared" si="70"/>
        <v>8.4448343935072945E-3</v>
      </c>
      <c r="AX87" s="2301">
        <f t="shared" si="70"/>
        <v>0</v>
      </c>
      <c r="AY87" s="1728">
        <f t="shared" si="70"/>
        <v>1.0000000000000009E-2</v>
      </c>
      <c r="AZ87" s="1728">
        <f t="shared" si="70"/>
        <v>1.0000000000000009E-2</v>
      </c>
      <c r="BA87" s="1728">
        <f t="shared" si="70"/>
        <v>1.0000000000000009E-2</v>
      </c>
      <c r="BB87" s="1729">
        <f t="shared" si="70"/>
        <v>1.0000000000000009E-2</v>
      </c>
      <c r="BC87" s="1728">
        <f t="shared" si="70"/>
        <v>1.0000000000000009E-2</v>
      </c>
      <c r="BD87" s="1728">
        <f t="shared" si="70"/>
        <v>1.0000000000000009E-2</v>
      </c>
      <c r="BE87" s="1728">
        <f t="shared" si="70"/>
        <v>1.0000000000000009E-2</v>
      </c>
      <c r="BF87" s="1728">
        <f t="shared" si="70"/>
        <v>1.0000000000000009E-2</v>
      </c>
      <c r="BG87" s="1729">
        <f t="shared" si="70"/>
        <v>1.0000000000000009E-2</v>
      </c>
      <c r="BH87" s="1048"/>
      <c r="BI87" s="2297" t="str">
        <f t="shared" si="65"/>
        <v>Price</v>
      </c>
      <c r="BJ87" s="2298" t="str">
        <f t="shared" si="65"/>
        <v>Sewerage</v>
      </c>
      <c r="BK87" s="1719" t="str">
        <f t="shared" si="65"/>
        <v>Fixed</v>
      </c>
      <c r="BL87" s="2299">
        <f t="shared" ref="BL87:BZ87" si="72">IF(OR(X87="",X87=0),"-",IFERROR((X87/W87-1)*(W89/W$13),"-"))</f>
        <v>-5.9784377268823959E-3</v>
      </c>
      <c r="BM87" s="1053">
        <f t="shared" si="72"/>
        <v>-8.6575713379369944E-5</v>
      </c>
      <c r="BN87" s="1053">
        <f t="shared" si="72"/>
        <v>-3.2928313451283742E-5</v>
      </c>
      <c r="BO87" s="2302">
        <f t="shared" si="72"/>
        <v>-4.3745234831048696E-4</v>
      </c>
      <c r="BP87" s="1053">
        <f t="shared" si="72"/>
        <v>5.5605713017142582E-5</v>
      </c>
      <c r="BQ87" s="2303">
        <f t="shared" si="72"/>
        <v>0</v>
      </c>
      <c r="BR87" s="1053">
        <f t="shared" si="72"/>
        <v>6.1937301731938615E-5</v>
      </c>
      <c r="BS87" s="1053">
        <f t="shared" si="72"/>
        <v>6.0723437438373909E-5</v>
      </c>
      <c r="BT87" s="1053">
        <f t="shared" si="72"/>
        <v>6.0104322443036124E-5</v>
      </c>
      <c r="BU87" s="1054">
        <f t="shared" si="72"/>
        <v>5.9490468885030684E-5</v>
      </c>
      <c r="BV87" s="1053">
        <f t="shared" si="72"/>
        <v>5.8990342716016545E-5</v>
      </c>
      <c r="BW87" s="1053">
        <f t="shared" si="72"/>
        <v>5.8492470342774488E-5</v>
      </c>
      <c r="BX87" s="1053">
        <f t="shared" si="72"/>
        <v>5.7996885273574755E-5</v>
      </c>
      <c r="BY87" s="1053">
        <f t="shared" si="72"/>
        <v>5.750361982636441E-5</v>
      </c>
      <c r="BZ87" s="1054">
        <f t="shared" si="72"/>
        <v>5.7012705146730248E-5</v>
      </c>
      <c r="CA87" s="1048"/>
    </row>
    <row r="88" spans="3:79" x14ac:dyDescent="0.3">
      <c r="C88" s="126"/>
      <c r="D88" s="126"/>
      <c r="E88" s="558" t="s">
        <v>46</v>
      </c>
      <c r="F88" s="2161" t="str">
        <f t="shared" ref="F88:I103" si="73">+F87</f>
        <v>Sewerage</v>
      </c>
      <c r="G88" s="2163" t="str">
        <f t="shared" si="73"/>
        <v>Res + Non-Res</v>
      </c>
      <c r="H88" s="2163" t="str">
        <f t="shared" si="73"/>
        <v>Service Charge - vacant</v>
      </c>
      <c r="I88" s="2164" t="str">
        <f t="shared" si="73"/>
        <v>Fixed</v>
      </c>
      <c r="J88" s="574" t="s">
        <v>324</v>
      </c>
      <c r="K88" s="1973"/>
      <c r="L88" s="1974"/>
      <c r="M88" s="1974"/>
      <c r="N88" s="1975"/>
      <c r="O88" s="1974"/>
      <c r="P88" s="1974"/>
      <c r="Q88" s="1974"/>
      <c r="R88" s="1976"/>
      <c r="S88" s="1975"/>
      <c r="T88" s="1974"/>
      <c r="U88" s="1974"/>
      <c r="V88" s="1974"/>
      <c r="W88" s="1713">
        <v>3071</v>
      </c>
      <c r="X88" s="1714">
        <v>3159</v>
      </c>
      <c r="Y88" s="1713">
        <v>3345</v>
      </c>
      <c r="Z88" s="1713">
        <v>3192</v>
      </c>
      <c r="AA88" s="1713">
        <v>3460</v>
      </c>
      <c r="AB88" s="1715">
        <v>3494.6</v>
      </c>
      <c r="AC88" s="1713">
        <v>3494.6</v>
      </c>
      <c r="AD88" s="1713">
        <v>3494.6</v>
      </c>
      <c r="AE88" s="1713">
        <v>3529.5459999999998</v>
      </c>
      <c r="AF88" s="1713">
        <v>3564.8414599999996</v>
      </c>
      <c r="AG88" s="1716">
        <v>3600.4898745999999</v>
      </c>
      <c r="AH88" s="1713">
        <v>3636.4947733459999</v>
      </c>
      <c r="AI88" s="1713">
        <v>3672.8597210794601</v>
      </c>
      <c r="AJ88" s="1713">
        <v>3709.5883182902548</v>
      </c>
      <c r="AK88" s="1713">
        <v>3746.6842014731574</v>
      </c>
      <c r="AL88" s="1716">
        <v>3784.1510434878892</v>
      </c>
      <c r="AM88" s="560"/>
      <c r="AN88" s="991"/>
      <c r="AO88" s="992"/>
      <c r="AP88" s="2285" t="str">
        <f t="shared" si="36"/>
        <v>Qty</v>
      </c>
      <c r="AQ88" s="2286" t="str">
        <f t="shared" si="36"/>
        <v>Sewerage</v>
      </c>
      <c r="AR88" s="2287" t="str">
        <f t="shared" si="37"/>
        <v>Fixed</v>
      </c>
      <c r="AS88" s="2288">
        <f t="shared" si="70"/>
        <v>2.8655161185281663E-2</v>
      </c>
      <c r="AT88" s="1720">
        <f t="shared" si="70"/>
        <v>5.8879392212725534E-2</v>
      </c>
      <c r="AU88" s="1720">
        <f t="shared" si="70"/>
        <v>-4.5739910313901344E-2</v>
      </c>
      <c r="AV88" s="2289">
        <f t="shared" si="70"/>
        <v>8.3959899749373346E-2</v>
      </c>
      <c r="AW88" s="1720">
        <f t="shared" si="70"/>
        <v>1.0000000000000009E-2</v>
      </c>
      <c r="AX88" s="2290">
        <f t="shared" si="70"/>
        <v>0</v>
      </c>
      <c r="AY88" s="1720">
        <f t="shared" si="70"/>
        <v>0</v>
      </c>
      <c r="AZ88" s="1720">
        <f t="shared" si="70"/>
        <v>1.0000000000000009E-2</v>
      </c>
      <c r="BA88" s="1720">
        <f t="shared" si="70"/>
        <v>1.0000000000000009E-2</v>
      </c>
      <c r="BB88" s="1721">
        <f t="shared" si="70"/>
        <v>1.0000000000000009E-2</v>
      </c>
      <c r="BC88" s="1720">
        <f t="shared" si="70"/>
        <v>1.0000000000000009E-2</v>
      </c>
      <c r="BD88" s="1720">
        <f t="shared" si="70"/>
        <v>1.0000000000000009E-2</v>
      </c>
      <c r="BE88" s="1720">
        <f t="shared" si="70"/>
        <v>1.0000000000000009E-2</v>
      </c>
      <c r="BF88" s="1720">
        <f t="shared" si="70"/>
        <v>1.0000000000000009E-2</v>
      </c>
      <c r="BG88" s="1721">
        <f t="shared" si="70"/>
        <v>1.0000000000000009E-2</v>
      </c>
      <c r="BH88" s="1048"/>
      <c r="BI88" s="2285" t="str">
        <f t="shared" si="65"/>
        <v>Qty</v>
      </c>
      <c r="BJ88" s="2286" t="str">
        <f t="shared" si="65"/>
        <v>Sewerage</v>
      </c>
      <c r="BK88" s="2287" t="str">
        <f t="shared" si="65"/>
        <v>Fixed</v>
      </c>
      <c r="BL88" s="2288">
        <f t="shared" ref="BL88:BZ88" si="74">IF(OR(X88="",X88=0),"-",IFERROR((X88/W88-1)*(W89/W$13),"-"))</f>
        <v>3.6122268087068987E-4</v>
      </c>
      <c r="BM88" s="1720">
        <f t="shared" si="74"/>
        <v>3.9132856066896409E-4</v>
      </c>
      <c r="BN88" s="1720">
        <f t="shared" si="74"/>
        <v>-3.2126580602034378E-4</v>
      </c>
      <c r="BO88" s="2289">
        <f t="shared" si="74"/>
        <v>5.5353409652838604E-4</v>
      </c>
      <c r="BP88" s="1720">
        <f t="shared" si="74"/>
        <v>6.5845830037702556E-5</v>
      </c>
      <c r="BQ88" s="2290">
        <f t="shared" si="74"/>
        <v>0</v>
      </c>
      <c r="BR88" s="1720">
        <f t="shared" si="74"/>
        <v>0</v>
      </c>
      <c r="BS88" s="1720">
        <f t="shared" si="74"/>
        <v>6.0723437438373909E-5</v>
      </c>
      <c r="BT88" s="1720">
        <f t="shared" si="74"/>
        <v>6.0104322443036124E-5</v>
      </c>
      <c r="BU88" s="1721">
        <f t="shared" si="74"/>
        <v>5.9490468885030684E-5</v>
      </c>
      <c r="BV88" s="1720">
        <f t="shared" si="74"/>
        <v>5.8990342716016545E-5</v>
      </c>
      <c r="BW88" s="1720">
        <f t="shared" si="74"/>
        <v>5.8492470342774488E-5</v>
      </c>
      <c r="BX88" s="1720">
        <f t="shared" si="74"/>
        <v>5.7996885273574755E-5</v>
      </c>
      <c r="BY88" s="1720">
        <f t="shared" si="74"/>
        <v>5.750361982636441E-5</v>
      </c>
      <c r="BZ88" s="1721">
        <f t="shared" si="74"/>
        <v>5.7012705146730248E-5</v>
      </c>
      <c r="CA88" s="1048"/>
    </row>
    <row r="89" spans="3:79" ht="12.5" thickBot="1" x14ac:dyDescent="0.35">
      <c r="C89" s="126"/>
      <c r="D89" s="126"/>
      <c r="E89" s="559" t="s">
        <v>47</v>
      </c>
      <c r="F89" s="2162" t="str">
        <f t="shared" ref="F89:I89" si="75">+F87</f>
        <v>Sewerage</v>
      </c>
      <c r="G89" s="2165" t="str">
        <f t="shared" si="75"/>
        <v>Res + Non-Res</v>
      </c>
      <c r="H89" s="2165" t="str">
        <f t="shared" si="75"/>
        <v>Service Charge - vacant</v>
      </c>
      <c r="I89" s="2166" t="str">
        <f t="shared" si="75"/>
        <v>Fixed</v>
      </c>
      <c r="J89" s="2106" t="s">
        <v>347</v>
      </c>
      <c r="K89" s="1977"/>
      <c r="L89" s="1206"/>
      <c r="M89" s="1206"/>
      <c r="N89" s="1978"/>
      <c r="O89" s="1206"/>
      <c r="P89" s="1206"/>
      <c r="Q89" s="1206"/>
      <c r="R89" s="1206"/>
      <c r="S89" s="1978"/>
      <c r="T89" s="1206"/>
      <c r="U89" s="1206"/>
      <c r="V89" s="1206"/>
      <c r="W89" s="1731">
        <f t="shared" ref="W89:AG89" si="76">W87*W88/10^6</f>
        <v>1.1614214899999999</v>
      </c>
      <c r="X89" s="1730">
        <f t="shared" si="76"/>
        <v>0.62810397000000007</v>
      </c>
      <c r="Y89" s="1731">
        <f t="shared" si="76"/>
        <v>0.65642280000000008</v>
      </c>
      <c r="Z89" s="1731">
        <f t="shared" si="76"/>
        <v>0.62346143999999992</v>
      </c>
      <c r="AA89" s="1731">
        <f t="shared" si="76"/>
        <v>0.63096560000000013</v>
      </c>
      <c r="AB89" s="1733">
        <f t="shared" si="76"/>
        <v>0.64265694000000007</v>
      </c>
      <c r="AC89" s="1731">
        <f t="shared" si="76"/>
        <v>0.64265694000000007</v>
      </c>
      <c r="AD89" s="1731">
        <f t="shared" si="76"/>
        <v>0.64908350940000004</v>
      </c>
      <c r="AE89" s="1731">
        <f t="shared" si="76"/>
        <v>0.66213008793894002</v>
      </c>
      <c r="AF89" s="1731">
        <f t="shared" si="76"/>
        <v>0.67543890270651263</v>
      </c>
      <c r="AG89" s="1733">
        <f t="shared" si="76"/>
        <v>0.68901522465091358</v>
      </c>
      <c r="AH89" s="1731">
        <f>AH87*AH88/10^6</f>
        <v>0.70286443066639692</v>
      </c>
      <c r="AI89" s="1731">
        <f>AI87*AI88/10^6</f>
        <v>0.71699200572279165</v>
      </c>
      <c r="AJ89" s="1731">
        <f>AJ87*AJ88/10^6</f>
        <v>0.73140354503781979</v>
      </c>
      <c r="AK89" s="1731">
        <f>AK87*AK88/10^6</f>
        <v>0.74610475629307993</v>
      </c>
      <c r="AL89" s="1733">
        <f>AL87*AL88/10^6</f>
        <v>0.76110146189457084</v>
      </c>
      <c r="AM89" s="560"/>
      <c r="AN89" s="991"/>
      <c r="AO89" s="992"/>
      <c r="AP89" s="2304" t="str">
        <f t="shared" si="36"/>
        <v>Rev</v>
      </c>
      <c r="AQ89" s="2305" t="str">
        <f t="shared" si="36"/>
        <v>Sewerage</v>
      </c>
      <c r="AR89" s="2306" t="str">
        <f t="shared" si="37"/>
        <v>Fixed</v>
      </c>
      <c r="AS89" s="2307">
        <f t="shared" si="70"/>
        <v>-0.45919377641273018</v>
      </c>
      <c r="AT89" s="1055">
        <f t="shared" si="70"/>
        <v>4.5086213990973567E-2</v>
      </c>
      <c r="AU89" s="1055">
        <f t="shared" si="70"/>
        <v>-5.0213612324252255E-2</v>
      </c>
      <c r="AV89" s="2308">
        <f t="shared" si="70"/>
        <v>1.2036285676304548E-2</v>
      </c>
      <c r="AW89" s="1055">
        <f t="shared" si="70"/>
        <v>1.8529282737442365E-2</v>
      </c>
      <c r="AX89" s="2309">
        <f t="shared" si="70"/>
        <v>0</v>
      </c>
      <c r="AY89" s="1055">
        <f t="shared" si="70"/>
        <v>1.0000000000000009E-2</v>
      </c>
      <c r="AZ89" s="1055">
        <f t="shared" si="70"/>
        <v>2.0100000000000007E-2</v>
      </c>
      <c r="BA89" s="1055">
        <f t="shared" si="70"/>
        <v>2.0099999999999785E-2</v>
      </c>
      <c r="BB89" s="1056">
        <f t="shared" si="70"/>
        <v>2.0100000000000007E-2</v>
      </c>
      <c r="BC89" s="1055">
        <f t="shared" si="70"/>
        <v>2.0100000000000007E-2</v>
      </c>
      <c r="BD89" s="1055">
        <f t="shared" si="70"/>
        <v>2.0100000000000229E-2</v>
      </c>
      <c r="BE89" s="1055">
        <f t="shared" si="70"/>
        <v>2.0100000000000007E-2</v>
      </c>
      <c r="BF89" s="1055">
        <f t="shared" si="70"/>
        <v>2.0100000000000007E-2</v>
      </c>
      <c r="BG89" s="1056">
        <f t="shared" si="70"/>
        <v>2.0100000000000007E-2</v>
      </c>
      <c r="BH89" s="1048"/>
      <c r="BI89" s="2304" t="str">
        <f t="shared" si="65"/>
        <v>Rev</v>
      </c>
      <c r="BJ89" s="2305" t="str">
        <f t="shared" si="65"/>
        <v>Sewerage</v>
      </c>
      <c r="BK89" s="2306" t="str">
        <f t="shared" si="65"/>
        <v>Fixed</v>
      </c>
      <c r="BL89" s="2307">
        <f t="shared" ref="BL89:BZ89" si="77">IF(OR(X89="",X89=0),"-",IFERROR((X89/W89-1)*(W89/W$13),"-"))</f>
        <v>-5.7885281427116891E-3</v>
      </c>
      <c r="BM89" s="1055">
        <f t="shared" si="77"/>
        <v>2.996553219054344E-4</v>
      </c>
      <c r="BN89" s="1055">
        <f t="shared" si="77"/>
        <v>-3.5268798136757896E-4</v>
      </c>
      <c r="BO89" s="2308">
        <f t="shared" si="77"/>
        <v>7.9353292908624734E-5</v>
      </c>
      <c r="BP89" s="1055">
        <f t="shared" si="77"/>
        <v>1.220076001850165E-4</v>
      </c>
      <c r="BQ89" s="2309">
        <f t="shared" si="77"/>
        <v>0</v>
      </c>
      <c r="BR89" s="1055">
        <f t="shared" si="77"/>
        <v>6.1937301731938615E-5</v>
      </c>
      <c r="BS89" s="1055">
        <f t="shared" si="77"/>
        <v>1.2205410925113149E-4</v>
      </c>
      <c r="BT89" s="1055">
        <f t="shared" si="77"/>
        <v>1.2080968811050121E-4</v>
      </c>
      <c r="BU89" s="1056">
        <f t="shared" si="77"/>
        <v>1.1957584245891161E-4</v>
      </c>
      <c r="BV89" s="1055">
        <f t="shared" si="77"/>
        <v>1.1857058885919319E-4</v>
      </c>
      <c r="BW89" s="1055">
        <f t="shared" si="77"/>
        <v>1.1756986538897796E-4</v>
      </c>
      <c r="BX89" s="1055">
        <f t="shared" si="77"/>
        <v>1.1657373939988519E-4</v>
      </c>
      <c r="BY89" s="1055">
        <f t="shared" si="77"/>
        <v>1.1558227585099239E-4</v>
      </c>
      <c r="BZ89" s="1056">
        <f t="shared" si="77"/>
        <v>1.1459553734492775E-4</v>
      </c>
      <c r="CA89" s="1048"/>
    </row>
    <row r="90" spans="3:79" x14ac:dyDescent="0.3">
      <c r="C90" s="126"/>
      <c r="D90" s="126">
        <f>D87+1</f>
        <v>8</v>
      </c>
      <c r="E90" s="553" t="s">
        <v>45</v>
      </c>
      <c r="F90" s="2105" t="s">
        <v>22</v>
      </c>
      <c r="G90" s="2105" t="s">
        <v>1188</v>
      </c>
      <c r="H90" s="2105" t="s">
        <v>1194</v>
      </c>
      <c r="I90" s="573" t="s">
        <v>321</v>
      </c>
      <c r="J90" s="573" t="s">
        <v>348</v>
      </c>
      <c r="K90" s="1969"/>
      <c r="L90" s="1970"/>
      <c r="M90" s="1970"/>
      <c r="N90" s="1971"/>
      <c r="O90" s="1970"/>
      <c r="P90" s="1970"/>
      <c r="Q90" s="1970"/>
      <c r="R90" s="1972"/>
      <c r="S90" s="1971"/>
      <c r="T90" s="1970"/>
      <c r="U90" s="1970"/>
      <c r="V90" s="1970"/>
      <c r="W90" s="1709">
        <v>1.0884</v>
      </c>
      <c r="X90" s="1710">
        <v>1.109</v>
      </c>
      <c r="Y90" s="1709">
        <v>1.1236999999999999</v>
      </c>
      <c r="Z90" s="1709">
        <v>1.1483000000000001</v>
      </c>
      <c r="AA90" s="1709">
        <v>1.1611</v>
      </c>
      <c r="AB90" s="1711">
        <v>1.2201</v>
      </c>
      <c r="AC90" s="1709">
        <v>1.2201</v>
      </c>
      <c r="AD90" s="1709">
        <v>1.2323009999999999</v>
      </c>
      <c r="AE90" s="1709">
        <v>1.2446240099999999</v>
      </c>
      <c r="AF90" s="1709">
        <v>1.2570702501</v>
      </c>
      <c r="AG90" s="1712">
        <v>1.269640952601</v>
      </c>
      <c r="AH90" s="1709">
        <v>1.28233736212701</v>
      </c>
      <c r="AI90" s="1709">
        <v>1.2951607357482802</v>
      </c>
      <c r="AJ90" s="1709">
        <v>1.3081123431057631</v>
      </c>
      <c r="AK90" s="1709">
        <v>1.3211934665368208</v>
      </c>
      <c r="AL90" s="1712">
        <v>1.3344054012021891</v>
      </c>
      <c r="AM90" s="560"/>
      <c r="AN90" s="1052"/>
      <c r="AO90" s="992"/>
      <c r="AP90" s="2297" t="str">
        <f t="shared" si="36"/>
        <v>Price</v>
      </c>
      <c r="AQ90" s="2298" t="str">
        <f t="shared" si="36"/>
        <v>Sewerage</v>
      </c>
      <c r="AR90" s="1719" t="str">
        <f t="shared" si="37"/>
        <v>Variable</v>
      </c>
      <c r="AS90" s="2299">
        <f t="shared" si="70"/>
        <v>1.8926865123116476E-2</v>
      </c>
      <c r="AT90" s="1728">
        <f t="shared" si="70"/>
        <v>1.3255184851217239E-2</v>
      </c>
      <c r="AU90" s="1728">
        <f t="shared" si="70"/>
        <v>2.1891964047343837E-2</v>
      </c>
      <c r="AV90" s="2300">
        <f t="shared" si="70"/>
        <v>1.1146912827658229E-2</v>
      </c>
      <c r="AW90" s="1728">
        <f t="shared" si="70"/>
        <v>5.081388338644377E-2</v>
      </c>
      <c r="AX90" s="2301">
        <f t="shared" si="70"/>
        <v>0</v>
      </c>
      <c r="AY90" s="1728">
        <f t="shared" si="70"/>
        <v>1.0000000000000009E-2</v>
      </c>
      <c r="AZ90" s="1728">
        <f t="shared" si="70"/>
        <v>1.0000000000000009E-2</v>
      </c>
      <c r="BA90" s="1728">
        <f t="shared" si="70"/>
        <v>1.0000000000000009E-2</v>
      </c>
      <c r="BB90" s="1729">
        <f t="shared" si="70"/>
        <v>1.0000000000000009E-2</v>
      </c>
      <c r="BC90" s="1728">
        <f t="shared" si="70"/>
        <v>1.0000000000000009E-2</v>
      </c>
      <c r="BD90" s="1728">
        <f t="shared" si="70"/>
        <v>1.0000000000000009E-2</v>
      </c>
      <c r="BE90" s="1728">
        <f t="shared" si="70"/>
        <v>1.0000000000000009E-2</v>
      </c>
      <c r="BF90" s="1728">
        <f t="shared" si="70"/>
        <v>1.0000000000000009E-2</v>
      </c>
      <c r="BG90" s="1729">
        <f t="shared" si="70"/>
        <v>1.0000000000000009E-2</v>
      </c>
      <c r="BH90" s="1048"/>
      <c r="BI90" s="2297" t="str">
        <f t="shared" si="65"/>
        <v>Price</v>
      </c>
      <c r="BJ90" s="2298" t="str">
        <f t="shared" si="65"/>
        <v>Sewerage</v>
      </c>
      <c r="BK90" s="1719" t="str">
        <f t="shared" si="65"/>
        <v>Variable</v>
      </c>
      <c r="BL90" s="2299">
        <f t="shared" ref="BL90:BZ90" si="78">IF(OR(X90="",X90=0),"-",IFERROR((X90/W90-1)*(W92/W$13),"-"))</f>
        <v>1.8375533925025364E-4</v>
      </c>
      <c r="BM90" s="1053">
        <f t="shared" si="78"/>
        <v>1.325787060123894E-4</v>
      </c>
      <c r="BN90" s="1053">
        <f t="shared" si="78"/>
        <v>2.1142567108246109E-4</v>
      </c>
      <c r="BO90" s="2302">
        <f t="shared" si="78"/>
        <v>9.8401060735933828E-5</v>
      </c>
      <c r="BP90" s="1053">
        <f t="shared" si="78"/>
        <v>5.5326980645943168E-4</v>
      </c>
      <c r="BQ90" s="2303">
        <f t="shared" si="78"/>
        <v>0</v>
      </c>
      <c r="BR90" s="1053">
        <f t="shared" si="78"/>
        <v>1.067215796505116E-4</v>
      </c>
      <c r="BS90" s="1053">
        <f t="shared" si="78"/>
        <v>1.0463002074710239E-4</v>
      </c>
      <c r="BT90" s="1053">
        <f t="shared" si="78"/>
        <v>1.0356324953750519E-4</v>
      </c>
      <c r="BU90" s="1054">
        <f t="shared" si="78"/>
        <v>1.025055440909884E-4</v>
      </c>
      <c r="BV90" s="1053">
        <f t="shared" si="78"/>
        <v>1.0164379756201062E-4</v>
      </c>
      <c r="BW90" s="1053">
        <f t="shared" si="78"/>
        <v>1.0078593445446515E-4</v>
      </c>
      <c r="BX90" s="1053">
        <f t="shared" si="78"/>
        <v>9.9932012505053977E-5</v>
      </c>
      <c r="BY90" s="1053">
        <f t="shared" si="78"/>
        <v>9.9082087399482939E-5</v>
      </c>
      <c r="BZ90" s="1054">
        <f t="shared" si="78"/>
        <v>9.8236212803412762E-5</v>
      </c>
      <c r="CA90" s="1048"/>
    </row>
    <row r="91" spans="3:79" x14ac:dyDescent="0.3">
      <c r="C91" s="126"/>
      <c r="D91" s="126"/>
      <c r="E91" s="558" t="s">
        <v>46</v>
      </c>
      <c r="F91" s="2161" t="str">
        <f t="shared" si="73"/>
        <v>Sewerage</v>
      </c>
      <c r="G91" s="2163" t="str">
        <f t="shared" si="73"/>
        <v>Non- Residential</v>
      </c>
      <c r="H91" s="2163" t="str">
        <f t="shared" si="73"/>
        <v>Usage</v>
      </c>
      <c r="I91" s="2164" t="str">
        <f t="shared" si="73"/>
        <v>Variable</v>
      </c>
      <c r="J91" s="574" t="s">
        <v>48</v>
      </c>
      <c r="K91" s="1973"/>
      <c r="L91" s="1974"/>
      <c r="M91" s="1974"/>
      <c r="N91" s="1975"/>
      <c r="O91" s="1974"/>
      <c r="P91" s="1974"/>
      <c r="Q91" s="1974"/>
      <c r="R91" s="1976"/>
      <c r="S91" s="1975"/>
      <c r="T91" s="1974"/>
      <c r="U91" s="1974"/>
      <c r="V91" s="1974"/>
      <c r="W91" s="1713">
        <v>821846.005</v>
      </c>
      <c r="X91" s="1714">
        <v>852333.88100000005</v>
      </c>
      <c r="Y91" s="1713">
        <v>803224.73300000001</v>
      </c>
      <c r="Z91" s="1713">
        <v>726987.49800000002</v>
      </c>
      <c r="AA91" s="1713">
        <v>898591.62</v>
      </c>
      <c r="AB91" s="1715">
        <v>907577.53619999997</v>
      </c>
      <c r="AC91" s="1713">
        <v>907577.53619999997</v>
      </c>
      <c r="AD91" s="1713">
        <v>907577.53619999997</v>
      </c>
      <c r="AE91" s="1713">
        <v>916653.31156199996</v>
      </c>
      <c r="AF91" s="1713">
        <v>925819.84467761999</v>
      </c>
      <c r="AG91" s="1716">
        <v>935078.04312439624</v>
      </c>
      <c r="AH91" s="1713">
        <v>944428.82355564018</v>
      </c>
      <c r="AI91" s="1713">
        <v>953873.11179119663</v>
      </c>
      <c r="AJ91" s="1713">
        <v>963411.84290910861</v>
      </c>
      <c r="AK91" s="1713">
        <v>973045.96133819968</v>
      </c>
      <c r="AL91" s="1716">
        <v>982776.42095158168</v>
      </c>
      <c r="AM91" s="560"/>
      <c r="AN91" s="991"/>
      <c r="AO91" s="992"/>
      <c r="AP91" s="2285" t="str">
        <f t="shared" si="36"/>
        <v>Qty</v>
      </c>
      <c r="AQ91" s="2286" t="str">
        <f t="shared" si="36"/>
        <v>Sewerage</v>
      </c>
      <c r="AR91" s="2287" t="str">
        <f t="shared" si="37"/>
        <v>Variable</v>
      </c>
      <c r="AS91" s="2288">
        <f t="shared" si="70"/>
        <v>3.7096823266787204E-2</v>
      </c>
      <c r="AT91" s="1720">
        <f t="shared" si="70"/>
        <v>-5.7617266067591655E-2</v>
      </c>
      <c r="AU91" s="1720">
        <f t="shared" si="70"/>
        <v>-9.4913953552274388E-2</v>
      </c>
      <c r="AV91" s="2289">
        <f t="shared" si="70"/>
        <v>0.23604824356965759</v>
      </c>
      <c r="AW91" s="1720">
        <f t="shared" si="70"/>
        <v>1.0000000000000009E-2</v>
      </c>
      <c r="AX91" s="2290">
        <f t="shared" si="70"/>
        <v>0</v>
      </c>
      <c r="AY91" s="1720">
        <f t="shared" si="70"/>
        <v>0</v>
      </c>
      <c r="AZ91" s="1720">
        <f t="shared" si="70"/>
        <v>1.0000000000000009E-2</v>
      </c>
      <c r="BA91" s="1720">
        <f t="shared" si="70"/>
        <v>1.0000000000000009E-2</v>
      </c>
      <c r="BB91" s="1721">
        <f t="shared" si="70"/>
        <v>1.0000000000000009E-2</v>
      </c>
      <c r="BC91" s="1720">
        <f t="shared" si="70"/>
        <v>1.0000000000000009E-2</v>
      </c>
      <c r="BD91" s="1720">
        <f t="shared" si="70"/>
        <v>1.0000000000000009E-2</v>
      </c>
      <c r="BE91" s="1720">
        <f t="shared" si="70"/>
        <v>1.0000000000000009E-2</v>
      </c>
      <c r="BF91" s="1720">
        <f t="shared" si="70"/>
        <v>1.0000000000000009E-2</v>
      </c>
      <c r="BG91" s="1721">
        <f t="shared" si="70"/>
        <v>1.0000000000000009E-2</v>
      </c>
      <c r="BH91" s="1048"/>
      <c r="BI91" s="2285" t="str">
        <f t="shared" si="65"/>
        <v>Qty</v>
      </c>
      <c r="BJ91" s="2286" t="str">
        <f t="shared" si="65"/>
        <v>Sewerage</v>
      </c>
      <c r="BK91" s="2287" t="str">
        <f t="shared" si="65"/>
        <v>Variable</v>
      </c>
      <c r="BL91" s="2288">
        <f t="shared" ref="BL91:BZ91" si="79">IF(OR(X91="",X91=0),"-",IFERROR((X91/W91-1)*(W92/W$13),"-"))</f>
        <v>3.6016209235672668E-4</v>
      </c>
      <c r="BM91" s="1720">
        <f t="shared" si="79"/>
        <v>-5.7628940410524494E-4</v>
      </c>
      <c r="BN91" s="1720">
        <f t="shared" si="79"/>
        <v>-9.1664897135229509E-4</v>
      </c>
      <c r="BO91" s="2289">
        <f t="shared" si="79"/>
        <v>2.0837516100848568E-3</v>
      </c>
      <c r="BP91" s="1720">
        <f t="shared" si="79"/>
        <v>1.0888162242034716E-4</v>
      </c>
      <c r="BQ91" s="2290">
        <f t="shared" si="79"/>
        <v>0</v>
      </c>
      <c r="BR91" s="1720">
        <f t="shared" si="79"/>
        <v>0</v>
      </c>
      <c r="BS91" s="1720">
        <f t="shared" si="79"/>
        <v>1.0463002074710239E-4</v>
      </c>
      <c r="BT91" s="1720">
        <f t="shared" si="79"/>
        <v>1.0356324953750519E-4</v>
      </c>
      <c r="BU91" s="1721">
        <f t="shared" si="79"/>
        <v>1.025055440909884E-4</v>
      </c>
      <c r="BV91" s="1720">
        <f t="shared" si="79"/>
        <v>1.0164379756201062E-4</v>
      </c>
      <c r="BW91" s="1720">
        <f t="shared" si="79"/>
        <v>1.0078593445446515E-4</v>
      </c>
      <c r="BX91" s="1720">
        <f t="shared" si="79"/>
        <v>9.9932012505053977E-5</v>
      </c>
      <c r="BY91" s="1720">
        <f t="shared" si="79"/>
        <v>9.9082087399482939E-5</v>
      </c>
      <c r="BZ91" s="1721">
        <f t="shared" si="79"/>
        <v>9.8236212803412762E-5</v>
      </c>
      <c r="CA91" s="1048"/>
    </row>
    <row r="92" spans="3:79" ht="12.5" thickBot="1" x14ac:dyDescent="0.35">
      <c r="C92" s="126"/>
      <c r="D92" s="126"/>
      <c r="E92" s="559" t="s">
        <v>47</v>
      </c>
      <c r="F92" s="2162" t="str">
        <f t="shared" ref="F92:I92" si="80">+F90</f>
        <v>Sewerage</v>
      </c>
      <c r="G92" s="2165" t="str">
        <f t="shared" si="80"/>
        <v>Non- Residential</v>
      </c>
      <c r="H92" s="2165" t="str">
        <f t="shared" si="80"/>
        <v>Usage</v>
      </c>
      <c r="I92" s="2166" t="str">
        <f t="shared" si="80"/>
        <v>Variable</v>
      </c>
      <c r="J92" s="2106" t="s">
        <v>347</v>
      </c>
      <c r="K92" s="1977"/>
      <c r="L92" s="1206"/>
      <c r="M92" s="1206"/>
      <c r="N92" s="1978"/>
      <c r="O92" s="1206"/>
      <c r="P92" s="1206"/>
      <c r="Q92" s="1206"/>
      <c r="R92" s="1206"/>
      <c r="S92" s="1978"/>
      <c r="T92" s="1206"/>
      <c r="U92" s="1206"/>
      <c r="V92" s="1206"/>
      <c r="W92" s="1731">
        <f t="shared" ref="W92:AG92" si="81">W90*W91/10^6</f>
        <v>0.89449719184200005</v>
      </c>
      <c r="X92" s="1730">
        <f t="shared" si="81"/>
        <v>0.94523827402900007</v>
      </c>
      <c r="Y92" s="1731">
        <f t="shared" si="81"/>
        <v>0.90258363247209994</v>
      </c>
      <c r="Z92" s="1731">
        <f t="shared" si="81"/>
        <v>0.83479974395340006</v>
      </c>
      <c r="AA92" s="1731">
        <f t="shared" si="81"/>
        <v>1.0433547299819999</v>
      </c>
      <c r="AB92" s="1733">
        <f t="shared" si="81"/>
        <v>1.1073353519176199</v>
      </c>
      <c r="AC92" s="1731">
        <f t="shared" si="81"/>
        <v>1.1073353519176199</v>
      </c>
      <c r="AD92" s="1731">
        <f t="shared" si="81"/>
        <v>1.1184087054367959</v>
      </c>
      <c r="AE92" s="1731">
        <f t="shared" si="81"/>
        <v>1.1408887204160756</v>
      </c>
      <c r="AF92" s="1731">
        <f t="shared" si="81"/>
        <v>1.163820583696439</v>
      </c>
      <c r="AG92" s="1733">
        <f t="shared" si="81"/>
        <v>1.1872133774287374</v>
      </c>
      <c r="AH92" s="1731">
        <f>AH90*AH91/10^6</f>
        <v>1.211076366315055</v>
      </c>
      <c r="AI92" s="1731">
        <f>AI90*AI91/10^6</f>
        <v>1.2354190012779875</v>
      </c>
      <c r="AJ92" s="1731">
        <f>AJ90*AJ91/10^6</f>
        <v>1.2602509232036754</v>
      </c>
      <c r="AK92" s="1731">
        <f>AK90*AK91/10^6</f>
        <v>1.2855819667600694</v>
      </c>
      <c r="AL92" s="1733">
        <f>AL90*AL91/10^6</f>
        <v>1.311422164291947</v>
      </c>
      <c r="AM92" s="560"/>
      <c r="AN92" s="991"/>
      <c r="AO92" s="992"/>
      <c r="AP92" s="2304" t="str">
        <f t="shared" si="36"/>
        <v>Rev</v>
      </c>
      <c r="AQ92" s="2305" t="str">
        <f t="shared" si="36"/>
        <v>Sewerage</v>
      </c>
      <c r="AR92" s="2306" t="str">
        <f t="shared" si="37"/>
        <v>Variable</v>
      </c>
      <c r="AS92" s="2307">
        <f t="shared" si="70"/>
        <v>5.6725814960370213E-2</v>
      </c>
      <c r="AT92" s="1055">
        <f t="shared" si="70"/>
        <v>-4.5125808728722183E-2</v>
      </c>
      <c r="AU92" s="1055">
        <f t="shared" si="70"/>
        <v>-7.5099842363688274E-2</v>
      </c>
      <c r="AV92" s="2308">
        <f t="shared" si="70"/>
        <v>0.2498263655915085</v>
      </c>
      <c r="AW92" s="1055">
        <f t="shared" si="70"/>
        <v>6.1322022220308359E-2</v>
      </c>
      <c r="AX92" s="2309">
        <f t="shared" si="70"/>
        <v>0</v>
      </c>
      <c r="AY92" s="1055">
        <f t="shared" si="70"/>
        <v>9.9999999999997868E-3</v>
      </c>
      <c r="AZ92" s="1055">
        <f t="shared" si="70"/>
        <v>2.0100000000000007E-2</v>
      </c>
      <c r="BA92" s="1055">
        <f t="shared" si="70"/>
        <v>2.0100000000000229E-2</v>
      </c>
      <c r="BB92" s="1056">
        <f t="shared" si="70"/>
        <v>2.0100000000000007E-2</v>
      </c>
      <c r="BC92" s="1055">
        <f t="shared" si="70"/>
        <v>2.0100000000000007E-2</v>
      </c>
      <c r="BD92" s="1055">
        <f t="shared" si="70"/>
        <v>2.0100000000000007E-2</v>
      </c>
      <c r="BE92" s="1055">
        <f t="shared" si="70"/>
        <v>2.0100000000000229E-2</v>
      </c>
      <c r="BF92" s="1055">
        <f t="shared" si="70"/>
        <v>2.0100000000000229E-2</v>
      </c>
      <c r="BG92" s="1056">
        <f t="shared" si="70"/>
        <v>2.0100000000000229E-2</v>
      </c>
      <c r="BH92" s="1048"/>
      <c r="BI92" s="2304" t="str">
        <f t="shared" si="65"/>
        <v>Rev</v>
      </c>
      <c r="BJ92" s="2305" t="str">
        <f t="shared" si="65"/>
        <v>Sewerage</v>
      </c>
      <c r="BK92" s="2306" t="str">
        <f t="shared" si="65"/>
        <v>Variable</v>
      </c>
      <c r="BL92" s="2307">
        <f t="shared" ref="BL92:BZ92" si="82">IF(OR(X92="",X92=0),"-",IFERROR((X92/W92-1)*(W92/W$13),"-"))</f>
        <v>5.5073417095147508E-4</v>
      </c>
      <c r="BM92" s="1055">
        <f t="shared" si="82"/>
        <v>-4.5134952067206919E-4</v>
      </c>
      <c r="BN92" s="1055">
        <f t="shared" si="82"/>
        <v>-7.2529054659471379E-4</v>
      </c>
      <c r="BO92" s="2308">
        <f t="shared" si="82"/>
        <v>2.2053800683728979E-3</v>
      </c>
      <c r="BP92" s="1055">
        <f t="shared" si="82"/>
        <v>6.676841269443747E-4</v>
      </c>
      <c r="BQ92" s="2309">
        <f t="shared" si="82"/>
        <v>0</v>
      </c>
      <c r="BR92" s="1055">
        <f t="shared" si="82"/>
        <v>1.0672157965050923E-4</v>
      </c>
      <c r="BS92" s="1055">
        <f t="shared" si="82"/>
        <v>2.1030634170167569E-4</v>
      </c>
      <c r="BT92" s="1055">
        <f t="shared" si="82"/>
        <v>2.081621315703876E-4</v>
      </c>
      <c r="BU92" s="1056">
        <f t="shared" si="82"/>
        <v>2.0603614362288658E-4</v>
      </c>
      <c r="BV92" s="1055">
        <f t="shared" si="82"/>
        <v>2.0430403309964123E-4</v>
      </c>
      <c r="BW92" s="1055">
        <f t="shared" si="82"/>
        <v>2.0257972825347484E-4</v>
      </c>
      <c r="BX92" s="1055">
        <f t="shared" si="82"/>
        <v>2.0086334513516062E-4</v>
      </c>
      <c r="BY92" s="1055">
        <f t="shared" si="82"/>
        <v>1.991549956729628E-4</v>
      </c>
      <c r="BZ92" s="1056">
        <f t="shared" si="82"/>
        <v>1.9745478773486173E-4</v>
      </c>
      <c r="CA92" s="1048"/>
    </row>
    <row r="93" spans="3:79" x14ac:dyDescent="0.3">
      <c r="C93" s="126"/>
      <c r="D93" s="126">
        <f>D90+1</f>
        <v>9</v>
      </c>
      <c r="E93" s="553" t="s">
        <v>45</v>
      </c>
      <c r="F93" s="2105" t="s">
        <v>317</v>
      </c>
      <c r="G93" s="2105" t="s">
        <v>1189</v>
      </c>
      <c r="H93" s="2105" t="s">
        <v>1196</v>
      </c>
      <c r="I93" s="573" t="s">
        <v>321</v>
      </c>
      <c r="J93" s="573" t="s">
        <v>348</v>
      </c>
      <c r="K93" s="1969"/>
      <c r="L93" s="1970"/>
      <c r="M93" s="1970"/>
      <c r="N93" s="1971"/>
      <c r="O93" s="1970"/>
      <c r="P93" s="1970"/>
      <c r="Q93" s="1970"/>
      <c r="R93" s="1972"/>
      <c r="S93" s="1971"/>
      <c r="T93" s="1970"/>
      <c r="U93" s="1970"/>
      <c r="V93" s="1970"/>
      <c r="W93" s="1709">
        <v>1.4317</v>
      </c>
      <c r="X93" s="1710">
        <v>1.4589000000000001</v>
      </c>
      <c r="Y93" s="2157">
        <v>1.4782999999999999</v>
      </c>
      <c r="Z93" s="1709">
        <v>1.5105999999999999</v>
      </c>
      <c r="AA93" s="1709">
        <v>1.5274000000000001</v>
      </c>
      <c r="AB93" s="1711">
        <v>1.6051</v>
      </c>
      <c r="AC93" s="1709">
        <v>1.6051</v>
      </c>
      <c r="AD93" s="1709">
        <v>1.621151</v>
      </c>
      <c r="AE93" s="1709">
        <v>1.63736251</v>
      </c>
      <c r="AF93" s="1709">
        <v>1.6537361350999999</v>
      </c>
      <c r="AG93" s="1712">
        <v>1.670273496451</v>
      </c>
      <c r="AH93" s="1709">
        <v>1.6869762314155099</v>
      </c>
      <c r="AI93" s="1709">
        <v>1.7038459937296651</v>
      </c>
      <c r="AJ93" s="1709">
        <v>1.7208844536669616</v>
      </c>
      <c r="AK93" s="1709">
        <v>1.7380932982036312</v>
      </c>
      <c r="AL93" s="1712">
        <v>1.7554742311856675</v>
      </c>
      <c r="AM93" s="560"/>
      <c r="AN93" s="1052"/>
      <c r="AO93" s="992"/>
      <c r="AP93" s="2297" t="str">
        <f t="shared" si="36"/>
        <v>Price</v>
      </c>
      <c r="AQ93" s="2298" t="str">
        <f t="shared" si="36"/>
        <v>Trade Waste</v>
      </c>
      <c r="AR93" s="1719" t="str">
        <f t="shared" si="37"/>
        <v>Variable</v>
      </c>
      <c r="AS93" s="2299">
        <f t="shared" si="70"/>
        <v>1.8998393518195211E-2</v>
      </c>
      <c r="AT93" s="1728">
        <f t="shared" si="70"/>
        <v>1.3297690040441346E-2</v>
      </c>
      <c r="AU93" s="1728">
        <f t="shared" si="70"/>
        <v>2.1849421632956778E-2</v>
      </c>
      <c r="AV93" s="2300">
        <f t="shared" si="70"/>
        <v>1.1121408711770364E-2</v>
      </c>
      <c r="AW93" s="1728">
        <f t="shared" si="70"/>
        <v>5.0870760769935686E-2</v>
      </c>
      <c r="AX93" s="2301">
        <f t="shared" si="70"/>
        <v>0</v>
      </c>
      <c r="AY93" s="1728">
        <f t="shared" si="70"/>
        <v>1.0000000000000009E-2</v>
      </c>
      <c r="AZ93" s="1728">
        <f t="shared" si="70"/>
        <v>1.0000000000000009E-2</v>
      </c>
      <c r="BA93" s="1728">
        <f t="shared" si="70"/>
        <v>1.0000000000000009E-2</v>
      </c>
      <c r="BB93" s="1729">
        <f t="shared" si="70"/>
        <v>1.0000000000000009E-2</v>
      </c>
      <c r="BC93" s="1728">
        <f t="shared" si="70"/>
        <v>1.0000000000000009E-2</v>
      </c>
      <c r="BD93" s="1728">
        <f t="shared" si="70"/>
        <v>1.0000000000000009E-2</v>
      </c>
      <c r="BE93" s="1728">
        <f t="shared" si="70"/>
        <v>1.0000000000000009E-2</v>
      </c>
      <c r="BF93" s="1728">
        <f t="shared" si="70"/>
        <v>1.0000000000000009E-2</v>
      </c>
      <c r="BG93" s="1729">
        <f t="shared" si="70"/>
        <v>1.0000000000000009E-2</v>
      </c>
      <c r="BH93" s="1048"/>
      <c r="BI93" s="2297" t="str">
        <f t="shared" si="65"/>
        <v>Price</v>
      </c>
      <c r="BJ93" s="2298" t="str">
        <f t="shared" si="65"/>
        <v>Trade Waste</v>
      </c>
      <c r="BK93" s="1719" t="str">
        <f t="shared" si="65"/>
        <v>Variable</v>
      </c>
      <c r="BL93" s="2299">
        <f t="shared" ref="BL93:BZ93" si="83">IF(OR(X93="",X93=0),"-",IFERROR((X93/W93-1)*(W95/W$13),"-"))</f>
        <v>1.3952357140972782E-5</v>
      </c>
      <c r="BM93" s="1053">
        <f t="shared" si="83"/>
        <v>9.2197476299036197E-6</v>
      </c>
      <c r="BN93" s="1053">
        <f t="shared" si="83"/>
        <v>1.6629178946940629E-5</v>
      </c>
      <c r="BO93" s="2302">
        <f t="shared" si="83"/>
        <v>8.6795243045839281E-6</v>
      </c>
      <c r="BP93" s="1053">
        <f t="shared" si="83"/>
        <v>4.7560250749664744E-5</v>
      </c>
      <c r="BQ93" s="2303">
        <f t="shared" si="83"/>
        <v>0</v>
      </c>
      <c r="BR93" s="1053">
        <f t="shared" si="83"/>
        <v>9.1642530101718402E-6</v>
      </c>
      <c r="BS93" s="1053">
        <f t="shared" si="83"/>
        <v>8.9846494563330705E-6</v>
      </c>
      <c r="BT93" s="1053">
        <f t="shared" si="83"/>
        <v>8.8930451032047652E-6</v>
      </c>
      <c r="BU93" s="1054">
        <f t="shared" si="83"/>
        <v>8.8022192331805442E-6</v>
      </c>
      <c r="BV93" s="1053">
        <f t="shared" si="83"/>
        <v>8.7282204857102441E-6</v>
      </c>
      <c r="BW93" s="1053">
        <f t="shared" si="83"/>
        <v>8.6545552102206572E-6</v>
      </c>
      <c r="BX93" s="1053">
        <f t="shared" si="83"/>
        <v>8.5812283646007734E-6</v>
      </c>
      <c r="BY93" s="1053">
        <f t="shared" si="83"/>
        <v>8.5082447306191815E-6</v>
      </c>
      <c r="BZ93" s="1054">
        <f t="shared" si="83"/>
        <v>8.4356089165818565E-6</v>
      </c>
      <c r="CA93" s="1048"/>
    </row>
    <row r="94" spans="3:79" x14ac:dyDescent="0.3">
      <c r="C94" s="126"/>
      <c r="D94" s="126"/>
      <c r="E94" s="558" t="s">
        <v>46</v>
      </c>
      <c r="F94" s="2161" t="str">
        <f t="shared" si="73"/>
        <v>Trade Waste</v>
      </c>
      <c r="G94" s="2163" t="str">
        <f t="shared" si="73"/>
        <v>Major</v>
      </c>
      <c r="H94" s="2163" t="str">
        <f t="shared" si="73"/>
        <v>BOD</v>
      </c>
      <c r="I94" s="2164" t="str">
        <f t="shared" si="73"/>
        <v>Variable</v>
      </c>
      <c r="J94" s="574" t="s">
        <v>222</v>
      </c>
      <c r="K94" s="1973"/>
      <c r="L94" s="1974"/>
      <c r="M94" s="1974"/>
      <c r="N94" s="1975"/>
      <c r="O94" s="1974"/>
      <c r="P94" s="1974"/>
      <c r="Q94" s="1974"/>
      <c r="R94" s="1976"/>
      <c r="S94" s="1975"/>
      <c r="T94" s="1974"/>
      <c r="U94" s="1974"/>
      <c r="V94" s="1974"/>
      <c r="W94" s="1713">
        <v>47260.29</v>
      </c>
      <c r="X94" s="1714">
        <v>44912.85</v>
      </c>
      <c r="Y94" s="1713">
        <v>48115.25</v>
      </c>
      <c r="Z94" s="1713">
        <v>48856.66</v>
      </c>
      <c r="AA94" s="1713">
        <v>58654.39</v>
      </c>
      <c r="AB94" s="1715">
        <v>59240.933899999996</v>
      </c>
      <c r="AC94" s="1713">
        <v>59240.933899999996</v>
      </c>
      <c r="AD94" s="1713">
        <v>59240.933899999996</v>
      </c>
      <c r="AE94" s="1713">
        <v>59833.343238999994</v>
      </c>
      <c r="AF94" s="1713">
        <v>60431.676671389992</v>
      </c>
      <c r="AG94" s="1716">
        <v>61035.993438103891</v>
      </c>
      <c r="AH94" s="1713">
        <v>61646.353372484933</v>
      </c>
      <c r="AI94" s="1713">
        <v>62262.81690620978</v>
      </c>
      <c r="AJ94" s="1713">
        <v>62885.445075271877</v>
      </c>
      <c r="AK94" s="1713">
        <v>63514.299526024595</v>
      </c>
      <c r="AL94" s="1716">
        <v>64149.442521284844</v>
      </c>
      <c r="AM94" s="560"/>
      <c r="AN94" s="991"/>
      <c r="AO94" s="992"/>
      <c r="AP94" s="2285" t="str">
        <f t="shared" si="36"/>
        <v>Qty</v>
      </c>
      <c r="AQ94" s="2286" t="str">
        <f t="shared" si="36"/>
        <v>Trade Waste</v>
      </c>
      <c r="AR94" s="2287" t="str">
        <f t="shared" si="37"/>
        <v>Variable</v>
      </c>
      <c r="AS94" s="2288">
        <f t="shared" si="70"/>
        <v>-4.9670452720455227E-2</v>
      </c>
      <c r="AT94" s="1720">
        <f t="shared" si="70"/>
        <v>7.1302533684680425E-2</v>
      </c>
      <c r="AU94" s="1720">
        <f t="shared" si="70"/>
        <v>1.540904391019482E-2</v>
      </c>
      <c r="AV94" s="2289">
        <f t="shared" si="70"/>
        <v>0.20054031528147842</v>
      </c>
      <c r="AW94" s="1720">
        <f t="shared" si="70"/>
        <v>1.0000000000000009E-2</v>
      </c>
      <c r="AX94" s="2290">
        <f t="shared" si="70"/>
        <v>0</v>
      </c>
      <c r="AY94" s="1720">
        <f t="shared" si="70"/>
        <v>0</v>
      </c>
      <c r="AZ94" s="1720">
        <f t="shared" si="70"/>
        <v>1.0000000000000009E-2</v>
      </c>
      <c r="BA94" s="1720">
        <f t="shared" si="70"/>
        <v>1.0000000000000009E-2</v>
      </c>
      <c r="BB94" s="1721">
        <f t="shared" si="70"/>
        <v>1.0000000000000009E-2</v>
      </c>
      <c r="BC94" s="1720">
        <f t="shared" si="70"/>
        <v>1.0000000000000009E-2</v>
      </c>
      <c r="BD94" s="1720">
        <f t="shared" si="70"/>
        <v>1.0000000000000009E-2</v>
      </c>
      <c r="BE94" s="1720">
        <f t="shared" si="70"/>
        <v>1.0000000000000009E-2</v>
      </c>
      <c r="BF94" s="1720">
        <f t="shared" si="70"/>
        <v>1.0000000000000009E-2</v>
      </c>
      <c r="BG94" s="1721">
        <f t="shared" si="70"/>
        <v>1.0000000000000009E-2</v>
      </c>
      <c r="BH94" s="1048"/>
      <c r="BI94" s="2285" t="str">
        <f t="shared" si="65"/>
        <v>Qty</v>
      </c>
      <c r="BJ94" s="2286" t="str">
        <f t="shared" si="65"/>
        <v>Trade Waste</v>
      </c>
      <c r="BK94" s="2287" t="str">
        <f t="shared" si="65"/>
        <v>Variable</v>
      </c>
      <c r="BL94" s="2288">
        <f t="shared" ref="BL94:BZ94" si="84">IF(OR(X94="",X94=0),"-",IFERROR((X94/W94-1)*(W95/W$13),"-"))</f>
        <v>-3.6477815613508213E-5</v>
      </c>
      <c r="BM94" s="1720">
        <f t="shared" si="84"/>
        <v>4.9436508442156222E-5</v>
      </c>
      <c r="BN94" s="1720">
        <f t="shared" si="84"/>
        <v>1.1727530041225154E-5</v>
      </c>
      <c r="BO94" s="2289">
        <f t="shared" si="84"/>
        <v>1.5650845910305895E-4</v>
      </c>
      <c r="BP94" s="1720">
        <f t="shared" si="84"/>
        <v>9.3492312734926916E-6</v>
      </c>
      <c r="BQ94" s="2290">
        <f t="shared" si="84"/>
        <v>0</v>
      </c>
      <c r="BR94" s="1720">
        <f t="shared" si="84"/>
        <v>0</v>
      </c>
      <c r="BS94" s="1720">
        <f t="shared" si="84"/>
        <v>8.9846494563330705E-6</v>
      </c>
      <c r="BT94" s="1720">
        <f t="shared" si="84"/>
        <v>8.8930451032047652E-6</v>
      </c>
      <c r="BU94" s="1721">
        <f t="shared" si="84"/>
        <v>8.8022192331805442E-6</v>
      </c>
      <c r="BV94" s="1720">
        <f t="shared" si="84"/>
        <v>8.7282204857102441E-6</v>
      </c>
      <c r="BW94" s="1720">
        <f t="shared" si="84"/>
        <v>8.6545552102206572E-6</v>
      </c>
      <c r="BX94" s="1720">
        <f t="shared" si="84"/>
        <v>8.5812283646007734E-6</v>
      </c>
      <c r="BY94" s="1720">
        <f t="shared" si="84"/>
        <v>8.5082447306191815E-6</v>
      </c>
      <c r="BZ94" s="1721">
        <f t="shared" si="84"/>
        <v>8.4356089165818565E-6</v>
      </c>
      <c r="CA94" s="1048"/>
    </row>
    <row r="95" spans="3:79" ht="12.5" thickBot="1" x14ac:dyDescent="0.35">
      <c r="C95" s="126"/>
      <c r="D95" s="126"/>
      <c r="E95" s="559" t="s">
        <v>47</v>
      </c>
      <c r="F95" s="2162" t="str">
        <f t="shared" ref="F95:I95" si="85">+F93</f>
        <v>Trade Waste</v>
      </c>
      <c r="G95" s="2165" t="str">
        <f t="shared" si="85"/>
        <v>Major</v>
      </c>
      <c r="H95" s="2165" t="str">
        <f t="shared" si="85"/>
        <v>BOD</v>
      </c>
      <c r="I95" s="2166" t="str">
        <f t="shared" si="85"/>
        <v>Variable</v>
      </c>
      <c r="J95" s="2106" t="s">
        <v>347</v>
      </c>
      <c r="K95" s="1977"/>
      <c r="L95" s="1206"/>
      <c r="M95" s="1206"/>
      <c r="N95" s="1978"/>
      <c r="O95" s="1206"/>
      <c r="P95" s="1206"/>
      <c r="Q95" s="1206"/>
      <c r="R95" s="1206"/>
      <c r="S95" s="1978"/>
      <c r="T95" s="1206"/>
      <c r="U95" s="1206"/>
      <c r="V95" s="1206"/>
      <c r="W95" s="1731">
        <f t="shared" ref="W95:AG95" si="86">W93*W94/10^6</f>
        <v>6.7662557193000003E-2</v>
      </c>
      <c r="X95" s="1730">
        <f t="shared" si="86"/>
        <v>6.5523356865000007E-2</v>
      </c>
      <c r="Y95" s="1731">
        <f t="shared" si="86"/>
        <v>7.1128774074999998E-2</v>
      </c>
      <c r="Z95" s="1731">
        <f t="shared" si="86"/>
        <v>7.3802870596000006E-2</v>
      </c>
      <c r="AA95" s="1731">
        <f t="shared" si="86"/>
        <v>8.9588715286000001E-2</v>
      </c>
      <c r="AB95" s="1733">
        <f t="shared" si="86"/>
        <v>9.508762300288999E-2</v>
      </c>
      <c r="AC95" s="1731">
        <f t="shared" si="86"/>
        <v>9.508762300288999E-2</v>
      </c>
      <c r="AD95" s="1731">
        <f t="shared" si="86"/>
        <v>9.6038499232918892E-2</v>
      </c>
      <c r="AE95" s="1731">
        <f t="shared" si="86"/>
        <v>9.7968873067500559E-2</v>
      </c>
      <c r="AF95" s="1731">
        <f t="shared" si="86"/>
        <v>9.9938047416157319E-2</v>
      </c>
      <c r="AG95" s="1733">
        <f t="shared" si="86"/>
        <v>0.10194680216922208</v>
      </c>
      <c r="AH95" s="1731">
        <f>AH93*AH94/10^6</f>
        <v>0.10399593289282344</v>
      </c>
      <c r="AI95" s="1731">
        <f>AI93*AI94/10^6</f>
        <v>0.10608625114396919</v>
      </c>
      <c r="AJ95" s="1731">
        <f>AJ93*AJ94/10^6</f>
        <v>0.10821858479196296</v>
      </c>
      <c r="AK95" s="1731">
        <f>AK93*AK94/10^6</f>
        <v>0.11039377834628143</v>
      </c>
      <c r="AL95" s="1733">
        <f>AL93*AL94/10^6</f>
        <v>0.11261269329104168</v>
      </c>
      <c r="AM95" s="560"/>
      <c r="AN95" s="991"/>
      <c r="AO95" s="992"/>
      <c r="AP95" s="2304" t="str">
        <f t="shared" si="36"/>
        <v>Rev</v>
      </c>
      <c r="AQ95" s="2305" t="str">
        <f t="shared" si="36"/>
        <v>Trade Waste</v>
      </c>
      <c r="AR95" s="2306" t="str">
        <f t="shared" si="37"/>
        <v>Variable</v>
      </c>
      <c r="AS95" s="2307">
        <f t="shared" si="70"/>
        <v>-3.16157180092701E-2</v>
      </c>
      <c r="AT95" s="1055">
        <f t="shared" si="70"/>
        <v>8.5548382717158811E-2</v>
      </c>
      <c r="AU95" s="1055">
        <f t="shared" si="70"/>
        <v>3.7595144240506251E-2</v>
      </c>
      <c r="AV95" s="2308">
        <f t="shared" si="70"/>
        <v>0.21389201480268105</v>
      </c>
      <c r="AW95" s="1055">
        <f t="shared" si="70"/>
        <v>6.1379468377634971E-2</v>
      </c>
      <c r="AX95" s="2309">
        <f t="shared" si="70"/>
        <v>0</v>
      </c>
      <c r="AY95" s="1055">
        <f t="shared" si="70"/>
        <v>1.0000000000000009E-2</v>
      </c>
      <c r="AZ95" s="1055">
        <f t="shared" si="70"/>
        <v>2.0100000000000007E-2</v>
      </c>
      <c r="BA95" s="1055">
        <f t="shared" si="70"/>
        <v>2.0100000000000007E-2</v>
      </c>
      <c r="BB95" s="1056">
        <f t="shared" si="70"/>
        <v>2.0100000000000007E-2</v>
      </c>
      <c r="BC95" s="1055">
        <f t="shared" si="70"/>
        <v>2.0100000000000007E-2</v>
      </c>
      <c r="BD95" s="1055">
        <f t="shared" si="70"/>
        <v>2.0100000000000007E-2</v>
      </c>
      <c r="BE95" s="1055">
        <f t="shared" si="70"/>
        <v>2.0100000000000007E-2</v>
      </c>
      <c r="BF95" s="1055">
        <f t="shared" si="70"/>
        <v>2.0100000000000229E-2</v>
      </c>
      <c r="BG95" s="1056">
        <f t="shared" si="70"/>
        <v>2.0099999999999785E-2</v>
      </c>
      <c r="BH95" s="1048"/>
      <c r="BI95" s="2304" t="str">
        <f t="shared" si="65"/>
        <v>Rev</v>
      </c>
      <c r="BJ95" s="2305" t="str">
        <f t="shared" si="65"/>
        <v>Trade Waste</v>
      </c>
      <c r="BK95" s="2306" t="str">
        <f t="shared" si="65"/>
        <v>Variable</v>
      </c>
      <c r="BL95" s="2307">
        <f t="shared" ref="BL95:BZ95" si="87">IF(OR(X95="",X95=0),"-",IFERROR((X95/W95-1)*(W95/W$13),"-"))</f>
        <v>-2.3218478368244997E-5</v>
      </c>
      <c r="BM95" s="1055">
        <f t="shared" si="87"/>
        <v>5.931364743800532E-5</v>
      </c>
      <c r="BN95" s="1055">
        <f t="shared" si="87"/>
        <v>2.8612948736749725E-5</v>
      </c>
      <c r="BO95" s="2308">
        <f t="shared" si="87"/>
        <v>1.6692857794817713E-4</v>
      </c>
      <c r="BP95" s="1055">
        <f t="shared" si="87"/>
        <v>5.7385084530654009E-5</v>
      </c>
      <c r="BQ95" s="2309">
        <f t="shared" si="87"/>
        <v>0</v>
      </c>
      <c r="BR95" s="1055">
        <f t="shared" si="87"/>
        <v>9.1642530101718402E-6</v>
      </c>
      <c r="BS95" s="1055">
        <f t="shared" si="87"/>
        <v>1.8059145407229461E-5</v>
      </c>
      <c r="BT95" s="1055">
        <f t="shared" si="87"/>
        <v>1.7875020657441568E-5</v>
      </c>
      <c r="BU95" s="1056">
        <f t="shared" si="87"/>
        <v>1.7692460658692885E-5</v>
      </c>
      <c r="BV95" s="1055">
        <f t="shared" si="87"/>
        <v>1.7543723176277581E-5</v>
      </c>
      <c r="BW95" s="1055">
        <f t="shared" si="87"/>
        <v>1.7395655972543512E-5</v>
      </c>
      <c r="BX95" s="1055">
        <f t="shared" si="87"/>
        <v>1.7248269012847546E-5</v>
      </c>
      <c r="BY95" s="1055">
        <f t="shared" si="87"/>
        <v>1.7101571908544734E-5</v>
      </c>
      <c r="BZ95" s="1056">
        <f t="shared" si="87"/>
        <v>1.6955573922329335E-5</v>
      </c>
      <c r="CA95" s="1048"/>
    </row>
    <row r="96" spans="3:79" x14ac:dyDescent="0.3">
      <c r="C96" s="126"/>
      <c r="D96" s="126">
        <f>D93+1</f>
        <v>10</v>
      </c>
      <c r="E96" s="553" t="s">
        <v>45</v>
      </c>
      <c r="F96" s="2105" t="s">
        <v>317</v>
      </c>
      <c r="G96" s="2105" t="s">
        <v>1189</v>
      </c>
      <c r="H96" s="2105" t="s">
        <v>1197</v>
      </c>
      <c r="I96" s="573" t="s">
        <v>321</v>
      </c>
      <c r="J96" s="573" t="s">
        <v>348</v>
      </c>
      <c r="K96" s="1969"/>
      <c r="L96" s="1970"/>
      <c r="M96" s="1970"/>
      <c r="N96" s="1971"/>
      <c r="O96" s="1970"/>
      <c r="P96" s="1970"/>
      <c r="Q96" s="1970"/>
      <c r="R96" s="1972"/>
      <c r="S96" s="1971"/>
      <c r="T96" s="1970"/>
      <c r="U96" s="1970"/>
      <c r="V96" s="1970"/>
      <c r="W96" s="1709">
        <v>1.4317</v>
      </c>
      <c r="X96" s="1710">
        <v>1.4589000000000001</v>
      </c>
      <c r="Y96" s="1709">
        <v>1.4782999999999999</v>
      </c>
      <c r="Z96" s="1709">
        <v>1.5105999999999999</v>
      </c>
      <c r="AA96" s="1709">
        <v>1.5274000000000001</v>
      </c>
      <c r="AB96" s="1711">
        <v>1.6051</v>
      </c>
      <c r="AC96" s="1709">
        <v>1.6051</v>
      </c>
      <c r="AD96" s="1709">
        <v>1.621151</v>
      </c>
      <c r="AE96" s="1709">
        <v>1.63736251</v>
      </c>
      <c r="AF96" s="1709">
        <v>1.6537361350999999</v>
      </c>
      <c r="AG96" s="1712">
        <v>1.670273496451</v>
      </c>
      <c r="AH96" s="1709">
        <v>1.6869762314155099</v>
      </c>
      <c r="AI96" s="1709">
        <v>1.7038459937296651</v>
      </c>
      <c r="AJ96" s="1709">
        <v>1.7208844536669616</v>
      </c>
      <c r="AK96" s="1709">
        <v>1.7380932982036312</v>
      </c>
      <c r="AL96" s="1712">
        <v>1.7554742311856675</v>
      </c>
      <c r="AM96" s="560"/>
      <c r="AN96" s="1052"/>
      <c r="AO96" s="992"/>
      <c r="AP96" s="2297" t="str">
        <f t="shared" si="36"/>
        <v>Price</v>
      </c>
      <c r="AQ96" s="2298" t="str">
        <f t="shared" si="36"/>
        <v>Trade Waste</v>
      </c>
      <c r="AR96" s="1719" t="str">
        <f t="shared" si="37"/>
        <v>Variable</v>
      </c>
      <c r="AS96" s="2299">
        <f t="shared" si="70"/>
        <v>1.8998393518195211E-2</v>
      </c>
      <c r="AT96" s="1728">
        <f t="shared" si="70"/>
        <v>1.3297690040441346E-2</v>
      </c>
      <c r="AU96" s="1728">
        <f t="shared" si="70"/>
        <v>2.1849421632956778E-2</v>
      </c>
      <c r="AV96" s="2300">
        <f t="shared" si="70"/>
        <v>1.1121408711770364E-2</v>
      </c>
      <c r="AW96" s="1728">
        <f t="shared" si="70"/>
        <v>5.0870760769935686E-2</v>
      </c>
      <c r="AX96" s="2301">
        <f t="shared" si="70"/>
        <v>0</v>
      </c>
      <c r="AY96" s="1728">
        <f t="shared" si="70"/>
        <v>1.0000000000000009E-2</v>
      </c>
      <c r="AZ96" s="1728">
        <f t="shared" si="70"/>
        <v>1.0000000000000009E-2</v>
      </c>
      <c r="BA96" s="1728">
        <f t="shared" si="70"/>
        <v>1.0000000000000009E-2</v>
      </c>
      <c r="BB96" s="1729">
        <f t="shared" si="70"/>
        <v>1.0000000000000009E-2</v>
      </c>
      <c r="BC96" s="1728">
        <f t="shared" si="70"/>
        <v>1.0000000000000009E-2</v>
      </c>
      <c r="BD96" s="1728">
        <f t="shared" si="70"/>
        <v>1.0000000000000009E-2</v>
      </c>
      <c r="BE96" s="1728">
        <f t="shared" si="70"/>
        <v>1.0000000000000009E-2</v>
      </c>
      <c r="BF96" s="1728">
        <f t="shared" si="70"/>
        <v>1.0000000000000009E-2</v>
      </c>
      <c r="BG96" s="1729">
        <f t="shared" si="70"/>
        <v>1.0000000000000009E-2</v>
      </c>
      <c r="BH96" s="1048"/>
      <c r="BI96" s="2297" t="str">
        <f t="shared" si="65"/>
        <v>Price</v>
      </c>
      <c r="BJ96" s="2298" t="str">
        <f t="shared" si="65"/>
        <v>Trade Waste</v>
      </c>
      <c r="BK96" s="1719" t="str">
        <f t="shared" si="65"/>
        <v>Variable</v>
      </c>
      <c r="BL96" s="2299">
        <f t="shared" ref="BL96:BZ96" si="88">IF(OR(X96="",X96=0),"-",IFERROR((X96/W96-1)*(W98/W$13),"-"))</f>
        <v>1.8035622548970429E-5</v>
      </c>
      <c r="BM96" s="1053">
        <f t="shared" si="88"/>
        <v>9.5394581704558371E-6</v>
      </c>
      <c r="BN96" s="1053">
        <f t="shared" si="88"/>
        <v>6.0319523200890637E-6</v>
      </c>
      <c r="BO96" s="2302">
        <f t="shared" si="88"/>
        <v>2.7589823283009165E-6</v>
      </c>
      <c r="BP96" s="1053">
        <f t="shared" si="88"/>
        <v>1.6008960676657768E-5</v>
      </c>
      <c r="BQ96" s="2303">
        <f t="shared" si="88"/>
        <v>0</v>
      </c>
      <c r="BR96" s="1053">
        <f t="shared" si="88"/>
        <v>3.0847222997834534E-6</v>
      </c>
      <c r="BS96" s="1053">
        <f t="shared" si="88"/>
        <v>3.024267062784664E-6</v>
      </c>
      <c r="BT96" s="1053">
        <f t="shared" si="88"/>
        <v>2.993432690300788E-6</v>
      </c>
      <c r="BU96" s="1054">
        <f t="shared" si="88"/>
        <v>2.9628603581805409E-6</v>
      </c>
      <c r="BV96" s="1053">
        <f t="shared" si="88"/>
        <v>2.9379520992941572E-6</v>
      </c>
      <c r="BW96" s="1053">
        <f t="shared" si="88"/>
        <v>2.9131560883404872E-6</v>
      </c>
      <c r="BX96" s="1053">
        <f t="shared" si="88"/>
        <v>2.8884739941637584E-6</v>
      </c>
      <c r="BY96" s="1053">
        <f t="shared" si="88"/>
        <v>2.8639074263254024E-6</v>
      </c>
      <c r="BZ96" s="1054">
        <f t="shared" si="88"/>
        <v>2.8394579359986756E-6</v>
      </c>
      <c r="CA96" s="1048"/>
    </row>
    <row r="97" spans="3:79" x14ac:dyDescent="0.3">
      <c r="C97" s="126"/>
      <c r="D97" s="126"/>
      <c r="E97" s="558" t="s">
        <v>46</v>
      </c>
      <c r="F97" s="2161" t="str">
        <f t="shared" si="73"/>
        <v>Trade Waste</v>
      </c>
      <c r="G97" s="2163" t="str">
        <f t="shared" si="73"/>
        <v>Major</v>
      </c>
      <c r="H97" s="2163" t="str">
        <f t="shared" si="73"/>
        <v>Suspended Solids</v>
      </c>
      <c r="I97" s="2164" t="str">
        <f t="shared" si="73"/>
        <v>Variable</v>
      </c>
      <c r="J97" s="574" t="s">
        <v>222</v>
      </c>
      <c r="K97" s="1973"/>
      <c r="L97" s="1974"/>
      <c r="M97" s="1974"/>
      <c r="N97" s="1975"/>
      <c r="O97" s="1974"/>
      <c r="P97" s="1974"/>
      <c r="Q97" s="1974"/>
      <c r="R97" s="1976"/>
      <c r="S97" s="1975"/>
      <c r="T97" s="1974"/>
      <c r="U97" s="1974"/>
      <c r="V97" s="1974"/>
      <c r="W97" s="1713">
        <v>61091.38</v>
      </c>
      <c r="X97" s="1714">
        <v>46470.28</v>
      </c>
      <c r="Y97" s="1713">
        <v>17452.990000000002</v>
      </c>
      <c r="Z97" s="1713">
        <v>15530.19</v>
      </c>
      <c r="AA97" s="1713">
        <v>19743.29</v>
      </c>
      <c r="AB97" s="1715">
        <v>19940.722900000001</v>
      </c>
      <c r="AC97" s="1713">
        <v>19940.722900000001</v>
      </c>
      <c r="AD97" s="1713">
        <v>19940.722900000001</v>
      </c>
      <c r="AE97" s="1713">
        <v>20140.130129000001</v>
      </c>
      <c r="AF97" s="1713">
        <v>20341.531430290001</v>
      </c>
      <c r="AG97" s="1716">
        <v>20544.9467445929</v>
      </c>
      <c r="AH97" s="1713">
        <v>20750.396212038828</v>
      </c>
      <c r="AI97" s="1713">
        <v>20957.900174159215</v>
      </c>
      <c r="AJ97" s="1713">
        <v>21167.479175900808</v>
      </c>
      <c r="AK97" s="1713">
        <v>21379.153967659815</v>
      </c>
      <c r="AL97" s="1716">
        <v>21592.945507336412</v>
      </c>
      <c r="AM97" s="560"/>
      <c r="AN97" s="991"/>
      <c r="AO97" s="992"/>
      <c r="AP97" s="2285" t="str">
        <f t="shared" si="36"/>
        <v>Qty</v>
      </c>
      <c r="AQ97" s="2286" t="str">
        <f t="shared" si="36"/>
        <v>Trade Waste</v>
      </c>
      <c r="AR97" s="2287" t="str">
        <f t="shared" si="37"/>
        <v>Variable</v>
      </c>
      <c r="AS97" s="2288">
        <f t="shared" si="70"/>
        <v>-0.23933163729481965</v>
      </c>
      <c r="AT97" s="1720">
        <f t="shared" si="70"/>
        <v>-0.62442683797041898</v>
      </c>
      <c r="AU97" s="1720">
        <f t="shared" si="70"/>
        <v>-0.11017023444120466</v>
      </c>
      <c r="AV97" s="2289">
        <f t="shared" si="70"/>
        <v>0.27128451100727036</v>
      </c>
      <c r="AW97" s="1720">
        <f t="shared" si="70"/>
        <v>1.0000000000000009E-2</v>
      </c>
      <c r="AX97" s="2290">
        <f t="shared" si="70"/>
        <v>0</v>
      </c>
      <c r="AY97" s="1720">
        <f t="shared" si="70"/>
        <v>0</v>
      </c>
      <c r="AZ97" s="1720">
        <f t="shared" si="70"/>
        <v>1.0000000000000009E-2</v>
      </c>
      <c r="BA97" s="1720">
        <f t="shared" si="70"/>
        <v>1.0000000000000009E-2</v>
      </c>
      <c r="BB97" s="1721">
        <f t="shared" si="70"/>
        <v>1.0000000000000009E-2</v>
      </c>
      <c r="BC97" s="1720">
        <f t="shared" si="70"/>
        <v>1.0000000000000009E-2</v>
      </c>
      <c r="BD97" s="1720">
        <f t="shared" si="70"/>
        <v>1.0000000000000009E-2</v>
      </c>
      <c r="BE97" s="1720">
        <f t="shared" si="70"/>
        <v>1.0000000000000009E-2</v>
      </c>
      <c r="BF97" s="1720">
        <f t="shared" si="70"/>
        <v>1.0000000000000009E-2</v>
      </c>
      <c r="BG97" s="1721">
        <f t="shared" si="70"/>
        <v>1.0000000000000009E-2</v>
      </c>
      <c r="BH97" s="1048"/>
      <c r="BI97" s="2285" t="str">
        <f t="shared" si="65"/>
        <v>Qty</v>
      </c>
      <c r="BJ97" s="2286" t="str">
        <f t="shared" si="65"/>
        <v>Trade Waste</v>
      </c>
      <c r="BK97" s="2287" t="str">
        <f t="shared" si="65"/>
        <v>Variable</v>
      </c>
      <c r="BL97" s="2288">
        <f t="shared" ref="BL97:BZ97" si="89">IF(OR(X97="",X97=0),"-",IFERROR((X97/W97-1)*(W98/W$13),"-"))</f>
        <v>-2.2720316168535262E-4</v>
      </c>
      <c r="BM97" s="1720">
        <f t="shared" si="89"/>
        <v>-4.479495072612714E-4</v>
      </c>
      <c r="BN97" s="1720">
        <f t="shared" si="89"/>
        <v>-3.0414608331783622E-5</v>
      </c>
      <c r="BO97" s="2289">
        <f t="shared" si="89"/>
        <v>6.72998530319878E-5</v>
      </c>
      <c r="BP97" s="1720">
        <f t="shared" si="89"/>
        <v>3.1469866843664308E-6</v>
      </c>
      <c r="BQ97" s="2290">
        <f t="shared" si="89"/>
        <v>0</v>
      </c>
      <c r="BR97" s="1720">
        <f t="shared" si="89"/>
        <v>0</v>
      </c>
      <c r="BS97" s="1720">
        <f t="shared" si="89"/>
        <v>3.024267062784664E-6</v>
      </c>
      <c r="BT97" s="1720">
        <f t="shared" si="89"/>
        <v>2.993432690300788E-6</v>
      </c>
      <c r="BU97" s="1721">
        <f t="shared" si="89"/>
        <v>2.9628603581805409E-6</v>
      </c>
      <c r="BV97" s="1720">
        <f t="shared" si="89"/>
        <v>2.9379520992941572E-6</v>
      </c>
      <c r="BW97" s="1720">
        <f t="shared" si="89"/>
        <v>2.9131560883404872E-6</v>
      </c>
      <c r="BX97" s="1720">
        <f t="shared" si="89"/>
        <v>2.8884739941637584E-6</v>
      </c>
      <c r="BY97" s="1720">
        <f t="shared" si="89"/>
        <v>2.8639074263254024E-6</v>
      </c>
      <c r="BZ97" s="1721">
        <f t="shared" si="89"/>
        <v>2.8394579359986756E-6</v>
      </c>
      <c r="CA97" s="1048"/>
    </row>
    <row r="98" spans="3:79" ht="12.5" thickBot="1" x14ac:dyDescent="0.35">
      <c r="C98" s="126"/>
      <c r="D98" s="126"/>
      <c r="E98" s="559" t="s">
        <v>47</v>
      </c>
      <c r="F98" s="2162" t="str">
        <f t="shared" ref="F98:I98" si="90">+F96</f>
        <v>Trade Waste</v>
      </c>
      <c r="G98" s="2165" t="str">
        <f t="shared" si="90"/>
        <v>Major</v>
      </c>
      <c r="H98" s="2165" t="str">
        <f t="shared" si="90"/>
        <v>Suspended Solids</v>
      </c>
      <c r="I98" s="2166" t="str">
        <f t="shared" si="90"/>
        <v>Variable</v>
      </c>
      <c r="J98" s="2106" t="s">
        <v>347</v>
      </c>
      <c r="K98" s="1977"/>
      <c r="L98" s="1206"/>
      <c r="M98" s="1206"/>
      <c r="N98" s="1978"/>
      <c r="O98" s="1206"/>
      <c r="P98" s="1206"/>
      <c r="Q98" s="1206"/>
      <c r="R98" s="1206"/>
      <c r="S98" s="1978"/>
      <c r="T98" s="1206"/>
      <c r="U98" s="1206"/>
      <c r="V98" s="1206"/>
      <c r="W98" s="1731">
        <f t="shared" ref="W98:AG98" si="91">W96*W97/10^6</f>
        <v>8.7464528745999998E-2</v>
      </c>
      <c r="X98" s="1730">
        <f t="shared" si="91"/>
        <v>6.7795491491999996E-2</v>
      </c>
      <c r="Y98" s="1731">
        <f t="shared" si="91"/>
        <v>2.5800755117000002E-2</v>
      </c>
      <c r="Z98" s="1731">
        <f t="shared" si="91"/>
        <v>2.3459905013999999E-2</v>
      </c>
      <c r="AA98" s="1731">
        <f t="shared" si="91"/>
        <v>3.0155901146000003E-2</v>
      </c>
      <c r="AB98" s="1733">
        <f t="shared" si="91"/>
        <v>3.2006854326789999E-2</v>
      </c>
      <c r="AC98" s="1731">
        <f t="shared" si="91"/>
        <v>3.2006854326789999E-2</v>
      </c>
      <c r="AD98" s="1731">
        <f t="shared" si="91"/>
        <v>3.2326922870057902E-2</v>
      </c>
      <c r="AE98" s="1731">
        <f t="shared" si="91"/>
        <v>3.2976694019746067E-2</v>
      </c>
      <c r="AF98" s="1731">
        <f t="shared" si="91"/>
        <v>3.3639525569542958E-2</v>
      </c>
      <c r="AG98" s="1733">
        <f t="shared" si="91"/>
        <v>3.4315680033490774E-2</v>
      </c>
      <c r="AH98" s="1731">
        <f>AH96*AH97/10^6</f>
        <v>3.5005425202163931E-2</v>
      </c>
      <c r="AI98" s="1731">
        <f>AI96*AI97/10^6</f>
        <v>3.5709034248727428E-2</v>
      </c>
      <c r="AJ98" s="1731">
        <f>AJ96*AJ97/10^6</f>
        <v>3.642678583712685E-2</v>
      </c>
      <c r="AK98" s="1731">
        <f>AK96*AK97/10^6</f>
        <v>3.7158964232453094E-2</v>
      </c>
      <c r="AL98" s="1733">
        <f>AL96*AL97/10^6</f>
        <v>3.7905859413525402E-2</v>
      </c>
      <c r="AM98" s="560"/>
      <c r="AN98" s="991"/>
      <c r="AO98" s="992"/>
      <c r="AP98" s="2304" t="str">
        <f t="shared" si="36"/>
        <v>Rev</v>
      </c>
      <c r="AQ98" s="2305" t="str">
        <f t="shared" si="36"/>
        <v>Trade Waste</v>
      </c>
      <c r="AR98" s="2306" t="str">
        <f t="shared" si="37"/>
        <v>Variable</v>
      </c>
      <c r="AS98" s="2307">
        <f t="shared" si="70"/>
        <v>-0.2248801604033055</v>
      </c>
      <c r="AT98" s="1055">
        <f t="shared" si="70"/>
        <v>-0.61943258247424104</v>
      </c>
      <c r="AU98" s="1055">
        <f t="shared" si="70"/>
        <v>-9.0727968711955542E-2</v>
      </c>
      <c r="AV98" s="2308">
        <f t="shared" si="70"/>
        <v>0.28542298564312518</v>
      </c>
      <c r="AW98" s="1055">
        <f t="shared" si="70"/>
        <v>6.1379468377634971E-2</v>
      </c>
      <c r="AX98" s="2309">
        <f t="shared" si="70"/>
        <v>0</v>
      </c>
      <c r="AY98" s="1055">
        <f t="shared" si="70"/>
        <v>1.0000000000000009E-2</v>
      </c>
      <c r="AZ98" s="1055">
        <f t="shared" si="70"/>
        <v>2.0100000000000007E-2</v>
      </c>
      <c r="BA98" s="1055">
        <f t="shared" si="70"/>
        <v>2.0099999999999785E-2</v>
      </c>
      <c r="BB98" s="1056">
        <f t="shared" si="70"/>
        <v>2.0100000000000007E-2</v>
      </c>
      <c r="BC98" s="1055">
        <f t="shared" si="70"/>
        <v>2.0099999999999785E-2</v>
      </c>
      <c r="BD98" s="1055">
        <f t="shared" si="70"/>
        <v>2.0100000000000007E-2</v>
      </c>
      <c r="BE98" s="1055">
        <f t="shared" si="70"/>
        <v>2.0100000000000007E-2</v>
      </c>
      <c r="BF98" s="1055">
        <f t="shared" si="70"/>
        <v>2.0099999999999785E-2</v>
      </c>
      <c r="BG98" s="1056">
        <f t="shared" si="70"/>
        <v>2.0100000000000007E-2</v>
      </c>
      <c r="BH98" s="1048"/>
      <c r="BI98" s="2304" t="str">
        <f t="shared" si="65"/>
        <v>Rev</v>
      </c>
      <c r="BJ98" s="2305" t="str">
        <f t="shared" si="65"/>
        <v>Trade Waste</v>
      </c>
      <c r="BK98" s="2306" t="str">
        <f t="shared" si="65"/>
        <v>Variable</v>
      </c>
      <c r="BL98" s="2307">
        <f t="shared" ref="BL98:BZ98" si="92">IF(OR(X98="",X98=0),"-",IFERROR((X98/W98-1)*(W98/W$13),"-"))</f>
        <v>-2.1348403421065875E-4</v>
      </c>
      <c r="BM98" s="1055">
        <f t="shared" si="92"/>
        <v>-4.4436674279214427E-4</v>
      </c>
      <c r="BN98" s="1055">
        <f t="shared" si="92"/>
        <v>-2.5047197612936962E-5</v>
      </c>
      <c r="BO98" s="2308">
        <f t="shared" si="92"/>
        <v>7.0807304532099504E-5</v>
      </c>
      <c r="BP98" s="1055">
        <f t="shared" si="92"/>
        <v>1.9316036967790749E-5</v>
      </c>
      <c r="BQ98" s="2309">
        <f t="shared" si="92"/>
        <v>0</v>
      </c>
      <c r="BR98" s="1055">
        <f t="shared" si="92"/>
        <v>3.0847222997834534E-6</v>
      </c>
      <c r="BS98" s="1055">
        <f t="shared" si="92"/>
        <v>6.0787767961971709E-6</v>
      </c>
      <c r="BT98" s="1055">
        <f t="shared" si="92"/>
        <v>6.0167997075045136E-6</v>
      </c>
      <c r="BU98" s="1056">
        <f t="shared" si="92"/>
        <v>5.9553493199428835E-6</v>
      </c>
      <c r="BV98" s="1055">
        <f t="shared" si="92"/>
        <v>5.9052837195811874E-6</v>
      </c>
      <c r="BW98" s="1055">
        <f t="shared" si="92"/>
        <v>5.855443737564376E-6</v>
      </c>
      <c r="BX98" s="1055">
        <f t="shared" si="92"/>
        <v>5.8058327282691512E-6</v>
      </c>
      <c r="BY98" s="1055">
        <f t="shared" si="92"/>
        <v>5.7564539269139916E-6</v>
      </c>
      <c r="BZ98" s="1056">
        <f t="shared" si="92"/>
        <v>5.7073104513573347E-6</v>
      </c>
      <c r="CA98" s="1048"/>
    </row>
    <row r="99" spans="3:79" x14ac:dyDescent="0.3">
      <c r="C99" s="126"/>
      <c r="D99" s="126">
        <f>D96+1</f>
        <v>11</v>
      </c>
      <c r="E99" s="553" t="s">
        <v>45</v>
      </c>
      <c r="F99" s="2105" t="s">
        <v>317</v>
      </c>
      <c r="G99" s="2105" t="s">
        <v>1189</v>
      </c>
      <c r="H99" s="2105" t="s">
        <v>1198</v>
      </c>
      <c r="I99" s="573" t="s">
        <v>321</v>
      </c>
      <c r="J99" s="573" t="s">
        <v>348</v>
      </c>
      <c r="K99" s="1969"/>
      <c r="L99" s="1970"/>
      <c r="M99" s="1970"/>
      <c r="N99" s="1971"/>
      <c r="O99" s="1970"/>
      <c r="P99" s="1970"/>
      <c r="Q99" s="1970"/>
      <c r="R99" s="1972"/>
      <c r="S99" s="1971"/>
      <c r="T99" s="1970"/>
      <c r="U99" s="1970"/>
      <c r="V99" s="1970"/>
      <c r="W99" s="1709">
        <v>0.41339999999999999</v>
      </c>
      <c r="X99" s="1710">
        <v>0.42120000000000002</v>
      </c>
      <c r="Y99" s="1709">
        <v>0.42680000000000001</v>
      </c>
      <c r="Z99" s="1709">
        <v>0.43609999999999999</v>
      </c>
      <c r="AA99" s="1709">
        <v>0.44090000000000001</v>
      </c>
      <c r="AB99" s="1711">
        <v>0.46329999999999999</v>
      </c>
      <c r="AC99" s="1709">
        <v>0.46329999999999999</v>
      </c>
      <c r="AD99" s="1709">
        <v>0.46793299999999999</v>
      </c>
      <c r="AE99" s="1709">
        <v>0.47261232999999997</v>
      </c>
      <c r="AF99" s="1709">
        <v>0.47733845329999997</v>
      </c>
      <c r="AG99" s="1712">
        <v>0.48211183783299999</v>
      </c>
      <c r="AH99" s="1709">
        <v>0.48693295621132998</v>
      </c>
      <c r="AI99" s="1709">
        <v>0.49180228577344326</v>
      </c>
      <c r="AJ99" s="1709">
        <v>0.49672030863117772</v>
      </c>
      <c r="AK99" s="1709">
        <v>0.50168751171748949</v>
      </c>
      <c r="AL99" s="1712">
        <v>0.50670438683466434</v>
      </c>
      <c r="AM99" s="560"/>
      <c r="AN99" s="1052"/>
      <c r="AO99" s="992"/>
      <c r="AP99" s="2297" t="str">
        <f t="shared" si="36"/>
        <v>Price</v>
      </c>
      <c r="AQ99" s="2298" t="str">
        <f t="shared" si="36"/>
        <v>Trade Waste</v>
      </c>
      <c r="AR99" s="1719" t="str">
        <f t="shared" si="37"/>
        <v>Variable</v>
      </c>
      <c r="AS99" s="2299">
        <f t="shared" si="70"/>
        <v>1.8867924528301883E-2</v>
      </c>
      <c r="AT99" s="1728">
        <f t="shared" si="70"/>
        <v>1.3295346628680038E-2</v>
      </c>
      <c r="AU99" s="1728">
        <f t="shared" si="70"/>
        <v>2.1790065604498476E-2</v>
      </c>
      <c r="AV99" s="2300">
        <f t="shared" si="70"/>
        <v>1.1006649850951788E-2</v>
      </c>
      <c r="AW99" s="1728">
        <f t="shared" si="70"/>
        <v>5.0805171240644098E-2</v>
      </c>
      <c r="AX99" s="2301">
        <f t="shared" si="70"/>
        <v>0</v>
      </c>
      <c r="AY99" s="1728">
        <f t="shared" si="70"/>
        <v>1.0000000000000009E-2</v>
      </c>
      <c r="AZ99" s="1728">
        <f t="shared" si="70"/>
        <v>1.0000000000000009E-2</v>
      </c>
      <c r="BA99" s="1728">
        <f t="shared" si="70"/>
        <v>1.0000000000000009E-2</v>
      </c>
      <c r="BB99" s="1729">
        <f t="shared" si="70"/>
        <v>1.0000000000000009E-2</v>
      </c>
      <c r="BC99" s="1728">
        <f t="shared" si="70"/>
        <v>1.0000000000000009E-2</v>
      </c>
      <c r="BD99" s="1728">
        <f t="shared" si="70"/>
        <v>1.0000000000000009E-2</v>
      </c>
      <c r="BE99" s="1728">
        <f t="shared" si="70"/>
        <v>1.0000000000000009E-2</v>
      </c>
      <c r="BF99" s="1728">
        <f t="shared" si="70"/>
        <v>1.0000000000000009E-2</v>
      </c>
      <c r="BG99" s="1729">
        <f t="shared" si="70"/>
        <v>1.0000000000000009E-2</v>
      </c>
      <c r="BH99" s="1048"/>
      <c r="BI99" s="2297" t="str">
        <f t="shared" si="65"/>
        <v>Price</v>
      </c>
      <c r="BJ99" s="2298" t="str">
        <f t="shared" si="65"/>
        <v>Trade Waste</v>
      </c>
      <c r="BK99" s="1719" t="str">
        <f t="shared" si="65"/>
        <v>Variable</v>
      </c>
      <c r="BL99" s="2299">
        <f t="shared" ref="BL99:BZ99" si="93">IF(OR(X99="",X99=0),"-",IFERROR((X99/W99-1)*(W101/W$13),"-"))</f>
        <v>1.5240298830307132E-4</v>
      </c>
      <c r="BM99" s="1053">
        <f t="shared" si="93"/>
        <v>1.024261519844993E-4</v>
      </c>
      <c r="BN99" s="1053">
        <f t="shared" si="93"/>
        <v>1.6300026853397791E-4</v>
      </c>
      <c r="BO99" s="2302">
        <f t="shared" si="93"/>
        <v>7.4153986448583862E-5</v>
      </c>
      <c r="BP99" s="1053">
        <f t="shared" si="93"/>
        <v>3.4501028480208548E-4</v>
      </c>
      <c r="BQ99" s="2303">
        <f t="shared" si="93"/>
        <v>0</v>
      </c>
      <c r="BR99" s="1053">
        <f t="shared" si="93"/>
        <v>6.65607462997241E-5</v>
      </c>
      <c r="BS99" s="1053">
        <f t="shared" si="93"/>
        <v>6.5256270466470441E-5</v>
      </c>
      <c r="BT99" s="1053">
        <f t="shared" si="93"/>
        <v>6.4590940286066663E-5</v>
      </c>
      <c r="BU99" s="1054">
        <f t="shared" si="93"/>
        <v>6.3931264294425682E-5</v>
      </c>
      <c r="BV99" s="1053">
        <f t="shared" si="93"/>
        <v>6.3393805120022593E-5</v>
      </c>
      <c r="BW99" s="1053">
        <f t="shared" si="93"/>
        <v>6.2858767980877772E-5</v>
      </c>
      <c r="BX99" s="1053">
        <f t="shared" si="93"/>
        <v>6.2326188886559144E-5</v>
      </c>
      <c r="BY99" s="1053">
        <f t="shared" si="93"/>
        <v>6.1796102567457243E-5</v>
      </c>
      <c r="BZ99" s="1054">
        <f t="shared" si="93"/>
        <v>6.1268542494088887E-5</v>
      </c>
      <c r="CA99" s="1048"/>
    </row>
    <row r="100" spans="3:79" x14ac:dyDescent="0.3">
      <c r="C100" s="126"/>
      <c r="D100" s="126"/>
      <c r="E100" s="558" t="s">
        <v>46</v>
      </c>
      <c r="F100" s="2161" t="str">
        <f t="shared" si="73"/>
        <v>Trade Waste</v>
      </c>
      <c r="G100" s="2163" t="str">
        <f t="shared" si="73"/>
        <v>Major</v>
      </c>
      <c r="H100" s="2163" t="str">
        <f t="shared" si="73"/>
        <v>Volume</v>
      </c>
      <c r="I100" s="2164" t="str">
        <f t="shared" si="73"/>
        <v>Variable</v>
      </c>
      <c r="J100" s="574" t="s">
        <v>48</v>
      </c>
      <c r="K100" s="1973"/>
      <c r="L100" s="1974"/>
      <c r="M100" s="1974"/>
      <c r="N100" s="1975"/>
      <c r="O100" s="1974"/>
      <c r="P100" s="1974"/>
      <c r="Q100" s="1974"/>
      <c r="R100" s="1976"/>
      <c r="S100" s="1975"/>
      <c r="T100" s="1974"/>
      <c r="U100" s="1974"/>
      <c r="V100" s="1974"/>
      <c r="W100" s="1713">
        <v>1800182.692</v>
      </c>
      <c r="X100" s="1714">
        <v>1728526.895</v>
      </c>
      <c r="Y100" s="1713">
        <v>1638022.389</v>
      </c>
      <c r="Z100" s="1713">
        <v>1460933.3319999999</v>
      </c>
      <c r="AA100" s="1713">
        <v>1475915.28</v>
      </c>
      <c r="AB100" s="1715">
        <v>1490674.4328000001</v>
      </c>
      <c r="AC100" s="1713">
        <v>1490674.4328000001</v>
      </c>
      <c r="AD100" s="1713">
        <v>1490674.4328000001</v>
      </c>
      <c r="AE100" s="1713">
        <v>1505581.1771280002</v>
      </c>
      <c r="AF100" s="1713">
        <v>1520636.9888992801</v>
      </c>
      <c r="AG100" s="1716">
        <v>1535843.3587882728</v>
      </c>
      <c r="AH100" s="1713">
        <v>1551201.7923761555</v>
      </c>
      <c r="AI100" s="1713">
        <v>1566713.8102999171</v>
      </c>
      <c r="AJ100" s="1713">
        <v>1582380.9484029163</v>
      </c>
      <c r="AK100" s="1713">
        <v>1598204.7578869455</v>
      </c>
      <c r="AL100" s="1716">
        <v>1614186.8054658149</v>
      </c>
      <c r="AM100" s="560"/>
      <c r="AN100" s="991"/>
      <c r="AO100" s="992"/>
      <c r="AP100" s="2285" t="str">
        <f t="shared" si="36"/>
        <v>Qty</v>
      </c>
      <c r="AQ100" s="2286" t="str">
        <f t="shared" si="36"/>
        <v>Trade Waste</v>
      </c>
      <c r="AR100" s="2287" t="str">
        <f t="shared" si="37"/>
        <v>Variable</v>
      </c>
      <c r="AS100" s="2288">
        <f t="shared" si="70"/>
        <v>-3.9804736107306171E-2</v>
      </c>
      <c r="AT100" s="1720">
        <f t="shared" si="70"/>
        <v>-5.2359327622726992E-2</v>
      </c>
      <c r="AU100" s="1720">
        <f t="shared" si="70"/>
        <v>-0.10811149968964195</v>
      </c>
      <c r="AV100" s="2289">
        <f t="shared" si="70"/>
        <v>1.0255052487227356E-2</v>
      </c>
      <c r="AW100" s="1720">
        <f t="shared" si="70"/>
        <v>1.0000000000000009E-2</v>
      </c>
      <c r="AX100" s="2290">
        <f t="shared" si="70"/>
        <v>0</v>
      </c>
      <c r="AY100" s="1720">
        <f t="shared" si="70"/>
        <v>0</v>
      </c>
      <c r="AZ100" s="1720">
        <f t="shared" si="70"/>
        <v>1.0000000000000009E-2</v>
      </c>
      <c r="BA100" s="1720">
        <f t="shared" si="70"/>
        <v>1.0000000000000009E-2</v>
      </c>
      <c r="BB100" s="1721">
        <f t="shared" si="70"/>
        <v>1.0000000000000009E-2</v>
      </c>
      <c r="BC100" s="1720">
        <f t="shared" si="70"/>
        <v>1.0000000000000009E-2</v>
      </c>
      <c r="BD100" s="1720">
        <f t="shared" si="70"/>
        <v>1.0000000000000009E-2</v>
      </c>
      <c r="BE100" s="1720">
        <f t="shared" si="70"/>
        <v>1.0000000000000009E-2</v>
      </c>
      <c r="BF100" s="1720">
        <f t="shared" si="70"/>
        <v>1.0000000000000009E-2</v>
      </c>
      <c r="BG100" s="1721">
        <f t="shared" si="70"/>
        <v>1.0000000000000009E-2</v>
      </c>
      <c r="BH100" s="1048"/>
      <c r="BI100" s="2285" t="str">
        <f t="shared" si="65"/>
        <v>Qty</v>
      </c>
      <c r="BJ100" s="2286" t="str">
        <f t="shared" si="65"/>
        <v>Trade Waste</v>
      </c>
      <c r="BK100" s="2287" t="str">
        <f t="shared" si="65"/>
        <v>Variable</v>
      </c>
      <c r="BL100" s="2288">
        <f t="shared" ref="BL100:BZ100" si="94">IF(OR(X100="",X100=0),"-",IFERROR((X100/W100-1)*(W101/W$13),"-"))</f>
        <v>-3.2151711876253708E-4</v>
      </c>
      <c r="BM100" s="1720">
        <f t="shared" si="94"/>
        <v>-4.0337154033448936E-4</v>
      </c>
      <c r="BN100" s="1720">
        <f t="shared" si="94"/>
        <v>-8.0872649953769166E-4</v>
      </c>
      <c r="BO100" s="2289">
        <f t="shared" si="94"/>
        <v>6.9090325709018002E-5</v>
      </c>
      <c r="BP100" s="1720">
        <f t="shared" si="94"/>
        <v>6.790849757555346E-5</v>
      </c>
      <c r="BQ100" s="2290">
        <f t="shared" si="94"/>
        <v>0</v>
      </c>
      <c r="BR100" s="1720">
        <f t="shared" si="94"/>
        <v>0</v>
      </c>
      <c r="BS100" s="1720">
        <f t="shared" si="94"/>
        <v>6.5256270466470441E-5</v>
      </c>
      <c r="BT100" s="1720">
        <f t="shared" si="94"/>
        <v>6.4590940286066663E-5</v>
      </c>
      <c r="BU100" s="1721">
        <f t="shared" si="94"/>
        <v>6.3931264294425682E-5</v>
      </c>
      <c r="BV100" s="1720">
        <f t="shared" si="94"/>
        <v>6.3393805120022593E-5</v>
      </c>
      <c r="BW100" s="1720">
        <f t="shared" si="94"/>
        <v>6.2858767980877772E-5</v>
      </c>
      <c r="BX100" s="1720">
        <f t="shared" si="94"/>
        <v>6.2326188886559144E-5</v>
      </c>
      <c r="BY100" s="1720">
        <f t="shared" si="94"/>
        <v>6.1796102567457243E-5</v>
      </c>
      <c r="BZ100" s="1721">
        <f t="shared" si="94"/>
        <v>6.1268542494088887E-5</v>
      </c>
      <c r="CA100" s="1048"/>
    </row>
    <row r="101" spans="3:79" ht="12.5" thickBot="1" x14ac:dyDescent="0.35">
      <c r="C101" s="126"/>
      <c r="D101" s="126"/>
      <c r="E101" s="559" t="s">
        <v>47</v>
      </c>
      <c r="F101" s="2162" t="str">
        <f t="shared" ref="F101:I101" si="95">+F99</f>
        <v>Trade Waste</v>
      </c>
      <c r="G101" s="2165" t="str">
        <f t="shared" si="95"/>
        <v>Major</v>
      </c>
      <c r="H101" s="2165" t="str">
        <f t="shared" si="95"/>
        <v>Volume</v>
      </c>
      <c r="I101" s="2166" t="str">
        <f t="shared" si="95"/>
        <v>Variable</v>
      </c>
      <c r="J101" s="2106" t="s">
        <v>347</v>
      </c>
      <c r="K101" s="1977"/>
      <c r="L101" s="1206"/>
      <c r="M101" s="1206"/>
      <c r="N101" s="1978"/>
      <c r="O101" s="1206"/>
      <c r="P101" s="1206"/>
      <c r="Q101" s="1206"/>
      <c r="R101" s="1206"/>
      <c r="S101" s="1978"/>
      <c r="T101" s="1206"/>
      <c r="U101" s="1206"/>
      <c r="V101" s="1206"/>
      <c r="W101" s="1731">
        <f t="shared" ref="W101:AG101" si="96">W99*W100/10^6</f>
        <v>0.74419552487279994</v>
      </c>
      <c r="X101" s="1730">
        <f t="shared" si="96"/>
        <v>0.7280555281740001</v>
      </c>
      <c r="Y101" s="1731">
        <f t="shared" si="96"/>
        <v>0.69910795562520012</v>
      </c>
      <c r="Z101" s="1731">
        <f t="shared" si="96"/>
        <v>0.63711302608519993</v>
      </c>
      <c r="AA101" s="1731">
        <f t="shared" si="96"/>
        <v>0.65073104695200001</v>
      </c>
      <c r="AB101" s="1733">
        <f t="shared" si="96"/>
        <v>0.69062946471624009</v>
      </c>
      <c r="AC101" s="1731">
        <f t="shared" si="96"/>
        <v>0.69062946471624009</v>
      </c>
      <c r="AD101" s="1731">
        <f t="shared" si="96"/>
        <v>0.6975357593634024</v>
      </c>
      <c r="AE101" s="1731">
        <f t="shared" si="96"/>
        <v>0.71155622812660679</v>
      </c>
      <c r="AF101" s="1731">
        <f t="shared" si="96"/>
        <v>0.72585850831195153</v>
      </c>
      <c r="AG101" s="1733">
        <f t="shared" si="96"/>
        <v>0.74044826432902178</v>
      </c>
      <c r="AH101" s="1731">
        <f>AH99*AH100/10^6</f>
        <v>0.75533127444203507</v>
      </c>
      <c r="AI101" s="1731">
        <f>AI99*AI100/10^6</f>
        <v>0.77051343305831999</v>
      </c>
      <c r="AJ101" s="1731">
        <f>AJ99*AJ100/10^6</f>
        <v>0.78600075306279238</v>
      </c>
      <c r="AK101" s="1731">
        <f>AK99*AK100/10^6</f>
        <v>0.80179936819935438</v>
      </c>
      <c r="AL101" s="1733">
        <f>AL99*AL100/10^6</f>
        <v>0.81791553550016138</v>
      </c>
      <c r="AM101" s="560"/>
      <c r="AN101" s="991"/>
      <c r="AO101" s="992"/>
      <c r="AP101" s="2304" t="str">
        <f t="shared" si="36"/>
        <v>Rev</v>
      </c>
      <c r="AQ101" s="2305" t="str">
        <f t="shared" si="36"/>
        <v>Trade Waste</v>
      </c>
      <c r="AR101" s="2306" t="str">
        <f t="shared" si="37"/>
        <v>Variable</v>
      </c>
      <c r="AS101" s="2307">
        <f t="shared" si="70"/>
        <v>-2.1687844335745665E-2</v>
      </c>
      <c r="AT101" s="1055">
        <f t="shared" si="70"/>
        <v>-3.9760116404035761E-2</v>
      </c>
      <c r="AU101" s="1055">
        <f t="shared" si="70"/>
        <v>-8.8677190755981572E-2</v>
      </c>
      <c r="AV101" s="2308">
        <f t="shared" si="70"/>
        <v>2.1374576110109178E-2</v>
      </c>
      <c r="AW101" s="1055">
        <f t="shared" si="70"/>
        <v>6.1313222953050639E-2</v>
      </c>
      <c r="AX101" s="2309">
        <f t="shared" si="70"/>
        <v>0</v>
      </c>
      <c r="AY101" s="1055">
        <f t="shared" si="70"/>
        <v>9.9999999999997868E-3</v>
      </c>
      <c r="AZ101" s="1055">
        <f t="shared" si="70"/>
        <v>2.0100000000000007E-2</v>
      </c>
      <c r="BA101" s="1055">
        <f t="shared" si="70"/>
        <v>2.0100000000000007E-2</v>
      </c>
      <c r="BB101" s="1056">
        <f t="shared" si="70"/>
        <v>2.0100000000000007E-2</v>
      </c>
      <c r="BC101" s="1055">
        <f t="shared" si="70"/>
        <v>2.0100000000000007E-2</v>
      </c>
      <c r="BD101" s="1055">
        <f t="shared" si="70"/>
        <v>2.0100000000000007E-2</v>
      </c>
      <c r="BE101" s="1055">
        <f t="shared" si="70"/>
        <v>2.0100000000000229E-2</v>
      </c>
      <c r="BF101" s="1055">
        <f t="shared" si="70"/>
        <v>2.0099999999999785E-2</v>
      </c>
      <c r="BG101" s="1056">
        <f t="shared" si="70"/>
        <v>2.0100000000000007E-2</v>
      </c>
      <c r="BH101" s="1048"/>
      <c r="BI101" s="2304" t="str">
        <f t="shared" si="65"/>
        <v>Rev</v>
      </c>
      <c r="BJ101" s="2305" t="str">
        <f t="shared" si="65"/>
        <v>Trade Waste</v>
      </c>
      <c r="BK101" s="2306" t="str">
        <f t="shared" si="65"/>
        <v>Variable</v>
      </c>
      <c r="BL101" s="2307">
        <f t="shared" ref="BL101:BZ101" si="97">IF(OR(X101="",X101=0),"-",IFERROR((X101/W101-1)*(W101/W$13),"-"))</f>
        <v>-1.7518049119083238E-4</v>
      </c>
      <c r="BM101" s="1055">
        <f t="shared" si="97"/>
        <v>-3.0630835279888194E-4</v>
      </c>
      <c r="BN101" s="1055">
        <f t="shared" si="97"/>
        <v>-6.6334843448473705E-4</v>
      </c>
      <c r="BO101" s="2308">
        <f t="shared" si="97"/>
        <v>1.4400476518076916E-4</v>
      </c>
      <c r="BP101" s="1055">
        <f t="shared" si="97"/>
        <v>4.1636888522566043E-4</v>
      </c>
      <c r="BQ101" s="2309">
        <f t="shared" si="97"/>
        <v>0</v>
      </c>
      <c r="BR101" s="1055">
        <f t="shared" si="97"/>
        <v>6.6560746299722622E-5</v>
      </c>
      <c r="BS101" s="1055">
        <f t="shared" si="97"/>
        <v>1.311651036376055E-4</v>
      </c>
      <c r="BT101" s="1055">
        <f t="shared" si="97"/>
        <v>1.2982778997499392E-4</v>
      </c>
      <c r="BU101" s="1056">
        <f t="shared" si="97"/>
        <v>1.2850184123179556E-4</v>
      </c>
      <c r="BV101" s="1055">
        <f t="shared" si="97"/>
        <v>1.2742154829124534E-4</v>
      </c>
      <c r="BW101" s="1055">
        <f t="shared" si="97"/>
        <v>1.2634612364156424E-4</v>
      </c>
      <c r="BX101" s="1055">
        <f t="shared" si="97"/>
        <v>1.2527563966198519E-4</v>
      </c>
      <c r="BY101" s="1055">
        <f t="shared" si="97"/>
        <v>1.2421016616058763E-4</v>
      </c>
      <c r="BZ101" s="1056">
        <f t="shared" si="97"/>
        <v>1.2314977041311858E-4</v>
      </c>
      <c r="CA101" s="1048"/>
    </row>
    <row r="102" spans="3:79" x14ac:dyDescent="0.3">
      <c r="C102" s="126"/>
      <c r="D102" s="126">
        <f>D99+1</f>
        <v>12</v>
      </c>
      <c r="E102" s="553" t="s">
        <v>45</v>
      </c>
      <c r="F102" s="2105" t="s">
        <v>317</v>
      </c>
      <c r="G102" s="2105" t="s">
        <v>1190</v>
      </c>
      <c r="H102" s="2105" t="s">
        <v>1199</v>
      </c>
      <c r="I102" s="573" t="s">
        <v>321</v>
      </c>
      <c r="J102" s="573" t="s">
        <v>348</v>
      </c>
      <c r="K102" s="1969"/>
      <c r="L102" s="1970"/>
      <c r="M102" s="1970"/>
      <c r="N102" s="1971"/>
      <c r="O102" s="1970"/>
      <c r="P102" s="1970"/>
      <c r="Q102" s="1970"/>
      <c r="R102" s="1972"/>
      <c r="S102" s="1971"/>
      <c r="T102" s="1970"/>
      <c r="U102" s="1970"/>
      <c r="V102" s="1970"/>
      <c r="W102" s="1709">
        <v>308.42</v>
      </c>
      <c r="X102" s="1710">
        <v>314.27999999999997</v>
      </c>
      <c r="Y102" s="1709">
        <v>318.45999999999998</v>
      </c>
      <c r="Z102" s="1709">
        <v>325.43</v>
      </c>
      <c r="AA102" s="1709">
        <v>329.05</v>
      </c>
      <c r="AB102" s="1711">
        <v>345.79</v>
      </c>
      <c r="AC102" s="1709">
        <v>345.79</v>
      </c>
      <c r="AD102" s="1709">
        <v>349.24790000000002</v>
      </c>
      <c r="AE102" s="1709">
        <v>352.74037900000002</v>
      </c>
      <c r="AF102" s="1709">
        <v>356.26778279000001</v>
      </c>
      <c r="AG102" s="1712">
        <v>359.83046061790003</v>
      </c>
      <c r="AH102" s="1709">
        <v>363.42876522407903</v>
      </c>
      <c r="AI102" s="1709">
        <v>367.06305287631983</v>
      </c>
      <c r="AJ102" s="1709">
        <v>370.73368340508301</v>
      </c>
      <c r="AK102" s="1709">
        <v>374.44102023913382</v>
      </c>
      <c r="AL102" s="1712">
        <v>378.18543044152517</v>
      </c>
      <c r="AM102" s="560"/>
      <c r="AN102" s="1052"/>
      <c r="AO102" s="992"/>
      <c r="AP102" s="2297" t="str">
        <f t="shared" si="36"/>
        <v>Price</v>
      </c>
      <c r="AQ102" s="2298" t="str">
        <f t="shared" si="36"/>
        <v>Trade Waste</v>
      </c>
      <c r="AR102" s="1719" t="str">
        <f t="shared" si="37"/>
        <v>Variable</v>
      </c>
      <c r="AS102" s="2299">
        <f t="shared" si="70"/>
        <v>1.9000064846637521E-2</v>
      </c>
      <c r="AT102" s="1728">
        <f t="shared" si="70"/>
        <v>1.3300241822578718E-2</v>
      </c>
      <c r="AU102" s="1728">
        <f t="shared" si="70"/>
        <v>2.1886579162218256E-2</v>
      </c>
      <c r="AV102" s="2300">
        <f t="shared" si="70"/>
        <v>1.1123743969517319E-2</v>
      </c>
      <c r="AW102" s="1728">
        <f t="shared" si="70"/>
        <v>5.0873727397052093E-2</v>
      </c>
      <c r="AX102" s="2301">
        <f t="shared" si="70"/>
        <v>0</v>
      </c>
      <c r="AY102" s="1728">
        <f t="shared" si="70"/>
        <v>1.0000000000000009E-2</v>
      </c>
      <c r="AZ102" s="1728">
        <f t="shared" si="70"/>
        <v>1.0000000000000009E-2</v>
      </c>
      <c r="BA102" s="1728">
        <f t="shared" si="70"/>
        <v>1.0000000000000009E-2</v>
      </c>
      <c r="BB102" s="1729">
        <f t="shared" si="70"/>
        <v>1.0000000000000009E-2</v>
      </c>
      <c r="BC102" s="1728">
        <f t="shared" si="70"/>
        <v>1.0000000000000009E-2</v>
      </c>
      <c r="BD102" s="1728">
        <f t="shared" si="70"/>
        <v>1.0000000000000009E-2</v>
      </c>
      <c r="BE102" s="1728">
        <f t="shared" si="70"/>
        <v>1.0000000000000009E-2</v>
      </c>
      <c r="BF102" s="1728">
        <f t="shared" si="70"/>
        <v>1.0000000000000009E-2</v>
      </c>
      <c r="BG102" s="1729">
        <f t="shared" si="70"/>
        <v>1.0000000000000009E-2</v>
      </c>
      <c r="BH102" s="1048"/>
      <c r="BI102" s="2297" t="str">
        <f t="shared" si="65"/>
        <v>Price</v>
      </c>
      <c r="BJ102" s="2298" t="str">
        <f t="shared" si="65"/>
        <v>Trade Waste</v>
      </c>
      <c r="BK102" s="1719" t="str">
        <f t="shared" si="65"/>
        <v>Variable</v>
      </c>
      <c r="BL102" s="2299">
        <f t="shared" ref="BL102:BZ102" si="98">IF(OR(X102="",X102=0),"-",IFERROR((X102/W102-1)*(W104/W$13),"-"))</f>
        <v>1.2440813070656971E-4</v>
      </c>
      <c r="BM102" s="1053">
        <f t="shared" si="98"/>
        <v>8.4347781362857565E-5</v>
      </c>
      <c r="BN102" s="1053">
        <f t="shared" si="98"/>
        <v>1.6042007914764372E-4</v>
      </c>
      <c r="BO102" s="2302">
        <f t="shared" si="98"/>
        <v>8.0273069328261199E-5</v>
      </c>
      <c r="BP102" s="1053">
        <f t="shared" si="98"/>
        <v>3.764656210831628E-4</v>
      </c>
      <c r="BQ102" s="2303">
        <f t="shared" si="98"/>
        <v>0</v>
      </c>
      <c r="BR102" s="1053">
        <f t="shared" si="98"/>
        <v>7.2536092693765151E-5</v>
      </c>
      <c r="BS102" s="1053">
        <f t="shared" si="98"/>
        <v>7.1114510376590082E-5</v>
      </c>
      <c r="BT102" s="1053">
        <f t="shared" si="98"/>
        <v>7.0389451624688337E-5</v>
      </c>
      <c r="BU102" s="1054">
        <f t="shared" si="98"/>
        <v>6.9670554654061668E-5</v>
      </c>
      <c r="BV102" s="1053">
        <f t="shared" si="98"/>
        <v>6.9084846249921081E-5</v>
      </c>
      <c r="BW102" s="1053">
        <f t="shared" si="98"/>
        <v>6.8501777313992158E-5</v>
      </c>
      <c r="BX102" s="1053">
        <f t="shared" si="98"/>
        <v>6.7921387088523523E-5</v>
      </c>
      <c r="BY102" s="1053">
        <f t="shared" si="98"/>
        <v>6.734371342175106E-5</v>
      </c>
      <c r="BZ102" s="1054">
        <f t="shared" si="98"/>
        <v>6.6768792788934552E-5</v>
      </c>
      <c r="CA102" s="1048"/>
    </row>
    <row r="103" spans="3:79" x14ac:dyDescent="0.3">
      <c r="C103" s="126"/>
      <c r="D103" s="126"/>
      <c r="E103" s="558" t="s">
        <v>46</v>
      </c>
      <c r="F103" s="2161" t="str">
        <f t="shared" si="73"/>
        <v>Trade Waste</v>
      </c>
      <c r="G103" s="2163" t="str">
        <f t="shared" si="73"/>
        <v>Minor</v>
      </c>
      <c r="H103" s="2163" t="str">
        <f t="shared" si="73"/>
        <v>A</v>
      </c>
      <c r="I103" s="2164" t="str">
        <f t="shared" si="73"/>
        <v>Variable</v>
      </c>
      <c r="J103" s="574" t="s">
        <v>48</v>
      </c>
      <c r="K103" s="1973"/>
      <c r="L103" s="1974"/>
      <c r="M103" s="1974"/>
      <c r="N103" s="1975"/>
      <c r="O103" s="1974"/>
      <c r="P103" s="1974"/>
      <c r="Q103" s="1974"/>
      <c r="R103" s="1976"/>
      <c r="S103" s="1975"/>
      <c r="T103" s="1974"/>
      <c r="U103" s="1974"/>
      <c r="V103" s="1974"/>
      <c r="W103" s="1713">
        <v>1956</v>
      </c>
      <c r="X103" s="1714">
        <v>1907</v>
      </c>
      <c r="Y103" s="1713">
        <v>2151</v>
      </c>
      <c r="Z103" s="1713">
        <v>2097</v>
      </c>
      <c r="AA103" s="1713">
        <v>2155</v>
      </c>
      <c r="AB103" s="1715">
        <v>2176.5500000000002</v>
      </c>
      <c r="AC103" s="1713">
        <v>2176.5500000000002</v>
      </c>
      <c r="AD103" s="1713">
        <v>2176.5500000000002</v>
      </c>
      <c r="AE103" s="1713">
        <v>2198.3155000000002</v>
      </c>
      <c r="AF103" s="1713">
        <v>2220.2986550000001</v>
      </c>
      <c r="AG103" s="1716">
        <v>2242.5016415499999</v>
      </c>
      <c r="AH103" s="1713">
        <v>2264.9266579655</v>
      </c>
      <c r="AI103" s="1713">
        <v>2287.575924545155</v>
      </c>
      <c r="AJ103" s="1713">
        <v>2310.4516837906067</v>
      </c>
      <c r="AK103" s="1713">
        <v>2333.5562006285127</v>
      </c>
      <c r="AL103" s="1716">
        <v>2356.8917626347979</v>
      </c>
      <c r="AM103" s="560"/>
      <c r="AN103" s="991"/>
      <c r="AO103" s="992"/>
      <c r="AP103" s="2285" t="str">
        <f t="shared" si="36"/>
        <v>Qty</v>
      </c>
      <c r="AQ103" s="2286" t="str">
        <f t="shared" si="36"/>
        <v>Trade Waste</v>
      </c>
      <c r="AR103" s="2287" t="str">
        <f t="shared" si="37"/>
        <v>Variable</v>
      </c>
      <c r="AS103" s="2288">
        <f t="shared" ref="AS103:BG119" si="99">IF(OR(X103="",X103=0),"-",IFERROR(X103/W103-1,"-"))</f>
        <v>-2.5051124744376319E-2</v>
      </c>
      <c r="AT103" s="1720">
        <f t="shared" si="99"/>
        <v>0.12794965915049827</v>
      </c>
      <c r="AU103" s="1720">
        <f t="shared" si="99"/>
        <v>-2.5104602510460206E-2</v>
      </c>
      <c r="AV103" s="2289">
        <f t="shared" si="99"/>
        <v>2.7658559847401065E-2</v>
      </c>
      <c r="AW103" s="1720">
        <f t="shared" si="99"/>
        <v>1.0000000000000009E-2</v>
      </c>
      <c r="AX103" s="2290">
        <f t="shared" si="99"/>
        <v>0</v>
      </c>
      <c r="AY103" s="1720">
        <f t="shared" si="99"/>
        <v>0</v>
      </c>
      <c r="AZ103" s="1720">
        <f t="shared" si="99"/>
        <v>1.0000000000000009E-2</v>
      </c>
      <c r="BA103" s="1720">
        <f t="shared" si="99"/>
        <v>1.0000000000000009E-2</v>
      </c>
      <c r="BB103" s="1721">
        <f t="shared" si="99"/>
        <v>1.0000000000000009E-2</v>
      </c>
      <c r="BC103" s="1720">
        <f t="shared" si="99"/>
        <v>1.0000000000000009E-2</v>
      </c>
      <c r="BD103" s="1720">
        <f t="shared" si="99"/>
        <v>1.0000000000000009E-2</v>
      </c>
      <c r="BE103" s="1720">
        <f t="shared" si="99"/>
        <v>1.0000000000000009E-2</v>
      </c>
      <c r="BF103" s="1720">
        <f t="shared" si="99"/>
        <v>1.0000000000000009E-2</v>
      </c>
      <c r="BG103" s="1721">
        <f t="shared" si="99"/>
        <v>1.0000000000000009E-2</v>
      </c>
      <c r="BH103" s="1048"/>
      <c r="BI103" s="2285" t="str">
        <f t="shared" si="65"/>
        <v>Qty</v>
      </c>
      <c r="BJ103" s="2286" t="str">
        <f t="shared" si="65"/>
        <v>Trade Waste</v>
      </c>
      <c r="BK103" s="2287" t="str">
        <f t="shared" si="65"/>
        <v>Variable</v>
      </c>
      <c r="BL103" s="2288">
        <f t="shared" ref="BL103:BZ103" si="100">IF(OR(X103="",X103=0),"-",IFERROR((X103/W103-1)*(W104/W$13),"-"))</f>
        <v>-1.6402910341100735E-4</v>
      </c>
      <c r="BM103" s="1720">
        <f t="shared" si="100"/>
        <v>8.1143410920222776E-4</v>
      </c>
      <c r="BN103" s="1720">
        <f t="shared" si="100"/>
        <v>-1.840069337400275E-4</v>
      </c>
      <c r="BO103" s="2289">
        <f t="shared" si="100"/>
        <v>1.9959444394211705E-4</v>
      </c>
      <c r="BP103" s="1720">
        <f t="shared" si="100"/>
        <v>7.4000007537284879E-5</v>
      </c>
      <c r="BQ103" s="2290">
        <f t="shared" si="100"/>
        <v>0</v>
      </c>
      <c r="BR103" s="1720">
        <f t="shared" si="100"/>
        <v>0</v>
      </c>
      <c r="BS103" s="1720">
        <f t="shared" si="100"/>
        <v>7.1114510376590082E-5</v>
      </c>
      <c r="BT103" s="1720">
        <f t="shared" si="100"/>
        <v>7.0389451624688337E-5</v>
      </c>
      <c r="BU103" s="1721">
        <f t="shared" si="100"/>
        <v>6.9670554654061668E-5</v>
      </c>
      <c r="BV103" s="1720">
        <f t="shared" si="100"/>
        <v>6.9084846249921081E-5</v>
      </c>
      <c r="BW103" s="1720">
        <f t="shared" si="100"/>
        <v>6.8501777313992158E-5</v>
      </c>
      <c r="BX103" s="1720">
        <f t="shared" si="100"/>
        <v>6.7921387088523523E-5</v>
      </c>
      <c r="BY103" s="1720">
        <f t="shared" si="100"/>
        <v>6.734371342175106E-5</v>
      </c>
      <c r="BZ103" s="1721">
        <f t="shared" si="100"/>
        <v>6.6768792788934552E-5</v>
      </c>
      <c r="CA103" s="1048"/>
    </row>
    <row r="104" spans="3:79" ht="12.5" thickBot="1" x14ac:dyDescent="0.35">
      <c r="C104" s="126"/>
      <c r="D104" s="126"/>
      <c r="E104" s="559" t="s">
        <v>47</v>
      </c>
      <c r="F104" s="2162" t="str">
        <f t="shared" ref="F104:I104" si="101">+F102</f>
        <v>Trade Waste</v>
      </c>
      <c r="G104" s="2165" t="str">
        <f t="shared" si="101"/>
        <v>Minor</v>
      </c>
      <c r="H104" s="2165" t="str">
        <f t="shared" si="101"/>
        <v>A</v>
      </c>
      <c r="I104" s="2166" t="str">
        <f t="shared" si="101"/>
        <v>Variable</v>
      </c>
      <c r="J104" s="2106" t="s">
        <v>347</v>
      </c>
      <c r="K104" s="1977"/>
      <c r="L104" s="1206"/>
      <c r="M104" s="1206"/>
      <c r="N104" s="1978"/>
      <c r="O104" s="1206"/>
      <c r="P104" s="1206"/>
      <c r="Q104" s="1206"/>
      <c r="R104" s="1206"/>
      <c r="S104" s="1978"/>
      <c r="T104" s="1206"/>
      <c r="U104" s="1206"/>
      <c r="V104" s="1206"/>
      <c r="W104" s="1731">
        <f t="shared" ref="W104:AG104" si="102">W102*W103/10^6</f>
        <v>0.60326952</v>
      </c>
      <c r="X104" s="1730">
        <f t="shared" si="102"/>
        <v>0.59933196</v>
      </c>
      <c r="Y104" s="1731">
        <f t="shared" si="102"/>
        <v>0.68500746000000001</v>
      </c>
      <c r="Z104" s="1731">
        <f t="shared" si="102"/>
        <v>0.68242670999999999</v>
      </c>
      <c r="AA104" s="1731">
        <f t="shared" si="102"/>
        <v>0.70910275</v>
      </c>
      <c r="AB104" s="1733">
        <f t="shared" si="102"/>
        <v>0.75262922450000014</v>
      </c>
      <c r="AC104" s="1731">
        <f t="shared" si="102"/>
        <v>0.75262922450000014</v>
      </c>
      <c r="AD104" s="1731">
        <f t="shared" si="102"/>
        <v>0.76015551674500015</v>
      </c>
      <c r="AE104" s="1731">
        <f t="shared" si="102"/>
        <v>0.77543464263157469</v>
      </c>
      <c r="AF104" s="1731">
        <f t="shared" si="102"/>
        <v>0.79102087894846917</v>
      </c>
      <c r="AG104" s="1733">
        <f t="shared" si="102"/>
        <v>0.80692039861533338</v>
      </c>
      <c r="AH104" s="1731">
        <f>AH102*AH103/10^6</f>
        <v>0.82313949862750169</v>
      </c>
      <c r="AI104" s="1731">
        <f>AI102*AI103/10^6</f>
        <v>0.83968460254991439</v>
      </c>
      <c r="AJ104" s="1731">
        <f>AJ102*AJ103/10^6</f>
        <v>0.85656226306116778</v>
      </c>
      <c r="AK104" s="1731">
        <f>AK102*AK103/10^6</f>
        <v>0.8737791645486972</v>
      </c>
      <c r="AL104" s="1733">
        <f>AL102*AL103/10^6</f>
        <v>0.89134212575612604</v>
      </c>
      <c r="AM104" s="560"/>
      <c r="AN104" s="991"/>
      <c r="AO104" s="992"/>
      <c r="AP104" s="2304" t="str">
        <f t="shared" si="36"/>
        <v>Rev</v>
      </c>
      <c r="AQ104" s="2305" t="str">
        <f t="shared" si="36"/>
        <v>Trade Waste</v>
      </c>
      <c r="AR104" s="2306" t="str">
        <f t="shared" si="37"/>
        <v>Variable</v>
      </c>
      <c r="AS104" s="2307">
        <f t="shared" si="99"/>
        <v>-6.527032892362894E-3</v>
      </c>
      <c r="AT104" s="1055">
        <f t="shared" si="99"/>
        <v>0.14295166238089485</v>
      </c>
      <c r="AU104" s="1055">
        <f t="shared" si="99"/>
        <v>-3.7674772184232985E-3</v>
      </c>
      <c r="AV104" s="2308">
        <f t="shared" si="99"/>
        <v>3.9089970555226339E-2</v>
      </c>
      <c r="AW104" s="1055">
        <f t="shared" si="99"/>
        <v>6.1382464671022818E-2</v>
      </c>
      <c r="AX104" s="2309">
        <f t="shared" si="99"/>
        <v>0</v>
      </c>
      <c r="AY104" s="1055">
        <f t="shared" si="99"/>
        <v>1.0000000000000009E-2</v>
      </c>
      <c r="AZ104" s="1055">
        <f t="shared" si="99"/>
        <v>2.0100000000000007E-2</v>
      </c>
      <c r="BA104" s="1055">
        <f t="shared" si="99"/>
        <v>2.0099999999999785E-2</v>
      </c>
      <c r="BB104" s="1056">
        <f t="shared" si="99"/>
        <v>2.0100000000000007E-2</v>
      </c>
      <c r="BC104" s="1055">
        <f t="shared" si="99"/>
        <v>2.0100000000000229E-2</v>
      </c>
      <c r="BD104" s="1055">
        <f t="shared" si="99"/>
        <v>2.0100000000000007E-2</v>
      </c>
      <c r="BE104" s="1055">
        <f t="shared" si="99"/>
        <v>2.0100000000000229E-2</v>
      </c>
      <c r="BF104" s="1055">
        <f t="shared" si="99"/>
        <v>2.0100000000000007E-2</v>
      </c>
      <c r="BG104" s="1056">
        <f t="shared" si="99"/>
        <v>2.0100000000000007E-2</v>
      </c>
      <c r="BH104" s="1048"/>
      <c r="BI104" s="2304" t="str">
        <f t="shared" si="65"/>
        <v>Rev</v>
      </c>
      <c r="BJ104" s="2305" t="str">
        <f t="shared" si="65"/>
        <v>Trade Waste</v>
      </c>
      <c r="BK104" s="2306" t="str">
        <f t="shared" si="65"/>
        <v>Variable</v>
      </c>
      <c r="BL104" s="2307">
        <f t="shared" ref="BL104:BZ104" si="103">IF(OR(X104="",X104=0),"-",IFERROR((X104/W104-1)*(W104/W$13),"-"))</f>
        <v>-4.2737536305980902E-5</v>
      </c>
      <c r="BM104" s="1055">
        <f t="shared" si="103"/>
        <v>9.0657416044056193E-4</v>
      </c>
      <c r="BN104" s="1055">
        <f t="shared" si="103"/>
        <v>-2.7614136914082963E-5</v>
      </c>
      <c r="BO104" s="2308">
        <f t="shared" si="103"/>
        <v>2.8208775076252776E-4</v>
      </c>
      <c r="BP104" s="1055">
        <f t="shared" si="103"/>
        <v>4.5423028483128076E-4</v>
      </c>
      <c r="BQ104" s="2309">
        <f t="shared" si="103"/>
        <v>0</v>
      </c>
      <c r="BR104" s="1055">
        <f t="shared" si="103"/>
        <v>7.2536092693765151E-5</v>
      </c>
      <c r="BS104" s="1055">
        <f t="shared" si="103"/>
        <v>1.42940165856946E-4</v>
      </c>
      <c r="BT104" s="1055">
        <f t="shared" si="103"/>
        <v>1.4148279776562191E-4</v>
      </c>
      <c r="BU104" s="1056">
        <f t="shared" si="103"/>
        <v>1.4003781485466386E-4</v>
      </c>
      <c r="BV104" s="1055">
        <f t="shared" si="103"/>
        <v>1.3886054096234283E-4</v>
      </c>
      <c r="BW104" s="1055">
        <f t="shared" si="103"/>
        <v>1.3768857240112418E-4</v>
      </c>
      <c r="BX104" s="1055">
        <f t="shared" si="103"/>
        <v>1.3652198804793372E-4</v>
      </c>
      <c r="BY104" s="1055">
        <f t="shared" si="103"/>
        <v>1.3536086397771956E-4</v>
      </c>
      <c r="BZ104" s="1056">
        <f t="shared" si="103"/>
        <v>1.3420527350575839E-4</v>
      </c>
      <c r="CA104" s="1048"/>
    </row>
    <row r="105" spans="3:79" x14ac:dyDescent="0.3">
      <c r="C105" s="126"/>
      <c r="D105" s="126">
        <f>D102+1</f>
        <v>13</v>
      </c>
      <c r="E105" s="553" t="s">
        <v>45</v>
      </c>
      <c r="F105" s="2105" t="s">
        <v>317</v>
      </c>
      <c r="G105" s="2105" t="s">
        <v>1190</v>
      </c>
      <c r="H105" s="2105" t="s">
        <v>1200</v>
      </c>
      <c r="I105" s="573" t="s">
        <v>321</v>
      </c>
      <c r="J105" s="573" t="s">
        <v>348</v>
      </c>
      <c r="K105" s="1969"/>
      <c r="L105" s="1970"/>
      <c r="M105" s="1970"/>
      <c r="N105" s="1971"/>
      <c r="O105" s="1970"/>
      <c r="P105" s="1970"/>
      <c r="Q105" s="1970"/>
      <c r="R105" s="1972"/>
      <c r="S105" s="1971"/>
      <c r="T105" s="1970"/>
      <c r="U105" s="1970"/>
      <c r="V105" s="1970"/>
      <c r="W105" s="1709">
        <v>1.2414000000000001</v>
      </c>
      <c r="X105" s="1710">
        <v>1.2648999999999999</v>
      </c>
      <c r="Y105" s="1709">
        <v>1.2817000000000001</v>
      </c>
      <c r="Z105" s="1709">
        <v>1.3097000000000001</v>
      </c>
      <c r="AA105" s="1709">
        <v>1.3243</v>
      </c>
      <c r="AB105" s="1711">
        <v>1.3915999999999999</v>
      </c>
      <c r="AC105" s="1709">
        <v>1.3915999999999999</v>
      </c>
      <c r="AD105" s="1709">
        <v>1.405516</v>
      </c>
      <c r="AE105" s="1709">
        <v>1.4195711600000001</v>
      </c>
      <c r="AF105" s="1709">
        <v>1.4337668716</v>
      </c>
      <c r="AG105" s="1712">
        <v>1.448104540316</v>
      </c>
      <c r="AH105" s="1709">
        <v>1.4625855857191601</v>
      </c>
      <c r="AI105" s="1709">
        <v>1.4772114415763518</v>
      </c>
      <c r="AJ105" s="1709">
        <v>1.4919835559921153</v>
      </c>
      <c r="AK105" s="1709">
        <v>1.5069033915520365</v>
      </c>
      <c r="AL105" s="1712">
        <v>1.5219724254675568</v>
      </c>
      <c r="AM105" s="560"/>
      <c r="AN105" s="1052"/>
      <c r="AO105" s="992"/>
      <c r="AP105" s="2297" t="str">
        <f t="shared" si="36"/>
        <v>Price</v>
      </c>
      <c r="AQ105" s="2298" t="str">
        <f t="shared" si="36"/>
        <v>Trade Waste</v>
      </c>
      <c r="AR105" s="1719" t="str">
        <f t="shared" si="37"/>
        <v>Variable</v>
      </c>
      <c r="AS105" s="2299">
        <f t="shared" si="99"/>
        <v>1.8930240051554525E-2</v>
      </c>
      <c r="AT105" s="1728">
        <f t="shared" si="99"/>
        <v>1.3281682346430568E-2</v>
      </c>
      <c r="AU105" s="1728">
        <f t="shared" si="99"/>
        <v>2.1845985800109213E-2</v>
      </c>
      <c r="AV105" s="2300">
        <f t="shared" si="99"/>
        <v>1.1147591051385852E-2</v>
      </c>
      <c r="AW105" s="1728">
        <f t="shared" si="99"/>
        <v>5.0819300762666941E-2</v>
      </c>
      <c r="AX105" s="2301">
        <f t="shared" si="99"/>
        <v>0</v>
      </c>
      <c r="AY105" s="1728">
        <f t="shared" si="99"/>
        <v>1.0000000000000009E-2</v>
      </c>
      <c r="AZ105" s="1728">
        <f t="shared" si="99"/>
        <v>1.0000000000000009E-2</v>
      </c>
      <c r="BA105" s="1728">
        <f t="shared" si="99"/>
        <v>1.0000000000000009E-2</v>
      </c>
      <c r="BB105" s="1729">
        <f t="shared" si="99"/>
        <v>1.0000000000000009E-2</v>
      </c>
      <c r="BC105" s="1728">
        <f t="shared" si="99"/>
        <v>1.0000000000000009E-2</v>
      </c>
      <c r="BD105" s="1728">
        <f t="shared" si="99"/>
        <v>1.0000000000000009E-2</v>
      </c>
      <c r="BE105" s="1728">
        <f t="shared" si="99"/>
        <v>1.0000000000000009E-2</v>
      </c>
      <c r="BF105" s="1728">
        <f t="shared" si="99"/>
        <v>1.0000000000000009E-2</v>
      </c>
      <c r="BG105" s="1729">
        <f t="shared" si="99"/>
        <v>1.0000000000000009E-2</v>
      </c>
      <c r="BH105" s="1048"/>
      <c r="BI105" s="2297" t="str">
        <f t="shared" si="65"/>
        <v>Price</v>
      </c>
      <c r="BJ105" s="2298" t="str">
        <f t="shared" si="65"/>
        <v>Trade Waste</v>
      </c>
      <c r="BK105" s="1719" t="str">
        <f t="shared" si="65"/>
        <v>Variable</v>
      </c>
      <c r="BL105" s="2299">
        <f t="shared" ref="BL105:BZ105" si="104">IF(OR(X105="",X105=0),"-",IFERROR((X105/W105-1)*(W107/W$13),"-"))</f>
        <v>5.3822537354185766E-5</v>
      </c>
      <c r="BM105" s="1053">
        <f t="shared" si="104"/>
        <v>4.0556253272814135E-5</v>
      </c>
      <c r="BN105" s="1053">
        <f t="shared" si="104"/>
        <v>6.435663875544069E-5</v>
      </c>
      <c r="BO105" s="2302">
        <f t="shared" si="104"/>
        <v>2.9730867348655465E-5</v>
      </c>
      <c r="BP105" s="1053">
        <f t="shared" si="104"/>
        <v>1.4221926821225765E-4</v>
      </c>
      <c r="BQ105" s="2303">
        <f t="shared" si="104"/>
        <v>0</v>
      </c>
      <c r="BR105" s="1053">
        <f t="shared" si="104"/>
        <v>2.7430242986260077E-5</v>
      </c>
      <c r="BS105" s="1053">
        <f t="shared" si="104"/>
        <v>2.6892657531392658E-5</v>
      </c>
      <c r="BT105" s="1053">
        <f t="shared" si="104"/>
        <v>2.661846937201736E-5</v>
      </c>
      <c r="BU105" s="1054">
        <f t="shared" si="104"/>
        <v>2.6346611351354074E-5</v>
      </c>
      <c r="BV105" s="1053">
        <f t="shared" si="104"/>
        <v>2.6125119908294148E-5</v>
      </c>
      <c r="BW105" s="1053">
        <f t="shared" si="104"/>
        <v>2.5904626606321112E-5</v>
      </c>
      <c r="BX105" s="1053">
        <f t="shared" si="104"/>
        <v>2.5685146285280553E-5</v>
      </c>
      <c r="BY105" s="1053">
        <f t="shared" si="104"/>
        <v>2.5466693257858326E-5</v>
      </c>
      <c r="BZ105" s="1054">
        <f t="shared" si="104"/>
        <v>2.5249281317535725E-5</v>
      </c>
      <c r="CA105" s="1048"/>
    </row>
    <row r="106" spans="3:79" x14ac:dyDescent="0.3">
      <c r="C106" s="126"/>
      <c r="D106" s="126"/>
      <c r="E106" s="558" t="s">
        <v>46</v>
      </c>
      <c r="F106" s="2161" t="str">
        <f t="shared" ref="F106:I121" si="105">+F105</f>
        <v>Trade Waste</v>
      </c>
      <c r="G106" s="2163" t="str">
        <f t="shared" si="105"/>
        <v>Minor</v>
      </c>
      <c r="H106" s="2163" t="str">
        <f t="shared" si="105"/>
        <v>B</v>
      </c>
      <c r="I106" s="2164" t="str">
        <f t="shared" si="105"/>
        <v>Variable</v>
      </c>
      <c r="J106" s="574" t="s">
        <v>48</v>
      </c>
      <c r="K106" s="1973"/>
      <c r="L106" s="1974"/>
      <c r="M106" s="1974"/>
      <c r="N106" s="1975"/>
      <c r="O106" s="1974"/>
      <c r="P106" s="1974"/>
      <c r="Q106" s="1974"/>
      <c r="R106" s="1976"/>
      <c r="S106" s="1975"/>
      <c r="T106" s="1974"/>
      <c r="U106" s="1974"/>
      <c r="V106" s="1974"/>
      <c r="W106" s="1713">
        <v>211015.33</v>
      </c>
      <c r="X106" s="1714">
        <v>228140.22</v>
      </c>
      <c r="Y106" s="1713">
        <v>214807.67</v>
      </c>
      <c r="Z106" s="1713">
        <v>192571.43</v>
      </c>
      <c r="AA106" s="1713">
        <v>202498.02</v>
      </c>
      <c r="AB106" s="1715">
        <v>204523.00019999998</v>
      </c>
      <c r="AC106" s="1713">
        <v>204523.00019999998</v>
      </c>
      <c r="AD106" s="1713">
        <v>204523.00019999998</v>
      </c>
      <c r="AE106" s="1713">
        <v>206568.23020199998</v>
      </c>
      <c r="AF106" s="1713">
        <v>208633.91250401997</v>
      </c>
      <c r="AG106" s="1716">
        <v>210720.25162906016</v>
      </c>
      <c r="AH106" s="1713">
        <v>212827.45414535076</v>
      </c>
      <c r="AI106" s="1713">
        <v>214955.72868680427</v>
      </c>
      <c r="AJ106" s="1713">
        <v>217105.28597367232</v>
      </c>
      <c r="AK106" s="1713">
        <v>219276.33883340904</v>
      </c>
      <c r="AL106" s="1716">
        <v>221469.10222174315</v>
      </c>
      <c r="AM106" s="560"/>
      <c r="AN106" s="991"/>
      <c r="AO106" s="992"/>
      <c r="AP106" s="2285" t="str">
        <f t="shared" si="36"/>
        <v>Qty</v>
      </c>
      <c r="AQ106" s="2286" t="str">
        <f t="shared" si="36"/>
        <v>Trade Waste</v>
      </c>
      <c r="AR106" s="2287" t="str">
        <f t="shared" si="37"/>
        <v>Variable</v>
      </c>
      <c r="AS106" s="2288">
        <f t="shared" si="99"/>
        <v>8.1154719896417093E-2</v>
      </c>
      <c r="AT106" s="1720">
        <f t="shared" si="99"/>
        <v>-5.844015579541384E-2</v>
      </c>
      <c r="AU106" s="1720">
        <f t="shared" si="99"/>
        <v>-0.10351697404473503</v>
      </c>
      <c r="AV106" s="2289">
        <f t="shared" si="99"/>
        <v>5.1547573801575819E-2</v>
      </c>
      <c r="AW106" s="1720">
        <f t="shared" si="99"/>
        <v>1.0000000000000009E-2</v>
      </c>
      <c r="AX106" s="2290">
        <f t="shared" si="99"/>
        <v>0</v>
      </c>
      <c r="AY106" s="1720">
        <f t="shared" si="99"/>
        <v>0</v>
      </c>
      <c r="AZ106" s="1720">
        <f t="shared" si="99"/>
        <v>1.0000000000000009E-2</v>
      </c>
      <c r="BA106" s="1720">
        <f t="shared" si="99"/>
        <v>1.0000000000000009E-2</v>
      </c>
      <c r="BB106" s="1721">
        <f t="shared" si="99"/>
        <v>1.0000000000000009E-2</v>
      </c>
      <c r="BC106" s="1720">
        <f t="shared" si="99"/>
        <v>1.0000000000000009E-2</v>
      </c>
      <c r="BD106" s="1720">
        <f t="shared" si="99"/>
        <v>1.0000000000000009E-2</v>
      </c>
      <c r="BE106" s="1720">
        <f t="shared" si="99"/>
        <v>1.0000000000000009E-2</v>
      </c>
      <c r="BF106" s="1720">
        <f t="shared" si="99"/>
        <v>1.0000000000000009E-2</v>
      </c>
      <c r="BG106" s="1721">
        <f t="shared" si="99"/>
        <v>1.0000000000000009E-2</v>
      </c>
      <c r="BH106" s="1048"/>
      <c r="BI106" s="2285" t="str">
        <f t="shared" si="65"/>
        <v>Qty</v>
      </c>
      <c r="BJ106" s="2286" t="str">
        <f t="shared" si="65"/>
        <v>Trade Waste</v>
      </c>
      <c r="BK106" s="2287" t="str">
        <f t="shared" si="65"/>
        <v>Variable</v>
      </c>
      <c r="BL106" s="2288">
        <f t="shared" ref="BL106:BZ106" si="106">IF(OR(X106="",X106=0),"-",IFERROR((X106/W106-1)*(W107/W$13),"-"))</f>
        <v>2.3073943759813556E-4</v>
      </c>
      <c r="BM106" s="1720">
        <f t="shared" si="106"/>
        <v>-1.7844981516053839E-4</v>
      </c>
      <c r="BN106" s="1720">
        <f t="shared" si="106"/>
        <v>-3.0495325615473198E-4</v>
      </c>
      <c r="BO106" s="2289">
        <f t="shared" si="106"/>
        <v>1.3747849842851506E-4</v>
      </c>
      <c r="BP106" s="1720">
        <f t="shared" si="106"/>
        <v>2.7985286314040633E-5</v>
      </c>
      <c r="BQ106" s="2290">
        <f t="shared" si="106"/>
        <v>0</v>
      </c>
      <c r="BR106" s="1720">
        <f t="shared" si="106"/>
        <v>0</v>
      </c>
      <c r="BS106" s="1720">
        <f t="shared" si="106"/>
        <v>2.6892657531392658E-5</v>
      </c>
      <c r="BT106" s="1720">
        <f t="shared" si="106"/>
        <v>2.661846937201736E-5</v>
      </c>
      <c r="BU106" s="1721">
        <f t="shared" si="106"/>
        <v>2.6346611351354074E-5</v>
      </c>
      <c r="BV106" s="1720">
        <f t="shared" si="106"/>
        <v>2.6125119908294148E-5</v>
      </c>
      <c r="BW106" s="1720">
        <f t="shared" si="106"/>
        <v>2.5904626606321112E-5</v>
      </c>
      <c r="BX106" s="1720">
        <f t="shared" si="106"/>
        <v>2.5685146285280553E-5</v>
      </c>
      <c r="BY106" s="1720">
        <f t="shared" si="106"/>
        <v>2.5466693257858326E-5</v>
      </c>
      <c r="BZ106" s="1721">
        <f t="shared" si="106"/>
        <v>2.5249281317535725E-5</v>
      </c>
      <c r="CA106" s="1048"/>
    </row>
    <row r="107" spans="3:79" ht="12.5" thickBot="1" x14ac:dyDescent="0.35">
      <c r="C107" s="126"/>
      <c r="D107" s="126"/>
      <c r="E107" s="559" t="s">
        <v>47</v>
      </c>
      <c r="F107" s="2162" t="str">
        <f t="shared" ref="F107:I107" si="107">+F105</f>
        <v>Trade Waste</v>
      </c>
      <c r="G107" s="2165" t="str">
        <f t="shared" si="107"/>
        <v>Minor</v>
      </c>
      <c r="H107" s="2165" t="str">
        <f t="shared" si="107"/>
        <v>B</v>
      </c>
      <c r="I107" s="2166" t="str">
        <f t="shared" si="107"/>
        <v>Variable</v>
      </c>
      <c r="J107" s="2106" t="s">
        <v>347</v>
      </c>
      <c r="K107" s="1977"/>
      <c r="L107" s="1206"/>
      <c r="M107" s="1206"/>
      <c r="N107" s="1978"/>
      <c r="O107" s="1206"/>
      <c r="P107" s="1206"/>
      <c r="Q107" s="1206"/>
      <c r="R107" s="1206"/>
      <c r="S107" s="1978"/>
      <c r="T107" s="1206"/>
      <c r="U107" s="1206"/>
      <c r="V107" s="1206"/>
      <c r="W107" s="1731">
        <f t="shared" ref="W107:AG107" si="108">W105*W106/10^6</f>
        <v>0.26195443066200003</v>
      </c>
      <c r="X107" s="1730">
        <f t="shared" si="108"/>
        <v>0.28857456427799999</v>
      </c>
      <c r="Y107" s="1731">
        <f t="shared" si="108"/>
        <v>0.27531899063900001</v>
      </c>
      <c r="Z107" s="1731">
        <f t="shared" si="108"/>
        <v>0.25221080187099998</v>
      </c>
      <c r="AA107" s="1731">
        <f t="shared" si="108"/>
        <v>0.26816812788599997</v>
      </c>
      <c r="AB107" s="1733">
        <f t="shared" si="108"/>
        <v>0.28461420707831997</v>
      </c>
      <c r="AC107" s="1731">
        <f t="shared" si="108"/>
        <v>0.28461420707831997</v>
      </c>
      <c r="AD107" s="1731">
        <f t="shared" si="108"/>
        <v>0.28746034914910318</v>
      </c>
      <c r="AE107" s="1731">
        <f t="shared" si="108"/>
        <v>0.29323830216700014</v>
      </c>
      <c r="AF107" s="1731">
        <f t="shared" si="108"/>
        <v>0.2991323920405568</v>
      </c>
      <c r="AG107" s="1733">
        <f t="shared" si="108"/>
        <v>0.30514495312057205</v>
      </c>
      <c r="AH107" s="1731">
        <f>AH105*AH106/10^6</f>
        <v>0.31127836667829556</v>
      </c>
      <c r="AI107" s="1731">
        <f>AI105*AI106/10^6</f>
        <v>0.31753506184852925</v>
      </c>
      <c r="AJ107" s="1731">
        <f>AJ105*AJ106/10^6</f>
        <v>0.32391751659168472</v>
      </c>
      <c r="AK107" s="1731">
        <f>AK105*AK106/10^6</f>
        <v>0.33042825867517756</v>
      </c>
      <c r="AL107" s="1733">
        <f>AL105*AL106/10^6</f>
        <v>0.33706986667454869</v>
      </c>
      <c r="AM107" s="560"/>
      <c r="AN107" s="991"/>
      <c r="AO107" s="992"/>
      <c r="AP107" s="2304" t="str">
        <f t="shared" si="36"/>
        <v>Rev</v>
      </c>
      <c r="AQ107" s="2305" t="str">
        <f t="shared" si="36"/>
        <v>Trade Waste</v>
      </c>
      <c r="AR107" s="2306" t="str">
        <f t="shared" si="37"/>
        <v>Variable</v>
      </c>
      <c r="AS107" s="2307">
        <f t="shared" si="99"/>
        <v>0.10162123827692748</v>
      </c>
      <c r="AT107" s="1055">
        <f t="shared" si="99"/>
        <v>-4.5934657034533921E-2</v>
      </c>
      <c r="AU107" s="1055">
        <f t="shared" si="99"/>
        <v>-8.3932418589677371E-2</v>
      </c>
      <c r="AV107" s="2308">
        <f t="shared" si="99"/>
        <v>6.3269796125392741E-2</v>
      </c>
      <c r="AW107" s="1055">
        <f t="shared" si="99"/>
        <v>6.1327493770293673E-2</v>
      </c>
      <c r="AX107" s="2309">
        <f t="shared" si="99"/>
        <v>0</v>
      </c>
      <c r="AY107" s="1055">
        <f t="shared" si="99"/>
        <v>1.0000000000000009E-2</v>
      </c>
      <c r="AZ107" s="1055">
        <f t="shared" si="99"/>
        <v>2.0100000000000007E-2</v>
      </c>
      <c r="BA107" s="1055">
        <f t="shared" si="99"/>
        <v>2.0099999999999785E-2</v>
      </c>
      <c r="BB107" s="1056">
        <f t="shared" si="99"/>
        <v>2.0100000000000229E-2</v>
      </c>
      <c r="BC107" s="1055">
        <f t="shared" si="99"/>
        <v>2.0100000000000007E-2</v>
      </c>
      <c r="BD107" s="1055">
        <f t="shared" si="99"/>
        <v>2.0099999999999785E-2</v>
      </c>
      <c r="BE107" s="1055">
        <f t="shared" si="99"/>
        <v>2.0100000000000007E-2</v>
      </c>
      <c r="BF107" s="1055">
        <f t="shared" si="99"/>
        <v>2.0100000000000007E-2</v>
      </c>
      <c r="BG107" s="1056">
        <f t="shared" si="99"/>
        <v>2.0100000000000229E-2</v>
      </c>
      <c r="BH107" s="1048"/>
      <c r="BI107" s="2304" t="str">
        <f t="shared" si="65"/>
        <v>Rev</v>
      </c>
      <c r="BJ107" s="2305" t="str">
        <f t="shared" si="65"/>
        <v>Trade Waste</v>
      </c>
      <c r="BK107" s="2306" t="str">
        <f t="shared" si="65"/>
        <v>Variable</v>
      </c>
      <c r="BL107" s="2307">
        <f t="shared" ref="BL107:BZ107" si="109">IF(OR(X107="",X107=0),"-",IFERROR((X107/W107-1)*(W107/W$13),"-"))</f>
        <v>2.8892992789541474E-4</v>
      </c>
      <c r="BM107" s="1055">
        <f t="shared" si="109"/>
        <v>-1.4026367564746591E-4</v>
      </c>
      <c r="BN107" s="1055">
        <f t="shared" si="109"/>
        <v>-2.472586219029446E-4</v>
      </c>
      <c r="BO107" s="2308">
        <f t="shared" si="109"/>
        <v>1.687419198560101E-4</v>
      </c>
      <c r="BP107" s="1055">
        <f t="shared" si="109"/>
        <v>1.71626747208421E-4</v>
      </c>
      <c r="BQ107" s="2309">
        <f t="shared" si="109"/>
        <v>0</v>
      </c>
      <c r="BR107" s="1055">
        <f t="shared" si="109"/>
        <v>2.7430242986260077E-5</v>
      </c>
      <c r="BS107" s="1055">
        <f t="shared" si="109"/>
        <v>5.4054241638099213E-5</v>
      </c>
      <c r="BT107" s="1055">
        <f t="shared" si="109"/>
        <v>5.3503123437754273E-5</v>
      </c>
      <c r="BU107" s="1056">
        <f t="shared" si="109"/>
        <v>5.295668881622224E-5</v>
      </c>
      <c r="BV107" s="1055">
        <f t="shared" si="109"/>
        <v>5.251149101567121E-5</v>
      </c>
      <c r="BW107" s="1055">
        <f t="shared" si="109"/>
        <v>5.2068299478704832E-5</v>
      </c>
      <c r="BX107" s="1055">
        <f t="shared" si="109"/>
        <v>5.1627144033413884E-5</v>
      </c>
      <c r="BY107" s="1055">
        <f t="shared" si="109"/>
        <v>5.1188053448295206E-5</v>
      </c>
      <c r="BZ107" s="1056">
        <f t="shared" si="109"/>
        <v>5.0751055448247342E-5</v>
      </c>
      <c r="CA107" s="1048"/>
    </row>
    <row r="108" spans="3:79" x14ac:dyDescent="0.3">
      <c r="C108" s="126"/>
      <c r="D108" s="126">
        <f>D105+1</f>
        <v>14</v>
      </c>
      <c r="E108" s="553" t="s">
        <v>45</v>
      </c>
      <c r="F108" s="2105" t="s">
        <v>28</v>
      </c>
      <c r="G108" s="2105"/>
      <c r="H108" s="2105"/>
      <c r="I108" s="573" t="s">
        <v>319</v>
      </c>
      <c r="J108" s="573" t="s">
        <v>348</v>
      </c>
      <c r="K108" s="1969"/>
      <c r="L108" s="1970"/>
      <c r="M108" s="1970"/>
      <c r="N108" s="1971"/>
      <c r="O108" s="1970"/>
      <c r="P108" s="1970"/>
      <c r="Q108" s="1970"/>
      <c r="R108" s="1972"/>
      <c r="S108" s="1971"/>
      <c r="T108" s="1970"/>
      <c r="U108" s="1970"/>
      <c r="V108" s="1970"/>
      <c r="W108" s="1709"/>
      <c r="X108" s="1710"/>
      <c r="Y108" s="1709"/>
      <c r="Z108" s="1709"/>
      <c r="AA108" s="1709"/>
      <c r="AB108" s="1711"/>
      <c r="AC108" s="1709"/>
      <c r="AD108" s="1709"/>
      <c r="AE108" s="1709"/>
      <c r="AF108" s="1709"/>
      <c r="AG108" s="1712"/>
      <c r="AH108" s="1709"/>
      <c r="AI108" s="1709"/>
      <c r="AJ108" s="1709"/>
      <c r="AK108" s="1709"/>
      <c r="AL108" s="1712"/>
      <c r="AM108" s="560"/>
      <c r="AN108" s="1052"/>
      <c r="AO108" s="992"/>
      <c r="AP108" s="2297" t="str">
        <f t="shared" si="36"/>
        <v>Price</v>
      </c>
      <c r="AQ108" s="2298" t="str">
        <f t="shared" si="36"/>
        <v>[Service]</v>
      </c>
      <c r="AR108" s="1719" t="str">
        <f t="shared" si="37"/>
        <v>[Price]</v>
      </c>
      <c r="AS108" s="2299" t="str">
        <f t="shared" si="99"/>
        <v>-</v>
      </c>
      <c r="AT108" s="1728" t="str">
        <f t="shared" si="99"/>
        <v>-</v>
      </c>
      <c r="AU108" s="1728" t="str">
        <f t="shared" si="99"/>
        <v>-</v>
      </c>
      <c r="AV108" s="2300" t="str">
        <f t="shared" si="99"/>
        <v>-</v>
      </c>
      <c r="AW108" s="1728" t="str">
        <f t="shared" si="99"/>
        <v>-</v>
      </c>
      <c r="AX108" s="2301" t="str">
        <f t="shared" si="99"/>
        <v>-</v>
      </c>
      <c r="AY108" s="1728" t="str">
        <f t="shared" si="99"/>
        <v>-</v>
      </c>
      <c r="AZ108" s="1728" t="str">
        <f t="shared" si="99"/>
        <v>-</v>
      </c>
      <c r="BA108" s="1728" t="str">
        <f t="shared" si="99"/>
        <v>-</v>
      </c>
      <c r="BB108" s="1729" t="str">
        <f t="shared" si="99"/>
        <v>-</v>
      </c>
      <c r="BC108" s="1728" t="str">
        <f t="shared" si="99"/>
        <v>-</v>
      </c>
      <c r="BD108" s="1728" t="str">
        <f t="shared" si="99"/>
        <v>-</v>
      </c>
      <c r="BE108" s="1728" t="str">
        <f t="shared" si="99"/>
        <v>-</v>
      </c>
      <c r="BF108" s="1728" t="str">
        <f t="shared" si="99"/>
        <v>-</v>
      </c>
      <c r="BG108" s="1729" t="str">
        <f t="shared" si="99"/>
        <v>-</v>
      </c>
      <c r="BH108" s="1048"/>
      <c r="BI108" s="2297" t="str">
        <f t="shared" si="65"/>
        <v>Price</v>
      </c>
      <c r="BJ108" s="2298" t="str">
        <f t="shared" si="65"/>
        <v>[Service]</v>
      </c>
      <c r="BK108" s="1719" t="str">
        <f t="shared" si="65"/>
        <v>[Price]</v>
      </c>
      <c r="BL108" s="2299" t="str">
        <f t="shared" ref="BL108:BZ108" si="110">IF(OR(X108="",X108=0),"-",IFERROR((X108/W108-1)*(W110/W$13),"-"))</f>
        <v>-</v>
      </c>
      <c r="BM108" s="1053" t="str">
        <f t="shared" si="110"/>
        <v>-</v>
      </c>
      <c r="BN108" s="1053" t="str">
        <f t="shared" si="110"/>
        <v>-</v>
      </c>
      <c r="BO108" s="2302" t="str">
        <f t="shared" si="110"/>
        <v>-</v>
      </c>
      <c r="BP108" s="1053" t="str">
        <f t="shared" si="110"/>
        <v>-</v>
      </c>
      <c r="BQ108" s="2303" t="str">
        <f t="shared" si="110"/>
        <v>-</v>
      </c>
      <c r="BR108" s="1053" t="str">
        <f t="shared" si="110"/>
        <v>-</v>
      </c>
      <c r="BS108" s="1053" t="str">
        <f t="shared" si="110"/>
        <v>-</v>
      </c>
      <c r="BT108" s="1053" t="str">
        <f t="shared" si="110"/>
        <v>-</v>
      </c>
      <c r="BU108" s="1054" t="str">
        <f t="shared" si="110"/>
        <v>-</v>
      </c>
      <c r="BV108" s="1053" t="str">
        <f t="shared" si="110"/>
        <v>-</v>
      </c>
      <c r="BW108" s="1053" t="str">
        <f t="shared" si="110"/>
        <v>-</v>
      </c>
      <c r="BX108" s="1053" t="str">
        <f t="shared" si="110"/>
        <v>-</v>
      </c>
      <c r="BY108" s="1053" t="str">
        <f t="shared" si="110"/>
        <v>-</v>
      </c>
      <c r="BZ108" s="1054" t="str">
        <f t="shared" si="110"/>
        <v>-</v>
      </c>
      <c r="CA108" s="1048"/>
    </row>
    <row r="109" spans="3:79" x14ac:dyDescent="0.3">
      <c r="C109" s="126"/>
      <c r="D109" s="126"/>
      <c r="E109" s="558" t="s">
        <v>46</v>
      </c>
      <c r="F109" s="2161" t="str">
        <f t="shared" si="105"/>
        <v>[Service]</v>
      </c>
      <c r="G109" s="2163">
        <f t="shared" si="105"/>
        <v>0</v>
      </c>
      <c r="H109" s="2163">
        <f t="shared" si="105"/>
        <v>0</v>
      </c>
      <c r="I109" s="2164" t="str">
        <f t="shared" si="105"/>
        <v>[Price]</v>
      </c>
      <c r="J109" s="574" t="s">
        <v>323</v>
      </c>
      <c r="K109" s="1973"/>
      <c r="L109" s="1974"/>
      <c r="M109" s="1974"/>
      <c r="N109" s="1975"/>
      <c r="O109" s="1974"/>
      <c r="P109" s="1974"/>
      <c r="Q109" s="1974"/>
      <c r="R109" s="1976"/>
      <c r="S109" s="1975"/>
      <c r="T109" s="1974"/>
      <c r="U109" s="1974"/>
      <c r="V109" s="1974"/>
      <c r="W109" s="1713"/>
      <c r="X109" s="1714"/>
      <c r="Y109" s="1713"/>
      <c r="Z109" s="1713"/>
      <c r="AA109" s="1713"/>
      <c r="AB109" s="1715"/>
      <c r="AC109" s="1713"/>
      <c r="AD109" s="1713"/>
      <c r="AE109" s="1713"/>
      <c r="AF109" s="1713"/>
      <c r="AG109" s="1716"/>
      <c r="AH109" s="1713"/>
      <c r="AI109" s="1713"/>
      <c r="AJ109" s="1713"/>
      <c r="AK109" s="1713"/>
      <c r="AL109" s="1716"/>
      <c r="AM109" s="560"/>
      <c r="AN109" s="991"/>
      <c r="AO109" s="992"/>
      <c r="AP109" s="2285" t="str">
        <f t="shared" si="36"/>
        <v>Qty</v>
      </c>
      <c r="AQ109" s="2286" t="str">
        <f t="shared" si="36"/>
        <v>[Service]</v>
      </c>
      <c r="AR109" s="2287" t="str">
        <f t="shared" si="37"/>
        <v>[Price]</v>
      </c>
      <c r="AS109" s="2288" t="str">
        <f t="shared" si="99"/>
        <v>-</v>
      </c>
      <c r="AT109" s="1720" t="str">
        <f t="shared" si="99"/>
        <v>-</v>
      </c>
      <c r="AU109" s="1720" t="str">
        <f t="shared" si="99"/>
        <v>-</v>
      </c>
      <c r="AV109" s="2289" t="str">
        <f t="shared" si="99"/>
        <v>-</v>
      </c>
      <c r="AW109" s="1720" t="str">
        <f t="shared" si="99"/>
        <v>-</v>
      </c>
      <c r="AX109" s="2290" t="str">
        <f t="shared" si="99"/>
        <v>-</v>
      </c>
      <c r="AY109" s="1720" t="str">
        <f t="shared" si="99"/>
        <v>-</v>
      </c>
      <c r="AZ109" s="1720" t="str">
        <f t="shared" si="99"/>
        <v>-</v>
      </c>
      <c r="BA109" s="1720" t="str">
        <f t="shared" si="99"/>
        <v>-</v>
      </c>
      <c r="BB109" s="1721" t="str">
        <f t="shared" si="99"/>
        <v>-</v>
      </c>
      <c r="BC109" s="1720" t="str">
        <f t="shared" si="99"/>
        <v>-</v>
      </c>
      <c r="BD109" s="1720" t="str">
        <f t="shared" si="99"/>
        <v>-</v>
      </c>
      <c r="BE109" s="1720" t="str">
        <f t="shared" si="99"/>
        <v>-</v>
      </c>
      <c r="BF109" s="1720" t="str">
        <f t="shared" si="99"/>
        <v>-</v>
      </c>
      <c r="BG109" s="1721" t="str">
        <f t="shared" si="99"/>
        <v>-</v>
      </c>
      <c r="BH109" s="1048"/>
      <c r="BI109" s="2285" t="str">
        <f t="shared" si="65"/>
        <v>Qty</v>
      </c>
      <c r="BJ109" s="2286" t="str">
        <f t="shared" si="65"/>
        <v>[Service]</v>
      </c>
      <c r="BK109" s="2287" t="str">
        <f t="shared" si="65"/>
        <v>[Price]</v>
      </c>
      <c r="BL109" s="2288" t="str">
        <f t="shared" ref="BL109:BZ109" si="111">IF(OR(X109="",X109=0),"-",IFERROR((X109/W109-1)*(W110/W$13),"-"))</f>
        <v>-</v>
      </c>
      <c r="BM109" s="1720" t="str">
        <f t="shared" si="111"/>
        <v>-</v>
      </c>
      <c r="BN109" s="1720" t="str">
        <f t="shared" si="111"/>
        <v>-</v>
      </c>
      <c r="BO109" s="2289" t="str">
        <f t="shared" si="111"/>
        <v>-</v>
      </c>
      <c r="BP109" s="1720" t="str">
        <f t="shared" si="111"/>
        <v>-</v>
      </c>
      <c r="BQ109" s="2290" t="str">
        <f t="shared" si="111"/>
        <v>-</v>
      </c>
      <c r="BR109" s="1720" t="str">
        <f t="shared" si="111"/>
        <v>-</v>
      </c>
      <c r="BS109" s="1720" t="str">
        <f t="shared" si="111"/>
        <v>-</v>
      </c>
      <c r="BT109" s="1720" t="str">
        <f t="shared" si="111"/>
        <v>-</v>
      </c>
      <c r="BU109" s="1721" t="str">
        <f t="shared" si="111"/>
        <v>-</v>
      </c>
      <c r="BV109" s="1720" t="str">
        <f t="shared" si="111"/>
        <v>-</v>
      </c>
      <c r="BW109" s="1720" t="str">
        <f t="shared" si="111"/>
        <v>-</v>
      </c>
      <c r="BX109" s="1720" t="str">
        <f t="shared" si="111"/>
        <v>-</v>
      </c>
      <c r="BY109" s="1720" t="str">
        <f t="shared" si="111"/>
        <v>-</v>
      </c>
      <c r="BZ109" s="1721" t="str">
        <f t="shared" si="111"/>
        <v>-</v>
      </c>
      <c r="CA109" s="1048"/>
    </row>
    <row r="110" spans="3:79" ht="12.5" thickBot="1" x14ac:dyDescent="0.35">
      <c r="C110" s="126"/>
      <c r="D110" s="126"/>
      <c r="E110" s="559" t="s">
        <v>47</v>
      </c>
      <c r="F110" s="2162" t="str">
        <f t="shared" ref="F110:I110" si="112">+F108</f>
        <v>[Service]</v>
      </c>
      <c r="G110" s="2165">
        <f t="shared" si="112"/>
        <v>0</v>
      </c>
      <c r="H110" s="2165">
        <f t="shared" si="112"/>
        <v>0</v>
      </c>
      <c r="I110" s="2166" t="str">
        <f t="shared" si="112"/>
        <v>[Price]</v>
      </c>
      <c r="J110" s="2106" t="s">
        <v>347</v>
      </c>
      <c r="K110" s="1977"/>
      <c r="L110" s="1206"/>
      <c r="M110" s="1206"/>
      <c r="N110" s="1978"/>
      <c r="O110" s="1206"/>
      <c r="P110" s="1206"/>
      <c r="Q110" s="1206"/>
      <c r="R110" s="1206"/>
      <c r="S110" s="1978"/>
      <c r="T110" s="1206"/>
      <c r="U110" s="1206"/>
      <c r="V110" s="1206"/>
      <c r="W110" s="1731">
        <f t="shared" ref="W110:AG110" si="113">W108*W109/10^6</f>
        <v>0</v>
      </c>
      <c r="X110" s="1730">
        <f t="shared" si="113"/>
        <v>0</v>
      </c>
      <c r="Y110" s="1731">
        <f t="shared" si="113"/>
        <v>0</v>
      </c>
      <c r="Z110" s="1731">
        <f t="shared" si="113"/>
        <v>0</v>
      </c>
      <c r="AA110" s="1731">
        <f t="shared" si="113"/>
        <v>0</v>
      </c>
      <c r="AB110" s="1733">
        <f t="shared" si="113"/>
        <v>0</v>
      </c>
      <c r="AC110" s="1731">
        <f t="shared" si="113"/>
        <v>0</v>
      </c>
      <c r="AD110" s="1731">
        <f t="shared" si="113"/>
        <v>0</v>
      </c>
      <c r="AE110" s="1731">
        <f t="shared" si="113"/>
        <v>0</v>
      </c>
      <c r="AF110" s="1731">
        <f t="shared" si="113"/>
        <v>0</v>
      </c>
      <c r="AG110" s="1733">
        <f t="shared" si="113"/>
        <v>0</v>
      </c>
      <c r="AH110" s="1731">
        <f>AH108*AH109/10^6</f>
        <v>0</v>
      </c>
      <c r="AI110" s="1731">
        <f>AI108*AI109/10^6</f>
        <v>0</v>
      </c>
      <c r="AJ110" s="1731">
        <f>AJ108*AJ109/10^6</f>
        <v>0</v>
      </c>
      <c r="AK110" s="1731">
        <f>AK108*AK109/10^6</f>
        <v>0</v>
      </c>
      <c r="AL110" s="1733">
        <f>AL108*AL109/10^6</f>
        <v>0</v>
      </c>
      <c r="AM110" s="560"/>
      <c r="AN110" s="991"/>
      <c r="AO110" s="992"/>
      <c r="AP110" s="2304" t="str">
        <f t="shared" si="36"/>
        <v>Rev</v>
      </c>
      <c r="AQ110" s="2305" t="str">
        <f t="shared" si="36"/>
        <v>[Service]</v>
      </c>
      <c r="AR110" s="2306" t="str">
        <f t="shared" si="37"/>
        <v>[Price]</v>
      </c>
      <c r="AS110" s="2307" t="str">
        <f t="shared" si="99"/>
        <v>-</v>
      </c>
      <c r="AT110" s="1055" t="str">
        <f t="shared" si="99"/>
        <v>-</v>
      </c>
      <c r="AU110" s="1055" t="str">
        <f t="shared" si="99"/>
        <v>-</v>
      </c>
      <c r="AV110" s="2308" t="str">
        <f t="shared" si="99"/>
        <v>-</v>
      </c>
      <c r="AW110" s="1055" t="str">
        <f t="shared" si="99"/>
        <v>-</v>
      </c>
      <c r="AX110" s="2309" t="str">
        <f t="shared" si="99"/>
        <v>-</v>
      </c>
      <c r="AY110" s="1055" t="str">
        <f t="shared" si="99"/>
        <v>-</v>
      </c>
      <c r="AZ110" s="1055" t="str">
        <f t="shared" si="99"/>
        <v>-</v>
      </c>
      <c r="BA110" s="1055" t="str">
        <f t="shared" si="99"/>
        <v>-</v>
      </c>
      <c r="BB110" s="1056" t="str">
        <f t="shared" si="99"/>
        <v>-</v>
      </c>
      <c r="BC110" s="1055" t="str">
        <f t="shared" si="99"/>
        <v>-</v>
      </c>
      <c r="BD110" s="1055" t="str">
        <f t="shared" si="99"/>
        <v>-</v>
      </c>
      <c r="BE110" s="1055" t="str">
        <f t="shared" si="99"/>
        <v>-</v>
      </c>
      <c r="BF110" s="1055" t="str">
        <f t="shared" si="99"/>
        <v>-</v>
      </c>
      <c r="BG110" s="1056" t="str">
        <f t="shared" si="99"/>
        <v>-</v>
      </c>
      <c r="BH110" s="1048"/>
      <c r="BI110" s="2304" t="str">
        <f t="shared" si="65"/>
        <v>Rev</v>
      </c>
      <c r="BJ110" s="2305" t="str">
        <f t="shared" si="65"/>
        <v>[Service]</v>
      </c>
      <c r="BK110" s="2306" t="str">
        <f t="shared" si="65"/>
        <v>[Price]</v>
      </c>
      <c r="BL110" s="2307" t="str">
        <f t="shared" ref="BL110:BZ110" si="114">IF(OR(X110="",X110=0),"-",IFERROR((X110/W110-1)*(W110/W$13),"-"))</f>
        <v>-</v>
      </c>
      <c r="BM110" s="1055" t="str">
        <f t="shared" si="114"/>
        <v>-</v>
      </c>
      <c r="BN110" s="1055" t="str">
        <f t="shared" si="114"/>
        <v>-</v>
      </c>
      <c r="BO110" s="2308" t="str">
        <f t="shared" si="114"/>
        <v>-</v>
      </c>
      <c r="BP110" s="1055" t="str">
        <f t="shared" si="114"/>
        <v>-</v>
      </c>
      <c r="BQ110" s="2309" t="str">
        <f t="shared" si="114"/>
        <v>-</v>
      </c>
      <c r="BR110" s="1055" t="str">
        <f t="shared" si="114"/>
        <v>-</v>
      </c>
      <c r="BS110" s="1055" t="str">
        <f t="shared" si="114"/>
        <v>-</v>
      </c>
      <c r="BT110" s="1055" t="str">
        <f t="shared" si="114"/>
        <v>-</v>
      </c>
      <c r="BU110" s="1056" t="str">
        <f t="shared" si="114"/>
        <v>-</v>
      </c>
      <c r="BV110" s="1055" t="str">
        <f t="shared" si="114"/>
        <v>-</v>
      </c>
      <c r="BW110" s="1055" t="str">
        <f t="shared" si="114"/>
        <v>-</v>
      </c>
      <c r="BX110" s="1055" t="str">
        <f t="shared" si="114"/>
        <v>-</v>
      </c>
      <c r="BY110" s="1055" t="str">
        <f t="shared" si="114"/>
        <v>-</v>
      </c>
      <c r="BZ110" s="1056" t="str">
        <f t="shared" si="114"/>
        <v>-</v>
      </c>
      <c r="CA110" s="1048"/>
    </row>
    <row r="111" spans="3:79" x14ac:dyDescent="0.3">
      <c r="C111" s="126"/>
      <c r="D111" s="126">
        <f>D108+1</f>
        <v>15</v>
      </c>
      <c r="E111" s="553" t="s">
        <v>45</v>
      </c>
      <c r="F111" s="2105" t="s">
        <v>28</v>
      </c>
      <c r="G111" s="2105"/>
      <c r="H111" s="2105"/>
      <c r="I111" s="573" t="s">
        <v>319</v>
      </c>
      <c r="J111" s="573" t="s">
        <v>348</v>
      </c>
      <c r="K111" s="1969"/>
      <c r="L111" s="1970"/>
      <c r="M111" s="1970"/>
      <c r="N111" s="1971"/>
      <c r="O111" s="1970"/>
      <c r="P111" s="1970"/>
      <c r="Q111" s="1970"/>
      <c r="R111" s="1972"/>
      <c r="S111" s="1971"/>
      <c r="T111" s="1970"/>
      <c r="U111" s="1970"/>
      <c r="V111" s="1970"/>
      <c r="W111" s="1709"/>
      <c r="X111" s="1710"/>
      <c r="Y111" s="1709"/>
      <c r="Z111" s="1709"/>
      <c r="AA111" s="1709"/>
      <c r="AB111" s="1711"/>
      <c r="AC111" s="1709"/>
      <c r="AD111" s="1709"/>
      <c r="AE111" s="1709"/>
      <c r="AF111" s="1709"/>
      <c r="AG111" s="1712"/>
      <c r="AH111" s="1709"/>
      <c r="AI111" s="1709"/>
      <c r="AJ111" s="1709"/>
      <c r="AK111" s="1709"/>
      <c r="AL111" s="1712"/>
      <c r="AM111" s="560"/>
      <c r="AN111" s="1052"/>
      <c r="AO111" s="992"/>
      <c r="AP111" s="2297" t="str">
        <f t="shared" si="36"/>
        <v>Price</v>
      </c>
      <c r="AQ111" s="2298" t="str">
        <f t="shared" si="36"/>
        <v>[Service]</v>
      </c>
      <c r="AR111" s="1719" t="str">
        <f t="shared" si="37"/>
        <v>[Price]</v>
      </c>
      <c r="AS111" s="2299" t="str">
        <f t="shared" si="99"/>
        <v>-</v>
      </c>
      <c r="AT111" s="1728" t="str">
        <f t="shared" si="99"/>
        <v>-</v>
      </c>
      <c r="AU111" s="1728" t="str">
        <f t="shared" si="99"/>
        <v>-</v>
      </c>
      <c r="AV111" s="2300" t="str">
        <f t="shared" si="99"/>
        <v>-</v>
      </c>
      <c r="AW111" s="1728" t="str">
        <f t="shared" si="99"/>
        <v>-</v>
      </c>
      <c r="AX111" s="2301" t="str">
        <f t="shared" si="99"/>
        <v>-</v>
      </c>
      <c r="AY111" s="1728" t="str">
        <f t="shared" si="99"/>
        <v>-</v>
      </c>
      <c r="AZ111" s="1728" t="str">
        <f t="shared" si="99"/>
        <v>-</v>
      </c>
      <c r="BA111" s="1728" t="str">
        <f t="shared" si="99"/>
        <v>-</v>
      </c>
      <c r="BB111" s="1729" t="str">
        <f t="shared" si="99"/>
        <v>-</v>
      </c>
      <c r="BC111" s="1728" t="str">
        <f t="shared" si="99"/>
        <v>-</v>
      </c>
      <c r="BD111" s="1728" t="str">
        <f t="shared" si="99"/>
        <v>-</v>
      </c>
      <c r="BE111" s="1728" t="str">
        <f t="shared" si="99"/>
        <v>-</v>
      </c>
      <c r="BF111" s="1728" t="str">
        <f t="shared" si="99"/>
        <v>-</v>
      </c>
      <c r="BG111" s="1729" t="str">
        <f t="shared" si="99"/>
        <v>-</v>
      </c>
      <c r="BH111" s="1048"/>
      <c r="BI111" s="2297" t="str">
        <f t="shared" si="65"/>
        <v>Price</v>
      </c>
      <c r="BJ111" s="2298" t="str">
        <f t="shared" si="65"/>
        <v>[Service]</v>
      </c>
      <c r="BK111" s="1719" t="str">
        <f t="shared" si="65"/>
        <v>[Price]</v>
      </c>
      <c r="BL111" s="2299" t="str">
        <f t="shared" ref="BL111:BZ111" si="115">IF(OR(X111="",X111=0),"-",IFERROR((X111/W111-1)*(W113/W$13),"-"))</f>
        <v>-</v>
      </c>
      <c r="BM111" s="1053" t="str">
        <f t="shared" si="115"/>
        <v>-</v>
      </c>
      <c r="BN111" s="1053" t="str">
        <f t="shared" si="115"/>
        <v>-</v>
      </c>
      <c r="BO111" s="2302" t="str">
        <f t="shared" si="115"/>
        <v>-</v>
      </c>
      <c r="BP111" s="1053" t="str">
        <f t="shared" si="115"/>
        <v>-</v>
      </c>
      <c r="BQ111" s="2303" t="str">
        <f t="shared" si="115"/>
        <v>-</v>
      </c>
      <c r="BR111" s="1053" t="str">
        <f t="shared" si="115"/>
        <v>-</v>
      </c>
      <c r="BS111" s="1053" t="str">
        <f t="shared" si="115"/>
        <v>-</v>
      </c>
      <c r="BT111" s="1053" t="str">
        <f t="shared" si="115"/>
        <v>-</v>
      </c>
      <c r="BU111" s="1054" t="str">
        <f t="shared" si="115"/>
        <v>-</v>
      </c>
      <c r="BV111" s="1053" t="str">
        <f t="shared" si="115"/>
        <v>-</v>
      </c>
      <c r="BW111" s="1053" t="str">
        <f t="shared" si="115"/>
        <v>-</v>
      </c>
      <c r="BX111" s="1053" t="str">
        <f t="shared" si="115"/>
        <v>-</v>
      </c>
      <c r="BY111" s="1053" t="str">
        <f t="shared" si="115"/>
        <v>-</v>
      </c>
      <c r="BZ111" s="1054" t="str">
        <f t="shared" si="115"/>
        <v>-</v>
      </c>
      <c r="CA111" s="1048"/>
    </row>
    <row r="112" spans="3:79" x14ac:dyDescent="0.3">
      <c r="C112" s="126"/>
      <c r="D112" s="126"/>
      <c r="E112" s="558" t="s">
        <v>46</v>
      </c>
      <c r="F112" s="2161" t="str">
        <f t="shared" si="105"/>
        <v>[Service]</v>
      </c>
      <c r="G112" s="2163">
        <f t="shared" si="105"/>
        <v>0</v>
      </c>
      <c r="H112" s="2163">
        <f t="shared" si="105"/>
        <v>0</v>
      </c>
      <c r="I112" s="2164" t="str">
        <f t="shared" si="105"/>
        <v>[Price]</v>
      </c>
      <c r="J112" s="574" t="s">
        <v>323</v>
      </c>
      <c r="K112" s="1973"/>
      <c r="L112" s="1974"/>
      <c r="M112" s="1974"/>
      <c r="N112" s="1975"/>
      <c r="O112" s="1974"/>
      <c r="P112" s="1974"/>
      <c r="Q112" s="1974"/>
      <c r="R112" s="1976"/>
      <c r="S112" s="1975"/>
      <c r="T112" s="1974"/>
      <c r="U112" s="1974"/>
      <c r="V112" s="1974"/>
      <c r="W112" s="1713"/>
      <c r="X112" s="1714"/>
      <c r="Y112" s="1713"/>
      <c r="Z112" s="1713"/>
      <c r="AA112" s="1713"/>
      <c r="AB112" s="1715"/>
      <c r="AC112" s="1713"/>
      <c r="AD112" s="1713"/>
      <c r="AE112" s="1713"/>
      <c r="AF112" s="1713"/>
      <c r="AG112" s="1716"/>
      <c r="AH112" s="1713"/>
      <c r="AI112" s="1713"/>
      <c r="AJ112" s="1713"/>
      <c r="AK112" s="1713"/>
      <c r="AL112" s="1716"/>
      <c r="AM112" s="560"/>
      <c r="AN112" s="991"/>
      <c r="AO112" s="992"/>
      <c r="AP112" s="2285" t="str">
        <f t="shared" si="36"/>
        <v>Qty</v>
      </c>
      <c r="AQ112" s="2286" t="str">
        <f t="shared" si="36"/>
        <v>[Service]</v>
      </c>
      <c r="AR112" s="2287" t="str">
        <f t="shared" si="37"/>
        <v>[Price]</v>
      </c>
      <c r="AS112" s="2288" t="str">
        <f t="shared" si="99"/>
        <v>-</v>
      </c>
      <c r="AT112" s="1720" t="str">
        <f t="shared" si="99"/>
        <v>-</v>
      </c>
      <c r="AU112" s="1720" t="str">
        <f t="shared" si="99"/>
        <v>-</v>
      </c>
      <c r="AV112" s="2289" t="str">
        <f t="shared" si="99"/>
        <v>-</v>
      </c>
      <c r="AW112" s="1720" t="str">
        <f t="shared" si="99"/>
        <v>-</v>
      </c>
      <c r="AX112" s="2290" t="str">
        <f t="shared" si="99"/>
        <v>-</v>
      </c>
      <c r="AY112" s="1720" t="str">
        <f t="shared" si="99"/>
        <v>-</v>
      </c>
      <c r="AZ112" s="1720" t="str">
        <f t="shared" si="99"/>
        <v>-</v>
      </c>
      <c r="BA112" s="1720" t="str">
        <f t="shared" si="99"/>
        <v>-</v>
      </c>
      <c r="BB112" s="1721" t="str">
        <f t="shared" si="99"/>
        <v>-</v>
      </c>
      <c r="BC112" s="1720" t="str">
        <f t="shared" si="99"/>
        <v>-</v>
      </c>
      <c r="BD112" s="1720" t="str">
        <f t="shared" si="99"/>
        <v>-</v>
      </c>
      <c r="BE112" s="1720" t="str">
        <f t="shared" si="99"/>
        <v>-</v>
      </c>
      <c r="BF112" s="1720" t="str">
        <f t="shared" si="99"/>
        <v>-</v>
      </c>
      <c r="BG112" s="1721" t="str">
        <f t="shared" si="99"/>
        <v>-</v>
      </c>
      <c r="BH112" s="1048"/>
      <c r="BI112" s="2285" t="str">
        <f t="shared" si="65"/>
        <v>Qty</v>
      </c>
      <c r="BJ112" s="2286" t="str">
        <f t="shared" si="65"/>
        <v>[Service]</v>
      </c>
      <c r="BK112" s="2287" t="str">
        <f t="shared" si="65"/>
        <v>[Price]</v>
      </c>
      <c r="BL112" s="2288" t="str">
        <f t="shared" ref="BL112:BZ112" si="116">IF(OR(X112="",X112=0),"-",IFERROR((X112/W112-1)*(W113/W$13),"-"))</f>
        <v>-</v>
      </c>
      <c r="BM112" s="1720" t="str">
        <f t="shared" si="116"/>
        <v>-</v>
      </c>
      <c r="BN112" s="1720" t="str">
        <f t="shared" si="116"/>
        <v>-</v>
      </c>
      <c r="BO112" s="2289" t="str">
        <f t="shared" si="116"/>
        <v>-</v>
      </c>
      <c r="BP112" s="1720" t="str">
        <f t="shared" si="116"/>
        <v>-</v>
      </c>
      <c r="BQ112" s="2290" t="str">
        <f t="shared" si="116"/>
        <v>-</v>
      </c>
      <c r="BR112" s="1720" t="str">
        <f t="shared" si="116"/>
        <v>-</v>
      </c>
      <c r="BS112" s="1720" t="str">
        <f t="shared" si="116"/>
        <v>-</v>
      </c>
      <c r="BT112" s="1720" t="str">
        <f t="shared" si="116"/>
        <v>-</v>
      </c>
      <c r="BU112" s="1721" t="str">
        <f t="shared" si="116"/>
        <v>-</v>
      </c>
      <c r="BV112" s="1720" t="str">
        <f t="shared" si="116"/>
        <v>-</v>
      </c>
      <c r="BW112" s="1720" t="str">
        <f t="shared" si="116"/>
        <v>-</v>
      </c>
      <c r="BX112" s="1720" t="str">
        <f t="shared" si="116"/>
        <v>-</v>
      </c>
      <c r="BY112" s="1720" t="str">
        <f t="shared" si="116"/>
        <v>-</v>
      </c>
      <c r="BZ112" s="1721" t="str">
        <f t="shared" si="116"/>
        <v>-</v>
      </c>
      <c r="CA112" s="1048"/>
    </row>
    <row r="113" spans="3:79" ht="12.5" thickBot="1" x14ac:dyDescent="0.35">
      <c r="C113" s="126"/>
      <c r="D113" s="126"/>
      <c r="E113" s="559" t="s">
        <v>47</v>
      </c>
      <c r="F113" s="2162" t="str">
        <f t="shared" ref="F113:I113" si="117">+F111</f>
        <v>[Service]</v>
      </c>
      <c r="G113" s="2165">
        <f t="shared" si="117"/>
        <v>0</v>
      </c>
      <c r="H113" s="2165">
        <f t="shared" si="117"/>
        <v>0</v>
      </c>
      <c r="I113" s="2166" t="str">
        <f t="shared" si="117"/>
        <v>[Price]</v>
      </c>
      <c r="J113" s="2106" t="s">
        <v>347</v>
      </c>
      <c r="K113" s="1977"/>
      <c r="L113" s="1206"/>
      <c r="M113" s="1206"/>
      <c r="N113" s="1978"/>
      <c r="O113" s="1206"/>
      <c r="P113" s="1206"/>
      <c r="Q113" s="1206"/>
      <c r="R113" s="1206"/>
      <c r="S113" s="1978"/>
      <c r="T113" s="1206"/>
      <c r="U113" s="1206"/>
      <c r="V113" s="1206"/>
      <c r="W113" s="1731">
        <f t="shared" ref="W113:AG113" si="118">W111*W112/10^6</f>
        <v>0</v>
      </c>
      <c r="X113" s="1730">
        <f t="shared" si="118"/>
        <v>0</v>
      </c>
      <c r="Y113" s="1731">
        <f t="shared" si="118"/>
        <v>0</v>
      </c>
      <c r="Z113" s="1731">
        <f t="shared" si="118"/>
        <v>0</v>
      </c>
      <c r="AA113" s="1731">
        <f t="shared" si="118"/>
        <v>0</v>
      </c>
      <c r="AB113" s="1733">
        <f t="shared" si="118"/>
        <v>0</v>
      </c>
      <c r="AC113" s="1731">
        <f t="shared" si="118"/>
        <v>0</v>
      </c>
      <c r="AD113" s="1731">
        <f t="shared" si="118"/>
        <v>0</v>
      </c>
      <c r="AE113" s="1731">
        <f t="shared" si="118"/>
        <v>0</v>
      </c>
      <c r="AF113" s="1731">
        <f t="shared" si="118"/>
        <v>0</v>
      </c>
      <c r="AG113" s="1733">
        <f t="shared" si="118"/>
        <v>0</v>
      </c>
      <c r="AH113" s="1731">
        <f>AH111*AH112/10^6</f>
        <v>0</v>
      </c>
      <c r="AI113" s="1731">
        <f>AI111*AI112/10^6</f>
        <v>0</v>
      </c>
      <c r="AJ113" s="1731">
        <f>AJ111*AJ112/10^6</f>
        <v>0</v>
      </c>
      <c r="AK113" s="1731">
        <f>AK111*AK112/10^6</f>
        <v>0</v>
      </c>
      <c r="AL113" s="1733">
        <f>AL111*AL112/10^6</f>
        <v>0</v>
      </c>
      <c r="AM113" s="560"/>
      <c r="AN113" s="991"/>
      <c r="AO113" s="992"/>
      <c r="AP113" s="2304" t="str">
        <f t="shared" si="36"/>
        <v>Rev</v>
      </c>
      <c r="AQ113" s="2305" t="str">
        <f t="shared" si="36"/>
        <v>[Service]</v>
      </c>
      <c r="AR113" s="2306" t="str">
        <f t="shared" si="37"/>
        <v>[Price]</v>
      </c>
      <c r="AS113" s="2307" t="str">
        <f t="shared" si="99"/>
        <v>-</v>
      </c>
      <c r="AT113" s="1055" t="str">
        <f t="shared" si="99"/>
        <v>-</v>
      </c>
      <c r="AU113" s="1055" t="str">
        <f t="shared" si="99"/>
        <v>-</v>
      </c>
      <c r="AV113" s="2308" t="str">
        <f t="shared" si="99"/>
        <v>-</v>
      </c>
      <c r="AW113" s="1055" t="str">
        <f t="shared" si="99"/>
        <v>-</v>
      </c>
      <c r="AX113" s="2309" t="str">
        <f t="shared" si="99"/>
        <v>-</v>
      </c>
      <c r="AY113" s="1055" t="str">
        <f t="shared" si="99"/>
        <v>-</v>
      </c>
      <c r="AZ113" s="1055" t="str">
        <f t="shared" si="99"/>
        <v>-</v>
      </c>
      <c r="BA113" s="1055" t="str">
        <f t="shared" si="99"/>
        <v>-</v>
      </c>
      <c r="BB113" s="1056" t="str">
        <f t="shared" si="99"/>
        <v>-</v>
      </c>
      <c r="BC113" s="1055" t="str">
        <f t="shared" si="99"/>
        <v>-</v>
      </c>
      <c r="BD113" s="1055" t="str">
        <f t="shared" si="99"/>
        <v>-</v>
      </c>
      <c r="BE113" s="1055" t="str">
        <f t="shared" si="99"/>
        <v>-</v>
      </c>
      <c r="BF113" s="1055" t="str">
        <f t="shared" si="99"/>
        <v>-</v>
      </c>
      <c r="BG113" s="1056" t="str">
        <f t="shared" si="99"/>
        <v>-</v>
      </c>
      <c r="BH113" s="1048"/>
      <c r="BI113" s="2304" t="str">
        <f t="shared" si="65"/>
        <v>Rev</v>
      </c>
      <c r="BJ113" s="2305" t="str">
        <f t="shared" si="65"/>
        <v>[Service]</v>
      </c>
      <c r="BK113" s="2306" t="str">
        <f t="shared" si="65"/>
        <v>[Price]</v>
      </c>
      <c r="BL113" s="2307" t="str">
        <f t="shared" ref="BL113:BZ113" si="119">IF(OR(X113="",X113=0),"-",IFERROR((X113/W113-1)*(W113/W$13),"-"))</f>
        <v>-</v>
      </c>
      <c r="BM113" s="1055" t="str">
        <f t="shared" si="119"/>
        <v>-</v>
      </c>
      <c r="BN113" s="1055" t="str">
        <f t="shared" si="119"/>
        <v>-</v>
      </c>
      <c r="BO113" s="2308" t="str">
        <f t="shared" si="119"/>
        <v>-</v>
      </c>
      <c r="BP113" s="1055" t="str">
        <f t="shared" si="119"/>
        <v>-</v>
      </c>
      <c r="BQ113" s="2309" t="str">
        <f t="shared" si="119"/>
        <v>-</v>
      </c>
      <c r="BR113" s="1055" t="str">
        <f t="shared" si="119"/>
        <v>-</v>
      </c>
      <c r="BS113" s="1055" t="str">
        <f t="shared" si="119"/>
        <v>-</v>
      </c>
      <c r="BT113" s="1055" t="str">
        <f t="shared" si="119"/>
        <v>-</v>
      </c>
      <c r="BU113" s="1056" t="str">
        <f t="shared" si="119"/>
        <v>-</v>
      </c>
      <c r="BV113" s="1055" t="str">
        <f t="shared" si="119"/>
        <v>-</v>
      </c>
      <c r="BW113" s="1055" t="str">
        <f t="shared" si="119"/>
        <v>-</v>
      </c>
      <c r="BX113" s="1055" t="str">
        <f t="shared" si="119"/>
        <v>-</v>
      </c>
      <c r="BY113" s="1055" t="str">
        <f t="shared" si="119"/>
        <v>-</v>
      </c>
      <c r="BZ113" s="1056" t="str">
        <f t="shared" si="119"/>
        <v>-</v>
      </c>
      <c r="CA113" s="1048"/>
    </row>
    <row r="114" spans="3:79" x14ac:dyDescent="0.3">
      <c r="C114" s="126"/>
      <c r="D114" s="126">
        <f>D111+1</f>
        <v>16</v>
      </c>
      <c r="E114" s="553" t="s">
        <v>45</v>
      </c>
      <c r="F114" s="2105" t="s">
        <v>21</v>
      </c>
      <c r="G114" s="2105" t="s">
        <v>1186</v>
      </c>
      <c r="H114" s="2105" t="s">
        <v>1201</v>
      </c>
      <c r="I114" s="573" t="s">
        <v>320</v>
      </c>
      <c r="J114" s="573" t="s">
        <v>348</v>
      </c>
      <c r="K114" s="1969"/>
      <c r="L114" s="1970"/>
      <c r="M114" s="1970"/>
      <c r="N114" s="1971"/>
      <c r="O114" s="1970"/>
      <c r="P114" s="1970"/>
      <c r="Q114" s="1970"/>
      <c r="R114" s="1972"/>
      <c r="S114" s="1971"/>
      <c r="T114" s="1970"/>
      <c r="U114" s="1970"/>
      <c r="V114" s="1970"/>
      <c r="W114" s="1709">
        <v>251.05</v>
      </c>
      <c r="X114" s="1710">
        <v>255.82</v>
      </c>
      <c r="Y114" s="1709">
        <v>259.22000000000003</v>
      </c>
      <c r="Z114" s="1709">
        <v>264.89</v>
      </c>
      <c r="AA114" s="1709">
        <v>267.83999999999997</v>
      </c>
      <c r="AB114" s="1711">
        <v>281.47000000000003</v>
      </c>
      <c r="AC114" s="1709">
        <v>281.47000000000003</v>
      </c>
      <c r="AD114" s="1709">
        <v>281.47000000000003</v>
      </c>
      <c r="AE114" s="1709">
        <v>281.47000000000003</v>
      </c>
      <c r="AF114" s="1709">
        <v>281.47000000000003</v>
      </c>
      <c r="AG114" s="1712">
        <v>281.47000000000003</v>
      </c>
      <c r="AH114" s="1709">
        <v>281.47000000000003</v>
      </c>
      <c r="AI114" s="1709">
        <v>281.47000000000003</v>
      </c>
      <c r="AJ114" s="1709">
        <v>281.47000000000003</v>
      </c>
      <c r="AK114" s="1709">
        <v>281.47000000000003</v>
      </c>
      <c r="AL114" s="1712">
        <v>281.47000000000003</v>
      </c>
      <c r="AM114" s="560"/>
      <c r="AN114" s="1052"/>
      <c r="AO114" s="992"/>
      <c r="AP114" s="2297" t="str">
        <f t="shared" si="36"/>
        <v>Price</v>
      </c>
      <c r="AQ114" s="2298" t="str">
        <f t="shared" si="36"/>
        <v>Water</v>
      </c>
      <c r="AR114" s="1719" t="str">
        <f t="shared" si="37"/>
        <v>Fixed</v>
      </c>
      <c r="AS114" s="2299">
        <f t="shared" si="99"/>
        <v>1.9000199163513143E-2</v>
      </c>
      <c r="AT114" s="1728">
        <f t="shared" si="99"/>
        <v>1.3290594949574075E-2</v>
      </c>
      <c r="AU114" s="1728">
        <f t="shared" si="99"/>
        <v>2.1873312244425458E-2</v>
      </c>
      <c r="AV114" s="2300">
        <f t="shared" si="99"/>
        <v>1.1136698252104615E-2</v>
      </c>
      <c r="AW114" s="1728">
        <f t="shared" si="99"/>
        <v>5.0888590203106432E-2</v>
      </c>
      <c r="AX114" s="2301">
        <f t="shared" si="99"/>
        <v>0</v>
      </c>
      <c r="AY114" s="1728">
        <f t="shared" si="99"/>
        <v>0</v>
      </c>
      <c r="AZ114" s="1728">
        <f t="shared" si="99"/>
        <v>0</v>
      </c>
      <c r="BA114" s="1728">
        <f t="shared" si="99"/>
        <v>0</v>
      </c>
      <c r="BB114" s="1729">
        <f t="shared" si="99"/>
        <v>0</v>
      </c>
      <c r="BC114" s="1728">
        <f t="shared" si="99"/>
        <v>0</v>
      </c>
      <c r="BD114" s="1728">
        <f t="shared" si="99"/>
        <v>0</v>
      </c>
      <c r="BE114" s="1728">
        <f t="shared" si="99"/>
        <v>0</v>
      </c>
      <c r="BF114" s="1728">
        <f t="shared" si="99"/>
        <v>0</v>
      </c>
      <c r="BG114" s="1729">
        <f t="shared" si="99"/>
        <v>0</v>
      </c>
      <c r="BH114" s="1048"/>
      <c r="BI114" s="2297" t="str">
        <f t="shared" si="65"/>
        <v>Price</v>
      </c>
      <c r="BJ114" s="2298" t="str">
        <f t="shared" si="65"/>
        <v>Water</v>
      </c>
      <c r="BK114" s="1719" t="str">
        <f t="shared" si="65"/>
        <v>Fixed</v>
      </c>
      <c r="BL114" s="2299">
        <f t="shared" ref="BL114:BZ114" si="120">IF(OR(X114="",X114=0),"-",IFERROR((X114/W114-1)*(W116/W$13),"-"))</f>
        <v>1.5987404706934902E-4</v>
      </c>
      <c r="BM114" s="1053">
        <f t="shared" si="120"/>
        <v>1.0980197078581084E-4</v>
      </c>
      <c r="BN114" s="1053">
        <f t="shared" si="120"/>
        <v>1.8819600071740285E-4</v>
      </c>
      <c r="BO114" s="2302">
        <f t="shared" si="120"/>
        <v>9.7141206297104166E-5</v>
      </c>
      <c r="BP114" s="1053">
        <f t="shared" si="120"/>
        <v>4.4378543455480401E-4</v>
      </c>
      <c r="BQ114" s="2303">
        <f t="shared" si="120"/>
        <v>0</v>
      </c>
      <c r="BR114" s="1053">
        <f t="shared" si="120"/>
        <v>0</v>
      </c>
      <c r="BS114" s="1053">
        <f t="shared" si="120"/>
        <v>0</v>
      </c>
      <c r="BT114" s="1053">
        <f t="shared" si="120"/>
        <v>0</v>
      </c>
      <c r="BU114" s="1054">
        <f t="shared" si="120"/>
        <v>0</v>
      </c>
      <c r="BV114" s="1053">
        <f t="shared" si="120"/>
        <v>0</v>
      </c>
      <c r="BW114" s="1053">
        <f t="shared" si="120"/>
        <v>0</v>
      </c>
      <c r="BX114" s="1053">
        <f t="shared" si="120"/>
        <v>0</v>
      </c>
      <c r="BY114" s="1053">
        <f t="shared" si="120"/>
        <v>0</v>
      </c>
      <c r="BZ114" s="1054">
        <f t="shared" si="120"/>
        <v>0</v>
      </c>
      <c r="CA114" s="1048"/>
    </row>
    <row r="115" spans="3:79" x14ac:dyDescent="0.3">
      <c r="C115" s="126"/>
      <c r="D115" s="126"/>
      <c r="E115" s="558" t="s">
        <v>46</v>
      </c>
      <c r="F115" s="2161" t="str">
        <f t="shared" si="105"/>
        <v>Water</v>
      </c>
      <c r="G115" s="2163" t="str">
        <f t="shared" si="105"/>
        <v>Residential</v>
      </c>
      <c r="H115" s="2163" t="str">
        <f t="shared" si="105"/>
        <v>Fire Services Charge</v>
      </c>
      <c r="I115" s="2164" t="str">
        <f t="shared" si="105"/>
        <v>Fixed</v>
      </c>
      <c r="J115" s="574" t="s">
        <v>324</v>
      </c>
      <c r="K115" s="1973"/>
      <c r="L115" s="1974"/>
      <c r="M115" s="1974"/>
      <c r="N115" s="1975"/>
      <c r="O115" s="1974"/>
      <c r="P115" s="1974"/>
      <c r="Q115" s="1974"/>
      <c r="R115" s="1976"/>
      <c r="S115" s="1975"/>
      <c r="T115" s="1974"/>
      <c r="U115" s="1974"/>
      <c r="V115" s="1974"/>
      <c r="W115" s="1713">
        <v>3088</v>
      </c>
      <c r="X115" s="1714">
        <v>3052</v>
      </c>
      <c r="Y115" s="1713">
        <v>3102</v>
      </c>
      <c r="Z115" s="1713">
        <v>3114</v>
      </c>
      <c r="AA115" s="1713">
        <v>3120</v>
      </c>
      <c r="AB115" s="1715">
        <v>3135.5999999999995</v>
      </c>
      <c r="AC115" s="1713">
        <v>3151.2779999999993</v>
      </c>
      <c r="AD115" s="1713">
        <v>3167.0343899999989</v>
      </c>
      <c r="AE115" s="1713">
        <v>3182.8695619499986</v>
      </c>
      <c r="AF115" s="1713">
        <v>3198.7839097597484</v>
      </c>
      <c r="AG115" s="1716">
        <v>3214.7778293085466</v>
      </c>
      <c r="AH115" s="1713">
        <v>3230.8517184550892</v>
      </c>
      <c r="AI115" s="1713">
        <v>3247.0059770473645</v>
      </c>
      <c r="AJ115" s="1713">
        <v>3263.2410069326011</v>
      </c>
      <c r="AK115" s="1713">
        <v>3279.5572119672638</v>
      </c>
      <c r="AL115" s="1716">
        <v>3295.9549980270999</v>
      </c>
      <c r="AM115" s="560"/>
      <c r="AN115" s="991"/>
      <c r="AO115" s="992"/>
      <c r="AP115" s="2285" t="str">
        <f t="shared" si="36"/>
        <v>Qty</v>
      </c>
      <c r="AQ115" s="2286" t="str">
        <f t="shared" si="36"/>
        <v>Water</v>
      </c>
      <c r="AR115" s="2287" t="str">
        <f t="shared" si="37"/>
        <v>Fixed</v>
      </c>
      <c r="AS115" s="2288">
        <f t="shared" si="99"/>
        <v>-1.1658031088082943E-2</v>
      </c>
      <c r="AT115" s="1720">
        <f t="shared" si="99"/>
        <v>1.6382699868938477E-2</v>
      </c>
      <c r="AU115" s="1720">
        <f t="shared" si="99"/>
        <v>3.8684719535784229E-3</v>
      </c>
      <c r="AV115" s="2289">
        <f t="shared" si="99"/>
        <v>1.9267822736031004E-3</v>
      </c>
      <c r="AW115" s="1720">
        <f t="shared" si="99"/>
        <v>4.9999999999998934E-3</v>
      </c>
      <c r="AX115" s="2290">
        <f t="shared" si="99"/>
        <v>4.9999999999998934E-3</v>
      </c>
      <c r="AY115" s="1720">
        <f t="shared" si="99"/>
        <v>4.9999999999998934E-3</v>
      </c>
      <c r="AZ115" s="1720">
        <f t="shared" si="99"/>
        <v>4.9999999999998934E-3</v>
      </c>
      <c r="BA115" s="1720">
        <f t="shared" si="99"/>
        <v>4.9999999999998934E-3</v>
      </c>
      <c r="BB115" s="1721">
        <f t="shared" si="99"/>
        <v>4.9999999999998934E-3</v>
      </c>
      <c r="BC115" s="1720">
        <f t="shared" si="99"/>
        <v>4.9999999999998934E-3</v>
      </c>
      <c r="BD115" s="1720">
        <f t="shared" si="99"/>
        <v>4.9999999999998934E-3</v>
      </c>
      <c r="BE115" s="1720">
        <f t="shared" si="99"/>
        <v>4.9999999999998934E-3</v>
      </c>
      <c r="BF115" s="1720">
        <f t="shared" si="99"/>
        <v>4.9999999999998934E-3</v>
      </c>
      <c r="BG115" s="1721">
        <f t="shared" si="99"/>
        <v>4.9999999999998934E-3</v>
      </c>
      <c r="BH115" s="1048"/>
      <c r="BI115" s="2285" t="str">
        <f t="shared" si="65"/>
        <v>Qty</v>
      </c>
      <c r="BJ115" s="2286" t="str">
        <f t="shared" si="65"/>
        <v>Water</v>
      </c>
      <c r="BK115" s="2287" t="str">
        <f t="shared" si="65"/>
        <v>Fixed</v>
      </c>
      <c r="BL115" s="2288">
        <f t="shared" ref="BL115:BZ115" si="121">IF(OR(X115="",X115=0),"-",IFERROR((X115/W115-1)*(W116/W$13),"-"))</f>
        <v>-9.8094582844756155E-5</v>
      </c>
      <c r="BM115" s="1720">
        <f t="shared" si="121"/>
        <v>1.3534779588324884E-4</v>
      </c>
      <c r="BN115" s="1720">
        <f t="shared" si="121"/>
        <v>3.3283982892734535E-5</v>
      </c>
      <c r="BO115" s="2289">
        <f t="shared" si="121"/>
        <v>1.6806592949962596E-5</v>
      </c>
      <c r="BP115" s="1720">
        <f t="shared" si="121"/>
        <v>4.3603628316638277E-5</v>
      </c>
      <c r="BQ115" s="2290">
        <f t="shared" si="121"/>
        <v>4.3771770390154791E-5</v>
      </c>
      <c r="BR115" s="1720">
        <f t="shared" si="121"/>
        <v>4.2742696287090124E-5</v>
      </c>
      <c r="BS115" s="1720">
        <f t="shared" si="121"/>
        <v>4.1697562596022677E-5</v>
      </c>
      <c r="BT115" s="1720">
        <f t="shared" si="121"/>
        <v>4.0661494883493637E-5</v>
      </c>
      <c r="BU115" s="1721">
        <f t="shared" si="121"/>
        <v>3.9650470165169792E-5</v>
      </c>
      <c r="BV115" s="1720">
        <f t="shared" si="121"/>
        <v>3.8735144730959464E-5</v>
      </c>
      <c r="BW115" s="1720">
        <f t="shared" si="121"/>
        <v>3.7839687528873976E-5</v>
      </c>
      <c r="BX115" s="1720">
        <f t="shared" si="121"/>
        <v>3.6963710694814886E-5</v>
      </c>
      <c r="BY115" s="1720">
        <f t="shared" si="121"/>
        <v>3.610683243379948E-5</v>
      </c>
      <c r="BZ115" s="1721">
        <f t="shared" si="121"/>
        <v>3.5268676978882879E-5</v>
      </c>
      <c r="CA115" s="1048"/>
    </row>
    <row r="116" spans="3:79" ht="12.5" thickBot="1" x14ac:dyDescent="0.35">
      <c r="C116" s="126"/>
      <c r="D116" s="126"/>
      <c r="E116" s="559" t="s">
        <v>47</v>
      </c>
      <c r="F116" s="2162" t="str">
        <f t="shared" ref="F116:I116" si="122">+F114</f>
        <v>Water</v>
      </c>
      <c r="G116" s="2165" t="str">
        <f t="shared" si="122"/>
        <v>Residential</v>
      </c>
      <c r="H116" s="2165" t="str">
        <f t="shared" si="122"/>
        <v>Fire Services Charge</v>
      </c>
      <c r="I116" s="2166" t="str">
        <f t="shared" si="122"/>
        <v>Fixed</v>
      </c>
      <c r="J116" s="2106" t="s">
        <v>347</v>
      </c>
      <c r="K116" s="1977"/>
      <c r="L116" s="1206"/>
      <c r="M116" s="1206"/>
      <c r="N116" s="1978"/>
      <c r="O116" s="1206"/>
      <c r="P116" s="1206"/>
      <c r="Q116" s="1206"/>
      <c r="R116" s="1206"/>
      <c r="S116" s="1978"/>
      <c r="T116" s="1206"/>
      <c r="U116" s="1206"/>
      <c r="V116" s="1206"/>
      <c r="W116" s="1731">
        <f t="shared" ref="W116:AG116" si="123">W114*W115/10^6</f>
        <v>0.7752424</v>
      </c>
      <c r="X116" s="1730">
        <f t="shared" si="123"/>
        <v>0.78076264000000006</v>
      </c>
      <c r="Y116" s="1731">
        <f t="shared" si="123"/>
        <v>0.80410044000000003</v>
      </c>
      <c r="Z116" s="1731">
        <f t="shared" si="123"/>
        <v>0.82486746</v>
      </c>
      <c r="AA116" s="1731">
        <f t="shared" si="123"/>
        <v>0.83566079999999998</v>
      </c>
      <c r="AB116" s="1733">
        <f t="shared" si="123"/>
        <v>0.88257733199999988</v>
      </c>
      <c r="AC116" s="1731">
        <f t="shared" si="123"/>
        <v>0.88699021865999994</v>
      </c>
      <c r="AD116" s="1731">
        <f t="shared" si="123"/>
        <v>0.89142516975329977</v>
      </c>
      <c r="AE116" s="1731">
        <f t="shared" si="123"/>
        <v>0.89588229560206623</v>
      </c>
      <c r="AF116" s="1731">
        <f t="shared" si="123"/>
        <v>0.90036170708007646</v>
      </c>
      <c r="AG116" s="1733">
        <f t="shared" si="123"/>
        <v>0.90486351561547673</v>
      </c>
      <c r="AH116" s="1731">
        <f>AH114*AH115/10^6</f>
        <v>0.9093878331935541</v>
      </c>
      <c r="AI116" s="1731">
        <f>AI114*AI115/10^6</f>
        <v>0.9139347723595217</v>
      </c>
      <c r="AJ116" s="1731">
        <f>AJ114*AJ115/10^6</f>
        <v>0.91850444622131922</v>
      </c>
      <c r="AK116" s="1731">
        <f>AK114*AK115/10^6</f>
        <v>0.92309696845242584</v>
      </c>
      <c r="AL116" s="1733">
        <f>AL114*AL115/10^6</f>
        <v>0.92771245329468788</v>
      </c>
      <c r="AM116" s="560"/>
      <c r="AN116" s="991"/>
      <c r="AO116" s="992"/>
      <c r="AP116" s="2304" t="str">
        <f t="shared" si="36"/>
        <v>Rev</v>
      </c>
      <c r="AQ116" s="2305" t="str">
        <f t="shared" si="36"/>
        <v>Water</v>
      </c>
      <c r="AR116" s="2306" t="str">
        <f t="shared" si="37"/>
        <v>Fixed</v>
      </c>
      <c r="AS116" s="2307">
        <f t="shared" si="99"/>
        <v>7.1206631629023853E-3</v>
      </c>
      <c r="AT116" s="1055">
        <f t="shared" si="99"/>
        <v>2.9891030646650663E-2</v>
      </c>
      <c r="AU116" s="1055">
        <f t="shared" si="99"/>
        <v>2.5826400492953372E-2</v>
      </c>
      <c r="AV116" s="2308">
        <f t="shared" si="99"/>
        <v>1.3084938518486355E-2</v>
      </c>
      <c r="AW116" s="1055">
        <f t="shared" si="99"/>
        <v>5.6143033154121724E-2</v>
      </c>
      <c r="AX116" s="2309">
        <f t="shared" si="99"/>
        <v>5.0000000000001155E-3</v>
      </c>
      <c r="AY116" s="1055">
        <f t="shared" si="99"/>
        <v>4.9999999999998934E-3</v>
      </c>
      <c r="AZ116" s="1055">
        <f t="shared" si="99"/>
        <v>4.9999999999998934E-3</v>
      </c>
      <c r="BA116" s="1055">
        <f t="shared" si="99"/>
        <v>4.9999999999998934E-3</v>
      </c>
      <c r="BB116" s="1056">
        <f t="shared" si="99"/>
        <v>4.9999999999998934E-3</v>
      </c>
      <c r="BC116" s="1055">
        <f t="shared" si="99"/>
        <v>4.9999999999998934E-3</v>
      </c>
      <c r="BD116" s="1055">
        <f t="shared" si="99"/>
        <v>4.9999999999998934E-3</v>
      </c>
      <c r="BE116" s="1055">
        <f t="shared" si="99"/>
        <v>4.9999999999998934E-3</v>
      </c>
      <c r="BF116" s="1055">
        <f t="shared" si="99"/>
        <v>5.0000000000001155E-3</v>
      </c>
      <c r="BG116" s="1056">
        <f t="shared" si="99"/>
        <v>4.9999999999998934E-3</v>
      </c>
      <c r="BH116" s="1048"/>
      <c r="BI116" s="2304" t="str">
        <f t="shared" si="65"/>
        <v>Rev</v>
      </c>
      <c r="BJ116" s="2305" t="str">
        <f t="shared" si="65"/>
        <v>Water</v>
      </c>
      <c r="BK116" s="2306" t="str">
        <f t="shared" si="65"/>
        <v>Fixed</v>
      </c>
      <c r="BL116" s="2307">
        <f t="shared" ref="BL116:BZ116" si="124">IF(OR(X116="",X116=0),"-",IFERROR((X116/W116-1)*(W116/W$13),"-"))</f>
        <v>5.9915647613682351E-5</v>
      </c>
      <c r="BM116" s="1055">
        <f t="shared" si="124"/>
        <v>2.4694861940145833E-4</v>
      </c>
      <c r="BN116" s="1055">
        <f t="shared" si="124"/>
        <v>2.2220801456068886E-4</v>
      </c>
      <c r="BO116" s="2308">
        <f t="shared" si="124"/>
        <v>1.141349692013966E-4</v>
      </c>
      <c r="BP116" s="1055">
        <f t="shared" si="124"/>
        <v>4.896079900442151E-4</v>
      </c>
      <c r="BQ116" s="2309">
        <f t="shared" si="124"/>
        <v>4.3771770390156736E-5</v>
      </c>
      <c r="BR116" s="1055">
        <f t="shared" si="124"/>
        <v>4.2742696287090124E-5</v>
      </c>
      <c r="BS116" s="1055">
        <f t="shared" si="124"/>
        <v>4.1697562596022677E-5</v>
      </c>
      <c r="BT116" s="1055">
        <f t="shared" si="124"/>
        <v>4.0661494883493637E-5</v>
      </c>
      <c r="BU116" s="1056">
        <f t="shared" si="124"/>
        <v>3.9650470165169792E-5</v>
      </c>
      <c r="BV116" s="1055">
        <f t="shared" si="124"/>
        <v>3.8735144730959464E-5</v>
      </c>
      <c r="BW116" s="1055">
        <f t="shared" si="124"/>
        <v>3.7839687528873976E-5</v>
      </c>
      <c r="BX116" s="1055">
        <f t="shared" si="124"/>
        <v>3.6963710694814886E-5</v>
      </c>
      <c r="BY116" s="1055">
        <f t="shared" si="124"/>
        <v>3.6106832433801085E-5</v>
      </c>
      <c r="BZ116" s="1056">
        <f t="shared" si="124"/>
        <v>3.5268676978882879E-5</v>
      </c>
      <c r="CA116" s="1048"/>
    </row>
    <row r="117" spans="3:79" x14ac:dyDescent="0.3">
      <c r="C117" s="126"/>
      <c r="D117" s="126">
        <f>D114+1</f>
        <v>17</v>
      </c>
      <c r="E117" s="553" t="s">
        <v>45</v>
      </c>
      <c r="F117" s="2105" t="s">
        <v>21</v>
      </c>
      <c r="G117" s="2105" t="s">
        <v>1186</v>
      </c>
      <c r="H117" s="2105" t="s">
        <v>1202</v>
      </c>
      <c r="I117" s="573" t="s">
        <v>320</v>
      </c>
      <c r="J117" s="573" t="s">
        <v>348</v>
      </c>
      <c r="K117" s="1969"/>
      <c r="L117" s="1970"/>
      <c r="M117" s="1970"/>
      <c r="N117" s="1971"/>
      <c r="O117" s="1970"/>
      <c r="P117" s="1970"/>
      <c r="Q117" s="1970"/>
      <c r="R117" s="1972"/>
      <c r="S117" s="1971"/>
      <c r="T117" s="1970"/>
      <c r="U117" s="1970"/>
      <c r="V117" s="1970"/>
      <c r="W117" s="1709">
        <v>61.27</v>
      </c>
      <c r="X117" s="1710">
        <v>62.43</v>
      </c>
      <c r="Y117" s="1709">
        <v>63.26</v>
      </c>
      <c r="Z117" s="1709">
        <v>64.64</v>
      </c>
      <c r="AA117" s="1709">
        <v>65.36</v>
      </c>
      <c r="AB117" s="1711">
        <v>68.680000000000007</v>
      </c>
      <c r="AC117" s="1709">
        <v>68.680000000000007</v>
      </c>
      <c r="AD117" s="1709">
        <v>68.680000000000007</v>
      </c>
      <c r="AE117" s="1709">
        <v>68.680000000000007</v>
      </c>
      <c r="AF117" s="1709">
        <v>68.680000000000007</v>
      </c>
      <c r="AG117" s="1712">
        <v>68.680000000000007</v>
      </c>
      <c r="AH117" s="1709">
        <v>68.680000000000007</v>
      </c>
      <c r="AI117" s="1709">
        <v>68.680000000000007</v>
      </c>
      <c r="AJ117" s="1709">
        <v>68.680000000000007</v>
      </c>
      <c r="AK117" s="1709">
        <v>68.680000000000007</v>
      </c>
      <c r="AL117" s="1712">
        <v>68.680000000000007</v>
      </c>
      <c r="AM117" s="560"/>
      <c r="AN117" s="1052"/>
      <c r="AO117" s="992"/>
      <c r="AP117" s="2297" t="str">
        <f t="shared" si="36"/>
        <v>Price</v>
      </c>
      <c r="AQ117" s="2298" t="str">
        <f t="shared" si="36"/>
        <v>Water</v>
      </c>
      <c r="AR117" s="1719" t="str">
        <f t="shared" si="37"/>
        <v>Fixed</v>
      </c>
      <c r="AS117" s="2299">
        <f t="shared" si="99"/>
        <v>1.8932593438877099E-2</v>
      </c>
      <c r="AT117" s="1728">
        <f t="shared" si="99"/>
        <v>1.3294890277110394E-2</v>
      </c>
      <c r="AU117" s="1728">
        <f t="shared" si="99"/>
        <v>2.1814732848561613E-2</v>
      </c>
      <c r="AV117" s="2300">
        <f t="shared" si="99"/>
        <v>1.1138613861386037E-2</v>
      </c>
      <c r="AW117" s="1728">
        <f t="shared" si="99"/>
        <v>5.0795593635251102E-2</v>
      </c>
      <c r="AX117" s="2301">
        <f t="shared" si="99"/>
        <v>0</v>
      </c>
      <c r="AY117" s="1728">
        <f t="shared" si="99"/>
        <v>0</v>
      </c>
      <c r="AZ117" s="1728">
        <f t="shared" si="99"/>
        <v>0</v>
      </c>
      <c r="BA117" s="1728">
        <f t="shared" si="99"/>
        <v>0</v>
      </c>
      <c r="BB117" s="1729">
        <f t="shared" si="99"/>
        <v>0</v>
      </c>
      <c r="BC117" s="1728">
        <f t="shared" si="99"/>
        <v>0</v>
      </c>
      <c r="BD117" s="1728">
        <f t="shared" si="99"/>
        <v>0</v>
      </c>
      <c r="BE117" s="1728">
        <f t="shared" si="99"/>
        <v>0</v>
      </c>
      <c r="BF117" s="1728">
        <f t="shared" si="99"/>
        <v>0</v>
      </c>
      <c r="BG117" s="1729">
        <f t="shared" si="99"/>
        <v>0</v>
      </c>
      <c r="BH117" s="1048"/>
      <c r="BI117" s="2297" t="str">
        <f t="shared" si="65"/>
        <v>Price</v>
      </c>
      <c r="BJ117" s="2298" t="str">
        <f t="shared" si="65"/>
        <v>Water</v>
      </c>
      <c r="BK117" s="1719" t="str">
        <f t="shared" si="65"/>
        <v>Fixed</v>
      </c>
      <c r="BL117" s="2299">
        <f t="shared" ref="BL117:BZ117" si="125">IF(OR(X117="",X117=0),"-",IFERROR((X117/W117-1)*(W119/W$13),"-"))</f>
        <v>7.9004898152977221E-5</v>
      </c>
      <c r="BM117" s="1053">
        <f t="shared" si="125"/>
        <v>5.6674336742453292E-5</v>
      </c>
      <c r="BN117" s="1053">
        <f t="shared" si="125"/>
        <v>6.4084699721331405E-5</v>
      </c>
      <c r="BO117" s="2302">
        <f t="shared" si="125"/>
        <v>6.0475563955551576E-5</v>
      </c>
      <c r="BP117" s="1053">
        <f t="shared" si="125"/>
        <v>2.7765788816086598E-4</v>
      </c>
      <c r="BQ117" s="2303">
        <f t="shared" si="125"/>
        <v>0</v>
      </c>
      <c r="BR117" s="1053">
        <f t="shared" si="125"/>
        <v>0</v>
      </c>
      <c r="BS117" s="1053">
        <f t="shared" si="125"/>
        <v>0</v>
      </c>
      <c r="BT117" s="1053">
        <f t="shared" si="125"/>
        <v>0</v>
      </c>
      <c r="BU117" s="1054">
        <f t="shared" si="125"/>
        <v>0</v>
      </c>
      <c r="BV117" s="1053">
        <f t="shared" si="125"/>
        <v>0</v>
      </c>
      <c r="BW117" s="1053">
        <f t="shared" si="125"/>
        <v>0</v>
      </c>
      <c r="BX117" s="1053">
        <f t="shared" si="125"/>
        <v>0</v>
      </c>
      <c r="BY117" s="1053">
        <f t="shared" si="125"/>
        <v>0</v>
      </c>
      <c r="BZ117" s="1054">
        <f t="shared" si="125"/>
        <v>0</v>
      </c>
      <c r="CA117" s="1048"/>
    </row>
    <row r="118" spans="3:79" x14ac:dyDescent="0.3">
      <c r="C118" s="126"/>
      <c r="D118" s="126"/>
      <c r="E118" s="558" t="s">
        <v>46</v>
      </c>
      <c r="F118" s="2161" t="str">
        <f t="shared" si="105"/>
        <v>Water</v>
      </c>
      <c r="G118" s="2163" t="str">
        <f t="shared" si="105"/>
        <v>Residential</v>
      </c>
      <c r="H118" s="2163" t="str">
        <f t="shared" si="105"/>
        <v>Information Statements</v>
      </c>
      <c r="I118" s="2164" t="str">
        <f t="shared" si="105"/>
        <v>Fixed</v>
      </c>
      <c r="J118" s="574" t="s">
        <v>324</v>
      </c>
      <c r="K118" s="1973"/>
      <c r="L118" s="1974"/>
      <c r="M118" s="1974"/>
      <c r="N118" s="1975"/>
      <c r="O118" s="1974"/>
      <c r="P118" s="1974"/>
      <c r="Q118" s="1974"/>
      <c r="R118" s="1976"/>
      <c r="S118" s="1975"/>
      <c r="T118" s="1974"/>
      <c r="U118" s="1974"/>
      <c r="V118" s="1974"/>
      <c r="W118" s="1713">
        <v>6275</v>
      </c>
      <c r="X118" s="1714">
        <v>6453</v>
      </c>
      <c r="Y118" s="1713">
        <v>4340</v>
      </c>
      <c r="Z118" s="1713">
        <v>7943</v>
      </c>
      <c r="AA118" s="1713">
        <v>8014</v>
      </c>
      <c r="AB118" s="1715">
        <v>8054.0699999999988</v>
      </c>
      <c r="AC118" s="1713">
        <v>8094.3403499999977</v>
      </c>
      <c r="AD118" s="1713">
        <v>8134.8120517499965</v>
      </c>
      <c r="AE118" s="1713">
        <v>8175.4861120087453</v>
      </c>
      <c r="AF118" s="1713">
        <v>8216.363542568788</v>
      </c>
      <c r="AG118" s="1716">
        <v>8257.4453602816302</v>
      </c>
      <c r="AH118" s="1713">
        <v>8298.7325870830373</v>
      </c>
      <c r="AI118" s="1713">
        <v>8340.2262500184515</v>
      </c>
      <c r="AJ118" s="1713">
        <v>8381.9273812685424</v>
      </c>
      <c r="AK118" s="1713">
        <v>8423.8370181748851</v>
      </c>
      <c r="AL118" s="1716">
        <v>8465.9562032657577</v>
      </c>
      <c r="AM118" s="560"/>
      <c r="AN118" s="991"/>
      <c r="AO118" s="992"/>
      <c r="AP118" s="2285" t="str">
        <f t="shared" si="36"/>
        <v>Qty</v>
      </c>
      <c r="AQ118" s="2286" t="str">
        <f t="shared" si="36"/>
        <v>Water</v>
      </c>
      <c r="AR118" s="2287" t="str">
        <f t="shared" si="37"/>
        <v>Fixed</v>
      </c>
      <c r="AS118" s="2288">
        <f t="shared" si="99"/>
        <v>2.8366533864541799E-2</v>
      </c>
      <c r="AT118" s="1720">
        <f t="shared" si="99"/>
        <v>-0.32744459941112658</v>
      </c>
      <c r="AU118" s="1720">
        <f t="shared" si="99"/>
        <v>0.83018433179723505</v>
      </c>
      <c r="AV118" s="2289">
        <f t="shared" si="99"/>
        <v>8.9386881530908457E-3</v>
      </c>
      <c r="AW118" s="1720">
        <f t="shared" si="99"/>
        <v>4.9999999999998934E-3</v>
      </c>
      <c r="AX118" s="2290">
        <f t="shared" si="99"/>
        <v>4.9999999999998934E-3</v>
      </c>
      <c r="AY118" s="1720">
        <f t="shared" si="99"/>
        <v>4.9999999999998934E-3</v>
      </c>
      <c r="AZ118" s="1720">
        <f t="shared" si="99"/>
        <v>4.9999999999998934E-3</v>
      </c>
      <c r="BA118" s="1720">
        <f t="shared" si="99"/>
        <v>4.9999999999998934E-3</v>
      </c>
      <c r="BB118" s="1721">
        <f t="shared" si="99"/>
        <v>4.9999999999998934E-3</v>
      </c>
      <c r="BC118" s="1720">
        <f t="shared" si="99"/>
        <v>4.9999999999998934E-3</v>
      </c>
      <c r="BD118" s="1720">
        <f t="shared" si="99"/>
        <v>4.9999999999998934E-3</v>
      </c>
      <c r="BE118" s="1720">
        <f t="shared" si="99"/>
        <v>4.9999999999998934E-3</v>
      </c>
      <c r="BF118" s="1720">
        <f t="shared" si="99"/>
        <v>4.9999999999998934E-3</v>
      </c>
      <c r="BG118" s="1721">
        <f t="shared" si="99"/>
        <v>4.9999999999998934E-3</v>
      </c>
      <c r="BH118" s="1048"/>
      <c r="BI118" s="2285" t="str">
        <f t="shared" si="65"/>
        <v>Qty</v>
      </c>
      <c r="BJ118" s="2286" t="str">
        <f t="shared" si="65"/>
        <v>Water</v>
      </c>
      <c r="BK118" s="2287" t="str">
        <f t="shared" si="65"/>
        <v>Fixed</v>
      </c>
      <c r="BL118" s="2288">
        <f t="shared" ref="BL118:BZ118" si="126">IF(OR(X118="",X118=0),"-",IFERROR((X118/W118-1)*(W119/W$13),"-"))</f>
        <v>1.1837232580715178E-4</v>
      </c>
      <c r="BM118" s="1720">
        <f t="shared" si="126"/>
        <v>-1.3958524745010061E-3</v>
      </c>
      <c r="BN118" s="1720">
        <f t="shared" si="126"/>
        <v>2.4388157299890072E-3</v>
      </c>
      <c r="BO118" s="2289">
        <f t="shared" si="126"/>
        <v>4.8531371480159235E-5</v>
      </c>
      <c r="BP118" s="1720">
        <f t="shared" si="126"/>
        <v>2.7330902967159256E-5</v>
      </c>
      <c r="BQ118" s="2290">
        <f t="shared" si="126"/>
        <v>2.7433867064933137E-5</v>
      </c>
      <c r="BR118" s="1720">
        <f t="shared" si="126"/>
        <v>2.6788896987373929E-5</v>
      </c>
      <c r="BS118" s="1720">
        <f t="shared" si="126"/>
        <v>2.6133861596064363E-5</v>
      </c>
      <c r="BT118" s="1720">
        <f t="shared" si="126"/>
        <v>2.5484508288157402E-5</v>
      </c>
      <c r="BU118" s="1721">
        <f t="shared" si="126"/>
        <v>2.485085062536166E-5</v>
      </c>
      <c r="BV118" s="1720">
        <f t="shared" si="126"/>
        <v>2.4277172292055621E-5</v>
      </c>
      <c r="BW118" s="1720">
        <f t="shared" si="126"/>
        <v>2.3715946332370064E-5</v>
      </c>
      <c r="BX118" s="1720">
        <f t="shared" si="126"/>
        <v>2.3166929653279035E-5</v>
      </c>
      <c r="BY118" s="1720">
        <f t="shared" si="126"/>
        <v>2.2629882965562353E-5</v>
      </c>
      <c r="BZ118" s="1721">
        <f t="shared" si="126"/>
        <v>2.2104570758060172E-5</v>
      </c>
      <c r="CA118" s="1048"/>
    </row>
    <row r="119" spans="3:79" ht="12.5" thickBot="1" x14ac:dyDescent="0.35">
      <c r="C119" s="126"/>
      <c r="D119" s="126"/>
      <c r="E119" s="559" t="s">
        <v>47</v>
      </c>
      <c r="F119" s="2162" t="str">
        <f t="shared" ref="F119:I119" si="127">+F117</f>
        <v>Water</v>
      </c>
      <c r="G119" s="2165" t="str">
        <f t="shared" si="127"/>
        <v>Residential</v>
      </c>
      <c r="H119" s="2165" t="str">
        <f t="shared" si="127"/>
        <v>Information Statements</v>
      </c>
      <c r="I119" s="2166" t="str">
        <f t="shared" si="127"/>
        <v>Fixed</v>
      </c>
      <c r="J119" s="2106" t="s">
        <v>347</v>
      </c>
      <c r="K119" s="1977"/>
      <c r="L119" s="1206"/>
      <c r="M119" s="1206"/>
      <c r="N119" s="1978"/>
      <c r="O119" s="1206"/>
      <c r="P119" s="1206"/>
      <c r="Q119" s="1206"/>
      <c r="R119" s="1206"/>
      <c r="S119" s="1978"/>
      <c r="T119" s="1206"/>
      <c r="U119" s="1206"/>
      <c r="V119" s="1206"/>
      <c r="W119" s="1731">
        <f t="shared" ref="W119:AG119" si="128">W117*W118/10^6</f>
        <v>0.38446924999999998</v>
      </c>
      <c r="X119" s="1730">
        <f t="shared" si="128"/>
        <v>0.40286078999999997</v>
      </c>
      <c r="Y119" s="1731">
        <f t="shared" si="128"/>
        <v>0.27454839999999997</v>
      </c>
      <c r="Z119" s="1731">
        <f t="shared" si="128"/>
        <v>0.51343552000000003</v>
      </c>
      <c r="AA119" s="1731">
        <f t="shared" si="128"/>
        <v>0.52379503999999999</v>
      </c>
      <c r="AB119" s="1733">
        <f t="shared" si="128"/>
        <v>0.55315352760000003</v>
      </c>
      <c r="AC119" s="1731">
        <f t="shared" si="128"/>
        <v>0.55591929523799988</v>
      </c>
      <c r="AD119" s="1731">
        <f t="shared" si="128"/>
        <v>0.55869889171418974</v>
      </c>
      <c r="AE119" s="1731">
        <f t="shared" si="128"/>
        <v>0.56149238617276065</v>
      </c>
      <c r="AF119" s="1731">
        <f t="shared" si="128"/>
        <v>0.56429984810362444</v>
      </c>
      <c r="AG119" s="1733">
        <f t="shared" si="128"/>
        <v>0.56712134734414243</v>
      </c>
      <c r="AH119" s="1731">
        <f>AH117*AH118/10^6</f>
        <v>0.569956954080863</v>
      </c>
      <c r="AI119" s="1731">
        <f>AI117*AI118/10^6</f>
        <v>0.57280673885126732</v>
      </c>
      <c r="AJ119" s="1731">
        <f>AJ117*AJ118/10^6</f>
        <v>0.57567077254552357</v>
      </c>
      <c r="AK119" s="1731">
        <f>AK117*AK118/10^6</f>
        <v>0.57854912640825107</v>
      </c>
      <c r="AL119" s="1733">
        <f>AL117*AL118/10^6</f>
        <v>0.5814418720402923</v>
      </c>
      <c r="AM119" s="560"/>
      <c r="AN119" s="991"/>
      <c r="AO119" s="992"/>
      <c r="AP119" s="2304" t="str">
        <f t="shared" si="36"/>
        <v>Rev</v>
      </c>
      <c r="AQ119" s="2305" t="str">
        <f t="shared" si="36"/>
        <v>Water</v>
      </c>
      <c r="AR119" s="2306" t="str">
        <f t="shared" si="37"/>
        <v>Fixed</v>
      </c>
      <c r="AS119" s="2307">
        <f t="shared" si="99"/>
        <v>4.7836179356346431E-2</v>
      </c>
      <c r="AT119" s="1055">
        <f t="shared" si="99"/>
        <v>-0.31850304915501959</v>
      </c>
      <c r="AU119" s="1055">
        <f t="shared" si="99"/>
        <v>0.87010931405901504</v>
      </c>
      <c r="AV119" s="2308">
        <f t="shared" si="99"/>
        <v>2.0176866610241539E-2</v>
      </c>
      <c r="AW119" s="1055">
        <f t="shared" si="99"/>
        <v>5.6049571603427273E-2</v>
      </c>
      <c r="AX119" s="2309">
        <f t="shared" si="99"/>
        <v>4.9999999999996714E-3</v>
      </c>
      <c r="AY119" s="1055">
        <f t="shared" si="99"/>
        <v>4.9999999999996714E-3</v>
      </c>
      <c r="AZ119" s="1055">
        <f t="shared" si="99"/>
        <v>4.9999999999998934E-3</v>
      </c>
      <c r="BA119" s="1055">
        <f t="shared" si="99"/>
        <v>4.9999999999998934E-3</v>
      </c>
      <c r="BB119" s="1056">
        <f t="shared" si="99"/>
        <v>4.9999999999998934E-3</v>
      </c>
      <c r="BC119" s="1055">
        <f t="shared" si="99"/>
        <v>4.9999999999996714E-3</v>
      </c>
      <c r="BD119" s="1055">
        <f t="shared" si="99"/>
        <v>5.0000000000001155E-3</v>
      </c>
      <c r="BE119" s="1055">
        <f t="shared" si="99"/>
        <v>4.9999999999998934E-3</v>
      </c>
      <c r="BF119" s="1055">
        <f t="shared" si="99"/>
        <v>4.9999999999998934E-3</v>
      </c>
      <c r="BG119" s="1056">
        <f t="shared" si="99"/>
        <v>4.9999999999998934E-3</v>
      </c>
      <c r="BH119" s="1048"/>
      <c r="BI119" s="2304" t="str">
        <f t="shared" si="65"/>
        <v>Rev</v>
      </c>
      <c r="BJ119" s="2305" t="str">
        <f t="shared" si="65"/>
        <v>Water</v>
      </c>
      <c r="BK119" s="2306" t="str">
        <f t="shared" si="65"/>
        <v>Fixed</v>
      </c>
      <c r="BL119" s="2307">
        <f t="shared" ref="BL119:BZ119" si="129">IF(OR(X119="",X119=0),"-",IFERROR((X119/W119-1)*(W119/W$13),"-"))</f>
        <v>1.9961831907905019E-4</v>
      </c>
      <c r="BM119" s="1055">
        <f t="shared" si="129"/>
        <v>-1.3577358432500773E-3</v>
      </c>
      <c r="BN119" s="1055">
        <f t="shared" si="129"/>
        <v>2.5561025433269188E-3</v>
      </c>
      <c r="BO119" s="2308">
        <f t="shared" si="129"/>
        <v>1.0954750764279197E-4</v>
      </c>
      <c r="BP119" s="1055">
        <f t="shared" si="129"/>
        <v>3.0637708056882964E-4</v>
      </c>
      <c r="BQ119" s="2309">
        <f t="shared" si="129"/>
        <v>2.7433867064931917E-5</v>
      </c>
      <c r="BR119" s="1055">
        <f t="shared" si="129"/>
        <v>2.678889698737274E-5</v>
      </c>
      <c r="BS119" s="1055">
        <f t="shared" si="129"/>
        <v>2.6133861596064363E-5</v>
      </c>
      <c r="BT119" s="1055">
        <f t="shared" si="129"/>
        <v>2.5484508288157402E-5</v>
      </c>
      <c r="BU119" s="1056">
        <f t="shared" si="129"/>
        <v>2.485085062536166E-5</v>
      </c>
      <c r="BV119" s="1055">
        <f t="shared" si="129"/>
        <v>2.4277172292054543E-5</v>
      </c>
      <c r="BW119" s="1055">
        <f t="shared" si="129"/>
        <v>2.3715946332371117E-5</v>
      </c>
      <c r="BX119" s="1055">
        <f t="shared" si="129"/>
        <v>2.3166929653279035E-5</v>
      </c>
      <c r="BY119" s="1055">
        <f t="shared" si="129"/>
        <v>2.2629882965562353E-5</v>
      </c>
      <c r="BZ119" s="1056">
        <f t="shared" si="129"/>
        <v>2.2104570758060172E-5</v>
      </c>
      <c r="CA119" s="1048"/>
    </row>
    <row r="120" spans="3:79" x14ac:dyDescent="0.3">
      <c r="C120" s="126"/>
      <c r="D120" s="126">
        <f>D117+1</f>
        <v>18</v>
      </c>
      <c r="E120" s="553" t="s">
        <v>45</v>
      </c>
      <c r="F120" s="2105" t="s">
        <v>21</v>
      </c>
      <c r="G120" s="2105" t="s">
        <v>1186</v>
      </c>
      <c r="H120" s="2105" t="s">
        <v>1203</v>
      </c>
      <c r="I120" s="573" t="s">
        <v>320</v>
      </c>
      <c r="J120" s="573" t="s">
        <v>348</v>
      </c>
      <c r="K120" s="1969"/>
      <c r="L120" s="1970"/>
      <c r="M120" s="1970"/>
      <c r="N120" s="1971"/>
      <c r="O120" s="1970"/>
      <c r="P120" s="1970"/>
      <c r="Q120" s="1970"/>
      <c r="R120" s="1972"/>
      <c r="S120" s="1971"/>
      <c r="T120" s="1970"/>
      <c r="U120" s="1970"/>
      <c r="V120" s="1970"/>
      <c r="W120" s="1709">
        <v>109.82</v>
      </c>
      <c r="X120" s="1710">
        <v>111.9</v>
      </c>
      <c r="Y120" s="1709">
        <v>113.39</v>
      </c>
      <c r="Z120" s="1709">
        <v>115.87</v>
      </c>
      <c r="AA120" s="1709">
        <v>117.16</v>
      </c>
      <c r="AB120" s="1711">
        <v>123.12</v>
      </c>
      <c r="AC120" s="1709">
        <v>123.12</v>
      </c>
      <c r="AD120" s="1709">
        <v>123.12</v>
      </c>
      <c r="AE120" s="1709">
        <v>123.12</v>
      </c>
      <c r="AF120" s="1709">
        <v>123.12</v>
      </c>
      <c r="AG120" s="1712">
        <v>123.12</v>
      </c>
      <c r="AH120" s="1709">
        <v>123.12</v>
      </c>
      <c r="AI120" s="1709">
        <v>123.12</v>
      </c>
      <c r="AJ120" s="1709">
        <v>123.12</v>
      </c>
      <c r="AK120" s="1709">
        <v>123.12</v>
      </c>
      <c r="AL120" s="1712">
        <v>123.12</v>
      </c>
      <c r="AM120" s="560"/>
      <c r="AN120" s="1052"/>
      <c r="AO120" s="992"/>
      <c r="AP120" s="2297" t="str">
        <f t="shared" si="36"/>
        <v>Price</v>
      </c>
      <c r="AQ120" s="2298" t="str">
        <f t="shared" si="36"/>
        <v>Water</v>
      </c>
      <c r="AR120" s="1719" t="str">
        <f t="shared" si="37"/>
        <v>Fixed</v>
      </c>
      <c r="AS120" s="2299">
        <f t="shared" ref="AS120:BG136" si="130">IF(OR(X120="",X120=0),"-",IFERROR(X120/W120-1,"-"))</f>
        <v>1.8940083773447469E-2</v>
      </c>
      <c r="AT120" s="1728">
        <f t="shared" si="130"/>
        <v>1.3315460232350196E-2</v>
      </c>
      <c r="AU120" s="1728">
        <f t="shared" si="130"/>
        <v>2.1871417232560253E-2</v>
      </c>
      <c r="AV120" s="2300">
        <f t="shared" si="130"/>
        <v>1.1133166479675438E-2</v>
      </c>
      <c r="AW120" s="1728">
        <f t="shared" si="130"/>
        <v>5.0870604301809452E-2</v>
      </c>
      <c r="AX120" s="2301">
        <f t="shared" si="130"/>
        <v>0</v>
      </c>
      <c r="AY120" s="1728">
        <f t="shared" si="130"/>
        <v>0</v>
      </c>
      <c r="AZ120" s="1728">
        <f t="shared" si="130"/>
        <v>0</v>
      </c>
      <c r="BA120" s="1728">
        <f t="shared" si="130"/>
        <v>0</v>
      </c>
      <c r="BB120" s="1729">
        <f t="shared" si="130"/>
        <v>0</v>
      </c>
      <c r="BC120" s="1728">
        <f t="shared" si="130"/>
        <v>0</v>
      </c>
      <c r="BD120" s="1728">
        <f t="shared" si="130"/>
        <v>0</v>
      </c>
      <c r="BE120" s="1728">
        <f t="shared" si="130"/>
        <v>0</v>
      </c>
      <c r="BF120" s="1728">
        <f t="shared" si="130"/>
        <v>0</v>
      </c>
      <c r="BG120" s="1729">
        <f t="shared" si="130"/>
        <v>0</v>
      </c>
      <c r="BH120" s="1048"/>
      <c r="BI120" s="2297" t="str">
        <f t="shared" si="65"/>
        <v>Price</v>
      </c>
      <c r="BJ120" s="2298" t="str">
        <f t="shared" si="65"/>
        <v>Water</v>
      </c>
      <c r="BK120" s="1719" t="str">
        <f t="shared" si="65"/>
        <v>Fixed</v>
      </c>
      <c r="BL120" s="2299">
        <f t="shared" ref="BL120:BZ120" si="131">IF(OR(X120="",X120=0),"-",IFERROR((X120/W120-1)*(W122/W$13),"-"))</f>
        <v>1.8715445251152872E-5</v>
      </c>
      <c r="BM120" s="1053">
        <f t="shared" si="131"/>
        <v>9.2233528482239273E-6</v>
      </c>
      <c r="BN120" s="1053">
        <f t="shared" si="131"/>
        <v>1.3851848138523771E-5</v>
      </c>
      <c r="BO120" s="2302">
        <f t="shared" si="131"/>
        <v>2.7446094523367111E-5</v>
      </c>
      <c r="BP120" s="1053">
        <f t="shared" si="131"/>
        <v>1.275658756273992E-4</v>
      </c>
      <c r="BQ120" s="2303">
        <f t="shared" si="131"/>
        <v>0</v>
      </c>
      <c r="BR120" s="1053">
        <f t="shared" si="131"/>
        <v>0</v>
      </c>
      <c r="BS120" s="1053">
        <f t="shared" si="131"/>
        <v>0</v>
      </c>
      <c r="BT120" s="1053">
        <f t="shared" si="131"/>
        <v>0</v>
      </c>
      <c r="BU120" s="1054">
        <f t="shared" si="131"/>
        <v>0</v>
      </c>
      <c r="BV120" s="1053">
        <f t="shared" si="131"/>
        <v>0</v>
      </c>
      <c r="BW120" s="1053">
        <f t="shared" si="131"/>
        <v>0</v>
      </c>
      <c r="BX120" s="1053">
        <f t="shared" si="131"/>
        <v>0</v>
      </c>
      <c r="BY120" s="1053">
        <f t="shared" si="131"/>
        <v>0</v>
      </c>
      <c r="BZ120" s="1054">
        <f t="shared" si="131"/>
        <v>0</v>
      </c>
      <c r="CA120" s="1048"/>
    </row>
    <row r="121" spans="3:79" x14ac:dyDescent="0.3">
      <c r="C121" s="126"/>
      <c r="D121" s="126"/>
      <c r="E121" s="558" t="s">
        <v>46</v>
      </c>
      <c r="F121" s="2161" t="str">
        <f t="shared" si="105"/>
        <v>Water</v>
      </c>
      <c r="G121" s="2163" t="str">
        <f t="shared" si="105"/>
        <v>Residential</v>
      </c>
      <c r="H121" s="2163" t="str">
        <f t="shared" si="105"/>
        <v>Meter Cost</v>
      </c>
      <c r="I121" s="2164" t="str">
        <f t="shared" si="105"/>
        <v>Fixed</v>
      </c>
      <c r="J121" s="574" t="s">
        <v>324</v>
      </c>
      <c r="K121" s="1973"/>
      <c r="L121" s="1974"/>
      <c r="M121" s="1974"/>
      <c r="N121" s="1975"/>
      <c r="O121" s="1974"/>
      <c r="P121" s="1974"/>
      <c r="Q121" s="1974"/>
      <c r="R121" s="1976"/>
      <c r="S121" s="1975"/>
      <c r="T121" s="1974"/>
      <c r="U121" s="1974"/>
      <c r="V121" s="1974"/>
      <c r="W121" s="1713">
        <v>829</v>
      </c>
      <c r="X121" s="1714">
        <v>585</v>
      </c>
      <c r="Y121" s="1713">
        <v>522</v>
      </c>
      <c r="Z121" s="1713">
        <v>2012</v>
      </c>
      <c r="AA121" s="1713">
        <v>2051</v>
      </c>
      <c r="AB121" s="1715">
        <v>2061.2549999999997</v>
      </c>
      <c r="AC121" s="1713">
        <v>2071.5612749999996</v>
      </c>
      <c r="AD121" s="1713">
        <v>2081.9190813749992</v>
      </c>
      <c r="AE121" s="1713">
        <v>2092.328676781874</v>
      </c>
      <c r="AF121" s="1713">
        <v>2102.7903201657832</v>
      </c>
      <c r="AG121" s="1716">
        <v>2113.3042717666117</v>
      </c>
      <c r="AH121" s="1713">
        <v>2123.8707931254444</v>
      </c>
      <c r="AI121" s="1713">
        <v>2134.4901470910713</v>
      </c>
      <c r="AJ121" s="1713">
        <v>2145.1625978265265</v>
      </c>
      <c r="AK121" s="1713">
        <v>2155.888410815659</v>
      </c>
      <c r="AL121" s="1716">
        <v>2166.6678528697371</v>
      </c>
      <c r="AM121" s="560"/>
      <c r="AN121" s="991"/>
      <c r="AO121" s="992"/>
      <c r="AP121" s="2285" t="str">
        <f t="shared" si="36"/>
        <v>Qty</v>
      </c>
      <c r="AQ121" s="2286" t="str">
        <f t="shared" si="36"/>
        <v>Water</v>
      </c>
      <c r="AR121" s="2287" t="str">
        <f t="shared" si="37"/>
        <v>Fixed</v>
      </c>
      <c r="AS121" s="2288">
        <f t="shared" si="130"/>
        <v>-0.2943305186972256</v>
      </c>
      <c r="AT121" s="1720">
        <f t="shared" si="130"/>
        <v>-0.10769230769230764</v>
      </c>
      <c r="AU121" s="1720">
        <f t="shared" si="130"/>
        <v>2.8544061302681993</v>
      </c>
      <c r="AV121" s="2289">
        <f t="shared" si="130"/>
        <v>1.9383697813121215E-2</v>
      </c>
      <c r="AW121" s="1720">
        <f t="shared" si="130"/>
        <v>4.9999999999998934E-3</v>
      </c>
      <c r="AX121" s="2290">
        <f t="shared" si="130"/>
        <v>4.9999999999998934E-3</v>
      </c>
      <c r="AY121" s="1720">
        <f t="shared" si="130"/>
        <v>4.9999999999998934E-3</v>
      </c>
      <c r="AZ121" s="1720">
        <f t="shared" si="130"/>
        <v>4.9999999999998934E-3</v>
      </c>
      <c r="BA121" s="1720">
        <f t="shared" si="130"/>
        <v>4.9999999999998934E-3</v>
      </c>
      <c r="BB121" s="1721">
        <f t="shared" si="130"/>
        <v>4.9999999999998934E-3</v>
      </c>
      <c r="BC121" s="1720">
        <f t="shared" si="130"/>
        <v>4.9999999999998934E-3</v>
      </c>
      <c r="BD121" s="1720">
        <f t="shared" si="130"/>
        <v>4.9999999999998934E-3</v>
      </c>
      <c r="BE121" s="1720">
        <f t="shared" si="130"/>
        <v>4.9999999999998934E-3</v>
      </c>
      <c r="BF121" s="1720">
        <f t="shared" si="130"/>
        <v>4.9999999999998934E-3</v>
      </c>
      <c r="BG121" s="1721">
        <f t="shared" si="130"/>
        <v>4.9999999999998934E-3</v>
      </c>
      <c r="BH121" s="1048"/>
      <c r="BI121" s="2285" t="str">
        <f t="shared" si="65"/>
        <v>Qty</v>
      </c>
      <c r="BJ121" s="2286" t="str">
        <f t="shared" si="65"/>
        <v>Water</v>
      </c>
      <c r="BK121" s="2287" t="str">
        <f t="shared" si="65"/>
        <v>Fixed</v>
      </c>
      <c r="BL121" s="2288">
        <f t="shared" ref="BL121:BZ121" si="132">IF(OR(X121="",X121=0),"-",IFERROR((X121/W121-1)*(W122/W$13),"-"))</f>
        <v>-2.9083961688405413E-4</v>
      </c>
      <c r="BM121" s="1720">
        <f t="shared" si="132"/>
        <v>-7.4596306515372873E-5</v>
      </c>
      <c r="BN121" s="1720">
        <f t="shared" si="132"/>
        <v>1.8077840965552287E-3</v>
      </c>
      <c r="BO121" s="2289">
        <f t="shared" si="132"/>
        <v>4.7785758289210337E-5</v>
      </c>
      <c r="BP121" s="1720">
        <f t="shared" si="132"/>
        <v>1.2538270124585388E-5</v>
      </c>
      <c r="BQ121" s="2290">
        <f t="shared" si="132"/>
        <v>1.2586404138989109E-5</v>
      </c>
      <c r="BR121" s="1720">
        <f t="shared" si="132"/>
        <v>1.2290497840598835E-5</v>
      </c>
      <c r="BS121" s="1720">
        <f t="shared" si="132"/>
        <v>1.1989973669476728E-5</v>
      </c>
      <c r="BT121" s="1720">
        <f t="shared" si="132"/>
        <v>1.1692056385596854E-5</v>
      </c>
      <c r="BU121" s="1721">
        <f t="shared" si="132"/>
        <v>1.1401340118333569E-5</v>
      </c>
      <c r="BV121" s="1720">
        <f t="shared" si="132"/>
        <v>1.1138141811959874E-5</v>
      </c>
      <c r="BW121" s="1720">
        <f t="shared" si="132"/>
        <v>1.0880656539279391E-5</v>
      </c>
      <c r="BX121" s="1720">
        <f t="shared" si="132"/>
        <v>1.0628772771463145E-5</v>
      </c>
      <c r="BY121" s="1720">
        <f t="shared" si="132"/>
        <v>1.0382380724833021E-5</v>
      </c>
      <c r="BZ121" s="1721">
        <f t="shared" si="132"/>
        <v>1.0141372349049998E-5</v>
      </c>
      <c r="CA121" s="1048"/>
    </row>
    <row r="122" spans="3:79" ht="12.5" thickBot="1" x14ac:dyDescent="0.35">
      <c r="C122" s="126"/>
      <c r="D122" s="126"/>
      <c r="E122" s="559" t="s">
        <v>47</v>
      </c>
      <c r="F122" s="2162" t="str">
        <f t="shared" ref="F122:I122" si="133">+F120</f>
        <v>Water</v>
      </c>
      <c r="G122" s="2165" t="str">
        <f t="shared" si="133"/>
        <v>Residential</v>
      </c>
      <c r="H122" s="2165" t="str">
        <f t="shared" si="133"/>
        <v>Meter Cost</v>
      </c>
      <c r="I122" s="2166" t="str">
        <f t="shared" si="133"/>
        <v>Fixed</v>
      </c>
      <c r="J122" s="2106" t="s">
        <v>347</v>
      </c>
      <c r="K122" s="1977"/>
      <c r="L122" s="1206"/>
      <c r="M122" s="1206"/>
      <c r="N122" s="1978"/>
      <c r="O122" s="1206"/>
      <c r="P122" s="1206"/>
      <c r="Q122" s="1206"/>
      <c r="R122" s="1206"/>
      <c r="S122" s="1978"/>
      <c r="T122" s="1206"/>
      <c r="U122" s="1206"/>
      <c r="V122" s="1206"/>
      <c r="W122" s="1731">
        <f t="shared" ref="W122:AG122" si="134">W120*W121/10^6</f>
        <v>9.1040780000000002E-2</v>
      </c>
      <c r="X122" s="1730">
        <f t="shared" si="134"/>
        <v>6.5461500000000006E-2</v>
      </c>
      <c r="Y122" s="1731">
        <f t="shared" si="134"/>
        <v>5.9189579999999999E-2</v>
      </c>
      <c r="Z122" s="1731">
        <f t="shared" si="134"/>
        <v>0.23313043999999999</v>
      </c>
      <c r="AA122" s="1731">
        <f t="shared" si="134"/>
        <v>0.24029516000000001</v>
      </c>
      <c r="AB122" s="1733">
        <f t="shared" si="134"/>
        <v>0.25378171559999996</v>
      </c>
      <c r="AC122" s="1731">
        <f t="shared" si="134"/>
        <v>0.25505062417799995</v>
      </c>
      <c r="AD122" s="1731">
        <f t="shared" si="134"/>
        <v>0.25632587729888989</v>
      </c>
      <c r="AE122" s="1731">
        <f t="shared" si="134"/>
        <v>0.25760750668538435</v>
      </c>
      <c r="AF122" s="1731">
        <f t="shared" si="134"/>
        <v>0.25889554421881122</v>
      </c>
      <c r="AG122" s="1733">
        <f t="shared" si="134"/>
        <v>0.26019002193990526</v>
      </c>
      <c r="AH122" s="1731">
        <f>AH120*AH121/10^6</f>
        <v>0.2614909720496047</v>
      </c>
      <c r="AI122" s="1731">
        <f>AI120*AI121/10^6</f>
        <v>0.26279842690985272</v>
      </c>
      <c r="AJ122" s="1731">
        <f>AJ120*AJ121/10^6</f>
        <v>0.26411241904440197</v>
      </c>
      <c r="AK122" s="1731">
        <f>AK120*AK121/10^6</f>
        <v>0.26543298113962399</v>
      </c>
      <c r="AL122" s="1733">
        <f>AL120*AL121/10^6</f>
        <v>0.26676014604532206</v>
      </c>
      <c r="AM122" s="560"/>
      <c r="AN122" s="991"/>
      <c r="AO122" s="992"/>
      <c r="AP122" s="2304" t="str">
        <f t="shared" si="36"/>
        <v>Rev</v>
      </c>
      <c r="AQ122" s="2305" t="str">
        <f t="shared" si="36"/>
        <v>Water</v>
      </c>
      <c r="AR122" s="2306" t="str">
        <f t="shared" si="37"/>
        <v>Fixed</v>
      </c>
      <c r="AS122" s="2307">
        <f t="shared" si="130"/>
        <v>-0.28096507960498573</v>
      </c>
      <c r="AT122" s="1055">
        <f t="shared" si="130"/>
        <v>-9.5810820100364458E-2</v>
      </c>
      <c r="AU122" s="1055">
        <f t="shared" si="130"/>
        <v>2.9387074549270329</v>
      </c>
      <c r="AV122" s="2308">
        <f t="shared" si="130"/>
        <v>3.0732666227542005E-2</v>
      </c>
      <c r="AW122" s="1055">
        <f t="shared" si="130"/>
        <v>5.6124957323318236E-2</v>
      </c>
      <c r="AX122" s="2309">
        <f t="shared" si="130"/>
        <v>4.9999999999998934E-3</v>
      </c>
      <c r="AY122" s="1055">
        <f t="shared" si="130"/>
        <v>4.9999999999996714E-3</v>
      </c>
      <c r="AZ122" s="1055">
        <f t="shared" si="130"/>
        <v>5.0000000000001155E-3</v>
      </c>
      <c r="BA122" s="1055">
        <f t="shared" si="130"/>
        <v>4.9999999999998934E-3</v>
      </c>
      <c r="BB122" s="1056">
        <f t="shared" si="130"/>
        <v>4.9999999999998934E-3</v>
      </c>
      <c r="BC122" s="1055">
        <f t="shared" si="130"/>
        <v>4.9999999999996714E-3</v>
      </c>
      <c r="BD122" s="1055">
        <f t="shared" si="130"/>
        <v>5.0000000000001155E-3</v>
      </c>
      <c r="BE122" s="1055">
        <f t="shared" si="130"/>
        <v>4.9999999999998934E-3</v>
      </c>
      <c r="BF122" s="1055">
        <f t="shared" si="130"/>
        <v>5.0000000000001155E-3</v>
      </c>
      <c r="BG122" s="1056">
        <f t="shared" si="130"/>
        <v>4.9999999999998934E-3</v>
      </c>
      <c r="BH122" s="1048"/>
      <c r="BI122" s="2304" t="str">
        <f t="shared" si="65"/>
        <v>Rev</v>
      </c>
      <c r="BJ122" s="2305" t="str">
        <f t="shared" si="65"/>
        <v>Water</v>
      </c>
      <c r="BK122" s="2306" t="str">
        <f t="shared" si="65"/>
        <v>Fixed</v>
      </c>
      <c r="BL122" s="2307">
        <f t="shared" ref="BL122:BZ122" si="135">IF(OR(X122="",X122=0),"-",IFERROR((X122/W122-1)*(W122/W$13),"-"))</f>
        <v>-2.7763269834132253E-4</v>
      </c>
      <c r="BM122" s="1055">
        <f t="shared" si="135"/>
        <v>-6.6366237820034642E-5</v>
      </c>
      <c r="BN122" s="1055">
        <f t="shared" si="135"/>
        <v>1.8611747449358987E-3</v>
      </c>
      <c r="BO122" s="2308">
        <f t="shared" si="135"/>
        <v>7.5763859614969131E-5</v>
      </c>
      <c r="BP122" s="1055">
        <f t="shared" si="135"/>
        <v>1.4074197513012118E-4</v>
      </c>
      <c r="BQ122" s="2309">
        <f t="shared" si="135"/>
        <v>1.2586404138989109E-5</v>
      </c>
      <c r="BR122" s="1055">
        <f t="shared" si="135"/>
        <v>1.2290497840598289E-5</v>
      </c>
      <c r="BS122" s="1055">
        <f t="shared" si="135"/>
        <v>1.198997366947726E-5</v>
      </c>
      <c r="BT122" s="1055">
        <f t="shared" si="135"/>
        <v>1.1692056385596854E-5</v>
      </c>
      <c r="BU122" s="1056">
        <f t="shared" si="135"/>
        <v>1.1401340118333569E-5</v>
      </c>
      <c r="BV122" s="1055">
        <f t="shared" si="135"/>
        <v>1.1138141811959379E-5</v>
      </c>
      <c r="BW122" s="1055">
        <f t="shared" si="135"/>
        <v>1.0880656539279876E-5</v>
      </c>
      <c r="BX122" s="1055">
        <f t="shared" si="135"/>
        <v>1.0628772771463145E-5</v>
      </c>
      <c r="BY122" s="1055">
        <f t="shared" si="135"/>
        <v>1.0382380724833482E-5</v>
      </c>
      <c r="BZ122" s="1056">
        <f t="shared" si="135"/>
        <v>1.0141372349049998E-5</v>
      </c>
      <c r="CA122" s="1048"/>
    </row>
    <row r="123" spans="3:79" x14ac:dyDescent="0.3">
      <c r="C123" s="126"/>
      <c r="D123" s="126">
        <f>D120+1</f>
        <v>19</v>
      </c>
      <c r="E123" s="553" t="s">
        <v>45</v>
      </c>
      <c r="F123" s="2105" t="s">
        <v>21</v>
      </c>
      <c r="G123" s="2105" t="s">
        <v>1186</v>
      </c>
      <c r="H123" s="2105" t="s">
        <v>1204</v>
      </c>
      <c r="I123" s="573" t="s">
        <v>320</v>
      </c>
      <c r="J123" s="573" t="s">
        <v>348</v>
      </c>
      <c r="K123" s="1969"/>
      <c r="L123" s="1970"/>
      <c r="M123" s="1970"/>
      <c r="N123" s="1971"/>
      <c r="O123" s="1970"/>
      <c r="P123" s="1970"/>
      <c r="Q123" s="1970"/>
      <c r="R123" s="1972"/>
      <c r="S123" s="1971"/>
      <c r="T123" s="1970"/>
      <c r="U123" s="1970"/>
      <c r="V123" s="1970"/>
      <c r="W123" s="1709">
        <v>123.58</v>
      </c>
      <c r="X123" s="1710">
        <v>125.92</v>
      </c>
      <c r="Y123" s="1709">
        <v>127.59</v>
      </c>
      <c r="Z123" s="1709">
        <v>130.38</v>
      </c>
      <c r="AA123" s="1709">
        <v>131.83000000000001</v>
      </c>
      <c r="AB123" s="1711">
        <v>138.53</v>
      </c>
      <c r="AC123" s="1709">
        <v>138.53</v>
      </c>
      <c r="AD123" s="1709">
        <v>138.53</v>
      </c>
      <c r="AE123" s="1709">
        <v>138.53</v>
      </c>
      <c r="AF123" s="1709">
        <v>138.53</v>
      </c>
      <c r="AG123" s="1712">
        <v>138.53</v>
      </c>
      <c r="AH123" s="1709">
        <v>138.53</v>
      </c>
      <c r="AI123" s="1709">
        <v>138.53</v>
      </c>
      <c r="AJ123" s="1709">
        <v>138.53</v>
      </c>
      <c r="AK123" s="1709">
        <v>138.53</v>
      </c>
      <c r="AL123" s="1712">
        <v>138.53</v>
      </c>
      <c r="AM123" s="560"/>
      <c r="AN123" s="1052"/>
      <c r="AO123" s="992"/>
      <c r="AP123" s="2297" t="str">
        <f t="shared" si="36"/>
        <v>Price</v>
      </c>
      <c r="AQ123" s="2298" t="str">
        <f t="shared" si="36"/>
        <v>Water</v>
      </c>
      <c r="AR123" s="1719" t="str">
        <f t="shared" si="37"/>
        <v>Fixed</v>
      </c>
      <c r="AS123" s="2299">
        <f t="shared" si="130"/>
        <v>1.8935102767438039E-2</v>
      </c>
      <c r="AT123" s="1728">
        <f t="shared" si="130"/>
        <v>1.3262388818297444E-2</v>
      </c>
      <c r="AU123" s="1728">
        <f t="shared" si="130"/>
        <v>2.1866917470021008E-2</v>
      </c>
      <c r="AV123" s="2300">
        <f t="shared" si="130"/>
        <v>1.1121337628470673E-2</v>
      </c>
      <c r="AW123" s="1728">
        <f t="shared" si="130"/>
        <v>5.0823029659409658E-2</v>
      </c>
      <c r="AX123" s="2301">
        <f t="shared" si="130"/>
        <v>0</v>
      </c>
      <c r="AY123" s="1728">
        <f t="shared" si="130"/>
        <v>0</v>
      </c>
      <c r="AZ123" s="1728">
        <f t="shared" si="130"/>
        <v>0</v>
      </c>
      <c r="BA123" s="1728">
        <f t="shared" si="130"/>
        <v>0</v>
      </c>
      <c r="BB123" s="1729">
        <f t="shared" si="130"/>
        <v>0</v>
      </c>
      <c r="BC123" s="1728">
        <f t="shared" si="130"/>
        <v>0</v>
      </c>
      <c r="BD123" s="1728">
        <f t="shared" si="130"/>
        <v>0</v>
      </c>
      <c r="BE123" s="1728">
        <f t="shared" si="130"/>
        <v>0</v>
      </c>
      <c r="BF123" s="1728">
        <f t="shared" si="130"/>
        <v>0</v>
      </c>
      <c r="BG123" s="1729">
        <f t="shared" si="130"/>
        <v>0</v>
      </c>
      <c r="BH123" s="1048"/>
      <c r="BI123" s="2297" t="str">
        <f t="shared" si="65"/>
        <v>Price</v>
      </c>
      <c r="BJ123" s="2298" t="str">
        <f t="shared" si="65"/>
        <v>Water</v>
      </c>
      <c r="BK123" s="1719" t="str">
        <f t="shared" si="65"/>
        <v>Fixed</v>
      </c>
      <c r="BL123" s="2299">
        <f t="shared" ref="BL123:BZ123" si="136">IF(OR(X123="",X123=0),"-",IFERROR((X123/W123-1)*(W125/W$13),"-"))</f>
        <v>2.7607539338363675E-5</v>
      </c>
      <c r="BM123" s="1053">
        <f t="shared" si="136"/>
        <v>1.4649327578347814E-5</v>
      </c>
      <c r="BN123" s="1053">
        <f t="shared" si="136"/>
        <v>3.531624212903763E-5</v>
      </c>
      <c r="BO123" s="2302">
        <f t="shared" si="136"/>
        <v>1.4336478281495265E-5</v>
      </c>
      <c r="BP123" s="1053">
        <f t="shared" si="136"/>
        <v>6.4185965483679546E-5</v>
      </c>
      <c r="BQ123" s="2303">
        <f t="shared" si="136"/>
        <v>0</v>
      </c>
      <c r="BR123" s="1053">
        <f t="shared" si="136"/>
        <v>0</v>
      </c>
      <c r="BS123" s="1053">
        <f t="shared" si="136"/>
        <v>0</v>
      </c>
      <c r="BT123" s="1053">
        <f t="shared" si="136"/>
        <v>0</v>
      </c>
      <c r="BU123" s="1054">
        <f t="shared" si="136"/>
        <v>0</v>
      </c>
      <c r="BV123" s="1053">
        <f t="shared" si="136"/>
        <v>0</v>
      </c>
      <c r="BW123" s="1053">
        <f t="shared" si="136"/>
        <v>0</v>
      </c>
      <c r="BX123" s="1053">
        <f t="shared" si="136"/>
        <v>0</v>
      </c>
      <c r="BY123" s="1053">
        <f t="shared" si="136"/>
        <v>0</v>
      </c>
      <c r="BZ123" s="1054">
        <f t="shared" si="136"/>
        <v>0</v>
      </c>
      <c r="CA123" s="1048"/>
    </row>
    <row r="124" spans="3:79" x14ac:dyDescent="0.3">
      <c r="C124" s="126"/>
      <c r="D124" s="126"/>
      <c r="E124" s="558" t="s">
        <v>46</v>
      </c>
      <c r="F124" s="2161" t="str">
        <f t="shared" ref="F124:I139" si="137">+F123</f>
        <v>Water</v>
      </c>
      <c r="G124" s="2163" t="str">
        <f t="shared" si="137"/>
        <v>Residential</v>
      </c>
      <c r="H124" s="2163" t="str">
        <f t="shared" si="137"/>
        <v>Plumbing Consent Fee</v>
      </c>
      <c r="I124" s="2164" t="str">
        <f t="shared" si="137"/>
        <v>Fixed</v>
      </c>
      <c r="J124" s="574" t="s">
        <v>324</v>
      </c>
      <c r="K124" s="1973"/>
      <c r="L124" s="1974"/>
      <c r="M124" s="1974"/>
      <c r="N124" s="1975"/>
      <c r="O124" s="1974"/>
      <c r="P124" s="1974"/>
      <c r="Q124" s="1974"/>
      <c r="R124" s="1976"/>
      <c r="S124" s="1975"/>
      <c r="T124" s="1974"/>
      <c r="U124" s="1974"/>
      <c r="V124" s="1974"/>
      <c r="W124" s="1713">
        <v>1087</v>
      </c>
      <c r="X124" s="1714">
        <v>829</v>
      </c>
      <c r="Y124" s="1713">
        <v>1183</v>
      </c>
      <c r="Z124" s="1713">
        <v>935</v>
      </c>
      <c r="AA124" s="1713">
        <v>918</v>
      </c>
      <c r="AB124" s="1715">
        <v>922.58999999999992</v>
      </c>
      <c r="AC124" s="1713">
        <v>927.20294999999987</v>
      </c>
      <c r="AD124" s="1713">
        <v>931.83896474999972</v>
      </c>
      <c r="AE124" s="1713">
        <v>936.4981595737496</v>
      </c>
      <c r="AF124" s="1713">
        <v>941.1806503716183</v>
      </c>
      <c r="AG124" s="1716">
        <v>945.88655362347629</v>
      </c>
      <c r="AH124" s="1713">
        <v>950.61598639159354</v>
      </c>
      <c r="AI124" s="1713">
        <v>955.36906632355135</v>
      </c>
      <c r="AJ124" s="1713">
        <v>960.14591165516902</v>
      </c>
      <c r="AK124" s="1713">
        <v>964.94664121344476</v>
      </c>
      <c r="AL124" s="1716">
        <v>969.77137441951186</v>
      </c>
      <c r="AM124" s="560"/>
      <c r="AN124" s="991"/>
      <c r="AO124" s="992"/>
      <c r="AP124" s="2285" t="str">
        <f t="shared" si="36"/>
        <v>Qty</v>
      </c>
      <c r="AQ124" s="2286" t="str">
        <f t="shared" si="36"/>
        <v>Water</v>
      </c>
      <c r="AR124" s="2287" t="str">
        <f t="shared" si="37"/>
        <v>Fixed</v>
      </c>
      <c r="AS124" s="2288">
        <f t="shared" si="130"/>
        <v>-0.23735050597976082</v>
      </c>
      <c r="AT124" s="1720">
        <f t="shared" si="130"/>
        <v>0.42702050663449942</v>
      </c>
      <c r="AU124" s="1720">
        <f t="shared" si="130"/>
        <v>-0.20963651732882504</v>
      </c>
      <c r="AV124" s="2289">
        <f t="shared" si="130"/>
        <v>-1.8181818181818188E-2</v>
      </c>
      <c r="AW124" s="1720">
        <f t="shared" si="130"/>
        <v>4.9999999999998934E-3</v>
      </c>
      <c r="AX124" s="2290">
        <f t="shared" si="130"/>
        <v>4.9999999999998934E-3</v>
      </c>
      <c r="AY124" s="1720">
        <f t="shared" si="130"/>
        <v>4.9999999999998934E-3</v>
      </c>
      <c r="AZ124" s="1720">
        <f t="shared" si="130"/>
        <v>4.9999999999998934E-3</v>
      </c>
      <c r="BA124" s="1720">
        <f t="shared" si="130"/>
        <v>4.9999999999998934E-3</v>
      </c>
      <c r="BB124" s="1721">
        <f t="shared" si="130"/>
        <v>4.9999999999998934E-3</v>
      </c>
      <c r="BC124" s="1720">
        <f t="shared" si="130"/>
        <v>4.9999999999998934E-3</v>
      </c>
      <c r="BD124" s="1720">
        <f t="shared" si="130"/>
        <v>4.9999999999998934E-3</v>
      </c>
      <c r="BE124" s="1720">
        <f t="shared" si="130"/>
        <v>4.9999999999998934E-3</v>
      </c>
      <c r="BF124" s="1720">
        <f t="shared" si="130"/>
        <v>4.9999999999998934E-3</v>
      </c>
      <c r="BG124" s="1721">
        <f t="shared" si="130"/>
        <v>4.9999999999998934E-3</v>
      </c>
      <c r="BH124" s="1048"/>
      <c r="BI124" s="2285" t="str">
        <f t="shared" si="65"/>
        <v>Qty</v>
      </c>
      <c r="BJ124" s="2286" t="str">
        <f t="shared" si="65"/>
        <v>Water</v>
      </c>
      <c r="BK124" s="2287" t="str">
        <f t="shared" si="65"/>
        <v>Fixed</v>
      </c>
      <c r="BL124" s="2288">
        <f t="shared" ref="BL124:BZ124" si="138">IF(OR(X124="",X124=0),"-",IFERROR((X124/W124-1)*(W125/W$13),"-"))</f>
        <v>-3.4605903708561487E-4</v>
      </c>
      <c r="BM124" s="1720">
        <f t="shared" si="138"/>
        <v>4.7167696333335853E-4</v>
      </c>
      <c r="BN124" s="1720">
        <f t="shared" si="138"/>
        <v>-3.3857419616747952E-4</v>
      </c>
      <c r="BO124" s="2289">
        <f t="shared" si="138"/>
        <v>-2.3438119603026269E-5</v>
      </c>
      <c r="BP124" s="1720">
        <f t="shared" si="138"/>
        <v>6.3146536042636751E-6</v>
      </c>
      <c r="BQ124" s="2290">
        <f t="shared" si="138"/>
        <v>6.3386083834502516E-6</v>
      </c>
      <c r="BR124" s="1720">
        <f t="shared" si="138"/>
        <v>6.1895877320409947E-6</v>
      </c>
      <c r="BS124" s="1720">
        <f t="shared" si="138"/>
        <v>6.0382414849740373E-6</v>
      </c>
      <c r="BT124" s="1720">
        <f t="shared" si="138"/>
        <v>5.8882080860522565E-6</v>
      </c>
      <c r="BU124" s="1721">
        <f t="shared" si="138"/>
        <v>5.74180117359883E-6</v>
      </c>
      <c r="BV124" s="1720">
        <f t="shared" si="138"/>
        <v>5.6092525145165869E-6</v>
      </c>
      <c r="BW124" s="1720">
        <f t="shared" si="138"/>
        <v>5.4795809824408229E-6</v>
      </c>
      <c r="BX124" s="1720">
        <f t="shared" si="138"/>
        <v>5.3527304106091645E-6</v>
      </c>
      <c r="BY124" s="1720">
        <f t="shared" si="138"/>
        <v>5.2286455111304319E-6</v>
      </c>
      <c r="BZ124" s="1721">
        <f t="shared" si="138"/>
        <v>5.1072718690361231E-6</v>
      </c>
      <c r="CA124" s="1048"/>
    </row>
    <row r="125" spans="3:79" ht="12.5" thickBot="1" x14ac:dyDescent="0.35">
      <c r="C125" s="126"/>
      <c r="D125" s="126"/>
      <c r="E125" s="559" t="s">
        <v>47</v>
      </c>
      <c r="F125" s="2162" t="str">
        <f t="shared" ref="F125:I125" si="139">+F123</f>
        <v>Water</v>
      </c>
      <c r="G125" s="2165" t="str">
        <f t="shared" si="139"/>
        <v>Residential</v>
      </c>
      <c r="H125" s="2165" t="str">
        <f t="shared" si="139"/>
        <v>Plumbing Consent Fee</v>
      </c>
      <c r="I125" s="2166" t="str">
        <f t="shared" si="139"/>
        <v>Fixed</v>
      </c>
      <c r="J125" s="2106" t="s">
        <v>347</v>
      </c>
      <c r="K125" s="1977"/>
      <c r="L125" s="1206"/>
      <c r="M125" s="1206"/>
      <c r="N125" s="1978"/>
      <c r="O125" s="1206"/>
      <c r="P125" s="1206"/>
      <c r="Q125" s="1206"/>
      <c r="R125" s="1206"/>
      <c r="S125" s="1978"/>
      <c r="T125" s="1206"/>
      <c r="U125" s="1206"/>
      <c r="V125" s="1206"/>
      <c r="W125" s="1731">
        <f t="shared" ref="W125:AG125" si="140">W123*W124/10^6</f>
        <v>0.13433145999999999</v>
      </c>
      <c r="X125" s="1730">
        <f t="shared" si="140"/>
        <v>0.10438768000000001</v>
      </c>
      <c r="Y125" s="1731">
        <f t="shared" si="140"/>
        <v>0.15093897000000001</v>
      </c>
      <c r="Z125" s="1731">
        <f t="shared" si="140"/>
        <v>0.12190530000000001</v>
      </c>
      <c r="AA125" s="1731">
        <f t="shared" si="140"/>
        <v>0.12101994000000002</v>
      </c>
      <c r="AB125" s="1733">
        <f t="shared" si="140"/>
        <v>0.12780639269999999</v>
      </c>
      <c r="AC125" s="1731">
        <f t="shared" si="140"/>
        <v>0.12844542466349998</v>
      </c>
      <c r="AD125" s="1731">
        <f t="shared" si="140"/>
        <v>0.12908765178681744</v>
      </c>
      <c r="AE125" s="1731">
        <f t="shared" si="140"/>
        <v>0.12973309004575154</v>
      </c>
      <c r="AF125" s="1731">
        <f t="shared" si="140"/>
        <v>0.13038175549598027</v>
      </c>
      <c r="AG125" s="1733">
        <f t="shared" si="140"/>
        <v>0.13103366427346017</v>
      </c>
      <c r="AH125" s="1731">
        <f>AH123*AH124/10^6</f>
        <v>0.13168883259482747</v>
      </c>
      <c r="AI125" s="1731">
        <f>AI123*AI124/10^6</f>
        <v>0.13234727675780156</v>
      </c>
      <c r="AJ125" s="1731">
        <f>AJ123*AJ124/10^6</f>
        <v>0.13300901314159058</v>
      </c>
      <c r="AK125" s="1731">
        <f>AK123*AK124/10^6</f>
        <v>0.13367405820729852</v>
      </c>
      <c r="AL125" s="1733">
        <f>AL123*AL124/10^6</f>
        <v>0.13434242849833497</v>
      </c>
      <c r="AM125" s="560"/>
      <c r="AN125" s="991"/>
      <c r="AO125" s="992"/>
      <c r="AP125" s="2304" t="str">
        <f t="shared" si="36"/>
        <v>Rev</v>
      </c>
      <c r="AQ125" s="2305" t="str">
        <f t="shared" si="36"/>
        <v>Water</v>
      </c>
      <c r="AR125" s="2306" t="str">
        <f t="shared" si="37"/>
        <v>Fixed</v>
      </c>
      <c r="AS125" s="2307">
        <f t="shared" si="130"/>
        <v>-0.22290965943495278</v>
      </c>
      <c r="AT125" s="1055">
        <f t="shared" si="130"/>
        <v>0.44594620744516966</v>
      </c>
      <c r="AU125" s="1055">
        <f t="shared" si="130"/>
        <v>-0.19235370428193588</v>
      </c>
      <c r="AV125" s="2308">
        <f t="shared" si="130"/>
        <v>-7.2626866920468824E-3</v>
      </c>
      <c r="AW125" s="1055">
        <f t="shared" si="130"/>
        <v>5.6077144807706647E-2</v>
      </c>
      <c r="AX125" s="2309">
        <f t="shared" si="130"/>
        <v>4.9999999999998934E-3</v>
      </c>
      <c r="AY125" s="1055">
        <f t="shared" si="130"/>
        <v>4.9999999999996714E-3</v>
      </c>
      <c r="AZ125" s="1055">
        <f t="shared" si="130"/>
        <v>5.0000000000001155E-3</v>
      </c>
      <c r="BA125" s="1055">
        <f t="shared" si="130"/>
        <v>4.9999999999998934E-3</v>
      </c>
      <c r="BB125" s="1056">
        <f t="shared" si="130"/>
        <v>4.9999999999998934E-3</v>
      </c>
      <c r="BC125" s="1055">
        <f t="shared" si="130"/>
        <v>5.0000000000001155E-3</v>
      </c>
      <c r="BD125" s="1055">
        <f t="shared" si="130"/>
        <v>4.9999999999996714E-3</v>
      </c>
      <c r="BE125" s="1055">
        <f t="shared" si="130"/>
        <v>5.0000000000001155E-3</v>
      </c>
      <c r="BF125" s="1055">
        <f t="shared" si="130"/>
        <v>4.9999999999998934E-3</v>
      </c>
      <c r="BG125" s="1056">
        <f t="shared" si="130"/>
        <v>4.9999999999996714E-3</v>
      </c>
      <c r="BH125" s="1048"/>
      <c r="BI125" s="2304" t="str">
        <f t="shared" si="65"/>
        <v>Rev</v>
      </c>
      <c r="BJ125" s="2305" t="str">
        <f t="shared" si="65"/>
        <v>Water</v>
      </c>
      <c r="BK125" s="2306" t="str">
        <f t="shared" si="65"/>
        <v>Fixed</v>
      </c>
      <c r="BL125" s="2307">
        <f t="shared" ref="BL125:BZ125" si="141">IF(OR(X125="",X125=0),"-",IFERROR((X125/W125-1)*(W125/W$13),"-"))</f>
        <v>-3.2500416117806769E-4</v>
      </c>
      <c r="BM125" s="1055">
        <f t="shared" si="141"/>
        <v>4.9258185419606693E-4</v>
      </c>
      <c r="BN125" s="1055">
        <f t="shared" si="141"/>
        <v>-3.1066152804351451E-4</v>
      </c>
      <c r="BO125" s="2308">
        <f t="shared" si="141"/>
        <v>-9.3623045630126096E-6</v>
      </c>
      <c r="BP125" s="1055">
        <f t="shared" si="141"/>
        <v>7.0821548915361683E-5</v>
      </c>
      <c r="BQ125" s="2309">
        <f t="shared" si="141"/>
        <v>6.3386083834502516E-6</v>
      </c>
      <c r="BR125" s="1055">
        <f t="shared" si="141"/>
        <v>6.1895877320407202E-6</v>
      </c>
      <c r="BS125" s="1055">
        <f t="shared" si="141"/>
        <v>6.0382414849743058E-6</v>
      </c>
      <c r="BT125" s="1055">
        <f t="shared" si="141"/>
        <v>5.8882080860522565E-6</v>
      </c>
      <c r="BU125" s="1056">
        <f t="shared" si="141"/>
        <v>5.74180117359883E-6</v>
      </c>
      <c r="BV125" s="1055">
        <f t="shared" si="141"/>
        <v>5.6092525145168359E-6</v>
      </c>
      <c r="BW125" s="1055">
        <f t="shared" si="141"/>
        <v>5.479580982440579E-6</v>
      </c>
      <c r="BX125" s="1055">
        <f t="shared" si="141"/>
        <v>5.3527304106094017E-6</v>
      </c>
      <c r="BY125" s="1055">
        <f t="shared" si="141"/>
        <v>5.2286455111304319E-6</v>
      </c>
      <c r="BZ125" s="1056">
        <f t="shared" si="141"/>
        <v>5.1072718690358961E-6</v>
      </c>
      <c r="CA125" s="1048"/>
    </row>
    <row r="126" spans="3:79" x14ac:dyDescent="0.3">
      <c r="C126" s="126"/>
      <c r="D126" s="126">
        <f>D123+1</f>
        <v>20</v>
      </c>
      <c r="E126" s="553" t="s">
        <v>45</v>
      </c>
      <c r="F126" s="2105" t="s">
        <v>21</v>
      </c>
      <c r="G126" s="2105" t="s">
        <v>1186</v>
      </c>
      <c r="H126" s="2105" t="s">
        <v>1205</v>
      </c>
      <c r="I126" s="573" t="s">
        <v>320</v>
      </c>
      <c r="J126" s="573" t="s">
        <v>348</v>
      </c>
      <c r="K126" s="1969"/>
      <c r="L126" s="1970"/>
      <c r="M126" s="1970"/>
      <c r="N126" s="1971"/>
      <c r="O126" s="1970"/>
      <c r="P126" s="1970"/>
      <c r="Q126" s="1970"/>
      <c r="R126" s="1972"/>
      <c r="S126" s="1971"/>
      <c r="T126" s="1970"/>
      <c r="U126" s="1970"/>
      <c r="V126" s="1970"/>
      <c r="W126" s="1709">
        <v>27.49</v>
      </c>
      <c r="X126" s="1710">
        <v>28.01</v>
      </c>
      <c r="Y126" s="1709">
        <v>28.38</v>
      </c>
      <c r="Z126" s="1709">
        <v>29</v>
      </c>
      <c r="AA126" s="1709">
        <v>29.32</v>
      </c>
      <c r="AB126" s="1711">
        <v>30.81</v>
      </c>
      <c r="AC126" s="1709">
        <v>30.81</v>
      </c>
      <c r="AD126" s="1709">
        <v>30.81</v>
      </c>
      <c r="AE126" s="1709">
        <v>30.81</v>
      </c>
      <c r="AF126" s="1709">
        <v>30.81</v>
      </c>
      <c r="AG126" s="1712">
        <v>30.81</v>
      </c>
      <c r="AH126" s="1709">
        <v>30.81</v>
      </c>
      <c r="AI126" s="1709">
        <v>30.81</v>
      </c>
      <c r="AJ126" s="1709">
        <v>30.81</v>
      </c>
      <c r="AK126" s="1709">
        <v>30.81</v>
      </c>
      <c r="AL126" s="1712">
        <v>30.81</v>
      </c>
      <c r="AM126" s="560"/>
      <c r="AN126" s="1052"/>
      <c r="AO126" s="992"/>
      <c r="AP126" s="2297" t="str">
        <f t="shared" si="36"/>
        <v>Price</v>
      </c>
      <c r="AQ126" s="2298" t="str">
        <f t="shared" si="36"/>
        <v>Water</v>
      </c>
      <c r="AR126" s="1719" t="str">
        <f t="shared" si="37"/>
        <v>Fixed</v>
      </c>
      <c r="AS126" s="2299">
        <f t="shared" si="130"/>
        <v>1.8915969443433989E-2</v>
      </c>
      <c r="AT126" s="1728">
        <f t="shared" si="130"/>
        <v>1.3209568011424366E-2</v>
      </c>
      <c r="AU126" s="1728">
        <f t="shared" si="130"/>
        <v>2.1846370683580085E-2</v>
      </c>
      <c r="AV126" s="2300">
        <f t="shared" si="130"/>
        <v>1.1034482758620623E-2</v>
      </c>
      <c r="AW126" s="1728">
        <f t="shared" si="130"/>
        <v>5.0818553888130946E-2</v>
      </c>
      <c r="AX126" s="2301">
        <f t="shared" si="130"/>
        <v>0</v>
      </c>
      <c r="AY126" s="1728">
        <f t="shared" si="130"/>
        <v>0</v>
      </c>
      <c r="AZ126" s="1728">
        <f t="shared" si="130"/>
        <v>0</v>
      </c>
      <c r="BA126" s="1728">
        <f t="shared" si="130"/>
        <v>0</v>
      </c>
      <c r="BB126" s="1729">
        <f t="shared" si="130"/>
        <v>0</v>
      </c>
      <c r="BC126" s="1728">
        <f t="shared" si="130"/>
        <v>0</v>
      </c>
      <c r="BD126" s="1728">
        <f t="shared" si="130"/>
        <v>0</v>
      </c>
      <c r="BE126" s="1728">
        <f t="shared" si="130"/>
        <v>0</v>
      </c>
      <c r="BF126" s="1728">
        <f t="shared" si="130"/>
        <v>0</v>
      </c>
      <c r="BG126" s="1729">
        <f t="shared" si="130"/>
        <v>0</v>
      </c>
      <c r="BH126" s="1048"/>
      <c r="BI126" s="2297" t="str">
        <f t="shared" si="65"/>
        <v>Price</v>
      </c>
      <c r="BJ126" s="2298" t="str">
        <f t="shared" si="65"/>
        <v>Water</v>
      </c>
      <c r="BK126" s="1719" t="str">
        <f t="shared" si="65"/>
        <v>Fixed</v>
      </c>
      <c r="BL126" s="2299">
        <f t="shared" ref="BL126:BZ126" si="142">IF(OR(X126="",X126=0),"-",IFERROR((X126/W126-1)*(W128/W$13),"-"))</f>
        <v>3.4050145114657806E-5</v>
      </c>
      <c r="BM126" s="1053">
        <f t="shared" si="142"/>
        <v>1.9493532171839105E-5</v>
      </c>
      <c r="BN126" s="1053">
        <f t="shared" si="142"/>
        <v>3.8371211510163607E-5</v>
      </c>
      <c r="BO126" s="2302">
        <f t="shared" si="142"/>
        <v>2.0678790344111616E-5</v>
      </c>
      <c r="BP126" s="1053">
        <f t="shared" si="142"/>
        <v>9.3995089976551489E-5</v>
      </c>
      <c r="BQ126" s="2303">
        <f t="shared" si="142"/>
        <v>0</v>
      </c>
      <c r="BR126" s="1053">
        <f t="shared" si="142"/>
        <v>0</v>
      </c>
      <c r="BS126" s="1053">
        <f t="shared" si="142"/>
        <v>0</v>
      </c>
      <c r="BT126" s="1053">
        <f t="shared" si="142"/>
        <v>0</v>
      </c>
      <c r="BU126" s="1054">
        <f t="shared" si="142"/>
        <v>0</v>
      </c>
      <c r="BV126" s="1053">
        <f t="shared" si="142"/>
        <v>0</v>
      </c>
      <c r="BW126" s="1053">
        <f t="shared" si="142"/>
        <v>0</v>
      </c>
      <c r="BX126" s="1053">
        <f t="shared" si="142"/>
        <v>0</v>
      </c>
      <c r="BY126" s="1053">
        <f t="shared" si="142"/>
        <v>0</v>
      </c>
      <c r="BZ126" s="1054">
        <f t="shared" si="142"/>
        <v>0</v>
      </c>
      <c r="CA126" s="1048"/>
    </row>
    <row r="127" spans="3:79" x14ac:dyDescent="0.3">
      <c r="C127" s="126"/>
      <c r="D127" s="126"/>
      <c r="E127" s="558" t="s">
        <v>46</v>
      </c>
      <c r="F127" s="2161" t="str">
        <f t="shared" si="137"/>
        <v>Water</v>
      </c>
      <c r="G127" s="2163" t="str">
        <f t="shared" si="137"/>
        <v>Residential</v>
      </c>
      <c r="H127" s="2163" t="str">
        <f t="shared" si="137"/>
        <v>Special Meter Read</v>
      </c>
      <c r="I127" s="2164" t="str">
        <f t="shared" si="137"/>
        <v>Fixed</v>
      </c>
      <c r="J127" s="574" t="s">
        <v>324</v>
      </c>
      <c r="K127" s="1973"/>
      <c r="L127" s="1974"/>
      <c r="M127" s="1974"/>
      <c r="N127" s="1975"/>
      <c r="O127" s="1974"/>
      <c r="P127" s="1974"/>
      <c r="Q127" s="1974"/>
      <c r="R127" s="1976"/>
      <c r="S127" s="1975"/>
      <c r="T127" s="1974"/>
      <c r="U127" s="1974"/>
      <c r="V127" s="1974"/>
      <c r="W127" s="1713">
        <v>6033</v>
      </c>
      <c r="X127" s="1714">
        <v>4979</v>
      </c>
      <c r="Y127" s="1713">
        <v>5784</v>
      </c>
      <c r="Z127" s="1713">
        <v>6111</v>
      </c>
      <c r="AA127" s="1713">
        <v>6045</v>
      </c>
      <c r="AB127" s="1715">
        <v>6075.2249999999995</v>
      </c>
      <c r="AC127" s="1713">
        <v>6105.6011249999992</v>
      </c>
      <c r="AD127" s="1713">
        <v>6136.1291306249987</v>
      </c>
      <c r="AE127" s="1713">
        <v>6166.8097762781226</v>
      </c>
      <c r="AF127" s="1713">
        <v>6197.6438251595127</v>
      </c>
      <c r="AG127" s="1716">
        <v>6228.6320442853093</v>
      </c>
      <c r="AH127" s="1713">
        <v>6259.7752045067355</v>
      </c>
      <c r="AI127" s="1713">
        <v>6291.074080529268</v>
      </c>
      <c r="AJ127" s="1713">
        <v>6322.5294509319137</v>
      </c>
      <c r="AK127" s="1713">
        <v>6354.1420981865722</v>
      </c>
      <c r="AL127" s="1716">
        <v>6385.9128086775045</v>
      </c>
      <c r="AM127" s="560"/>
      <c r="AN127" s="991"/>
      <c r="AO127" s="992"/>
      <c r="AP127" s="2285" t="str">
        <f t="shared" si="36"/>
        <v>Qty</v>
      </c>
      <c r="AQ127" s="2286" t="str">
        <f t="shared" si="36"/>
        <v>Water</v>
      </c>
      <c r="AR127" s="2287" t="str">
        <f t="shared" si="37"/>
        <v>Fixed</v>
      </c>
      <c r="AS127" s="2288">
        <f t="shared" si="130"/>
        <v>-0.17470578484999166</v>
      </c>
      <c r="AT127" s="1720">
        <f t="shared" si="130"/>
        <v>0.16167905201847765</v>
      </c>
      <c r="AU127" s="1720">
        <f t="shared" si="130"/>
        <v>5.653526970954359E-2</v>
      </c>
      <c r="AV127" s="2289">
        <f t="shared" si="130"/>
        <v>-1.0800196367206638E-2</v>
      </c>
      <c r="AW127" s="1720">
        <f t="shared" si="130"/>
        <v>4.9999999999998934E-3</v>
      </c>
      <c r="AX127" s="2290">
        <f t="shared" si="130"/>
        <v>4.9999999999998934E-3</v>
      </c>
      <c r="AY127" s="1720">
        <f t="shared" si="130"/>
        <v>4.9999999999998934E-3</v>
      </c>
      <c r="AZ127" s="1720">
        <f t="shared" si="130"/>
        <v>4.9999999999998934E-3</v>
      </c>
      <c r="BA127" s="1720">
        <f t="shared" si="130"/>
        <v>4.9999999999998934E-3</v>
      </c>
      <c r="BB127" s="1721">
        <f t="shared" si="130"/>
        <v>4.9999999999998934E-3</v>
      </c>
      <c r="BC127" s="1720">
        <f t="shared" si="130"/>
        <v>4.9999999999998934E-3</v>
      </c>
      <c r="BD127" s="1720">
        <f t="shared" si="130"/>
        <v>4.9999999999998934E-3</v>
      </c>
      <c r="BE127" s="1720">
        <f t="shared" si="130"/>
        <v>4.9999999999998934E-3</v>
      </c>
      <c r="BF127" s="1720">
        <f t="shared" si="130"/>
        <v>4.9999999999998934E-3</v>
      </c>
      <c r="BG127" s="1721">
        <f t="shared" si="130"/>
        <v>4.9999999999998934E-3</v>
      </c>
      <c r="BH127" s="1048"/>
      <c r="BI127" s="2285" t="str">
        <f t="shared" si="65"/>
        <v>Qty</v>
      </c>
      <c r="BJ127" s="2286" t="str">
        <f t="shared" si="65"/>
        <v>Water</v>
      </c>
      <c r="BK127" s="2287" t="str">
        <f t="shared" si="65"/>
        <v>Fixed</v>
      </c>
      <c r="BL127" s="2288">
        <f t="shared" ref="BL127:BZ127" si="143">IF(OR(X127="",X127=0),"-",IFERROR((X127/W127-1)*(W128/W$13),"-"))</f>
        <v>-3.1448334404966501E-4</v>
      </c>
      <c r="BM127" s="1720">
        <f t="shared" si="143"/>
        <v>2.3859189031078692E-4</v>
      </c>
      <c r="BN127" s="1720">
        <f t="shared" si="143"/>
        <v>9.9299184437968315E-5</v>
      </c>
      <c r="BO127" s="2289">
        <f t="shared" si="143"/>
        <v>-2.0239734044463739E-5</v>
      </c>
      <c r="BP127" s="1720">
        <f t="shared" si="143"/>
        <v>9.2481075104444034E-6</v>
      </c>
      <c r="BQ127" s="2290">
        <f t="shared" si="143"/>
        <v>9.2831508725043404E-6</v>
      </c>
      <c r="BR127" s="1720">
        <f t="shared" si="143"/>
        <v>9.0649040418967038E-6</v>
      </c>
      <c r="BS127" s="1720">
        <f t="shared" si="143"/>
        <v>8.8432512814614367E-6</v>
      </c>
      <c r="BT127" s="1720">
        <f t="shared" si="143"/>
        <v>8.6235212407569185E-6</v>
      </c>
      <c r="BU127" s="1721">
        <f t="shared" si="143"/>
        <v>8.4091023376059885E-6</v>
      </c>
      <c r="BV127" s="1720">
        <f t="shared" si="143"/>
        <v>8.2149794125454515E-6</v>
      </c>
      <c r="BW127" s="1720">
        <f t="shared" si="143"/>
        <v>8.0250701574996475E-6</v>
      </c>
      <c r="BX127" s="1720">
        <f t="shared" si="143"/>
        <v>7.839292313951008E-6</v>
      </c>
      <c r="BY127" s="1720">
        <f t="shared" si="143"/>
        <v>7.6575649105247032E-6</v>
      </c>
      <c r="BZ127" s="1721">
        <f t="shared" si="143"/>
        <v>7.4798082542768362E-6</v>
      </c>
      <c r="CA127" s="1048"/>
    </row>
    <row r="128" spans="3:79" ht="12.5" thickBot="1" x14ac:dyDescent="0.35">
      <c r="C128" s="126"/>
      <c r="D128" s="126"/>
      <c r="E128" s="559" t="s">
        <v>47</v>
      </c>
      <c r="F128" s="2162" t="str">
        <f t="shared" ref="F128:I128" si="144">+F126</f>
        <v>Water</v>
      </c>
      <c r="G128" s="2165" t="str">
        <f t="shared" si="144"/>
        <v>Residential</v>
      </c>
      <c r="H128" s="2165" t="str">
        <f t="shared" si="144"/>
        <v>Special Meter Read</v>
      </c>
      <c r="I128" s="2166" t="str">
        <f t="shared" si="144"/>
        <v>Fixed</v>
      </c>
      <c r="J128" s="2106" t="s">
        <v>347</v>
      </c>
      <c r="K128" s="1977"/>
      <c r="L128" s="1206"/>
      <c r="M128" s="1206"/>
      <c r="N128" s="1978"/>
      <c r="O128" s="1206"/>
      <c r="P128" s="1206"/>
      <c r="Q128" s="1206"/>
      <c r="R128" s="1206"/>
      <c r="S128" s="1978"/>
      <c r="T128" s="1206"/>
      <c r="U128" s="1206"/>
      <c r="V128" s="1206"/>
      <c r="W128" s="1731">
        <f t="shared" ref="W128:AG128" si="145">W126*W127/10^6</f>
        <v>0.16584716999999999</v>
      </c>
      <c r="X128" s="1730">
        <f t="shared" si="145"/>
        <v>0.13946179</v>
      </c>
      <c r="Y128" s="1731">
        <f t="shared" si="145"/>
        <v>0.16414991999999998</v>
      </c>
      <c r="Z128" s="1731">
        <f t="shared" si="145"/>
        <v>0.17721899999999999</v>
      </c>
      <c r="AA128" s="1731">
        <f t="shared" si="145"/>
        <v>0.17723939999999999</v>
      </c>
      <c r="AB128" s="1733">
        <f t="shared" si="145"/>
        <v>0.18717768224999998</v>
      </c>
      <c r="AC128" s="1731">
        <f t="shared" si="145"/>
        <v>0.18811357066124998</v>
      </c>
      <c r="AD128" s="1731">
        <f t="shared" si="145"/>
        <v>0.18905413851455619</v>
      </c>
      <c r="AE128" s="1731">
        <f t="shared" si="145"/>
        <v>0.18999940920712896</v>
      </c>
      <c r="AF128" s="1731">
        <f t="shared" si="145"/>
        <v>0.19094940625316459</v>
      </c>
      <c r="AG128" s="1733">
        <f t="shared" si="145"/>
        <v>0.19190415328443039</v>
      </c>
      <c r="AH128" s="1731">
        <f>AH126*AH127/10^6</f>
        <v>0.1928636740508525</v>
      </c>
      <c r="AI128" s="1731">
        <f>AI126*AI127/10^6</f>
        <v>0.19382799242110674</v>
      </c>
      <c r="AJ128" s="1731">
        <f>AJ126*AJ127/10^6</f>
        <v>0.19479713238321225</v>
      </c>
      <c r="AK128" s="1731">
        <f>AK126*AK127/10^6</f>
        <v>0.19577111804512828</v>
      </c>
      <c r="AL128" s="1733">
        <f>AL126*AL127/10^6</f>
        <v>0.1967499736353539</v>
      </c>
      <c r="AM128" s="560"/>
      <c r="AN128" s="991"/>
      <c r="AO128" s="992"/>
      <c r="AP128" s="2304" t="str">
        <f t="shared" si="36"/>
        <v>Rev</v>
      </c>
      <c r="AQ128" s="2305" t="str">
        <f t="shared" si="36"/>
        <v>Water</v>
      </c>
      <c r="AR128" s="2306" t="str">
        <f t="shared" si="37"/>
        <v>Fixed</v>
      </c>
      <c r="AS128" s="2307">
        <f t="shared" si="130"/>
        <v>-0.15909454469437123</v>
      </c>
      <c r="AT128" s="1055">
        <f t="shared" si="130"/>
        <v>0.17702433046356258</v>
      </c>
      <c r="AU128" s="1055">
        <f t="shared" si="130"/>
        <v>7.9616730851894468E-2</v>
      </c>
      <c r="AV128" s="2308">
        <f t="shared" si="130"/>
        <v>1.1511181081047539E-4</v>
      </c>
      <c r="AW128" s="1055">
        <f t="shared" si="130"/>
        <v>5.6072646657571612E-2</v>
      </c>
      <c r="AX128" s="2309">
        <f t="shared" si="130"/>
        <v>5.0000000000001155E-3</v>
      </c>
      <c r="AY128" s="1055">
        <f t="shared" si="130"/>
        <v>4.9999999999996714E-3</v>
      </c>
      <c r="AZ128" s="1055">
        <f t="shared" si="130"/>
        <v>4.9999999999998934E-3</v>
      </c>
      <c r="BA128" s="1055">
        <f t="shared" si="130"/>
        <v>4.9999999999998934E-3</v>
      </c>
      <c r="BB128" s="1056">
        <f t="shared" si="130"/>
        <v>4.9999999999998934E-3</v>
      </c>
      <c r="BC128" s="1055">
        <f t="shared" si="130"/>
        <v>4.9999999999998934E-3</v>
      </c>
      <c r="BD128" s="1055">
        <f t="shared" si="130"/>
        <v>4.9999999999998934E-3</v>
      </c>
      <c r="BE128" s="1055">
        <f t="shared" si="130"/>
        <v>4.9999999999998934E-3</v>
      </c>
      <c r="BF128" s="1055">
        <f t="shared" si="130"/>
        <v>4.9999999999998934E-3</v>
      </c>
      <c r="BG128" s="1056">
        <f t="shared" si="130"/>
        <v>4.9999999999998934E-3</v>
      </c>
      <c r="BH128" s="1048"/>
      <c r="BI128" s="2304" t="str">
        <f t="shared" si="65"/>
        <v>Rev</v>
      </c>
      <c r="BJ128" s="2305" t="str">
        <f t="shared" si="65"/>
        <v>Water</v>
      </c>
      <c r="BK128" s="2306" t="str">
        <f t="shared" si="65"/>
        <v>Fixed</v>
      </c>
      <c r="BL128" s="2307">
        <f t="shared" ref="BL128:BZ128" si="146">IF(OR(X128="",X128=0),"-",IFERROR((X128/W128-1)*(W128/W$13),"-"))</f>
        <v>-2.8638195626151956E-4</v>
      </c>
      <c r="BM128" s="1055">
        <f t="shared" si="146"/>
        <v>2.6123711828466049E-4</v>
      </c>
      <c r="BN128" s="1055">
        <f t="shared" si="146"/>
        <v>1.3983972273994084E-4</v>
      </c>
      <c r="BO128" s="2308">
        <f t="shared" si="146"/>
        <v>2.1572130329545437E-7</v>
      </c>
      <c r="BP128" s="1055">
        <f t="shared" si="146"/>
        <v>1.0371317293687886E-4</v>
      </c>
      <c r="BQ128" s="2309">
        <f t="shared" si="146"/>
        <v>9.283150872504752E-6</v>
      </c>
      <c r="BR128" s="1055">
        <f t="shared" si="146"/>
        <v>9.0649040418963023E-6</v>
      </c>
      <c r="BS128" s="1055">
        <f t="shared" si="146"/>
        <v>8.8432512814614367E-6</v>
      </c>
      <c r="BT128" s="1055">
        <f t="shared" si="146"/>
        <v>8.6235212407569185E-6</v>
      </c>
      <c r="BU128" s="1056">
        <f t="shared" si="146"/>
        <v>8.4091023376059885E-6</v>
      </c>
      <c r="BV128" s="1055">
        <f t="shared" si="146"/>
        <v>8.2149794125454515E-6</v>
      </c>
      <c r="BW128" s="1055">
        <f t="shared" si="146"/>
        <v>8.0250701574996475E-6</v>
      </c>
      <c r="BX128" s="1055">
        <f t="shared" si="146"/>
        <v>7.839292313951008E-6</v>
      </c>
      <c r="BY128" s="1055">
        <f t="shared" si="146"/>
        <v>7.6575649105247032E-6</v>
      </c>
      <c r="BZ128" s="1056">
        <f t="shared" si="146"/>
        <v>7.4798082542768362E-6</v>
      </c>
      <c r="CA128" s="1048"/>
    </row>
    <row r="129" spans="3:79" x14ac:dyDescent="0.3">
      <c r="C129" s="126"/>
      <c r="D129" s="126">
        <f>D126+1</f>
        <v>21</v>
      </c>
      <c r="E129" s="553" t="s">
        <v>45</v>
      </c>
      <c r="F129" s="2105" t="s">
        <v>21</v>
      </c>
      <c r="G129" s="2105" t="s">
        <v>1186</v>
      </c>
      <c r="H129" s="2105" t="s">
        <v>1206</v>
      </c>
      <c r="I129" s="573" t="s">
        <v>320</v>
      </c>
      <c r="J129" s="573" t="s">
        <v>348</v>
      </c>
      <c r="K129" s="1969"/>
      <c r="L129" s="1970"/>
      <c r="M129" s="1970"/>
      <c r="N129" s="1971"/>
      <c r="O129" s="1970"/>
      <c r="P129" s="1970"/>
      <c r="Q129" s="1970"/>
      <c r="R129" s="1972"/>
      <c r="S129" s="1971"/>
      <c r="T129" s="1970"/>
      <c r="U129" s="1970"/>
      <c r="V129" s="1970"/>
      <c r="W129" s="1709">
        <v>233.44</v>
      </c>
      <c r="X129" s="1710">
        <v>237.87</v>
      </c>
      <c r="Y129" s="1709">
        <v>241.03</v>
      </c>
      <c r="Z129" s="1709">
        <v>246.31</v>
      </c>
      <c r="AA129" s="1709">
        <v>249.05</v>
      </c>
      <c r="AB129" s="1711">
        <v>261.72000000000003</v>
      </c>
      <c r="AC129" s="1709">
        <v>261.72000000000003</v>
      </c>
      <c r="AD129" s="1709">
        <v>261.72000000000003</v>
      </c>
      <c r="AE129" s="1709">
        <v>261.72000000000003</v>
      </c>
      <c r="AF129" s="1709">
        <v>261.72000000000003</v>
      </c>
      <c r="AG129" s="1712">
        <v>261.72000000000003</v>
      </c>
      <c r="AH129" s="1709">
        <v>261.72000000000003</v>
      </c>
      <c r="AI129" s="1709">
        <v>261.72000000000003</v>
      </c>
      <c r="AJ129" s="1709">
        <v>261.72000000000003</v>
      </c>
      <c r="AK129" s="1709">
        <v>261.72000000000003</v>
      </c>
      <c r="AL129" s="1712">
        <v>261.72000000000003</v>
      </c>
      <c r="AM129" s="560"/>
      <c r="AN129" s="1052"/>
      <c r="AO129" s="992"/>
      <c r="AP129" s="2297" t="str">
        <f t="shared" si="36"/>
        <v>Price</v>
      </c>
      <c r="AQ129" s="2298" t="str">
        <f t="shared" si="36"/>
        <v>Water</v>
      </c>
      <c r="AR129" s="1719" t="str">
        <f t="shared" si="37"/>
        <v>Fixed</v>
      </c>
      <c r="AS129" s="2299">
        <f t="shared" si="130"/>
        <v>1.8977039067854751E-2</v>
      </c>
      <c r="AT129" s="1728">
        <f t="shared" si="130"/>
        <v>1.3284567200571695E-2</v>
      </c>
      <c r="AU129" s="1728">
        <f t="shared" si="130"/>
        <v>2.1905986806621591E-2</v>
      </c>
      <c r="AV129" s="2300">
        <f t="shared" si="130"/>
        <v>1.1124193090008561E-2</v>
      </c>
      <c r="AW129" s="1728">
        <f t="shared" si="130"/>
        <v>5.0873318610720863E-2</v>
      </c>
      <c r="AX129" s="2301">
        <f t="shared" si="130"/>
        <v>0</v>
      </c>
      <c r="AY129" s="1728">
        <f t="shared" si="130"/>
        <v>0</v>
      </c>
      <c r="AZ129" s="1728">
        <f t="shared" si="130"/>
        <v>0</v>
      </c>
      <c r="BA129" s="1728">
        <f t="shared" si="130"/>
        <v>0</v>
      </c>
      <c r="BB129" s="1729">
        <f t="shared" si="130"/>
        <v>0</v>
      </c>
      <c r="BC129" s="1728">
        <f t="shared" si="130"/>
        <v>0</v>
      </c>
      <c r="BD129" s="1728">
        <f t="shared" si="130"/>
        <v>0</v>
      </c>
      <c r="BE129" s="1728">
        <f t="shared" si="130"/>
        <v>0</v>
      </c>
      <c r="BF129" s="1728">
        <f t="shared" si="130"/>
        <v>0</v>
      </c>
      <c r="BG129" s="1729">
        <f t="shared" si="130"/>
        <v>0</v>
      </c>
      <c r="BH129" s="1048"/>
      <c r="BI129" s="2297" t="str">
        <f t="shared" si="65"/>
        <v>Price</v>
      </c>
      <c r="BJ129" s="2298" t="str">
        <f t="shared" si="65"/>
        <v>Water</v>
      </c>
      <c r="BK129" s="1719" t="str">
        <f t="shared" si="65"/>
        <v>Fixed</v>
      </c>
      <c r="BL129" s="2299">
        <f t="shared" ref="BL129:BZ129" si="147">IF(OR(X129="",X129=0),"-",IFERROR((X129/W129-1)*(W131/W$13),"-"))</f>
        <v>7.3085229042847764E-6</v>
      </c>
      <c r="BM129" s="1053">
        <f t="shared" si="147"/>
        <v>3.3771872827845633E-6</v>
      </c>
      <c r="BN129" s="1053">
        <f t="shared" si="147"/>
        <v>6.2145851863602973E-6</v>
      </c>
      <c r="BO129" s="2302">
        <f t="shared" si="147"/>
        <v>2.9264075232314174E-6</v>
      </c>
      <c r="BP129" s="1053">
        <f t="shared" si="147"/>
        <v>1.3089841980480644E-5</v>
      </c>
      <c r="BQ129" s="2303">
        <f t="shared" si="147"/>
        <v>0</v>
      </c>
      <c r="BR129" s="1053">
        <f t="shared" si="147"/>
        <v>0</v>
      </c>
      <c r="BS129" s="1053">
        <f t="shared" si="147"/>
        <v>0</v>
      </c>
      <c r="BT129" s="1053">
        <f t="shared" si="147"/>
        <v>0</v>
      </c>
      <c r="BU129" s="1054">
        <f t="shared" si="147"/>
        <v>0</v>
      </c>
      <c r="BV129" s="1053">
        <f t="shared" si="147"/>
        <v>0</v>
      </c>
      <c r="BW129" s="1053">
        <f t="shared" si="147"/>
        <v>0</v>
      </c>
      <c r="BX129" s="1053">
        <f t="shared" si="147"/>
        <v>0</v>
      </c>
      <c r="BY129" s="1053">
        <f t="shared" si="147"/>
        <v>0</v>
      </c>
      <c r="BZ129" s="1054">
        <f t="shared" si="147"/>
        <v>0</v>
      </c>
      <c r="CA129" s="1048"/>
    </row>
    <row r="130" spans="3:79" x14ac:dyDescent="0.3">
      <c r="C130" s="126"/>
      <c r="D130" s="126"/>
      <c r="E130" s="558" t="s">
        <v>46</v>
      </c>
      <c r="F130" s="2161" t="str">
        <f t="shared" si="137"/>
        <v>Water</v>
      </c>
      <c r="G130" s="2163" t="str">
        <f t="shared" si="137"/>
        <v>Residential</v>
      </c>
      <c r="H130" s="2163" t="str">
        <f t="shared" si="137"/>
        <v>Water Tapping Fees</v>
      </c>
      <c r="I130" s="2164" t="str">
        <f t="shared" si="137"/>
        <v>Fixed</v>
      </c>
      <c r="J130" s="574" t="s">
        <v>324</v>
      </c>
      <c r="K130" s="1973"/>
      <c r="L130" s="1974"/>
      <c r="M130" s="1974"/>
      <c r="N130" s="1975"/>
      <c r="O130" s="1974"/>
      <c r="P130" s="1974"/>
      <c r="Q130" s="1974"/>
      <c r="R130" s="1976"/>
      <c r="S130" s="1975"/>
      <c r="T130" s="1974"/>
      <c r="U130" s="1974"/>
      <c r="V130" s="1974"/>
      <c r="W130" s="1713">
        <v>152</v>
      </c>
      <c r="X130" s="1714">
        <v>101</v>
      </c>
      <c r="Y130" s="1713">
        <v>110</v>
      </c>
      <c r="Z130" s="1713">
        <v>101</v>
      </c>
      <c r="AA130" s="1713">
        <v>99</v>
      </c>
      <c r="AB130" s="1715">
        <v>99.49499999999999</v>
      </c>
      <c r="AC130" s="1713">
        <v>99.992474999999985</v>
      </c>
      <c r="AD130" s="1713">
        <v>100.49243737499998</v>
      </c>
      <c r="AE130" s="1713">
        <v>100.99489956187497</v>
      </c>
      <c r="AF130" s="1713">
        <v>101.49987405968433</v>
      </c>
      <c r="AG130" s="1716">
        <v>102.00737342998274</v>
      </c>
      <c r="AH130" s="1713">
        <v>102.51741029713264</v>
      </c>
      <c r="AI130" s="1713">
        <v>103.02999734861829</v>
      </c>
      <c r="AJ130" s="1713">
        <v>103.54514733536138</v>
      </c>
      <c r="AK130" s="1713">
        <v>104.06287307203817</v>
      </c>
      <c r="AL130" s="1716">
        <v>104.58318743739835</v>
      </c>
      <c r="AM130" s="560"/>
      <c r="AN130" s="991"/>
      <c r="AO130" s="992"/>
      <c r="AP130" s="2285" t="str">
        <f t="shared" si="36"/>
        <v>Qty</v>
      </c>
      <c r="AQ130" s="2286" t="str">
        <f t="shared" si="36"/>
        <v>Water</v>
      </c>
      <c r="AR130" s="2287" t="str">
        <f t="shared" si="37"/>
        <v>Fixed</v>
      </c>
      <c r="AS130" s="2288">
        <f t="shared" si="130"/>
        <v>-0.33552631578947367</v>
      </c>
      <c r="AT130" s="1720">
        <f t="shared" si="130"/>
        <v>8.9108910891089188E-2</v>
      </c>
      <c r="AU130" s="1720">
        <f t="shared" si="130"/>
        <v>-8.181818181818179E-2</v>
      </c>
      <c r="AV130" s="2289">
        <f t="shared" si="130"/>
        <v>-1.980198019801982E-2</v>
      </c>
      <c r="AW130" s="1720">
        <f t="shared" si="130"/>
        <v>4.9999999999998934E-3</v>
      </c>
      <c r="AX130" s="2290">
        <f t="shared" si="130"/>
        <v>4.9999999999998934E-3</v>
      </c>
      <c r="AY130" s="1720">
        <f t="shared" si="130"/>
        <v>4.9999999999998934E-3</v>
      </c>
      <c r="AZ130" s="1720">
        <f t="shared" si="130"/>
        <v>4.9999999999998934E-3</v>
      </c>
      <c r="BA130" s="1720">
        <f t="shared" si="130"/>
        <v>4.9999999999998934E-3</v>
      </c>
      <c r="BB130" s="1721">
        <f t="shared" si="130"/>
        <v>4.9999999999998934E-3</v>
      </c>
      <c r="BC130" s="1720">
        <f t="shared" si="130"/>
        <v>4.9999999999998934E-3</v>
      </c>
      <c r="BD130" s="1720">
        <f t="shared" si="130"/>
        <v>4.9999999999998934E-3</v>
      </c>
      <c r="BE130" s="1720">
        <f t="shared" si="130"/>
        <v>4.9999999999998934E-3</v>
      </c>
      <c r="BF130" s="1720">
        <f t="shared" si="130"/>
        <v>4.9999999999998934E-3</v>
      </c>
      <c r="BG130" s="1721">
        <f t="shared" si="130"/>
        <v>4.9999999999998934E-3</v>
      </c>
      <c r="BH130" s="1048"/>
      <c r="BI130" s="2285" t="str">
        <f t="shared" si="65"/>
        <v>Qty</v>
      </c>
      <c r="BJ130" s="2286" t="str">
        <f t="shared" si="65"/>
        <v>Water</v>
      </c>
      <c r="BK130" s="2287" t="str">
        <f t="shared" si="65"/>
        <v>Fixed</v>
      </c>
      <c r="BL130" s="2288">
        <f t="shared" ref="BL130:BZ130" si="148">IF(OR(X130="",X130=0),"-",IFERROR((X130/W130-1)*(W131/W$13),"-"))</f>
        <v>-1.2921940852677304E-4</v>
      </c>
      <c r="BM130" s="1720">
        <f t="shared" si="148"/>
        <v>2.265316408886987E-5</v>
      </c>
      <c r="BN130" s="1720">
        <f t="shared" si="148"/>
        <v>-2.3211283070275125E-5</v>
      </c>
      <c r="BO130" s="2289">
        <f t="shared" si="148"/>
        <v>-5.2092464916320647E-6</v>
      </c>
      <c r="BP130" s="1720">
        <f t="shared" si="148"/>
        <v>1.2865134748376585E-6</v>
      </c>
      <c r="BQ130" s="2290">
        <f t="shared" si="148"/>
        <v>1.2914556942633365E-6</v>
      </c>
      <c r="BR130" s="1720">
        <f t="shared" si="148"/>
        <v>1.2610935773469796E-6</v>
      </c>
      <c r="BS130" s="1720">
        <f t="shared" si="148"/>
        <v>1.2302576334369043E-6</v>
      </c>
      <c r="BT130" s="1720">
        <f t="shared" si="148"/>
        <v>1.1996891749290211E-6</v>
      </c>
      <c r="BU130" s="1721">
        <f t="shared" si="148"/>
        <v>1.1698595925776074E-6</v>
      </c>
      <c r="BV130" s="1720">
        <f t="shared" si="148"/>
        <v>1.1428535511591669E-6</v>
      </c>
      <c r="BW130" s="1720">
        <f t="shared" si="148"/>
        <v>1.1164337081348935E-6</v>
      </c>
      <c r="BX130" s="1720">
        <f t="shared" si="148"/>
        <v>1.0905886198438605E-6</v>
      </c>
      <c r="BY130" s="1720">
        <f t="shared" si="148"/>
        <v>1.0653070216901857E-6</v>
      </c>
      <c r="BZ130" s="1721">
        <f t="shared" si="148"/>
        <v>1.0405778269310587E-6</v>
      </c>
      <c r="CA130" s="1048"/>
    </row>
    <row r="131" spans="3:79" ht="12.5" thickBot="1" x14ac:dyDescent="0.35">
      <c r="C131" s="126"/>
      <c r="D131" s="126"/>
      <c r="E131" s="559" t="s">
        <v>47</v>
      </c>
      <c r="F131" s="2162" t="str">
        <f t="shared" ref="F131:I131" si="149">+F129</f>
        <v>Water</v>
      </c>
      <c r="G131" s="2165" t="str">
        <f t="shared" si="149"/>
        <v>Residential</v>
      </c>
      <c r="H131" s="2165" t="str">
        <f t="shared" si="149"/>
        <v>Water Tapping Fees</v>
      </c>
      <c r="I131" s="2166" t="str">
        <f t="shared" si="149"/>
        <v>Fixed</v>
      </c>
      <c r="J131" s="2106" t="s">
        <v>347</v>
      </c>
      <c r="K131" s="1977"/>
      <c r="L131" s="1206"/>
      <c r="M131" s="1206"/>
      <c r="N131" s="1978"/>
      <c r="O131" s="1206"/>
      <c r="P131" s="1206"/>
      <c r="Q131" s="1206"/>
      <c r="R131" s="1206"/>
      <c r="S131" s="1978"/>
      <c r="T131" s="1206"/>
      <c r="U131" s="1206"/>
      <c r="V131" s="1206"/>
      <c r="W131" s="1731">
        <f t="shared" ref="W131:AG131" si="150">W129*W130/10^6</f>
        <v>3.5482879999999994E-2</v>
      </c>
      <c r="X131" s="1730">
        <f t="shared" si="150"/>
        <v>2.402487E-2</v>
      </c>
      <c r="Y131" s="1731">
        <f t="shared" si="150"/>
        <v>2.65133E-2</v>
      </c>
      <c r="Z131" s="1731">
        <f t="shared" si="150"/>
        <v>2.487731E-2</v>
      </c>
      <c r="AA131" s="1731">
        <f t="shared" si="150"/>
        <v>2.4655949999999999E-2</v>
      </c>
      <c r="AB131" s="1733">
        <f t="shared" si="150"/>
        <v>2.6039831399999998E-2</v>
      </c>
      <c r="AC131" s="1731">
        <f t="shared" si="150"/>
        <v>2.6170030556999999E-2</v>
      </c>
      <c r="AD131" s="1731">
        <f t="shared" si="150"/>
        <v>2.6300880709784997E-2</v>
      </c>
      <c r="AE131" s="1731">
        <f t="shared" si="150"/>
        <v>2.6432385113333918E-2</v>
      </c>
      <c r="AF131" s="1731">
        <f t="shared" si="150"/>
        <v>2.6564547038900585E-2</v>
      </c>
      <c r="AG131" s="1733">
        <f t="shared" si="150"/>
        <v>2.6697369774095085E-2</v>
      </c>
      <c r="AH131" s="1731">
        <f>AH129*AH130/10^6</f>
        <v>2.6830856622965558E-2</v>
      </c>
      <c r="AI131" s="1731">
        <f>AI129*AI130/10^6</f>
        <v>2.6965010906080385E-2</v>
      </c>
      <c r="AJ131" s="1731">
        <f>AJ129*AJ130/10^6</f>
        <v>2.7099835960610785E-2</v>
      </c>
      <c r="AK131" s="1731">
        <f>AK129*AK130/10^6</f>
        <v>2.7235335140413833E-2</v>
      </c>
      <c r="AL131" s="1733">
        <f>AL129*AL130/10^6</f>
        <v>2.7371511816115902E-2</v>
      </c>
      <c r="AM131" s="560"/>
      <c r="AN131" s="991"/>
      <c r="AO131" s="992"/>
      <c r="AP131" s="2304" t="str">
        <f t="shared" si="36"/>
        <v>Rev</v>
      </c>
      <c r="AQ131" s="2305" t="str">
        <f t="shared" si="36"/>
        <v>Water</v>
      </c>
      <c r="AR131" s="2306" t="str">
        <f t="shared" si="37"/>
        <v>Fixed</v>
      </c>
      <c r="AS131" s="2307">
        <f t="shared" si="130"/>
        <v>-0.32291657272464902</v>
      </c>
      <c r="AT131" s="1055">
        <f t="shared" si="130"/>
        <v>0.10357725140656338</v>
      </c>
      <c r="AU131" s="1055">
        <f t="shared" si="130"/>
        <v>-6.1704503023011115E-2</v>
      </c>
      <c r="AV131" s="2308">
        <f t="shared" si="130"/>
        <v>-8.8980681592986111E-3</v>
      </c>
      <c r="AW131" s="1055">
        <f t="shared" si="130"/>
        <v>5.6127685203774202E-2</v>
      </c>
      <c r="AX131" s="2309">
        <f t="shared" si="130"/>
        <v>5.0000000000001155E-3</v>
      </c>
      <c r="AY131" s="1055">
        <f t="shared" si="130"/>
        <v>4.9999999999998934E-3</v>
      </c>
      <c r="AZ131" s="1055">
        <f t="shared" si="130"/>
        <v>4.9999999999998934E-3</v>
      </c>
      <c r="BA131" s="1055">
        <f t="shared" si="130"/>
        <v>4.9999999999998934E-3</v>
      </c>
      <c r="BB131" s="1056">
        <f t="shared" si="130"/>
        <v>4.9999999999998934E-3</v>
      </c>
      <c r="BC131" s="1055">
        <f t="shared" si="130"/>
        <v>4.9999999999998934E-3</v>
      </c>
      <c r="BD131" s="1055">
        <f t="shared" si="130"/>
        <v>4.9999999999998934E-3</v>
      </c>
      <c r="BE131" s="1055">
        <f t="shared" si="130"/>
        <v>4.9999999999998934E-3</v>
      </c>
      <c r="BF131" s="1055">
        <f t="shared" si="130"/>
        <v>4.9999999999998934E-3</v>
      </c>
      <c r="BG131" s="1056">
        <f t="shared" si="130"/>
        <v>4.9999999999998934E-3</v>
      </c>
      <c r="BH131" s="1048"/>
      <c r="BI131" s="2304" t="str">
        <f t="shared" si="65"/>
        <v>Rev</v>
      </c>
      <c r="BJ131" s="2305" t="str">
        <f t="shared" si="65"/>
        <v>Water</v>
      </c>
      <c r="BK131" s="2306" t="str">
        <f t="shared" si="65"/>
        <v>Fixed</v>
      </c>
      <c r="BL131" s="2307">
        <f t="shared" ref="BL131:BZ131" si="151">IF(OR(X131="",X131=0),"-",IFERROR((X131/W131-1)*(W131/W$13),"-"))</f>
        <v>-1.2436308738642587E-4</v>
      </c>
      <c r="BM131" s="1055">
        <f t="shared" si="151"/>
        <v>2.6331288852298619E-5</v>
      </c>
      <c r="BN131" s="1055">
        <f t="shared" si="151"/>
        <v>-1.750516394461705E-5</v>
      </c>
      <c r="BO131" s="2308">
        <f t="shared" si="151"/>
        <v>-2.3407876322270261E-6</v>
      </c>
      <c r="BP131" s="1055">
        <f t="shared" si="151"/>
        <v>1.4441804665220663E-5</v>
      </c>
      <c r="BQ131" s="2309">
        <f t="shared" si="151"/>
        <v>1.2914556942633938E-6</v>
      </c>
      <c r="BR131" s="1055">
        <f t="shared" si="151"/>
        <v>1.2610935773469796E-6</v>
      </c>
      <c r="BS131" s="1055">
        <f t="shared" si="151"/>
        <v>1.2302576334369043E-6</v>
      </c>
      <c r="BT131" s="1055">
        <f t="shared" si="151"/>
        <v>1.1996891749290211E-6</v>
      </c>
      <c r="BU131" s="1056">
        <f t="shared" si="151"/>
        <v>1.1698595925776074E-6</v>
      </c>
      <c r="BV131" s="1055">
        <f t="shared" si="151"/>
        <v>1.1428535511591669E-6</v>
      </c>
      <c r="BW131" s="1055">
        <f t="shared" si="151"/>
        <v>1.1164337081348935E-6</v>
      </c>
      <c r="BX131" s="1055">
        <f t="shared" si="151"/>
        <v>1.0905886198438605E-6</v>
      </c>
      <c r="BY131" s="1055">
        <f t="shared" si="151"/>
        <v>1.0653070216901857E-6</v>
      </c>
      <c r="BZ131" s="1056">
        <f t="shared" si="151"/>
        <v>1.0405778269310587E-6</v>
      </c>
      <c r="CA131" s="1048"/>
    </row>
    <row r="132" spans="3:79" x14ac:dyDescent="0.3">
      <c r="C132" s="126"/>
      <c r="D132" s="126">
        <f>D129+1</f>
        <v>22</v>
      </c>
      <c r="E132" s="553" t="s">
        <v>45</v>
      </c>
      <c r="F132" s="2105" t="s">
        <v>28</v>
      </c>
      <c r="G132" s="2105"/>
      <c r="H132" s="2105"/>
      <c r="I132" s="573" t="s">
        <v>319</v>
      </c>
      <c r="J132" s="573" t="s">
        <v>348</v>
      </c>
      <c r="K132" s="1969"/>
      <c r="L132" s="1970"/>
      <c r="M132" s="1970"/>
      <c r="N132" s="1971"/>
      <c r="O132" s="1970"/>
      <c r="P132" s="1970"/>
      <c r="Q132" s="1970"/>
      <c r="R132" s="1972"/>
      <c r="S132" s="1971"/>
      <c r="T132" s="1970"/>
      <c r="U132" s="1970"/>
      <c r="V132" s="1970"/>
      <c r="W132" s="1709"/>
      <c r="X132" s="1710"/>
      <c r="Y132" s="1709"/>
      <c r="Z132" s="1709"/>
      <c r="AA132" s="1709"/>
      <c r="AB132" s="1711"/>
      <c r="AC132" s="1709"/>
      <c r="AD132" s="1709"/>
      <c r="AE132" s="1709"/>
      <c r="AF132" s="1709"/>
      <c r="AG132" s="1712"/>
      <c r="AH132" s="1709"/>
      <c r="AI132" s="1709"/>
      <c r="AJ132" s="1709"/>
      <c r="AK132" s="1709"/>
      <c r="AL132" s="1712"/>
      <c r="AM132" s="560"/>
      <c r="AN132" s="1052"/>
      <c r="AO132" s="992"/>
      <c r="AP132" s="2297" t="str">
        <f t="shared" si="36"/>
        <v>Price</v>
      </c>
      <c r="AQ132" s="2298" t="str">
        <f t="shared" si="36"/>
        <v>[Service]</v>
      </c>
      <c r="AR132" s="1719" t="str">
        <f t="shared" si="37"/>
        <v>[Price]</v>
      </c>
      <c r="AS132" s="2299" t="str">
        <f t="shared" si="130"/>
        <v>-</v>
      </c>
      <c r="AT132" s="1728" t="str">
        <f t="shared" si="130"/>
        <v>-</v>
      </c>
      <c r="AU132" s="1728" t="str">
        <f t="shared" si="130"/>
        <v>-</v>
      </c>
      <c r="AV132" s="2300" t="str">
        <f t="shared" si="130"/>
        <v>-</v>
      </c>
      <c r="AW132" s="1728" t="str">
        <f t="shared" si="130"/>
        <v>-</v>
      </c>
      <c r="AX132" s="2301" t="str">
        <f t="shared" si="130"/>
        <v>-</v>
      </c>
      <c r="AY132" s="1728" t="str">
        <f t="shared" si="130"/>
        <v>-</v>
      </c>
      <c r="AZ132" s="1728" t="str">
        <f t="shared" si="130"/>
        <v>-</v>
      </c>
      <c r="BA132" s="1728" t="str">
        <f t="shared" si="130"/>
        <v>-</v>
      </c>
      <c r="BB132" s="1729" t="str">
        <f t="shared" si="130"/>
        <v>-</v>
      </c>
      <c r="BC132" s="1728" t="str">
        <f t="shared" si="130"/>
        <v>-</v>
      </c>
      <c r="BD132" s="1728" t="str">
        <f t="shared" si="130"/>
        <v>-</v>
      </c>
      <c r="BE132" s="1728" t="str">
        <f t="shared" si="130"/>
        <v>-</v>
      </c>
      <c r="BF132" s="1728" t="str">
        <f t="shared" si="130"/>
        <v>-</v>
      </c>
      <c r="BG132" s="1729" t="str">
        <f t="shared" si="130"/>
        <v>-</v>
      </c>
      <c r="BH132" s="1048"/>
      <c r="BI132" s="2297" t="str">
        <f t="shared" si="65"/>
        <v>Price</v>
      </c>
      <c r="BJ132" s="2298" t="str">
        <f t="shared" si="65"/>
        <v>[Service]</v>
      </c>
      <c r="BK132" s="1719" t="str">
        <f t="shared" si="65"/>
        <v>[Price]</v>
      </c>
      <c r="BL132" s="2299" t="str">
        <f t="shared" ref="BL132:BZ132" si="152">IF(OR(X132="",X132=0),"-",IFERROR((X132/W132-1)*(W134/W$13),"-"))</f>
        <v>-</v>
      </c>
      <c r="BM132" s="1053" t="str">
        <f t="shared" si="152"/>
        <v>-</v>
      </c>
      <c r="BN132" s="1053" t="str">
        <f t="shared" si="152"/>
        <v>-</v>
      </c>
      <c r="BO132" s="2302" t="str">
        <f t="shared" si="152"/>
        <v>-</v>
      </c>
      <c r="BP132" s="1053" t="str">
        <f t="shared" si="152"/>
        <v>-</v>
      </c>
      <c r="BQ132" s="2303" t="str">
        <f t="shared" si="152"/>
        <v>-</v>
      </c>
      <c r="BR132" s="1053" t="str">
        <f t="shared" si="152"/>
        <v>-</v>
      </c>
      <c r="BS132" s="1053" t="str">
        <f t="shared" si="152"/>
        <v>-</v>
      </c>
      <c r="BT132" s="1053" t="str">
        <f t="shared" si="152"/>
        <v>-</v>
      </c>
      <c r="BU132" s="1054" t="str">
        <f t="shared" si="152"/>
        <v>-</v>
      </c>
      <c r="BV132" s="1053" t="str">
        <f t="shared" si="152"/>
        <v>-</v>
      </c>
      <c r="BW132" s="1053" t="str">
        <f t="shared" si="152"/>
        <v>-</v>
      </c>
      <c r="BX132" s="1053" t="str">
        <f t="shared" si="152"/>
        <v>-</v>
      </c>
      <c r="BY132" s="1053" t="str">
        <f t="shared" si="152"/>
        <v>-</v>
      </c>
      <c r="BZ132" s="1054" t="str">
        <f t="shared" si="152"/>
        <v>-</v>
      </c>
      <c r="CA132" s="1048"/>
    </row>
    <row r="133" spans="3:79" x14ac:dyDescent="0.3">
      <c r="C133" s="126"/>
      <c r="D133" s="126"/>
      <c r="E133" s="558" t="s">
        <v>46</v>
      </c>
      <c r="F133" s="2161" t="str">
        <f t="shared" si="137"/>
        <v>[Service]</v>
      </c>
      <c r="G133" s="2163">
        <f t="shared" si="137"/>
        <v>0</v>
      </c>
      <c r="H133" s="2163">
        <f t="shared" si="137"/>
        <v>0</v>
      </c>
      <c r="I133" s="2164" t="str">
        <f t="shared" si="137"/>
        <v>[Price]</v>
      </c>
      <c r="J133" s="574" t="s">
        <v>323</v>
      </c>
      <c r="K133" s="1973"/>
      <c r="L133" s="1974"/>
      <c r="M133" s="1974"/>
      <c r="N133" s="1975"/>
      <c r="O133" s="1974"/>
      <c r="P133" s="1974"/>
      <c r="Q133" s="1974"/>
      <c r="R133" s="1976"/>
      <c r="S133" s="1975"/>
      <c r="T133" s="1974"/>
      <c r="U133" s="1974"/>
      <c r="V133" s="1974"/>
      <c r="W133" s="1713"/>
      <c r="X133" s="1714"/>
      <c r="Y133" s="1713"/>
      <c r="Z133" s="1713"/>
      <c r="AA133" s="1713"/>
      <c r="AB133" s="1715"/>
      <c r="AC133" s="1713"/>
      <c r="AD133" s="1713"/>
      <c r="AE133" s="1713"/>
      <c r="AF133" s="1713"/>
      <c r="AG133" s="1716"/>
      <c r="AH133" s="1713"/>
      <c r="AI133" s="1713"/>
      <c r="AJ133" s="1713"/>
      <c r="AK133" s="1713"/>
      <c r="AL133" s="1716"/>
      <c r="AM133" s="560"/>
      <c r="AN133" s="991"/>
      <c r="AO133" s="992"/>
      <c r="AP133" s="2285" t="str">
        <f t="shared" ref="AP133:AQ196" si="153">E133</f>
        <v>Qty</v>
      </c>
      <c r="AQ133" s="2286" t="str">
        <f t="shared" si="153"/>
        <v>[Service]</v>
      </c>
      <c r="AR133" s="2287" t="str">
        <f t="shared" ref="AR133:AR196" si="154">I133</f>
        <v>[Price]</v>
      </c>
      <c r="AS133" s="2288" t="str">
        <f t="shared" si="130"/>
        <v>-</v>
      </c>
      <c r="AT133" s="1720" t="str">
        <f t="shared" si="130"/>
        <v>-</v>
      </c>
      <c r="AU133" s="1720" t="str">
        <f t="shared" si="130"/>
        <v>-</v>
      </c>
      <c r="AV133" s="2289" t="str">
        <f t="shared" si="130"/>
        <v>-</v>
      </c>
      <c r="AW133" s="1720" t="str">
        <f t="shared" si="130"/>
        <v>-</v>
      </c>
      <c r="AX133" s="2290" t="str">
        <f t="shared" si="130"/>
        <v>-</v>
      </c>
      <c r="AY133" s="1720" t="str">
        <f t="shared" si="130"/>
        <v>-</v>
      </c>
      <c r="AZ133" s="1720" t="str">
        <f t="shared" si="130"/>
        <v>-</v>
      </c>
      <c r="BA133" s="1720" t="str">
        <f t="shared" si="130"/>
        <v>-</v>
      </c>
      <c r="BB133" s="1721" t="str">
        <f t="shared" si="130"/>
        <v>-</v>
      </c>
      <c r="BC133" s="1720" t="str">
        <f t="shared" si="130"/>
        <v>-</v>
      </c>
      <c r="BD133" s="1720" t="str">
        <f t="shared" si="130"/>
        <v>-</v>
      </c>
      <c r="BE133" s="1720" t="str">
        <f t="shared" si="130"/>
        <v>-</v>
      </c>
      <c r="BF133" s="1720" t="str">
        <f t="shared" si="130"/>
        <v>-</v>
      </c>
      <c r="BG133" s="1721" t="str">
        <f t="shared" si="130"/>
        <v>-</v>
      </c>
      <c r="BH133" s="1048"/>
      <c r="BI133" s="2285" t="str">
        <f t="shared" si="65"/>
        <v>Qty</v>
      </c>
      <c r="BJ133" s="2286" t="str">
        <f t="shared" si="65"/>
        <v>[Service]</v>
      </c>
      <c r="BK133" s="2287" t="str">
        <f t="shared" si="65"/>
        <v>[Price]</v>
      </c>
      <c r="BL133" s="2288" t="str">
        <f t="shared" ref="BL133:BZ133" si="155">IF(OR(X133="",X133=0),"-",IFERROR((X133/W133-1)*(W134/W$13),"-"))</f>
        <v>-</v>
      </c>
      <c r="BM133" s="1720" t="str">
        <f t="shared" si="155"/>
        <v>-</v>
      </c>
      <c r="BN133" s="1720" t="str">
        <f t="shared" si="155"/>
        <v>-</v>
      </c>
      <c r="BO133" s="2289" t="str">
        <f t="shared" si="155"/>
        <v>-</v>
      </c>
      <c r="BP133" s="1720" t="str">
        <f t="shared" si="155"/>
        <v>-</v>
      </c>
      <c r="BQ133" s="2290" t="str">
        <f t="shared" si="155"/>
        <v>-</v>
      </c>
      <c r="BR133" s="1720" t="str">
        <f t="shared" si="155"/>
        <v>-</v>
      </c>
      <c r="BS133" s="1720" t="str">
        <f t="shared" si="155"/>
        <v>-</v>
      </c>
      <c r="BT133" s="1720" t="str">
        <f t="shared" si="155"/>
        <v>-</v>
      </c>
      <c r="BU133" s="1721" t="str">
        <f t="shared" si="155"/>
        <v>-</v>
      </c>
      <c r="BV133" s="1720" t="str">
        <f t="shared" si="155"/>
        <v>-</v>
      </c>
      <c r="BW133" s="1720" t="str">
        <f t="shared" si="155"/>
        <v>-</v>
      </c>
      <c r="BX133" s="1720" t="str">
        <f t="shared" si="155"/>
        <v>-</v>
      </c>
      <c r="BY133" s="1720" t="str">
        <f t="shared" si="155"/>
        <v>-</v>
      </c>
      <c r="BZ133" s="1721" t="str">
        <f t="shared" si="155"/>
        <v>-</v>
      </c>
      <c r="CA133" s="1048"/>
    </row>
    <row r="134" spans="3:79" ht="12.5" thickBot="1" x14ac:dyDescent="0.35">
      <c r="C134" s="126"/>
      <c r="D134" s="126"/>
      <c r="E134" s="559" t="s">
        <v>47</v>
      </c>
      <c r="F134" s="2162" t="str">
        <f t="shared" ref="F134:I134" si="156">+F132</f>
        <v>[Service]</v>
      </c>
      <c r="G134" s="2165">
        <f t="shared" si="156"/>
        <v>0</v>
      </c>
      <c r="H134" s="2165">
        <f t="shared" si="156"/>
        <v>0</v>
      </c>
      <c r="I134" s="2166" t="str">
        <f t="shared" si="156"/>
        <v>[Price]</v>
      </c>
      <c r="J134" s="2106" t="s">
        <v>347</v>
      </c>
      <c r="K134" s="1977"/>
      <c r="L134" s="1206"/>
      <c r="M134" s="1206"/>
      <c r="N134" s="1978"/>
      <c r="O134" s="1206"/>
      <c r="P134" s="1206"/>
      <c r="Q134" s="1206"/>
      <c r="R134" s="1206"/>
      <c r="S134" s="1978"/>
      <c r="T134" s="1206"/>
      <c r="U134" s="1206"/>
      <c r="V134" s="1206"/>
      <c r="W134" s="1731">
        <f t="shared" ref="W134:AG134" si="157">W132*W133/10^6</f>
        <v>0</v>
      </c>
      <c r="X134" s="1730">
        <f t="shared" si="157"/>
        <v>0</v>
      </c>
      <c r="Y134" s="1731">
        <f t="shared" si="157"/>
        <v>0</v>
      </c>
      <c r="Z134" s="1731">
        <f t="shared" si="157"/>
        <v>0</v>
      </c>
      <c r="AA134" s="1731">
        <f t="shared" si="157"/>
        <v>0</v>
      </c>
      <c r="AB134" s="1733">
        <f t="shared" si="157"/>
        <v>0</v>
      </c>
      <c r="AC134" s="1731">
        <f t="shared" si="157"/>
        <v>0</v>
      </c>
      <c r="AD134" s="1731">
        <f t="shared" si="157"/>
        <v>0</v>
      </c>
      <c r="AE134" s="1731">
        <f t="shared" si="157"/>
        <v>0</v>
      </c>
      <c r="AF134" s="1731">
        <f t="shared" si="157"/>
        <v>0</v>
      </c>
      <c r="AG134" s="1733">
        <f t="shared" si="157"/>
        <v>0</v>
      </c>
      <c r="AH134" s="1731">
        <f>AH132*AH133/10^6</f>
        <v>0</v>
      </c>
      <c r="AI134" s="1731">
        <f>AI132*AI133/10^6</f>
        <v>0</v>
      </c>
      <c r="AJ134" s="1731">
        <f>AJ132*AJ133/10^6</f>
        <v>0</v>
      </c>
      <c r="AK134" s="1731">
        <f>AK132*AK133/10^6</f>
        <v>0</v>
      </c>
      <c r="AL134" s="1733">
        <f>AL132*AL133/10^6</f>
        <v>0</v>
      </c>
      <c r="AM134" s="560"/>
      <c r="AN134" s="991"/>
      <c r="AO134" s="992"/>
      <c r="AP134" s="2304" t="str">
        <f t="shared" si="153"/>
        <v>Rev</v>
      </c>
      <c r="AQ134" s="2305" t="str">
        <f t="shared" si="153"/>
        <v>[Service]</v>
      </c>
      <c r="AR134" s="2306" t="str">
        <f t="shared" si="154"/>
        <v>[Price]</v>
      </c>
      <c r="AS134" s="2307" t="str">
        <f t="shared" si="130"/>
        <v>-</v>
      </c>
      <c r="AT134" s="1055" t="str">
        <f t="shared" si="130"/>
        <v>-</v>
      </c>
      <c r="AU134" s="1055" t="str">
        <f t="shared" si="130"/>
        <v>-</v>
      </c>
      <c r="AV134" s="2308" t="str">
        <f t="shared" si="130"/>
        <v>-</v>
      </c>
      <c r="AW134" s="1055" t="str">
        <f t="shared" si="130"/>
        <v>-</v>
      </c>
      <c r="AX134" s="2309" t="str">
        <f t="shared" si="130"/>
        <v>-</v>
      </c>
      <c r="AY134" s="1055" t="str">
        <f t="shared" si="130"/>
        <v>-</v>
      </c>
      <c r="AZ134" s="1055" t="str">
        <f t="shared" si="130"/>
        <v>-</v>
      </c>
      <c r="BA134" s="1055" t="str">
        <f t="shared" si="130"/>
        <v>-</v>
      </c>
      <c r="BB134" s="1056" t="str">
        <f t="shared" si="130"/>
        <v>-</v>
      </c>
      <c r="BC134" s="1055" t="str">
        <f t="shared" si="130"/>
        <v>-</v>
      </c>
      <c r="BD134" s="1055" t="str">
        <f t="shared" si="130"/>
        <v>-</v>
      </c>
      <c r="BE134" s="1055" t="str">
        <f t="shared" si="130"/>
        <v>-</v>
      </c>
      <c r="BF134" s="1055" t="str">
        <f t="shared" si="130"/>
        <v>-</v>
      </c>
      <c r="BG134" s="1056" t="str">
        <f t="shared" si="130"/>
        <v>-</v>
      </c>
      <c r="BH134" s="1048"/>
      <c r="BI134" s="2304" t="str">
        <f t="shared" si="65"/>
        <v>Rev</v>
      </c>
      <c r="BJ134" s="2305" t="str">
        <f t="shared" si="65"/>
        <v>[Service]</v>
      </c>
      <c r="BK134" s="2306" t="str">
        <f t="shared" si="65"/>
        <v>[Price]</v>
      </c>
      <c r="BL134" s="2307" t="str">
        <f t="shared" ref="BL134:BZ134" si="158">IF(OR(X134="",X134=0),"-",IFERROR((X134/W134-1)*(W134/W$13),"-"))</f>
        <v>-</v>
      </c>
      <c r="BM134" s="1055" t="str">
        <f t="shared" si="158"/>
        <v>-</v>
      </c>
      <c r="BN134" s="1055" t="str">
        <f t="shared" si="158"/>
        <v>-</v>
      </c>
      <c r="BO134" s="2308" t="str">
        <f t="shared" si="158"/>
        <v>-</v>
      </c>
      <c r="BP134" s="1055" t="str">
        <f t="shared" si="158"/>
        <v>-</v>
      </c>
      <c r="BQ134" s="2309" t="str">
        <f t="shared" si="158"/>
        <v>-</v>
      </c>
      <c r="BR134" s="1055" t="str">
        <f t="shared" si="158"/>
        <v>-</v>
      </c>
      <c r="BS134" s="1055" t="str">
        <f t="shared" si="158"/>
        <v>-</v>
      </c>
      <c r="BT134" s="1055" t="str">
        <f t="shared" si="158"/>
        <v>-</v>
      </c>
      <c r="BU134" s="1056" t="str">
        <f t="shared" si="158"/>
        <v>-</v>
      </c>
      <c r="BV134" s="1055" t="str">
        <f t="shared" si="158"/>
        <v>-</v>
      </c>
      <c r="BW134" s="1055" t="str">
        <f t="shared" si="158"/>
        <v>-</v>
      </c>
      <c r="BX134" s="1055" t="str">
        <f t="shared" si="158"/>
        <v>-</v>
      </c>
      <c r="BY134" s="1055" t="str">
        <f t="shared" si="158"/>
        <v>-</v>
      </c>
      <c r="BZ134" s="1056" t="str">
        <f t="shared" si="158"/>
        <v>-</v>
      </c>
      <c r="CA134" s="1048"/>
    </row>
    <row r="135" spans="3:79" x14ac:dyDescent="0.3">
      <c r="C135" s="126"/>
      <c r="D135" s="126">
        <f>D132+1</f>
        <v>23</v>
      </c>
      <c r="E135" s="553" t="s">
        <v>45</v>
      </c>
      <c r="F135" s="2105" t="s">
        <v>28</v>
      </c>
      <c r="G135" s="2105"/>
      <c r="H135" s="2105"/>
      <c r="I135" s="573" t="s">
        <v>319</v>
      </c>
      <c r="J135" s="573" t="s">
        <v>348</v>
      </c>
      <c r="K135" s="1969"/>
      <c r="L135" s="1970"/>
      <c r="M135" s="1970"/>
      <c r="N135" s="1971"/>
      <c r="O135" s="1970"/>
      <c r="P135" s="1970"/>
      <c r="Q135" s="1970"/>
      <c r="R135" s="1972"/>
      <c r="S135" s="1971"/>
      <c r="T135" s="1970"/>
      <c r="U135" s="1970"/>
      <c r="V135" s="1970"/>
      <c r="W135" s="1709"/>
      <c r="X135" s="1710"/>
      <c r="Y135" s="1709"/>
      <c r="Z135" s="1709"/>
      <c r="AA135" s="1709"/>
      <c r="AB135" s="1711"/>
      <c r="AC135" s="1709"/>
      <c r="AD135" s="1709"/>
      <c r="AE135" s="1709"/>
      <c r="AF135" s="1709"/>
      <c r="AG135" s="1712"/>
      <c r="AH135" s="1709"/>
      <c r="AI135" s="1709"/>
      <c r="AJ135" s="1709"/>
      <c r="AK135" s="1709"/>
      <c r="AL135" s="1712"/>
      <c r="AM135" s="560"/>
      <c r="AN135" s="1052"/>
      <c r="AO135" s="992"/>
      <c r="AP135" s="2297" t="str">
        <f t="shared" si="153"/>
        <v>Price</v>
      </c>
      <c r="AQ135" s="2298" t="str">
        <f t="shared" si="153"/>
        <v>[Service]</v>
      </c>
      <c r="AR135" s="1719" t="str">
        <f t="shared" si="154"/>
        <v>[Price]</v>
      </c>
      <c r="AS135" s="2299" t="str">
        <f t="shared" si="130"/>
        <v>-</v>
      </c>
      <c r="AT135" s="1728" t="str">
        <f t="shared" si="130"/>
        <v>-</v>
      </c>
      <c r="AU135" s="1728" t="str">
        <f t="shared" si="130"/>
        <v>-</v>
      </c>
      <c r="AV135" s="2300" t="str">
        <f t="shared" si="130"/>
        <v>-</v>
      </c>
      <c r="AW135" s="1728" t="str">
        <f t="shared" si="130"/>
        <v>-</v>
      </c>
      <c r="AX135" s="2301" t="str">
        <f t="shared" si="130"/>
        <v>-</v>
      </c>
      <c r="AY135" s="1728" t="str">
        <f t="shared" si="130"/>
        <v>-</v>
      </c>
      <c r="AZ135" s="1728" t="str">
        <f t="shared" si="130"/>
        <v>-</v>
      </c>
      <c r="BA135" s="1728" t="str">
        <f t="shared" si="130"/>
        <v>-</v>
      </c>
      <c r="BB135" s="1729" t="str">
        <f t="shared" si="130"/>
        <v>-</v>
      </c>
      <c r="BC135" s="1728" t="str">
        <f t="shared" si="130"/>
        <v>-</v>
      </c>
      <c r="BD135" s="1728" t="str">
        <f t="shared" si="130"/>
        <v>-</v>
      </c>
      <c r="BE135" s="1728" t="str">
        <f t="shared" si="130"/>
        <v>-</v>
      </c>
      <c r="BF135" s="1728" t="str">
        <f t="shared" si="130"/>
        <v>-</v>
      </c>
      <c r="BG135" s="1729" t="str">
        <f t="shared" si="130"/>
        <v>-</v>
      </c>
      <c r="BH135" s="1048"/>
      <c r="BI135" s="2297" t="str">
        <f t="shared" si="65"/>
        <v>Price</v>
      </c>
      <c r="BJ135" s="2298" t="str">
        <f t="shared" si="65"/>
        <v>[Service]</v>
      </c>
      <c r="BK135" s="1719" t="str">
        <f t="shared" si="65"/>
        <v>[Price]</v>
      </c>
      <c r="BL135" s="2299" t="str">
        <f t="shared" ref="BL135:BZ135" si="159">IF(OR(X135="",X135=0),"-",IFERROR((X135/W135-1)*(W137/W$13),"-"))</f>
        <v>-</v>
      </c>
      <c r="BM135" s="1053" t="str">
        <f t="shared" si="159"/>
        <v>-</v>
      </c>
      <c r="BN135" s="1053" t="str">
        <f t="shared" si="159"/>
        <v>-</v>
      </c>
      <c r="BO135" s="2302" t="str">
        <f t="shared" si="159"/>
        <v>-</v>
      </c>
      <c r="BP135" s="1053" t="str">
        <f t="shared" si="159"/>
        <v>-</v>
      </c>
      <c r="BQ135" s="2303" t="str">
        <f t="shared" si="159"/>
        <v>-</v>
      </c>
      <c r="BR135" s="1053" t="str">
        <f t="shared" si="159"/>
        <v>-</v>
      </c>
      <c r="BS135" s="1053" t="str">
        <f t="shared" si="159"/>
        <v>-</v>
      </c>
      <c r="BT135" s="1053" t="str">
        <f t="shared" si="159"/>
        <v>-</v>
      </c>
      <c r="BU135" s="1054" t="str">
        <f t="shared" si="159"/>
        <v>-</v>
      </c>
      <c r="BV135" s="1053" t="str">
        <f t="shared" si="159"/>
        <v>-</v>
      </c>
      <c r="BW135" s="1053" t="str">
        <f t="shared" si="159"/>
        <v>-</v>
      </c>
      <c r="BX135" s="1053" t="str">
        <f t="shared" si="159"/>
        <v>-</v>
      </c>
      <c r="BY135" s="1053" t="str">
        <f t="shared" si="159"/>
        <v>-</v>
      </c>
      <c r="BZ135" s="1054" t="str">
        <f t="shared" si="159"/>
        <v>-</v>
      </c>
      <c r="CA135" s="1048"/>
    </row>
    <row r="136" spans="3:79" x14ac:dyDescent="0.3">
      <c r="C136" s="126"/>
      <c r="D136" s="126"/>
      <c r="E136" s="558" t="s">
        <v>46</v>
      </c>
      <c r="F136" s="2161" t="str">
        <f t="shared" si="137"/>
        <v>[Service]</v>
      </c>
      <c r="G136" s="2163">
        <f t="shared" si="137"/>
        <v>0</v>
      </c>
      <c r="H136" s="2163">
        <f t="shared" si="137"/>
        <v>0</v>
      </c>
      <c r="I136" s="2164" t="str">
        <f t="shared" si="137"/>
        <v>[Price]</v>
      </c>
      <c r="J136" s="574" t="s">
        <v>323</v>
      </c>
      <c r="K136" s="1973"/>
      <c r="L136" s="1974"/>
      <c r="M136" s="1974"/>
      <c r="N136" s="1975"/>
      <c r="O136" s="1974"/>
      <c r="P136" s="1974"/>
      <c r="Q136" s="1974"/>
      <c r="R136" s="1976"/>
      <c r="S136" s="1975"/>
      <c r="T136" s="1974"/>
      <c r="U136" s="1974"/>
      <c r="V136" s="1974"/>
      <c r="W136" s="1713"/>
      <c r="X136" s="1714"/>
      <c r="Y136" s="1713"/>
      <c r="Z136" s="1713"/>
      <c r="AA136" s="1713"/>
      <c r="AB136" s="1715"/>
      <c r="AC136" s="1713"/>
      <c r="AD136" s="1713"/>
      <c r="AE136" s="1713"/>
      <c r="AF136" s="1713"/>
      <c r="AG136" s="1716"/>
      <c r="AH136" s="1713"/>
      <c r="AI136" s="1713"/>
      <c r="AJ136" s="1713"/>
      <c r="AK136" s="1713"/>
      <c r="AL136" s="1716"/>
      <c r="AM136" s="560"/>
      <c r="AN136" s="991"/>
      <c r="AO136" s="992"/>
      <c r="AP136" s="2285" t="str">
        <f t="shared" si="153"/>
        <v>Qty</v>
      </c>
      <c r="AQ136" s="2286" t="str">
        <f t="shared" si="153"/>
        <v>[Service]</v>
      </c>
      <c r="AR136" s="2287" t="str">
        <f t="shared" si="154"/>
        <v>[Price]</v>
      </c>
      <c r="AS136" s="2288" t="str">
        <f t="shared" si="130"/>
        <v>-</v>
      </c>
      <c r="AT136" s="1720" t="str">
        <f t="shared" si="130"/>
        <v>-</v>
      </c>
      <c r="AU136" s="1720" t="str">
        <f t="shared" si="130"/>
        <v>-</v>
      </c>
      <c r="AV136" s="2289" t="str">
        <f t="shared" si="130"/>
        <v>-</v>
      </c>
      <c r="AW136" s="1720" t="str">
        <f t="shared" si="130"/>
        <v>-</v>
      </c>
      <c r="AX136" s="2290" t="str">
        <f t="shared" si="130"/>
        <v>-</v>
      </c>
      <c r="AY136" s="1720" t="str">
        <f t="shared" si="130"/>
        <v>-</v>
      </c>
      <c r="AZ136" s="1720" t="str">
        <f t="shared" si="130"/>
        <v>-</v>
      </c>
      <c r="BA136" s="1720" t="str">
        <f t="shared" si="130"/>
        <v>-</v>
      </c>
      <c r="BB136" s="1721" t="str">
        <f t="shared" si="130"/>
        <v>-</v>
      </c>
      <c r="BC136" s="1720" t="str">
        <f t="shared" si="130"/>
        <v>-</v>
      </c>
      <c r="BD136" s="1720" t="str">
        <f t="shared" si="130"/>
        <v>-</v>
      </c>
      <c r="BE136" s="1720" t="str">
        <f t="shared" si="130"/>
        <v>-</v>
      </c>
      <c r="BF136" s="1720" t="str">
        <f t="shared" si="130"/>
        <v>-</v>
      </c>
      <c r="BG136" s="1721" t="str">
        <f t="shared" si="130"/>
        <v>-</v>
      </c>
      <c r="BH136" s="1048"/>
      <c r="BI136" s="2285" t="str">
        <f t="shared" si="65"/>
        <v>Qty</v>
      </c>
      <c r="BJ136" s="2286" t="str">
        <f t="shared" si="65"/>
        <v>[Service]</v>
      </c>
      <c r="BK136" s="2287" t="str">
        <f t="shared" si="65"/>
        <v>[Price]</v>
      </c>
      <c r="BL136" s="2288" t="str">
        <f t="shared" ref="BL136:BZ136" si="160">IF(OR(X136="",X136=0),"-",IFERROR((X136/W136-1)*(W137/W$13),"-"))</f>
        <v>-</v>
      </c>
      <c r="BM136" s="1720" t="str">
        <f t="shared" si="160"/>
        <v>-</v>
      </c>
      <c r="BN136" s="1720" t="str">
        <f t="shared" si="160"/>
        <v>-</v>
      </c>
      <c r="BO136" s="2289" t="str">
        <f t="shared" si="160"/>
        <v>-</v>
      </c>
      <c r="BP136" s="1720" t="str">
        <f t="shared" si="160"/>
        <v>-</v>
      </c>
      <c r="BQ136" s="2290" t="str">
        <f t="shared" si="160"/>
        <v>-</v>
      </c>
      <c r="BR136" s="1720" t="str">
        <f t="shared" si="160"/>
        <v>-</v>
      </c>
      <c r="BS136" s="1720" t="str">
        <f t="shared" si="160"/>
        <v>-</v>
      </c>
      <c r="BT136" s="1720" t="str">
        <f t="shared" si="160"/>
        <v>-</v>
      </c>
      <c r="BU136" s="1721" t="str">
        <f t="shared" si="160"/>
        <v>-</v>
      </c>
      <c r="BV136" s="1720" t="str">
        <f t="shared" si="160"/>
        <v>-</v>
      </c>
      <c r="BW136" s="1720" t="str">
        <f t="shared" si="160"/>
        <v>-</v>
      </c>
      <c r="BX136" s="1720" t="str">
        <f t="shared" si="160"/>
        <v>-</v>
      </c>
      <c r="BY136" s="1720" t="str">
        <f t="shared" si="160"/>
        <v>-</v>
      </c>
      <c r="BZ136" s="1721" t="str">
        <f t="shared" si="160"/>
        <v>-</v>
      </c>
      <c r="CA136" s="1048"/>
    </row>
    <row r="137" spans="3:79" ht="12.5" thickBot="1" x14ac:dyDescent="0.35">
      <c r="C137" s="126"/>
      <c r="D137" s="126"/>
      <c r="E137" s="559" t="s">
        <v>47</v>
      </c>
      <c r="F137" s="2162" t="str">
        <f t="shared" ref="F137:I137" si="161">+F135</f>
        <v>[Service]</v>
      </c>
      <c r="G137" s="2165">
        <f t="shared" si="161"/>
        <v>0</v>
      </c>
      <c r="H137" s="2165">
        <f t="shared" si="161"/>
        <v>0</v>
      </c>
      <c r="I137" s="2166" t="str">
        <f t="shared" si="161"/>
        <v>[Price]</v>
      </c>
      <c r="J137" s="2106" t="s">
        <v>347</v>
      </c>
      <c r="K137" s="1977"/>
      <c r="L137" s="1206"/>
      <c r="M137" s="1206"/>
      <c r="N137" s="1978"/>
      <c r="O137" s="1206"/>
      <c r="P137" s="1206"/>
      <c r="Q137" s="1206"/>
      <c r="R137" s="1206"/>
      <c r="S137" s="1978"/>
      <c r="T137" s="1206"/>
      <c r="U137" s="1206"/>
      <c r="V137" s="1206"/>
      <c r="W137" s="1731">
        <f t="shared" ref="W137:AG137" si="162">W135*W136/10^6</f>
        <v>0</v>
      </c>
      <c r="X137" s="1730">
        <f t="shared" si="162"/>
        <v>0</v>
      </c>
      <c r="Y137" s="1731">
        <f t="shared" si="162"/>
        <v>0</v>
      </c>
      <c r="Z137" s="1731">
        <f t="shared" si="162"/>
        <v>0</v>
      </c>
      <c r="AA137" s="1731">
        <f t="shared" si="162"/>
        <v>0</v>
      </c>
      <c r="AB137" s="1733">
        <f t="shared" si="162"/>
        <v>0</v>
      </c>
      <c r="AC137" s="1731">
        <f t="shared" si="162"/>
        <v>0</v>
      </c>
      <c r="AD137" s="1731">
        <f t="shared" si="162"/>
        <v>0</v>
      </c>
      <c r="AE137" s="1731">
        <f t="shared" si="162"/>
        <v>0</v>
      </c>
      <c r="AF137" s="1731">
        <f t="shared" si="162"/>
        <v>0</v>
      </c>
      <c r="AG137" s="1733">
        <f t="shared" si="162"/>
        <v>0</v>
      </c>
      <c r="AH137" s="1731">
        <f>AH135*AH136/10^6</f>
        <v>0</v>
      </c>
      <c r="AI137" s="1731">
        <f>AI135*AI136/10^6</f>
        <v>0</v>
      </c>
      <c r="AJ137" s="1731">
        <f>AJ135*AJ136/10^6</f>
        <v>0</v>
      </c>
      <c r="AK137" s="1731">
        <f>AK135*AK136/10^6</f>
        <v>0</v>
      </c>
      <c r="AL137" s="1733">
        <f>AL135*AL136/10^6</f>
        <v>0</v>
      </c>
      <c r="AM137" s="560"/>
      <c r="AN137" s="991"/>
      <c r="AO137" s="992"/>
      <c r="AP137" s="2304" t="str">
        <f t="shared" si="153"/>
        <v>Rev</v>
      </c>
      <c r="AQ137" s="2305" t="str">
        <f t="shared" si="153"/>
        <v>[Service]</v>
      </c>
      <c r="AR137" s="2306" t="str">
        <f t="shared" si="154"/>
        <v>[Price]</v>
      </c>
      <c r="AS137" s="2307" t="str">
        <f t="shared" ref="AS137:BG153" si="163">IF(OR(X137="",X137=0),"-",IFERROR(X137/W137-1,"-"))</f>
        <v>-</v>
      </c>
      <c r="AT137" s="1055" t="str">
        <f t="shared" si="163"/>
        <v>-</v>
      </c>
      <c r="AU137" s="1055" t="str">
        <f t="shared" si="163"/>
        <v>-</v>
      </c>
      <c r="AV137" s="2308" t="str">
        <f t="shared" si="163"/>
        <v>-</v>
      </c>
      <c r="AW137" s="1055" t="str">
        <f t="shared" si="163"/>
        <v>-</v>
      </c>
      <c r="AX137" s="2309" t="str">
        <f t="shared" si="163"/>
        <v>-</v>
      </c>
      <c r="AY137" s="1055" t="str">
        <f t="shared" si="163"/>
        <v>-</v>
      </c>
      <c r="AZ137" s="1055" t="str">
        <f t="shared" si="163"/>
        <v>-</v>
      </c>
      <c r="BA137" s="1055" t="str">
        <f t="shared" si="163"/>
        <v>-</v>
      </c>
      <c r="BB137" s="1056" t="str">
        <f t="shared" si="163"/>
        <v>-</v>
      </c>
      <c r="BC137" s="1055" t="str">
        <f t="shared" si="163"/>
        <v>-</v>
      </c>
      <c r="BD137" s="1055" t="str">
        <f t="shared" si="163"/>
        <v>-</v>
      </c>
      <c r="BE137" s="1055" t="str">
        <f t="shared" si="163"/>
        <v>-</v>
      </c>
      <c r="BF137" s="1055" t="str">
        <f t="shared" si="163"/>
        <v>-</v>
      </c>
      <c r="BG137" s="1056" t="str">
        <f t="shared" si="163"/>
        <v>-</v>
      </c>
      <c r="BH137" s="1048"/>
      <c r="BI137" s="2304" t="str">
        <f t="shared" si="65"/>
        <v>Rev</v>
      </c>
      <c r="BJ137" s="2305" t="str">
        <f t="shared" si="65"/>
        <v>[Service]</v>
      </c>
      <c r="BK137" s="2306" t="str">
        <f t="shared" si="65"/>
        <v>[Price]</v>
      </c>
      <c r="BL137" s="2307" t="str">
        <f t="shared" ref="BL137:BZ137" si="164">IF(OR(X137="",X137=0),"-",IFERROR((X137/W137-1)*(W137/W$13),"-"))</f>
        <v>-</v>
      </c>
      <c r="BM137" s="1055" t="str">
        <f t="shared" si="164"/>
        <v>-</v>
      </c>
      <c r="BN137" s="1055" t="str">
        <f t="shared" si="164"/>
        <v>-</v>
      </c>
      <c r="BO137" s="2308" t="str">
        <f t="shared" si="164"/>
        <v>-</v>
      </c>
      <c r="BP137" s="1055" t="str">
        <f t="shared" si="164"/>
        <v>-</v>
      </c>
      <c r="BQ137" s="2309" t="str">
        <f t="shared" si="164"/>
        <v>-</v>
      </c>
      <c r="BR137" s="1055" t="str">
        <f t="shared" si="164"/>
        <v>-</v>
      </c>
      <c r="BS137" s="1055" t="str">
        <f t="shared" si="164"/>
        <v>-</v>
      </c>
      <c r="BT137" s="1055" t="str">
        <f t="shared" si="164"/>
        <v>-</v>
      </c>
      <c r="BU137" s="1056" t="str">
        <f t="shared" si="164"/>
        <v>-</v>
      </c>
      <c r="BV137" s="1055" t="str">
        <f t="shared" si="164"/>
        <v>-</v>
      </c>
      <c r="BW137" s="1055" t="str">
        <f t="shared" si="164"/>
        <v>-</v>
      </c>
      <c r="BX137" s="1055" t="str">
        <f t="shared" si="164"/>
        <v>-</v>
      </c>
      <c r="BY137" s="1055" t="str">
        <f t="shared" si="164"/>
        <v>-</v>
      </c>
      <c r="BZ137" s="1056" t="str">
        <f t="shared" si="164"/>
        <v>-</v>
      </c>
      <c r="CA137" s="1048"/>
    </row>
    <row r="138" spans="3:79" x14ac:dyDescent="0.3">
      <c r="C138" s="126"/>
      <c r="D138" s="126">
        <f>D135+1</f>
        <v>24</v>
      </c>
      <c r="E138" s="553" t="s">
        <v>45</v>
      </c>
      <c r="F138" s="2105" t="s">
        <v>28</v>
      </c>
      <c r="G138" s="2105"/>
      <c r="H138" s="2105"/>
      <c r="I138" s="573" t="s">
        <v>319</v>
      </c>
      <c r="J138" s="573" t="s">
        <v>348</v>
      </c>
      <c r="K138" s="1969"/>
      <c r="L138" s="1970"/>
      <c r="M138" s="1970"/>
      <c r="N138" s="1971"/>
      <c r="O138" s="1970"/>
      <c r="P138" s="1970"/>
      <c r="Q138" s="1970"/>
      <c r="R138" s="1972"/>
      <c r="S138" s="1971"/>
      <c r="T138" s="1970"/>
      <c r="U138" s="1970"/>
      <c r="V138" s="1970"/>
      <c r="W138" s="1709"/>
      <c r="X138" s="1710"/>
      <c r="Y138" s="1709"/>
      <c r="Z138" s="1709"/>
      <c r="AA138" s="1709"/>
      <c r="AB138" s="1711"/>
      <c r="AC138" s="1709"/>
      <c r="AD138" s="1709"/>
      <c r="AE138" s="1709"/>
      <c r="AF138" s="1709"/>
      <c r="AG138" s="1712"/>
      <c r="AH138" s="1709"/>
      <c r="AI138" s="1709"/>
      <c r="AJ138" s="1709"/>
      <c r="AK138" s="1709"/>
      <c r="AL138" s="1712"/>
      <c r="AM138" s="560"/>
      <c r="AN138" s="1052"/>
      <c r="AO138" s="992"/>
      <c r="AP138" s="2297" t="str">
        <f t="shared" si="153"/>
        <v>Price</v>
      </c>
      <c r="AQ138" s="2298" t="str">
        <f t="shared" si="153"/>
        <v>[Service]</v>
      </c>
      <c r="AR138" s="1719" t="str">
        <f t="shared" si="154"/>
        <v>[Price]</v>
      </c>
      <c r="AS138" s="2299" t="str">
        <f t="shared" si="163"/>
        <v>-</v>
      </c>
      <c r="AT138" s="1728" t="str">
        <f t="shared" si="163"/>
        <v>-</v>
      </c>
      <c r="AU138" s="1728" t="str">
        <f t="shared" si="163"/>
        <v>-</v>
      </c>
      <c r="AV138" s="2300" t="str">
        <f t="shared" si="163"/>
        <v>-</v>
      </c>
      <c r="AW138" s="1728" t="str">
        <f t="shared" si="163"/>
        <v>-</v>
      </c>
      <c r="AX138" s="2301" t="str">
        <f t="shared" si="163"/>
        <v>-</v>
      </c>
      <c r="AY138" s="1728" t="str">
        <f t="shared" si="163"/>
        <v>-</v>
      </c>
      <c r="AZ138" s="1728" t="str">
        <f t="shared" si="163"/>
        <v>-</v>
      </c>
      <c r="BA138" s="1728" t="str">
        <f t="shared" si="163"/>
        <v>-</v>
      </c>
      <c r="BB138" s="1729" t="str">
        <f t="shared" si="163"/>
        <v>-</v>
      </c>
      <c r="BC138" s="1728" t="str">
        <f t="shared" si="163"/>
        <v>-</v>
      </c>
      <c r="BD138" s="1728" t="str">
        <f t="shared" si="163"/>
        <v>-</v>
      </c>
      <c r="BE138" s="1728" t="str">
        <f t="shared" si="163"/>
        <v>-</v>
      </c>
      <c r="BF138" s="1728" t="str">
        <f t="shared" si="163"/>
        <v>-</v>
      </c>
      <c r="BG138" s="1729" t="str">
        <f t="shared" si="163"/>
        <v>-</v>
      </c>
      <c r="BH138" s="1048"/>
      <c r="BI138" s="2297" t="str">
        <f t="shared" si="65"/>
        <v>Price</v>
      </c>
      <c r="BJ138" s="2298" t="str">
        <f t="shared" si="65"/>
        <v>[Service]</v>
      </c>
      <c r="BK138" s="1719" t="str">
        <f t="shared" si="65"/>
        <v>[Price]</v>
      </c>
      <c r="BL138" s="2299" t="str">
        <f t="shared" ref="BL138:BZ138" si="165">IF(OR(X138="",X138=0),"-",IFERROR((X138/W138-1)*(W140/W$13),"-"))</f>
        <v>-</v>
      </c>
      <c r="BM138" s="1053" t="str">
        <f t="shared" si="165"/>
        <v>-</v>
      </c>
      <c r="BN138" s="1053" t="str">
        <f t="shared" si="165"/>
        <v>-</v>
      </c>
      <c r="BO138" s="2302" t="str">
        <f t="shared" si="165"/>
        <v>-</v>
      </c>
      <c r="BP138" s="1053" t="str">
        <f t="shared" si="165"/>
        <v>-</v>
      </c>
      <c r="BQ138" s="2303" t="str">
        <f t="shared" si="165"/>
        <v>-</v>
      </c>
      <c r="BR138" s="1053" t="str">
        <f t="shared" si="165"/>
        <v>-</v>
      </c>
      <c r="BS138" s="1053" t="str">
        <f t="shared" si="165"/>
        <v>-</v>
      </c>
      <c r="BT138" s="1053" t="str">
        <f t="shared" si="165"/>
        <v>-</v>
      </c>
      <c r="BU138" s="1054" t="str">
        <f t="shared" si="165"/>
        <v>-</v>
      </c>
      <c r="BV138" s="1053" t="str">
        <f t="shared" si="165"/>
        <v>-</v>
      </c>
      <c r="BW138" s="1053" t="str">
        <f t="shared" si="165"/>
        <v>-</v>
      </c>
      <c r="BX138" s="1053" t="str">
        <f t="shared" si="165"/>
        <v>-</v>
      </c>
      <c r="BY138" s="1053" t="str">
        <f t="shared" si="165"/>
        <v>-</v>
      </c>
      <c r="BZ138" s="1054" t="str">
        <f t="shared" si="165"/>
        <v>-</v>
      </c>
      <c r="CA138" s="1048"/>
    </row>
    <row r="139" spans="3:79" x14ac:dyDescent="0.3">
      <c r="C139" s="126"/>
      <c r="D139" s="126"/>
      <c r="E139" s="558" t="s">
        <v>46</v>
      </c>
      <c r="F139" s="2161" t="str">
        <f t="shared" si="137"/>
        <v>[Service]</v>
      </c>
      <c r="G139" s="2163">
        <f t="shared" si="137"/>
        <v>0</v>
      </c>
      <c r="H139" s="2163">
        <f t="shared" si="137"/>
        <v>0</v>
      </c>
      <c r="I139" s="2164" t="str">
        <f t="shared" si="137"/>
        <v>[Price]</v>
      </c>
      <c r="J139" s="574" t="s">
        <v>323</v>
      </c>
      <c r="K139" s="1973"/>
      <c r="L139" s="1974"/>
      <c r="M139" s="1974"/>
      <c r="N139" s="1975"/>
      <c r="O139" s="1974"/>
      <c r="P139" s="1974"/>
      <c r="Q139" s="1974"/>
      <c r="R139" s="1976"/>
      <c r="S139" s="1975"/>
      <c r="T139" s="1974"/>
      <c r="U139" s="1974"/>
      <c r="V139" s="1974"/>
      <c r="W139" s="1713"/>
      <c r="X139" s="1714"/>
      <c r="Y139" s="1713"/>
      <c r="Z139" s="1713"/>
      <c r="AA139" s="1713"/>
      <c r="AB139" s="1715"/>
      <c r="AC139" s="1713"/>
      <c r="AD139" s="1713"/>
      <c r="AE139" s="1713"/>
      <c r="AF139" s="1713"/>
      <c r="AG139" s="1716"/>
      <c r="AH139" s="1713"/>
      <c r="AI139" s="1713"/>
      <c r="AJ139" s="1713"/>
      <c r="AK139" s="1713"/>
      <c r="AL139" s="1716"/>
      <c r="AM139" s="560"/>
      <c r="AN139" s="991"/>
      <c r="AO139" s="992"/>
      <c r="AP139" s="2285" t="str">
        <f t="shared" si="153"/>
        <v>Qty</v>
      </c>
      <c r="AQ139" s="2286" t="str">
        <f t="shared" si="153"/>
        <v>[Service]</v>
      </c>
      <c r="AR139" s="2287" t="str">
        <f t="shared" si="154"/>
        <v>[Price]</v>
      </c>
      <c r="AS139" s="2288" t="str">
        <f t="shared" si="163"/>
        <v>-</v>
      </c>
      <c r="AT139" s="1720" t="str">
        <f t="shared" si="163"/>
        <v>-</v>
      </c>
      <c r="AU139" s="1720" t="str">
        <f t="shared" si="163"/>
        <v>-</v>
      </c>
      <c r="AV139" s="2289" t="str">
        <f t="shared" si="163"/>
        <v>-</v>
      </c>
      <c r="AW139" s="1720" t="str">
        <f t="shared" si="163"/>
        <v>-</v>
      </c>
      <c r="AX139" s="2290" t="str">
        <f t="shared" si="163"/>
        <v>-</v>
      </c>
      <c r="AY139" s="1720" t="str">
        <f t="shared" si="163"/>
        <v>-</v>
      </c>
      <c r="AZ139" s="1720" t="str">
        <f t="shared" si="163"/>
        <v>-</v>
      </c>
      <c r="BA139" s="1720" t="str">
        <f t="shared" si="163"/>
        <v>-</v>
      </c>
      <c r="BB139" s="1721" t="str">
        <f t="shared" si="163"/>
        <v>-</v>
      </c>
      <c r="BC139" s="1720" t="str">
        <f t="shared" si="163"/>
        <v>-</v>
      </c>
      <c r="BD139" s="1720" t="str">
        <f t="shared" si="163"/>
        <v>-</v>
      </c>
      <c r="BE139" s="1720" t="str">
        <f t="shared" si="163"/>
        <v>-</v>
      </c>
      <c r="BF139" s="1720" t="str">
        <f t="shared" si="163"/>
        <v>-</v>
      </c>
      <c r="BG139" s="1721" t="str">
        <f t="shared" si="163"/>
        <v>-</v>
      </c>
      <c r="BH139" s="1048"/>
      <c r="BI139" s="2285" t="str">
        <f t="shared" si="65"/>
        <v>Qty</v>
      </c>
      <c r="BJ139" s="2286" t="str">
        <f t="shared" si="65"/>
        <v>[Service]</v>
      </c>
      <c r="BK139" s="2287" t="str">
        <f t="shared" si="65"/>
        <v>[Price]</v>
      </c>
      <c r="BL139" s="2288" t="str">
        <f t="shared" ref="BL139:BZ139" si="166">IF(OR(X139="",X139=0),"-",IFERROR((X139/W139-1)*(W140/W$13),"-"))</f>
        <v>-</v>
      </c>
      <c r="BM139" s="1720" t="str">
        <f t="shared" si="166"/>
        <v>-</v>
      </c>
      <c r="BN139" s="1720" t="str">
        <f t="shared" si="166"/>
        <v>-</v>
      </c>
      <c r="BO139" s="2289" t="str">
        <f t="shared" si="166"/>
        <v>-</v>
      </c>
      <c r="BP139" s="1720" t="str">
        <f t="shared" si="166"/>
        <v>-</v>
      </c>
      <c r="BQ139" s="2290" t="str">
        <f t="shared" si="166"/>
        <v>-</v>
      </c>
      <c r="BR139" s="1720" t="str">
        <f t="shared" si="166"/>
        <v>-</v>
      </c>
      <c r="BS139" s="1720" t="str">
        <f t="shared" si="166"/>
        <v>-</v>
      </c>
      <c r="BT139" s="1720" t="str">
        <f t="shared" si="166"/>
        <v>-</v>
      </c>
      <c r="BU139" s="1721" t="str">
        <f t="shared" si="166"/>
        <v>-</v>
      </c>
      <c r="BV139" s="1720" t="str">
        <f t="shared" si="166"/>
        <v>-</v>
      </c>
      <c r="BW139" s="1720" t="str">
        <f t="shared" si="166"/>
        <v>-</v>
      </c>
      <c r="BX139" s="1720" t="str">
        <f t="shared" si="166"/>
        <v>-</v>
      </c>
      <c r="BY139" s="1720" t="str">
        <f t="shared" si="166"/>
        <v>-</v>
      </c>
      <c r="BZ139" s="1721" t="str">
        <f t="shared" si="166"/>
        <v>-</v>
      </c>
      <c r="CA139" s="1048"/>
    </row>
    <row r="140" spans="3:79" ht="12.5" thickBot="1" x14ac:dyDescent="0.35">
      <c r="C140" s="126"/>
      <c r="D140" s="126"/>
      <c r="E140" s="559" t="s">
        <v>47</v>
      </c>
      <c r="F140" s="2162" t="str">
        <f t="shared" ref="F140:I140" si="167">+F138</f>
        <v>[Service]</v>
      </c>
      <c r="G140" s="2165">
        <f t="shared" si="167"/>
        <v>0</v>
      </c>
      <c r="H140" s="2165">
        <f t="shared" si="167"/>
        <v>0</v>
      </c>
      <c r="I140" s="2166" t="str">
        <f t="shared" si="167"/>
        <v>[Price]</v>
      </c>
      <c r="J140" s="2106" t="s">
        <v>347</v>
      </c>
      <c r="K140" s="1977"/>
      <c r="L140" s="1206"/>
      <c r="M140" s="1206"/>
      <c r="N140" s="1978"/>
      <c r="O140" s="1206"/>
      <c r="P140" s="1206"/>
      <c r="Q140" s="1206"/>
      <c r="R140" s="1206"/>
      <c r="S140" s="1978"/>
      <c r="T140" s="1206"/>
      <c r="U140" s="1206"/>
      <c r="V140" s="1206"/>
      <c r="W140" s="1731">
        <f t="shared" ref="W140:AG140" si="168">W138*W139/10^6</f>
        <v>0</v>
      </c>
      <c r="X140" s="1730">
        <f t="shared" si="168"/>
        <v>0</v>
      </c>
      <c r="Y140" s="1731">
        <f t="shared" si="168"/>
        <v>0</v>
      </c>
      <c r="Z140" s="1731">
        <f t="shared" si="168"/>
        <v>0</v>
      </c>
      <c r="AA140" s="1731">
        <f t="shared" si="168"/>
        <v>0</v>
      </c>
      <c r="AB140" s="1733">
        <f t="shared" si="168"/>
        <v>0</v>
      </c>
      <c r="AC140" s="1731">
        <f t="shared" si="168"/>
        <v>0</v>
      </c>
      <c r="AD140" s="1731">
        <f t="shared" si="168"/>
        <v>0</v>
      </c>
      <c r="AE140" s="1731">
        <f t="shared" si="168"/>
        <v>0</v>
      </c>
      <c r="AF140" s="1731">
        <f t="shared" si="168"/>
        <v>0</v>
      </c>
      <c r="AG140" s="1733">
        <f t="shared" si="168"/>
        <v>0</v>
      </c>
      <c r="AH140" s="1731">
        <f>AH138*AH139/10^6</f>
        <v>0</v>
      </c>
      <c r="AI140" s="1731">
        <f>AI138*AI139/10^6</f>
        <v>0</v>
      </c>
      <c r="AJ140" s="1731">
        <f>AJ138*AJ139/10^6</f>
        <v>0</v>
      </c>
      <c r="AK140" s="1731">
        <f>AK138*AK139/10^6</f>
        <v>0</v>
      </c>
      <c r="AL140" s="1733">
        <f>AL138*AL139/10^6</f>
        <v>0</v>
      </c>
      <c r="AM140" s="560"/>
      <c r="AN140" s="991"/>
      <c r="AO140" s="992"/>
      <c r="AP140" s="2304" t="str">
        <f t="shared" si="153"/>
        <v>Rev</v>
      </c>
      <c r="AQ140" s="2305" t="str">
        <f t="shared" si="153"/>
        <v>[Service]</v>
      </c>
      <c r="AR140" s="2306" t="str">
        <f t="shared" si="154"/>
        <v>[Price]</v>
      </c>
      <c r="AS140" s="2307" t="str">
        <f t="shared" si="163"/>
        <v>-</v>
      </c>
      <c r="AT140" s="1055" t="str">
        <f t="shared" si="163"/>
        <v>-</v>
      </c>
      <c r="AU140" s="1055" t="str">
        <f t="shared" si="163"/>
        <v>-</v>
      </c>
      <c r="AV140" s="2308" t="str">
        <f t="shared" si="163"/>
        <v>-</v>
      </c>
      <c r="AW140" s="1055" t="str">
        <f t="shared" si="163"/>
        <v>-</v>
      </c>
      <c r="AX140" s="2309" t="str">
        <f t="shared" si="163"/>
        <v>-</v>
      </c>
      <c r="AY140" s="1055" t="str">
        <f t="shared" si="163"/>
        <v>-</v>
      </c>
      <c r="AZ140" s="1055" t="str">
        <f t="shared" si="163"/>
        <v>-</v>
      </c>
      <c r="BA140" s="1055" t="str">
        <f t="shared" si="163"/>
        <v>-</v>
      </c>
      <c r="BB140" s="1056" t="str">
        <f t="shared" si="163"/>
        <v>-</v>
      </c>
      <c r="BC140" s="1055" t="str">
        <f t="shared" si="163"/>
        <v>-</v>
      </c>
      <c r="BD140" s="1055" t="str">
        <f t="shared" si="163"/>
        <v>-</v>
      </c>
      <c r="BE140" s="1055" t="str">
        <f t="shared" si="163"/>
        <v>-</v>
      </c>
      <c r="BF140" s="1055" t="str">
        <f t="shared" si="163"/>
        <v>-</v>
      </c>
      <c r="BG140" s="1056" t="str">
        <f t="shared" si="163"/>
        <v>-</v>
      </c>
      <c r="BH140" s="1048"/>
      <c r="BI140" s="2304" t="str">
        <f t="shared" si="65"/>
        <v>Rev</v>
      </c>
      <c r="BJ140" s="2305" t="str">
        <f t="shared" si="65"/>
        <v>[Service]</v>
      </c>
      <c r="BK140" s="2306" t="str">
        <f t="shared" si="65"/>
        <v>[Price]</v>
      </c>
      <c r="BL140" s="2307" t="str">
        <f t="shared" ref="BL140:BZ140" si="169">IF(OR(X140="",X140=0),"-",IFERROR((X140/W140-1)*(W140/W$13),"-"))</f>
        <v>-</v>
      </c>
      <c r="BM140" s="1055" t="str">
        <f t="shared" si="169"/>
        <v>-</v>
      </c>
      <c r="BN140" s="1055" t="str">
        <f t="shared" si="169"/>
        <v>-</v>
      </c>
      <c r="BO140" s="2308" t="str">
        <f t="shared" si="169"/>
        <v>-</v>
      </c>
      <c r="BP140" s="1055" t="str">
        <f t="shared" si="169"/>
        <v>-</v>
      </c>
      <c r="BQ140" s="2309" t="str">
        <f t="shared" si="169"/>
        <v>-</v>
      </c>
      <c r="BR140" s="1055" t="str">
        <f t="shared" si="169"/>
        <v>-</v>
      </c>
      <c r="BS140" s="1055" t="str">
        <f t="shared" si="169"/>
        <v>-</v>
      </c>
      <c r="BT140" s="1055" t="str">
        <f t="shared" si="169"/>
        <v>-</v>
      </c>
      <c r="BU140" s="1056" t="str">
        <f t="shared" si="169"/>
        <v>-</v>
      </c>
      <c r="BV140" s="1055" t="str">
        <f t="shared" si="169"/>
        <v>-</v>
      </c>
      <c r="BW140" s="1055" t="str">
        <f t="shared" si="169"/>
        <v>-</v>
      </c>
      <c r="BX140" s="1055" t="str">
        <f t="shared" si="169"/>
        <v>-</v>
      </c>
      <c r="BY140" s="1055" t="str">
        <f t="shared" si="169"/>
        <v>-</v>
      </c>
      <c r="BZ140" s="1056" t="str">
        <f t="shared" si="169"/>
        <v>-</v>
      </c>
      <c r="CA140" s="1048"/>
    </row>
    <row r="141" spans="3:79" x14ac:dyDescent="0.3">
      <c r="C141" s="126"/>
      <c r="D141" s="126">
        <f>D138+1</f>
        <v>25</v>
      </c>
      <c r="E141" s="553" t="s">
        <v>45</v>
      </c>
      <c r="F141" s="2105" t="s">
        <v>28</v>
      </c>
      <c r="G141" s="2105"/>
      <c r="H141" s="2105"/>
      <c r="I141" s="573" t="s">
        <v>319</v>
      </c>
      <c r="J141" s="573" t="s">
        <v>348</v>
      </c>
      <c r="K141" s="1969"/>
      <c r="L141" s="1970"/>
      <c r="M141" s="1970"/>
      <c r="N141" s="1971"/>
      <c r="O141" s="1970"/>
      <c r="P141" s="1970"/>
      <c r="Q141" s="1970"/>
      <c r="R141" s="1972"/>
      <c r="S141" s="1971"/>
      <c r="T141" s="1970"/>
      <c r="U141" s="1970"/>
      <c r="V141" s="1970"/>
      <c r="W141" s="1709"/>
      <c r="X141" s="1710"/>
      <c r="Y141" s="1709"/>
      <c r="Z141" s="1709"/>
      <c r="AA141" s="1709"/>
      <c r="AB141" s="1711"/>
      <c r="AC141" s="1709"/>
      <c r="AD141" s="1709"/>
      <c r="AE141" s="1709"/>
      <c r="AF141" s="1709"/>
      <c r="AG141" s="1712"/>
      <c r="AH141" s="1709"/>
      <c r="AI141" s="1709"/>
      <c r="AJ141" s="1709"/>
      <c r="AK141" s="1709"/>
      <c r="AL141" s="1712"/>
      <c r="AM141" s="560"/>
      <c r="AN141" s="1052"/>
      <c r="AO141" s="992"/>
      <c r="AP141" s="2297" t="str">
        <f t="shared" si="153"/>
        <v>Price</v>
      </c>
      <c r="AQ141" s="2298" t="str">
        <f t="shared" si="153"/>
        <v>[Service]</v>
      </c>
      <c r="AR141" s="1719" t="str">
        <f t="shared" si="154"/>
        <v>[Price]</v>
      </c>
      <c r="AS141" s="2299" t="str">
        <f t="shared" si="163"/>
        <v>-</v>
      </c>
      <c r="AT141" s="1728" t="str">
        <f t="shared" si="163"/>
        <v>-</v>
      </c>
      <c r="AU141" s="1728" t="str">
        <f t="shared" si="163"/>
        <v>-</v>
      </c>
      <c r="AV141" s="2300" t="str">
        <f t="shared" si="163"/>
        <v>-</v>
      </c>
      <c r="AW141" s="1728" t="str">
        <f t="shared" si="163"/>
        <v>-</v>
      </c>
      <c r="AX141" s="2301" t="str">
        <f t="shared" si="163"/>
        <v>-</v>
      </c>
      <c r="AY141" s="1728" t="str">
        <f t="shared" si="163"/>
        <v>-</v>
      </c>
      <c r="AZ141" s="1728" t="str">
        <f t="shared" si="163"/>
        <v>-</v>
      </c>
      <c r="BA141" s="1728" t="str">
        <f t="shared" si="163"/>
        <v>-</v>
      </c>
      <c r="BB141" s="1729" t="str">
        <f t="shared" si="163"/>
        <v>-</v>
      </c>
      <c r="BC141" s="1728" t="str">
        <f t="shared" si="163"/>
        <v>-</v>
      </c>
      <c r="BD141" s="1728" t="str">
        <f t="shared" si="163"/>
        <v>-</v>
      </c>
      <c r="BE141" s="1728" t="str">
        <f t="shared" si="163"/>
        <v>-</v>
      </c>
      <c r="BF141" s="1728" t="str">
        <f t="shared" si="163"/>
        <v>-</v>
      </c>
      <c r="BG141" s="1729" t="str">
        <f t="shared" si="163"/>
        <v>-</v>
      </c>
      <c r="BH141" s="1048"/>
      <c r="BI141" s="2297" t="str">
        <f t="shared" si="65"/>
        <v>Price</v>
      </c>
      <c r="BJ141" s="2298" t="str">
        <f t="shared" si="65"/>
        <v>[Service]</v>
      </c>
      <c r="BK141" s="1719" t="str">
        <f t="shared" si="65"/>
        <v>[Price]</v>
      </c>
      <c r="BL141" s="2299" t="str">
        <f t="shared" ref="BL141:BZ141" si="170">IF(OR(X141="",X141=0),"-",IFERROR((X141/W141-1)*(W143/W$13),"-"))</f>
        <v>-</v>
      </c>
      <c r="BM141" s="1053" t="str">
        <f t="shared" si="170"/>
        <v>-</v>
      </c>
      <c r="BN141" s="1053" t="str">
        <f t="shared" si="170"/>
        <v>-</v>
      </c>
      <c r="BO141" s="2302" t="str">
        <f t="shared" si="170"/>
        <v>-</v>
      </c>
      <c r="BP141" s="1053" t="str">
        <f t="shared" si="170"/>
        <v>-</v>
      </c>
      <c r="BQ141" s="2303" t="str">
        <f t="shared" si="170"/>
        <v>-</v>
      </c>
      <c r="BR141" s="1053" t="str">
        <f t="shared" si="170"/>
        <v>-</v>
      </c>
      <c r="BS141" s="1053" t="str">
        <f t="shared" si="170"/>
        <v>-</v>
      </c>
      <c r="BT141" s="1053" t="str">
        <f t="shared" si="170"/>
        <v>-</v>
      </c>
      <c r="BU141" s="1054" t="str">
        <f t="shared" si="170"/>
        <v>-</v>
      </c>
      <c r="BV141" s="1053" t="str">
        <f t="shared" si="170"/>
        <v>-</v>
      </c>
      <c r="BW141" s="1053" t="str">
        <f t="shared" si="170"/>
        <v>-</v>
      </c>
      <c r="BX141" s="1053" t="str">
        <f t="shared" si="170"/>
        <v>-</v>
      </c>
      <c r="BY141" s="1053" t="str">
        <f t="shared" si="170"/>
        <v>-</v>
      </c>
      <c r="BZ141" s="1054" t="str">
        <f t="shared" si="170"/>
        <v>-</v>
      </c>
      <c r="CA141" s="1048"/>
    </row>
    <row r="142" spans="3:79" x14ac:dyDescent="0.3">
      <c r="C142" s="126"/>
      <c r="D142" s="126"/>
      <c r="E142" s="558" t="s">
        <v>46</v>
      </c>
      <c r="F142" s="2161" t="str">
        <f t="shared" ref="F142:I157" si="171">+F141</f>
        <v>[Service]</v>
      </c>
      <c r="G142" s="2163">
        <f t="shared" si="171"/>
        <v>0</v>
      </c>
      <c r="H142" s="2163">
        <f t="shared" si="171"/>
        <v>0</v>
      </c>
      <c r="I142" s="2164" t="str">
        <f t="shared" si="171"/>
        <v>[Price]</v>
      </c>
      <c r="J142" s="574" t="s">
        <v>323</v>
      </c>
      <c r="K142" s="1973"/>
      <c r="L142" s="1974"/>
      <c r="M142" s="1974"/>
      <c r="N142" s="1975"/>
      <c r="O142" s="1974"/>
      <c r="P142" s="1974"/>
      <c r="Q142" s="1974"/>
      <c r="R142" s="1976"/>
      <c r="S142" s="1975"/>
      <c r="T142" s="1974"/>
      <c r="U142" s="1974"/>
      <c r="V142" s="1974"/>
      <c r="W142" s="1713"/>
      <c r="X142" s="1714"/>
      <c r="Y142" s="1713"/>
      <c r="Z142" s="1713"/>
      <c r="AA142" s="1713"/>
      <c r="AB142" s="1715"/>
      <c r="AC142" s="1713"/>
      <c r="AD142" s="1713"/>
      <c r="AE142" s="1713"/>
      <c r="AF142" s="1713"/>
      <c r="AG142" s="1716"/>
      <c r="AH142" s="1713"/>
      <c r="AI142" s="1713"/>
      <c r="AJ142" s="1713"/>
      <c r="AK142" s="1713"/>
      <c r="AL142" s="1716"/>
      <c r="AM142" s="560"/>
      <c r="AN142" s="991"/>
      <c r="AO142" s="992"/>
      <c r="AP142" s="2285" t="str">
        <f t="shared" si="153"/>
        <v>Qty</v>
      </c>
      <c r="AQ142" s="2286" t="str">
        <f t="shared" si="153"/>
        <v>[Service]</v>
      </c>
      <c r="AR142" s="2287" t="str">
        <f t="shared" si="154"/>
        <v>[Price]</v>
      </c>
      <c r="AS142" s="2288" t="str">
        <f t="shared" si="163"/>
        <v>-</v>
      </c>
      <c r="AT142" s="1720" t="str">
        <f t="shared" si="163"/>
        <v>-</v>
      </c>
      <c r="AU142" s="1720" t="str">
        <f t="shared" si="163"/>
        <v>-</v>
      </c>
      <c r="AV142" s="2289" t="str">
        <f t="shared" si="163"/>
        <v>-</v>
      </c>
      <c r="AW142" s="1720" t="str">
        <f t="shared" si="163"/>
        <v>-</v>
      </c>
      <c r="AX142" s="2290" t="str">
        <f t="shared" si="163"/>
        <v>-</v>
      </c>
      <c r="AY142" s="1720" t="str">
        <f t="shared" si="163"/>
        <v>-</v>
      </c>
      <c r="AZ142" s="1720" t="str">
        <f t="shared" si="163"/>
        <v>-</v>
      </c>
      <c r="BA142" s="1720" t="str">
        <f t="shared" si="163"/>
        <v>-</v>
      </c>
      <c r="BB142" s="1721" t="str">
        <f t="shared" si="163"/>
        <v>-</v>
      </c>
      <c r="BC142" s="1720" t="str">
        <f t="shared" si="163"/>
        <v>-</v>
      </c>
      <c r="BD142" s="1720" t="str">
        <f t="shared" si="163"/>
        <v>-</v>
      </c>
      <c r="BE142" s="1720" t="str">
        <f t="shared" si="163"/>
        <v>-</v>
      </c>
      <c r="BF142" s="1720" t="str">
        <f t="shared" si="163"/>
        <v>-</v>
      </c>
      <c r="BG142" s="1721" t="str">
        <f t="shared" si="163"/>
        <v>-</v>
      </c>
      <c r="BH142" s="1048"/>
      <c r="BI142" s="2285" t="str">
        <f t="shared" si="65"/>
        <v>Qty</v>
      </c>
      <c r="BJ142" s="2286" t="str">
        <f t="shared" si="65"/>
        <v>[Service]</v>
      </c>
      <c r="BK142" s="2287" t="str">
        <f t="shared" si="65"/>
        <v>[Price]</v>
      </c>
      <c r="BL142" s="2288" t="str">
        <f t="shared" ref="BL142:BZ142" si="172">IF(OR(X142="",X142=0),"-",IFERROR((X142/W142-1)*(W143/W$13),"-"))</f>
        <v>-</v>
      </c>
      <c r="BM142" s="1720" t="str">
        <f t="shared" si="172"/>
        <v>-</v>
      </c>
      <c r="BN142" s="1720" t="str">
        <f t="shared" si="172"/>
        <v>-</v>
      </c>
      <c r="BO142" s="2289" t="str">
        <f t="shared" si="172"/>
        <v>-</v>
      </c>
      <c r="BP142" s="1720" t="str">
        <f t="shared" si="172"/>
        <v>-</v>
      </c>
      <c r="BQ142" s="2290" t="str">
        <f t="shared" si="172"/>
        <v>-</v>
      </c>
      <c r="BR142" s="1720" t="str">
        <f t="shared" si="172"/>
        <v>-</v>
      </c>
      <c r="BS142" s="1720" t="str">
        <f t="shared" si="172"/>
        <v>-</v>
      </c>
      <c r="BT142" s="1720" t="str">
        <f t="shared" si="172"/>
        <v>-</v>
      </c>
      <c r="BU142" s="1721" t="str">
        <f t="shared" si="172"/>
        <v>-</v>
      </c>
      <c r="BV142" s="1720" t="str">
        <f t="shared" si="172"/>
        <v>-</v>
      </c>
      <c r="BW142" s="1720" t="str">
        <f t="shared" si="172"/>
        <v>-</v>
      </c>
      <c r="BX142" s="1720" t="str">
        <f t="shared" si="172"/>
        <v>-</v>
      </c>
      <c r="BY142" s="1720" t="str">
        <f t="shared" si="172"/>
        <v>-</v>
      </c>
      <c r="BZ142" s="1721" t="str">
        <f t="shared" si="172"/>
        <v>-</v>
      </c>
      <c r="CA142" s="1048"/>
    </row>
    <row r="143" spans="3:79" ht="12.5" thickBot="1" x14ac:dyDescent="0.35">
      <c r="C143" s="126"/>
      <c r="D143" s="126"/>
      <c r="E143" s="559" t="s">
        <v>47</v>
      </c>
      <c r="F143" s="2162" t="str">
        <f t="shared" ref="F143:I143" si="173">+F141</f>
        <v>[Service]</v>
      </c>
      <c r="G143" s="2165">
        <f t="shared" si="173"/>
        <v>0</v>
      </c>
      <c r="H143" s="2165">
        <f t="shared" si="173"/>
        <v>0</v>
      </c>
      <c r="I143" s="2166" t="str">
        <f t="shared" si="173"/>
        <v>[Price]</v>
      </c>
      <c r="J143" s="2106" t="s">
        <v>347</v>
      </c>
      <c r="K143" s="1977"/>
      <c r="L143" s="1206"/>
      <c r="M143" s="1206"/>
      <c r="N143" s="1978"/>
      <c r="O143" s="1206"/>
      <c r="P143" s="1206"/>
      <c r="Q143" s="1206"/>
      <c r="R143" s="1206"/>
      <c r="S143" s="1978"/>
      <c r="T143" s="1206"/>
      <c r="U143" s="1206"/>
      <c r="V143" s="1206"/>
      <c r="W143" s="1731">
        <f t="shared" ref="W143:AG143" si="174">W141*W142/10^6</f>
        <v>0</v>
      </c>
      <c r="X143" s="1730">
        <f t="shared" si="174"/>
        <v>0</v>
      </c>
      <c r="Y143" s="1731">
        <f t="shared" si="174"/>
        <v>0</v>
      </c>
      <c r="Z143" s="1731">
        <f t="shared" si="174"/>
        <v>0</v>
      </c>
      <c r="AA143" s="1731">
        <f t="shared" si="174"/>
        <v>0</v>
      </c>
      <c r="AB143" s="1733">
        <f t="shared" si="174"/>
        <v>0</v>
      </c>
      <c r="AC143" s="1731">
        <f t="shared" si="174"/>
        <v>0</v>
      </c>
      <c r="AD143" s="1731">
        <f t="shared" si="174"/>
        <v>0</v>
      </c>
      <c r="AE143" s="1731">
        <f t="shared" si="174"/>
        <v>0</v>
      </c>
      <c r="AF143" s="1731">
        <f t="shared" si="174"/>
        <v>0</v>
      </c>
      <c r="AG143" s="1733">
        <f t="shared" si="174"/>
        <v>0</v>
      </c>
      <c r="AH143" s="1731">
        <f>AH141*AH142/10^6</f>
        <v>0</v>
      </c>
      <c r="AI143" s="1731">
        <f>AI141*AI142/10^6</f>
        <v>0</v>
      </c>
      <c r="AJ143" s="1731">
        <f>AJ141*AJ142/10^6</f>
        <v>0</v>
      </c>
      <c r="AK143" s="1731">
        <f>AK141*AK142/10^6</f>
        <v>0</v>
      </c>
      <c r="AL143" s="1733">
        <f>AL141*AL142/10^6</f>
        <v>0</v>
      </c>
      <c r="AM143" s="560"/>
      <c r="AN143" s="991"/>
      <c r="AO143" s="992"/>
      <c r="AP143" s="2304" t="str">
        <f t="shared" si="153"/>
        <v>Rev</v>
      </c>
      <c r="AQ143" s="2305" t="str">
        <f t="shared" si="153"/>
        <v>[Service]</v>
      </c>
      <c r="AR143" s="2306" t="str">
        <f t="shared" si="154"/>
        <v>[Price]</v>
      </c>
      <c r="AS143" s="2307" t="str">
        <f t="shared" si="163"/>
        <v>-</v>
      </c>
      <c r="AT143" s="1055" t="str">
        <f t="shared" si="163"/>
        <v>-</v>
      </c>
      <c r="AU143" s="1055" t="str">
        <f t="shared" si="163"/>
        <v>-</v>
      </c>
      <c r="AV143" s="2308" t="str">
        <f t="shared" si="163"/>
        <v>-</v>
      </c>
      <c r="AW143" s="1055" t="str">
        <f t="shared" si="163"/>
        <v>-</v>
      </c>
      <c r="AX143" s="2309" t="str">
        <f t="shared" si="163"/>
        <v>-</v>
      </c>
      <c r="AY143" s="1055" t="str">
        <f t="shared" si="163"/>
        <v>-</v>
      </c>
      <c r="AZ143" s="1055" t="str">
        <f t="shared" si="163"/>
        <v>-</v>
      </c>
      <c r="BA143" s="1055" t="str">
        <f t="shared" si="163"/>
        <v>-</v>
      </c>
      <c r="BB143" s="1056" t="str">
        <f t="shared" si="163"/>
        <v>-</v>
      </c>
      <c r="BC143" s="1055" t="str">
        <f t="shared" si="163"/>
        <v>-</v>
      </c>
      <c r="BD143" s="1055" t="str">
        <f t="shared" si="163"/>
        <v>-</v>
      </c>
      <c r="BE143" s="1055" t="str">
        <f t="shared" si="163"/>
        <v>-</v>
      </c>
      <c r="BF143" s="1055" t="str">
        <f t="shared" si="163"/>
        <v>-</v>
      </c>
      <c r="BG143" s="1056" t="str">
        <f t="shared" si="163"/>
        <v>-</v>
      </c>
      <c r="BH143" s="1048"/>
      <c r="BI143" s="2304" t="str">
        <f t="shared" si="65"/>
        <v>Rev</v>
      </c>
      <c r="BJ143" s="2305" t="str">
        <f t="shared" si="65"/>
        <v>[Service]</v>
      </c>
      <c r="BK143" s="2306" t="str">
        <f t="shared" si="65"/>
        <v>[Price]</v>
      </c>
      <c r="BL143" s="2307" t="str">
        <f t="shared" ref="BL143:BZ143" si="175">IF(OR(X143="",X143=0),"-",IFERROR((X143/W143-1)*(W143/W$13),"-"))</f>
        <v>-</v>
      </c>
      <c r="BM143" s="1055" t="str">
        <f t="shared" si="175"/>
        <v>-</v>
      </c>
      <c r="BN143" s="1055" t="str">
        <f t="shared" si="175"/>
        <v>-</v>
      </c>
      <c r="BO143" s="2308" t="str">
        <f t="shared" si="175"/>
        <v>-</v>
      </c>
      <c r="BP143" s="1055" t="str">
        <f t="shared" si="175"/>
        <v>-</v>
      </c>
      <c r="BQ143" s="2309" t="str">
        <f t="shared" si="175"/>
        <v>-</v>
      </c>
      <c r="BR143" s="1055" t="str">
        <f t="shared" si="175"/>
        <v>-</v>
      </c>
      <c r="BS143" s="1055" t="str">
        <f t="shared" si="175"/>
        <v>-</v>
      </c>
      <c r="BT143" s="1055" t="str">
        <f t="shared" si="175"/>
        <v>-</v>
      </c>
      <c r="BU143" s="1056" t="str">
        <f t="shared" si="175"/>
        <v>-</v>
      </c>
      <c r="BV143" s="1055" t="str">
        <f t="shared" si="175"/>
        <v>-</v>
      </c>
      <c r="BW143" s="1055" t="str">
        <f t="shared" si="175"/>
        <v>-</v>
      </c>
      <c r="BX143" s="1055" t="str">
        <f t="shared" si="175"/>
        <v>-</v>
      </c>
      <c r="BY143" s="1055" t="str">
        <f t="shared" si="175"/>
        <v>-</v>
      </c>
      <c r="BZ143" s="1056" t="str">
        <f t="shared" si="175"/>
        <v>-</v>
      </c>
      <c r="CA143" s="1048"/>
    </row>
    <row r="144" spans="3:79" x14ac:dyDescent="0.3">
      <c r="C144" s="126"/>
      <c r="D144" s="126">
        <f>D141+1</f>
        <v>26</v>
      </c>
      <c r="E144" s="553" t="s">
        <v>45</v>
      </c>
      <c r="F144" s="2105" t="s">
        <v>28</v>
      </c>
      <c r="G144" s="2105"/>
      <c r="H144" s="2105"/>
      <c r="I144" s="573" t="s">
        <v>319</v>
      </c>
      <c r="J144" s="573" t="s">
        <v>348</v>
      </c>
      <c r="K144" s="1969"/>
      <c r="L144" s="1970"/>
      <c r="M144" s="1970"/>
      <c r="N144" s="1971"/>
      <c r="O144" s="1970"/>
      <c r="P144" s="1970"/>
      <c r="Q144" s="1970"/>
      <c r="R144" s="1972"/>
      <c r="S144" s="1971"/>
      <c r="T144" s="1970"/>
      <c r="U144" s="1970"/>
      <c r="V144" s="1970"/>
      <c r="W144" s="1709"/>
      <c r="X144" s="1710"/>
      <c r="Y144" s="1709"/>
      <c r="Z144" s="1709"/>
      <c r="AA144" s="1709"/>
      <c r="AB144" s="1711"/>
      <c r="AC144" s="1709"/>
      <c r="AD144" s="1709"/>
      <c r="AE144" s="1709"/>
      <c r="AF144" s="1709"/>
      <c r="AG144" s="1712"/>
      <c r="AH144" s="1709"/>
      <c r="AI144" s="1709"/>
      <c r="AJ144" s="1709"/>
      <c r="AK144" s="1709"/>
      <c r="AL144" s="1712"/>
      <c r="AM144" s="560"/>
      <c r="AN144" s="1052"/>
      <c r="AO144" s="992"/>
      <c r="AP144" s="2297" t="str">
        <f t="shared" si="153"/>
        <v>Price</v>
      </c>
      <c r="AQ144" s="2298" t="str">
        <f t="shared" si="153"/>
        <v>[Service]</v>
      </c>
      <c r="AR144" s="1719" t="str">
        <f t="shared" si="154"/>
        <v>[Price]</v>
      </c>
      <c r="AS144" s="2299" t="str">
        <f t="shared" si="163"/>
        <v>-</v>
      </c>
      <c r="AT144" s="1728" t="str">
        <f t="shared" si="163"/>
        <v>-</v>
      </c>
      <c r="AU144" s="1728" t="str">
        <f t="shared" si="163"/>
        <v>-</v>
      </c>
      <c r="AV144" s="2300" t="str">
        <f t="shared" si="163"/>
        <v>-</v>
      </c>
      <c r="AW144" s="1728" t="str">
        <f t="shared" si="163"/>
        <v>-</v>
      </c>
      <c r="AX144" s="2301" t="str">
        <f t="shared" si="163"/>
        <v>-</v>
      </c>
      <c r="AY144" s="1728" t="str">
        <f t="shared" si="163"/>
        <v>-</v>
      </c>
      <c r="AZ144" s="1728" t="str">
        <f t="shared" si="163"/>
        <v>-</v>
      </c>
      <c r="BA144" s="1728" t="str">
        <f t="shared" si="163"/>
        <v>-</v>
      </c>
      <c r="BB144" s="1729" t="str">
        <f t="shared" si="163"/>
        <v>-</v>
      </c>
      <c r="BC144" s="1728" t="str">
        <f t="shared" si="163"/>
        <v>-</v>
      </c>
      <c r="BD144" s="1728" t="str">
        <f t="shared" si="163"/>
        <v>-</v>
      </c>
      <c r="BE144" s="1728" t="str">
        <f t="shared" si="163"/>
        <v>-</v>
      </c>
      <c r="BF144" s="1728" t="str">
        <f t="shared" si="163"/>
        <v>-</v>
      </c>
      <c r="BG144" s="1729" t="str">
        <f t="shared" si="163"/>
        <v>-</v>
      </c>
      <c r="BH144" s="1048"/>
      <c r="BI144" s="2297" t="str">
        <f t="shared" si="65"/>
        <v>Price</v>
      </c>
      <c r="BJ144" s="2298" t="str">
        <f t="shared" si="65"/>
        <v>[Service]</v>
      </c>
      <c r="BK144" s="1719" t="str">
        <f t="shared" si="65"/>
        <v>[Price]</v>
      </c>
      <c r="BL144" s="2299" t="str">
        <f t="shared" ref="BL144:BZ144" si="176">IF(OR(X144="",X144=0),"-",IFERROR((X144/W144-1)*(W146/W$13),"-"))</f>
        <v>-</v>
      </c>
      <c r="BM144" s="1053" t="str">
        <f t="shared" si="176"/>
        <v>-</v>
      </c>
      <c r="BN144" s="1053" t="str">
        <f t="shared" si="176"/>
        <v>-</v>
      </c>
      <c r="BO144" s="2302" t="str">
        <f t="shared" si="176"/>
        <v>-</v>
      </c>
      <c r="BP144" s="1053" t="str">
        <f t="shared" si="176"/>
        <v>-</v>
      </c>
      <c r="BQ144" s="2303" t="str">
        <f t="shared" si="176"/>
        <v>-</v>
      </c>
      <c r="BR144" s="1053" t="str">
        <f t="shared" si="176"/>
        <v>-</v>
      </c>
      <c r="BS144" s="1053" t="str">
        <f t="shared" si="176"/>
        <v>-</v>
      </c>
      <c r="BT144" s="1053" t="str">
        <f t="shared" si="176"/>
        <v>-</v>
      </c>
      <c r="BU144" s="1054" t="str">
        <f t="shared" si="176"/>
        <v>-</v>
      </c>
      <c r="BV144" s="1053" t="str">
        <f t="shared" si="176"/>
        <v>-</v>
      </c>
      <c r="BW144" s="1053" t="str">
        <f t="shared" si="176"/>
        <v>-</v>
      </c>
      <c r="BX144" s="1053" t="str">
        <f t="shared" si="176"/>
        <v>-</v>
      </c>
      <c r="BY144" s="1053" t="str">
        <f t="shared" si="176"/>
        <v>-</v>
      </c>
      <c r="BZ144" s="1054" t="str">
        <f t="shared" si="176"/>
        <v>-</v>
      </c>
      <c r="CA144" s="1048"/>
    </row>
    <row r="145" spans="3:79" x14ac:dyDescent="0.3">
      <c r="C145" s="126"/>
      <c r="D145" s="126"/>
      <c r="E145" s="558" t="s">
        <v>46</v>
      </c>
      <c r="F145" s="2161" t="str">
        <f t="shared" si="171"/>
        <v>[Service]</v>
      </c>
      <c r="G145" s="2163">
        <f t="shared" si="171"/>
        <v>0</v>
      </c>
      <c r="H145" s="2163">
        <f t="shared" si="171"/>
        <v>0</v>
      </c>
      <c r="I145" s="2164" t="str">
        <f t="shared" si="171"/>
        <v>[Price]</v>
      </c>
      <c r="J145" s="574" t="s">
        <v>323</v>
      </c>
      <c r="K145" s="1973"/>
      <c r="L145" s="1974"/>
      <c r="M145" s="1974"/>
      <c r="N145" s="1975"/>
      <c r="O145" s="1974"/>
      <c r="P145" s="1974"/>
      <c r="Q145" s="1974"/>
      <c r="R145" s="1976"/>
      <c r="S145" s="1975"/>
      <c r="T145" s="1974"/>
      <c r="U145" s="1974"/>
      <c r="V145" s="1974"/>
      <c r="W145" s="1713"/>
      <c r="X145" s="1714"/>
      <c r="Y145" s="1713"/>
      <c r="Z145" s="1713"/>
      <c r="AA145" s="1713"/>
      <c r="AB145" s="1715"/>
      <c r="AC145" s="1713"/>
      <c r="AD145" s="1713"/>
      <c r="AE145" s="1713"/>
      <c r="AF145" s="1713"/>
      <c r="AG145" s="1716"/>
      <c r="AH145" s="1713"/>
      <c r="AI145" s="1713"/>
      <c r="AJ145" s="1713"/>
      <c r="AK145" s="1713"/>
      <c r="AL145" s="1716"/>
      <c r="AM145" s="560"/>
      <c r="AN145" s="991"/>
      <c r="AO145" s="992"/>
      <c r="AP145" s="2285" t="str">
        <f t="shared" si="153"/>
        <v>Qty</v>
      </c>
      <c r="AQ145" s="2286" t="str">
        <f t="shared" si="153"/>
        <v>[Service]</v>
      </c>
      <c r="AR145" s="2287" t="str">
        <f t="shared" si="154"/>
        <v>[Price]</v>
      </c>
      <c r="AS145" s="2288" t="str">
        <f t="shared" si="163"/>
        <v>-</v>
      </c>
      <c r="AT145" s="1720" t="str">
        <f t="shared" si="163"/>
        <v>-</v>
      </c>
      <c r="AU145" s="1720" t="str">
        <f t="shared" si="163"/>
        <v>-</v>
      </c>
      <c r="AV145" s="2289" t="str">
        <f t="shared" si="163"/>
        <v>-</v>
      </c>
      <c r="AW145" s="1720" t="str">
        <f t="shared" si="163"/>
        <v>-</v>
      </c>
      <c r="AX145" s="2290" t="str">
        <f t="shared" si="163"/>
        <v>-</v>
      </c>
      <c r="AY145" s="1720" t="str">
        <f t="shared" si="163"/>
        <v>-</v>
      </c>
      <c r="AZ145" s="1720" t="str">
        <f t="shared" si="163"/>
        <v>-</v>
      </c>
      <c r="BA145" s="1720" t="str">
        <f t="shared" si="163"/>
        <v>-</v>
      </c>
      <c r="BB145" s="1721" t="str">
        <f t="shared" si="163"/>
        <v>-</v>
      </c>
      <c r="BC145" s="1720" t="str">
        <f t="shared" si="163"/>
        <v>-</v>
      </c>
      <c r="BD145" s="1720" t="str">
        <f t="shared" si="163"/>
        <v>-</v>
      </c>
      <c r="BE145" s="1720" t="str">
        <f t="shared" si="163"/>
        <v>-</v>
      </c>
      <c r="BF145" s="1720" t="str">
        <f t="shared" si="163"/>
        <v>-</v>
      </c>
      <c r="BG145" s="1721" t="str">
        <f t="shared" si="163"/>
        <v>-</v>
      </c>
      <c r="BH145" s="1048"/>
      <c r="BI145" s="2285" t="str">
        <f t="shared" si="65"/>
        <v>Qty</v>
      </c>
      <c r="BJ145" s="2286" t="str">
        <f t="shared" si="65"/>
        <v>[Service]</v>
      </c>
      <c r="BK145" s="2287" t="str">
        <f t="shared" si="65"/>
        <v>[Price]</v>
      </c>
      <c r="BL145" s="2288" t="str">
        <f t="shared" ref="BL145:BZ145" si="177">IF(OR(X145="",X145=0),"-",IFERROR((X145/W145-1)*(W146/W$13),"-"))</f>
        <v>-</v>
      </c>
      <c r="BM145" s="1720" t="str">
        <f t="shared" si="177"/>
        <v>-</v>
      </c>
      <c r="BN145" s="1720" t="str">
        <f t="shared" si="177"/>
        <v>-</v>
      </c>
      <c r="BO145" s="2289" t="str">
        <f t="shared" si="177"/>
        <v>-</v>
      </c>
      <c r="BP145" s="1720" t="str">
        <f t="shared" si="177"/>
        <v>-</v>
      </c>
      <c r="BQ145" s="2290" t="str">
        <f t="shared" si="177"/>
        <v>-</v>
      </c>
      <c r="BR145" s="1720" t="str">
        <f t="shared" si="177"/>
        <v>-</v>
      </c>
      <c r="BS145" s="1720" t="str">
        <f t="shared" si="177"/>
        <v>-</v>
      </c>
      <c r="BT145" s="1720" t="str">
        <f t="shared" si="177"/>
        <v>-</v>
      </c>
      <c r="BU145" s="1721" t="str">
        <f t="shared" si="177"/>
        <v>-</v>
      </c>
      <c r="BV145" s="1720" t="str">
        <f t="shared" si="177"/>
        <v>-</v>
      </c>
      <c r="BW145" s="1720" t="str">
        <f t="shared" si="177"/>
        <v>-</v>
      </c>
      <c r="BX145" s="1720" t="str">
        <f t="shared" si="177"/>
        <v>-</v>
      </c>
      <c r="BY145" s="1720" t="str">
        <f t="shared" si="177"/>
        <v>-</v>
      </c>
      <c r="BZ145" s="1721" t="str">
        <f t="shared" si="177"/>
        <v>-</v>
      </c>
      <c r="CA145" s="1048"/>
    </row>
    <row r="146" spans="3:79" ht="12.5" thickBot="1" x14ac:dyDescent="0.35">
      <c r="C146" s="126"/>
      <c r="D146" s="126"/>
      <c r="E146" s="559" t="s">
        <v>47</v>
      </c>
      <c r="F146" s="2162" t="str">
        <f t="shared" ref="F146:I146" si="178">+F144</f>
        <v>[Service]</v>
      </c>
      <c r="G146" s="2165">
        <f t="shared" si="178"/>
        <v>0</v>
      </c>
      <c r="H146" s="2165">
        <f t="shared" si="178"/>
        <v>0</v>
      </c>
      <c r="I146" s="2166" t="str">
        <f t="shared" si="178"/>
        <v>[Price]</v>
      </c>
      <c r="J146" s="2106" t="s">
        <v>347</v>
      </c>
      <c r="K146" s="1977"/>
      <c r="L146" s="1206"/>
      <c r="M146" s="1206"/>
      <c r="N146" s="1978"/>
      <c r="O146" s="1206"/>
      <c r="P146" s="1206"/>
      <c r="Q146" s="1206"/>
      <c r="R146" s="1206"/>
      <c r="S146" s="1978"/>
      <c r="T146" s="1206"/>
      <c r="U146" s="1206"/>
      <c r="V146" s="1206"/>
      <c r="W146" s="1731">
        <f t="shared" ref="W146:AG146" si="179">W144*W145/10^6</f>
        <v>0</v>
      </c>
      <c r="X146" s="1730">
        <f t="shared" si="179"/>
        <v>0</v>
      </c>
      <c r="Y146" s="1731">
        <f t="shared" si="179"/>
        <v>0</v>
      </c>
      <c r="Z146" s="1731">
        <f t="shared" si="179"/>
        <v>0</v>
      </c>
      <c r="AA146" s="1731">
        <f t="shared" si="179"/>
        <v>0</v>
      </c>
      <c r="AB146" s="1733">
        <f t="shared" si="179"/>
        <v>0</v>
      </c>
      <c r="AC146" s="1731">
        <f t="shared" si="179"/>
        <v>0</v>
      </c>
      <c r="AD146" s="1731">
        <f t="shared" si="179"/>
        <v>0</v>
      </c>
      <c r="AE146" s="1731">
        <f t="shared" si="179"/>
        <v>0</v>
      </c>
      <c r="AF146" s="1731">
        <f t="shared" si="179"/>
        <v>0</v>
      </c>
      <c r="AG146" s="1733">
        <f t="shared" si="179"/>
        <v>0</v>
      </c>
      <c r="AH146" s="1731">
        <f>AH144*AH145/10^6</f>
        <v>0</v>
      </c>
      <c r="AI146" s="1731">
        <f>AI144*AI145/10^6</f>
        <v>0</v>
      </c>
      <c r="AJ146" s="1731">
        <f>AJ144*AJ145/10^6</f>
        <v>0</v>
      </c>
      <c r="AK146" s="1731">
        <f>AK144*AK145/10^6</f>
        <v>0</v>
      </c>
      <c r="AL146" s="1733">
        <f>AL144*AL145/10^6</f>
        <v>0</v>
      </c>
      <c r="AM146" s="560"/>
      <c r="AN146" s="991"/>
      <c r="AO146" s="992"/>
      <c r="AP146" s="2304" t="str">
        <f t="shared" si="153"/>
        <v>Rev</v>
      </c>
      <c r="AQ146" s="2305" t="str">
        <f t="shared" si="153"/>
        <v>[Service]</v>
      </c>
      <c r="AR146" s="2306" t="str">
        <f t="shared" si="154"/>
        <v>[Price]</v>
      </c>
      <c r="AS146" s="2307" t="str">
        <f t="shared" si="163"/>
        <v>-</v>
      </c>
      <c r="AT146" s="1055" t="str">
        <f t="shared" si="163"/>
        <v>-</v>
      </c>
      <c r="AU146" s="1055" t="str">
        <f t="shared" si="163"/>
        <v>-</v>
      </c>
      <c r="AV146" s="2308" t="str">
        <f t="shared" si="163"/>
        <v>-</v>
      </c>
      <c r="AW146" s="1055" t="str">
        <f t="shared" si="163"/>
        <v>-</v>
      </c>
      <c r="AX146" s="2309" t="str">
        <f t="shared" si="163"/>
        <v>-</v>
      </c>
      <c r="AY146" s="1055" t="str">
        <f t="shared" si="163"/>
        <v>-</v>
      </c>
      <c r="AZ146" s="1055" t="str">
        <f t="shared" si="163"/>
        <v>-</v>
      </c>
      <c r="BA146" s="1055" t="str">
        <f t="shared" si="163"/>
        <v>-</v>
      </c>
      <c r="BB146" s="1056" t="str">
        <f t="shared" si="163"/>
        <v>-</v>
      </c>
      <c r="BC146" s="1055" t="str">
        <f t="shared" si="163"/>
        <v>-</v>
      </c>
      <c r="BD146" s="1055" t="str">
        <f t="shared" si="163"/>
        <v>-</v>
      </c>
      <c r="BE146" s="1055" t="str">
        <f t="shared" si="163"/>
        <v>-</v>
      </c>
      <c r="BF146" s="1055" t="str">
        <f t="shared" si="163"/>
        <v>-</v>
      </c>
      <c r="BG146" s="1056" t="str">
        <f t="shared" si="163"/>
        <v>-</v>
      </c>
      <c r="BH146" s="1048"/>
      <c r="BI146" s="2304" t="str">
        <f t="shared" si="65"/>
        <v>Rev</v>
      </c>
      <c r="BJ146" s="2305" t="str">
        <f t="shared" si="65"/>
        <v>[Service]</v>
      </c>
      <c r="BK146" s="2306" t="str">
        <f t="shared" si="65"/>
        <v>[Price]</v>
      </c>
      <c r="BL146" s="2307" t="str">
        <f t="shared" ref="BL146:BZ146" si="180">IF(OR(X146="",X146=0),"-",IFERROR((X146/W146-1)*(W146/W$13),"-"))</f>
        <v>-</v>
      </c>
      <c r="BM146" s="1055" t="str">
        <f t="shared" si="180"/>
        <v>-</v>
      </c>
      <c r="BN146" s="1055" t="str">
        <f t="shared" si="180"/>
        <v>-</v>
      </c>
      <c r="BO146" s="2308" t="str">
        <f t="shared" si="180"/>
        <v>-</v>
      </c>
      <c r="BP146" s="1055" t="str">
        <f t="shared" si="180"/>
        <v>-</v>
      </c>
      <c r="BQ146" s="2309" t="str">
        <f t="shared" si="180"/>
        <v>-</v>
      </c>
      <c r="BR146" s="1055" t="str">
        <f t="shared" si="180"/>
        <v>-</v>
      </c>
      <c r="BS146" s="1055" t="str">
        <f t="shared" si="180"/>
        <v>-</v>
      </c>
      <c r="BT146" s="1055" t="str">
        <f t="shared" si="180"/>
        <v>-</v>
      </c>
      <c r="BU146" s="1056" t="str">
        <f t="shared" si="180"/>
        <v>-</v>
      </c>
      <c r="BV146" s="1055" t="str">
        <f t="shared" si="180"/>
        <v>-</v>
      </c>
      <c r="BW146" s="1055" t="str">
        <f t="shared" si="180"/>
        <v>-</v>
      </c>
      <c r="BX146" s="1055" t="str">
        <f t="shared" si="180"/>
        <v>-</v>
      </c>
      <c r="BY146" s="1055" t="str">
        <f t="shared" si="180"/>
        <v>-</v>
      </c>
      <c r="BZ146" s="1056" t="str">
        <f t="shared" si="180"/>
        <v>-</v>
      </c>
      <c r="CA146" s="1048"/>
    </row>
    <row r="147" spans="3:79" x14ac:dyDescent="0.3">
      <c r="C147" s="126"/>
      <c r="D147" s="126">
        <f>D144+1</f>
        <v>27</v>
      </c>
      <c r="E147" s="553" t="s">
        <v>45</v>
      </c>
      <c r="F147" s="2105" t="s">
        <v>28</v>
      </c>
      <c r="G147" s="2105"/>
      <c r="H147" s="2105"/>
      <c r="I147" s="573" t="s">
        <v>319</v>
      </c>
      <c r="J147" s="573" t="s">
        <v>348</v>
      </c>
      <c r="K147" s="1969"/>
      <c r="L147" s="1970"/>
      <c r="M147" s="1970"/>
      <c r="N147" s="1971"/>
      <c r="O147" s="1970"/>
      <c r="P147" s="1970"/>
      <c r="Q147" s="1970"/>
      <c r="R147" s="1972"/>
      <c r="S147" s="1971"/>
      <c r="T147" s="1970"/>
      <c r="U147" s="1970"/>
      <c r="V147" s="1970"/>
      <c r="W147" s="1709"/>
      <c r="X147" s="1710"/>
      <c r="Y147" s="1709"/>
      <c r="Z147" s="1709"/>
      <c r="AA147" s="1709"/>
      <c r="AB147" s="1711"/>
      <c r="AC147" s="1709"/>
      <c r="AD147" s="1709"/>
      <c r="AE147" s="1709"/>
      <c r="AF147" s="1709"/>
      <c r="AG147" s="1712"/>
      <c r="AH147" s="1709"/>
      <c r="AI147" s="1709"/>
      <c r="AJ147" s="1709"/>
      <c r="AK147" s="1709"/>
      <c r="AL147" s="1712"/>
      <c r="AM147" s="560"/>
      <c r="AN147" s="1052"/>
      <c r="AO147" s="992"/>
      <c r="AP147" s="2297" t="str">
        <f t="shared" si="153"/>
        <v>Price</v>
      </c>
      <c r="AQ147" s="2298" t="str">
        <f t="shared" si="153"/>
        <v>[Service]</v>
      </c>
      <c r="AR147" s="1719" t="str">
        <f t="shared" si="154"/>
        <v>[Price]</v>
      </c>
      <c r="AS147" s="2299" t="str">
        <f t="shared" si="163"/>
        <v>-</v>
      </c>
      <c r="AT147" s="1728" t="str">
        <f t="shared" si="163"/>
        <v>-</v>
      </c>
      <c r="AU147" s="1728" t="str">
        <f t="shared" si="163"/>
        <v>-</v>
      </c>
      <c r="AV147" s="2300" t="str">
        <f t="shared" si="163"/>
        <v>-</v>
      </c>
      <c r="AW147" s="1728" t="str">
        <f t="shared" si="163"/>
        <v>-</v>
      </c>
      <c r="AX147" s="2301" t="str">
        <f t="shared" si="163"/>
        <v>-</v>
      </c>
      <c r="AY147" s="1728" t="str">
        <f t="shared" si="163"/>
        <v>-</v>
      </c>
      <c r="AZ147" s="1728" t="str">
        <f t="shared" si="163"/>
        <v>-</v>
      </c>
      <c r="BA147" s="1728" t="str">
        <f t="shared" si="163"/>
        <v>-</v>
      </c>
      <c r="BB147" s="1729" t="str">
        <f t="shared" si="163"/>
        <v>-</v>
      </c>
      <c r="BC147" s="1728" t="str">
        <f t="shared" si="163"/>
        <v>-</v>
      </c>
      <c r="BD147" s="1728" t="str">
        <f t="shared" si="163"/>
        <v>-</v>
      </c>
      <c r="BE147" s="1728" t="str">
        <f t="shared" si="163"/>
        <v>-</v>
      </c>
      <c r="BF147" s="1728" t="str">
        <f t="shared" si="163"/>
        <v>-</v>
      </c>
      <c r="BG147" s="1729" t="str">
        <f t="shared" si="163"/>
        <v>-</v>
      </c>
      <c r="BH147" s="1048"/>
      <c r="BI147" s="2297" t="str">
        <f t="shared" si="65"/>
        <v>Price</v>
      </c>
      <c r="BJ147" s="2298" t="str">
        <f t="shared" si="65"/>
        <v>[Service]</v>
      </c>
      <c r="BK147" s="1719" t="str">
        <f t="shared" si="65"/>
        <v>[Price]</v>
      </c>
      <c r="BL147" s="2299" t="str">
        <f t="shared" ref="BL147:BZ147" si="181">IF(OR(X147="",X147=0),"-",IFERROR((X147/W147-1)*(W149/W$13),"-"))</f>
        <v>-</v>
      </c>
      <c r="BM147" s="1053" t="str">
        <f t="shared" si="181"/>
        <v>-</v>
      </c>
      <c r="BN147" s="1053" t="str">
        <f t="shared" si="181"/>
        <v>-</v>
      </c>
      <c r="BO147" s="2302" t="str">
        <f t="shared" si="181"/>
        <v>-</v>
      </c>
      <c r="BP147" s="1053" t="str">
        <f t="shared" si="181"/>
        <v>-</v>
      </c>
      <c r="BQ147" s="2303" t="str">
        <f t="shared" si="181"/>
        <v>-</v>
      </c>
      <c r="BR147" s="1053" t="str">
        <f t="shared" si="181"/>
        <v>-</v>
      </c>
      <c r="BS147" s="1053" t="str">
        <f t="shared" si="181"/>
        <v>-</v>
      </c>
      <c r="BT147" s="1053" t="str">
        <f t="shared" si="181"/>
        <v>-</v>
      </c>
      <c r="BU147" s="1054" t="str">
        <f t="shared" si="181"/>
        <v>-</v>
      </c>
      <c r="BV147" s="1053" t="str">
        <f t="shared" si="181"/>
        <v>-</v>
      </c>
      <c r="BW147" s="1053" t="str">
        <f t="shared" si="181"/>
        <v>-</v>
      </c>
      <c r="BX147" s="1053" t="str">
        <f t="shared" si="181"/>
        <v>-</v>
      </c>
      <c r="BY147" s="1053" t="str">
        <f t="shared" si="181"/>
        <v>-</v>
      </c>
      <c r="BZ147" s="1054" t="str">
        <f t="shared" si="181"/>
        <v>-</v>
      </c>
      <c r="CA147" s="1048"/>
    </row>
    <row r="148" spans="3:79" x14ac:dyDescent="0.3">
      <c r="C148" s="126"/>
      <c r="D148" s="126"/>
      <c r="E148" s="558" t="s">
        <v>46</v>
      </c>
      <c r="F148" s="2161" t="str">
        <f t="shared" si="171"/>
        <v>[Service]</v>
      </c>
      <c r="G148" s="2163">
        <f t="shared" si="171"/>
        <v>0</v>
      </c>
      <c r="H148" s="2163">
        <f t="shared" si="171"/>
        <v>0</v>
      </c>
      <c r="I148" s="2164" t="str">
        <f t="shared" si="171"/>
        <v>[Price]</v>
      </c>
      <c r="J148" s="574" t="s">
        <v>323</v>
      </c>
      <c r="K148" s="1973"/>
      <c r="L148" s="1974"/>
      <c r="M148" s="1974"/>
      <c r="N148" s="1975"/>
      <c r="O148" s="1974"/>
      <c r="P148" s="1974"/>
      <c r="Q148" s="1974"/>
      <c r="R148" s="1976"/>
      <c r="S148" s="1975"/>
      <c r="T148" s="1974"/>
      <c r="U148" s="1974"/>
      <c r="V148" s="1974"/>
      <c r="W148" s="1713"/>
      <c r="X148" s="1714"/>
      <c r="Y148" s="1713"/>
      <c r="Z148" s="1713"/>
      <c r="AA148" s="1713"/>
      <c r="AB148" s="1715"/>
      <c r="AC148" s="1713"/>
      <c r="AD148" s="1713"/>
      <c r="AE148" s="1713"/>
      <c r="AF148" s="1713"/>
      <c r="AG148" s="1716"/>
      <c r="AH148" s="1713"/>
      <c r="AI148" s="1713"/>
      <c r="AJ148" s="1713"/>
      <c r="AK148" s="1713"/>
      <c r="AL148" s="1716"/>
      <c r="AM148" s="560"/>
      <c r="AN148" s="991"/>
      <c r="AO148" s="992"/>
      <c r="AP148" s="2285" t="str">
        <f t="shared" si="153"/>
        <v>Qty</v>
      </c>
      <c r="AQ148" s="2286" t="str">
        <f t="shared" si="153"/>
        <v>[Service]</v>
      </c>
      <c r="AR148" s="2287" t="str">
        <f t="shared" si="154"/>
        <v>[Price]</v>
      </c>
      <c r="AS148" s="2288" t="str">
        <f t="shared" si="163"/>
        <v>-</v>
      </c>
      <c r="AT148" s="1720" t="str">
        <f t="shared" si="163"/>
        <v>-</v>
      </c>
      <c r="AU148" s="1720" t="str">
        <f t="shared" si="163"/>
        <v>-</v>
      </c>
      <c r="AV148" s="2289" t="str">
        <f t="shared" si="163"/>
        <v>-</v>
      </c>
      <c r="AW148" s="1720" t="str">
        <f t="shared" si="163"/>
        <v>-</v>
      </c>
      <c r="AX148" s="2290" t="str">
        <f t="shared" si="163"/>
        <v>-</v>
      </c>
      <c r="AY148" s="1720" t="str">
        <f t="shared" si="163"/>
        <v>-</v>
      </c>
      <c r="AZ148" s="1720" t="str">
        <f t="shared" si="163"/>
        <v>-</v>
      </c>
      <c r="BA148" s="1720" t="str">
        <f t="shared" si="163"/>
        <v>-</v>
      </c>
      <c r="BB148" s="1721" t="str">
        <f t="shared" si="163"/>
        <v>-</v>
      </c>
      <c r="BC148" s="1720" t="str">
        <f t="shared" si="163"/>
        <v>-</v>
      </c>
      <c r="BD148" s="1720" t="str">
        <f t="shared" si="163"/>
        <v>-</v>
      </c>
      <c r="BE148" s="1720" t="str">
        <f t="shared" si="163"/>
        <v>-</v>
      </c>
      <c r="BF148" s="1720" t="str">
        <f t="shared" si="163"/>
        <v>-</v>
      </c>
      <c r="BG148" s="1721" t="str">
        <f t="shared" si="163"/>
        <v>-</v>
      </c>
      <c r="BH148" s="1048"/>
      <c r="BI148" s="2285" t="str">
        <f t="shared" ref="BI148:BK211" si="182">AP148</f>
        <v>Qty</v>
      </c>
      <c r="BJ148" s="2286" t="str">
        <f t="shared" si="182"/>
        <v>[Service]</v>
      </c>
      <c r="BK148" s="2287" t="str">
        <f t="shared" si="182"/>
        <v>[Price]</v>
      </c>
      <c r="BL148" s="2288" t="str">
        <f t="shared" ref="BL148:BZ148" si="183">IF(OR(X148="",X148=0),"-",IFERROR((X148/W148-1)*(W149/W$13),"-"))</f>
        <v>-</v>
      </c>
      <c r="BM148" s="1720" t="str">
        <f t="shared" si="183"/>
        <v>-</v>
      </c>
      <c r="BN148" s="1720" t="str">
        <f t="shared" si="183"/>
        <v>-</v>
      </c>
      <c r="BO148" s="2289" t="str">
        <f t="shared" si="183"/>
        <v>-</v>
      </c>
      <c r="BP148" s="1720" t="str">
        <f t="shared" si="183"/>
        <v>-</v>
      </c>
      <c r="BQ148" s="2290" t="str">
        <f t="shared" si="183"/>
        <v>-</v>
      </c>
      <c r="BR148" s="1720" t="str">
        <f t="shared" si="183"/>
        <v>-</v>
      </c>
      <c r="BS148" s="1720" t="str">
        <f t="shared" si="183"/>
        <v>-</v>
      </c>
      <c r="BT148" s="1720" t="str">
        <f t="shared" si="183"/>
        <v>-</v>
      </c>
      <c r="BU148" s="1721" t="str">
        <f t="shared" si="183"/>
        <v>-</v>
      </c>
      <c r="BV148" s="1720" t="str">
        <f t="shared" si="183"/>
        <v>-</v>
      </c>
      <c r="BW148" s="1720" t="str">
        <f t="shared" si="183"/>
        <v>-</v>
      </c>
      <c r="BX148" s="1720" t="str">
        <f t="shared" si="183"/>
        <v>-</v>
      </c>
      <c r="BY148" s="1720" t="str">
        <f t="shared" si="183"/>
        <v>-</v>
      </c>
      <c r="BZ148" s="1721" t="str">
        <f t="shared" si="183"/>
        <v>-</v>
      </c>
      <c r="CA148" s="1048"/>
    </row>
    <row r="149" spans="3:79" ht="12.5" thickBot="1" x14ac:dyDescent="0.35">
      <c r="C149" s="126"/>
      <c r="D149" s="126"/>
      <c r="E149" s="559" t="s">
        <v>47</v>
      </c>
      <c r="F149" s="2162" t="str">
        <f t="shared" ref="F149:I149" si="184">+F147</f>
        <v>[Service]</v>
      </c>
      <c r="G149" s="2165">
        <f t="shared" si="184"/>
        <v>0</v>
      </c>
      <c r="H149" s="2165">
        <f t="shared" si="184"/>
        <v>0</v>
      </c>
      <c r="I149" s="2166" t="str">
        <f t="shared" si="184"/>
        <v>[Price]</v>
      </c>
      <c r="J149" s="2106" t="s">
        <v>347</v>
      </c>
      <c r="K149" s="1977"/>
      <c r="L149" s="1206"/>
      <c r="M149" s="1206"/>
      <c r="N149" s="1978"/>
      <c r="O149" s="1206"/>
      <c r="P149" s="1206"/>
      <c r="Q149" s="1206"/>
      <c r="R149" s="1206"/>
      <c r="S149" s="1978"/>
      <c r="T149" s="1206"/>
      <c r="U149" s="1206"/>
      <c r="V149" s="1206"/>
      <c r="W149" s="1731">
        <f t="shared" ref="W149:AG149" si="185">W147*W148/10^6</f>
        <v>0</v>
      </c>
      <c r="X149" s="1730">
        <f t="shared" si="185"/>
        <v>0</v>
      </c>
      <c r="Y149" s="1731">
        <f t="shared" si="185"/>
        <v>0</v>
      </c>
      <c r="Z149" s="1731">
        <f t="shared" si="185"/>
        <v>0</v>
      </c>
      <c r="AA149" s="1731">
        <f t="shared" si="185"/>
        <v>0</v>
      </c>
      <c r="AB149" s="1733">
        <f t="shared" si="185"/>
        <v>0</v>
      </c>
      <c r="AC149" s="1731">
        <f t="shared" si="185"/>
        <v>0</v>
      </c>
      <c r="AD149" s="1731">
        <f t="shared" si="185"/>
        <v>0</v>
      </c>
      <c r="AE149" s="1731">
        <f t="shared" si="185"/>
        <v>0</v>
      </c>
      <c r="AF149" s="1731">
        <f t="shared" si="185"/>
        <v>0</v>
      </c>
      <c r="AG149" s="1733">
        <f t="shared" si="185"/>
        <v>0</v>
      </c>
      <c r="AH149" s="1731">
        <f>AH147*AH148/10^6</f>
        <v>0</v>
      </c>
      <c r="AI149" s="1731">
        <f>AI147*AI148/10^6</f>
        <v>0</v>
      </c>
      <c r="AJ149" s="1731">
        <f>AJ147*AJ148/10^6</f>
        <v>0</v>
      </c>
      <c r="AK149" s="1731">
        <f>AK147*AK148/10^6</f>
        <v>0</v>
      </c>
      <c r="AL149" s="1733">
        <f>AL147*AL148/10^6</f>
        <v>0</v>
      </c>
      <c r="AM149" s="560"/>
      <c r="AN149" s="991"/>
      <c r="AO149" s="992"/>
      <c r="AP149" s="2304" t="str">
        <f t="shared" si="153"/>
        <v>Rev</v>
      </c>
      <c r="AQ149" s="2305" t="str">
        <f t="shared" si="153"/>
        <v>[Service]</v>
      </c>
      <c r="AR149" s="2306" t="str">
        <f t="shared" si="154"/>
        <v>[Price]</v>
      </c>
      <c r="AS149" s="2307" t="str">
        <f t="shared" si="163"/>
        <v>-</v>
      </c>
      <c r="AT149" s="1055" t="str">
        <f t="shared" si="163"/>
        <v>-</v>
      </c>
      <c r="AU149" s="1055" t="str">
        <f t="shared" si="163"/>
        <v>-</v>
      </c>
      <c r="AV149" s="2308" t="str">
        <f t="shared" si="163"/>
        <v>-</v>
      </c>
      <c r="AW149" s="1055" t="str">
        <f t="shared" si="163"/>
        <v>-</v>
      </c>
      <c r="AX149" s="2309" t="str">
        <f t="shared" si="163"/>
        <v>-</v>
      </c>
      <c r="AY149" s="1055" t="str">
        <f t="shared" si="163"/>
        <v>-</v>
      </c>
      <c r="AZ149" s="1055" t="str">
        <f t="shared" si="163"/>
        <v>-</v>
      </c>
      <c r="BA149" s="1055" t="str">
        <f t="shared" si="163"/>
        <v>-</v>
      </c>
      <c r="BB149" s="1056" t="str">
        <f t="shared" si="163"/>
        <v>-</v>
      </c>
      <c r="BC149" s="1055" t="str">
        <f t="shared" si="163"/>
        <v>-</v>
      </c>
      <c r="BD149" s="1055" t="str">
        <f t="shared" si="163"/>
        <v>-</v>
      </c>
      <c r="BE149" s="1055" t="str">
        <f t="shared" si="163"/>
        <v>-</v>
      </c>
      <c r="BF149" s="1055" t="str">
        <f t="shared" si="163"/>
        <v>-</v>
      </c>
      <c r="BG149" s="1056" t="str">
        <f t="shared" si="163"/>
        <v>-</v>
      </c>
      <c r="BH149" s="1048"/>
      <c r="BI149" s="2304" t="str">
        <f t="shared" si="182"/>
        <v>Rev</v>
      </c>
      <c r="BJ149" s="2305" t="str">
        <f t="shared" si="182"/>
        <v>[Service]</v>
      </c>
      <c r="BK149" s="2306" t="str">
        <f t="shared" si="182"/>
        <v>[Price]</v>
      </c>
      <c r="BL149" s="2307" t="str">
        <f t="shared" ref="BL149:BZ149" si="186">IF(OR(X149="",X149=0),"-",IFERROR((X149/W149-1)*(W149/W$13),"-"))</f>
        <v>-</v>
      </c>
      <c r="BM149" s="1055" t="str">
        <f t="shared" si="186"/>
        <v>-</v>
      </c>
      <c r="BN149" s="1055" t="str">
        <f t="shared" si="186"/>
        <v>-</v>
      </c>
      <c r="BO149" s="2308" t="str">
        <f t="shared" si="186"/>
        <v>-</v>
      </c>
      <c r="BP149" s="1055" t="str">
        <f t="shared" si="186"/>
        <v>-</v>
      </c>
      <c r="BQ149" s="2309" t="str">
        <f t="shared" si="186"/>
        <v>-</v>
      </c>
      <c r="BR149" s="1055" t="str">
        <f t="shared" si="186"/>
        <v>-</v>
      </c>
      <c r="BS149" s="1055" t="str">
        <f t="shared" si="186"/>
        <v>-</v>
      </c>
      <c r="BT149" s="1055" t="str">
        <f t="shared" si="186"/>
        <v>-</v>
      </c>
      <c r="BU149" s="1056" t="str">
        <f t="shared" si="186"/>
        <v>-</v>
      </c>
      <c r="BV149" s="1055" t="str">
        <f t="shared" si="186"/>
        <v>-</v>
      </c>
      <c r="BW149" s="1055" t="str">
        <f t="shared" si="186"/>
        <v>-</v>
      </c>
      <c r="BX149" s="1055" t="str">
        <f t="shared" si="186"/>
        <v>-</v>
      </c>
      <c r="BY149" s="1055" t="str">
        <f t="shared" si="186"/>
        <v>-</v>
      </c>
      <c r="BZ149" s="1056" t="str">
        <f t="shared" si="186"/>
        <v>-</v>
      </c>
      <c r="CA149" s="1048"/>
    </row>
    <row r="150" spans="3:79" x14ac:dyDescent="0.3">
      <c r="C150" s="126"/>
      <c r="D150" s="126">
        <f>D147+1</f>
        <v>28</v>
      </c>
      <c r="E150" s="553" t="s">
        <v>45</v>
      </c>
      <c r="F150" s="2105" t="s">
        <v>28</v>
      </c>
      <c r="G150" s="2105"/>
      <c r="H150" s="2105"/>
      <c r="I150" s="573" t="s">
        <v>319</v>
      </c>
      <c r="J150" s="573" t="s">
        <v>348</v>
      </c>
      <c r="K150" s="1969"/>
      <c r="L150" s="1970"/>
      <c r="M150" s="1970"/>
      <c r="N150" s="1971"/>
      <c r="O150" s="1970"/>
      <c r="P150" s="1970"/>
      <c r="Q150" s="1970"/>
      <c r="R150" s="1972"/>
      <c r="S150" s="1971"/>
      <c r="T150" s="1970"/>
      <c r="U150" s="1970"/>
      <c r="V150" s="1970"/>
      <c r="W150" s="1709"/>
      <c r="X150" s="1710"/>
      <c r="Y150" s="1709"/>
      <c r="Z150" s="1709"/>
      <c r="AA150" s="1709"/>
      <c r="AB150" s="1711"/>
      <c r="AC150" s="1709"/>
      <c r="AD150" s="1709"/>
      <c r="AE150" s="1709"/>
      <c r="AF150" s="1709"/>
      <c r="AG150" s="1712"/>
      <c r="AH150" s="1709"/>
      <c r="AI150" s="1709"/>
      <c r="AJ150" s="1709"/>
      <c r="AK150" s="1709"/>
      <c r="AL150" s="1712"/>
      <c r="AM150" s="560"/>
      <c r="AN150" s="1052"/>
      <c r="AO150" s="992"/>
      <c r="AP150" s="2297" t="str">
        <f t="shared" si="153"/>
        <v>Price</v>
      </c>
      <c r="AQ150" s="2298" t="str">
        <f t="shared" si="153"/>
        <v>[Service]</v>
      </c>
      <c r="AR150" s="1719" t="str">
        <f t="shared" si="154"/>
        <v>[Price]</v>
      </c>
      <c r="AS150" s="2299" t="str">
        <f t="shared" si="163"/>
        <v>-</v>
      </c>
      <c r="AT150" s="1728" t="str">
        <f t="shared" si="163"/>
        <v>-</v>
      </c>
      <c r="AU150" s="1728" t="str">
        <f t="shared" si="163"/>
        <v>-</v>
      </c>
      <c r="AV150" s="2300" t="str">
        <f t="shared" si="163"/>
        <v>-</v>
      </c>
      <c r="AW150" s="1728" t="str">
        <f t="shared" si="163"/>
        <v>-</v>
      </c>
      <c r="AX150" s="2301" t="str">
        <f t="shared" si="163"/>
        <v>-</v>
      </c>
      <c r="AY150" s="1728" t="str">
        <f t="shared" si="163"/>
        <v>-</v>
      </c>
      <c r="AZ150" s="1728" t="str">
        <f t="shared" si="163"/>
        <v>-</v>
      </c>
      <c r="BA150" s="1728" t="str">
        <f t="shared" si="163"/>
        <v>-</v>
      </c>
      <c r="BB150" s="1729" t="str">
        <f t="shared" si="163"/>
        <v>-</v>
      </c>
      <c r="BC150" s="1728" t="str">
        <f t="shared" si="163"/>
        <v>-</v>
      </c>
      <c r="BD150" s="1728" t="str">
        <f t="shared" si="163"/>
        <v>-</v>
      </c>
      <c r="BE150" s="1728" t="str">
        <f t="shared" si="163"/>
        <v>-</v>
      </c>
      <c r="BF150" s="1728" t="str">
        <f t="shared" si="163"/>
        <v>-</v>
      </c>
      <c r="BG150" s="1729" t="str">
        <f t="shared" si="163"/>
        <v>-</v>
      </c>
      <c r="BH150" s="1048"/>
      <c r="BI150" s="2297" t="str">
        <f t="shared" si="182"/>
        <v>Price</v>
      </c>
      <c r="BJ150" s="2298" t="str">
        <f t="shared" si="182"/>
        <v>[Service]</v>
      </c>
      <c r="BK150" s="1719" t="str">
        <f t="shared" si="182"/>
        <v>[Price]</v>
      </c>
      <c r="BL150" s="2299" t="str">
        <f t="shared" ref="BL150:BZ150" si="187">IF(OR(X150="",X150=0),"-",IFERROR((X150/W150-1)*(W152/W$13),"-"))</f>
        <v>-</v>
      </c>
      <c r="BM150" s="1053" t="str">
        <f t="shared" si="187"/>
        <v>-</v>
      </c>
      <c r="BN150" s="1053" t="str">
        <f t="shared" si="187"/>
        <v>-</v>
      </c>
      <c r="BO150" s="2302" t="str">
        <f t="shared" si="187"/>
        <v>-</v>
      </c>
      <c r="BP150" s="1053" t="str">
        <f t="shared" si="187"/>
        <v>-</v>
      </c>
      <c r="BQ150" s="2303" t="str">
        <f t="shared" si="187"/>
        <v>-</v>
      </c>
      <c r="BR150" s="1053" t="str">
        <f t="shared" si="187"/>
        <v>-</v>
      </c>
      <c r="BS150" s="1053" t="str">
        <f t="shared" si="187"/>
        <v>-</v>
      </c>
      <c r="BT150" s="1053" t="str">
        <f t="shared" si="187"/>
        <v>-</v>
      </c>
      <c r="BU150" s="1054" t="str">
        <f t="shared" si="187"/>
        <v>-</v>
      </c>
      <c r="BV150" s="1053" t="str">
        <f t="shared" si="187"/>
        <v>-</v>
      </c>
      <c r="BW150" s="1053" t="str">
        <f t="shared" si="187"/>
        <v>-</v>
      </c>
      <c r="BX150" s="1053" t="str">
        <f t="shared" si="187"/>
        <v>-</v>
      </c>
      <c r="BY150" s="1053" t="str">
        <f t="shared" si="187"/>
        <v>-</v>
      </c>
      <c r="BZ150" s="1054" t="str">
        <f t="shared" si="187"/>
        <v>-</v>
      </c>
      <c r="CA150" s="1048"/>
    </row>
    <row r="151" spans="3:79" x14ac:dyDescent="0.3">
      <c r="C151" s="126"/>
      <c r="D151" s="126"/>
      <c r="E151" s="558" t="s">
        <v>46</v>
      </c>
      <c r="F151" s="2161" t="str">
        <f t="shared" si="171"/>
        <v>[Service]</v>
      </c>
      <c r="G151" s="2163">
        <f t="shared" si="171"/>
        <v>0</v>
      </c>
      <c r="H151" s="2163">
        <f t="shared" si="171"/>
        <v>0</v>
      </c>
      <c r="I151" s="2164" t="str">
        <f t="shared" si="171"/>
        <v>[Price]</v>
      </c>
      <c r="J151" s="574" t="s">
        <v>323</v>
      </c>
      <c r="K151" s="1973"/>
      <c r="L151" s="1974"/>
      <c r="M151" s="1974"/>
      <c r="N151" s="1975"/>
      <c r="O151" s="1974"/>
      <c r="P151" s="1974"/>
      <c r="Q151" s="1974"/>
      <c r="R151" s="1976"/>
      <c r="S151" s="1975"/>
      <c r="T151" s="1974"/>
      <c r="U151" s="1974"/>
      <c r="V151" s="1974"/>
      <c r="W151" s="1713"/>
      <c r="X151" s="1714"/>
      <c r="Y151" s="1713"/>
      <c r="Z151" s="1713"/>
      <c r="AA151" s="1713"/>
      <c r="AB151" s="1715"/>
      <c r="AC151" s="1713"/>
      <c r="AD151" s="1713"/>
      <c r="AE151" s="1713"/>
      <c r="AF151" s="1713"/>
      <c r="AG151" s="1716"/>
      <c r="AH151" s="1713"/>
      <c r="AI151" s="1713"/>
      <c r="AJ151" s="1713"/>
      <c r="AK151" s="1713"/>
      <c r="AL151" s="1716"/>
      <c r="AM151" s="560"/>
      <c r="AN151" s="991"/>
      <c r="AO151" s="992"/>
      <c r="AP151" s="2285" t="str">
        <f t="shared" si="153"/>
        <v>Qty</v>
      </c>
      <c r="AQ151" s="2286" t="str">
        <f t="shared" si="153"/>
        <v>[Service]</v>
      </c>
      <c r="AR151" s="2287" t="str">
        <f t="shared" si="154"/>
        <v>[Price]</v>
      </c>
      <c r="AS151" s="2288" t="str">
        <f t="shared" si="163"/>
        <v>-</v>
      </c>
      <c r="AT151" s="1720" t="str">
        <f t="shared" si="163"/>
        <v>-</v>
      </c>
      <c r="AU151" s="1720" t="str">
        <f t="shared" si="163"/>
        <v>-</v>
      </c>
      <c r="AV151" s="2289" t="str">
        <f t="shared" si="163"/>
        <v>-</v>
      </c>
      <c r="AW151" s="1720" t="str">
        <f t="shared" si="163"/>
        <v>-</v>
      </c>
      <c r="AX151" s="2290" t="str">
        <f t="shared" si="163"/>
        <v>-</v>
      </c>
      <c r="AY151" s="1720" t="str">
        <f t="shared" si="163"/>
        <v>-</v>
      </c>
      <c r="AZ151" s="1720" t="str">
        <f t="shared" si="163"/>
        <v>-</v>
      </c>
      <c r="BA151" s="1720" t="str">
        <f t="shared" si="163"/>
        <v>-</v>
      </c>
      <c r="BB151" s="1721" t="str">
        <f t="shared" si="163"/>
        <v>-</v>
      </c>
      <c r="BC151" s="1720" t="str">
        <f t="shared" si="163"/>
        <v>-</v>
      </c>
      <c r="BD151" s="1720" t="str">
        <f t="shared" si="163"/>
        <v>-</v>
      </c>
      <c r="BE151" s="1720" t="str">
        <f t="shared" si="163"/>
        <v>-</v>
      </c>
      <c r="BF151" s="1720" t="str">
        <f t="shared" si="163"/>
        <v>-</v>
      </c>
      <c r="BG151" s="1721" t="str">
        <f t="shared" si="163"/>
        <v>-</v>
      </c>
      <c r="BH151" s="1048"/>
      <c r="BI151" s="2285" t="str">
        <f t="shared" si="182"/>
        <v>Qty</v>
      </c>
      <c r="BJ151" s="2286" t="str">
        <f t="shared" si="182"/>
        <v>[Service]</v>
      </c>
      <c r="BK151" s="2287" t="str">
        <f t="shared" si="182"/>
        <v>[Price]</v>
      </c>
      <c r="BL151" s="2288" t="str">
        <f t="shared" ref="BL151:BZ151" si="188">IF(OR(X151="",X151=0),"-",IFERROR((X151/W151-1)*(W152/W$13),"-"))</f>
        <v>-</v>
      </c>
      <c r="BM151" s="1720" t="str">
        <f t="shared" si="188"/>
        <v>-</v>
      </c>
      <c r="BN151" s="1720" t="str">
        <f t="shared" si="188"/>
        <v>-</v>
      </c>
      <c r="BO151" s="2289" t="str">
        <f t="shared" si="188"/>
        <v>-</v>
      </c>
      <c r="BP151" s="1720" t="str">
        <f t="shared" si="188"/>
        <v>-</v>
      </c>
      <c r="BQ151" s="2290" t="str">
        <f t="shared" si="188"/>
        <v>-</v>
      </c>
      <c r="BR151" s="1720" t="str">
        <f t="shared" si="188"/>
        <v>-</v>
      </c>
      <c r="BS151" s="1720" t="str">
        <f t="shared" si="188"/>
        <v>-</v>
      </c>
      <c r="BT151" s="1720" t="str">
        <f t="shared" si="188"/>
        <v>-</v>
      </c>
      <c r="BU151" s="1721" t="str">
        <f t="shared" si="188"/>
        <v>-</v>
      </c>
      <c r="BV151" s="1720" t="str">
        <f t="shared" si="188"/>
        <v>-</v>
      </c>
      <c r="BW151" s="1720" t="str">
        <f t="shared" si="188"/>
        <v>-</v>
      </c>
      <c r="BX151" s="1720" t="str">
        <f t="shared" si="188"/>
        <v>-</v>
      </c>
      <c r="BY151" s="1720" t="str">
        <f t="shared" si="188"/>
        <v>-</v>
      </c>
      <c r="BZ151" s="1721" t="str">
        <f t="shared" si="188"/>
        <v>-</v>
      </c>
      <c r="CA151" s="1048"/>
    </row>
    <row r="152" spans="3:79" ht="12.5" thickBot="1" x14ac:dyDescent="0.35">
      <c r="C152" s="126"/>
      <c r="D152" s="126"/>
      <c r="E152" s="559" t="s">
        <v>47</v>
      </c>
      <c r="F152" s="2162" t="str">
        <f t="shared" ref="F152:I152" si="189">+F150</f>
        <v>[Service]</v>
      </c>
      <c r="G152" s="2165">
        <f t="shared" si="189"/>
        <v>0</v>
      </c>
      <c r="H152" s="2165">
        <f t="shared" si="189"/>
        <v>0</v>
      </c>
      <c r="I152" s="2166" t="str">
        <f t="shared" si="189"/>
        <v>[Price]</v>
      </c>
      <c r="J152" s="2106" t="s">
        <v>347</v>
      </c>
      <c r="K152" s="1977"/>
      <c r="L152" s="1206"/>
      <c r="M152" s="1206"/>
      <c r="N152" s="1978"/>
      <c r="O152" s="1206"/>
      <c r="P152" s="1206"/>
      <c r="Q152" s="1206"/>
      <c r="R152" s="1206"/>
      <c r="S152" s="1978"/>
      <c r="T152" s="1206"/>
      <c r="U152" s="1206"/>
      <c r="V152" s="1206"/>
      <c r="W152" s="1731">
        <f t="shared" ref="W152:AG152" si="190">W150*W151/10^6</f>
        <v>0</v>
      </c>
      <c r="X152" s="1730">
        <f t="shared" si="190"/>
        <v>0</v>
      </c>
      <c r="Y152" s="1731">
        <f t="shared" si="190"/>
        <v>0</v>
      </c>
      <c r="Z152" s="1731">
        <f t="shared" si="190"/>
        <v>0</v>
      </c>
      <c r="AA152" s="1731">
        <f t="shared" si="190"/>
        <v>0</v>
      </c>
      <c r="AB152" s="1733">
        <f t="shared" si="190"/>
        <v>0</v>
      </c>
      <c r="AC152" s="1731">
        <f t="shared" si="190"/>
        <v>0</v>
      </c>
      <c r="AD152" s="1731">
        <f t="shared" si="190"/>
        <v>0</v>
      </c>
      <c r="AE152" s="1731">
        <f t="shared" si="190"/>
        <v>0</v>
      </c>
      <c r="AF152" s="1731">
        <f t="shared" si="190"/>
        <v>0</v>
      </c>
      <c r="AG152" s="1733">
        <f t="shared" si="190"/>
        <v>0</v>
      </c>
      <c r="AH152" s="1731">
        <f>AH150*AH151/10^6</f>
        <v>0</v>
      </c>
      <c r="AI152" s="1731">
        <f>AI150*AI151/10^6</f>
        <v>0</v>
      </c>
      <c r="AJ152" s="1731">
        <f>AJ150*AJ151/10^6</f>
        <v>0</v>
      </c>
      <c r="AK152" s="1731">
        <f>AK150*AK151/10^6</f>
        <v>0</v>
      </c>
      <c r="AL152" s="1733">
        <f>AL150*AL151/10^6</f>
        <v>0</v>
      </c>
      <c r="AM152" s="560"/>
      <c r="AN152" s="991"/>
      <c r="AO152" s="992"/>
      <c r="AP152" s="2304" t="str">
        <f t="shared" si="153"/>
        <v>Rev</v>
      </c>
      <c r="AQ152" s="2305" t="str">
        <f t="shared" si="153"/>
        <v>[Service]</v>
      </c>
      <c r="AR152" s="2306" t="str">
        <f t="shared" si="154"/>
        <v>[Price]</v>
      </c>
      <c r="AS152" s="2307" t="str">
        <f t="shared" si="163"/>
        <v>-</v>
      </c>
      <c r="AT152" s="1055" t="str">
        <f t="shared" si="163"/>
        <v>-</v>
      </c>
      <c r="AU152" s="1055" t="str">
        <f t="shared" si="163"/>
        <v>-</v>
      </c>
      <c r="AV152" s="2308" t="str">
        <f t="shared" si="163"/>
        <v>-</v>
      </c>
      <c r="AW152" s="1055" t="str">
        <f t="shared" si="163"/>
        <v>-</v>
      </c>
      <c r="AX152" s="2309" t="str">
        <f t="shared" si="163"/>
        <v>-</v>
      </c>
      <c r="AY152" s="1055" t="str">
        <f t="shared" si="163"/>
        <v>-</v>
      </c>
      <c r="AZ152" s="1055" t="str">
        <f t="shared" si="163"/>
        <v>-</v>
      </c>
      <c r="BA152" s="1055" t="str">
        <f t="shared" si="163"/>
        <v>-</v>
      </c>
      <c r="BB152" s="1056" t="str">
        <f t="shared" si="163"/>
        <v>-</v>
      </c>
      <c r="BC152" s="1055" t="str">
        <f t="shared" si="163"/>
        <v>-</v>
      </c>
      <c r="BD152" s="1055" t="str">
        <f t="shared" si="163"/>
        <v>-</v>
      </c>
      <c r="BE152" s="1055" t="str">
        <f t="shared" si="163"/>
        <v>-</v>
      </c>
      <c r="BF152" s="1055" t="str">
        <f t="shared" si="163"/>
        <v>-</v>
      </c>
      <c r="BG152" s="1056" t="str">
        <f t="shared" si="163"/>
        <v>-</v>
      </c>
      <c r="BH152" s="1048"/>
      <c r="BI152" s="2304" t="str">
        <f t="shared" si="182"/>
        <v>Rev</v>
      </c>
      <c r="BJ152" s="2305" t="str">
        <f t="shared" si="182"/>
        <v>[Service]</v>
      </c>
      <c r="BK152" s="2306" t="str">
        <f t="shared" si="182"/>
        <v>[Price]</v>
      </c>
      <c r="BL152" s="2307" t="str">
        <f t="shared" ref="BL152:BZ152" si="191">IF(OR(X152="",X152=0),"-",IFERROR((X152/W152-1)*(W152/W$13),"-"))</f>
        <v>-</v>
      </c>
      <c r="BM152" s="1055" t="str">
        <f t="shared" si="191"/>
        <v>-</v>
      </c>
      <c r="BN152" s="1055" t="str">
        <f t="shared" si="191"/>
        <v>-</v>
      </c>
      <c r="BO152" s="2308" t="str">
        <f t="shared" si="191"/>
        <v>-</v>
      </c>
      <c r="BP152" s="1055" t="str">
        <f t="shared" si="191"/>
        <v>-</v>
      </c>
      <c r="BQ152" s="2309" t="str">
        <f t="shared" si="191"/>
        <v>-</v>
      </c>
      <c r="BR152" s="1055" t="str">
        <f t="shared" si="191"/>
        <v>-</v>
      </c>
      <c r="BS152" s="1055" t="str">
        <f t="shared" si="191"/>
        <v>-</v>
      </c>
      <c r="BT152" s="1055" t="str">
        <f t="shared" si="191"/>
        <v>-</v>
      </c>
      <c r="BU152" s="1056" t="str">
        <f t="shared" si="191"/>
        <v>-</v>
      </c>
      <c r="BV152" s="1055" t="str">
        <f t="shared" si="191"/>
        <v>-</v>
      </c>
      <c r="BW152" s="1055" t="str">
        <f t="shared" si="191"/>
        <v>-</v>
      </c>
      <c r="BX152" s="1055" t="str">
        <f t="shared" si="191"/>
        <v>-</v>
      </c>
      <c r="BY152" s="1055" t="str">
        <f t="shared" si="191"/>
        <v>-</v>
      </c>
      <c r="BZ152" s="1056" t="str">
        <f t="shared" si="191"/>
        <v>-</v>
      </c>
      <c r="CA152" s="1048"/>
    </row>
    <row r="153" spans="3:79" x14ac:dyDescent="0.3">
      <c r="C153" s="126"/>
      <c r="D153" s="126">
        <f>D150+1</f>
        <v>29</v>
      </c>
      <c r="E153" s="553" t="s">
        <v>45</v>
      </c>
      <c r="F153" s="2105" t="s">
        <v>28</v>
      </c>
      <c r="G153" s="2105"/>
      <c r="H153" s="2105"/>
      <c r="I153" s="573" t="s">
        <v>319</v>
      </c>
      <c r="J153" s="573" t="s">
        <v>348</v>
      </c>
      <c r="K153" s="1969"/>
      <c r="L153" s="1970"/>
      <c r="M153" s="1970"/>
      <c r="N153" s="1971"/>
      <c r="O153" s="1970"/>
      <c r="P153" s="1970"/>
      <c r="Q153" s="1970"/>
      <c r="R153" s="1972"/>
      <c r="S153" s="1971"/>
      <c r="T153" s="1970"/>
      <c r="U153" s="1970"/>
      <c r="V153" s="1970"/>
      <c r="W153" s="1709"/>
      <c r="X153" s="1710"/>
      <c r="Y153" s="1709"/>
      <c r="Z153" s="1709"/>
      <c r="AA153" s="1709"/>
      <c r="AB153" s="1711"/>
      <c r="AC153" s="1709"/>
      <c r="AD153" s="1709"/>
      <c r="AE153" s="1709"/>
      <c r="AF153" s="1709"/>
      <c r="AG153" s="1712"/>
      <c r="AH153" s="1709"/>
      <c r="AI153" s="1709"/>
      <c r="AJ153" s="1709"/>
      <c r="AK153" s="1709"/>
      <c r="AL153" s="1712"/>
      <c r="AM153" s="560"/>
      <c r="AN153" s="1052"/>
      <c r="AO153" s="992"/>
      <c r="AP153" s="2297" t="str">
        <f t="shared" si="153"/>
        <v>Price</v>
      </c>
      <c r="AQ153" s="2298" t="str">
        <f t="shared" si="153"/>
        <v>[Service]</v>
      </c>
      <c r="AR153" s="1719" t="str">
        <f t="shared" si="154"/>
        <v>[Price]</v>
      </c>
      <c r="AS153" s="2299" t="str">
        <f t="shared" si="163"/>
        <v>-</v>
      </c>
      <c r="AT153" s="1728" t="str">
        <f t="shared" si="163"/>
        <v>-</v>
      </c>
      <c r="AU153" s="1728" t="str">
        <f t="shared" si="163"/>
        <v>-</v>
      </c>
      <c r="AV153" s="2300" t="str">
        <f t="shared" si="163"/>
        <v>-</v>
      </c>
      <c r="AW153" s="1728" t="str">
        <f t="shared" si="163"/>
        <v>-</v>
      </c>
      <c r="AX153" s="2301" t="str">
        <f t="shared" si="163"/>
        <v>-</v>
      </c>
      <c r="AY153" s="1728" t="str">
        <f t="shared" si="163"/>
        <v>-</v>
      </c>
      <c r="AZ153" s="1728" t="str">
        <f t="shared" si="163"/>
        <v>-</v>
      </c>
      <c r="BA153" s="1728" t="str">
        <f t="shared" si="163"/>
        <v>-</v>
      </c>
      <c r="BB153" s="1729" t="str">
        <f t="shared" si="163"/>
        <v>-</v>
      </c>
      <c r="BC153" s="1728" t="str">
        <f t="shared" si="163"/>
        <v>-</v>
      </c>
      <c r="BD153" s="1728" t="str">
        <f t="shared" si="163"/>
        <v>-</v>
      </c>
      <c r="BE153" s="1728" t="str">
        <f t="shared" si="163"/>
        <v>-</v>
      </c>
      <c r="BF153" s="1728" t="str">
        <f t="shared" si="163"/>
        <v>-</v>
      </c>
      <c r="BG153" s="1729" t="str">
        <f t="shared" si="163"/>
        <v>-</v>
      </c>
      <c r="BH153" s="1048"/>
      <c r="BI153" s="2297" t="str">
        <f t="shared" si="182"/>
        <v>Price</v>
      </c>
      <c r="BJ153" s="2298" t="str">
        <f t="shared" si="182"/>
        <v>[Service]</v>
      </c>
      <c r="BK153" s="1719" t="str">
        <f t="shared" si="182"/>
        <v>[Price]</v>
      </c>
      <c r="BL153" s="2299" t="str">
        <f t="shared" ref="BL153:BZ153" si="192">IF(OR(X153="",X153=0),"-",IFERROR((X153/W153-1)*(W155/W$13),"-"))</f>
        <v>-</v>
      </c>
      <c r="BM153" s="1053" t="str">
        <f t="shared" si="192"/>
        <v>-</v>
      </c>
      <c r="BN153" s="1053" t="str">
        <f t="shared" si="192"/>
        <v>-</v>
      </c>
      <c r="BO153" s="2302" t="str">
        <f t="shared" si="192"/>
        <v>-</v>
      </c>
      <c r="BP153" s="1053" t="str">
        <f t="shared" si="192"/>
        <v>-</v>
      </c>
      <c r="BQ153" s="2303" t="str">
        <f t="shared" si="192"/>
        <v>-</v>
      </c>
      <c r="BR153" s="1053" t="str">
        <f t="shared" si="192"/>
        <v>-</v>
      </c>
      <c r="BS153" s="1053" t="str">
        <f t="shared" si="192"/>
        <v>-</v>
      </c>
      <c r="BT153" s="1053" t="str">
        <f t="shared" si="192"/>
        <v>-</v>
      </c>
      <c r="BU153" s="1054" t="str">
        <f t="shared" si="192"/>
        <v>-</v>
      </c>
      <c r="BV153" s="1053" t="str">
        <f t="shared" si="192"/>
        <v>-</v>
      </c>
      <c r="BW153" s="1053" t="str">
        <f t="shared" si="192"/>
        <v>-</v>
      </c>
      <c r="BX153" s="1053" t="str">
        <f t="shared" si="192"/>
        <v>-</v>
      </c>
      <c r="BY153" s="1053" t="str">
        <f t="shared" si="192"/>
        <v>-</v>
      </c>
      <c r="BZ153" s="1054" t="str">
        <f t="shared" si="192"/>
        <v>-</v>
      </c>
      <c r="CA153" s="1048"/>
    </row>
    <row r="154" spans="3:79" x14ac:dyDescent="0.3">
      <c r="C154" s="126"/>
      <c r="D154" s="126"/>
      <c r="E154" s="558" t="s">
        <v>46</v>
      </c>
      <c r="F154" s="2161" t="str">
        <f t="shared" si="171"/>
        <v>[Service]</v>
      </c>
      <c r="G154" s="2163">
        <f t="shared" si="171"/>
        <v>0</v>
      </c>
      <c r="H154" s="2163">
        <f t="shared" si="171"/>
        <v>0</v>
      </c>
      <c r="I154" s="2164" t="str">
        <f t="shared" si="171"/>
        <v>[Price]</v>
      </c>
      <c r="J154" s="574" t="s">
        <v>323</v>
      </c>
      <c r="K154" s="1973"/>
      <c r="L154" s="1974"/>
      <c r="M154" s="1974"/>
      <c r="N154" s="1975"/>
      <c r="O154" s="1974"/>
      <c r="P154" s="1974"/>
      <c r="Q154" s="1974"/>
      <c r="R154" s="1976"/>
      <c r="S154" s="1975"/>
      <c r="T154" s="1974"/>
      <c r="U154" s="1974"/>
      <c r="V154" s="1974"/>
      <c r="W154" s="1713"/>
      <c r="X154" s="1714"/>
      <c r="Y154" s="1713"/>
      <c r="Z154" s="1713"/>
      <c r="AA154" s="1713"/>
      <c r="AB154" s="1715"/>
      <c r="AC154" s="1713"/>
      <c r="AD154" s="1713"/>
      <c r="AE154" s="1713"/>
      <c r="AF154" s="1713"/>
      <c r="AG154" s="1716"/>
      <c r="AH154" s="1713"/>
      <c r="AI154" s="1713"/>
      <c r="AJ154" s="1713"/>
      <c r="AK154" s="1713"/>
      <c r="AL154" s="1716"/>
      <c r="AM154" s="560"/>
      <c r="AN154" s="991"/>
      <c r="AO154" s="992"/>
      <c r="AP154" s="2285" t="str">
        <f t="shared" si="153"/>
        <v>Qty</v>
      </c>
      <c r="AQ154" s="2286" t="str">
        <f t="shared" si="153"/>
        <v>[Service]</v>
      </c>
      <c r="AR154" s="2287" t="str">
        <f t="shared" si="154"/>
        <v>[Price]</v>
      </c>
      <c r="AS154" s="2288" t="str">
        <f t="shared" ref="AS154:BG170" si="193">IF(OR(X154="",X154=0),"-",IFERROR(X154/W154-1,"-"))</f>
        <v>-</v>
      </c>
      <c r="AT154" s="1720" t="str">
        <f t="shared" si="193"/>
        <v>-</v>
      </c>
      <c r="AU154" s="1720" t="str">
        <f t="shared" si="193"/>
        <v>-</v>
      </c>
      <c r="AV154" s="2289" t="str">
        <f t="shared" si="193"/>
        <v>-</v>
      </c>
      <c r="AW154" s="1720" t="str">
        <f t="shared" si="193"/>
        <v>-</v>
      </c>
      <c r="AX154" s="2290" t="str">
        <f t="shared" si="193"/>
        <v>-</v>
      </c>
      <c r="AY154" s="1720" t="str">
        <f t="shared" si="193"/>
        <v>-</v>
      </c>
      <c r="AZ154" s="1720" t="str">
        <f t="shared" si="193"/>
        <v>-</v>
      </c>
      <c r="BA154" s="1720" t="str">
        <f t="shared" si="193"/>
        <v>-</v>
      </c>
      <c r="BB154" s="1721" t="str">
        <f t="shared" si="193"/>
        <v>-</v>
      </c>
      <c r="BC154" s="1720" t="str">
        <f t="shared" si="193"/>
        <v>-</v>
      </c>
      <c r="BD154" s="1720" t="str">
        <f t="shared" si="193"/>
        <v>-</v>
      </c>
      <c r="BE154" s="1720" t="str">
        <f t="shared" si="193"/>
        <v>-</v>
      </c>
      <c r="BF154" s="1720" t="str">
        <f t="shared" si="193"/>
        <v>-</v>
      </c>
      <c r="BG154" s="1721" t="str">
        <f t="shared" si="193"/>
        <v>-</v>
      </c>
      <c r="BH154" s="1048"/>
      <c r="BI154" s="2285" t="str">
        <f t="shared" si="182"/>
        <v>Qty</v>
      </c>
      <c r="BJ154" s="2286" t="str">
        <f t="shared" si="182"/>
        <v>[Service]</v>
      </c>
      <c r="BK154" s="2287" t="str">
        <f t="shared" si="182"/>
        <v>[Price]</v>
      </c>
      <c r="BL154" s="2288" t="str">
        <f t="shared" ref="BL154:BZ154" si="194">IF(OR(X154="",X154=0),"-",IFERROR((X154/W154-1)*(W155/W$13),"-"))</f>
        <v>-</v>
      </c>
      <c r="BM154" s="1720" t="str">
        <f t="shared" si="194"/>
        <v>-</v>
      </c>
      <c r="BN154" s="1720" t="str">
        <f t="shared" si="194"/>
        <v>-</v>
      </c>
      <c r="BO154" s="2289" t="str">
        <f t="shared" si="194"/>
        <v>-</v>
      </c>
      <c r="BP154" s="1720" t="str">
        <f t="shared" si="194"/>
        <v>-</v>
      </c>
      <c r="BQ154" s="2290" t="str">
        <f t="shared" si="194"/>
        <v>-</v>
      </c>
      <c r="BR154" s="1720" t="str">
        <f t="shared" si="194"/>
        <v>-</v>
      </c>
      <c r="BS154" s="1720" t="str">
        <f t="shared" si="194"/>
        <v>-</v>
      </c>
      <c r="BT154" s="1720" t="str">
        <f t="shared" si="194"/>
        <v>-</v>
      </c>
      <c r="BU154" s="1721" t="str">
        <f t="shared" si="194"/>
        <v>-</v>
      </c>
      <c r="BV154" s="1720" t="str">
        <f t="shared" si="194"/>
        <v>-</v>
      </c>
      <c r="BW154" s="1720" t="str">
        <f t="shared" si="194"/>
        <v>-</v>
      </c>
      <c r="BX154" s="1720" t="str">
        <f t="shared" si="194"/>
        <v>-</v>
      </c>
      <c r="BY154" s="1720" t="str">
        <f t="shared" si="194"/>
        <v>-</v>
      </c>
      <c r="BZ154" s="1721" t="str">
        <f t="shared" si="194"/>
        <v>-</v>
      </c>
      <c r="CA154" s="1048"/>
    </row>
    <row r="155" spans="3:79" ht="12.5" thickBot="1" x14ac:dyDescent="0.35">
      <c r="C155" s="126"/>
      <c r="D155" s="126"/>
      <c r="E155" s="559" t="s">
        <v>47</v>
      </c>
      <c r="F155" s="2162" t="str">
        <f t="shared" ref="F155:I155" si="195">+F153</f>
        <v>[Service]</v>
      </c>
      <c r="G155" s="2165">
        <f t="shared" si="195"/>
        <v>0</v>
      </c>
      <c r="H155" s="2165">
        <f t="shared" si="195"/>
        <v>0</v>
      </c>
      <c r="I155" s="2166" t="str">
        <f t="shared" si="195"/>
        <v>[Price]</v>
      </c>
      <c r="J155" s="2106" t="s">
        <v>347</v>
      </c>
      <c r="K155" s="1977"/>
      <c r="L155" s="1206"/>
      <c r="M155" s="1206"/>
      <c r="N155" s="1978"/>
      <c r="O155" s="1206"/>
      <c r="P155" s="1206"/>
      <c r="Q155" s="1206"/>
      <c r="R155" s="1206"/>
      <c r="S155" s="1978"/>
      <c r="T155" s="1206"/>
      <c r="U155" s="1206"/>
      <c r="V155" s="1206"/>
      <c r="W155" s="1731">
        <f t="shared" ref="W155:AG155" si="196">W153*W154/10^6</f>
        <v>0</v>
      </c>
      <c r="X155" s="1730">
        <f t="shared" si="196"/>
        <v>0</v>
      </c>
      <c r="Y155" s="1731">
        <f t="shared" si="196"/>
        <v>0</v>
      </c>
      <c r="Z155" s="1731">
        <f t="shared" si="196"/>
        <v>0</v>
      </c>
      <c r="AA155" s="1731">
        <f t="shared" si="196"/>
        <v>0</v>
      </c>
      <c r="AB155" s="1733">
        <f t="shared" si="196"/>
        <v>0</v>
      </c>
      <c r="AC155" s="1731">
        <f t="shared" si="196"/>
        <v>0</v>
      </c>
      <c r="AD155" s="1731">
        <f t="shared" si="196"/>
        <v>0</v>
      </c>
      <c r="AE155" s="1731">
        <f t="shared" si="196"/>
        <v>0</v>
      </c>
      <c r="AF155" s="1731">
        <f t="shared" si="196"/>
        <v>0</v>
      </c>
      <c r="AG155" s="1733">
        <f t="shared" si="196"/>
        <v>0</v>
      </c>
      <c r="AH155" s="1731">
        <f>AH153*AH154/10^6</f>
        <v>0</v>
      </c>
      <c r="AI155" s="1731">
        <f>AI153*AI154/10^6</f>
        <v>0</v>
      </c>
      <c r="AJ155" s="1731">
        <f>AJ153*AJ154/10^6</f>
        <v>0</v>
      </c>
      <c r="AK155" s="1731">
        <f>AK153*AK154/10^6</f>
        <v>0</v>
      </c>
      <c r="AL155" s="1733">
        <f>AL153*AL154/10^6</f>
        <v>0</v>
      </c>
      <c r="AM155" s="560"/>
      <c r="AN155" s="991"/>
      <c r="AO155" s="992"/>
      <c r="AP155" s="2304" t="str">
        <f t="shared" si="153"/>
        <v>Rev</v>
      </c>
      <c r="AQ155" s="2305" t="str">
        <f t="shared" si="153"/>
        <v>[Service]</v>
      </c>
      <c r="AR155" s="2306" t="str">
        <f t="shared" si="154"/>
        <v>[Price]</v>
      </c>
      <c r="AS155" s="2307" t="str">
        <f t="shared" si="193"/>
        <v>-</v>
      </c>
      <c r="AT155" s="1055" t="str">
        <f t="shared" si="193"/>
        <v>-</v>
      </c>
      <c r="AU155" s="1055" t="str">
        <f t="shared" si="193"/>
        <v>-</v>
      </c>
      <c r="AV155" s="2308" t="str">
        <f t="shared" si="193"/>
        <v>-</v>
      </c>
      <c r="AW155" s="1055" t="str">
        <f t="shared" si="193"/>
        <v>-</v>
      </c>
      <c r="AX155" s="2309" t="str">
        <f t="shared" si="193"/>
        <v>-</v>
      </c>
      <c r="AY155" s="1055" t="str">
        <f t="shared" si="193"/>
        <v>-</v>
      </c>
      <c r="AZ155" s="1055" t="str">
        <f t="shared" si="193"/>
        <v>-</v>
      </c>
      <c r="BA155" s="1055" t="str">
        <f t="shared" si="193"/>
        <v>-</v>
      </c>
      <c r="BB155" s="1056" t="str">
        <f t="shared" si="193"/>
        <v>-</v>
      </c>
      <c r="BC155" s="1055" t="str">
        <f t="shared" si="193"/>
        <v>-</v>
      </c>
      <c r="BD155" s="1055" t="str">
        <f t="shared" si="193"/>
        <v>-</v>
      </c>
      <c r="BE155" s="1055" t="str">
        <f t="shared" si="193"/>
        <v>-</v>
      </c>
      <c r="BF155" s="1055" t="str">
        <f t="shared" si="193"/>
        <v>-</v>
      </c>
      <c r="BG155" s="1056" t="str">
        <f t="shared" si="193"/>
        <v>-</v>
      </c>
      <c r="BH155" s="1048"/>
      <c r="BI155" s="2304" t="str">
        <f t="shared" si="182"/>
        <v>Rev</v>
      </c>
      <c r="BJ155" s="2305" t="str">
        <f t="shared" si="182"/>
        <v>[Service]</v>
      </c>
      <c r="BK155" s="2306" t="str">
        <f t="shared" si="182"/>
        <v>[Price]</v>
      </c>
      <c r="BL155" s="2307" t="str">
        <f t="shared" ref="BL155:BZ155" si="197">IF(OR(X155="",X155=0),"-",IFERROR((X155/W155-1)*(W155/W$13),"-"))</f>
        <v>-</v>
      </c>
      <c r="BM155" s="1055" t="str">
        <f t="shared" si="197"/>
        <v>-</v>
      </c>
      <c r="BN155" s="1055" t="str">
        <f t="shared" si="197"/>
        <v>-</v>
      </c>
      <c r="BO155" s="2308" t="str">
        <f t="shared" si="197"/>
        <v>-</v>
      </c>
      <c r="BP155" s="1055" t="str">
        <f t="shared" si="197"/>
        <v>-</v>
      </c>
      <c r="BQ155" s="2309" t="str">
        <f t="shared" si="197"/>
        <v>-</v>
      </c>
      <c r="BR155" s="1055" t="str">
        <f t="shared" si="197"/>
        <v>-</v>
      </c>
      <c r="BS155" s="1055" t="str">
        <f t="shared" si="197"/>
        <v>-</v>
      </c>
      <c r="BT155" s="1055" t="str">
        <f t="shared" si="197"/>
        <v>-</v>
      </c>
      <c r="BU155" s="1056" t="str">
        <f t="shared" si="197"/>
        <v>-</v>
      </c>
      <c r="BV155" s="1055" t="str">
        <f t="shared" si="197"/>
        <v>-</v>
      </c>
      <c r="BW155" s="1055" t="str">
        <f t="shared" si="197"/>
        <v>-</v>
      </c>
      <c r="BX155" s="1055" t="str">
        <f t="shared" si="197"/>
        <v>-</v>
      </c>
      <c r="BY155" s="1055" t="str">
        <f t="shared" si="197"/>
        <v>-</v>
      </c>
      <c r="BZ155" s="1056" t="str">
        <f t="shared" si="197"/>
        <v>-</v>
      </c>
      <c r="CA155" s="1048"/>
    </row>
    <row r="156" spans="3:79" x14ac:dyDescent="0.3">
      <c r="C156" s="126"/>
      <c r="D156" s="126">
        <f>D153+1</f>
        <v>30</v>
      </c>
      <c r="E156" s="553" t="s">
        <v>45</v>
      </c>
      <c r="F156" s="2105" t="s">
        <v>28</v>
      </c>
      <c r="G156" s="2105"/>
      <c r="H156" s="2105"/>
      <c r="I156" s="573" t="s">
        <v>319</v>
      </c>
      <c r="J156" s="573" t="s">
        <v>348</v>
      </c>
      <c r="K156" s="1969"/>
      <c r="L156" s="1970"/>
      <c r="M156" s="1970"/>
      <c r="N156" s="1971"/>
      <c r="O156" s="1970"/>
      <c r="P156" s="1970"/>
      <c r="Q156" s="1970"/>
      <c r="R156" s="1972"/>
      <c r="S156" s="1971"/>
      <c r="T156" s="1970"/>
      <c r="U156" s="1970"/>
      <c r="V156" s="1970"/>
      <c r="W156" s="1709"/>
      <c r="X156" s="1710"/>
      <c r="Y156" s="1709"/>
      <c r="Z156" s="1709"/>
      <c r="AA156" s="1709"/>
      <c r="AB156" s="1711"/>
      <c r="AC156" s="1709"/>
      <c r="AD156" s="1709"/>
      <c r="AE156" s="1709"/>
      <c r="AF156" s="1709"/>
      <c r="AG156" s="1712"/>
      <c r="AH156" s="1709"/>
      <c r="AI156" s="1709"/>
      <c r="AJ156" s="1709"/>
      <c r="AK156" s="1709"/>
      <c r="AL156" s="1712"/>
      <c r="AM156" s="560"/>
      <c r="AN156" s="1052"/>
      <c r="AO156" s="992"/>
      <c r="AP156" s="2297" t="str">
        <f t="shared" si="153"/>
        <v>Price</v>
      </c>
      <c r="AQ156" s="2298" t="str">
        <f t="shared" si="153"/>
        <v>[Service]</v>
      </c>
      <c r="AR156" s="1719" t="str">
        <f t="shared" si="154"/>
        <v>[Price]</v>
      </c>
      <c r="AS156" s="2299" t="str">
        <f t="shared" si="193"/>
        <v>-</v>
      </c>
      <c r="AT156" s="1728" t="str">
        <f t="shared" si="193"/>
        <v>-</v>
      </c>
      <c r="AU156" s="1728" t="str">
        <f t="shared" si="193"/>
        <v>-</v>
      </c>
      <c r="AV156" s="2300" t="str">
        <f t="shared" si="193"/>
        <v>-</v>
      </c>
      <c r="AW156" s="1728" t="str">
        <f t="shared" si="193"/>
        <v>-</v>
      </c>
      <c r="AX156" s="2301" t="str">
        <f t="shared" si="193"/>
        <v>-</v>
      </c>
      <c r="AY156" s="1728" t="str">
        <f t="shared" si="193"/>
        <v>-</v>
      </c>
      <c r="AZ156" s="1728" t="str">
        <f t="shared" si="193"/>
        <v>-</v>
      </c>
      <c r="BA156" s="1728" t="str">
        <f t="shared" si="193"/>
        <v>-</v>
      </c>
      <c r="BB156" s="1729" t="str">
        <f t="shared" si="193"/>
        <v>-</v>
      </c>
      <c r="BC156" s="1728" t="str">
        <f t="shared" si="193"/>
        <v>-</v>
      </c>
      <c r="BD156" s="1728" t="str">
        <f t="shared" si="193"/>
        <v>-</v>
      </c>
      <c r="BE156" s="1728" t="str">
        <f t="shared" si="193"/>
        <v>-</v>
      </c>
      <c r="BF156" s="1728" t="str">
        <f t="shared" si="193"/>
        <v>-</v>
      </c>
      <c r="BG156" s="1729" t="str">
        <f t="shared" si="193"/>
        <v>-</v>
      </c>
      <c r="BH156" s="1048"/>
      <c r="BI156" s="2297" t="str">
        <f t="shared" si="182"/>
        <v>Price</v>
      </c>
      <c r="BJ156" s="2298" t="str">
        <f t="shared" si="182"/>
        <v>[Service]</v>
      </c>
      <c r="BK156" s="1719" t="str">
        <f t="shared" si="182"/>
        <v>[Price]</v>
      </c>
      <c r="BL156" s="2299" t="str">
        <f t="shared" ref="BL156:BZ156" si="198">IF(OR(X156="",X156=0),"-",IFERROR((X156/W156-1)*(W158/W$13),"-"))</f>
        <v>-</v>
      </c>
      <c r="BM156" s="1053" t="str">
        <f t="shared" si="198"/>
        <v>-</v>
      </c>
      <c r="BN156" s="1053" t="str">
        <f t="shared" si="198"/>
        <v>-</v>
      </c>
      <c r="BO156" s="2302" t="str">
        <f t="shared" si="198"/>
        <v>-</v>
      </c>
      <c r="BP156" s="1053" t="str">
        <f t="shared" si="198"/>
        <v>-</v>
      </c>
      <c r="BQ156" s="2303" t="str">
        <f t="shared" si="198"/>
        <v>-</v>
      </c>
      <c r="BR156" s="1053" t="str">
        <f t="shared" si="198"/>
        <v>-</v>
      </c>
      <c r="BS156" s="1053" t="str">
        <f t="shared" si="198"/>
        <v>-</v>
      </c>
      <c r="BT156" s="1053" t="str">
        <f t="shared" si="198"/>
        <v>-</v>
      </c>
      <c r="BU156" s="1054" t="str">
        <f t="shared" si="198"/>
        <v>-</v>
      </c>
      <c r="BV156" s="1053" t="str">
        <f t="shared" si="198"/>
        <v>-</v>
      </c>
      <c r="BW156" s="1053" t="str">
        <f t="shared" si="198"/>
        <v>-</v>
      </c>
      <c r="BX156" s="1053" t="str">
        <f t="shared" si="198"/>
        <v>-</v>
      </c>
      <c r="BY156" s="1053" t="str">
        <f t="shared" si="198"/>
        <v>-</v>
      </c>
      <c r="BZ156" s="1054" t="str">
        <f t="shared" si="198"/>
        <v>-</v>
      </c>
      <c r="CA156" s="1048"/>
    </row>
    <row r="157" spans="3:79" x14ac:dyDescent="0.3">
      <c r="C157" s="126"/>
      <c r="D157" s="126"/>
      <c r="E157" s="558" t="s">
        <v>46</v>
      </c>
      <c r="F157" s="2161" t="str">
        <f t="shared" si="171"/>
        <v>[Service]</v>
      </c>
      <c r="G157" s="2163">
        <f t="shared" si="171"/>
        <v>0</v>
      </c>
      <c r="H157" s="2163">
        <f t="shared" si="171"/>
        <v>0</v>
      </c>
      <c r="I157" s="2164" t="str">
        <f t="shared" si="171"/>
        <v>[Price]</v>
      </c>
      <c r="J157" s="574" t="s">
        <v>323</v>
      </c>
      <c r="K157" s="1973"/>
      <c r="L157" s="1974"/>
      <c r="M157" s="1974"/>
      <c r="N157" s="1975"/>
      <c r="O157" s="1974"/>
      <c r="P157" s="1974"/>
      <c r="Q157" s="1974"/>
      <c r="R157" s="1976"/>
      <c r="S157" s="1975"/>
      <c r="T157" s="1974"/>
      <c r="U157" s="1974"/>
      <c r="V157" s="1974"/>
      <c r="W157" s="1713"/>
      <c r="X157" s="1714"/>
      <c r="Y157" s="1713"/>
      <c r="Z157" s="1713"/>
      <c r="AA157" s="1713"/>
      <c r="AB157" s="1715"/>
      <c r="AC157" s="1713"/>
      <c r="AD157" s="1713"/>
      <c r="AE157" s="1713"/>
      <c r="AF157" s="1713"/>
      <c r="AG157" s="1716"/>
      <c r="AH157" s="1713"/>
      <c r="AI157" s="1713"/>
      <c r="AJ157" s="1713"/>
      <c r="AK157" s="1713"/>
      <c r="AL157" s="1716"/>
      <c r="AM157" s="560"/>
      <c r="AN157" s="991"/>
      <c r="AO157" s="992"/>
      <c r="AP157" s="2285" t="str">
        <f t="shared" si="153"/>
        <v>Qty</v>
      </c>
      <c r="AQ157" s="2286" t="str">
        <f t="shared" si="153"/>
        <v>[Service]</v>
      </c>
      <c r="AR157" s="2287" t="str">
        <f t="shared" si="154"/>
        <v>[Price]</v>
      </c>
      <c r="AS157" s="2288" t="str">
        <f t="shared" si="193"/>
        <v>-</v>
      </c>
      <c r="AT157" s="1720" t="str">
        <f t="shared" si="193"/>
        <v>-</v>
      </c>
      <c r="AU157" s="1720" t="str">
        <f t="shared" si="193"/>
        <v>-</v>
      </c>
      <c r="AV157" s="2289" t="str">
        <f t="shared" si="193"/>
        <v>-</v>
      </c>
      <c r="AW157" s="1720" t="str">
        <f t="shared" si="193"/>
        <v>-</v>
      </c>
      <c r="AX157" s="2290" t="str">
        <f t="shared" si="193"/>
        <v>-</v>
      </c>
      <c r="AY157" s="1720" t="str">
        <f t="shared" si="193"/>
        <v>-</v>
      </c>
      <c r="AZ157" s="1720" t="str">
        <f t="shared" si="193"/>
        <v>-</v>
      </c>
      <c r="BA157" s="1720" t="str">
        <f t="shared" si="193"/>
        <v>-</v>
      </c>
      <c r="BB157" s="1721" t="str">
        <f t="shared" si="193"/>
        <v>-</v>
      </c>
      <c r="BC157" s="1720" t="str">
        <f t="shared" si="193"/>
        <v>-</v>
      </c>
      <c r="BD157" s="1720" t="str">
        <f t="shared" si="193"/>
        <v>-</v>
      </c>
      <c r="BE157" s="1720" t="str">
        <f t="shared" si="193"/>
        <v>-</v>
      </c>
      <c r="BF157" s="1720" t="str">
        <f t="shared" si="193"/>
        <v>-</v>
      </c>
      <c r="BG157" s="1721" t="str">
        <f t="shared" si="193"/>
        <v>-</v>
      </c>
      <c r="BH157" s="1048"/>
      <c r="BI157" s="2285" t="str">
        <f t="shared" si="182"/>
        <v>Qty</v>
      </c>
      <c r="BJ157" s="2286" t="str">
        <f t="shared" si="182"/>
        <v>[Service]</v>
      </c>
      <c r="BK157" s="2287" t="str">
        <f t="shared" si="182"/>
        <v>[Price]</v>
      </c>
      <c r="BL157" s="2288" t="str">
        <f t="shared" ref="BL157:BZ157" si="199">IF(OR(X157="",X157=0),"-",IFERROR((X157/W157-1)*(W158/W$13),"-"))</f>
        <v>-</v>
      </c>
      <c r="BM157" s="1720" t="str">
        <f t="shared" si="199"/>
        <v>-</v>
      </c>
      <c r="BN157" s="1720" t="str">
        <f t="shared" si="199"/>
        <v>-</v>
      </c>
      <c r="BO157" s="2289" t="str">
        <f t="shared" si="199"/>
        <v>-</v>
      </c>
      <c r="BP157" s="1720" t="str">
        <f t="shared" si="199"/>
        <v>-</v>
      </c>
      <c r="BQ157" s="2290" t="str">
        <f t="shared" si="199"/>
        <v>-</v>
      </c>
      <c r="BR157" s="1720" t="str">
        <f t="shared" si="199"/>
        <v>-</v>
      </c>
      <c r="BS157" s="1720" t="str">
        <f t="shared" si="199"/>
        <v>-</v>
      </c>
      <c r="BT157" s="1720" t="str">
        <f t="shared" si="199"/>
        <v>-</v>
      </c>
      <c r="BU157" s="1721" t="str">
        <f t="shared" si="199"/>
        <v>-</v>
      </c>
      <c r="BV157" s="1720" t="str">
        <f t="shared" si="199"/>
        <v>-</v>
      </c>
      <c r="BW157" s="1720" t="str">
        <f t="shared" si="199"/>
        <v>-</v>
      </c>
      <c r="BX157" s="1720" t="str">
        <f t="shared" si="199"/>
        <v>-</v>
      </c>
      <c r="BY157" s="1720" t="str">
        <f t="shared" si="199"/>
        <v>-</v>
      </c>
      <c r="BZ157" s="1721" t="str">
        <f t="shared" si="199"/>
        <v>-</v>
      </c>
      <c r="CA157" s="1048"/>
    </row>
    <row r="158" spans="3:79" ht="12.5" thickBot="1" x14ac:dyDescent="0.35">
      <c r="C158" s="126"/>
      <c r="D158" s="126"/>
      <c r="E158" s="559" t="s">
        <v>47</v>
      </c>
      <c r="F158" s="2162" t="str">
        <f t="shared" ref="F158:I158" si="200">+F156</f>
        <v>[Service]</v>
      </c>
      <c r="G158" s="2165">
        <f t="shared" si="200"/>
        <v>0</v>
      </c>
      <c r="H158" s="2165">
        <f t="shared" si="200"/>
        <v>0</v>
      </c>
      <c r="I158" s="2166" t="str">
        <f t="shared" si="200"/>
        <v>[Price]</v>
      </c>
      <c r="J158" s="2106" t="s">
        <v>347</v>
      </c>
      <c r="K158" s="1977"/>
      <c r="L158" s="1206"/>
      <c r="M158" s="1206"/>
      <c r="N158" s="1978"/>
      <c r="O158" s="1206"/>
      <c r="P158" s="1206"/>
      <c r="Q158" s="1206"/>
      <c r="R158" s="1206"/>
      <c r="S158" s="1978"/>
      <c r="T158" s="1206"/>
      <c r="U158" s="1206"/>
      <c r="V158" s="1206"/>
      <c r="W158" s="1731">
        <f t="shared" ref="W158:AG158" si="201">W156*W157/10^6</f>
        <v>0</v>
      </c>
      <c r="X158" s="1730">
        <f t="shared" si="201"/>
        <v>0</v>
      </c>
      <c r="Y158" s="1731">
        <f t="shared" si="201"/>
        <v>0</v>
      </c>
      <c r="Z158" s="1731">
        <f t="shared" si="201"/>
        <v>0</v>
      </c>
      <c r="AA158" s="1731">
        <f t="shared" si="201"/>
        <v>0</v>
      </c>
      <c r="AB158" s="1733">
        <f t="shared" si="201"/>
        <v>0</v>
      </c>
      <c r="AC158" s="1731">
        <f t="shared" si="201"/>
        <v>0</v>
      </c>
      <c r="AD158" s="1731">
        <f t="shared" si="201"/>
        <v>0</v>
      </c>
      <c r="AE158" s="1731">
        <f t="shared" si="201"/>
        <v>0</v>
      </c>
      <c r="AF158" s="1731">
        <f t="shared" si="201"/>
        <v>0</v>
      </c>
      <c r="AG158" s="1733">
        <f t="shared" si="201"/>
        <v>0</v>
      </c>
      <c r="AH158" s="1731">
        <f>AH156*AH157/10^6</f>
        <v>0</v>
      </c>
      <c r="AI158" s="1731">
        <f>AI156*AI157/10^6</f>
        <v>0</v>
      </c>
      <c r="AJ158" s="1731">
        <f>AJ156*AJ157/10^6</f>
        <v>0</v>
      </c>
      <c r="AK158" s="1731">
        <f>AK156*AK157/10^6</f>
        <v>0</v>
      </c>
      <c r="AL158" s="1733">
        <f>AL156*AL157/10^6</f>
        <v>0</v>
      </c>
      <c r="AM158" s="560"/>
      <c r="AN158" s="991"/>
      <c r="AO158" s="992"/>
      <c r="AP158" s="2304" t="str">
        <f t="shared" si="153"/>
        <v>Rev</v>
      </c>
      <c r="AQ158" s="2305" t="str">
        <f t="shared" si="153"/>
        <v>[Service]</v>
      </c>
      <c r="AR158" s="2306" t="str">
        <f t="shared" si="154"/>
        <v>[Price]</v>
      </c>
      <c r="AS158" s="2307" t="str">
        <f t="shared" si="193"/>
        <v>-</v>
      </c>
      <c r="AT158" s="1055" t="str">
        <f t="shared" si="193"/>
        <v>-</v>
      </c>
      <c r="AU158" s="1055" t="str">
        <f t="shared" si="193"/>
        <v>-</v>
      </c>
      <c r="AV158" s="2308" t="str">
        <f t="shared" si="193"/>
        <v>-</v>
      </c>
      <c r="AW158" s="1055" t="str">
        <f t="shared" si="193"/>
        <v>-</v>
      </c>
      <c r="AX158" s="2309" t="str">
        <f t="shared" si="193"/>
        <v>-</v>
      </c>
      <c r="AY158" s="1055" t="str">
        <f t="shared" si="193"/>
        <v>-</v>
      </c>
      <c r="AZ158" s="1055" t="str">
        <f t="shared" si="193"/>
        <v>-</v>
      </c>
      <c r="BA158" s="1055" t="str">
        <f t="shared" si="193"/>
        <v>-</v>
      </c>
      <c r="BB158" s="1056" t="str">
        <f t="shared" si="193"/>
        <v>-</v>
      </c>
      <c r="BC158" s="1055" t="str">
        <f t="shared" si="193"/>
        <v>-</v>
      </c>
      <c r="BD158" s="1055" t="str">
        <f t="shared" si="193"/>
        <v>-</v>
      </c>
      <c r="BE158" s="1055" t="str">
        <f t="shared" si="193"/>
        <v>-</v>
      </c>
      <c r="BF158" s="1055" t="str">
        <f t="shared" si="193"/>
        <v>-</v>
      </c>
      <c r="BG158" s="1056" t="str">
        <f t="shared" si="193"/>
        <v>-</v>
      </c>
      <c r="BH158" s="1048"/>
      <c r="BI158" s="2304" t="str">
        <f t="shared" si="182"/>
        <v>Rev</v>
      </c>
      <c r="BJ158" s="2305" t="str">
        <f t="shared" si="182"/>
        <v>[Service]</v>
      </c>
      <c r="BK158" s="2306" t="str">
        <f t="shared" si="182"/>
        <v>[Price]</v>
      </c>
      <c r="BL158" s="2307" t="str">
        <f t="shared" ref="BL158:BZ158" si="202">IF(OR(X158="",X158=0),"-",IFERROR((X158/W158-1)*(W158/W$13),"-"))</f>
        <v>-</v>
      </c>
      <c r="BM158" s="1055" t="str">
        <f t="shared" si="202"/>
        <v>-</v>
      </c>
      <c r="BN158" s="1055" t="str">
        <f t="shared" si="202"/>
        <v>-</v>
      </c>
      <c r="BO158" s="2308" t="str">
        <f t="shared" si="202"/>
        <v>-</v>
      </c>
      <c r="BP158" s="1055" t="str">
        <f t="shared" si="202"/>
        <v>-</v>
      </c>
      <c r="BQ158" s="2309" t="str">
        <f t="shared" si="202"/>
        <v>-</v>
      </c>
      <c r="BR158" s="1055" t="str">
        <f t="shared" si="202"/>
        <v>-</v>
      </c>
      <c r="BS158" s="1055" t="str">
        <f t="shared" si="202"/>
        <v>-</v>
      </c>
      <c r="BT158" s="1055" t="str">
        <f t="shared" si="202"/>
        <v>-</v>
      </c>
      <c r="BU158" s="1056" t="str">
        <f t="shared" si="202"/>
        <v>-</v>
      </c>
      <c r="BV158" s="1055" t="str">
        <f t="shared" si="202"/>
        <v>-</v>
      </c>
      <c r="BW158" s="1055" t="str">
        <f t="shared" si="202"/>
        <v>-</v>
      </c>
      <c r="BX158" s="1055" t="str">
        <f t="shared" si="202"/>
        <v>-</v>
      </c>
      <c r="BY158" s="1055" t="str">
        <f t="shared" si="202"/>
        <v>-</v>
      </c>
      <c r="BZ158" s="1056" t="str">
        <f t="shared" si="202"/>
        <v>-</v>
      </c>
      <c r="CA158" s="1048"/>
    </row>
    <row r="159" spans="3:79" x14ac:dyDescent="0.3">
      <c r="C159" s="126"/>
      <c r="D159" s="126">
        <f>D156+1</f>
        <v>31</v>
      </c>
      <c r="E159" s="553" t="s">
        <v>45</v>
      </c>
      <c r="F159" s="2105" t="s">
        <v>28</v>
      </c>
      <c r="G159" s="2105"/>
      <c r="H159" s="2105"/>
      <c r="I159" s="573" t="s">
        <v>319</v>
      </c>
      <c r="J159" s="573" t="s">
        <v>348</v>
      </c>
      <c r="K159" s="1969"/>
      <c r="L159" s="1970"/>
      <c r="M159" s="1970"/>
      <c r="N159" s="1971"/>
      <c r="O159" s="1970"/>
      <c r="P159" s="1970"/>
      <c r="Q159" s="1970"/>
      <c r="R159" s="1972"/>
      <c r="S159" s="1971"/>
      <c r="T159" s="1970"/>
      <c r="U159" s="1970"/>
      <c r="V159" s="1970"/>
      <c r="W159" s="1709"/>
      <c r="X159" s="1710"/>
      <c r="Y159" s="1709"/>
      <c r="Z159" s="1709"/>
      <c r="AA159" s="1709"/>
      <c r="AB159" s="1711"/>
      <c r="AC159" s="1709"/>
      <c r="AD159" s="1709"/>
      <c r="AE159" s="1709"/>
      <c r="AF159" s="1709"/>
      <c r="AG159" s="1712"/>
      <c r="AH159" s="1709"/>
      <c r="AI159" s="1709"/>
      <c r="AJ159" s="1709"/>
      <c r="AK159" s="1709"/>
      <c r="AL159" s="1712"/>
      <c r="AM159" s="560"/>
      <c r="AN159" s="1052"/>
      <c r="AO159" s="992"/>
      <c r="AP159" s="2297" t="str">
        <f t="shared" si="153"/>
        <v>Price</v>
      </c>
      <c r="AQ159" s="2298" t="str">
        <f t="shared" si="153"/>
        <v>[Service]</v>
      </c>
      <c r="AR159" s="1719" t="str">
        <f t="shared" si="154"/>
        <v>[Price]</v>
      </c>
      <c r="AS159" s="2299" t="str">
        <f t="shared" si="193"/>
        <v>-</v>
      </c>
      <c r="AT159" s="1728" t="str">
        <f t="shared" si="193"/>
        <v>-</v>
      </c>
      <c r="AU159" s="1728" t="str">
        <f t="shared" si="193"/>
        <v>-</v>
      </c>
      <c r="AV159" s="2300" t="str">
        <f t="shared" si="193"/>
        <v>-</v>
      </c>
      <c r="AW159" s="1728" t="str">
        <f t="shared" si="193"/>
        <v>-</v>
      </c>
      <c r="AX159" s="2301" t="str">
        <f t="shared" si="193"/>
        <v>-</v>
      </c>
      <c r="AY159" s="1728" t="str">
        <f t="shared" si="193"/>
        <v>-</v>
      </c>
      <c r="AZ159" s="1728" t="str">
        <f t="shared" si="193"/>
        <v>-</v>
      </c>
      <c r="BA159" s="1728" t="str">
        <f t="shared" si="193"/>
        <v>-</v>
      </c>
      <c r="BB159" s="1729" t="str">
        <f t="shared" si="193"/>
        <v>-</v>
      </c>
      <c r="BC159" s="1728" t="str">
        <f t="shared" si="193"/>
        <v>-</v>
      </c>
      <c r="BD159" s="1728" t="str">
        <f t="shared" si="193"/>
        <v>-</v>
      </c>
      <c r="BE159" s="1728" t="str">
        <f t="shared" si="193"/>
        <v>-</v>
      </c>
      <c r="BF159" s="1728" t="str">
        <f t="shared" si="193"/>
        <v>-</v>
      </c>
      <c r="BG159" s="1729" t="str">
        <f t="shared" si="193"/>
        <v>-</v>
      </c>
      <c r="BH159" s="1048"/>
      <c r="BI159" s="2297" t="str">
        <f t="shared" si="182"/>
        <v>Price</v>
      </c>
      <c r="BJ159" s="2298" t="str">
        <f t="shared" si="182"/>
        <v>[Service]</v>
      </c>
      <c r="BK159" s="1719" t="str">
        <f t="shared" si="182"/>
        <v>[Price]</v>
      </c>
      <c r="BL159" s="2299" t="str">
        <f t="shared" ref="BL159:BZ159" si="203">IF(OR(X159="",X159=0),"-",IFERROR((X159/W159-1)*(W161/W$13),"-"))</f>
        <v>-</v>
      </c>
      <c r="BM159" s="1053" t="str">
        <f t="shared" si="203"/>
        <v>-</v>
      </c>
      <c r="BN159" s="1053" t="str">
        <f t="shared" si="203"/>
        <v>-</v>
      </c>
      <c r="BO159" s="2302" t="str">
        <f t="shared" si="203"/>
        <v>-</v>
      </c>
      <c r="BP159" s="1053" t="str">
        <f t="shared" si="203"/>
        <v>-</v>
      </c>
      <c r="BQ159" s="2303" t="str">
        <f t="shared" si="203"/>
        <v>-</v>
      </c>
      <c r="BR159" s="1053" t="str">
        <f t="shared" si="203"/>
        <v>-</v>
      </c>
      <c r="BS159" s="1053" t="str">
        <f t="shared" si="203"/>
        <v>-</v>
      </c>
      <c r="BT159" s="1053" t="str">
        <f t="shared" si="203"/>
        <v>-</v>
      </c>
      <c r="BU159" s="1054" t="str">
        <f t="shared" si="203"/>
        <v>-</v>
      </c>
      <c r="BV159" s="1053" t="str">
        <f t="shared" si="203"/>
        <v>-</v>
      </c>
      <c r="BW159" s="1053" t="str">
        <f t="shared" si="203"/>
        <v>-</v>
      </c>
      <c r="BX159" s="1053" t="str">
        <f t="shared" si="203"/>
        <v>-</v>
      </c>
      <c r="BY159" s="1053" t="str">
        <f t="shared" si="203"/>
        <v>-</v>
      </c>
      <c r="BZ159" s="1054" t="str">
        <f t="shared" si="203"/>
        <v>-</v>
      </c>
      <c r="CA159" s="1048"/>
    </row>
    <row r="160" spans="3:79" x14ac:dyDescent="0.3">
      <c r="C160" s="126"/>
      <c r="D160" s="126"/>
      <c r="E160" s="558" t="s">
        <v>46</v>
      </c>
      <c r="F160" s="2161" t="str">
        <f t="shared" ref="F160:I175" si="204">+F159</f>
        <v>[Service]</v>
      </c>
      <c r="G160" s="2163">
        <f t="shared" si="204"/>
        <v>0</v>
      </c>
      <c r="H160" s="2163">
        <f t="shared" si="204"/>
        <v>0</v>
      </c>
      <c r="I160" s="2164" t="str">
        <f t="shared" si="204"/>
        <v>[Price]</v>
      </c>
      <c r="J160" s="574" t="s">
        <v>323</v>
      </c>
      <c r="K160" s="1973"/>
      <c r="L160" s="1974"/>
      <c r="M160" s="1974"/>
      <c r="N160" s="1975"/>
      <c r="O160" s="1974"/>
      <c r="P160" s="1974"/>
      <c r="Q160" s="1974"/>
      <c r="R160" s="1976"/>
      <c r="S160" s="1975"/>
      <c r="T160" s="1974"/>
      <c r="U160" s="1974"/>
      <c r="V160" s="1974"/>
      <c r="W160" s="1713"/>
      <c r="X160" s="1714"/>
      <c r="Y160" s="1713"/>
      <c r="Z160" s="1713"/>
      <c r="AA160" s="1713"/>
      <c r="AB160" s="1715"/>
      <c r="AC160" s="1713"/>
      <c r="AD160" s="1713"/>
      <c r="AE160" s="1713"/>
      <c r="AF160" s="1713"/>
      <c r="AG160" s="1716"/>
      <c r="AH160" s="1713"/>
      <c r="AI160" s="1713"/>
      <c r="AJ160" s="1713"/>
      <c r="AK160" s="1713"/>
      <c r="AL160" s="1716"/>
      <c r="AM160" s="560"/>
      <c r="AN160" s="991"/>
      <c r="AO160" s="992"/>
      <c r="AP160" s="2285" t="str">
        <f t="shared" si="153"/>
        <v>Qty</v>
      </c>
      <c r="AQ160" s="2286" t="str">
        <f t="shared" si="153"/>
        <v>[Service]</v>
      </c>
      <c r="AR160" s="2287" t="str">
        <f t="shared" si="154"/>
        <v>[Price]</v>
      </c>
      <c r="AS160" s="2288" t="str">
        <f t="shared" si="193"/>
        <v>-</v>
      </c>
      <c r="AT160" s="1720" t="str">
        <f t="shared" si="193"/>
        <v>-</v>
      </c>
      <c r="AU160" s="1720" t="str">
        <f t="shared" si="193"/>
        <v>-</v>
      </c>
      <c r="AV160" s="2289" t="str">
        <f t="shared" si="193"/>
        <v>-</v>
      </c>
      <c r="AW160" s="1720" t="str">
        <f t="shared" si="193"/>
        <v>-</v>
      </c>
      <c r="AX160" s="2290" t="str">
        <f t="shared" si="193"/>
        <v>-</v>
      </c>
      <c r="AY160" s="1720" t="str">
        <f t="shared" si="193"/>
        <v>-</v>
      </c>
      <c r="AZ160" s="1720" t="str">
        <f t="shared" si="193"/>
        <v>-</v>
      </c>
      <c r="BA160" s="1720" t="str">
        <f t="shared" si="193"/>
        <v>-</v>
      </c>
      <c r="BB160" s="1721" t="str">
        <f t="shared" si="193"/>
        <v>-</v>
      </c>
      <c r="BC160" s="1720" t="str">
        <f t="shared" si="193"/>
        <v>-</v>
      </c>
      <c r="BD160" s="1720" t="str">
        <f t="shared" si="193"/>
        <v>-</v>
      </c>
      <c r="BE160" s="1720" t="str">
        <f t="shared" si="193"/>
        <v>-</v>
      </c>
      <c r="BF160" s="1720" t="str">
        <f t="shared" si="193"/>
        <v>-</v>
      </c>
      <c r="BG160" s="1721" t="str">
        <f t="shared" si="193"/>
        <v>-</v>
      </c>
      <c r="BH160" s="1048"/>
      <c r="BI160" s="2285" t="str">
        <f t="shared" si="182"/>
        <v>Qty</v>
      </c>
      <c r="BJ160" s="2286" t="str">
        <f t="shared" si="182"/>
        <v>[Service]</v>
      </c>
      <c r="BK160" s="2287" t="str">
        <f t="shared" si="182"/>
        <v>[Price]</v>
      </c>
      <c r="BL160" s="2288" t="str">
        <f t="shared" ref="BL160:BZ160" si="205">IF(OR(X160="",X160=0),"-",IFERROR((X160/W160-1)*(W161/W$13),"-"))</f>
        <v>-</v>
      </c>
      <c r="BM160" s="1720" t="str">
        <f t="shared" si="205"/>
        <v>-</v>
      </c>
      <c r="BN160" s="1720" t="str">
        <f t="shared" si="205"/>
        <v>-</v>
      </c>
      <c r="BO160" s="2289" t="str">
        <f t="shared" si="205"/>
        <v>-</v>
      </c>
      <c r="BP160" s="1720" t="str">
        <f t="shared" si="205"/>
        <v>-</v>
      </c>
      <c r="BQ160" s="2290" t="str">
        <f t="shared" si="205"/>
        <v>-</v>
      </c>
      <c r="BR160" s="1720" t="str">
        <f t="shared" si="205"/>
        <v>-</v>
      </c>
      <c r="BS160" s="1720" t="str">
        <f t="shared" si="205"/>
        <v>-</v>
      </c>
      <c r="BT160" s="1720" t="str">
        <f t="shared" si="205"/>
        <v>-</v>
      </c>
      <c r="BU160" s="1721" t="str">
        <f t="shared" si="205"/>
        <v>-</v>
      </c>
      <c r="BV160" s="1720" t="str">
        <f t="shared" si="205"/>
        <v>-</v>
      </c>
      <c r="BW160" s="1720" t="str">
        <f t="shared" si="205"/>
        <v>-</v>
      </c>
      <c r="BX160" s="1720" t="str">
        <f t="shared" si="205"/>
        <v>-</v>
      </c>
      <c r="BY160" s="1720" t="str">
        <f t="shared" si="205"/>
        <v>-</v>
      </c>
      <c r="BZ160" s="1721" t="str">
        <f t="shared" si="205"/>
        <v>-</v>
      </c>
      <c r="CA160" s="1048"/>
    </row>
    <row r="161" spans="3:79" ht="12.5" thickBot="1" x14ac:dyDescent="0.35">
      <c r="C161" s="126"/>
      <c r="D161" s="126"/>
      <c r="E161" s="559" t="s">
        <v>47</v>
      </c>
      <c r="F161" s="2162" t="str">
        <f t="shared" ref="F161:I161" si="206">+F159</f>
        <v>[Service]</v>
      </c>
      <c r="G161" s="2165">
        <f t="shared" si="206"/>
        <v>0</v>
      </c>
      <c r="H161" s="2165">
        <f t="shared" si="206"/>
        <v>0</v>
      </c>
      <c r="I161" s="2166" t="str">
        <f t="shared" si="206"/>
        <v>[Price]</v>
      </c>
      <c r="J161" s="2106" t="s">
        <v>347</v>
      </c>
      <c r="K161" s="1977"/>
      <c r="L161" s="1206"/>
      <c r="M161" s="1206"/>
      <c r="N161" s="1978"/>
      <c r="O161" s="1206"/>
      <c r="P161" s="1206"/>
      <c r="Q161" s="1206"/>
      <c r="R161" s="1206"/>
      <c r="S161" s="1978"/>
      <c r="T161" s="1206"/>
      <c r="U161" s="1206"/>
      <c r="V161" s="1206"/>
      <c r="W161" s="1731">
        <f t="shared" ref="W161:AG161" si="207">W159*W160/10^6</f>
        <v>0</v>
      </c>
      <c r="X161" s="1730">
        <f t="shared" si="207"/>
        <v>0</v>
      </c>
      <c r="Y161" s="1731">
        <f t="shared" si="207"/>
        <v>0</v>
      </c>
      <c r="Z161" s="1731">
        <f t="shared" si="207"/>
        <v>0</v>
      </c>
      <c r="AA161" s="1731">
        <f t="shared" si="207"/>
        <v>0</v>
      </c>
      <c r="AB161" s="1733">
        <f t="shared" si="207"/>
        <v>0</v>
      </c>
      <c r="AC161" s="1731">
        <f t="shared" si="207"/>
        <v>0</v>
      </c>
      <c r="AD161" s="1731">
        <f t="shared" si="207"/>
        <v>0</v>
      </c>
      <c r="AE161" s="1731">
        <f t="shared" si="207"/>
        <v>0</v>
      </c>
      <c r="AF161" s="1731">
        <f t="shared" si="207"/>
        <v>0</v>
      </c>
      <c r="AG161" s="1733">
        <f t="shared" si="207"/>
        <v>0</v>
      </c>
      <c r="AH161" s="1731">
        <f>AH159*AH160/10^6</f>
        <v>0</v>
      </c>
      <c r="AI161" s="1731">
        <f>AI159*AI160/10^6</f>
        <v>0</v>
      </c>
      <c r="AJ161" s="1731">
        <f>AJ159*AJ160/10^6</f>
        <v>0</v>
      </c>
      <c r="AK161" s="1731">
        <f>AK159*AK160/10^6</f>
        <v>0</v>
      </c>
      <c r="AL161" s="1733">
        <f>AL159*AL160/10^6</f>
        <v>0</v>
      </c>
      <c r="AM161" s="560"/>
      <c r="AN161" s="991"/>
      <c r="AO161" s="992"/>
      <c r="AP161" s="2304" t="str">
        <f t="shared" si="153"/>
        <v>Rev</v>
      </c>
      <c r="AQ161" s="2305" t="str">
        <f t="shared" si="153"/>
        <v>[Service]</v>
      </c>
      <c r="AR161" s="2306" t="str">
        <f t="shared" si="154"/>
        <v>[Price]</v>
      </c>
      <c r="AS161" s="2307" t="str">
        <f t="shared" si="193"/>
        <v>-</v>
      </c>
      <c r="AT161" s="1055" t="str">
        <f t="shared" si="193"/>
        <v>-</v>
      </c>
      <c r="AU161" s="1055" t="str">
        <f t="shared" si="193"/>
        <v>-</v>
      </c>
      <c r="AV161" s="2308" t="str">
        <f t="shared" si="193"/>
        <v>-</v>
      </c>
      <c r="AW161" s="1055" t="str">
        <f t="shared" si="193"/>
        <v>-</v>
      </c>
      <c r="AX161" s="2309" t="str">
        <f t="shared" si="193"/>
        <v>-</v>
      </c>
      <c r="AY161" s="1055" t="str">
        <f t="shared" si="193"/>
        <v>-</v>
      </c>
      <c r="AZ161" s="1055" t="str">
        <f t="shared" si="193"/>
        <v>-</v>
      </c>
      <c r="BA161" s="1055" t="str">
        <f t="shared" si="193"/>
        <v>-</v>
      </c>
      <c r="BB161" s="1056" t="str">
        <f t="shared" si="193"/>
        <v>-</v>
      </c>
      <c r="BC161" s="1055" t="str">
        <f t="shared" si="193"/>
        <v>-</v>
      </c>
      <c r="BD161" s="1055" t="str">
        <f t="shared" si="193"/>
        <v>-</v>
      </c>
      <c r="BE161" s="1055" t="str">
        <f t="shared" si="193"/>
        <v>-</v>
      </c>
      <c r="BF161" s="1055" t="str">
        <f t="shared" si="193"/>
        <v>-</v>
      </c>
      <c r="BG161" s="1056" t="str">
        <f t="shared" si="193"/>
        <v>-</v>
      </c>
      <c r="BH161" s="1048"/>
      <c r="BI161" s="2304" t="str">
        <f t="shared" si="182"/>
        <v>Rev</v>
      </c>
      <c r="BJ161" s="2305" t="str">
        <f t="shared" si="182"/>
        <v>[Service]</v>
      </c>
      <c r="BK161" s="2306" t="str">
        <f t="shared" si="182"/>
        <v>[Price]</v>
      </c>
      <c r="BL161" s="2307" t="str">
        <f t="shared" ref="BL161:BZ161" si="208">IF(OR(X161="",X161=0),"-",IFERROR((X161/W161-1)*(W161/W$13),"-"))</f>
        <v>-</v>
      </c>
      <c r="BM161" s="1055" t="str">
        <f t="shared" si="208"/>
        <v>-</v>
      </c>
      <c r="BN161" s="1055" t="str">
        <f t="shared" si="208"/>
        <v>-</v>
      </c>
      <c r="BO161" s="2308" t="str">
        <f t="shared" si="208"/>
        <v>-</v>
      </c>
      <c r="BP161" s="1055" t="str">
        <f t="shared" si="208"/>
        <v>-</v>
      </c>
      <c r="BQ161" s="2309" t="str">
        <f t="shared" si="208"/>
        <v>-</v>
      </c>
      <c r="BR161" s="1055" t="str">
        <f t="shared" si="208"/>
        <v>-</v>
      </c>
      <c r="BS161" s="1055" t="str">
        <f t="shared" si="208"/>
        <v>-</v>
      </c>
      <c r="BT161" s="1055" t="str">
        <f t="shared" si="208"/>
        <v>-</v>
      </c>
      <c r="BU161" s="1056" t="str">
        <f t="shared" si="208"/>
        <v>-</v>
      </c>
      <c r="BV161" s="1055" t="str">
        <f t="shared" si="208"/>
        <v>-</v>
      </c>
      <c r="BW161" s="1055" t="str">
        <f t="shared" si="208"/>
        <v>-</v>
      </c>
      <c r="BX161" s="1055" t="str">
        <f t="shared" si="208"/>
        <v>-</v>
      </c>
      <c r="BY161" s="1055" t="str">
        <f t="shared" si="208"/>
        <v>-</v>
      </c>
      <c r="BZ161" s="1056" t="str">
        <f t="shared" si="208"/>
        <v>-</v>
      </c>
      <c r="CA161" s="1048"/>
    </row>
    <row r="162" spans="3:79" x14ac:dyDescent="0.3">
      <c r="C162" s="126"/>
      <c r="D162" s="126">
        <f>D159+1</f>
        <v>32</v>
      </c>
      <c r="E162" s="553" t="s">
        <v>45</v>
      </c>
      <c r="F162" s="2105" t="s">
        <v>28</v>
      </c>
      <c r="G162" s="2105"/>
      <c r="H162" s="2105"/>
      <c r="I162" s="573" t="s">
        <v>319</v>
      </c>
      <c r="J162" s="573" t="s">
        <v>348</v>
      </c>
      <c r="K162" s="1969"/>
      <c r="L162" s="1970"/>
      <c r="M162" s="1970"/>
      <c r="N162" s="1971"/>
      <c r="O162" s="1970"/>
      <c r="P162" s="1970"/>
      <c r="Q162" s="1970"/>
      <c r="R162" s="1972"/>
      <c r="S162" s="1971"/>
      <c r="T162" s="1970"/>
      <c r="U162" s="1970"/>
      <c r="V162" s="1970"/>
      <c r="W162" s="1709"/>
      <c r="X162" s="1710"/>
      <c r="Y162" s="1709"/>
      <c r="Z162" s="1709"/>
      <c r="AA162" s="1709"/>
      <c r="AB162" s="1711"/>
      <c r="AC162" s="1709"/>
      <c r="AD162" s="1709"/>
      <c r="AE162" s="1709"/>
      <c r="AF162" s="1709"/>
      <c r="AG162" s="1712"/>
      <c r="AH162" s="1709"/>
      <c r="AI162" s="1709"/>
      <c r="AJ162" s="1709"/>
      <c r="AK162" s="1709"/>
      <c r="AL162" s="1712"/>
      <c r="AM162" s="560"/>
      <c r="AN162" s="1052"/>
      <c r="AO162" s="992"/>
      <c r="AP162" s="2297" t="str">
        <f t="shared" si="153"/>
        <v>Price</v>
      </c>
      <c r="AQ162" s="2298" t="str">
        <f t="shared" si="153"/>
        <v>[Service]</v>
      </c>
      <c r="AR162" s="1719" t="str">
        <f t="shared" si="154"/>
        <v>[Price]</v>
      </c>
      <c r="AS162" s="2299" t="str">
        <f t="shared" si="193"/>
        <v>-</v>
      </c>
      <c r="AT162" s="1728" t="str">
        <f t="shared" si="193"/>
        <v>-</v>
      </c>
      <c r="AU162" s="1728" t="str">
        <f t="shared" si="193"/>
        <v>-</v>
      </c>
      <c r="AV162" s="2300" t="str">
        <f t="shared" si="193"/>
        <v>-</v>
      </c>
      <c r="AW162" s="1728" t="str">
        <f t="shared" si="193"/>
        <v>-</v>
      </c>
      <c r="AX162" s="2301" t="str">
        <f t="shared" si="193"/>
        <v>-</v>
      </c>
      <c r="AY162" s="1728" t="str">
        <f t="shared" si="193"/>
        <v>-</v>
      </c>
      <c r="AZ162" s="1728" t="str">
        <f t="shared" si="193"/>
        <v>-</v>
      </c>
      <c r="BA162" s="1728" t="str">
        <f t="shared" si="193"/>
        <v>-</v>
      </c>
      <c r="BB162" s="1729" t="str">
        <f t="shared" si="193"/>
        <v>-</v>
      </c>
      <c r="BC162" s="1728" t="str">
        <f t="shared" si="193"/>
        <v>-</v>
      </c>
      <c r="BD162" s="1728" t="str">
        <f t="shared" si="193"/>
        <v>-</v>
      </c>
      <c r="BE162" s="1728" t="str">
        <f t="shared" si="193"/>
        <v>-</v>
      </c>
      <c r="BF162" s="1728" t="str">
        <f t="shared" si="193"/>
        <v>-</v>
      </c>
      <c r="BG162" s="1729" t="str">
        <f t="shared" si="193"/>
        <v>-</v>
      </c>
      <c r="BH162" s="1048"/>
      <c r="BI162" s="2297" t="str">
        <f t="shared" si="182"/>
        <v>Price</v>
      </c>
      <c r="BJ162" s="2298" t="str">
        <f t="shared" si="182"/>
        <v>[Service]</v>
      </c>
      <c r="BK162" s="1719" t="str">
        <f t="shared" si="182"/>
        <v>[Price]</v>
      </c>
      <c r="BL162" s="2299" t="str">
        <f t="shared" ref="BL162:BZ162" si="209">IF(OR(X162="",X162=0),"-",IFERROR((X162/W162-1)*(W164/W$13),"-"))</f>
        <v>-</v>
      </c>
      <c r="BM162" s="1053" t="str">
        <f t="shared" si="209"/>
        <v>-</v>
      </c>
      <c r="BN162" s="1053" t="str">
        <f t="shared" si="209"/>
        <v>-</v>
      </c>
      <c r="BO162" s="2302" t="str">
        <f t="shared" si="209"/>
        <v>-</v>
      </c>
      <c r="BP162" s="1053" t="str">
        <f t="shared" si="209"/>
        <v>-</v>
      </c>
      <c r="BQ162" s="2303" t="str">
        <f t="shared" si="209"/>
        <v>-</v>
      </c>
      <c r="BR162" s="1053" t="str">
        <f t="shared" si="209"/>
        <v>-</v>
      </c>
      <c r="BS162" s="1053" t="str">
        <f t="shared" si="209"/>
        <v>-</v>
      </c>
      <c r="BT162" s="1053" t="str">
        <f t="shared" si="209"/>
        <v>-</v>
      </c>
      <c r="BU162" s="1054" t="str">
        <f t="shared" si="209"/>
        <v>-</v>
      </c>
      <c r="BV162" s="1053" t="str">
        <f t="shared" si="209"/>
        <v>-</v>
      </c>
      <c r="BW162" s="1053" t="str">
        <f t="shared" si="209"/>
        <v>-</v>
      </c>
      <c r="BX162" s="1053" t="str">
        <f t="shared" si="209"/>
        <v>-</v>
      </c>
      <c r="BY162" s="1053" t="str">
        <f t="shared" si="209"/>
        <v>-</v>
      </c>
      <c r="BZ162" s="1054" t="str">
        <f t="shared" si="209"/>
        <v>-</v>
      </c>
      <c r="CA162" s="1048"/>
    </row>
    <row r="163" spans="3:79" x14ac:dyDescent="0.3">
      <c r="C163" s="126"/>
      <c r="D163" s="126"/>
      <c r="E163" s="558" t="s">
        <v>46</v>
      </c>
      <c r="F163" s="2161" t="str">
        <f t="shared" si="204"/>
        <v>[Service]</v>
      </c>
      <c r="G163" s="2163">
        <f t="shared" si="204"/>
        <v>0</v>
      </c>
      <c r="H163" s="2163">
        <f t="shared" si="204"/>
        <v>0</v>
      </c>
      <c r="I163" s="2164" t="str">
        <f t="shared" si="204"/>
        <v>[Price]</v>
      </c>
      <c r="J163" s="574" t="s">
        <v>323</v>
      </c>
      <c r="K163" s="1973"/>
      <c r="L163" s="1974"/>
      <c r="M163" s="1974"/>
      <c r="N163" s="1975"/>
      <c r="O163" s="1974"/>
      <c r="P163" s="1974"/>
      <c r="Q163" s="1974"/>
      <c r="R163" s="1976"/>
      <c r="S163" s="1975"/>
      <c r="T163" s="1974"/>
      <c r="U163" s="1974"/>
      <c r="V163" s="1974"/>
      <c r="W163" s="1713"/>
      <c r="X163" s="1714"/>
      <c r="Y163" s="1713"/>
      <c r="Z163" s="1713"/>
      <c r="AA163" s="1713"/>
      <c r="AB163" s="1715"/>
      <c r="AC163" s="1713"/>
      <c r="AD163" s="1713"/>
      <c r="AE163" s="1713"/>
      <c r="AF163" s="1713"/>
      <c r="AG163" s="1716"/>
      <c r="AH163" s="1713"/>
      <c r="AI163" s="1713"/>
      <c r="AJ163" s="1713"/>
      <c r="AK163" s="1713"/>
      <c r="AL163" s="1716"/>
      <c r="AM163" s="560"/>
      <c r="AN163" s="991"/>
      <c r="AO163" s="992"/>
      <c r="AP163" s="2285" t="str">
        <f t="shared" si="153"/>
        <v>Qty</v>
      </c>
      <c r="AQ163" s="2286" t="str">
        <f t="shared" si="153"/>
        <v>[Service]</v>
      </c>
      <c r="AR163" s="2287" t="str">
        <f t="shared" si="154"/>
        <v>[Price]</v>
      </c>
      <c r="AS163" s="2288" t="str">
        <f t="shared" si="193"/>
        <v>-</v>
      </c>
      <c r="AT163" s="1720" t="str">
        <f t="shared" si="193"/>
        <v>-</v>
      </c>
      <c r="AU163" s="1720" t="str">
        <f t="shared" si="193"/>
        <v>-</v>
      </c>
      <c r="AV163" s="2289" t="str">
        <f t="shared" si="193"/>
        <v>-</v>
      </c>
      <c r="AW163" s="1720" t="str">
        <f t="shared" si="193"/>
        <v>-</v>
      </c>
      <c r="AX163" s="2290" t="str">
        <f t="shared" si="193"/>
        <v>-</v>
      </c>
      <c r="AY163" s="1720" t="str">
        <f t="shared" si="193"/>
        <v>-</v>
      </c>
      <c r="AZ163" s="1720" t="str">
        <f t="shared" si="193"/>
        <v>-</v>
      </c>
      <c r="BA163" s="1720" t="str">
        <f t="shared" si="193"/>
        <v>-</v>
      </c>
      <c r="BB163" s="1721" t="str">
        <f t="shared" si="193"/>
        <v>-</v>
      </c>
      <c r="BC163" s="1720" t="str">
        <f t="shared" si="193"/>
        <v>-</v>
      </c>
      <c r="BD163" s="1720" t="str">
        <f t="shared" si="193"/>
        <v>-</v>
      </c>
      <c r="BE163" s="1720" t="str">
        <f t="shared" si="193"/>
        <v>-</v>
      </c>
      <c r="BF163" s="1720" t="str">
        <f t="shared" si="193"/>
        <v>-</v>
      </c>
      <c r="BG163" s="1721" t="str">
        <f t="shared" si="193"/>
        <v>-</v>
      </c>
      <c r="BH163" s="1048"/>
      <c r="BI163" s="2285" t="str">
        <f t="shared" si="182"/>
        <v>Qty</v>
      </c>
      <c r="BJ163" s="2286" t="str">
        <f t="shared" si="182"/>
        <v>[Service]</v>
      </c>
      <c r="BK163" s="2287" t="str">
        <f t="shared" si="182"/>
        <v>[Price]</v>
      </c>
      <c r="BL163" s="2288" t="str">
        <f t="shared" ref="BL163:BZ163" si="210">IF(OR(X163="",X163=0),"-",IFERROR((X163/W163-1)*(W164/W$13),"-"))</f>
        <v>-</v>
      </c>
      <c r="BM163" s="1720" t="str">
        <f t="shared" si="210"/>
        <v>-</v>
      </c>
      <c r="BN163" s="1720" t="str">
        <f t="shared" si="210"/>
        <v>-</v>
      </c>
      <c r="BO163" s="2289" t="str">
        <f t="shared" si="210"/>
        <v>-</v>
      </c>
      <c r="BP163" s="1720" t="str">
        <f t="shared" si="210"/>
        <v>-</v>
      </c>
      <c r="BQ163" s="2290" t="str">
        <f t="shared" si="210"/>
        <v>-</v>
      </c>
      <c r="BR163" s="1720" t="str">
        <f t="shared" si="210"/>
        <v>-</v>
      </c>
      <c r="BS163" s="1720" t="str">
        <f t="shared" si="210"/>
        <v>-</v>
      </c>
      <c r="BT163" s="1720" t="str">
        <f t="shared" si="210"/>
        <v>-</v>
      </c>
      <c r="BU163" s="1721" t="str">
        <f t="shared" si="210"/>
        <v>-</v>
      </c>
      <c r="BV163" s="1720" t="str">
        <f t="shared" si="210"/>
        <v>-</v>
      </c>
      <c r="BW163" s="1720" t="str">
        <f t="shared" si="210"/>
        <v>-</v>
      </c>
      <c r="BX163" s="1720" t="str">
        <f t="shared" si="210"/>
        <v>-</v>
      </c>
      <c r="BY163" s="1720" t="str">
        <f t="shared" si="210"/>
        <v>-</v>
      </c>
      <c r="BZ163" s="1721" t="str">
        <f t="shared" si="210"/>
        <v>-</v>
      </c>
      <c r="CA163" s="1048"/>
    </row>
    <row r="164" spans="3:79" ht="12.5" thickBot="1" x14ac:dyDescent="0.35">
      <c r="C164" s="126"/>
      <c r="D164" s="126"/>
      <c r="E164" s="559" t="s">
        <v>47</v>
      </c>
      <c r="F164" s="2162" t="str">
        <f t="shared" ref="F164:I164" si="211">+F162</f>
        <v>[Service]</v>
      </c>
      <c r="G164" s="2165">
        <f t="shared" si="211"/>
        <v>0</v>
      </c>
      <c r="H164" s="2165">
        <f t="shared" si="211"/>
        <v>0</v>
      </c>
      <c r="I164" s="2166" t="str">
        <f t="shared" si="211"/>
        <v>[Price]</v>
      </c>
      <c r="J164" s="2106" t="s">
        <v>347</v>
      </c>
      <c r="K164" s="1977"/>
      <c r="L164" s="1206"/>
      <c r="M164" s="1206"/>
      <c r="N164" s="1978"/>
      <c r="O164" s="1206"/>
      <c r="P164" s="1206"/>
      <c r="Q164" s="1206"/>
      <c r="R164" s="1206"/>
      <c r="S164" s="1978"/>
      <c r="T164" s="1206"/>
      <c r="U164" s="1206"/>
      <c r="V164" s="1206"/>
      <c r="W164" s="1731">
        <f t="shared" ref="W164:AG164" si="212">W162*W163/10^6</f>
        <v>0</v>
      </c>
      <c r="X164" s="1730">
        <f t="shared" si="212"/>
        <v>0</v>
      </c>
      <c r="Y164" s="1731">
        <f t="shared" si="212"/>
        <v>0</v>
      </c>
      <c r="Z164" s="1731">
        <f t="shared" si="212"/>
        <v>0</v>
      </c>
      <c r="AA164" s="1731">
        <f t="shared" si="212"/>
        <v>0</v>
      </c>
      <c r="AB164" s="1733">
        <f t="shared" si="212"/>
        <v>0</v>
      </c>
      <c r="AC164" s="1731">
        <f t="shared" si="212"/>
        <v>0</v>
      </c>
      <c r="AD164" s="1731">
        <f t="shared" si="212"/>
        <v>0</v>
      </c>
      <c r="AE164" s="1731">
        <f t="shared" si="212"/>
        <v>0</v>
      </c>
      <c r="AF164" s="1731">
        <f t="shared" si="212"/>
        <v>0</v>
      </c>
      <c r="AG164" s="1733">
        <f t="shared" si="212"/>
        <v>0</v>
      </c>
      <c r="AH164" s="1731">
        <f>AH162*AH163/10^6</f>
        <v>0</v>
      </c>
      <c r="AI164" s="1731">
        <f>AI162*AI163/10^6</f>
        <v>0</v>
      </c>
      <c r="AJ164" s="1731">
        <f>AJ162*AJ163/10^6</f>
        <v>0</v>
      </c>
      <c r="AK164" s="1731">
        <f>AK162*AK163/10^6</f>
        <v>0</v>
      </c>
      <c r="AL164" s="1733">
        <f>AL162*AL163/10^6</f>
        <v>0</v>
      </c>
      <c r="AM164" s="560"/>
      <c r="AN164" s="991"/>
      <c r="AO164" s="992"/>
      <c r="AP164" s="2304" t="str">
        <f t="shared" si="153"/>
        <v>Rev</v>
      </c>
      <c r="AQ164" s="2305" t="str">
        <f t="shared" si="153"/>
        <v>[Service]</v>
      </c>
      <c r="AR164" s="2306" t="str">
        <f t="shared" si="154"/>
        <v>[Price]</v>
      </c>
      <c r="AS164" s="2307" t="str">
        <f t="shared" si="193"/>
        <v>-</v>
      </c>
      <c r="AT164" s="1055" t="str">
        <f t="shared" si="193"/>
        <v>-</v>
      </c>
      <c r="AU164" s="1055" t="str">
        <f t="shared" si="193"/>
        <v>-</v>
      </c>
      <c r="AV164" s="2308" t="str">
        <f t="shared" si="193"/>
        <v>-</v>
      </c>
      <c r="AW164" s="1055" t="str">
        <f t="shared" si="193"/>
        <v>-</v>
      </c>
      <c r="AX164" s="2309" t="str">
        <f t="shared" si="193"/>
        <v>-</v>
      </c>
      <c r="AY164" s="1055" t="str">
        <f t="shared" si="193"/>
        <v>-</v>
      </c>
      <c r="AZ164" s="1055" t="str">
        <f t="shared" si="193"/>
        <v>-</v>
      </c>
      <c r="BA164" s="1055" t="str">
        <f t="shared" si="193"/>
        <v>-</v>
      </c>
      <c r="BB164" s="1056" t="str">
        <f t="shared" si="193"/>
        <v>-</v>
      </c>
      <c r="BC164" s="1055" t="str">
        <f t="shared" si="193"/>
        <v>-</v>
      </c>
      <c r="BD164" s="1055" t="str">
        <f t="shared" si="193"/>
        <v>-</v>
      </c>
      <c r="BE164" s="1055" t="str">
        <f t="shared" si="193"/>
        <v>-</v>
      </c>
      <c r="BF164" s="1055" t="str">
        <f t="shared" si="193"/>
        <v>-</v>
      </c>
      <c r="BG164" s="1056" t="str">
        <f t="shared" si="193"/>
        <v>-</v>
      </c>
      <c r="BH164" s="1048"/>
      <c r="BI164" s="2304" t="str">
        <f t="shared" si="182"/>
        <v>Rev</v>
      </c>
      <c r="BJ164" s="2305" t="str">
        <f t="shared" si="182"/>
        <v>[Service]</v>
      </c>
      <c r="BK164" s="2306" t="str">
        <f t="shared" si="182"/>
        <v>[Price]</v>
      </c>
      <c r="BL164" s="2307" t="str">
        <f t="shared" ref="BL164:BZ164" si="213">IF(OR(X164="",X164=0),"-",IFERROR((X164/W164-1)*(W164/W$13),"-"))</f>
        <v>-</v>
      </c>
      <c r="BM164" s="1055" t="str">
        <f t="shared" si="213"/>
        <v>-</v>
      </c>
      <c r="BN164" s="1055" t="str">
        <f t="shared" si="213"/>
        <v>-</v>
      </c>
      <c r="BO164" s="2308" t="str">
        <f t="shared" si="213"/>
        <v>-</v>
      </c>
      <c r="BP164" s="1055" t="str">
        <f t="shared" si="213"/>
        <v>-</v>
      </c>
      <c r="BQ164" s="2309" t="str">
        <f t="shared" si="213"/>
        <v>-</v>
      </c>
      <c r="BR164" s="1055" t="str">
        <f t="shared" si="213"/>
        <v>-</v>
      </c>
      <c r="BS164" s="1055" t="str">
        <f t="shared" si="213"/>
        <v>-</v>
      </c>
      <c r="BT164" s="1055" t="str">
        <f t="shared" si="213"/>
        <v>-</v>
      </c>
      <c r="BU164" s="1056" t="str">
        <f t="shared" si="213"/>
        <v>-</v>
      </c>
      <c r="BV164" s="1055" t="str">
        <f t="shared" si="213"/>
        <v>-</v>
      </c>
      <c r="BW164" s="1055" t="str">
        <f t="shared" si="213"/>
        <v>-</v>
      </c>
      <c r="BX164" s="1055" t="str">
        <f t="shared" si="213"/>
        <v>-</v>
      </c>
      <c r="BY164" s="1055" t="str">
        <f t="shared" si="213"/>
        <v>-</v>
      </c>
      <c r="BZ164" s="1056" t="str">
        <f t="shared" si="213"/>
        <v>-</v>
      </c>
      <c r="CA164" s="1048"/>
    </row>
    <row r="165" spans="3:79" x14ac:dyDescent="0.3">
      <c r="C165" s="126"/>
      <c r="D165" s="126">
        <f>D162+1</f>
        <v>33</v>
      </c>
      <c r="E165" s="553" t="s">
        <v>45</v>
      </c>
      <c r="F165" s="2105" t="s">
        <v>28</v>
      </c>
      <c r="G165" s="2105"/>
      <c r="H165" s="2105"/>
      <c r="I165" s="573" t="s">
        <v>319</v>
      </c>
      <c r="J165" s="573" t="s">
        <v>348</v>
      </c>
      <c r="K165" s="1969"/>
      <c r="L165" s="1970"/>
      <c r="M165" s="1970"/>
      <c r="N165" s="1971"/>
      <c r="O165" s="1970"/>
      <c r="P165" s="1970"/>
      <c r="Q165" s="1970"/>
      <c r="R165" s="1972"/>
      <c r="S165" s="1971"/>
      <c r="T165" s="1970"/>
      <c r="U165" s="1970"/>
      <c r="V165" s="1970"/>
      <c r="W165" s="1709"/>
      <c r="X165" s="1710"/>
      <c r="Y165" s="1709"/>
      <c r="Z165" s="1709"/>
      <c r="AA165" s="1709"/>
      <c r="AB165" s="1711"/>
      <c r="AC165" s="1709"/>
      <c r="AD165" s="1709"/>
      <c r="AE165" s="1709"/>
      <c r="AF165" s="1709"/>
      <c r="AG165" s="1712"/>
      <c r="AH165" s="1709"/>
      <c r="AI165" s="1709"/>
      <c r="AJ165" s="1709"/>
      <c r="AK165" s="1709"/>
      <c r="AL165" s="1712"/>
      <c r="AM165" s="560"/>
      <c r="AN165" s="1052"/>
      <c r="AO165" s="992"/>
      <c r="AP165" s="2297" t="str">
        <f t="shared" si="153"/>
        <v>Price</v>
      </c>
      <c r="AQ165" s="2298" t="str">
        <f t="shared" si="153"/>
        <v>[Service]</v>
      </c>
      <c r="AR165" s="1719" t="str">
        <f t="shared" si="154"/>
        <v>[Price]</v>
      </c>
      <c r="AS165" s="2299" t="str">
        <f t="shared" si="193"/>
        <v>-</v>
      </c>
      <c r="AT165" s="1728" t="str">
        <f t="shared" si="193"/>
        <v>-</v>
      </c>
      <c r="AU165" s="1728" t="str">
        <f t="shared" si="193"/>
        <v>-</v>
      </c>
      <c r="AV165" s="2300" t="str">
        <f t="shared" si="193"/>
        <v>-</v>
      </c>
      <c r="AW165" s="1728" t="str">
        <f t="shared" si="193"/>
        <v>-</v>
      </c>
      <c r="AX165" s="2301" t="str">
        <f t="shared" si="193"/>
        <v>-</v>
      </c>
      <c r="AY165" s="1728" t="str">
        <f t="shared" si="193"/>
        <v>-</v>
      </c>
      <c r="AZ165" s="1728" t="str">
        <f t="shared" si="193"/>
        <v>-</v>
      </c>
      <c r="BA165" s="1728" t="str">
        <f t="shared" si="193"/>
        <v>-</v>
      </c>
      <c r="BB165" s="1729" t="str">
        <f t="shared" si="193"/>
        <v>-</v>
      </c>
      <c r="BC165" s="1728" t="str">
        <f t="shared" si="193"/>
        <v>-</v>
      </c>
      <c r="BD165" s="1728" t="str">
        <f t="shared" si="193"/>
        <v>-</v>
      </c>
      <c r="BE165" s="1728" t="str">
        <f t="shared" si="193"/>
        <v>-</v>
      </c>
      <c r="BF165" s="1728" t="str">
        <f t="shared" si="193"/>
        <v>-</v>
      </c>
      <c r="BG165" s="1729" t="str">
        <f t="shared" si="193"/>
        <v>-</v>
      </c>
      <c r="BH165" s="1048"/>
      <c r="BI165" s="2297" t="str">
        <f t="shared" si="182"/>
        <v>Price</v>
      </c>
      <c r="BJ165" s="2298" t="str">
        <f t="shared" si="182"/>
        <v>[Service]</v>
      </c>
      <c r="BK165" s="1719" t="str">
        <f t="shared" si="182"/>
        <v>[Price]</v>
      </c>
      <c r="BL165" s="2299" t="str">
        <f t="shared" ref="BL165:BZ165" si="214">IF(OR(X165="",X165=0),"-",IFERROR((X165/W165-1)*(W167/W$13),"-"))</f>
        <v>-</v>
      </c>
      <c r="BM165" s="1053" t="str">
        <f t="shared" si="214"/>
        <v>-</v>
      </c>
      <c r="BN165" s="1053" t="str">
        <f t="shared" si="214"/>
        <v>-</v>
      </c>
      <c r="BO165" s="2302" t="str">
        <f t="shared" si="214"/>
        <v>-</v>
      </c>
      <c r="BP165" s="1053" t="str">
        <f t="shared" si="214"/>
        <v>-</v>
      </c>
      <c r="BQ165" s="2303" t="str">
        <f t="shared" si="214"/>
        <v>-</v>
      </c>
      <c r="BR165" s="1053" t="str">
        <f t="shared" si="214"/>
        <v>-</v>
      </c>
      <c r="BS165" s="1053" t="str">
        <f t="shared" si="214"/>
        <v>-</v>
      </c>
      <c r="BT165" s="1053" t="str">
        <f t="shared" si="214"/>
        <v>-</v>
      </c>
      <c r="BU165" s="1054" t="str">
        <f t="shared" si="214"/>
        <v>-</v>
      </c>
      <c r="BV165" s="1053" t="str">
        <f t="shared" si="214"/>
        <v>-</v>
      </c>
      <c r="BW165" s="1053" t="str">
        <f t="shared" si="214"/>
        <v>-</v>
      </c>
      <c r="BX165" s="1053" t="str">
        <f t="shared" si="214"/>
        <v>-</v>
      </c>
      <c r="BY165" s="1053" t="str">
        <f t="shared" si="214"/>
        <v>-</v>
      </c>
      <c r="BZ165" s="1054" t="str">
        <f t="shared" si="214"/>
        <v>-</v>
      </c>
      <c r="CA165" s="1048"/>
    </row>
    <row r="166" spans="3:79" x14ac:dyDescent="0.3">
      <c r="C166" s="126"/>
      <c r="D166" s="126"/>
      <c r="E166" s="558" t="s">
        <v>46</v>
      </c>
      <c r="F166" s="2161" t="str">
        <f t="shared" si="204"/>
        <v>[Service]</v>
      </c>
      <c r="G166" s="2163">
        <f t="shared" si="204"/>
        <v>0</v>
      </c>
      <c r="H166" s="2163">
        <f t="shared" si="204"/>
        <v>0</v>
      </c>
      <c r="I166" s="2164" t="str">
        <f t="shared" si="204"/>
        <v>[Price]</v>
      </c>
      <c r="J166" s="574" t="s">
        <v>323</v>
      </c>
      <c r="K166" s="1973"/>
      <c r="L166" s="1974"/>
      <c r="M166" s="1974"/>
      <c r="N166" s="1975"/>
      <c r="O166" s="1974"/>
      <c r="P166" s="1974"/>
      <c r="Q166" s="1974"/>
      <c r="R166" s="1976"/>
      <c r="S166" s="1975"/>
      <c r="T166" s="1974"/>
      <c r="U166" s="1974"/>
      <c r="V166" s="1974"/>
      <c r="W166" s="1713"/>
      <c r="X166" s="1714"/>
      <c r="Y166" s="1713"/>
      <c r="Z166" s="1713"/>
      <c r="AA166" s="1713"/>
      <c r="AB166" s="1715"/>
      <c r="AC166" s="1713"/>
      <c r="AD166" s="1713"/>
      <c r="AE166" s="1713"/>
      <c r="AF166" s="1713"/>
      <c r="AG166" s="1716"/>
      <c r="AH166" s="1713"/>
      <c r="AI166" s="1713"/>
      <c r="AJ166" s="1713"/>
      <c r="AK166" s="1713"/>
      <c r="AL166" s="1716"/>
      <c r="AM166" s="560"/>
      <c r="AN166" s="991"/>
      <c r="AO166" s="992"/>
      <c r="AP166" s="2285" t="str">
        <f t="shared" si="153"/>
        <v>Qty</v>
      </c>
      <c r="AQ166" s="2286" t="str">
        <f t="shared" si="153"/>
        <v>[Service]</v>
      </c>
      <c r="AR166" s="2287" t="str">
        <f t="shared" si="154"/>
        <v>[Price]</v>
      </c>
      <c r="AS166" s="2288" t="str">
        <f t="shared" si="193"/>
        <v>-</v>
      </c>
      <c r="AT166" s="1720" t="str">
        <f t="shared" si="193"/>
        <v>-</v>
      </c>
      <c r="AU166" s="1720" t="str">
        <f t="shared" si="193"/>
        <v>-</v>
      </c>
      <c r="AV166" s="2289" t="str">
        <f t="shared" si="193"/>
        <v>-</v>
      </c>
      <c r="AW166" s="1720" t="str">
        <f t="shared" si="193"/>
        <v>-</v>
      </c>
      <c r="AX166" s="2290" t="str">
        <f t="shared" si="193"/>
        <v>-</v>
      </c>
      <c r="AY166" s="1720" t="str">
        <f t="shared" si="193"/>
        <v>-</v>
      </c>
      <c r="AZ166" s="1720" t="str">
        <f t="shared" si="193"/>
        <v>-</v>
      </c>
      <c r="BA166" s="1720" t="str">
        <f t="shared" si="193"/>
        <v>-</v>
      </c>
      <c r="BB166" s="1721" t="str">
        <f t="shared" si="193"/>
        <v>-</v>
      </c>
      <c r="BC166" s="1720" t="str">
        <f t="shared" si="193"/>
        <v>-</v>
      </c>
      <c r="BD166" s="1720" t="str">
        <f t="shared" si="193"/>
        <v>-</v>
      </c>
      <c r="BE166" s="1720" t="str">
        <f t="shared" si="193"/>
        <v>-</v>
      </c>
      <c r="BF166" s="1720" t="str">
        <f t="shared" si="193"/>
        <v>-</v>
      </c>
      <c r="BG166" s="1721" t="str">
        <f t="shared" si="193"/>
        <v>-</v>
      </c>
      <c r="BH166" s="1048"/>
      <c r="BI166" s="2285" t="str">
        <f t="shared" si="182"/>
        <v>Qty</v>
      </c>
      <c r="BJ166" s="2286" t="str">
        <f t="shared" si="182"/>
        <v>[Service]</v>
      </c>
      <c r="BK166" s="2287" t="str">
        <f t="shared" si="182"/>
        <v>[Price]</v>
      </c>
      <c r="BL166" s="2288" t="str">
        <f t="shared" ref="BL166:BZ166" si="215">IF(OR(X166="",X166=0),"-",IFERROR((X166/W166-1)*(W167/W$13),"-"))</f>
        <v>-</v>
      </c>
      <c r="BM166" s="1720" t="str">
        <f t="shared" si="215"/>
        <v>-</v>
      </c>
      <c r="BN166" s="1720" t="str">
        <f t="shared" si="215"/>
        <v>-</v>
      </c>
      <c r="BO166" s="2289" t="str">
        <f t="shared" si="215"/>
        <v>-</v>
      </c>
      <c r="BP166" s="1720" t="str">
        <f t="shared" si="215"/>
        <v>-</v>
      </c>
      <c r="BQ166" s="2290" t="str">
        <f t="shared" si="215"/>
        <v>-</v>
      </c>
      <c r="BR166" s="1720" t="str">
        <f t="shared" si="215"/>
        <v>-</v>
      </c>
      <c r="BS166" s="1720" t="str">
        <f t="shared" si="215"/>
        <v>-</v>
      </c>
      <c r="BT166" s="1720" t="str">
        <f t="shared" si="215"/>
        <v>-</v>
      </c>
      <c r="BU166" s="1721" t="str">
        <f t="shared" si="215"/>
        <v>-</v>
      </c>
      <c r="BV166" s="1720" t="str">
        <f t="shared" si="215"/>
        <v>-</v>
      </c>
      <c r="BW166" s="1720" t="str">
        <f t="shared" si="215"/>
        <v>-</v>
      </c>
      <c r="BX166" s="1720" t="str">
        <f t="shared" si="215"/>
        <v>-</v>
      </c>
      <c r="BY166" s="1720" t="str">
        <f t="shared" si="215"/>
        <v>-</v>
      </c>
      <c r="BZ166" s="1721" t="str">
        <f t="shared" si="215"/>
        <v>-</v>
      </c>
      <c r="CA166" s="1048"/>
    </row>
    <row r="167" spans="3:79" ht="12.5" thickBot="1" x14ac:dyDescent="0.35">
      <c r="C167" s="126"/>
      <c r="D167" s="126"/>
      <c r="E167" s="559" t="s">
        <v>47</v>
      </c>
      <c r="F167" s="2162" t="str">
        <f t="shared" ref="F167:I167" si="216">+F165</f>
        <v>[Service]</v>
      </c>
      <c r="G167" s="2165">
        <f t="shared" si="216"/>
        <v>0</v>
      </c>
      <c r="H167" s="2165">
        <f t="shared" si="216"/>
        <v>0</v>
      </c>
      <c r="I167" s="2166" t="str">
        <f t="shared" si="216"/>
        <v>[Price]</v>
      </c>
      <c r="J167" s="2106" t="s">
        <v>347</v>
      </c>
      <c r="K167" s="1977"/>
      <c r="L167" s="1206"/>
      <c r="M167" s="1206"/>
      <c r="N167" s="1978"/>
      <c r="O167" s="1206"/>
      <c r="P167" s="1206"/>
      <c r="Q167" s="1206"/>
      <c r="R167" s="1206"/>
      <c r="S167" s="1978"/>
      <c r="T167" s="1206"/>
      <c r="U167" s="1206"/>
      <c r="V167" s="1206"/>
      <c r="W167" s="1731">
        <f t="shared" ref="W167:AG167" si="217">W165*W166/10^6</f>
        <v>0</v>
      </c>
      <c r="X167" s="1730">
        <f t="shared" si="217"/>
        <v>0</v>
      </c>
      <c r="Y167" s="1731">
        <f t="shared" si="217"/>
        <v>0</v>
      </c>
      <c r="Z167" s="1731">
        <f t="shared" si="217"/>
        <v>0</v>
      </c>
      <c r="AA167" s="1731">
        <f t="shared" si="217"/>
        <v>0</v>
      </c>
      <c r="AB167" s="1733">
        <f t="shared" si="217"/>
        <v>0</v>
      </c>
      <c r="AC167" s="1731">
        <f t="shared" si="217"/>
        <v>0</v>
      </c>
      <c r="AD167" s="1731">
        <f t="shared" si="217"/>
        <v>0</v>
      </c>
      <c r="AE167" s="1731">
        <f t="shared" si="217"/>
        <v>0</v>
      </c>
      <c r="AF167" s="1731">
        <f t="shared" si="217"/>
        <v>0</v>
      </c>
      <c r="AG167" s="1733">
        <f t="shared" si="217"/>
        <v>0</v>
      </c>
      <c r="AH167" s="1731">
        <f>AH165*AH166/10^6</f>
        <v>0</v>
      </c>
      <c r="AI167" s="1731">
        <f>AI165*AI166/10^6</f>
        <v>0</v>
      </c>
      <c r="AJ167" s="1731">
        <f>AJ165*AJ166/10^6</f>
        <v>0</v>
      </c>
      <c r="AK167" s="1731">
        <f>AK165*AK166/10^6</f>
        <v>0</v>
      </c>
      <c r="AL167" s="1733">
        <f>AL165*AL166/10^6</f>
        <v>0</v>
      </c>
      <c r="AM167" s="560"/>
      <c r="AN167" s="991"/>
      <c r="AO167" s="992"/>
      <c r="AP167" s="2304" t="str">
        <f t="shared" si="153"/>
        <v>Rev</v>
      </c>
      <c r="AQ167" s="2305" t="str">
        <f t="shared" si="153"/>
        <v>[Service]</v>
      </c>
      <c r="AR167" s="2306" t="str">
        <f t="shared" si="154"/>
        <v>[Price]</v>
      </c>
      <c r="AS167" s="2307" t="str">
        <f t="shared" si="193"/>
        <v>-</v>
      </c>
      <c r="AT167" s="1055" t="str">
        <f t="shared" si="193"/>
        <v>-</v>
      </c>
      <c r="AU167" s="1055" t="str">
        <f t="shared" si="193"/>
        <v>-</v>
      </c>
      <c r="AV167" s="2308" t="str">
        <f t="shared" si="193"/>
        <v>-</v>
      </c>
      <c r="AW167" s="1055" t="str">
        <f t="shared" si="193"/>
        <v>-</v>
      </c>
      <c r="AX167" s="2309" t="str">
        <f t="shared" si="193"/>
        <v>-</v>
      </c>
      <c r="AY167" s="1055" t="str">
        <f t="shared" si="193"/>
        <v>-</v>
      </c>
      <c r="AZ167" s="1055" t="str">
        <f t="shared" si="193"/>
        <v>-</v>
      </c>
      <c r="BA167" s="1055" t="str">
        <f t="shared" si="193"/>
        <v>-</v>
      </c>
      <c r="BB167" s="1056" t="str">
        <f t="shared" si="193"/>
        <v>-</v>
      </c>
      <c r="BC167" s="1055" t="str">
        <f t="shared" si="193"/>
        <v>-</v>
      </c>
      <c r="BD167" s="1055" t="str">
        <f t="shared" si="193"/>
        <v>-</v>
      </c>
      <c r="BE167" s="1055" t="str">
        <f t="shared" si="193"/>
        <v>-</v>
      </c>
      <c r="BF167" s="1055" t="str">
        <f t="shared" si="193"/>
        <v>-</v>
      </c>
      <c r="BG167" s="1056" t="str">
        <f t="shared" si="193"/>
        <v>-</v>
      </c>
      <c r="BH167" s="1048"/>
      <c r="BI167" s="2304" t="str">
        <f t="shared" si="182"/>
        <v>Rev</v>
      </c>
      <c r="BJ167" s="2305" t="str">
        <f t="shared" si="182"/>
        <v>[Service]</v>
      </c>
      <c r="BK167" s="2306" t="str">
        <f t="shared" si="182"/>
        <v>[Price]</v>
      </c>
      <c r="BL167" s="2307" t="str">
        <f t="shared" ref="BL167:BZ167" si="218">IF(OR(X167="",X167=0),"-",IFERROR((X167/W167-1)*(W167/W$13),"-"))</f>
        <v>-</v>
      </c>
      <c r="BM167" s="1055" t="str">
        <f t="shared" si="218"/>
        <v>-</v>
      </c>
      <c r="BN167" s="1055" t="str">
        <f t="shared" si="218"/>
        <v>-</v>
      </c>
      <c r="BO167" s="2308" t="str">
        <f t="shared" si="218"/>
        <v>-</v>
      </c>
      <c r="BP167" s="1055" t="str">
        <f t="shared" si="218"/>
        <v>-</v>
      </c>
      <c r="BQ167" s="2309" t="str">
        <f t="shared" si="218"/>
        <v>-</v>
      </c>
      <c r="BR167" s="1055" t="str">
        <f t="shared" si="218"/>
        <v>-</v>
      </c>
      <c r="BS167" s="1055" t="str">
        <f t="shared" si="218"/>
        <v>-</v>
      </c>
      <c r="BT167" s="1055" t="str">
        <f t="shared" si="218"/>
        <v>-</v>
      </c>
      <c r="BU167" s="1056" t="str">
        <f t="shared" si="218"/>
        <v>-</v>
      </c>
      <c r="BV167" s="1055" t="str">
        <f t="shared" si="218"/>
        <v>-</v>
      </c>
      <c r="BW167" s="1055" t="str">
        <f t="shared" si="218"/>
        <v>-</v>
      </c>
      <c r="BX167" s="1055" t="str">
        <f t="shared" si="218"/>
        <v>-</v>
      </c>
      <c r="BY167" s="1055" t="str">
        <f t="shared" si="218"/>
        <v>-</v>
      </c>
      <c r="BZ167" s="1056" t="str">
        <f t="shared" si="218"/>
        <v>-</v>
      </c>
      <c r="CA167" s="1048"/>
    </row>
    <row r="168" spans="3:79" x14ac:dyDescent="0.3">
      <c r="C168" s="126"/>
      <c r="D168" s="126">
        <f>D165+1</f>
        <v>34</v>
      </c>
      <c r="E168" s="553" t="s">
        <v>45</v>
      </c>
      <c r="F168" s="2105" t="s">
        <v>28</v>
      </c>
      <c r="G168" s="2105"/>
      <c r="H168" s="2105"/>
      <c r="I168" s="573" t="s">
        <v>319</v>
      </c>
      <c r="J168" s="573" t="s">
        <v>348</v>
      </c>
      <c r="K168" s="1969"/>
      <c r="L168" s="1970"/>
      <c r="M168" s="1970"/>
      <c r="N168" s="1971"/>
      <c r="O168" s="1970"/>
      <c r="P168" s="1970"/>
      <c r="Q168" s="1970"/>
      <c r="R168" s="1972"/>
      <c r="S168" s="1971"/>
      <c r="T168" s="1970"/>
      <c r="U168" s="1970"/>
      <c r="V168" s="1970"/>
      <c r="W168" s="1709"/>
      <c r="X168" s="1710"/>
      <c r="Y168" s="1709"/>
      <c r="Z168" s="1709"/>
      <c r="AA168" s="1709"/>
      <c r="AB168" s="1711"/>
      <c r="AC168" s="1709"/>
      <c r="AD168" s="1709"/>
      <c r="AE168" s="1709"/>
      <c r="AF168" s="1709"/>
      <c r="AG168" s="1712"/>
      <c r="AH168" s="1709"/>
      <c r="AI168" s="1709"/>
      <c r="AJ168" s="1709"/>
      <c r="AK168" s="1709"/>
      <c r="AL168" s="1712"/>
      <c r="AM168" s="560"/>
      <c r="AN168" s="1052"/>
      <c r="AO168" s="992"/>
      <c r="AP168" s="2297" t="str">
        <f t="shared" si="153"/>
        <v>Price</v>
      </c>
      <c r="AQ168" s="2298" t="str">
        <f t="shared" si="153"/>
        <v>[Service]</v>
      </c>
      <c r="AR168" s="1719" t="str">
        <f t="shared" si="154"/>
        <v>[Price]</v>
      </c>
      <c r="AS168" s="2299" t="str">
        <f t="shared" si="193"/>
        <v>-</v>
      </c>
      <c r="AT168" s="1728" t="str">
        <f t="shared" si="193"/>
        <v>-</v>
      </c>
      <c r="AU168" s="1728" t="str">
        <f t="shared" si="193"/>
        <v>-</v>
      </c>
      <c r="AV168" s="2300" t="str">
        <f t="shared" si="193"/>
        <v>-</v>
      </c>
      <c r="AW168" s="1728" t="str">
        <f t="shared" si="193"/>
        <v>-</v>
      </c>
      <c r="AX168" s="2301" t="str">
        <f t="shared" si="193"/>
        <v>-</v>
      </c>
      <c r="AY168" s="1728" t="str">
        <f t="shared" si="193"/>
        <v>-</v>
      </c>
      <c r="AZ168" s="1728" t="str">
        <f t="shared" si="193"/>
        <v>-</v>
      </c>
      <c r="BA168" s="1728" t="str">
        <f t="shared" si="193"/>
        <v>-</v>
      </c>
      <c r="BB168" s="1729" t="str">
        <f t="shared" si="193"/>
        <v>-</v>
      </c>
      <c r="BC168" s="1728" t="str">
        <f t="shared" si="193"/>
        <v>-</v>
      </c>
      <c r="BD168" s="1728" t="str">
        <f t="shared" si="193"/>
        <v>-</v>
      </c>
      <c r="BE168" s="1728" t="str">
        <f t="shared" si="193"/>
        <v>-</v>
      </c>
      <c r="BF168" s="1728" t="str">
        <f t="shared" si="193"/>
        <v>-</v>
      </c>
      <c r="BG168" s="1729" t="str">
        <f t="shared" si="193"/>
        <v>-</v>
      </c>
      <c r="BH168" s="1048"/>
      <c r="BI168" s="2297" t="str">
        <f t="shared" si="182"/>
        <v>Price</v>
      </c>
      <c r="BJ168" s="2298" t="str">
        <f t="shared" si="182"/>
        <v>[Service]</v>
      </c>
      <c r="BK168" s="1719" t="str">
        <f t="shared" si="182"/>
        <v>[Price]</v>
      </c>
      <c r="BL168" s="2299" t="str">
        <f t="shared" ref="BL168:BZ168" si="219">IF(OR(X168="",X168=0),"-",IFERROR((X168/W168-1)*(W170/W$13),"-"))</f>
        <v>-</v>
      </c>
      <c r="BM168" s="1053" t="str">
        <f t="shared" si="219"/>
        <v>-</v>
      </c>
      <c r="BN168" s="1053" t="str">
        <f t="shared" si="219"/>
        <v>-</v>
      </c>
      <c r="BO168" s="2302" t="str">
        <f t="shared" si="219"/>
        <v>-</v>
      </c>
      <c r="BP168" s="1053" t="str">
        <f t="shared" si="219"/>
        <v>-</v>
      </c>
      <c r="BQ168" s="2303" t="str">
        <f t="shared" si="219"/>
        <v>-</v>
      </c>
      <c r="BR168" s="1053" t="str">
        <f t="shared" si="219"/>
        <v>-</v>
      </c>
      <c r="BS168" s="1053" t="str">
        <f t="shared" si="219"/>
        <v>-</v>
      </c>
      <c r="BT168" s="1053" t="str">
        <f t="shared" si="219"/>
        <v>-</v>
      </c>
      <c r="BU168" s="1054" t="str">
        <f t="shared" si="219"/>
        <v>-</v>
      </c>
      <c r="BV168" s="1053" t="str">
        <f t="shared" si="219"/>
        <v>-</v>
      </c>
      <c r="BW168" s="1053" t="str">
        <f t="shared" si="219"/>
        <v>-</v>
      </c>
      <c r="BX168" s="1053" t="str">
        <f t="shared" si="219"/>
        <v>-</v>
      </c>
      <c r="BY168" s="1053" t="str">
        <f t="shared" si="219"/>
        <v>-</v>
      </c>
      <c r="BZ168" s="1054" t="str">
        <f t="shared" si="219"/>
        <v>-</v>
      </c>
      <c r="CA168" s="1048"/>
    </row>
    <row r="169" spans="3:79" x14ac:dyDescent="0.3">
      <c r="C169" s="126"/>
      <c r="D169" s="126"/>
      <c r="E169" s="558" t="s">
        <v>46</v>
      </c>
      <c r="F169" s="2161" t="str">
        <f t="shared" si="204"/>
        <v>[Service]</v>
      </c>
      <c r="G169" s="2163">
        <f t="shared" si="204"/>
        <v>0</v>
      </c>
      <c r="H169" s="2163">
        <f t="shared" si="204"/>
        <v>0</v>
      </c>
      <c r="I169" s="2164" t="str">
        <f t="shared" si="204"/>
        <v>[Price]</v>
      </c>
      <c r="J169" s="574" t="s">
        <v>323</v>
      </c>
      <c r="K169" s="1973"/>
      <c r="L169" s="1974"/>
      <c r="M169" s="1974"/>
      <c r="N169" s="1975"/>
      <c r="O169" s="1974"/>
      <c r="P169" s="1974"/>
      <c r="Q169" s="1974"/>
      <c r="R169" s="1976"/>
      <c r="S169" s="1975"/>
      <c r="T169" s="1974"/>
      <c r="U169" s="1974"/>
      <c r="V169" s="1974"/>
      <c r="W169" s="1713"/>
      <c r="X169" s="1714"/>
      <c r="Y169" s="1713"/>
      <c r="Z169" s="1713"/>
      <c r="AA169" s="1713"/>
      <c r="AB169" s="1715"/>
      <c r="AC169" s="1713"/>
      <c r="AD169" s="1713"/>
      <c r="AE169" s="1713"/>
      <c r="AF169" s="1713"/>
      <c r="AG169" s="1716"/>
      <c r="AH169" s="1713"/>
      <c r="AI169" s="1713"/>
      <c r="AJ169" s="1713"/>
      <c r="AK169" s="1713"/>
      <c r="AL169" s="1716"/>
      <c r="AM169" s="560"/>
      <c r="AN169" s="991"/>
      <c r="AO169" s="992"/>
      <c r="AP169" s="2285" t="str">
        <f t="shared" si="153"/>
        <v>Qty</v>
      </c>
      <c r="AQ169" s="2286" t="str">
        <f t="shared" si="153"/>
        <v>[Service]</v>
      </c>
      <c r="AR169" s="2287" t="str">
        <f t="shared" si="154"/>
        <v>[Price]</v>
      </c>
      <c r="AS169" s="2288" t="str">
        <f t="shared" si="193"/>
        <v>-</v>
      </c>
      <c r="AT169" s="1720" t="str">
        <f t="shared" si="193"/>
        <v>-</v>
      </c>
      <c r="AU169" s="1720" t="str">
        <f t="shared" si="193"/>
        <v>-</v>
      </c>
      <c r="AV169" s="2289" t="str">
        <f t="shared" si="193"/>
        <v>-</v>
      </c>
      <c r="AW169" s="1720" t="str">
        <f t="shared" si="193"/>
        <v>-</v>
      </c>
      <c r="AX169" s="2290" t="str">
        <f t="shared" si="193"/>
        <v>-</v>
      </c>
      <c r="AY169" s="1720" t="str">
        <f t="shared" si="193"/>
        <v>-</v>
      </c>
      <c r="AZ169" s="1720" t="str">
        <f t="shared" si="193"/>
        <v>-</v>
      </c>
      <c r="BA169" s="1720" t="str">
        <f t="shared" si="193"/>
        <v>-</v>
      </c>
      <c r="BB169" s="1721" t="str">
        <f t="shared" si="193"/>
        <v>-</v>
      </c>
      <c r="BC169" s="1720" t="str">
        <f t="shared" si="193"/>
        <v>-</v>
      </c>
      <c r="BD169" s="1720" t="str">
        <f t="shared" si="193"/>
        <v>-</v>
      </c>
      <c r="BE169" s="1720" t="str">
        <f t="shared" si="193"/>
        <v>-</v>
      </c>
      <c r="BF169" s="1720" t="str">
        <f t="shared" si="193"/>
        <v>-</v>
      </c>
      <c r="BG169" s="1721" t="str">
        <f t="shared" si="193"/>
        <v>-</v>
      </c>
      <c r="BH169" s="1048"/>
      <c r="BI169" s="2285" t="str">
        <f t="shared" si="182"/>
        <v>Qty</v>
      </c>
      <c r="BJ169" s="2286" t="str">
        <f t="shared" si="182"/>
        <v>[Service]</v>
      </c>
      <c r="BK169" s="2287" t="str">
        <f t="shared" si="182"/>
        <v>[Price]</v>
      </c>
      <c r="BL169" s="2288" t="str">
        <f t="shared" ref="BL169:BZ169" si="220">IF(OR(X169="",X169=0),"-",IFERROR((X169/W169-1)*(W170/W$13),"-"))</f>
        <v>-</v>
      </c>
      <c r="BM169" s="1720" t="str">
        <f t="shared" si="220"/>
        <v>-</v>
      </c>
      <c r="BN169" s="1720" t="str">
        <f t="shared" si="220"/>
        <v>-</v>
      </c>
      <c r="BO169" s="2289" t="str">
        <f t="shared" si="220"/>
        <v>-</v>
      </c>
      <c r="BP169" s="1720" t="str">
        <f t="shared" si="220"/>
        <v>-</v>
      </c>
      <c r="BQ169" s="2290" t="str">
        <f t="shared" si="220"/>
        <v>-</v>
      </c>
      <c r="BR169" s="1720" t="str">
        <f t="shared" si="220"/>
        <v>-</v>
      </c>
      <c r="BS169" s="1720" t="str">
        <f t="shared" si="220"/>
        <v>-</v>
      </c>
      <c r="BT169" s="1720" t="str">
        <f t="shared" si="220"/>
        <v>-</v>
      </c>
      <c r="BU169" s="1721" t="str">
        <f t="shared" si="220"/>
        <v>-</v>
      </c>
      <c r="BV169" s="1720" t="str">
        <f t="shared" si="220"/>
        <v>-</v>
      </c>
      <c r="BW169" s="1720" t="str">
        <f t="shared" si="220"/>
        <v>-</v>
      </c>
      <c r="BX169" s="1720" t="str">
        <f t="shared" si="220"/>
        <v>-</v>
      </c>
      <c r="BY169" s="1720" t="str">
        <f t="shared" si="220"/>
        <v>-</v>
      </c>
      <c r="BZ169" s="1721" t="str">
        <f t="shared" si="220"/>
        <v>-</v>
      </c>
      <c r="CA169" s="1048"/>
    </row>
    <row r="170" spans="3:79" ht="12.5" thickBot="1" x14ac:dyDescent="0.35">
      <c r="C170" s="126"/>
      <c r="D170" s="126"/>
      <c r="E170" s="559" t="s">
        <v>47</v>
      </c>
      <c r="F170" s="2162" t="str">
        <f t="shared" ref="F170:I170" si="221">+F168</f>
        <v>[Service]</v>
      </c>
      <c r="G170" s="2165">
        <f t="shared" si="221"/>
        <v>0</v>
      </c>
      <c r="H170" s="2165">
        <f t="shared" si="221"/>
        <v>0</v>
      </c>
      <c r="I170" s="2166" t="str">
        <f t="shared" si="221"/>
        <v>[Price]</v>
      </c>
      <c r="J170" s="2106" t="s">
        <v>347</v>
      </c>
      <c r="K170" s="1977"/>
      <c r="L170" s="1206"/>
      <c r="M170" s="1206"/>
      <c r="N170" s="1978"/>
      <c r="O170" s="1206"/>
      <c r="P170" s="1206"/>
      <c r="Q170" s="1206"/>
      <c r="R170" s="1206"/>
      <c r="S170" s="1978"/>
      <c r="T170" s="1206"/>
      <c r="U170" s="1206"/>
      <c r="V170" s="1206"/>
      <c r="W170" s="1731">
        <f t="shared" ref="W170:AG170" si="222">W168*W169/10^6</f>
        <v>0</v>
      </c>
      <c r="X170" s="1730">
        <f t="shared" si="222"/>
        <v>0</v>
      </c>
      <c r="Y170" s="1731">
        <f t="shared" si="222"/>
        <v>0</v>
      </c>
      <c r="Z170" s="1731">
        <f t="shared" si="222"/>
        <v>0</v>
      </c>
      <c r="AA170" s="1731">
        <f t="shared" si="222"/>
        <v>0</v>
      </c>
      <c r="AB170" s="1733">
        <f t="shared" si="222"/>
        <v>0</v>
      </c>
      <c r="AC170" s="1731">
        <f t="shared" si="222"/>
        <v>0</v>
      </c>
      <c r="AD170" s="1731">
        <f t="shared" si="222"/>
        <v>0</v>
      </c>
      <c r="AE170" s="1731">
        <f t="shared" si="222"/>
        <v>0</v>
      </c>
      <c r="AF170" s="1731">
        <f t="shared" si="222"/>
        <v>0</v>
      </c>
      <c r="AG170" s="1733">
        <f t="shared" si="222"/>
        <v>0</v>
      </c>
      <c r="AH170" s="1731">
        <f>AH168*AH169/10^6</f>
        <v>0</v>
      </c>
      <c r="AI170" s="1731">
        <f>AI168*AI169/10^6</f>
        <v>0</v>
      </c>
      <c r="AJ170" s="1731">
        <f>AJ168*AJ169/10^6</f>
        <v>0</v>
      </c>
      <c r="AK170" s="1731">
        <f>AK168*AK169/10^6</f>
        <v>0</v>
      </c>
      <c r="AL170" s="1733">
        <f>AL168*AL169/10^6</f>
        <v>0</v>
      </c>
      <c r="AM170" s="560"/>
      <c r="AN170" s="991"/>
      <c r="AO170" s="992"/>
      <c r="AP170" s="2304" t="str">
        <f t="shared" si="153"/>
        <v>Rev</v>
      </c>
      <c r="AQ170" s="2305" t="str">
        <f t="shared" si="153"/>
        <v>[Service]</v>
      </c>
      <c r="AR170" s="2306" t="str">
        <f t="shared" si="154"/>
        <v>[Price]</v>
      </c>
      <c r="AS170" s="2307" t="str">
        <f t="shared" si="193"/>
        <v>-</v>
      </c>
      <c r="AT170" s="1055" t="str">
        <f t="shared" si="193"/>
        <v>-</v>
      </c>
      <c r="AU170" s="1055" t="str">
        <f t="shared" si="193"/>
        <v>-</v>
      </c>
      <c r="AV170" s="2308" t="str">
        <f t="shared" si="193"/>
        <v>-</v>
      </c>
      <c r="AW170" s="1055" t="str">
        <f t="shared" si="193"/>
        <v>-</v>
      </c>
      <c r="AX170" s="2309" t="str">
        <f t="shared" si="193"/>
        <v>-</v>
      </c>
      <c r="AY170" s="1055" t="str">
        <f t="shared" si="193"/>
        <v>-</v>
      </c>
      <c r="AZ170" s="1055" t="str">
        <f t="shared" si="193"/>
        <v>-</v>
      </c>
      <c r="BA170" s="1055" t="str">
        <f t="shared" si="193"/>
        <v>-</v>
      </c>
      <c r="BB170" s="1056" t="str">
        <f t="shared" si="193"/>
        <v>-</v>
      </c>
      <c r="BC170" s="1055" t="str">
        <f t="shared" si="193"/>
        <v>-</v>
      </c>
      <c r="BD170" s="1055" t="str">
        <f t="shared" si="193"/>
        <v>-</v>
      </c>
      <c r="BE170" s="1055" t="str">
        <f t="shared" si="193"/>
        <v>-</v>
      </c>
      <c r="BF170" s="1055" t="str">
        <f t="shared" si="193"/>
        <v>-</v>
      </c>
      <c r="BG170" s="1056" t="str">
        <f t="shared" si="193"/>
        <v>-</v>
      </c>
      <c r="BH170" s="1048"/>
      <c r="BI170" s="2304" t="str">
        <f t="shared" si="182"/>
        <v>Rev</v>
      </c>
      <c r="BJ170" s="2305" t="str">
        <f t="shared" si="182"/>
        <v>[Service]</v>
      </c>
      <c r="BK170" s="2306" t="str">
        <f t="shared" si="182"/>
        <v>[Price]</v>
      </c>
      <c r="BL170" s="2307" t="str">
        <f t="shared" ref="BL170:BZ170" si="223">IF(OR(X170="",X170=0),"-",IFERROR((X170/W170-1)*(W170/W$13),"-"))</f>
        <v>-</v>
      </c>
      <c r="BM170" s="1055" t="str">
        <f t="shared" si="223"/>
        <v>-</v>
      </c>
      <c r="BN170" s="1055" t="str">
        <f t="shared" si="223"/>
        <v>-</v>
      </c>
      <c r="BO170" s="2308" t="str">
        <f t="shared" si="223"/>
        <v>-</v>
      </c>
      <c r="BP170" s="1055" t="str">
        <f t="shared" si="223"/>
        <v>-</v>
      </c>
      <c r="BQ170" s="2309" t="str">
        <f t="shared" si="223"/>
        <v>-</v>
      </c>
      <c r="BR170" s="1055" t="str">
        <f t="shared" si="223"/>
        <v>-</v>
      </c>
      <c r="BS170" s="1055" t="str">
        <f t="shared" si="223"/>
        <v>-</v>
      </c>
      <c r="BT170" s="1055" t="str">
        <f t="shared" si="223"/>
        <v>-</v>
      </c>
      <c r="BU170" s="1056" t="str">
        <f t="shared" si="223"/>
        <v>-</v>
      </c>
      <c r="BV170" s="1055" t="str">
        <f t="shared" si="223"/>
        <v>-</v>
      </c>
      <c r="BW170" s="1055" t="str">
        <f t="shared" si="223"/>
        <v>-</v>
      </c>
      <c r="BX170" s="1055" t="str">
        <f t="shared" si="223"/>
        <v>-</v>
      </c>
      <c r="BY170" s="1055" t="str">
        <f t="shared" si="223"/>
        <v>-</v>
      </c>
      <c r="BZ170" s="1056" t="str">
        <f t="shared" si="223"/>
        <v>-</v>
      </c>
      <c r="CA170" s="1048"/>
    </row>
    <row r="171" spans="3:79" x14ac:dyDescent="0.3">
      <c r="C171" s="126"/>
      <c r="D171" s="126">
        <f>D168+1</f>
        <v>35</v>
      </c>
      <c r="E171" s="553" t="s">
        <v>45</v>
      </c>
      <c r="F171" s="2105" t="s">
        <v>28</v>
      </c>
      <c r="G171" s="2105"/>
      <c r="H171" s="2105"/>
      <c r="I171" s="573" t="s">
        <v>319</v>
      </c>
      <c r="J171" s="573" t="s">
        <v>348</v>
      </c>
      <c r="K171" s="1969"/>
      <c r="L171" s="1970"/>
      <c r="M171" s="1970"/>
      <c r="N171" s="1971"/>
      <c r="O171" s="1970"/>
      <c r="P171" s="1970"/>
      <c r="Q171" s="1970"/>
      <c r="R171" s="1972"/>
      <c r="S171" s="1971"/>
      <c r="T171" s="1970"/>
      <c r="U171" s="1970"/>
      <c r="V171" s="1970"/>
      <c r="W171" s="1709"/>
      <c r="X171" s="1710"/>
      <c r="Y171" s="1709"/>
      <c r="Z171" s="1709"/>
      <c r="AA171" s="1709"/>
      <c r="AB171" s="1711"/>
      <c r="AC171" s="1709"/>
      <c r="AD171" s="1709"/>
      <c r="AE171" s="1709"/>
      <c r="AF171" s="1709"/>
      <c r="AG171" s="1712"/>
      <c r="AH171" s="1709"/>
      <c r="AI171" s="1709"/>
      <c r="AJ171" s="1709"/>
      <c r="AK171" s="1709"/>
      <c r="AL171" s="1712"/>
      <c r="AM171" s="560"/>
      <c r="AN171" s="1052"/>
      <c r="AO171" s="992"/>
      <c r="AP171" s="2297" t="str">
        <f t="shared" si="153"/>
        <v>Price</v>
      </c>
      <c r="AQ171" s="2298" t="str">
        <f t="shared" si="153"/>
        <v>[Service]</v>
      </c>
      <c r="AR171" s="1719" t="str">
        <f t="shared" si="154"/>
        <v>[Price]</v>
      </c>
      <c r="AS171" s="2299" t="str">
        <f t="shared" ref="AS171:BG187" si="224">IF(OR(X171="",X171=0),"-",IFERROR(X171/W171-1,"-"))</f>
        <v>-</v>
      </c>
      <c r="AT171" s="1728" t="str">
        <f t="shared" si="224"/>
        <v>-</v>
      </c>
      <c r="AU171" s="1728" t="str">
        <f t="shared" si="224"/>
        <v>-</v>
      </c>
      <c r="AV171" s="2300" t="str">
        <f t="shared" si="224"/>
        <v>-</v>
      </c>
      <c r="AW171" s="1728" t="str">
        <f t="shared" si="224"/>
        <v>-</v>
      </c>
      <c r="AX171" s="2301" t="str">
        <f t="shared" si="224"/>
        <v>-</v>
      </c>
      <c r="AY171" s="1728" t="str">
        <f t="shared" si="224"/>
        <v>-</v>
      </c>
      <c r="AZ171" s="1728" t="str">
        <f t="shared" si="224"/>
        <v>-</v>
      </c>
      <c r="BA171" s="1728" t="str">
        <f t="shared" si="224"/>
        <v>-</v>
      </c>
      <c r="BB171" s="1729" t="str">
        <f t="shared" si="224"/>
        <v>-</v>
      </c>
      <c r="BC171" s="1728" t="str">
        <f t="shared" si="224"/>
        <v>-</v>
      </c>
      <c r="BD171" s="1728" t="str">
        <f t="shared" si="224"/>
        <v>-</v>
      </c>
      <c r="BE171" s="1728" t="str">
        <f t="shared" si="224"/>
        <v>-</v>
      </c>
      <c r="BF171" s="1728" t="str">
        <f t="shared" si="224"/>
        <v>-</v>
      </c>
      <c r="BG171" s="1729" t="str">
        <f t="shared" si="224"/>
        <v>-</v>
      </c>
      <c r="BH171" s="1048"/>
      <c r="BI171" s="2297" t="str">
        <f t="shared" si="182"/>
        <v>Price</v>
      </c>
      <c r="BJ171" s="2298" t="str">
        <f t="shared" si="182"/>
        <v>[Service]</v>
      </c>
      <c r="BK171" s="1719" t="str">
        <f t="shared" si="182"/>
        <v>[Price]</v>
      </c>
      <c r="BL171" s="2299" t="str">
        <f t="shared" ref="BL171:BZ171" si="225">IF(OR(X171="",X171=0),"-",IFERROR((X171/W171-1)*(W173/W$13),"-"))</f>
        <v>-</v>
      </c>
      <c r="BM171" s="1053" t="str">
        <f t="shared" si="225"/>
        <v>-</v>
      </c>
      <c r="BN171" s="1053" t="str">
        <f t="shared" si="225"/>
        <v>-</v>
      </c>
      <c r="BO171" s="2302" t="str">
        <f t="shared" si="225"/>
        <v>-</v>
      </c>
      <c r="BP171" s="1053" t="str">
        <f t="shared" si="225"/>
        <v>-</v>
      </c>
      <c r="BQ171" s="2303" t="str">
        <f t="shared" si="225"/>
        <v>-</v>
      </c>
      <c r="BR171" s="1053" t="str">
        <f t="shared" si="225"/>
        <v>-</v>
      </c>
      <c r="BS171" s="1053" t="str">
        <f t="shared" si="225"/>
        <v>-</v>
      </c>
      <c r="BT171" s="1053" t="str">
        <f t="shared" si="225"/>
        <v>-</v>
      </c>
      <c r="BU171" s="1054" t="str">
        <f t="shared" si="225"/>
        <v>-</v>
      </c>
      <c r="BV171" s="1053" t="str">
        <f t="shared" si="225"/>
        <v>-</v>
      </c>
      <c r="BW171" s="1053" t="str">
        <f t="shared" si="225"/>
        <v>-</v>
      </c>
      <c r="BX171" s="1053" t="str">
        <f t="shared" si="225"/>
        <v>-</v>
      </c>
      <c r="BY171" s="1053" t="str">
        <f t="shared" si="225"/>
        <v>-</v>
      </c>
      <c r="BZ171" s="1054" t="str">
        <f t="shared" si="225"/>
        <v>-</v>
      </c>
      <c r="CA171" s="1048"/>
    </row>
    <row r="172" spans="3:79" x14ac:dyDescent="0.3">
      <c r="C172" s="126"/>
      <c r="D172" s="126"/>
      <c r="E172" s="558" t="s">
        <v>46</v>
      </c>
      <c r="F172" s="2161" t="str">
        <f t="shared" si="204"/>
        <v>[Service]</v>
      </c>
      <c r="G172" s="2163">
        <f t="shared" si="204"/>
        <v>0</v>
      </c>
      <c r="H172" s="2163">
        <f t="shared" si="204"/>
        <v>0</v>
      </c>
      <c r="I172" s="2164" t="str">
        <f t="shared" si="204"/>
        <v>[Price]</v>
      </c>
      <c r="J172" s="574" t="s">
        <v>323</v>
      </c>
      <c r="K172" s="1973"/>
      <c r="L172" s="1974"/>
      <c r="M172" s="1974"/>
      <c r="N172" s="1975"/>
      <c r="O172" s="1974"/>
      <c r="P172" s="1974"/>
      <c r="Q172" s="1974"/>
      <c r="R172" s="1976"/>
      <c r="S172" s="1975"/>
      <c r="T172" s="1974"/>
      <c r="U172" s="1974"/>
      <c r="V172" s="1974"/>
      <c r="W172" s="1713"/>
      <c r="X172" s="1714"/>
      <c r="Y172" s="1713"/>
      <c r="Z172" s="1713"/>
      <c r="AA172" s="1713"/>
      <c r="AB172" s="1715"/>
      <c r="AC172" s="1713"/>
      <c r="AD172" s="1713"/>
      <c r="AE172" s="1713"/>
      <c r="AF172" s="1713"/>
      <c r="AG172" s="1716"/>
      <c r="AH172" s="1713"/>
      <c r="AI172" s="1713"/>
      <c r="AJ172" s="1713"/>
      <c r="AK172" s="1713"/>
      <c r="AL172" s="1716"/>
      <c r="AM172" s="560"/>
      <c r="AN172" s="991"/>
      <c r="AO172" s="992"/>
      <c r="AP172" s="2285" t="str">
        <f t="shared" si="153"/>
        <v>Qty</v>
      </c>
      <c r="AQ172" s="2286" t="str">
        <f t="shared" si="153"/>
        <v>[Service]</v>
      </c>
      <c r="AR172" s="2287" t="str">
        <f t="shared" si="154"/>
        <v>[Price]</v>
      </c>
      <c r="AS172" s="2288" t="str">
        <f t="shared" si="224"/>
        <v>-</v>
      </c>
      <c r="AT172" s="1720" t="str">
        <f t="shared" si="224"/>
        <v>-</v>
      </c>
      <c r="AU172" s="1720" t="str">
        <f t="shared" si="224"/>
        <v>-</v>
      </c>
      <c r="AV172" s="2289" t="str">
        <f t="shared" si="224"/>
        <v>-</v>
      </c>
      <c r="AW172" s="1720" t="str">
        <f t="shared" si="224"/>
        <v>-</v>
      </c>
      <c r="AX172" s="2290" t="str">
        <f t="shared" si="224"/>
        <v>-</v>
      </c>
      <c r="AY172" s="1720" t="str">
        <f t="shared" si="224"/>
        <v>-</v>
      </c>
      <c r="AZ172" s="1720" t="str">
        <f t="shared" si="224"/>
        <v>-</v>
      </c>
      <c r="BA172" s="1720" t="str">
        <f t="shared" si="224"/>
        <v>-</v>
      </c>
      <c r="BB172" s="1721" t="str">
        <f t="shared" si="224"/>
        <v>-</v>
      </c>
      <c r="BC172" s="1720" t="str">
        <f t="shared" si="224"/>
        <v>-</v>
      </c>
      <c r="BD172" s="1720" t="str">
        <f t="shared" si="224"/>
        <v>-</v>
      </c>
      <c r="BE172" s="1720" t="str">
        <f t="shared" si="224"/>
        <v>-</v>
      </c>
      <c r="BF172" s="1720" t="str">
        <f t="shared" si="224"/>
        <v>-</v>
      </c>
      <c r="BG172" s="1721" t="str">
        <f t="shared" si="224"/>
        <v>-</v>
      </c>
      <c r="BH172" s="1048"/>
      <c r="BI172" s="2285" t="str">
        <f t="shared" si="182"/>
        <v>Qty</v>
      </c>
      <c r="BJ172" s="2286" t="str">
        <f t="shared" si="182"/>
        <v>[Service]</v>
      </c>
      <c r="BK172" s="2287" t="str">
        <f t="shared" si="182"/>
        <v>[Price]</v>
      </c>
      <c r="BL172" s="2288" t="str">
        <f t="shared" ref="BL172:BZ172" si="226">IF(OR(X172="",X172=0),"-",IFERROR((X172/W172-1)*(W173/W$13),"-"))</f>
        <v>-</v>
      </c>
      <c r="BM172" s="1720" t="str">
        <f t="shared" si="226"/>
        <v>-</v>
      </c>
      <c r="BN172" s="1720" t="str">
        <f t="shared" si="226"/>
        <v>-</v>
      </c>
      <c r="BO172" s="2289" t="str">
        <f t="shared" si="226"/>
        <v>-</v>
      </c>
      <c r="BP172" s="1720" t="str">
        <f t="shared" si="226"/>
        <v>-</v>
      </c>
      <c r="BQ172" s="2290" t="str">
        <f t="shared" si="226"/>
        <v>-</v>
      </c>
      <c r="BR172" s="1720" t="str">
        <f t="shared" si="226"/>
        <v>-</v>
      </c>
      <c r="BS172" s="1720" t="str">
        <f t="shared" si="226"/>
        <v>-</v>
      </c>
      <c r="BT172" s="1720" t="str">
        <f t="shared" si="226"/>
        <v>-</v>
      </c>
      <c r="BU172" s="1721" t="str">
        <f t="shared" si="226"/>
        <v>-</v>
      </c>
      <c r="BV172" s="1720" t="str">
        <f t="shared" si="226"/>
        <v>-</v>
      </c>
      <c r="BW172" s="1720" t="str">
        <f t="shared" si="226"/>
        <v>-</v>
      </c>
      <c r="BX172" s="1720" t="str">
        <f t="shared" si="226"/>
        <v>-</v>
      </c>
      <c r="BY172" s="1720" t="str">
        <f t="shared" si="226"/>
        <v>-</v>
      </c>
      <c r="BZ172" s="1721" t="str">
        <f t="shared" si="226"/>
        <v>-</v>
      </c>
      <c r="CA172" s="1048"/>
    </row>
    <row r="173" spans="3:79" ht="12.5" thickBot="1" x14ac:dyDescent="0.35">
      <c r="C173" s="126"/>
      <c r="D173" s="126"/>
      <c r="E173" s="559" t="s">
        <v>47</v>
      </c>
      <c r="F173" s="2162" t="str">
        <f t="shared" ref="F173:I173" si="227">+F171</f>
        <v>[Service]</v>
      </c>
      <c r="G173" s="2165">
        <f t="shared" si="227"/>
        <v>0</v>
      </c>
      <c r="H173" s="2165">
        <f t="shared" si="227"/>
        <v>0</v>
      </c>
      <c r="I173" s="2166" t="str">
        <f t="shared" si="227"/>
        <v>[Price]</v>
      </c>
      <c r="J173" s="2106" t="s">
        <v>347</v>
      </c>
      <c r="K173" s="1977"/>
      <c r="L173" s="1206"/>
      <c r="M173" s="1206"/>
      <c r="N173" s="1978"/>
      <c r="O173" s="1206"/>
      <c r="P173" s="1206"/>
      <c r="Q173" s="1206"/>
      <c r="R173" s="1206"/>
      <c r="S173" s="1978"/>
      <c r="T173" s="1206"/>
      <c r="U173" s="1206"/>
      <c r="V173" s="1206"/>
      <c r="W173" s="1731">
        <f t="shared" ref="W173:AG173" si="228">W171*W172/10^6</f>
        <v>0</v>
      </c>
      <c r="X173" s="1730">
        <f t="shared" si="228"/>
        <v>0</v>
      </c>
      <c r="Y173" s="1731">
        <f t="shared" si="228"/>
        <v>0</v>
      </c>
      <c r="Z173" s="1731">
        <f t="shared" si="228"/>
        <v>0</v>
      </c>
      <c r="AA173" s="1731">
        <f t="shared" si="228"/>
        <v>0</v>
      </c>
      <c r="AB173" s="1733">
        <f t="shared" si="228"/>
        <v>0</v>
      </c>
      <c r="AC173" s="1731">
        <f t="shared" si="228"/>
        <v>0</v>
      </c>
      <c r="AD173" s="1731">
        <f t="shared" si="228"/>
        <v>0</v>
      </c>
      <c r="AE173" s="1731">
        <f t="shared" si="228"/>
        <v>0</v>
      </c>
      <c r="AF173" s="1731">
        <f t="shared" si="228"/>
        <v>0</v>
      </c>
      <c r="AG173" s="1733">
        <f t="shared" si="228"/>
        <v>0</v>
      </c>
      <c r="AH173" s="1731">
        <f>AH171*AH172/10^6</f>
        <v>0</v>
      </c>
      <c r="AI173" s="1731">
        <f>AI171*AI172/10^6</f>
        <v>0</v>
      </c>
      <c r="AJ173" s="1731">
        <f>AJ171*AJ172/10^6</f>
        <v>0</v>
      </c>
      <c r="AK173" s="1731">
        <f>AK171*AK172/10^6</f>
        <v>0</v>
      </c>
      <c r="AL173" s="1733">
        <f>AL171*AL172/10^6</f>
        <v>0</v>
      </c>
      <c r="AM173" s="560"/>
      <c r="AN173" s="991"/>
      <c r="AO173" s="992"/>
      <c r="AP173" s="2304" t="str">
        <f t="shared" si="153"/>
        <v>Rev</v>
      </c>
      <c r="AQ173" s="2305" t="str">
        <f t="shared" si="153"/>
        <v>[Service]</v>
      </c>
      <c r="AR173" s="2306" t="str">
        <f t="shared" si="154"/>
        <v>[Price]</v>
      </c>
      <c r="AS173" s="2307" t="str">
        <f t="shared" si="224"/>
        <v>-</v>
      </c>
      <c r="AT173" s="1055" t="str">
        <f t="shared" si="224"/>
        <v>-</v>
      </c>
      <c r="AU173" s="1055" t="str">
        <f t="shared" si="224"/>
        <v>-</v>
      </c>
      <c r="AV173" s="2308" t="str">
        <f t="shared" si="224"/>
        <v>-</v>
      </c>
      <c r="AW173" s="1055" t="str">
        <f t="shared" si="224"/>
        <v>-</v>
      </c>
      <c r="AX173" s="2309" t="str">
        <f t="shared" si="224"/>
        <v>-</v>
      </c>
      <c r="AY173" s="1055" t="str">
        <f t="shared" si="224"/>
        <v>-</v>
      </c>
      <c r="AZ173" s="1055" t="str">
        <f t="shared" si="224"/>
        <v>-</v>
      </c>
      <c r="BA173" s="1055" t="str">
        <f t="shared" si="224"/>
        <v>-</v>
      </c>
      <c r="BB173" s="1056" t="str">
        <f t="shared" si="224"/>
        <v>-</v>
      </c>
      <c r="BC173" s="1055" t="str">
        <f t="shared" si="224"/>
        <v>-</v>
      </c>
      <c r="BD173" s="1055" t="str">
        <f t="shared" si="224"/>
        <v>-</v>
      </c>
      <c r="BE173" s="1055" t="str">
        <f t="shared" si="224"/>
        <v>-</v>
      </c>
      <c r="BF173" s="1055" t="str">
        <f t="shared" si="224"/>
        <v>-</v>
      </c>
      <c r="BG173" s="1056" t="str">
        <f t="shared" si="224"/>
        <v>-</v>
      </c>
      <c r="BH173" s="1048"/>
      <c r="BI173" s="2304" t="str">
        <f t="shared" si="182"/>
        <v>Rev</v>
      </c>
      <c r="BJ173" s="2305" t="str">
        <f t="shared" si="182"/>
        <v>[Service]</v>
      </c>
      <c r="BK173" s="2306" t="str">
        <f t="shared" si="182"/>
        <v>[Price]</v>
      </c>
      <c r="BL173" s="2307" t="str">
        <f t="shared" ref="BL173:BZ173" si="229">IF(OR(X173="",X173=0),"-",IFERROR((X173/W173-1)*(W173/W$13),"-"))</f>
        <v>-</v>
      </c>
      <c r="BM173" s="1055" t="str">
        <f t="shared" si="229"/>
        <v>-</v>
      </c>
      <c r="BN173" s="1055" t="str">
        <f t="shared" si="229"/>
        <v>-</v>
      </c>
      <c r="BO173" s="2308" t="str">
        <f t="shared" si="229"/>
        <v>-</v>
      </c>
      <c r="BP173" s="1055" t="str">
        <f t="shared" si="229"/>
        <v>-</v>
      </c>
      <c r="BQ173" s="2309" t="str">
        <f t="shared" si="229"/>
        <v>-</v>
      </c>
      <c r="BR173" s="1055" t="str">
        <f t="shared" si="229"/>
        <v>-</v>
      </c>
      <c r="BS173" s="1055" t="str">
        <f t="shared" si="229"/>
        <v>-</v>
      </c>
      <c r="BT173" s="1055" t="str">
        <f t="shared" si="229"/>
        <v>-</v>
      </c>
      <c r="BU173" s="1056" t="str">
        <f t="shared" si="229"/>
        <v>-</v>
      </c>
      <c r="BV173" s="1055" t="str">
        <f t="shared" si="229"/>
        <v>-</v>
      </c>
      <c r="BW173" s="1055" t="str">
        <f t="shared" si="229"/>
        <v>-</v>
      </c>
      <c r="BX173" s="1055" t="str">
        <f t="shared" si="229"/>
        <v>-</v>
      </c>
      <c r="BY173" s="1055" t="str">
        <f t="shared" si="229"/>
        <v>-</v>
      </c>
      <c r="BZ173" s="1056" t="str">
        <f t="shared" si="229"/>
        <v>-</v>
      </c>
      <c r="CA173" s="1048"/>
    </row>
    <row r="174" spans="3:79" x14ac:dyDescent="0.3">
      <c r="C174" s="126"/>
      <c r="D174" s="126">
        <f>D171+1</f>
        <v>36</v>
      </c>
      <c r="E174" s="553" t="s">
        <v>45</v>
      </c>
      <c r="F174" s="2105" t="s">
        <v>28</v>
      </c>
      <c r="G174" s="2105"/>
      <c r="H174" s="2105"/>
      <c r="I174" s="573" t="s">
        <v>319</v>
      </c>
      <c r="J174" s="573" t="s">
        <v>348</v>
      </c>
      <c r="K174" s="1969"/>
      <c r="L174" s="1970"/>
      <c r="M174" s="1970"/>
      <c r="N174" s="1971"/>
      <c r="O174" s="1970"/>
      <c r="P174" s="1970"/>
      <c r="Q174" s="1970"/>
      <c r="R174" s="1972"/>
      <c r="S174" s="1971"/>
      <c r="T174" s="1970"/>
      <c r="U174" s="1970"/>
      <c r="V174" s="1970"/>
      <c r="W174" s="1709"/>
      <c r="X174" s="1710"/>
      <c r="Y174" s="1709"/>
      <c r="Z174" s="1709"/>
      <c r="AA174" s="1709"/>
      <c r="AB174" s="1711"/>
      <c r="AC174" s="1709"/>
      <c r="AD174" s="1709"/>
      <c r="AE174" s="1709"/>
      <c r="AF174" s="1709"/>
      <c r="AG174" s="1712"/>
      <c r="AH174" s="1709"/>
      <c r="AI174" s="1709"/>
      <c r="AJ174" s="1709"/>
      <c r="AK174" s="1709"/>
      <c r="AL174" s="1712"/>
      <c r="AM174" s="560"/>
      <c r="AN174" s="1052"/>
      <c r="AO174" s="992"/>
      <c r="AP174" s="2297" t="str">
        <f t="shared" si="153"/>
        <v>Price</v>
      </c>
      <c r="AQ174" s="2298" t="str">
        <f t="shared" si="153"/>
        <v>[Service]</v>
      </c>
      <c r="AR174" s="1719" t="str">
        <f t="shared" si="154"/>
        <v>[Price]</v>
      </c>
      <c r="AS174" s="2299" t="str">
        <f t="shared" si="224"/>
        <v>-</v>
      </c>
      <c r="AT174" s="1728" t="str">
        <f t="shared" si="224"/>
        <v>-</v>
      </c>
      <c r="AU174" s="1728" t="str">
        <f t="shared" si="224"/>
        <v>-</v>
      </c>
      <c r="AV174" s="2300" t="str">
        <f t="shared" si="224"/>
        <v>-</v>
      </c>
      <c r="AW174" s="1728" t="str">
        <f t="shared" si="224"/>
        <v>-</v>
      </c>
      <c r="AX174" s="2301" t="str">
        <f t="shared" si="224"/>
        <v>-</v>
      </c>
      <c r="AY174" s="1728" t="str">
        <f t="shared" si="224"/>
        <v>-</v>
      </c>
      <c r="AZ174" s="1728" t="str">
        <f t="shared" si="224"/>
        <v>-</v>
      </c>
      <c r="BA174" s="1728" t="str">
        <f t="shared" si="224"/>
        <v>-</v>
      </c>
      <c r="BB174" s="1729" t="str">
        <f t="shared" si="224"/>
        <v>-</v>
      </c>
      <c r="BC174" s="1728" t="str">
        <f t="shared" si="224"/>
        <v>-</v>
      </c>
      <c r="BD174" s="1728" t="str">
        <f t="shared" si="224"/>
        <v>-</v>
      </c>
      <c r="BE174" s="1728" t="str">
        <f t="shared" si="224"/>
        <v>-</v>
      </c>
      <c r="BF174" s="1728" t="str">
        <f t="shared" si="224"/>
        <v>-</v>
      </c>
      <c r="BG174" s="1729" t="str">
        <f t="shared" si="224"/>
        <v>-</v>
      </c>
      <c r="BH174" s="1048"/>
      <c r="BI174" s="2297" t="str">
        <f t="shared" si="182"/>
        <v>Price</v>
      </c>
      <c r="BJ174" s="2298" t="str">
        <f t="shared" si="182"/>
        <v>[Service]</v>
      </c>
      <c r="BK174" s="1719" t="str">
        <f t="shared" si="182"/>
        <v>[Price]</v>
      </c>
      <c r="BL174" s="2299" t="str">
        <f t="shared" ref="BL174:BZ174" si="230">IF(OR(X174="",X174=0),"-",IFERROR((X174/W174-1)*(W176/W$13),"-"))</f>
        <v>-</v>
      </c>
      <c r="BM174" s="1053" t="str">
        <f t="shared" si="230"/>
        <v>-</v>
      </c>
      <c r="BN174" s="1053" t="str">
        <f t="shared" si="230"/>
        <v>-</v>
      </c>
      <c r="BO174" s="2302" t="str">
        <f t="shared" si="230"/>
        <v>-</v>
      </c>
      <c r="BP174" s="1053" t="str">
        <f t="shared" si="230"/>
        <v>-</v>
      </c>
      <c r="BQ174" s="2303" t="str">
        <f t="shared" si="230"/>
        <v>-</v>
      </c>
      <c r="BR174" s="1053" t="str">
        <f t="shared" si="230"/>
        <v>-</v>
      </c>
      <c r="BS174" s="1053" t="str">
        <f t="shared" si="230"/>
        <v>-</v>
      </c>
      <c r="BT174" s="1053" t="str">
        <f t="shared" si="230"/>
        <v>-</v>
      </c>
      <c r="BU174" s="1054" t="str">
        <f t="shared" si="230"/>
        <v>-</v>
      </c>
      <c r="BV174" s="1053" t="str">
        <f t="shared" si="230"/>
        <v>-</v>
      </c>
      <c r="BW174" s="1053" t="str">
        <f t="shared" si="230"/>
        <v>-</v>
      </c>
      <c r="BX174" s="1053" t="str">
        <f t="shared" si="230"/>
        <v>-</v>
      </c>
      <c r="BY174" s="1053" t="str">
        <f t="shared" si="230"/>
        <v>-</v>
      </c>
      <c r="BZ174" s="1054" t="str">
        <f t="shared" si="230"/>
        <v>-</v>
      </c>
      <c r="CA174" s="1048"/>
    </row>
    <row r="175" spans="3:79" x14ac:dyDescent="0.3">
      <c r="C175" s="126"/>
      <c r="D175" s="126"/>
      <c r="E175" s="558" t="s">
        <v>46</v>
      </c>
      <c r="F175" s="2161" t="str">
        <f t="shared" si="204"/>
        <v>[Service]</v>
      </c>
      <c r="G175" s="2163">
        <f t="shared" si="204"/>
        <v>0</v>
      </c>
      <c r="H175" s="2163">
        <f t="shared" si="204"/>
        <v>0</v>
      </c>
      <c r="I175" s="2164" t="str">
        <f t="shared" si="204"/>
        <v>[Price]</v>
      </c>
      <c r="J175" s="574" t="s">
        <v>323</v>
      </c>
      <c r="K175" s="1973"/>
      <c r="L175" s="1974"/>
      <c r="M175" s="1974"/>
      <c r="N175" s="1975"/>
      <c r="O175" s="1974"/>
      <c r="P175" s="1974"/>
      <c r="Q175" s="1974"/>
      <c r="R175" s="1976"/>
      <c r="S175" s="1975"/>
      <c r="T175" s="1974"/>
      <c r="U175" s="1974"/>
      <c r="V175" s="1974"/>
      <c r="W175" s="1713"/>
      <c r="X175" s="1714"/>
      <c r="Y175" s="1713"/>
      <c r="Z175" s="1713"/>
      <c r="AA175" s="1713"/>
      <c r="AB175" s="1715"/>
      <c r="AC175" s="1713"/>
      <c r="AD175" s="1713"/>
      <c r="AE175" s="1713"/>
      <c r="AF175" s="1713"/>
      <c r="AG175" s="1716"/>
      <c r="AH175" s="1713"/>
      <c r="AI175" s="1713"/>
      <c r="AJ175" s="1713"/>
      <c r="AK175" s="1713"/>
      <c r="AL175" s="1716"/>
      <c r="AM175" s="560"/>
      <c r="AN175" s="991"/>
      <c r="AO175" s="992"/>
      <c r="AP175" s="2285" t="str">
        <f t="shared" si="153"/>
        <v>Qty</v>
      </c>
      <c r="AQ175" s="2286" t="str">
        <f t="shared" si="153"/>
        <v>[Service]</v>
      </c>
      <c r="AR175" s="2287" t="str">
        <f t="shared" si="154"/>
        <v>[Price]</v>
      </c>
      <c r="AS175" s="2288" t="str">
        <f t="shared" si="224"/>
        <v>-</v>
      </c>
      <c r="AT175" s="1720" t="str">
        <f t="shared" si="224"/>
        <v>-</v>
      </c>
      <c r="AU175" s="1720" t="str">
        <f t="shared" si="224"/>
        <v>-</v>
      </c>
      <c r="AV175" s="2289" t="str">
        <f t="shared" si="224"/>
        <v>-</v>
      </c>
      <c r="AW175" s="1720" t="str">
        <f t="shared" si="224"/>
        <v>-</v>
      </c>
      <c r="AX175" s="2290" t="str">
        <f t="shared" si="224"/>
        <v>-</v>
      </c>
      <c r="AY175" s="1720" t="str">
        <f t="shared" si="224"/>
        <v>-</v>
      </c>
      <c r="AZ175" s="1720" t="str">
        <f t="shared" si="224"/>
        <v>-</v>
      </c>
      <c r="BA175" s="1720" t="str">
        <f t="shared" si="224"/>
        <v>-</v>
      </c>
      <c r="BB175" s="1721" t="str">
        <f t="shared" si="224"/>
        <v>-</v>
      </c>
      <c r="BC175" s="1720" t="str">
        <f t="shared" si="224"/>
        <v>-</v>
      </c>
      <c r="BD175" s="1720" t="str">
        <f t="shared" si="224"/>
        <v>-</v>
      </c>
      <c r="BE175" s="1720" t="str">
        <f t="shared" si="224"/>
        <v>-</v>
      </c>
      <c r="BF175" s="1720" t="str">
        <f t="shared" si="224"/>
        <v>-</v>
      </c>
      <c r="BG175" s="1721" t="str">
        <f t="shared" si="224"/>
        <v>-</v>
      </c>
      <c r="BH175" s="1048"/>
      <c r="BI175" s="2285" t="str">
        <f t="shared" si="182"/>
        <v>Qty</v>
      </c>
      <c r="BJ175" s="2286" t="str">
        <f t="shared" si="182"/>
        <v>[Service]</v>
      </c>
      <c r="BK175" s="2287" t="str">
        <f t="shared" si="182"/>
        <v>[Price]</v>
      </c>
      <c r="BL175" s="2288" t="str">
        <f t="shared" ref="BL175:BZ175" si="231">IF(OR(X175="",X175=0),"-",IFERROR((X175/W175-1)*(W176/W$13),"-"))</f>
        <v>-</v>
      </c>
      <c r="BM175" s="1720" t="str">
        <f t="shared" si="231"/>
        <v>-</v>
      </c>
      <c r="BN175" s="1720" t="str">
        <f t="shared" si="231"/>
        <v>-</v>
      </c>
      <c r="BO175" s="2289" t="str">
        <f t="shared" si="231"/>
        <v>-</v>
      </c>
      <c r="BP175" s="1720" t="str">
        <f t="shared" si="231"/>
        <v>-</v>
      </c>
      <c r="BQ175" s="2290" t="str">
        <f t="shared" si="231"/>
        <v>-</v>
      </c>
      <c r="BR175" s="1720" t="str">
        <f t="shared" si="231"/>
        <v>-</v>
      </c>
      <c r="BS175" s="1720" t="str">
        <f t="shared" si="231"/>
        <v>-</v>
      </c>
      <c r="BT175" s="1720" t="str">
        <f t="shared" si="231"/>
        <v>-</v>
      </c>
      <c r="BU175" s="1721" t="str">
        <f t="shared" si="231"/>
        <v>-</v>
      </c>
      <c r="BV175" s="1720" t="str">
        <f t="shared" si="231"/>
        <v>-</v>
      </c>
      <c r="BW175" s="1720" t="str">
        <f t="shared" si="231"/>
        <v>-</v>
      </c>
      <c r="BX175" s="1720" t="str">
        <f t="shared" si="231"/>
        <v>-</v>
      </c>
      <c r="BY175" s="1720" t="str">
        <f t="shared" si="231"/>
        <v>-</v>
      </c>
      <c r="BZ175" s="1721" t="str">
        <f t="shared" si="231"/>
        <v>-</v>
      </c>
      <c r="CA175" s="1048"/>
    </row>
    <row r="176" spans="3:79" ht="12.5" thickBot="1" x14ac:dyDescent="0.35">
      <c r="C176" s="126"/>
      <c r="D176" s="126"/>
      <c r="E176" s="559" t="s">
        <v>47</v>
      </c>
      <c r="F176" s="2162" t="str">
        <f t="shared" ref="F176:I176" si="232">+F174</f>
        <v>[Service]</v>
      </c>
      <c r="G176" s="2165">
        <f t="shared" si="232"/>
        <v>0</v>
      </c>
      <c r="H176" s="2165">
        <f t="shared" si="232"/>
        <v>0</v>
      </c>
      <c r="I176" s="2166" t="str">
        <f t="shared" si="232"/>
        <v>[Price]</v>
      </c>
      <c r="J176" s="2106" t="s">
        <v>347</v>
      </c>
      <c r="K176" s="1977"/>
      <c r="L176" s="1206"/>
      <c r="M176" s="1206"/>
      <c r="N176" s="1978"/>
      <c r="O176" s="1206"/>
      <c r="P176" s="1206"/>
      <c r="Q176" s="1206"/>
      <c r="R176" s="1206"/>
      <c r="S176" s="1978"/>
      <c r="T176" s="1206"/>
      <c r="U176" s="1206"/>
      <c r="V176" s="1206"/>
      <c r="W176" s="1731">
        <f t="shared" ref="W176:AG176" si="233">W174*W175/10^6</f>
        <v>0</v>
      </c>
      <c r="X176" s="1730">
        <f t="shared" si="233"/>
        <v>0</v>
      </c>
      <c r="Y176" s="1731">
        <f t="shared" si="233"/>
        <v>0</v>
      </c>
      <c r="Z176" s="1731">
        <f t="shared" si="233"/>
        <v>0</v>
      </c>
      <c r="AA176" s="1731">
        <f t="shared" si="233"/>
        <v>0</v>
      </c>
      <c r="AB176" s="1733">
        <f t="shared" si="233"/>
        <v>0</v>
      </c>
      <c r="AC176" s="1731">
        <f t="shared" si="233"/>
        <v>0</v>
      </c>
      <c r="AD176" s="1731">
        <f t="shared" si="233"/>
        <v>0</v>
      </c>
      <c r="AE176" s="1731">
        <f t="shared" si="233"/>
        <v>0</v>
      </c>
      <c r="AF176" s="1731">
        <f t="shared" si="233"/>
        <v>0</v>
      </c>
      <c r="AG176" s="1733">
        <f t="shared" si="233"/>
        <v>0</v>
      </c>
      <c r="AH176" s="1731">
        <f>AH174*AH175/10^6</f>
        <v>0</v>
      </c>
      <c r="AI176" s="1731">
        <f>AI174*AI175/10^6</f>
        <v>0</v>
      </c>
      <c r="AJ176" s="1731">
        <f>AJ174*AJ175/10^6</f>
        <v>0</v>
      </c>
      <c r="AK176" s="1731">
        <f>AK174*AK175/10^6</f>
        <v>0</v>
      </c>
      <c r="AL176" s="1733">
        <f>AL174*AL175/10^6</f>
        <v>0</v>
      </c>
      <c r="AM176" s="560"/>
      <c r="AN176" s="991"/>
      <c r="AO176" s="992"/>
      <c r="AP176" s="2304" t="str">
        <f t="shared" si="153"/>
        <v>Rev</v>
      </c>
      <c r="AQ176" s="2305" t="str">
        <f t="shared" si="153"/>
        <v>[Service]</v>
      </c>
      <c r="AR176" s="2306" t="str">
        <f t="shared" si="154"/>
        <v>[Price]</v>
      </c>
      <c r="AS176" s="2307" t="str">
        <f t="shared" si="224"/>
        <v>-</v>
      </c>
      <c r="AT176" s="1055" t="str">
        <f t="shared" si="224"/>
        <v>-</v>
      </c>
      <c r="AU176" s="1055" t="str">
        <f t="shared" si="224"/>
        <v>-</v>
      </c>
      <c r="AV176" s="2308" t="str">
        <f t="shared" si="224"/>
        <v>-</v>
      </c>
      <c r="AW176" s="1055" t="str">
        <f t="shared" si="224"/>
        <v>-</v>
      </c>
      <c r="AX176" s="2309" t="str">
        <f t="shared" si="224"/>
        <v>-</v>
      </c>
      <c r="AY176" s="1055" t="str">
        <f t="shared" si="224"/>
        <v>-</v>
      </c>
      <c r="AZ176" s="1055" t="str">
        <f t="shared" si="224"/>
        <v>-</v>
      </c>
      <c r="BA176" s="1055" t="str">
        <f t="shared" si="224"/>
        <v>-</v>
      </c>
      <c r="BB176" s="1056" t="str">
        <f t="shared" si="224"/>
        <v>-</v>
      </c>
      <c r="BC176" s="1055" t="str">
        <f t="shared" si="224"/>
        <v>-</v>
      </c>
      <c r="BD176" s="1055" t="str">
        <f t="shared" si="224"/>
        <v>-</v>
      </c>
      <c r="BE176" s="1055" t="str">
        <f t="shared" si="224"/>
        <v>-</v>
      </c>
      <c r="BF176" s="1055" t="str">
        <f t="shared" si="224"/>
        <v>-</v>
      </c>
      <c r="BG176" s="1056" t="str">
        <f t="shared" si="224"/>
        <v>-</v>
      </c>
      <c r="BH176" s="1048"/>
      <c r="BI176" s="2304" t="str">
        <f t="shared" si="182"/>
        <v>Rev</v>
      </c>
      <c r="BJ176" s="2305" t="str">
        <f t="shared" si="182"/>
        <v>[Service]</v>
      </c>
      <c r="BK176" s="2306" t="str">
        <f t="shared" si="182"/>
        <v>[Price]</v>
      </c>
      <c r="BL176" s="2307" t="str">
        <f t="shared" ref="BL176:BZ176" si="234">IF(OR(X176="",X176=0),"-",IFERROR((X176/W176-1)*(W176/W$13),"-"))</f>
        <v>-</v>
      </c>
      <c r="BM176" s="1055" t="str">
        <f t="shared" si="234"/>
        <v>-</v>
      </c>
      <c r="BN176" s="1055" t="str">
        <f t="shared" si="234"/>
        <v>-</v>
      </c>
      <c r="BO176" s="2308" t="str">
        <f t="shared" si="234"/>
        <v>-</v>
      </c>
      <c r="BP176" s="1055" t="str">
        <f t="shared" si="234"/>
        <v>-</v>
      </c>
      <c r="BQ176" s="2309" t="str">
        <f t="shared" si="234"/>
        <v>-</v>
      </c>
      <c r="BR176" s="1055" t="str">
        <f t="shared" si="234"/>
        <v>-</v>
      </c>
      <c r="BS176" s="1055" t="str">
        <f t="shared" si="234"/>
        <v>-</v>
      </c>
      <c r="BT176" s="1055" t="str">
        <f t="shared" si="234"/>
        <v>-</v>
      </c>
      <c r="BU176" s="1056" t="str">
        <f t="shared" si="234"/>
        <v>-</v>
      </c>
      <c r="BV176" s="1055" t="str">
        <f t="shared" si="234"/>
        <v>-</v>
      </c>
      <c r="BW176" s="1055" t="str">
        <f t="shared" si="234"/>
        <v>-</v>
      </c>
      <c r="BX176" s="1055" t="str">
        <f t="shared" si="234"/>
        <v>-</v>
      </c>
      <c r="BY176" s="1055" t="str">
        <f t="shared" si="234"/>
        <v>-</v>
      </c>
      <c r="BZ176" s="1056" t="str">
        <f t="shared" si="234"/>
        <v>-</v>
      </c>
      <c r="CA176" s="1048"/>
    </row>
    <row r="177" spans="3:79" x14ac:dyDescent="0.3">
      <c r="C177" s="126"/>
      <c r="D177" s="126">
        <f>D174+1</f>
        <v>37</v>
      </c>
      <c r="E177" s="553" t="s">
        <v>45</v>
      </c>
      <c r="F177" s="2105" t="s">
        <v>28</v>
      </c>
      <c r="G177" s="2105"/>
      <c r="H177" s="2105"/>
      <c r="I177" s="573" t="s">
        <v>319</v>
      </c>
      <c r="J177" s="573" t="s">
        <v>348</v>
      </c>
      <c r="K177" s="1969"/>
      <c r="L177" s="1970"/>
      <c r="M177" s="1970"/>
      <c r="N177" s="1971"/>
      <c r="O177" s="1970"/>
      <c r="P177" s="1970"/>
      <c r="Q177" s="1970"/>
      <c r="R177" s="1972"/>
      <c r="S177" s="1971"/>
      <c r="T177" s="1970"/>
      <c r="U177" s="1970"/>
      <c r="V177" s="1970"/>
      <c r="W177" s="1709"/>
      <c r="X177" s="1710"/>
      <c r="Y177" s="1709"/>
      <c r="Z177" s="1709"/>
      <c r="AA177" s="1709"/>
      <c r="AB177" s="1711"/>
      <c r="AC177" s="1709"/>
      <c r="AD177" s="1709"/>
      <c r="AE177" s="1709"/>
      <c r="AF177" s="1709"/>
      <c r="AG177" s="1712"/>
      <c r="AH177" s="1709"/>
      <c r="AI177" s="1709"/>
      <c r="AJ177" s="1709"/>
      <c r="AK177" s="1709"/>
      <c r="AL177" s="1712"/>
      <c r="AM177" s="560"/>
      <c r="AN177" s="1052"/>
      <c r="AO177" s="992"/>
      <c r="AP177" s="2297" t="str">
        <f t="shared" si="153"/>
        <v>Price</v>
      </c>
      <c r="AQ177" s="2298" t="str">
        <f t="shared" si="153"/>
        <v>[Service]</v>
      </c>
      <c r="AR177" s="1719" t="str">
        <f t="shared" si="154"/>
        <v>[Price]</v>
      </c>
      <c r="AS177" s="2299" t="str">
        <f t="shared" si="224"/>
        <v>-</v>
      </c>
      <c r="AT177" s="1728" t="str">
        <f t="shared" si="224"/>
        <v>-</v>
      </c>
      <c r="AU177" s="1728" t="str">
        <f t="shared" si="224"/>
        <v>-</v>
      </c>
      <c r="AV177" s="2300" t="str">
        <f t="shared" si="224"/>
        <v>-</v>
      </c>
      <c r="AW177" s="1728" t="str">
        <f t="shared" si="224"/>
        <v>-</v>
      </c>
      <c r="AX177" s="2301" t="str">
        <f t="shared" si="224"/>
        <v>-</v>
      </c>
      <c r="AY177" s="1728" t="str">
        <f t="shared" si="224"/>
        <v>-</v>
      </c>
      <c r="AZ177" s="1728" t="str">
        <f t="shared" si="224"/>
        <v>-</v>
      </c>
      <c r="BA177" s="1728" t="str">
        <f t="shared" si="224"/>
        <v>-</v>
      </c>
      <c r="BB177" s="1729" t="str">
        <f t="shared" si="224"/>
        <v>-</v>
      </c>
      <c r="BC177" s="1728" t="str">
        <f t="shared" si="224"/>
        <v>-</v>
      </c>
      <c r="BD177" s="1728" t="str">
        <f t="shared" si="224"/>
        <v>-</v>
      </c>
      <c r="BE177" s="1728" t="str">
        <f t="shared" si="224"/>
        <v>-</v>
      </c>
      <c r="BF177" s="1728" t="str">
        <f t="shared" si="224"/>
        <v>-</v>
      </c>
      <c r="BG177" s="1729" t="str">
        <f t="shared" si="224"/>
        <v>-</v>
      </c>
      <c r="BH177" s="1048"/>
      <c r="BI177" s="2297" t="str">
        <f t="shared" si="182"/>
        <v>Price</v>
      </c>
      <c r="BJ177" s="2298" t="str">
        <f t="shared" si="182"/>
        <v>[Service]</v>
      </c>
      <c r="BK177" s="1719" t="str">
        <f t="shared" si="182"/>
        <v>[Price]</v>
      </c>
      <c r="BL177" s="2299" t="str">
        <f t="shared" ref="BL177:BZ177" si="235">IF(OR(X177="",X177=0),"-",IFERROR((X177/W177-1)*(W179/W$13),"-"))</f>
        <v>-</v>
      </c>
      <c r="BM177" s="1053" t="str">
        <f t="shared" si="235"/>
        <v>-</v>
      </c>
      <c r="BN177" s="1053" t="str">
        <f t="shared" si="235"/>
        <v>-</v>
      </c>
      <c r="BO177" s="2302" t="str">
        <f t="shared" si="235"/>
        <v>-</v>
      </c>
      <c r="BP177" s="1053" t="str">
        <f t="shared" si="235"/>
        <v>-</v>
      </c>
      <c r="BQ177" s="2303" t="str">
        <f t="shared" si="235"/>
        <v>-</v>
      </c>
      <c r="BR177" s="1053" t="str">
        <f t="shared" si="235"/>
        <v>-</v>
      </c>
      <c r="BS177" s="1053" t="str">
        <f t="shared" si="235"/>
        <v>-</v>
      </c>
      <c r="BT177" s="1053" t="str">
        <f t="shared" si="235"/>
        <v>-</v>
      </c>
      <c r="BU177" s="1054" t="str">
        <f t="shared" si="235"/>
        <v>-</v>
      </c>
      <c r="BV177" s="1053" t="str">
        <f t="shared" si="235"/>
        <v>-</v>
      </c>
      <c r="BW177" s="1053" t="str">
        <f t="shared" si="235"/>
        <v>-</v>
      </c>
      <c r="BX177" s="1053" t="str">
        <f t="shared" si="235"/>
        <v>-</v>
      </c>
      <c r="BY177" s="1053" t="str">
        <f t="shared" si="235"/>
        <v>-</v>
      </c>
      <c r="BZ177" s="1054" t="str">
        <f t="shared" si="235"/>
        <v>-</v>
      </c>
      <c r="CA177" s="1048"/>
    </row>
    <row r="178" spans="3:79" x14ac:dyDescent="0.3">
      <c r="C178" s="126"/>
      <c r="D178" s="126"/>
      <c r="E178" s="558" t="s">
        <v>46</v>
      </c>
      <c r="F178" s="2161" t="str">
        <f t="shared" ref="F178:I193" si="236">+F177</f>
        <v>[Service]</v>
      </c>
      <c r="G178" s="2163">
        <f t="shared" si="236"/>
        <v>0</v>
      </c>
      <c r="H178" s="2163">
        <f t="shared" si="236"/>
        <v>0</v>
      </c>
      <c r="I178" s="2164" t="str">
        <f t="shared" si="236"/>
        <v>[Price]</v>
      </c>
      <c r="J178" s="574" t="s">
        <v>323</v>
      </c>
      <c r="K178" s="1973"/>
      <c r="L178" s="1974"/>
      <c r="M178" s="1974"/>
      <c r="N178" s="1975"/>
      <c r="O178" s="1974"/>
      <c r="P178" s="1974"/>
      <c r="Q178" s="1974"/>
      <c r="R178" s="1976"/>
      <c r="S178" s="1975"/>
      <c r="T178" s="1974"/>
      <c r="U178" s="1974"/>
      <c r="V178" s="1974"/>
      <c r="W178" s="1713"/>
      <c r="X178" s="1714"/>
      <c r="Y178" s="1713"/>
      <c r="Z178" s="1713"/>
      <c r="AA178" s="1713"/>
      <c r="AB178" s="1715"/>
      <c r="AC178" s="1713"/>
      <c r="AD178" s="1713"/>
      <c r="AE178" s="1713"/>
      <c r="AF178" s="1713"/>
      <c r="AG178" s="1716"/>
      <c r="AH178" s="1713"/>
      <c r="AI178" s="1713"/>
      <c r="AJ178" s="1713"/>
      <c r="AK178" s="1713"/>
      <c r="AL178" s="1716"/>
      <c r="AM178" s="560"/>
      <c r="AN178" s="991"/>
      <c r="AO178" s="992"/>
      <c r="AP178" s="2285" t="str">
        <f t="shared" si="153"/>
        <v>Qty</v>
      </c>
      <c r="AQ178" s="2286" t="str">
        <f t="shared" si="153"/>
        <v>[Service]</v>
      </c>
      <c r="AR178" s="2287" t="str">
        <f t="shared" si="154"/>
        <v>[Price]</v>
      </c>
      <c r="AS178" s="2288" t="str">
        <f t="shared" si="224"/>
        <v>-</v>
      </c>
      <c r="AT178" s="1720" t="str">
        <f t="shared" si="224"/>
        <v>-</v>
      </c>
      <c r="AU178" s="1720" t="str">
        <f t="shared" si="224"/>
        <v>-</v>
      </c>
      <c r="AV178" s="2289" t="str">
        <f t="shared" si="224"/>
        <v>-</v>
      </c>
      <c r="AW178" s="1720" t="str">
        <f t="shared" si="224"/>
        <v>-</v>
      </c>
      <c r="AX178" s="2290" t="str">
        <f t="shared" si="224"/>
        <v>-</v>
      </c>
      <c r="AY178" s="1720" t="str">
        <f t="shared" si="224"/>
        <v>-</v>
      </c>
      <c r="AZ178" s="1720" t="str">
        <f t="shared" si="224"/>
        <v>-</v>
      </c>
      <c r="BA178" s="1720" t="str">
        <f t="shared" si="224"/>
        <v>-</v>
      </c>
      <c r="BB178" s="1721" t="str">
        <f t="shared" si="224"/>
        <v>-</v>
      </c>
      <c r="BC178" s="1720" t="str">
        <f t="shared" si="224"/>
        <v>-</v>
      </c>
      <c r="BD178" s="1720" t="str">
        <f t="shared" si="224"/>
        <v>-</v>
      </c>
      <c r="BE178" s="1720" t="str">
        <f t="shared" si="224"/>
        <v>-</v>
      </c>
      <c r="BF178" s="1720" t="str">
        <f t="shared" si="224"/>
        <v>-</v>
      </c>
      <c r="BG178" s="1721" t="str">
        <f t="shared" si="224"/>
        <v>-</v>
      </c>
      <c r="BH178" s="1048"/>
      <c r="BI178" s="2285" t="str">
        <f t="shared" si="182"/>
        <v>Qty</v>
      </c>
      <c r="BJ178" s="2286" t="str">
        <f t="shared" si="182"/>
        <v>[Service]</v>
      </c>
      <c r="BK178" s="2287" t="str">
        <f t="shared" si="182"/>
        <v>[Price]</v>
      </c>
      <c r="BL178" s="2288" t="str">
        <f t="shared" ref="BL178:BZ178" si="237">IF(OR(X178="",X178=0),"-",IFERROR((X178/W178-1)*(W179/W$13),"-"))</f>
        <v>-</v>
      </c>
      <c r="BM178" s="1720" t="str">
        <f t="shared" si="237"/>
        <v>-</v>
      </c>
      <c r="BN178" s="1720" t="str">
        <f t="shared" si="237"/>
        <v>-</v>
      </c>
      <c r="BO178" s="2289" t="str">
        <f t="shared" si="237"/>
        <v>-</v>
      </c>
      <c r="BP178" s="1720" t="str">
        <f t="shared" si="237"/>
        <v>-</v>
      </c>
      <c r="BQ178" s="2290" t="str">
        <f t="shared" si="237"/>
        <v>-</v>
      </c>
      <c r="BR178" s="1720" t="str">
        <f t="shared" si="237"/>
        <v>-</v>
      </c>
      <c r="BS178" s="1720" t="str">
        <f t="shared" si="237"/>
        <v>-</v>
      </c>
      <c r="BT178" s="1720" t="str">
        <f t="shared" si="237"/>
        <v>-</v>
      </c>
      <c r="BU178" s="1721" t="str">
        <f t="shared" si="237"/>
        <v>-</v>
      </c>
      <c r="BV178" s="1720" t="str">
        <f t="shared" si="237"/>
        <v>-</v>
      </c>
      <c r="BW178" s="1720" t="str">
        <f t="shared" si="237"/>
        <v>-</v>
      </c>
      <c r="BX178" s="1720" t="str">
        <f t="shared" si="237"/>
        <v>-</v>
      </c>
      <c r="BY178" s="1720" t="str">
        <f t="shared" si="237"/>
        <v>-</v>
      </c>
      <c r="BZ178" s="1721" t="str">
        <f t="shared" si="237"/>
        <v>-</v>
      </c>
      <c r="CA178" s="1048"/>
    </row>
    <row r="179" spans="3:79" ht="12.5" thickBot="1" x14ac:dyDescent="0.35">
      <c r="C179" s="126"/>
      <c r="D179" s="126"/>
      <c r="E179" s="559" t="s">
        <v>47</v>
      </c>
      <c r="F179" s="2162" t="str">
        <f t="shared" ref="F179:I179" si="238">+F177</f>
        <v>[Service]</v>
      </c>
      <c r="G179" s="2165">
        <f t="shared" si="238"/>
        <v>0</v>
      </c>
      <c r="H179" s="2165">
        <f t="shared" si="238"/>
        <v>0</v>
      </c>
      <c r="I179" s="2166" t="str">
        <f t="shared" si="238"/>
        <v>[Price]</v>
      </c>
      <c r="J179" s="2106" t="s">
        <v>347</v>
      </c>
      <c r="K179" s="1977"/>
      <c r="L179" s="1206"/>
      <c r="M179" s="1206"/>
      <c r="N179" s="1978"/>
      <c r="O179" s="1206"/>
      <c r="P179" s="1206"/>
      <c r="Q179" s="1206"/>
      <c r="R179" s="1206"/>
      <c r="S179" s="1978"/>
      <c r="T179" s="1206"/>
      <c r="U179" s="1206"/>
      <c r="V179" s="1206"/>
      <c r="W179" s="1731">
        <f t="shared" ref="W179:AG179" si="239">W177*W178/10^6</f>
        <v>0</v>
      </c>
      <c r="X179" s="1730">
        <f t="shared" si="239"/>
        <v>0</v>
      </c>
      <c r="Y179" s="1731">
        <f t="shared" si="239"/>
        <v>0</v>
      </c>
      <c r="Z179" s="1731">
        <f t="shared" si="239"/>
        <v>0</v>
      </c>
      <c r="AA179" s="1731">
        <f t="shared" si="239"/>
        <v>0</v>
      </c>
      <c r="AB179" s="1733">
        <f t="shared" si="239"/>
        <v>0</v>
      </c>
      <c r="AC179" s="1731">
        <f t="shared" si="239"/>
        <v>0</v>
      </c>
      <c r="AD179" s="1731">
        <f t="shared" si="239"/>
        <v>0</v>
      </c>
      <c r="AE179" s="1731">
        <f t="shared" si="239"/>
        <v>0</v>
      </c>
      <c r="AF179" s="1731">
        <f t="shared" si="239"/>
        <v>0</v>
      </c>
      <c r="AG179" s="1733">
        <f t="shared" si="239"/>
        <v>0</v>
      </c>
      <c r="AH179" s="1731">
        <f>AH177*AH178/10^6</f>
        <v>0</v>
      </c>
      <c r="AI179" s="1731">
        <f>AI177*AI178/10^6</f>
        <v>0</v>
      </c>
      <c r="AJ179" s="1731">
        <f>AJ177*AJ178/10^6</f>
        <v>0</v>
      </c>
      <c r="AK179" s="1731">
        <f>AK177*AK178/10^6</f>
        <v>0</v>
      </c>
      <c r="AL179" s="1733">
        <f>AL177*AL178/10^6</f>
        <v>0</v>
      </c>
      <c r="AM179" s="560"/>
      <c r="AN179" s="991"/>
      <c r="AO179" s="992"/>
      <c r="AP179" s="2304" t="str">
        <f t="shared" si="153"/>
        <v>Rev</v>
      </c>
      <c r="AQ179" s="2305" t="str">
        <f t="shared" si="153"/>
        <v>[Service]</v>
      </c>
      <c r="AR179" s="2306" t="str">
        <f t="shared" si="154"/>
        <v>[Price]</v>
      </c>
      <c r="AS179" s="2307" t="str">
        <f t="shared" si="224"/>
        <v>-</v>
      </c>
      <c r="AT179" s="1055" t="str">
        <f t="shared" si="224"/>
        <v>-</v>
      </c>
      <c r="AU179" s="1055" t="str">
        <f t="shared" si="224"/>
        <v>-</v>
      </c>
      <c r="AV179" s="2308" t="str">
        <f t="shared" si="224"/>
        <v>-</v>
      </c>
      <c r="AW179" s="1055" t="str">
        <f t="shared" si="224"/>
        <v>-</v>
      </c>
      <c r="AX179" s="2309" t="str">
        <f t="shared" si="224"/>
        <v>-</v>
      </c>
      <c r="AY179" s="1055" t="str">
        <f t="shared" si="224"/>
        <v>-</v>
      </c>
      <c r="AZ179" s="1055" t="str">
        <f t="shared" si="224"/>
        <v>-</v>
      </c>
      <c r="BA179" s="1055" t="str">
        <f t="shared" si="224"/>
        <v>-</v>
      </c>
      <c r="BB179" s="1056" t="str">
        <f t="shared" si="224"/>
        <v>-</v>
      </c>
      <c r="BC179" s="1055" t="str">
        <f t="shared" si="224"/>
        <v>-</v>
      </c>
      <c r="BD179" s="1055" t="str">
        <f t="shared" si="224"/>
        <v>-</v>
      </c>
      <c r="BE179" s="1055" t="str">
        <f t="shared" si="224"/>
        <v>-</v>
      </c>
      <c r="BF179" s="1055" t="str">
        <f t="shared" si="224"/>
        <v>-</v>
      </c>
      <c r="BG179" s="1056" t="str">
        <f t="shared" si="224"/>
        <v>-</v>
      </c>
      <c r="BH179" s="1048"/>
      <c r="BI179" s="2304" t="str">
        <f t="shared" si="182"/>
        <v>Rev</v>
      </c>
      <c r="BJ179" s="2305" t="str">
        <f t="shared" si="182"/>
        <v>[Service]</v>
      </c>
      <c r="BK179" s="2306" t="str">
        <f t="shared" si="182"/>
        <v>[Price]</v>
      </c>
      <c r="BL179" s="2307" t="str">
        <f t="shared" ref="BL179:BZ179" si="240">IF(OR(X179="",X179=0),"-",IFERROR((X179/W179-1)*(W179/W$13),"-"))</f>
        <v>-</v>
      </c>
      <c r="BM179" s="1055" t="str">
        <f t="shared" si="240"/>
        <v>-</v>
      </c>
      <c r="BN179" s="1055" t="str">
        <f t="shared" si="240"/>
        <v>-</v>
      </c>
      <c r="BO179" s="2308" t="str">
        <f t="shared" si="240"/>
        <v>-</v>
      </c>
      <c r="BP179" s="1055" t="str">
        <f t="shared" si="240"/>
        <v>-</v>
      </c>
      <c r="BQ179" s="2309" t="str">
        <f t="shared" si="240"/>
        <v>-</v>
      </c>
      <c r="BR179" s="1055" t="str">
        <f t="shared" si="240"/>
        <v>-</v>
      </c>
      <c r="BS179" s="1055" t="str">
        <f t="shared" si="240"/>
        <v>-</v>
      </c>
      <c r="BT179" s="1055" t="str">
        <f t="shared" si="240"/>
        <v>-</v>
      </c>
      <c r="BU179" s="1056" t="str">
        <f t="shared" si="240"/>
        <v>-</v>
      </c>
      <c r="BV179" s="1055" t="str">
        <f t="shared" si="240"/>
        <v>-</v>
      </c>
      <c r="BW179" s="1055" t="str">
        <f t="shared" si="240"/>
        <v>-</v>
      </c>
      <c r="BX179" s="1055" t="str">
        <f t="shared" si="240"/>
        <v>-</v>
      </c>
      <c r="BY179" s="1055" t="str">
        <f t="shared" si="240"/>
        <v>-</v>
      </c>
      <c r="BZ179" s="1056" t="str">
        <f t="shared" si="240"/>
        <v>-</v>
      </c>
      <c r="CA179" s="1048"/>
    </row>
    <row r="180" spans="3:79" x14ac:dyDescent="0.3">
      <c r="C180" s="126"/>
      <c r="D180" s="126">
        <f>D177+1</f>
        <v>38</v>
      </c>
      <c r="E180" s="553" t="s">
        <v>45</v>
      </c>
      <c r="F180" s="2105" t="s">
        <v>28</v>
      </c>
      <c r="G180" s="2105"/>
      <c r="H180" s="2105"/>
      <c r="I180" s="573" t="s">
        <v>319</v>
      </c>
      <c r="J180" s="573" t="s">
        <v>348</v>
      </c>
      <c r="K180" s="1969"/>
      <c r="L180" s="1970"/>
      <c r="M180" s="1970"/>
      <c r="N180" s="1971"/>
      <c r="O180" s="1970"/>
      <c r="P180" s="1970"/>
      <c r="Q180" s="1970"/>
      <c r="R180" s="1972"/>
      <c r="S180" s="1971"/>
      <c r="T180" s="1970"/>
      <c r="U180" s="1970"/>
      <c r="V180" s="1970"/>
      <c r="W180" s="1709"/>
      <c r="X180" s="1710"/>
      <c r="Y180" s="1709"/>
      <c r="Z180" s="1709"/>
      <c r="AA180" s="1709"/>
      <c r="AB180" s="1711"/>
      <c r="AC180" s="1709"/>
      <c r="AD180" s="1709"/>
      <c r="AE180" s="1709"/>
      <c r="AF180" s="1709"/>
      <c r="AG180" s="1712"/>
      <c r="AH180" s="1709"/>
      <c r="AI180" s="1709"/>
      <c r="AJ180" s="1709"/>
      <c r="AK180" s="1709"/>
      <c r="AL180" s="1712"/>
      <c r="AM180" s="560"/>
      <c r="AN180" s="1052"/>
      <c r="AO180" s="992"/>
      <c r="AP180" s="2297" t="str">
        <f t="shared" si="153"/>
        <v>Price</v>
      </c>
      <c r="AQ180" s="2298" t="str">
        <f t="shared" si="153"/>
        <v>[Service]</v>
      </c>
      <c r="AR180" s="1719" t="str">
        <f t="shared" si="154"/>
        <v>[Price]</v>
      </c>
      <c r="AS180" s="2299" t="str">
        <f t="shared" si="224"/>
        <v>-</v>
      </c>
      <c r="AT180" s="1728" t="str">
        <f t="shared" si="224"/>
        <v>-</v>
      </c>
      <c r="AU180" s="1728" t="str">
        <f t="shared" si="224"/>
        <v>-</v>
      </c>
      <c r="AV180" s="2300" t="str">
        <f t="shared" si="224"/>
        <v>-</v>
      </c>
      <c r="AW180" s="1728" t="str">
        <f t="shared" si="224"/>
        <v>-</v>
      </c>
      <c r="AX180" s="2301" t="str">
        <f t="shared" si="224"/>
        <v>-</v>
      </c>
      <c r="AY180" s="1728" t="str">
        <f t="shared" si="224"/>
        <v>-</v>
      </c>
      <c r="AZ180" s="1728" t="str">
        <f t="shared" si="224"/>
        <v>-</v>
      </c>
      <c r="BA180" s="1728" t="str">
        <f t="shared" si="224"/>
        <v>-</v>
      </c>
      <c r="BB180" s="1729" t="str">
        <f t="shared" si="224"/>
        <v>-</v>
      </c>
      <c r="BC180" s="1728" t="str">
        <f t="shared" si="224"/>
        <v>-</v>
      </c>
      <c r="BD180" s="1728" t="str">
        <f t="shared" si="224"/>
        <v>-</v>
      </c>
      <c r="BE180" s="1728" t="str">
        <f t="shared" si="224"/>
        <v>-</v>
      </c>
      <c r="BF180" s="1728" t="str">
        <f t="shared" si="224"/>
        <v>-</v>
      </c>
      <c r="BG180" s="1729" t="str">
        <f t="shared" si="224"/>
        <v>-</v>
      </c>
      <c r="BH180" s="1048"/>
      <c r="BI180" s="2297" t="str">
        <f t="shared" si="182"/>
        <v>Price</v>
      </c>
      <c r="BJ180" s="2298" t="str">
        <f t="shared" si="182"/>
        <v>[Service]</v>
      </c>
      <c r="BK180" s="1719" t="str">
        <f t="shared" si="182"/>
        <v>[Price]</v>
      </c>
      <c r="BL180" s="2299" t="str">
        <f t="shared" ref="BL180:BZ180" si="241">IF(OR(X180="",X180=0),"-",IFERROR((X180/W180-1)*(W182/W$13),"-"))</f>
        <v>-</v>
      </c>
      <c r="BM180" s="1053" t="str">
        <f t="shared" si="241"/>
        <v>-</v>
      </c>
      <c r="BN180" s="1053" t="str">
        <f t="shared" si="241"/>
        <v>-</v>
      </c>
      <c r="BO180" s="2302" t="str">
        <f t="shared" si="241"/>
        <v>-</v>
      </c>
      <c r="BP180" s="1053" t="str">
        <f t="shared" si="241"/>
        <v>-</v>
      </c>
      <c r="BQ180" s="2303" t="str">
        <f t="shared" si="241"/>
        <v>-</v>
      </c>
      <c r="BR180" s="1053" t="str">
        <f t="shared" si="241"/>
        <v>-</v>
      </c>
      <c r="BS180" s="1053" t="str">
        <f t="shared" si="241"/>
        <v>-</v>
      </c>
      <c r="BT180" s="1053" t="str">
        <f t="shared" si="241"/>
        <v>-</v>
      </c>
      <c r="BU180" s="1054" t="str">
        <f t="shared" si="241"/>
        <v>-</v>
      </c>
      <c r="BV180" s="1053" t="str">
        <f t="shared" si="241"/>
        <v>-</v>
      </c>
      <c r="BW180" s="1053" t="str">
        <f t="shared" si="241"/>
        <v>-</v>
      </c>
      <c r="BX180" s="1053" t="str">
        <f t="shared" si="241"/>
        <v>-</v>
      </c>
      <c r="BY180" s="1053" t="str">
        <f t="shared" si="241"/>
        <v>-</v>
      </c>
      <c r="BZ180" s="1054" t="str">
        <f t="shared" si="241"/>
        <v>-</v>
      </c>
      <c r="CA180" s="1048"/>
    </row>
    <row r="181" spans="3:79" x14ac:dyDescent="0.3">
      <c r="C181" s="126"/>
      <c r="D181" s="126"/>
      <c r="E181" s="558" t="s">
        <v>46</v>
      </c>
      <c r="F181" s="2161" t="str">
        <f t="shared" si="236"/>
        <v>[Service]</v>
      </c>
      <c r="G181" s="2163">
        <f t="shared" si="236"/>
        <v>0</v>
      </c>
      <c r="H181" s="2163">
        <f t="shared" si="236"/>
        <v>0</v>
      </c>
      <c r="I181" s="2164" t="str">
        <f t="shared" si="236"/>
        <v>[Price]</v>
      </c>
      <c r="J181" s="574" t="s">
        <v>323</v>
      </c>
      <c r="K181" s="1973"/>
      <c r="L181" s="1974"/>
      <c r="M181" s="1974"/>
      <c r="N181" s="1975"/>
      <c r="O181" s="1974"/>
      <c r="P181" s="1974"/>
      <c r="Q181" s="1974"/>
      <c r="R181" s="1976"/>
      <c r="S181" s="1975"/>
      <c r="T181" s="1974"/>
      <c r="U181" s="1974"/>
      <c r="V181" s="1974"/>
      <c r="W181" s="1713"/>
      <c r="X181" s="1714"/>
      <c r="Y181" s="1713"/>
      <c r="Z181" s="1713"/>
      <c r="AA181" s="1713"/>
      <c r="AB181" s="1715"/>
      <c r="AC181" s="1713"/>
      <c r="AD181" s="1713"/>
      <c r="AE181" s="1713"/>
      <c r="AF181" s="1713"/>
      <c r="AG181" s="1716"/>
      <c r="AH181" s="1713"/>
      <c r="AI181" s="1713"/>
      <c r="AJ181" s="1713"/>
      <c r="AK181" s="1713"/>
      <c r="AL181" s="1716"/>
      <c r="AM181" s="560"/>
      <c r="AN181" s="991"/>
      <c r="AO181" s="992"/>
      <c r="AP181" s="2285" t="str">
        <f t="shared" si="153"/>
        <v>Qty</v>
      </c>
      <c r="AQ181" s="2286" t="str">
        <f t="shared" si="153"/>
        <v>[Service]</v>
      </c>
      <c r="AR181" s="2287" t="str">
        <f t="shared" si="154"/>
        <v>[Price]</v>
      </c>
      <c r="AS181" s="2288" t="str">
        <f t="shared" si="224"/>
        <v>-</v>
      </c>
      <c r="AT181" s="1720" t="str">
        <f t="shared" si="224"/>
        <v>-</v>
      </c>
      <c r="AU181" s="1720" t="str">
        <f t="shared" si="224"/>
        <v>-</v>
      </c>
      <c r="AV181" s="2289" t="str">
        <f t="shared" si="224"/>
        <v>-</v>
      </c>
      <c r="AW181" s="1720" t="str">
        <f t="shared" si="224"/>
        <v>-</v>
      </c>
      <c r="AX181" s="2290" t="str">
        <f t="shared" si="224"/>
        <v>-</v>
      </c>
      <c r="AY181" s="1720" t="str">
        <f t="shared" si="224"/>
        <v>-</v>
      </c>
      <c r="AZ181" s="1720" t="str">
        <f t="shared" si="224"/>
        <v>-</v>
      </c>
      <c r="BA181" s="1720" t="str">
        <f t="shared" si="224"/>
        <v>-</v>
      </c>
      <c r="BB181" s="1721" t="str">
        <f t="shared" si="224"/>
        <v>-</v>
      </c>
      <c r="BC181" s="1720" t="str">
        <f t="shared" si="224"/>
        <v>-</v>
      </c>
      <c r="BD181" s="1720" t="str">
        <f t="shared" si="224"/>
        <v>-</v>
      </c>
      <c r="BE181" s="1720" t="str">
        <f t="shared" si="224"/>
        <v>-</v>
      </c>
      <c r="BF181" s="1720" t="str">
        <f t="shared" si="224"/>
        <v>-</v>
      </c>
      <c r="BG181" s="1721" t="str">
        <f t="shared" si="224"/>
        <v>-</v>
      </c>
      <c r="BH181" s="1048"/>
      <c r="BI181" s="2285" t="str">
        <f t="shared" si="182"/>
        <v>Qty</v>
      </c>
      <c r="BJ181" s="2286" t="str">
        <f t="shared" si="182"/>
        <v>[Service]</v>
      </c>
      <c r="BK181" s="2287" t="str">
        <f t="shared" si="182"/>
        <v>[Price]</v>
      </c>
      <c r="BL181" s="2288" t="str">
        <f t="shared" ref="BL181:BZ181" si="242">IF(OR(X181="",X181=0),"-",IFERROR((X181/W181-1)*(W182/W$13),"-"))</f>
        <v>-</v>
      </c>
      <c r="BM181" s="1720" t="str">
        <f t="shared" si="242"/>
        <v>-</v>
      </c>
      <c r="BN181" s="1720" t="str">
        <f t="shared" si="242"/>
        <v>-</v>
      </c>
      <c r="BO181" s="2289" t="str">
        <f t="shared" si="242"/>
        <v>-</v>
      </c>
      <c r="BP181" s="1720" t="str">
        <f t="shared" si="242"/>
        <v>-</v>
      </c>
      <c r="BQ181" s="2290" t="str">
        <f t="shared" si="242"/>
        <v>-</v>
      </c>
      <c r="BR181" s="1720" t="str">
        <f t="shared" si="242"/>
        <v>-</v>
      </c>
      <c r="BS181" s="1720" t="str">
        <f t="shared" si="242"/>
        <v>-</v>
      </c>
      <c r="BT181" s="1720" t="str">
        <f t="shared" si="242"/>
        <v>-</v>
      </c>
      <c r="BU181" s="1721" t="str">
        <f t="shared" si="242"/>
        <v>-</v>
      </c>
      <c r="BV181" s="1720" t="str">
        <f t="shared" si="242"/>
        <v>-</v>
      </c>
      <c r="BW181" s="1720" t="str">
        <f t="shared" si="242"/>
        <v>-</v>
      </c>
      <c r="BX181" s="1720" t="str">
        <f t="shared" si="242"/>
        <v>-</v>
      </c>
      <c r="BY181" s="1720" t="str">
        <f t="shared" si="242"/>
        <v>-</v>
      </c>
      <c r="BZ181" s="1721" t="str">
        <f t="shared" si="242"/>
        <v>-</v>
      </c>
      <c r="CA181" s="1048"/>
    </row>
    <row r="182" spans="3:79" ht="12.5" thickBot="1" x14ac:dyDescent="0.35">
      <c r="C182" s="126"/>
      <c r="D182" s="126"/>
      <c r="E182" s="559" t="s">
        <v>47</v>
      </c>
      <c r="F182" s="2162" t="str">
        <f t="shared" ref="F182:I182" si="243">+F180</f>
        <v>[Service]</v>
      </c>
      <c r="G182" s="2165">
        <f t="shared" si="243"/>
        <v>0</v>
      </c>
      <c r="H182" s="2165">
        <f t="shared" si="243"/>
        <v>0</v>
      </c>
      <c r="I182" s="2166" t="str">
        <f t="shared" si="243"/>
        <v>[Price]</v>
      </c>
      <c r="J182" s="2106" t="s">
        <v>347</v>
      </c>
      <c r="K182" s="1977"/>
      <c r="L182" s="1206"/>
      <c r="M182" s="1206"/>
      <c r="N182" s="1978"/>
      <c r="O182" s="1206"/>
      <c r="P182" s="1206"/>
      <c r="Q182" s="1206"/>
      <c r="R182" s="1206"/>
      <c r="S182" s="1978"/>
      <c r="T182" s="1206"/>
      <c r="U182" s="1206"/>
      <c r="V182" s="1206"/>
      <c r="W182" s="1731">
        <f t="shared" ref="W182:AG182" si="244">W180*W181/10^6</f>
        <v>0</v>
      </c>
      <c r="X182" s="1730">
        <f t="shared" si="244"/>
        <v>0</v>
      </c>
      <c r="Y182" s="1731">
        <f t="shared" si="244"/>
        <v>0</v>
      </c>
      <c r="Z182" s="1731">
        <f t="shared" si="244"/>
        <v>0</v>
      </c>
      <c r="AA182" s="1731">
        <f t="shared" si="244"/>
        <v>0</v>
      </c>
      <c r="AB182" s="1733">
        <f t="shared" si="244"/>
        <v>0</v>
      </c>
      <c r="AC182" s="1731">
        <f t="shared" si="244"/>
        <v>0</v>
      </c>
      <c r="AD182" s="1731">
        <f t="shared" si="244"/>
        <v>0</v>
      </c>
      <c r="AE182" s="1731">
        <f t="shared" si="244"/>
        <v>0</v>
      </c>
      <c r="AF182" s="1731">
        <f t="shared" si="244"/>
        <v>0</v>
      </c>
      <c r="AG182" s="1733">
        <f t="shared" si="244"/>
        <v>0</v>
      </c>
      <c r="AH182" s="1731">
        <f>AH180*AH181/10^6</f>
        <v>0</v>
      </c>
      <c r="AI182" s="1731">
        <f>AI180*AI181/10^6</f>
        <v>0</v>
      </c>
      <c r="AJ182" s="1731">
        <f>AJ180*AJ181/10^6</f>
        <v>0</v>
      </c>
      <c r="AK182" s="1731">
        <f>AK180*AK181/10^6</f>
        <v>0</v>
      </c>
      <c r="AL182" s="1733">
        <f>AL180*AL181/10^6</f>
        <v>0</v>
      </c>
      <c r="AM182" s="560"/>
      <c r="AN182" s="991"/>
      <c r="AO182" s="992"/>
      <c r="AP182" s="2304" t="str">
        <f t="shared" si="153"/>
        <v>Rev</v>
      </c>
      <c r="AQ182" s="2305" t="str">
        <f t="shared" si="153"/>
        <v>[Service]</v>
      </c>
      <c r="AR182" s="2306" t="str">
        <f t="shared" si="154"/>
        <v>[Price]</v>
      </c>
      <c r="AS182" s="2307" t="str">
        <f t="shared" si="224"/>
        <v>-</v>
      </c>
      <c r="AT182" s="1055" t="str">
        <f t="shared" si="224"/>
        <v>-</v>
      </c>
      <c r="AU182" s="1055" t="str">
        <f t="shared" si="224"/>
        <v>-</v>
      </c>
      <c r="AV182" s="2308" t="str">
        <f t="shared" si="224"/>
        <v>-</v>
      </c>
      <c r="AW182" s="1055" t="str">
        <f t="shared" si="224"/>
        <v>-</v>
      </c>
      <c r="AX182" s="2309" t="str">
        <f t="shared" si="224"/>
        <v>-</v>
      </c>
      <c r="AY182" s="1055" t="str">
        <f t="shared" si="224"/>
        <v>-</v>
      </c>
      <c r="AZ182" s="1055" t="str">
        <f t="shared" si="224"/>
        <v>-</v>
      </c>
      <c r="BA182" s="1055" t="str">
        <f t="shared" si="224"/>
        <v>-</v>
      </c>
      <c r="BB182" s="1056" t="str">
        <f t="shared" si="224"/>
        <v>-</v>
      </c>
      <c r="BC182" s="1055" t="str">
        <f t="shared" si="224"/>
        <v>-</v>
      </c>
      <c r="BD182" s="1055" t="str">
        <f t="shared" si="224"/>
        <v>-</v>
      </c>
      <c r="BE182" s="1055" t="str">
        <f t="shared" si="224"/>
        <v>-</v>
      </c>
      <c r="BF182" s="1055" t="str">
        <f t="shared" si="224"/>
        <v>-</v>
      </c>
      <c r="BG182" s="1056" t="str">
        <f t="shared" si="224"/>
        <v>-</v>
      </c>
      <c r="BH182" s="1048"/>
      <c r="BI182" s="2304" t="str">
        <f t="shared" si="182"/>
        <v>Rev</v>
      </c>
      <c r="BJ182" s="2305" t="str">
        <f t="shared" si="182"/>
        <v>[Service]</v>
      </c>
      <c r="BK182" s="2306" t="str">
        <f t="shared" si="182"/>
        <v>[Price]</v>
      </c>
      <c r="BL182" s="2307" t="str">
        <f t="shared" ref="BL182:BZ182" si="245">IF(OR(X182="",X182=0),"-",IFERROR((X182/W182-1)*(W182/W$13),"-"))</f>
        <v>-</v>
      </c>
      <c r="BM182" s="1055" t="str">
        <f t="shared" si="245"/>
        <v>-</v>
      </c>
      <c r="BN182" s="1055" t="str">
        <f t="shared" si="245"/>
        <v>-</v>
      </c>
      <c r="BO182" s="2308" t="str">
        <f t="shared" si="245"/>
        <v>-</v>
      </c>
      <c r="BP182" s="1055" t="str">
        <f t="shared" si="245"/>
        <v>-</v>
      </c>
      <c r="BQ182" s="2309" t="str">
        <f t="shared" si="245"/>
        <v>-</v>
      </c>
      <c r="BR182" s="1055" t="str">
        <f t="shared" si="245"/>
        <v>-</v>
      </c>
      <c r="BS182" s="1055" t="str">
        <f t="shared" si="245"/>
        <v>-</v>
      </c>
      <c r="BT182" s="1055" t="str">
        <f t="shared" si="245"/>
        <v>-</v>
      </c>
      <c r="BU182" s="1056" t="str">
        <f t="shared" si="245"/>
        <v>-</v>
      </c>
      <c r="BV182" s="1055" t="str">
        <f t="shared" si="245"/>
        <v>-</v>
      </c>
      <c r="BW182" s="1055" t="str">
        <f t="shared" si="245"/>
        <v>-</v>
      </c>
      <c r="BX182" s="1055" t="str">
        <f t="shared" si="245"/>
        <v>-</v>
      </c>
      <c r="BY182" s="1055" t="str">
        <f t="shared" si="245"/>
        <v>-</v>
      </c>
      <c r="BZ182" s="1056" t="str">
        <f t="shared" si="245"/>
        <v>-</v>
      </c>
      <c r="CA182" s="1048"/>
    </row>
    <row r="183" spans="3:79" x14ac:dyDescent="0.3">
      <c r="C183" s="126"/>
      <c r="D183" s="126">
        <f>D180+1</f>
        <v>39</v>
      </c>
      <c r="E183" s="553" t="s">
        <v>45</v>
      </c>
      <c r="F183" s="2105" t="s">
        <v>28</v>
      </c>
      <c r="G183" s="2105"/>
      <c r="H183" s="2105"/>
      <c r="I183" s="573" t="s">
        <v>319</v>
      </c>
      <c r="J183" s="573" t="s">
        <v>348</v>
      </c>
      <c r="K183" s="1969"/>
      <c r="L183" s="1970"/>
      <c r="M183" s="1970"/>
      <c r="N183" s="1971"/>
      <c r="O183" s="1970"/>
      <c r="P183" s="1970"/>
      <c r="Q183" s="1970"/>
      <c r="R183" s="1972"/>
      <c r="S183" s="1971"/>
      <c r="T183" s="1970"/>
      <c r="U183" s="1970"/>
      <c r="V183" s="1970"/>
      <c r="W183" s="1709"/>
      <c r="X183" s="1710"/>
      <c r="Y183" s="1709"/>
      <c r="Z183" s="1709"/>
      <c r="AA183" s="1709"/>
      <c r="AB183" s="1711"/>
      <c r="AC183" s="1709"/>
      <c r="AD183" s="1709"/>
      <c r="AE183" s="1709"/>
      <c r="AF183" s="1709"/>
      <c r="AG183" s="1712"/>
      <c r="AH183" s="1709"/>
      <c r="AI183" s="1709"/>
      <c r="AJ183" s="1709"/>
      <c r="AK183" s="1709"/>
      <c r="AL183" s="1712"/>
      <c r="AM183" s="560"/>
      <c r="AN183" s="1052"/>
      <c r="AO183" s="992"/>
      <c r="AP183" s="2297" t="str">
        <f t="shared" si="153"/>
        <v>Price</v>
      </c>
      <c r="AQ183" s="2298" t="str">
        <f t="shared" si="153"/>
        <v>[Service]</v>
      </c>
      <c r="AR183" s="1719" t="str">
        <f t="shared" si="154"/>
        <v>[Price]</v>
      </c>
      <c r="AS183" s="2299" t="str">
        <f t="shared" si="224"/>
        <v>-</v>
      </c>
      <c r="AT183" s="1728" t="str">
        <f t="shared" si="224"/>
        <v>-</v>
      </c>
      <c r="AU183" s="1728" t="str">
        <f t="shared" si="224"/>
        <v>-</v>
      </c>
      <c r="AV183" s="2300" t="str">
        <f t="shared" si="224"/>
        <v>-</v>
      </c>
      <c r="AW183" s="1728" t="str">
        <f t="shared" si="224"/>
        <v>-</v>
      </c>
      <c r="AX183" s="2301" t="str">
        <f t="shared" si="224"/>
        <v>-</v>
      </c>
      <c r="AY183" s="1728" t="str">
        <f t="shared" si="224"/>
        <v>-</v>
      </c>
      <c r="AZ183" s="1728" t="str">
        <f t="shared" si="224"/>
        <v>-</v>
      </c>
      <c r="BA183" s="1728" t="str">
        <f t="shared" si="224"/>
        <v>-</v>
      </c>
      <c r="BB183" s="1729" t="str">
        <f t="shared" si="224"/>
        <v>-</v>
      </c>
      <c r="BC183" s="1728" t="str">
        <f t="shared" si="224"/>
        <v>-</v>
      </c>
      <c r="BD183" s="1728" t="str">
        <f t="shared" si="224"/>
        <v>-</v>
      </c>
      <c r="BE183" s="1728" t="str">
        <f t="shared" si="224"/>
        <v>-</v>
      </c>
      <c r="BF183" s="1728" t="str">
        <f t="shared" si="224"/>
        <v>-</v>
      </c>
      <c r="BG183" s="1729" t="str">
        <f t="shared" si="224"/>
        <v>-</v>
      </c>
      <c r="BH183" s="1048"/>
      <c r="BI183" s="2297" t="str">
        <f t="shared" si="182"/>
        <v>Price</v>
      </c>
      <c r="BJ183" s="2298" t="str">
        <f t="shared" si="182"/>
        <v>[Service]</v>
      </c>
      <c r="BK183" s="1719" t="str">
        <f t="shared" si="182"/>
        <v>[Price]</v>
      </c>
      <c r="BL183" s="2299" t="str">
        <f t="shared" ref="BL183:BZ183" si="246">IF(OR(X183="",X183=0),"-",IFERROR((X183/W183-1)*(W185/W$13),"-"))</f>
        <v>-</v>
      </c>
      <c r="BM183" s="1053" t="str">
        <f t="shared" si="246"/>
        <v>-</v>
      </c>
      <c r="BN183" s="1053" t="str">
        <f t="shared" si="246"/>
        <v>-</v>
      </c>
      <c r="BO183" s="2302" t="str">
        <f t="shared" si="246"/>
        <v>-</v>
      </c>
      <c r="BP183" s="1053" t="str">
        <f t="shared" si="246"/>
        <v>-</v>
      </c>
      <c r="BQ183" s="2303" t="str">
        <f t="shared" si="246"/>
        <v>-</v>
      </c>
      <c r="BR183" s="1053" t="str">
        <f t="shared" si="246"/>
        <v>-</v>
      </c>
      <c r="BS183" s="1053" t="str">
        <f t="shared" si="246"/>
        <v>-</v>
      </c>
      <c r="BT183" s="1053" t="str">
        <f t="shared" si="246"/>
        <v>-</v>
      </c>
      <c r="BU183" s="1054" t="str">
        <f t="shared" si="246"/>
        <v>-</v>
      </c>
      <c r="BV183" s="1053" t="str">
        <f t="shared" si="246"/>
        <v>-</v>
      </c>
      <c r="BW183" s="1053" t="str">
        <f t="shared" si="246"/>
        <v>-</v>
      </c>
      <c r="BX183" s="1053" t="str">
        <f t="shared" si="246"/>
        <v>-</v>
      </c>
      <c r="BY183" s="1053" t="str">
        <f t="shared" si="246"/>
        <v>-</v>
      </c>
      <c r="BZ183" s="1054" t="str">
        <f t="shared" si="246"/>
        <v>-</v>
      </c>
      <c r="CA183" s="1048"/>
    </row>
    <row r="184" spans="3:79" x14ac:dyDescent="0.3">
      <c r="C184" s="126"/>
      <c r="D184" s="126"/>
      <c r="E184" s="558" t="s">
        <v>46</v>
      </c>
      <c r="F184" s="2161" t="str">
        <f t="shared" si="236"/>
        <v>[Service]</v>
      </c>
      <c r="G184" s="2163">
        <f t="shared" si="236"/>
        <v>0</v>
      </c>
      <c r="H184" s="2163">
        <f t="shared" si="236"/>
        <v>0</v>
      </c>
      <c r="I184" s="2164" t="str">
        <f t="shared" si="236"/>
        <v>[Price]</v>
      </c>
      <c r="J184" s="574" t="s">
        <v>323</v>
      </c>
      <c r="K184" s="1973"/>
      <c r="L184" s="1974"/>
      <c r="M184" s="1974"/>
      <c r="N184" s="1975"/>
      <c r="O184" s="1974"/>
      <c r="P184" s="1974"/>
      <c r="Q184" s="1974"/>
      <c r="R184" s="1976"/>
      <c r="S184" s="1975"/>
      <c r="T184" s="1974"/>
      <c r="U184" s="1974"/>
      <c r="V184" s="1974"/>
      <c r="W184" s="1713"/>
      <c r="X184" s="1714"/>
      <c r="Y184" s="1713"/>
      <c r="Z184" s="1713"/>
      <c r="AA184" s="1713"/>
      <c r="AB184" s="1715"/>
      <c r="AC184" s="1713"/>
      <c r="AD184" s="1713"/>
      <c r="AE184" s="1713"/>
      <c r="AF184" s="1713"/>
      <c r="AG184" s="1716"/>
      <c r="AH184" s="1713"/>
      <c r="AI184" s="1713"/>
      <c r="AJ184" s="1713"/>
      <c r="AK184" s="1713"/>
      <c r="AL184" s="1716"/>
      <c r="AM184" s="560"/>
      <c r="AN184" s="991"/>
      <c r="AO184" s="992"/>
      <c r="AP184" s="2285" t="str">
        <f t="shared" si="153"/>
        <v>Qty</v>
      </c>
      <c r="AQ184" s="2286" t="str">
        <f t="shared" si="153"/>
        <v>[Service]</v>
      </c>
      <c r="AR184" s="2287" t="str">
        <f t="shared" si="154"/>
        <v>[Price]</v>
      </c>
      <c r="AS184" s="2288" t="str">
        <f t="shared" si="224"/>
        <v>-</v>
      </c>
      <c r="AT184" s="1720" t="str">
        <f t="shared" si="224"/>
        <v>-</v>
      </c>
      <c r="AU184" s="1720" t="str">
        <f t="shared" si="224"/>
        <v>-</v>
      </c>
      <c r="AV184" s="2289" t="str">
        <f t="shared" si="224"/>
        <v>-</v>
      </c>
      <c r="AW184" s="1720" t="str">
        <f t="shared" si="224"/>
        <v>-</v>
      </c>
      <c r="AX184" s="2290" t="str">
        <f t="shared" si="224"/>
        <v>-</v>
      </c>
      <c r="AY184" s="1720" t="str">
        <f t="shared" si="224"/>
        <v>-</v>
      </c>
      <c r="AZ184" s="1720" t="str">
        <f t="shared" si="224"/>
        <v>-</v>
      </c>
      <c r="BA184" s="1720" t="str">
        <f t="shared" si="224"/>
        <v>-</v>
      </c>
      <c r="BB184" s="1721" t="str">
        <f t="shared" si="224"/>
        <v>-</v>
      </c>
      <c r="BC184" s="1720" t="str">
        <f t="shared" si="224"/>
        <v>-</v>
      </c>
      <c r="BD184" s="1720" t="str">
        <f t="shared" si="224"/>
        <v>-</v>
      </c>
      <c r="BE184" s="1720" t="str">
        <f t="shared" si="224"/>
        <v>-</v>
      </c>
      <c r="BF184" s="1720" t="str">
        <f t="shared" si="224"/>
        <v>-</v>
      </c>
      <c r="BG184" s="1721" t="str">
        <f t="shared" si="224"/>
        <v>-</v>
      </c>
      <c r="BH184" s="1048"/>
      <c r="BI184" s="2285" t="str">
        <f t="shared" si="182"/>
        <v>Qty</v>
      </c>
      <c r="BJ184" s="2286" t="str">
        <f t="shared" si="182"/>
        <v>[Service]</v>
      </c>
      <c r="BK184" s="2287" t="str">
        <f t="shared" si="182"/>
        <v>[Price]</v>
      </c>
      <c r="BL184" s="2288" t="str">
        <f t="shared" ref="BL184:BZ184" si="247">IF(OR(X184="",X184=0),"-",IFERROR((X184/W184-1)*(W185/W$13),"-"))</f>
        <v>-</v>
      </c>
      <c r="BM184" s="1720" t="str">
        <f t="shared" si="247"/>
        <v>-</v>
      </c>
      <c r="BN184" s="1720" t="str">
        <f t="shared" si="247"/>
        <v>-</v>
      </c>
      <c r="BO184" s="2289" t="str">
        <f t="shared" si="247"/>
        <v>-</v>
      </c>
      <c r="BP184" s="1720" t="str">
        <f t="shared" si="247"/>
        <v>-</v>
      </c>
      <c r="BQ184" s="2290" t="str">
        <f t="shared" si="247"/>
        <v>-</v>
      </c>
      <c r="BR184" s="1720" t="str">
        <f t="shared" si="247"/>
        <v>-</v>
      </c>
      <c r="BS184" s="1720" t="str">
        <f t="shared" si="247"/>
        <v>-</v>
      </c>
      <c r="BT184" s="1720" t="str">
        <f t="shared" si="247"/>
        <v>-</v>
      </c>
      <c r="BU184" s="1721" t="str">
        <f t="shared" si="247"/>
        <v>-</v>
      </c>
      <c r="BV184" s="1720" t="str">
        <f t="shared" si="247"/>
        <v>-</v>
      </c>
      <c r="BW184" s="1720" t="str">
        <f t="shared" si="247"/>
        <v>-</v>
      </c>
      <c r="BX184" s="1720" t="str">
        <f t="shared" si="247"/>
        <v>-</v>
      </c>
      <c r="BY184" s="1720" t="str">
        <f t="shared" si="247"/>
        <v>-</v>
      </c>
      <c r="BZ184" s="1721" t="str">
        <f t="shared" si="247"/>
        <v>-</v>
      </c>
      <c r="CA184" s="1048"/>
    </row>
    <row r="185" spans="3:79" ht="12.5" thickBot="1" x14ac:dyDescent="0.35">
      <c r="C185" s="126"/>
      <c r="D185" s="126"/>
      <c r="E185" s="559" t="s">
        <v>47</v>
      </c>
      <c r="F185" s="2162" t="str">
        <f t="shared" ref="F185:I185" si="248">+F183</f>
        <v>[Service]</v>
      </c>
      <c r="G185" s="2165">
        <f t="shared" si="248"/>
        <v>0</v>
      </c>
      <c r="H185" s="2165">
        <f t="shared" si="248"/>
        <v>0</v>
      </c>
      <c r="I185" s="2166" t="str">
        <f t="shared" si="248"/>
        <v>[Price]</v>
      </c>
      <c r="J185" s="2106" t="s">
        <v>347</v>
      </c>
      <c r="K185" s="1977"/>
      <c r="L185" s="1206"/>
      <c r="M185" s="1206"/>
      <c r="N185" s="1978"/>
      <c r="O185" s="1206"/>
      <c r="P185" s="1206"/>
      <c r="Q185" s="1206"/>
      <c r="R185" s="1206"/>
      <c r="S185" s="1978"/>
      <c r="T185" s="1206"/>
      <c r="U185" s="1206"/>
      <c r="V185" s="1206"/>
      <c r="W185" s="1731">
        <f t="shared" ref="W185:AG185" si="249">W183*W184/10^6</f>
        <v>0</v>
      </c>
      <c r="X185" s="1730">
        <f t="shared" si="249"/>
        <v>0</v>
      </c>
      <c r="Y185" s="1731">
        <f t="shared" si="249"/>
        <v>0</v>
      </c>
      <c r="Z185" s="1731">
        <f t="shared" si="249"/>
        <v>0</v>
      </c>
      <c r="AA185" s="1731">
        <f t="shared" si="249"/>
        <v>0</v>
      </c>
      <c r="AB185" s="1733">
        <f t="shared" si="249"/>
        <v>0</v>
      </c>
      <c r="AC185" s="1731">
        <f t="shared" si="249"/>
        <v>0</v>
      </c>
      <c r="AD185" s="1731">
        <f t="shared" si="249"/>
        <v>0</v>
      </c>
      <c r="AE185" s="1731">
        <f t="shared" si="249"/>
        <v>0</v>
      </c>
      <c r="AF185" s="1731">
        <f t="shared" si="249"/>
        <v>0</v>
      </c>
      <c r="AG185" s="1733">
        <f t="shared" si="249"/>
        <v>0</v>
      </c>
      <c r="AH185" s="1731">
        <f>AH183*AH184/10^6</f>
        <v>0</v>
      </c>
      <c r="AI185" s="1731">
        <f>AI183*AI184/10^6</f>
        <v>0</v>
      </c>
      <c r="AJ185" s="1731">
        <f>AJ183*AJ184/10^6</f>
        <v>0</v>
      </c>
      <c r="AK185" s="1731">
        <f>AK183*AK184/10^6</f>
        <v>0</v>
      </c>
      <c r="AL185" s="1733">
        <f>AL183*AL184/10^6</f>
        <v>0</v>
      </c>
      <c r="AM185" s="560"/>
      <c r="AN185" s="991"/>
      <c r="AO185" s="992"/>
      <c r="AP185" s="2304" t="str">
        <f t="shared" si="153"/>
        <v>Rev</v>
      </c>
      <c r="AQ185" s="2305" t="str">
        <f t="shared" si="153"/>
        <v>[Service]</v>
      </c>
      <c r="AR185" s="2306" t="str">
        <f t="shared" si="154"/>
        <v>[Price]</v>
      </c>
      <c r="AS185" s="2307" t="str">
        <f t="shared" si="224"/>
        <v>-</v>
      </c>
      <c r="AT185" s="1055" t="str">
        <f t="shared" si="224"/>
        <v>-</v>
      </c>
      <c r="AU185" s="1055" t="str">
        <f t="shared" si="224"/>
        <v>-</v>
      </c>
      <c r="AV185" s="2308" t="str">
        <f t="shared" si="224"/>
        <v>-</v>
      </c>
      <c r="AW185" s="1055" t="str">
        <f t="shared" si="224"/>
        <v>-</v>
      </c>
      <c r="AX185" s="2309" t="str">
        <f t="shared" si="224"/>
        <v>-</v>
      </c>
      <c r="AY185" s="1055" t="str">
        <f t="shared" si="224"/>
        <v>-</v>
      </c>
      <c r="AZ185" s="1055" t="str">
        <f t="shared" si="224"/>
        <v>-</v>
      </c>
      <c r="BA185" s="1055" t="str">
        <f t="shared" si="224"/>
        <v>-</v>
      </c>
      <c r="BB185" s="1056" t="str">
        <f t="shared" si="224"/>
        <v>-</v>
      </c>
      <c r="BC185" s="1055" t="str">
        <f t="shared" si="224"/>
        <v>-</v>
      </c>
      <c r="BD185" s="1055" t="str">
        <f t="shared" si="224"/>
        <v>-</v>
      </c>
      <c r="BE185" s="1055" t="str">
        <f t="shared" si="224"/>
        <v>-</v>
      </c>
      <c r="BF185" s="1055" t="str">
        <f t="shared" si="224"/>
        <v>-</v>
      </c>
      <c r="BG185" s="1056" t="str">
        <f t="shared" si="224"/>
        <v>-</v>
      </c>
      <c r="BH185" s="1048"/>
      <c r="BI185" s="2304" t="str">
        <f t="shared" si="182"/>
        <v>Rev</v>
      </c>
      <c r="BJ185" s="2305" t="str">
        <f t="shared" si="182"/>
        <v>[Service]</v>
      </c>
      <c r="BK185" s="2306" t="str">
        <f t="shared" si="182"/>
        <v>[Price]</v>
      </c>
      <c r="BL185" s="2307" t="str">
        <f t="shared" ref="BL185:BZ185" si="250">IF(OR(X185="",X185=0),"-",IFERROR((X185/W185-1)*(W185/W$13),"-"))</f>
        <v>-</v>
      </c>
      <c r="BM185" s="1055" t="str">
        <f t="shared" si="250"/>
        <v>-</v>
      </c>
      <c r="BN185" s="1055" t="str">
        <f t="shared" si="250"/>
        <v>-</v>
      </c>
      <c r="BO185" s="2308" t="str">
        <f t="shared" si="250"/>
        <v>-</v>
      </c>
      <c r="BP185" s="1055" t="str">
        <f t="shared" si="250"/>
        <v>-</v>
      </c>
      <c r="BQ185" s="2309" t="str">
        <f t="shared" si="250"/>
        <v>-</v>
      </c>
      <c r="BR185" s="1055" t="str">
        <f t="shared" si="250"/>
        <v>-</v>
      </c>
      <c r="BS185" s="1055" t="str">
        <f t="shared" si="250"/>
        <v>-</v>
      </c>
      <c r="BT185" s="1055" t="str">
        <f t="shared" si="250"/>
        <v>-</v>
      </c>
      <c r="BU185" s="1056" t="str">
        <f t="shared" si="250"/>
        <v>-</v>
      </c>
      <c r="BV185" s="1055" t="str">
        <f t="shared" si="250"/>
        <v>-</v>
      </c>
      <c r="BW185" s="1055" t="str">
        <f t="shared" si="250"/>
        <v>-</v>
      </c>
      <c r="BX185" s="1055" t="str">
        <f t="shared" si="250"/>
        <v>-</v>
      </c>
      <c r="BY185" s="1055" t="str">
        <f t="shared" si="250"/>
        <v>-</v>
      </c>
      <c r="BZ185" s="1056" t="str">
        <f t="shared" si="250"/>
        <v>-</v>
      </c>
      <c r="CA185" s="1048"/>
    </row>
    <row r="186" spans="3:79" x14ac:dyDescent="0.3">
      <c r="C186" s="126"/>
      <c r="D186" s="126">
        <f>D183+1</f>
        <v>40</v>
      </c>
      <c r="E186" s="553" t="s">
        <v>45</v>
      </c>
      <c r="F186" s="2105" t="s">
        <v>28</v>
      </c>
      <c r="G186" s="2105"/>
      <c r="H186" s="2105"/>
      <c r="I186" s="573" t="s">
        <v>319</v>
      </c>
      <c r="J186" s="573" t="s">
        <v>348</v>
      </c>
      <c r="K186" s="1969"/>
      <c r="L186" s="1970"/>
      <c r="M186" s="1970"/>
      <c r="N186" s="1971"/>
      <c r="O186" s="1970"/>
      <c r="P186" s="1970"/>
      <c r="Q186" s="1970"/>
      <c r="R186" s="1972"/>
      <c r="S186" s="1971"/>
      <c r="T186" s="1970"/>
      <c r="U186" s="1970"/>
      <c r="V186" s="1970"/>
      <c r="W186" s="1709"/>
      <c r="X186" s="1710"/>
      <c r="Y186" s="2157"/>
      <c r="Z186" s="1709"/>
      <c r="AA186" s="1709"/>
      <c r="AB186" s="1711"/>
      <c r="AC186" s="1709"/>
      <c r="AD186" s="1709"/>
      <c r="AE186" s="1709"/>
      <c r="AF186" s="1709"/>
      <c r="AG186" s="1712"/>
      <c r="AH186" s="1709"/>
      <c r="AI186" s="1709"/>
      <c r="AJ186" s="1709"/>
      <c r="AK186" s="1709"/>
      <c r="AL186" s="1712"/>
      <c r="AM186" s="560"/>
      <c r="AN186" s="1052"/>
      <c r="AO186" s="992"/>
      <c r="AP186" s="2297" t="str">
        <f t="shared" si="153"/>
        <v>Price</v>
      </c>
      <c r="AQ186" s="2298" t="str">
        <f t="shared" si="153"/>
        <v>[Service]</v>
      </c>
      <c r="AR186" s="1719" t="str">
        <f t="shared" si="154"/>
        <v>[Price]</v>
      </c>
      <c r="AS186" s="2299" t="str">
        <f t="shared" si="224"/>
        <v>-</v>
      </c>
      <c r="AT186" s="1728" t="str">
        <f t="shared" si="224"/>
        <v>-</v>
      </c>
      <c r="AU186" s="1728" t="str">
        <f t="shared" si="224"/>
        <v>-</v>
      </c>
      <c r="AV186" s="2300" t="str">
        <f t="shared" si="224"/>
        <v>-</v>
      </c>
      <c r="AW186" s="1728" t="str">
        <f t="shared" si="224"/>
        <v>-</v>
      </c>
      <c r="AX186" s="2301" t="str">
        <f t="shared" si="224"/>
        <v>-</v>
      </c>
      <c r="AY186" s="1728" t="str">
        <f t="shared" si="224"/>
        <v>-</v>
      </c>
      <c r="AZ186" s="1728" t="str">
        <f t="shared" si="224"/>
        <v>-</v>
      </c>
      <c r="BA186" s="1728" t="str">
        <f t="shared" si="224"/>
        <v>-</v>
      </c>
      <c r="BB186" s="1729" t="str">
        <f t="shared" si="224"/>
        <v>-</v>
      </c>
      <c r="BC186" s="1728" t="str">
        <f t="shared" si="224"/>
        <v>-</v>
      </c>
      <c r="BD186" s="1728" t="str">
        <f t="shared" si="224"/>
        <v>-</v>
      </c>
      <c r="BE186" s="1728" t="str">
        <f t="shared" si="224"/>
        <v>-</v>
      </c>
      <c r="BF186" s="1728" t="str">
        <f t="shared" si="224"/>
        <v>-</v>
      </c>
      <c r="BG186" s="1729" t="str">
        <f t="shared" si="224"/>
        <v>-</v>
      </c>
      <c r="BH186" s="1048"/>
      <c r="BI186" s="2297" t="str">
        <f t="shared" si="182"/>
        <v>Price</v>
      </c>
      <c r="BJ186" s="2298" t="str">
        <f t="shared" si="182"/>
        <v>[Service]</v>
      </c>
      <c r="BK186" s="1719" t="str">
        <f t="shared" si="182"/>
        <v>[Price]</v>
      </c>
      <c r="BL186" s="2299" t="str">
        <f t="shared" ref="BL186:BZ186" si="251">IF(OR(X186="",X186=0),"-",IFERROR((X186/W186-1)*(W188/W$13),"-"))</f>
        <v>-</v>
      </c>
      <c r="BM186" s="1053" t="str">
        <f t="shared" si="251"/>
        <v>-</v>
      </c>
      <c r="BN186" s="1053" t="str">
        <f t="shared" si="251"/>
        <v>-</v>
      </c>
      <c r="BO186" s="2302" t="str">
        <f t="shared" si="251"/>
        <v>-</v>
      </c>
      <c r="BP186" s="1053" t="str">
        <f t="shared" si="251"/>
        <v>-</v>
      </c>
      <c r="BQ186" s="2303" t="str">
        <f t="shared" si="251"/>
        <v>-</v>
      </c>
      <c r="BR186" s="1053" t="str">
        <f t="shared" si="251"/>
        <v>-</v>
      </c>
      <c r="BS186" s="1053" t="str">
        <f t="shared" si="251"/>
        <v>-</v>
      </c>
      <c r="BT186" s="1053" t="str">
        <f t="shared" si="251"/>
        <v>-</v>
      </c>
      <c r="BU186" s="1054" t="str">
        <f t="shared" si="251"/>
        <v>-</v>
      </c>
      <c r="BV186" s="1053" t="str">
        <f t="shared" si="251"/>
        <v>-</v>
      </c>
      <c r="BW186" s="1053" t="str">
        <f t="shared" si="251"/>
        <v>-</v>
      </c>
      <c r="BX186" s="1053" t="str">
        <f t="shared" si="251"/>
        <v>-</v>
      </c>
      <c r="BY186" s="1053" t="str">
        <f t="shared" si="251"/>
        <v>-</v>
      </c>
      <c r="BZ186" s="1054" t="str">
        <f t="shared" si="251"/>
        <v>-</v>
      </c>
      <c r="CA186" s="1048"/>
    </row>
    <row r="187" spans="3:79" x14ac:dyDescent="0.3">
      <c r="C187" s="126"/>
      <c r="D187" s="126"/>
      <c r="E187" s="558" t="s">
        <v>46</v>
      </c>
      <c r="F187" s="2161" t="str">
        <f t="shared" si="236"/>
        <v>[Service]</v>
      </c>
      <c r="G187" s="2163">
        <f t="shared" si="236"/>
        <v>0</v>
      </c>
      <c r="H187" s="2163">
        <f t="shared" si="236"/>
        <v>0</v>
      </c>
      <c r="I187" s="2164" t="str">
        <f t="shared" si="236"/>
        <v>[Price]</v>
      </c>
      <c r="J187" s="574" t="s">
        <v>323</v>
      </c>
      <c r="K187" s="1973"/>
      <c r="L187" s="1974"/>
      <c r="M187" s="1974"/>
      <c r="N187" s="1975"/>
      <c r="O187" s="1974"/>
      <c r="P187" s="1974"/>
      <c r="Q187" s="1974"/>
      <c r="R187" s="1976"/>
      <c r="S187" s="1975"/>
      <c r="T187" s="1974"/>
      <c r="U187" s="1974"/>
      <c r="V187" s="1974"/>
      <c r="W187" s="1713"/>
      <c r="X187" s="1714"/>
      <c r="Y187" s="1713"/>
      <c r="Z187" s="1713"/>
      <c r="AA187" s="1713"/>
      <c r="AB187" s="1715"/>
      <c r="AC187" s="1713"/>
      <c r="AD187" s="1713"/>
      <c r="AE187" s="1713"/>
      <c r="AF187" s="1713"/>
      <c r="AG187" s="1716"/>
      <c r="AH187" s="1713"/>
      <c r="AI187" s="1713"/>
      <c r="AJ187" s="1713"/>
      <c r="AK187" s="1713"/>
      <c r="AL187" s="1716"/>
      <c r="AM187" s="560"/>
      <c r="AN187" s="991"/>
      <c r="AO187" s="992"/>
      <c r="AP187" s="2285" t="str">
        <f t="shared" si="153"/>
        <v>Qty</v>
      </c>
      <c r="AQ187" s="2286" t="str">
        <f t="shared" si="153"/>
        <v>[Service]</v>
      </c>
      <c r="AR187" s="2287" t="str">
        <f t="shared" si="154"/>
        <v>[Price]</v>
      </c>
      <c r="AS187" s="2288" t="str">
        <f t="shared" si="224"/>
        <v>-</v>
      </c>
      <c r="AT187" s="1720" t="str">
        <f t="shared" si="224"/>
        <v>-</v>
      </c>
      <c r="AU187" s="1720" t="str">
        <f t="shared" si="224"/>
        <v>-</v>
      </c>
      <c r="AV187" s="2289" t="str">
        <f t="shared" si="224"/>
        <v>-</v>
      </c>
      <c r="AW187" s="1720" t="str">
        <f t="shared" si="224"/>
        <v>-</v>
      </c>
      <c r="AX187" s="2290" t="str">
        <f t="shared" si="224"/>
        <v>-</v>
      </c>
      <c r="AY187" s="1720" t="str">
        <f t="shared" si="224"/>
        <v>-</v>
      </c>
      <c r="AZ187" s="1720" t="str">
        <f t="shared" si="224"/>
        <v>-</v>
      </c>
      <c r="BA187" s="1720" t="str">
        <f t="shared" si="224"/>
        <v>-</v>
      </c>
      <c r="BB187" s="1721" t="str">
        <f t="shared" si="224"/>
        <v>-</v>
      </c>
      <c r="BC187" s="1720" t="str">
        <f t="shared" si="224"/>
        <v>-</v>
      </c>
      <c r="BD187" s="1720" t="str">
        <f t="shared" si="224"/>
        <v>-</v>
      </c>
      <c r="BE187" s="1720" t="str">
        <f t="shared" si="224"/>
        <v>-</v>
      </c>
      <c r="BF187" s="1720" t="str">
        <f t="shared" si="224"/>
        <v>-</v>
      </c>
      <c r="BG187" s="1721" t="str">
        <f t="shared" si="224"/>
        <v>-</v>
      </c>
      <c r="BH187" s="1048"/>
      <c r="BI187" s="2285" t="str">
        <f t="shared" si="182"/>
        <v>Qty</v>
      </c>
      <c r="BJ187" s="2286" t="str">
        <f t="shared" si="182"/>
        <v>[Service]</v>
      </c>
      <c r="BK187" s="2287" t="str">
        <f t="shared" si="182"/>
        <v>[Price]</v>
      </c>
      <c r="BL187" s="2288" t="str">
        <f t="shared" ref="BL187:BZ187" si="252">IF(OR(X187="",X187=0),"-",IFERROR((X187/W187-1)*(W188/W$13),"-"))</f>
        <v>-</v>
      </c>
      <c r="BM187" s="1720" t="str">
        <f t="shared" si="252"/>
        <v>-</v>
      </c>
      <c r="BN187" s="1720" t="str">
        <f t="shared" si="252"/>
        <v>-</v>
      </c>
      <c r="BO187" s="2289" t="str">
        <f t="shared" si="252"/>
        <v>-</v>
      </c>
      <c r="BP187" s="1720" t="str">
        <f t="shared" si="252"/>
        <v>-</v>
      </c>
      <c r="BQ187" s="2290" t="str">
        <f t="shared" si="252"/>
        <v>-</v>
      </c>
      <c r="BR187" s="1720" t="str">
        <f t="shared" si="252"/>
        <v>-</v>
      </c>
      <c r="BS187" s="1720" t="str">
        <f t="shared" si="252"/>
        <v>-</v>
      </c>
      <c r="BT187" s="1720" t="str">
        <f t="shared" si="252"/>
        <v>-</v>
      </c>
      <c r="BU187" s="1721" t="str">
        <f t="shared" si="252"/>
        <v>-</v>
      </c>
      <c r="BV187" s="1720" t="str">
        <f t="shared" si="252"/>
        <v>-</v>
      </c>
      <c r="BW187" s="1720" t="str">
        <f t="shared" si="252"/>
        <v>-</v>
      </c>
      <c r="BX187" s="1720" t="str">
        <f t="shared" si="252"/>
        <v>-</v>
      </c>
      <c r="BY187" s="1720" t="str">
        <f t="shared" si="252"/>
        <v>-</v>
      </c>
      <c r="BZ187" s="1721" t="str">
        <f t="shared" si="252"/>
        <v>-</v>
      </c>
      <c r="CA187" s="1048"/>
    </row>
    <row r="188" spans="3:79" ht="12.5" thickBot="1" x14ac:dyDescent="0.35">
      <c r="C188" s="126"/>
      <c r="D188" s="126"/>
      <c r="E188" s="559" t="s">
        <v>47</v>
      </c>
      <c r="F188" s="2162" t="str">
        <f t="shared" ref="F188:I188" si="253">+F186</f>
        <v>[Service]</v>
      </c>
      <c r="G188" s="2165">
        <f t="shared" si="253"/>
        <v>0</v>
      </c>
      <c r="H188" s="2165">
        <f t="shared" si="253"/>
        <v>0</v>
      </c>
      <c r="I188" s="2166" t="str">
        <f t="shared" si="253"/>
        <v>[Price]</v>
      </c>
      <c r="J188" s="2106" t="s">
        <v>347</v>
      </c>
      <c r="K188" s="1977"/>
      <c r="L188" s="1206"/>
      <c r="M188" s="1206"/>
      <c r="N188" s="1978"/>
      <c r="O188" s="1206"/>
      <c r="P188" s="1206"/>
      <c r="Q188" s="1206"/>
      <c r="R188" s="1206"/>
      <c r="S188" s="1978"/>
      <c r="T188" s="1206"/>
      <c r="U188" s="1206"/>
      <c r="V188" s="1206"/>
      <c r="W188" s="1731">
        <f t="shared" ref="W188:AG188" si="254">W186*W187/10^6</f>
        <v>0</v>
      </c>
      <c r="X188" s="1730">
        <f t="shared" si="254"/>
        <v>0</v>
      </c>
      <c r="Y188" s="1731">
        <f t="shared" si="254"/>
        <v>0</v>
      </c>
      <c r="Z188" s="1731">
        <f t="shared" si="254"/>
        <v>0</v>
      </c>
      <c r="AA188" s="1731">
        <f t="shared" si="254"/>
        <v>0</v>
      </c>
      <c r="AB188" s="1733">
        <f t="shared" si="254"/>
        <v>0</v>
      </c>
      <c r="AC188" s="1731">
        <f t="shared" si="254"/>
        <v>0</v>
      </c>
      <c r="AD188" s="1731">
        <f t="shared" si="254"/>
        <v>0</v>
      </c>
      <c r="AE188" s="1731">
        <f t="shared" si="254"/>
        <v>0</v>
      </c>
      <c r="AF188" s="1731">
        <f t="shared" si="254"/>
        <v>0</v>
      </c>
      <c r="AG188" s="1733">
        <f t="shared" si="254"/>
        <v>0</v>
      </c>
      <c r="AH188" s="1731">
        <f>AH186*AH187/10^6</f>
        <v>0</v>
      </c>
      <c r="AI188" s="1731">
        <f>AI186*AI187/10^6</f>
        <v>0</v>
      </c>
      <c r="AJ188" s="1731">
        <f>AJ186*AJ187/10^6</f>
        <v>0</v>
      </c>
      <c r="AK188" s="1731">
        <f>AK186*AK187/10^6</f>
        <v>0</v>
      </c>
      <c r="AL188" s="1733">
        <f>AL186*AL187/10^6</f>
        <v>0</v>
      </c>
      <c r="AM188" s="560"/>
      <c r="AN188" s="991"/>
      <c r="AO188" s="992"/>
      <c r="AP188" s="2304" t="str">
        <f t="shared" si="153"/>
        <v>Rev</v>
      </c>
      <c r="AQ188" s="2305" t="str">
        <f t="shared" si="153"/>
        <v>[Service]</v>
      </c>
      <c r="AR188" s="2306" t="str">
        <f t="shared" si="154"/>
        <v>[Price]</v>
      </c>
      <c r="AS188" s="2307" t="str">
        <f t="shared" ref="AS188:BG204" si="255">IF(OR(X188="",X188=0),"-",IFERROR(X188/W188-1,"-"))</f>
        <v>-</v>
      </c>
      <c r="AT188" s="1055" t="str">
        <f t="shared" si="255"/>
        <v>-</v>
      </c>
      <c r="AU188" s="1055" t="str">
        <f t="shared" si="255"/>
        <v>-</v>
      </c>
      <c r="AV188" s="2308" t="str">
        <f t="shared" si="255"/>
        <v>-</v>
      </c>
      <c r="AW188" s="1055" t="str">
        <f t="shared" si="255"/>
        <v>-</v>
      </c>
      <c r="AX188" s="2309" t="str">
        <f t="shared" si="255"/>
        <v>-</v>
      </c>
      <c r="AY188" s="1055" t="str">
        <f t="shared" si="255"/>
        <v>-</v>
      </c>
      <c r="AZ188" s="1055" t="str">
        <f t="shared" si="255"/>
        <v>-</v>
      </c>
      <c r="BA188" s="1055" t="str">
        <f t="shared" si="255"/>
        <v>-</v>
      </c>
      <c r="BB188" s="1056" t="str">
        <f t="shared" si="255"/>
        <v>-</v>
      </c>
      <c r="BC188" s="1055" t="str">
        <f t="shared" si="255"/>
        <v>-</v>
      </c>
      <c r="BD188" s="1055" t="str">
        <f t="shared" si="255"/>
        <v>-</v>
      </c>
      <c r="BE188" s="1055" t="str">
        <f t="shared" si="255"/>
        <v>-</v>
      </c>
      <c r="BF188" s="1055" t="str">
        <f t="shared" si="255"/>
        <v>-</v>
      </c>
      <c r="BG188" s="1056" t="str">
        <f t="shared" si="255"/>
        <v>-</v>
      </c>
      <c r="BH188" s="1048"/>
      <c r="BI188" s="2304" t="str">
        <f t="shared" si="182"/>
        <v>Rev</v>
      </c>
      <c r="BJ188" s="2305" t="str">
        <f t="shared" si="182"/>
        <v>[Service]</v>
      </c>
      <c r="BK188" s="2306" t="str">
        <f t="shared" si="182"/>
        <v>[Price]</v>
      </c>
      <c r="BL188" s="2307" t="str">
        <f t="shared" ref="BL188:BZ188" si="256">IF(OR(X188="",X188=0),"-",IFERROR((X188/W188-1)*(W188/W$13),"-"))</f>
        <v>-</v>
      </c>
      <c r="BM188" s="1055" t="str">
        <f t="shared" si="256"/>
        <v>-</v>
      </c>
      <c r="BN188" s="1055" t="str">
        <f t="shared" si="256"/>
        <v>-</v>
      </c>
      <c r="BO188" s="2308" t="str">
        <f t="shared" si="256"/>
        <v>-</v>
      </c>
      <c r="BP188" s="1055" t="str">
        <f t="shared" si="256"/>
        <v>-</v>
      </c>
      <c r="BQ188" s="2309" t="str">
        <f t="shared" si="256"/>
        <v>-</v>
      </c>
      <c r="BR188" s="1055" t="str">
        <f t="shared" si="256"/>
        <v>-</v>
      </c>
      <c r="BS188" s="1055" t="str">
        <f t="shared" si="256"/>
        <v>-</v>
      </c>
      <c r="BT188" s="1055" t="str">
        <f t="shared" si="256"/>
        <v>-</v>
      </c>
      <c r="BU188" s="1056" t="str">
        <f t="shared" si="256"/>
        <v>-</v>
      </c>
      <c r="BV188" s="1055" t="str">
        <f t="shared" si="256"/>
        <v>-</v>
      </c>
      <c r="BW188" s="1055" t="str">
        <f t="shared" si="256"/>
        <v>-</v>
      </c>
      <c r="BX188" s="1055" t="str">
        <f t="shared" si="256"/>
        <v>-</v>
      </c>
      <c r="BY188" s="1055" t="str">
        <f t="shared" si="256"/>
        <v>-</v>
      </c>
      <c r="BZ188" s="1056" t="str">
        <f t="shared" si="256"/>
        <v>-</v>
      </c>
      <c r="CA188" s="1048"/>
    </row>
    <row r="189" spans="3:79" x14ac:dyDescent="0.3">
      <c r="C189" s="126"/>
      <c r="D189" s="126">
        <f>D186+1</f>
        <v>41</v>
      </c>
      <c r="E189" s="553" t="s">
        <v>45</v>
      </c>
      <c r="F189" s="2105" t="s">
        <v>28</v>
      </c>
      <c r="G189" s="2105"/>
      <c r="H189" s="2105"/>
      <c r="I189" s="573" t="s">
        <v>319</v>
      </c>
      <c r="J189" s="573" t="s">
        <v>348</v>
      </c>
      <c r="K189" s="1969"/>
      <c r="L189" s="1970"/>
      <c r="M189" s="1970"/>
      <c r="N189" s="1971"/>
      <c r="O189" s="1970"/>
      <c r="P189" s="1970"/>
      <c r="Q189" s="1970"/>
      <c r="R189" s="1972"/>
      <c r="S189" s="1971"/>
      <c r="T189" s="1970"/>
      <c r="U189" s="1970"/>
      <c r="V189" s="1970"/>
      <c r="W189" s="1709"/>
      <c r="X189" s="1710"/>
      <c r="Y189" s="1709"/>
      <c r="Z189" s="1709"/>
      <c r="AA189" s="1709"/>
      <c r="AB189" s="1711"/>
      <c r="AC189" s="1709"/>
      <c r="AD189" s="1709"/>
      <c r="AE189" s="1709"/>
      <c r="AF189" s="1709"/>
      <c r="AG189" s="1712"/>
      <c r="AH189" s="1709"/>
      <c r="AI189" s="1709"/>
      <c r="AJ189" s="1709"/>
      <c r="AK189" s="1709"/>
      <c r="AL189" s="1712"/>
      <c r="AM189" s="560"/>
      <c r="AN189" s="1052"/>
      <c r="AO189" s="992"/>
      <c r="AP189" s="2297" t="str">
        <f t="shared" si="153"/>
        <v>Price</v>
      </c>
      <c r="AQ189" s="2298" t="str">
        <f t="shared" si="153"/>
        <v>[Service]</v>
      </c>
      <c r="AR189" s="1719" t="str">
        <f t="shared" si="154"/>
        <v>[Price]</v>
      </c>
      <c r="AS189" s="2299" t="str">
        <f t="shared" si="255"/>
        <v>-</v>
      </c>
      <c r="AT189" s="1728" t="str">
        <f t="shared" si="255"/>
        <v>-</v>
      </c>
      <c r="AU189" s="1728" t="str">
        <f t="shared" si="255"/>
        <v>-</v>
      </c>
      <c r="AV189" s="2300" t="str">
        <f t="shared" si="255"/>
        <v>-</v>
      </c>
      <c r="AW189" s="1728" t="str">
        <f t="shared" si="255"/>
        <v>-</v>
      </c>
      <c r="AX189" s="2301" t="str">
        <f t="shared" si="255"/>
        <v>-</v>
      </c>
      <c r="AY189" s="1728" t="str">
        <f t="shared" si="255"/>
        <v>-</v>
      </c>
      <c r="AZ189" s="1728" t="str">
        <f t="shared" si="255"/>
        <v>-</v>
      </c>
      <c r="BA189" s="1728" t="str">
        <f t="shared" si="255"/>
        <v>-</v>
      </c>
      <c r="BB189" s="1729" t="str">
        <f t="shared" si="255"/>
        <v>-</v>
      </c>
      <c r="BC189" s="1728" t="str">
        <f t="shared" si="255"/>
        <v>-</v>
      </c>
      <c r="BD189" s="1728" t="str">
        <f t="shared" si="255"/>
        <v>-</v>
      </c>
      <c r="BE189" s="1728" t="str">
        <f t="shared" si="255"/>
        <v>-</v>
      </c>
      <c r="BF189" s="1728" t="str">
        <f t="shared" si="255"/>
        <v>-</v>
      </c>
      <c r="BG189" s="1729" t="str">
        <f t="shared" si="255"/>
        <v>-</v>
      </c>
      <c r="BH189" s="1048"/>
      <c r="BI189" s="2297" t="str">
        <f t="shared" si="182"/>
        <v>Price</v>
      </c>
      <c r="BJ189" s="2298" t="str">
        <f t="shared" si="182"/>
        <v>[Service]</v>
      </c>
      <c r="BK189" s="1719" t="str">
        <f t="shared" si="182"/>
        <v>[Price]</v>
      </c>
      <c r="BL189" s="2299" t="str">
        <f t="shared" ref="BL189:BZ189" si="257">IF(OR(X189="",X189=0),"-",IFERROR((X189/W189-1)*(W191/W$13),"-"))</f>
        <v>-</v>
      </c>
      <c r="BM189" s="1053" t="str">
        <f t="shared" si="257"/>
        <v>-</v>
      </c>
      <c r="BN189" s="1053" t="str">
        <f t="shared" si="257"/>
        <v>-</v>
      </c>
      <c r="BO189" s="2302" t="str">
        <f t="shared" si="257"/>
        <v>-</v>
      </c>
      <c r="BP189" s="1053" t="str">
        <f t="shared" si="257"/>
        <v>-</v>
      </c>
      <c r="BQ189" s="2303" t="str">
        <f t="shared" si="257"/>
        <v>-</v>
      </c>
      <c r="BR189" s="1053" t="str">
        <f t="shared" si="257"/>
        <v>-</v>
      </c>
      <c r="BS189" s="1053" t="str">
        <f t="shared" si="257"/>
        <v>-</v>
      </c>
      <c r="BT189" s="1053" t="str">
        <f t="shared" si="257"/>
        <v>-</v>
      </c>
      <c r="BU189" s="1054" t="str">
        <f t="shared" si="257"/>
        <v>-</v>
      </c>
      <c r="BV189" s="1053" t="str">
        <f t="shared" si="257"/>
        <v>-</v>
      </c>
      <c r="BW189" s="1053" t="str">
        <f t="shared" si="257"/>
        <v>-</v>
      </c>
      <c r="BX189" s="1053" t="str">
        <f t="shared" si="257"/>
        <v>-</v>
      </c>
      <c r="BY189" s="1053" t="str">
        <f t="shared" si="257"/>
        <v>-</v>
      </c>
      <c r="BZ189" s="1054" t="str">
        <f t="shared" si="257"/>
        <v>-</v>
      </c>
      <c r="CA189" s="1048"/>
    </row>
    <row r="190" spans="3:79" x14ac:dyDescent="0.3">
      <c r="C190" s="126"/>
      <c r="D190" s="126"/>
      <c r="E190" s="558" t="s">
        <v>46</v>
      </c>
      <c r="F190" s="2161" t="str">
        <f t="shared" si="236"/>
        <v>[Service]</v>
      </c>
      <c r="G190" s="2163">
        <f t="shared" si="236"/>
        <v>0</v>
      </c>
      <c r="H190" s="2163">
        <f t="shared" si="236"/>
        <v>0</v>
      </c>
      <c r="I190" s="2164" t="str">
        <f t="shared" si="236"/>
        <v>[Price]</v>
      </c>
      <c r="J190" s="574" t="s">
        <v>323</v>
      </c>
      <c r="K190" s="1973"/>
      <c r="L190" s="1974"/>
      <c r="M190" s="1974"/>
      <c r="N190" s="1975"/>
      <c r="O190" s="1974"/>
      <c r="P190" s="1974"/>
      <c r="Q190" s="1974"/>
      <c r="R190" s="1976"/>
      <c r="S190" s="1975"/>
      <c r="T190" s="1974"/>
      <c r="U190" s="1974"/>
      <c r="V190" s="1974"/>
      <c r="W190" s="1713"/>
      <c r="X190" s="1714"/>
      <c r="Y190" s="1713"/>
      <c r="Z190" s="1713"/>
      <c r="AA190" s="1713"/>
      <c r="AB190" s="1715"/>
      <c r="AC190" s="1713"/>
      <c r="AD190" s="1713"/>
      <c r="AE190" s="1713"/>
      <c r="AF190" s="1713"/>
      <c r="AG190" s="1716"/>
      <c r="AH190" s="1713"/>
      <c r="AI190" s="1713"/>
      <c r="AJ190" s="1713"/>
      <c r="AK190" s="1713"/>
      <c r="AL190" s="1716"/>
      <c r="AM190" s="560"/>
      <c r="AN190" s="991"/>
      <c r="AO190" s="992"/>
      <c r="AP190" s="2285" t="str">
        <f t="shared" si="153"/>
        <v>Qty</v>
      </c>
      <c r="AQ190" s="2286" t="str">
        <f t="shared" si="153"/>
        <v>[Service]</v>
      </c>
      <c r="AR190" s="2287" t="str">
        <f t="shared" si="154"/>
        <v>[Price]</v>
      </c>
      <c r="AS190" s="2288" t="str">
        <f t="shared" si="255"/>
        <v>-</v>
      </c>
      <c r="AT190" s="1720" t="str">
        <f t="shared" si="255"/>
        <v>-</v>
      </c>
      <c r="AU190" s="1720" t="str">
        <f t="shared" si="255"/>
        <v>-</v>
      </c>
      <c r="AV190" s="2289" t="str">
        <f t="shared" si="255"/>
        <v>-</v>
      </c>
      <c r="AW190" s="1720" t="str">
        <f t="shared" si="255"/>
        <v>-</v>
      </c>
      <c r="AX190" s="2290" t="str">
        <f t="shared" si="255"/>
        <v>-</v>
      </c>
      <c r="AY190" s="1720" t="str">
        <f t="shared" si="255"/>
        <v>-</v>
      </c>
      <c r="AZ190" s="1720" t="str">
        <f t="shared" si="255"/>
        <v>-</v>
      </c>
      <c r="BA190" s="1720" t="str">
        <f t="shared" si="255"/>
        <v>-</v>
      </c>
      <c r="BB190" s="1721" t="str">
        <f t="shared" si="255"/>
        <v>-</v>
      </c>
      <c r="BC190" s="1720" t="str">
        <f t="shared" si="255"/>
        <v>-</v>
      </c>
      <c r="BD190" s="1720" t="str">
        <f t="shared" si="255"/>
        <v>-</v>
      </c>
      <c r="BE190" s="1720" t="str">
        <f t="shared" si="255"/>
        <v>-</v>
      </c>
      <c r="BF190" s="1720" t="str">
        <f t="shared" si="255"/>
        <v>-</v>
      </c>
      <c r="BG190" s="1721" t="str">
        <f t="shared" si="255"/>
        <v>-</v>
      </c>
      <c r="BH190" s="1048"/>
      <c r="BI190" s="2285" t="str">
        <f t="shared" si="182"/>
        <v>Qty</v>
      </c>
      <c r="BJ190" s="2286" t="str">
        <f t="shared" si="182"/>
        <v>[Service]</v>
      </c>
      <c r="BK190" s="2287" t="str">
        <f t="shared" si="182"/>
        <v>[Price]</v>
      </c>
      <c r="BL190" s="2288" t="str">
        <f t="shared" ref="BL190:BZ190" si="258">IF(OR(X190="",X190=0),"-",IFERROR((X190/W190-1)*(W191/W$13),"-"))</f>
        <v>-</v>
      </c>
      <c r="BM190" s="1720" t="str">
        <f t="shared" si="258"/>
        <v>-</v>
      </c>
      <c r="BN190" s="1720" t="str">
        <f t="shared" si="258"/>
        <v>-</v>
      </c>
      <c r="BO190" s="2289" t="str">
        <f t="shared" si="258"/>
        <v>-</v>
      </c>
      <c r="BP190" s="1720" t="str">
        <f t="shared" si="258"/>
        <v>-</v>
      </c>
      <c r="BQ190" s="2290" t="str">
        <f t="shared" si="258"/>
        <v>-</v>
      </c>
      <c r="BR190" s="1720" t="str">
        <f t="shared" si="258"/>
        <v>-</v>
      </c>
      <c r="BS190" s="1720" t="str">
        <f t="shared" si="258"/>
        <v>-</v>
      </c>
      <c r="BT190" s="1720" t="str">
        <f t="shared" si="258"/>
        <v>-</v>
      </c>
      <c r="BU190" s="1721" t="str">
        <f t="shared" si="258"/>
        <v>-</v>
      </c>
      <c r="BV190" s="1720" t="str">
        <f t="shared" si="258"/>
        <v>-</v>
      </c>
      <c r="BW190" s="1720" t="str">
        <f t="shared" si="258"/>
        <v>-</v>
      </c>
      <c r="BX190" s="1720" t="str">
        <f t="shared" si="258"/>
        <v>-</v>
      </c>
      <c r="BY190" s="1720" t="str">
        <f t="shared" si="258"/>
        <v>-</v>
      </c>
      <c r="BZ190" s="1721" t="str">
        <f t="shared" si="258"/>
        <v>-</v>
      </c>
      <c r="CA190" s="1048"/>
    </row>
    <row r="191" spans="3:79" ht="12.5" thickBot="1" x14ac:dyDescent="0.35">
      <c r="C191" s="126"/>
      <c r="D191" s="126"/>
      <c r="E191" s="559" t="s">
        <v>47</v>
      </c>
      <c r="F191" s="2162" t="str">
        <f t="shared" ref="F191:I191" si="259">+F189</f>
        <v>[Service]</v>
      </c>
      <c r="G191" s="2165">
        <f t="shared" si="259"/>
        <v>0</v>
      </c>
      <c r="H191" s="2165">
        <f t="shared" si="259"/>
        <v>0</v>
      </c>
      <c r="I191" s="2166" t="str">
        <f t="shared" si="259"/>
        <v>[Price]</v>
      </c>
      <c r="J191" s="2106" t="s">
        <v>347</v>
      </c>
      <c r="K191" s="1977"/>
      <c r="L191" s="1206"/>
      <c r="M191" s="1206"/>
      <c r="N191" s="1978"/>
      <c r="O191" s="1206"/>
      <c r="P191" s="1206"/>
      <c r="Q191" s="1206"/>
      <c r="R191" s="1206"/>
      <c r="S191" s="1978"/>
      <c r="T191" s="1206"/>
      <c r="U191" s="1206"/>
      <c r="V191" s="1206"/>
      <c r="W191" s="1731">
        <f t="shared" ref="W191:AG191" si="260">W189*W190/10^6</f>
        <v>0</v>
      </c>
      <c r="X191" s="1730">
        <f t="shared" si="260"/>
        <v>0</v>
      </c>
      <c r="Y191" s="1731">
        <f t="shared" si="260"/>
        <v>0</v>
      </c>
      <c r="Z191" s="1731">
        <f t="shared" si="260"/>
        <v>0</v>
      </c>
      <c r="AA191" s="1731">
        <f t="shared" si="260"/>
        <v>0</v>
      </c>
      <c r="AB191" s="1733">
        <f t="shared" si="260"/>
        <v>0</v>
      </c>
      <c r="AC191" s="1731">
        <f t="shared" si="260"/>
        <v>0</v>
      </c>
      <c r="AD191" s="1731">
        <f t="shared" si="260"/>
        <v>0</v>
      </c>
      <c r="AE191" s="1731">
        <f t="shared" si="260"/>
        <v>0</v>
      </c>
      <c r="AF191" s="1731">
        <f t="shared" si="260"/>
        <v>0</v>
      </c>
      <c r="AG191" s="1733">
        <f t="shared" si="260"/>
        <v>0</v>
      </c>
      <c r="AH191" s="1731">
        <f>AH189*AH190/10^6</f>
        <v>0</v>
      </c>
      <c r="AI191" s="1731">
        <f>AI189*AI190/10^6</f>
        <v>0</v>
      </c>
      <c r="AJ191" s="1731">
        <f>AJ189*AJ190/10^6</f>
        <v>0</v>
      </c>
      <c r="AK191" s="1731">
        <f>AK189*AK190/10^6</f>
        <v>0</v>
      </c>
      <c r="AL191" s="1733">
        <f>AL189*AL190/10^6</f>
        <v>0</v>
      </c>
      <c r="AM191" s="560"/>
      <c r="AN191" s="991"/>
      <c r="AO191" s="992"/>
      <c r="AP191" s="2304" t="str">
        <f t="shared" si="153"/>
        <v>Rev</v>
      </c>
      <c r="AQ191" s="2305" t="str">
        <f t="shared" si="153"/>
        <v>[Service]</v>
      </c>
      <c r="AR191" s="2306" t="str">
        <f t="shared" si="154"/>
        <v>[Price]</v>
      </c>
      <c r="AS191" s="2307" t="str">
        <f t="shared" si="255"/>
        <v>-</v>
      </c>
      <c r="AT191" s="1055" t="str">
        <f t="shared" si="255"/>
        <v>-</v>
      </c>
      <c r="AU191" s="1055" t="str">
        <f t="shared" si="255"/>
        <v>-</v>
      </c>
      <c r="AV191" s="2308" t="str">
        <f t="shared" si="255"/>
        <v>-</v>
      </c>
      <c r="AW191" s="1055" t="str">
        <f t="shared" si="255"/>
        <v>-</v>
      </c>
      <c r="AX191" s="2309" t="str">
        <f t="shared" si="255"/>
        <v>-</v>
      </c>
      <c r="AY191" s="1055" t="str">
        <f t="shared" si="255"/>
        <v>-</v>
      </c>
      <c r="AZ191" s="1055" t="str">
        <f t="shared" si="255"/>
        <v>-</v>
      </c>
      <c r="BA191" s="1055" t="str">
        <f t="shared" si="255"/>
        <v>-</v>
      </c>
      <c r="BB191" s="1056" t="str">
        <f t="shared" si="255"/>
        <v>-</v>
      </c>
      <c r="BC191" s="1055" t="str">
        <f t="shared" si="255"/>
        <v>-</v>
      </c>
      <c r="BD191" s="1055" t="str">
        <f t="shared" si="255"/>
        <v>-</v>
      </c>
      <c r="BE191" s="1055" t="str">
        <f t="shared" si="255"/>
        <v>-</v>
      </c>
      <c r="BF191" s="1055" t="str">
        <f t="shared" si="255"/>
        <v>-</v>
      </c>
      <c r="BG191" s="1056" t="str">
        <f t="shared" si="255"/>
        <v>-</v>
      </c>
      <c r="BH191" s="1048"/>
      <c r="BI191" s="2304" t="str">
        <f t="shared" si="182"/>
        <v>Rev</v>
      </c>
      <c r="BJ191" s="2305" t="str">
        <f t="shared" si="182"/>
        <v>[Service]</v>
      </c>
      <c r="BK191" s="2306" t="str">
        <f t="shared" si="182"/>
        <v>[Price]</v>
      </c>
      <c r="BL191" s="2307" t="str">
        <f t="shared" ref="BL191:BZ191" si="261">IF(OR(X191="",X191=0),"-",IFERROR((X191/W191-1)*(W191/W$13),"-"))</f>
        <v>-</v>
      </c>
      <c r="BM191" s="1055" t="str">
        <f t="shared" si="261"/>
        <v>-</v>
      </c>
      <c r="BN191" s="1055" t="str">
        <f t="shared" si="261"/>
        <v>-</v>
      </c>
      <c r="BO191" s="2308" t="str">
        <f t="shared" si="261"/>
        <v>-</v>
      </c>
      <c r="BP191" s="1055" t="str">
        <f t="shared" si="261"/>
        <v>-</v>
      </c>
      <c r="BQ191" s="2309" t="str">
        <f t="shared" si="261"/>
        <v>-</v>
      </c>
      <c r="BR191" s="1055" t="str">
        <f t="shared" si="261"/>
        <v>-</v>
      </c>
      <c r="BS191" s="1055" t="str">
        <f t="shared" si="261"/>
        <v>-</v>
      </c>
      <c r="BT191" s="1055" t="str">
        <f t="shared" si="261"/>
        <v>-</v>
      </c>
      <c r="BU191" s="1056" t="str">
        <f t="shared" si="261"/>
        <v>-</v>
      </c>
      <c r="BV191" s="1055" t="str">
        <f t="shared" si="261"/>
        <v>-</v>
      </c>
      <c r="BW191" s="1055" t="str">
        <f t="shared" si="261"/>
        <v>-</v>
      </c>
      <c r="BX191" s="1055" t="str">
        <f t="shared" si="261"/>
        <v>-</v>
      </c>
      <c r="BY191" s="1055" t="str">
        <f t="shared" si="261"/>
        <v>-</v>
      </c>
      <c r="BZ191" s="1056" t="str">
        <f t="shared" si="261"/>
        <v>-</v>
      </c>
      <c r="CA191" s="1048"/>
    </row>
    <row r="192" spans="3:79" x14ac:dyDescent="0.3">
      <c r="C192" s="126"/>
      <c r="D192" s="126">
        <f>D189+1</f>
        <v>42</v>
      </c>
      <c r="E192" s="553" t="s">
        <v>45</v>
      </c>
      <c r="F192" s="2105" t="s">
        <v>28</v>
      </c>
      <c r="G192" s="2105"/>
      <c r="H192" s="2105"/>
      <c r="I192" s="573" t="s">
        <v>319</v>
      </c>
      <c r="J192" s="573" t="s">
        <v>348</v>
      </c>
      <c r="K192" s="1969"/>
      <c r="L192" s="1970"/>
      <c r="M192" s="1970"/>
      <c r="N192" s="1971"/>
      <c r="O192" s="1970"/>
      <c r="P192" s="1970"/>
      <c r="Q192" s="1970"/>
      <c r="R192" s="1972"/>
      <c r="S192" s="1971"/>
      <c r="T192" s="1970"/>
      <c r="U192" s="1970"/>
      <c r="V192" s="1970"/>
      <c r="W192" s="1709"/>
      <c r="X192" s="1710"/>
      <c r="Y192" s="1709"/>
      <c r="Z192" s="1709"/>
      <c r="AA192" s="1709"/>
      <c r="AB192" s="1711"/>
      <c r="AC192" s="1709"/>
      <c r="AD192" s="1709"/>
      <c r="AE192" s="1709"/>
      <c r="AF192" s="1709"/>
      <c r="AG192" s="1712"/>
      <c r="AH192" s="1709"/>
      <c r="AI192" s="1709"/>
      <c r="AJ192" s="1709"/>
      <c r="AK192" s="1709"/>
      <c r="AL192" s="1712"/>
      <c r="AM192" s="560"/>
      <c r="AN192" s="1052"/>
      <c r="AO192" s="992"/>
      <c r="AP192" s="2297" t="str">
        <f t="shared" si="153"/>
        <v>Price</v>
      </c>
      <c r="AQ192" s="2298" t="str">
        <f t="shared" si="153"/>
        <v>[Service]</v>
      </c>
      <c r="AR192" s="1719" t="str">
        <f t="shared" si="154"/>
        <v>[Price]</v>
      </c>
      <c r="AS192" s="2299" t="str">
        <f t="shared" si="255"/>
        <v>-</v>
      </c>
      <c r="AT192" s="1728" t="str">
        <f t="shared" si="255"/>
        <v>-</v>
      </c>
      <c r="AU192" s="1728" t="str">
        <f t="shared" si="255"/>
        <v>-</v>
      </c>
      <c r="AV192" s="2300" t="str">
        <f t="shared" si="255"/>
        <v>-</v>
      </c>
      <c r="AW192" s="1728" t="str">
        <f t="shared" si="255"/>
        <v>-</v>
      </c>
      <c r="AX192" s="2301" t="str">
        <f t="shared" si="255"/>
        <v>-</v>
      </c>
      <c r="AY192" s="1728" t="str">
        <f t="shared" si="255"/>
        <v>-</v>
      </c>
      <c r="AZ192" s="1728" t="str">
        <f t="shared" si="255"/>
        <v>-</v>
      </c>
      <c r="BA192" s="1728" t="str">
        <f t="shared" si="255"/>
        <v>-</v>
      </c>
      <c r="BB192" s="1729" t="str">
        <f t="shared" si="255"/>
        <v>-</v>
      </c>
      <c r="BC192" s="1728" t="str">
        <f t="shared" si="255"/>
        <v>-</v>
      </c>
      <c r="BD192" s="1728" t="str">
        <f t="shared" si="255"/>
        <v>-</v>
      </c>
      <c r="BE192" s="1728" t="str">
        <f t="shared" si="255"/>
        <v>-</v>
      </c>
      <c r="BF192" s="1728" t="str">
        <f t="shared" si="255"/>
        <v>-</v>
      </c>
      <c r="BG192" s="1729" t="str">
        <f t="shared" si="255"/>
        <v>-</v>
      </c>
      <c r="BH192" s="1048"/>
      <c r="BI192" s="2297" t="str">
        <f t="shared" si="182"/>
        <v>Price</v>
      </c>
      <c r="BJ192" s="2298" t="str">
        <f t="shared" si="182"/>
        <v>[Service]</v>
      </c>
      <c r="BK192" s="1719" t="str">
        <f t="shared" si="182"/>
        <v>[Price]</v>
      </c>
      <c r="BL192" s="2299" t="str">
        <f t="shared" ref="BL192:BZ192" si="262">IF(OR(X192="",X192=0),"-",IFERROR((X192/W192-1)*(W194/W$13),"-"))</f>
        <v>-</v>
      </c>
      <c r="BM192" s="1053" t="str">
        <f t="shared" si="262"/>
        <v>-</v>
      </c>
      <c r="BN192" s="1053" t="str">
        <f t="shared" si="262"/>
        <v>-</v>
      </c>
      <c r="BO192" s="2302" t="str">
        <f t="shared" si="262"/>
        <v>-</v>
      </c>
      <c r="BP192" s="1053" t="str">
        <f t="shared" si="262"/>
        <v>-</v>
      </c>
      <c r="BQ192" s="2303" t="str">
        <f t="shared" si="262"/>
        <v>-</v>
      </c>
      <c r="BR192" s="1053" t="str">
        <f t="shared" si="262"/>
        <v>-</v>
      </c>
      <c r="BS192" s="1053" t="str">
        <f t="shared" si="262"/>
        <v>-</v>
      </c>
      <c r="BT192" s="1053" t="str">
        <f t="shared" si="262"/>
        <v>-</v>
      </c>
      <c r="BU192" s="1054" t="str">
        <f t="shared" si="262"/>
        <v>-</v>
      </c>
      <c r="BV192" s="1053" t="str">
        <f t="shared" si="262"/>
        <v>-</v>
      </c>
      <c r="BW192" s="1053" t="str">
        <f t="shared" si="262"/>
        <v>-</v>
      </c>
      <c r="BX192" s="1053" t="str">
        <f t="shared" si="262"/>
        <v>-</v>
      </c>
      <c r="BY192" s="1053" t="str">
        <f t="shared" si="262"/>
        <v>-</v>
      </c>
      <c r="BZ192" s="1054" t="str">
        <f t="shared" si="262"/>
        <v>-</v>
      </c>
      <c r="CA192" s="1048"/>
    </row>
    <row r="193" spans="3:79" x14ac:dyDescent="0.3">
      <c r="C193" s="126"/>
      <c r="D193" s="126"/>
      <c r="E193" s="558" t="s">
        <v>46</v>
      </c>
      <c r="F193" s="2161" t="str">
        <f t="shared" si="236"/>
        <v>[Service]</v>
      </c>
      <c r="G193" s="2163">
        <f t="shared" si="236"/>
        <v>0</v>
      </c>
      <c r="H193" s="2163">
        <f t="shared" si="236"/>
        <v>0</v>
      </c>
      <c r="I193" s="2164" t="str">
        <f t="shared" si="236"/>
        <v>[Price]</v>
      </c>
      <c r="J193" s="574" t="s">
        <v>323</v>
      </c>
      <c r="K193" s="1973"/>
      <c r="L193" s="1974"/>
      <c r="M193" s="1974"/>
      <c r="N193" s="1975"/>
      <c r="O193" s="1974"/>
      <c r="P193" s="1974"/>
      <c r="Q193" s="1974"/>
      <c r="R193" s="1976"/>
      <c r="S193" s="1975"/>
      <c r="T193" s="1974"/>
      <c r="U193" s="1974"/>
      <c r="V193" s="1974"/>
      <c r="W193" s="1713"/>
      <c r="X193" s="1714"/>
      <c r="Y193" s="1713"/>
      <c r="Z193" s="1713"/>
      <c r="AA193" s="1713"/>
      <c r="AB193" s="1715"/>
      <c r="AC193" s="1713"/>
      <c r="AD193" s="1713"/>
      <c r="AE193" s="1713"/>
      <c r="AF193" s="1713"/>
      <c r="AG193" s="1716"/>
      <c r="AH193" s="1713"/>
      <c r="AI193" s="1713"/>
      <c r="AJ193" s="1713"/>
      <c r="AK193" s="1713"/>
      <c r="AL193" s="1716"/>
      <c r="AM193" s="560"/>
      <c r="AN193" s="991"/>
      <c r="AO193" s="992"/>
      <c r="AP193" s="2285" t="str">
        <f t="shared" si="153"/>
        <v>Qty</v>
      </c>
      <c r="AQ193" s="2286" t="str">
        <f t="shared" si="153"/>
        <v>[Service]</v>
      </c>
      <c r="AR193" s="2287" t="str">
        <f t="shared" si="154"/>
        <v>[Price]</v>
      </c>
      <c r="AS193" s="2288" t="str">
        <f t="shared" si="255"/>
        <v>-</v>
      </c>
      <c r="AT193" s="1720" t="str">
        <f t="shared" si="255"/>
        <v>-</v>
      </c>
      <c r="AU193" s="1720" t="str">
        <f t="shared" si="255"/>
        <v>-</v>
      </c>
      <c r="AV193" s="2289" t="str">
        <f t="shared" si="255"/>
        <v>-</v>
      </c>
      <c r="AW193" s="1720" t="str">
        <f t="shared" si="255"/>
        <v>-</v>
      </c>
      <c r="AX193" s="2290" t="str">
        <f t="shared" si="255"/>
        <v>-</v>
      </c>
      <c r="AY193" s="1720" t="str">
        <f t="shared" si="255"/>
        <v>-</v>
      </c>
      <c r="AZ193" s="1720" t="str">
        <f t="shared" si="255"/>
        <v>-</v>
      </c>
      <c r="BA193" s="1720" t="str">
        <f t="shared" si="255"/>
        <v>-</v>
      </c>
      <c r="BB193" s="1721" t="str">
        <f t="shared" si="255"/>
        <v>-</v>
      </c>
      <c r="BC193" s="1720" t="str">
        <f t="shared" si="255"/>
        <v>-</v>
      </c>
      <c r="BD193" s="1720" t="str">
        <f t="shared" si="255"/>
        <v>-</v>
      </c>
      <c r="BE193" s="1720" t="str">
        <f t="shared" si="255"/>
        <v>-</v>
      </c>
      <c r="BF193" s="1720" t="str">
        <f t="shared" si="255"/>
        <v>-</v>
      </c>
      <c r="BG193" s="1721" t="str">
        <f t="shared" si="255"/>
        <v>-</v>
      </c>
      <c r="BH193" s="1048"/>
      <c r="BI193" s="2285" t="str">
        <f t="shared" si="182"/>
        <v>Qty</v>
      </c>
      <c r="BJ193" s="2286" t="str">
        <f t="shared" si="182"/>
        <v>[Service]</v>
      </c>
      <c r="BK193" s="2287" t="str">
        <f t="shared" si="182"/>
        <v>[Price]</v>
      </c>
      <c r="BL193" s="2288" t="str">
        <f t="shared" ref="BL193:BZ193" si="263">IF(OR(X193="",X193=0),"-",IFERROR((X193/W193-1)*(W194/W$13),"-"))</f>
        <v>-</v>
      </c>
      <c r="BM193" s="1720" t="str">
        <f t="shared" si="263"/>
        <v>-</v>
      </c>
      <c r="BN193" s="1720" t="str">
        <f t="shared" si="263"/>
        <v>-</v>
      </c>
      <c r="BO193" s="2289" t="str">
        <f t="shared" si="263"/>
        <v>-</v>
      </c>
      <c r="BP193" s="1720" t="str">
        <f t="shared" si="263"/>
        <v>-</v>
      </c>
      <c r="BQ193" s="2290" t="str">
        <f t="shared" si="263"/>
        <v>-</v>
      </c>
      <c r="BR193" s="1720" t="str">
        <f t="shared" si="263"/>
        <v>-</v>
      </c>
      <c r="BS193" s="1720" t="str">
        <f t="shared" si="263"/>
        <v>-</v>
      </c>
      <c r="BT193" s="1720" t="str">
        <f t="shared" si="263"/>
        <v>-</v>
      </c>
      <c r="BU193" s="1721" t="str">
        <f t="shared" si="263"/>
        <v>-</v>
      </c>
      <c r="BV193" s="1720" t="str">
        <f t="shared" si="263"/>
        <v>-</v>
      </c>
      <c r="BW193" s="1720" t="str">
        <f t="shared" si="263"/>
        <v>-</v>
      </c>
      <c r="BX193" s="1720" t="str">
        <f t="shared" si="263"/>
        <v>-</v>
      </c>
      <c r="BY193" s="1720" t="str">
        <f t="shared" si="263"/>
        <v>-</v>
      </c>
      <c r="BZ193" s="1721" t="str">
        <f t="shared" si="263"/>
        <v>-</v>
      </c>
      <c r="CA193" s="1048"/>
    </row>
    <row r="194" spans="3:79" ht="12.5" thickBot="1" x14ac:dyDescent="0.35">
      <c r="C194" s="126"/>
      <c r="D194" s="126"/>
      <c r="E194" s="559" t="s">
        <v>47</v>
      </c>
      <c r="F194" s="2162" t="str">
        <f t="shared" ref="F194:I194" si="264">+F192</f>
        <v>[Service]</v>
      </c>
      <c r="G194" s="2165">
        <f t="shared" si="264"/>
        <v>0</v>
      </c>
      <c r="H194" s="2165">
        <f t="shared" si="264"/>
        <v>0</v>
      </c>
      <c r="I194" s="2166" t="str">
        <f t="shared" si="264"/>
        <v>[Price]</v>
      </c>
      <c r="J194" s="2106" t="s">
        <v>347</v>
      </c>
      <c r="K194" s="1977"/>
      <c r="L194" s="1206"/>
      <c r="M194" s="1206"/>
      <c r="N194" s="1978"/>
      <c r="O194" s="1206"/>
      <c r="P194" s="1206"/>
      <c r="Q194" s="1206"/>
      <c r="R194" s="1206"/>
      <c r="S194" s="1978"/>
      <c r="T194" s="1206"/>
      <c r="U194" s="1206"/>
      <c r="V194" s="1206"/>
      <c r="W194" s="1731">
        <f t="shared" ref="W194:AG194" si="265">W192*W193/10^6</f>
        <v>0</v>
      </c>
      <c r="X194" s="1730">
        <f t="shared" si="265"/>
        <v>0</v>
      </c>
      <c r="Y194" s="1731">
        <f t="shared" si="265"/>
        <v>0</v>
      </c>
      <c r="Z194" s="1731">
        <f t="shared" si="265"/>
        <v>0</v>
      </c>
      <c r="AA194" s="1731">
        <f t="shared" si="265"/>
        <v>0</v>
      </c>
      <c r="AB194" s="1733">
        <f t="shared" si="265"/>
        <v>0</v>
      </c>
      <c r="AC194" s="1731">
        <f t="shared" si="265"/>
        <v>0</v>
      </c>
      <c r="AD194" s="1731">
        <f t="shared" si="265"/>
        <v>0</v>
      </c>
      <c r="AE194" s="1731">
        <f t="shared" si="265"/>
        <v>0</v>
      </c>
      <c r="AF194" s="1731">
        <f t="shared" si="265"/>
        <v>0</v>
      </c>
      <c r="AG194" s="1733">
        <f t="shared" si="265"/>
        <v>0</v>
      </c>
      <c r="AH194" s="1731">
        <f>AH192*AH193/10^6</f>
        <v>0</v>
      </c>
      <c r="AI194" s="1731">
        <f>AI192*AI193/10^6</f>
        <v>0</v>
      </c>
      <c r="AJ194" s="1731">
        <f>AJ192*AJ193/10^6</f>
        <v>0</v>
      </c>
      <c r="AK194" s="1731">
        <f>AK192*AK193/10^6</f>
        <v>0</v>
      </c>
      <c r="AL194" s="1733">
        <f>AL192*AL193/10^6</f>
        <v>0</v>
      </c>
      <c r="AM194" s="560"/>
      <c r="AN194" s="991"/>
      <c r="AO194" s="992"/>
      <c r="AP194" s="2304" t="str">
        <f t="shared" si="153"/>
        <v>Rev</v>
      </c>
      <c r="AQ194" s="2305" t="str">
        <f t="shared" si="153"/>
        <v>[Service]</v>
      </c>
      <c r="AR194" s="2306" t="str">
        <f t="shared" si="154"/>
        <v>[Price]</v>
      </c>
      <c r="AS194" s="2307" t="str">
        <f t="shared" si="255"/>
        <v>-</v>
      </c>
      <c r="AT194" s="1055" t="str">
        <f t="shared" si="255"/>
        <v>-</v>
      </c>
      <c r="AU194" s="1055" t="str">
        <f t="shared" si="255"/>
        <v>-</v>
      </c>
      <c r="AV194" s="2308" t="str">
        <f t="shared" si="255"/>
        <v>-</v>
      </c>
      <c r="AW194" s="1055" t="str">
        <f t="shared" si="255"/>
        <v>-</v>
      </c>
      <c r="AX194" s="2309" t="str">
        <f t="shared" si="255"/>
        <v>-</v>
      </c>
      <c r="AY194" s="1055" t="str">
        <f t="shared" si="255"/>
        <v>-</v>
      </c>
      <c r="AZ194" s="1055" t="str">
        <f t="shared" si="255"/>
        <v>-</v>
      </c>
      <c r="BA194" s="1055" t="str">
        <f t="shared" si="255"/>
        <v>-</v>
      </c>
      <c r="BB194" s="1056" t="str">
        <f t="shared" si="255"/>
        <v>-</v>
      </c>
      <c r="BC194" s="1055" t="str">
        <f t="shared" si="255"/>
        <v>-</v>
      </c>
      <c r="BD194" s="1055" t="str">
        <f t="shared" si="255"/>
        <v>-</v>
      </c>
      <c r="BE194" s="1055" t="str">
        <f t="shared" si="255"/>
        <v>-</v>
      </c>
      <c r="BF194" s="1055" t="str">
        <f t="shared" si="255"/>
        <v>-</v>
      </c>
      <c r="BG194" s="1056" t="str">
        <f t="shared" si="255"/>
        <v>-</v>
      </c>
      <c r="BH194" s="1048"/>
      <c r="BI194" s="2304" t="str">
        <f t="shared" si="182"/>
        <v>Rev</v>
      </c>
      <c r="BJ194" s="2305" t="str">
        <f t="shared" si="182"/>
        <v>[Service]</v>
      </c>
      <c r="BK194" s="2306" t="str">
        <f t="shared" si="182"/>
        <v>[Price]</v>
      </c>
      <c r="BL194" s="2307" t="str">
        <f t="shared" ref="BL194:BZ194" si="266">IF(OR(X194="",X194=0),"-",IFERROR((X194/W194-1)*(W194/W$13),"-"))</f>
        <v>-</v>
      </c>
      <c r="BM194" s="1055" t="str">
        <f t="shared" si="266"/>
        <v>-</v>
      </c>
      <c r="BN194" s="1055" t="str">
        <f t="shared" si="266"/>
        <v>-</v>
      </c>
      <c r="BO194" s="2308" t="str">
        <f t="shared" si="266"/>
        <v>-</v>
      </c>
      <c r="BP194" s="1055" t="str">
        <f t="shared" si="266"/>
        <v>-</v>
      </c>
      <c r="BQ194" s="2309" t="str">
        <f t="shared" si="266"/>
        <v>-</v>
      </c>
      <c r="BR194" s="1055" t="str">
        <f t="shared" si="266"/>
        <v>-</v>
      </c>
      <c r="BS194" s="1055" t="str">
        <f t="shared" si="266"/>
        <v>-</v>
      </c>
      <c r="BT194" s="1055" t="str">
        <f t="shared" si="266"/>
        <v>-</v>
      </c>
      <c r="BU194" s="1056" t="str">
        <f t="shared" si="266"/>
        <v>-</v>
      </c>
      <c r="BV194" s="1055" t="str">
        <f t="shared" si="266"/>
        <v>-</v>
      </c>
      <c r="BW194" s="1055" t="str">
        <f t="shared" si="266"/>
        <v>-</v>
      </c>
      <c r="BX194" s="1055" t="str">
        <f t="shared" si="266"/>
        <v>-</v>
      </c>
      <c r="BY194" s="1055" t="str">
        <f t="shared" si="266"/>
        <v>-</v>
      </c>
      <c r="BZ194" s="1056" t="str">
        <f t="shared" si="266"/>
        <v>-</v>
      </c>
      <c r="CA194" s="1048"/>
    </row>
    <row r="195" spans="3:79" x14ac:dyDescent="0.3">
      <c r="C195" s="126"/>
      <c r="D195" s="126">
        <f>D192+1</f>
        <v>43</v>
      </c>
      <c r="E195" s="553" t="s">
        <v>45</v>
      </c>
      <c r="F195" s="2105" t="s">
        <v>28</v>
      </c>
      <c r="G195" s="2105"/>
      <c r="H195" s="2105"/>
      <c r="I195" s="573" t="s">
        <v>319</v>
      </c>
      <c r="J195" s="573" t="s">
        <v>348</v>
      </c>
      <c r="K195" s="1969"/>
      <c r="L195" s="1970"/>
      <c r="M195" s="1970"/>
      <c r="N195" s="1971"/>
      <c r="O195" s="1970"/>
      <c r="P195" s="1970"/>
      <c r="Q195" s="1970"/>
      <c r="R195" s="1972"/>
      <c r="S195" s="1971"/>
      <c r="T195" s="1970"/>
      <c r="U195" s="1970"/>
      <c r="V195" s="1970"/>
      <c r="W195" s="1709"/>
      <c r="X195" s="1710"/>
      <c r="Y195" s="1709"/>
      <c r="Z195" s="1709"/>
      <c r="AA195" s="1709"/>
      <c r="AB195" s="1711"/>
      <c r="AC195" s="1709"/>
      <c r="AD195" s="1709"/>
      <c r="AE195" s="1709"/>
      <c r="AF195" s="1709"/>
      <c r="AG195" s="1712"/>
      <c r="AH195" s="1709"/>
      <c r="AI195" s="1709"/>
      <c r="AJ195" s="1709"/>
      <c r="AK195" s="1709"/>
      <c r="AL195" s="1712"/>
      <c r="AM195" s="560"/>
      <c r="AN195" s="1052"/>
      <c r="AO195" s="992"/>
      <c r="AP195" s="2297" t="str">
        <f t="shared" si="153"/>
        <v>Price</v>
      </c>
      <c r="AQ195" s="2298" t="str">
        <f t="shared" si="153"/>
        <v>[Service]</v>
      </c>
      <c r="AR195" s="1719" t="str">
        <f t="shared" si="154"/>
        <v>[Price]</v>
      </c>
      <c r="AS195" s="2299" t="str">
        <f t="shared" si="255"/>
        <v>-</v>
      </c>
      <c r="AT195" s="1728" t="str">
        <f t="shared" si="255"/>
        <v>-</v>
      </c>
      <c r="AU195" s="1728" t="str">
        <f t="shared" si="255"/>
        <v>-</v>
      </c>
      <c r="AV195" s="2300" t="str">
        <f t="shared" si="255"/>
        <v>-</v>
      </c>
      <c r="AW195" s="1728" t="str">
        <f t="shared" si="255"/>
        <v>-</v>
      </c>
      <c r="AX195" s="2301" t="str">
        <f t="shared" si="255"/>
        <v>-</v>
      </c>
      <c r="AY195" s="1728" t="str">
        <f t="shared" si="255"/>
        <v>-</v>
      </c>
      <c r="AZ195" s="1728" t="str">
        <f t="shared" si="255"/>
        <v>-</v>
      </c>
      <c r="BA195" s="1728" t="str">
        <f t="shared" si="255"/>
        <v>-</v>
      </c>
      <c r="BB195" s="1729" t="str">
        <f t="shared" si="255"/>
        <v>-</v>
      </c>
      <c r="BC195" s="1728" t="str">
        <f t="shared" si="255"/>
        <v>-</v>
      </c>
      <c r="BD195" s="1728" t="str">
        <f t="shared" si="255"/>
        <v>-</v>
      </c>
      <c r="BE195" s="1728" t="str">
        <f t="shared" si="255"/>
        <v>-</v>
      </c>
      <c r="BF195" s="1728" t="str">
        <f t="shared" si="255"/>
        <v>-</v>
      </c>
      <c r="BG195" s="1729" t="str">
        <f t="shared" si="255"/>
        <v>-</v>
      </c>
      <c r="BH195" s="1048"/>
      <c r="BI195" s="2297" t="str">
        <f t="shared" si="182"/>
        <v>Price</v>
      </c>
      <c r="BJ195" s="2298" t="str">
        <f t="shared" si="182"/>
        <v>[Service]</v>
      </c>
      <c r="BK195" s="1719" t="str">
        <f t="shared" si="182"/>
        <v>[Price]</v>
      </c>
      <c r="BL195" s="2299" t="str">
        <f t="shared" ref="BL195:BZ195" si="267">IF(OR(X195="",X195=0),"-",IFERROR((X195/W195-1)*(W197/W$13),"-"))</f>
        <v>-</v>
      </c>
      <c r="BM195" s="1053" t="str">
        <f t="shared" si="267"/>
        <v>-</v>
      </c>
      <c r="BN195" s="1053" t="str">
        <f t="shared" si="267"/>
        <v>-</v>
      </c>
      <c r="BO195" s="2302" t="str">
        <f t="shared" si="267"/>
        <v>-</v>
      </c>
      <c r="BP195" s="1053" t="str">
        <f t="shared" si="267"/>
        <v>-</v>
      </c>
      <c r="BQ195" s="2303" t="str">
        <f t="shared" si="267"/>
        <v>-</v>
      </c>
      <c r="BR195" s="1053" t="str">
        <f t="shared" si="267"/>
        <v>-</v>
      </c>
      <c r="BS195" s="1053" t="str">
        <f t="shared" si="267"/>
        <v>-</v>
      </c>
      <c r="BT195" s="1053" t="str">
        <f t="shared" si="267"/>
        <v>-</v>
      </c>
      <c r="BU195" s="1054" t="str">
        <f t="shared" si="267"/>
        <v>-</v>
      </c>
      <c r="BV195" s="1053" t="str">
        <f t="shared" si="267"/>
        <v>-</v>
      </c>
      <c r="BW195" s="1053" t="str">
        <f t="shared" si="267"/>
        <v>-</v>
      </c>
      <c r="BX195" s="1053" t="str">
        <f t="shared" si="267"/>
        <v>-</v>
      </c>
      <c r="BY195" s="1053" t="str">
        <f t="shared" si="267"/>
        <v>-</v>
      </c>
      <c r="BZ195" s="1054" t="str">
        <f t="shared" si="267"/>
        <v>-</v>
      </c>
      <c r="CA195" s="1048"/>
    </row>
    <row r="196" spans="3:79" x14ac:dyDescent="0.3">
      <c r="C196" s="126"/>
      <c r="D196" s="126"/>
      <c r="E196" s="558" t="s">
        <v>46</v>
      </c>
      <c r="F196" s="2161" t="str">
        <f t="shared" ref="F196:I211" si="268">+F195</f>
        <v>[Service]</v>
      </c>
      <c r="G196" s="2163">
        <f t="shared" si="268"/>
        <v>0</v>
      </c>
      <c r="H196" s="2163">
        <f t="shared" si="268"/>
        <v>0</v>
      </c>
      <c r="I196" s="2164" t="str">
        <f t="shared" si="268"/>
        <v>[Price]</v>
      </c>
      <c r="J196" s="574" t="s">
        <v>323</v>
      </c>
      <c r="K196" s="1973"/>
      <c r="L196" s="1974"/>
      <c r="M196" s="1974"/>
      <c r="N196" s="1975"/>
      <c r="O196" s="1974"/>
      <c r="P196" s="1974"/>
      <c r="Q196" s="1974"/>
      <c r="R196" s="1976"/>
      <c r="S196" s="1975"/>
      <c r="T196" s="1974"/>
      <c r="U196" s="1974"/>
      <c r="V196" s="1974"/>
      <c r="W196" s="1713"/>
      <c r="X196" s="1714"/>
      <c r="Y196" s="1713"/>
      <c r="Z196" s="1713"/>
      <c r="AA196" s="1713"/>
      <c r="AB196" s="1715"/>
      <c r="AC196" s="1713"/>
      <c r="AD196" s="1713"/>
      <c r="AE196" s="1713"/>
      <c r="AF196" s="1713"/>
      <c r="AG196" s="1716"/>
      <c r="AH196" s="1713"/>
      <c r="AI196" s="1713"/>
      <c r="AJ196" s="1713"/>
      <c r="AK196" s="1713"/>
      <c r="AL196" s="1716"/>
      <c r="AM196" s="560"/>
      <c r="AN196" s="991"/>
      <c r="AO196" s="992"/>
      <c r="AP196" s="2285" t="str">
        <f t="shared" si="153"/>
        <v>Qty</v>
      </c>
      <c r="AQ196" s="2286" t="str">
        <f t="shared" si="153"/>
        <v>[Service]</v>
      </c>
      <c r="AR196" s="2287" t="str">
        <f t="shared" si="154"/>
        <v>[Price]</v>
      </c>
      <c r="AS196" s="2288" t="str">
        <f t="shared" si="255"/>
        <v>-</v>
      </c>
      <c r="AT196" s="1720" t="str">
        <f t="shared" si="255"/>
        <v>-</v>
      </c>
      <c r="AU196" s="1720" t="str">
        <f t="shared" si="255"/>
        <v>-</v>
      </c>
      <c r="AV196" s="2289" t="str">
        <f t="shared" si="255"/>
        <v>-</v>
      </c>
      <c r="AW196" s="1720" t="str">
        <f t="shared" si="255"/>
        <v>-</v>
      </c>
      <c r="AX196" s="2290" t="str">
        <f t="shared" si="255"/>
        <v>-</v>
      </c>
      <c r="AY196" s="1720" t="str">
        <f t="shared" si="255"/>
        <v>-</v>
      </c>
      <c r="AZ196" s="1720" t="str">
        <f t="shared" si="255"/>
        <v>-</v>
      </c>
      <c r="BA196" s="1720" t="str">
        <f t="shared" si="255"/>
        <v>-</v>
      </c>
      <c r="BB196" s="1721" t="str">
        <f t="shared" si="255"/>
        <v>-</v>
      </c>
      <c r="BC196" s="1720" t="str">
        <f t="shared" si="255"/>
        <v>-</v>
      </c>
      <c r="BD196" s="1720" t="str">
        <f t="shared" si="255"/>
        <v>-</v>
      </c>
      <c r="BE196" s="1720" t="str">
        <f t="shared" si="255"/>
        <v>-</v>
      </c>
      <c r="BF196" s="1720" t="str">
        <f t="shared" si="255"/>
        <v>-</v>
      </c>
      <c r="BG196" s="1721" t="str">
        <f t="shared" si="255"/>
        <v>-</v>
      </c>
      <c r="BH196" s="1048"/>
      <c r="BI196" s="2285" t="str">
        <f t="shared" si="182"/>
        <v>Qty</v>
      </c>
      <c r="BJ196" s="2286" t="str">
        <f t="shared" si="182"/>
        <v>[Service]</v>
      </c>
      <c r="BK196" s="2287" t="str">
        <f t="shared" si="182"/>
        <v>[Price]</v>
      </c>
      <c r="BL196" s="2288" t="str">
        <f t="shared" ref="BL196:BZ196" si="269">IF(OR(X196="",X196=0),"-",IFERROR((X196/W196-1)*(W197/W$13),"-"))</f>
        <v>-</v>
      </c>
      <c r="BM196" s="1720" t="str">
        <f t="shared" si="269"/>
        <v>-</v>
      </c>
      <c r="BN196" s="1720" t="str">
        <f t="shared" si="269"/>
        <v>-</v>
      </c>
      <c r="BO196" s="2289" t="str">
        <f t="shared" si="269"/>
        <v>-</v>
      </c>
      <c r="BP196" s="1720" t="str">
        <f t="shared" si="269"/>
        <v>-</v>
      </c>
      <c r="BQ196" s="2290" t="str">
        <f t="shared" si="269"/>
        <v>-</v>
      </c>
      <c r="BR196" s="1720" t="str">
        <f t="shared" si="269"/>
        <v>-</v>
      </c>
      <c r="BS196" s="1720" t="str">
        <f t="shared" si="269"/>
        <v>-</v>
      </c>
      <c r="BT196" s="1720" t="str">
        <f t="shared" si="269"/>
        <v>-</v>
      </c>
      <c r="BU196" s="1721" t="str">
        <f t="shared" si="269"/>
        <v>-</v>
      </c>
      <c r="BV196" s="1720" t="str">
        <f t="shared" si="269"/>
        <v>-</v>
      </c>
      <c r="BW196" s="1720" t="str">
        <f t="shared" si="269"/>
        <v>-</v>
      </c>
      <c r="BX196" s="1720" t="str">
        <f t="shared" si="269"/>
        <v>-</v>
      </c>
      <c r="BY196" s="1720" t="str">
        <f t="shared" si="269"/>
        <v>-</v>
      </c>
      <c r="BZ196" s="1721" t="str">
        <f t="shared" si="269"/>
        <v>-</v>
      </c>
      <c r="CA196" s="1048"/>
    </row>
    <row r="197" spans="3:79" ht="12.5" thickBot="1" x14ac:dyDescent="0.35">
      <c r="C197" s="126"/>
      <c r="D197" s="126"/>
      <c r="E197" s="559" t="s">
        <v>47</v>
      </c>
      <c r="F197" s="2162" t="str">
        <f t="shared" ref="F197:I197" si="270">+F195</f>
        <v>[Service]</v>
      </c>
      <c r="G197" s="2165">
        <f t="shared" si="270"/>
        <v>0</v>
      </c>
      <c r="H197" s="2165">
        <f t="shared" si="270"/>
        <v>0</v>
      </c>
      <c r="I197" s="2166" t="str">
        <f t="shared" si="270"/>
        <v>[Price]</v>
      </c>
      <c r="J197" s="2106" t="s">
        <v>347</v>
      </c>
      <c r="K197" s="1977"/>
      <c r="L197" s="1206"/>
      <c r="M197" s="1206"/>
      <c r="N197" s="1978"/>
      <c r="O197" s="1206"/>
      <c r="P197" s="1206"/>
      <c r="Q197" s="1206"/>
      <c r="R197" s="1206"/>
      <c r="S197" s="1978"/>
      <c r="T197" s="1206"/>
      <c r="U197" s="1206"/>
      <c r="V197" s="1206"/>
      <c r="W197" s="1731">
        <f t="shared" ref="W197:AG197" si="271">W195*W196/10^6</f>
        <v>0</v>
      </c>
      <c r="X197" s="1730">
        <f t="shared" si="271"/>
        <v>0</v>
      </c>
      <c r="Y197" s="1731">
        <f t="shared" si="271"/>
        <v>0</v>
      </c>
      <c r="Z197" s="1731">
        <f t="shared" si="271"/>
        <v>0</v>
      </c>
      <c r="AA197" s="1731">
        <f t="shared" si="271"/>
        <v>0</v>
      </c>
      <c r="AB197" s="1733">
        <f t="shared" si="271"/>
        <v>0</v>
      </c>
      <c r="AC197" s="1731">
        <f t="shared" si="271"/>
        <v>0</v>
      </c>
      <c r="AD197" s="1731">
        <f t="shared" si="271"/>
        <v>0</v>
      </c>
      <c r="AE197" s="1731">
        <f t="shared" si="271"/>
        <v>0</v>
      </c>
      <c r="AF197" s="1731">
        <f t="shared" si="271"/>
        <v>0</v>
      </c>
      <c r="AG197" s="1733">
        <f t="shared" si="271"/>
        <v>0</v>
      </c>
      <c r="AH197" s="1731">
        <f>AH195*AH196/10^6</f>
        <v>0</v>
      </c>
      <c r="AI197" s="1731">
        <f>AI195*AI196/10^6</f>
        <v>0</v>
      </c>
      <c r="AJ197" s="1731">
        <f>AJ195*AJ196/10^6</f>
        <v>0</v>
      </c>
      <c r="AK197" s="1731">
        <f>AK195*AK196/10^6</f>
        <v>0</v>
      </c>
      <c r="AL197" s="1733">
        <f>AL195*AL196/10^6</f>
        <v>0</v>
      </c>
      <c r="AM197" s="560"/>
      <c r="AN197" s="991"/>
      <c r="AO197" s="992"/>
      <c r="AP197" s="2304" t="str">
        <f t="shared" ref="AP197:AQ260" si="272">E197</f>
        <v>Rev</v>
      </c>
      <c r="AQ197" s="2305" t="str">
        <f t="shared" si="272"/>
        <v>[Service]</v>
      </c>
      <c r="AR197" s="2306" t="str">
        <f t="shared" ref="AR197:AR260" si="273">I197</f>
        <v>[Price]</v>
      </c>
      <c r="AS197" s="2307" t="str">
        <f t="shared" si="255"/>
        <v>-</v>
      </c>
      <c r="AT197" s="1055" t="str">
        <f t="shared" si="255"/>
        <v>-</v>
      </c>
      <c r="AU197" s="1055" t="str">
        <f t="shared" si="255"/>
        <v>-</v>
      </c>
      <c r="AV197" s="2308" t="str">
        <f t="shared" si="255"/>
        <v>-</v>
      </c>
      <c r="AW197" s="1055" t="str">
        <f t="shared" si="255"/>
        <v>-</v>
      </c>
      <c r="AX197" s="2309" t="str">
        <f t="shared" si="255"/>
        <v>-</v>
      </c>
      <c r="AY197" s="1055" t="str">
        <f t="shared" si="255"/>
        <v>-</v>
      </c>
      <c r="AZ197" s="1055" t="str">
        <f t="shared" si="255"/>
        <v>-</v>
      </c>
      <c r="BA197" s="1055" t="str">
        <f t="shared" si="255"/>
        <v>-</v>
      </c>
      <c r="BB197" s="1056" t="str">
        <f t="shared" si="255"/>
        <v>-</v>
      </c>
      <c r="BC197" s="1055" t="str">
        <f t="shared" si="255"/>
        <v>-</v>
      </c>
      <c r="BD197" s="1055" t="str">
        <f t="shared" si="255"/>
        <v>-</v>
      </c>
      <c r="BE197" s="1055" t="str">
        <f t="shared" si="255"/>
        <v>-</v>
      </c>
      <c r="BF197" s="1055" t="str">
        <f t="shared" si="255"/>
        <v>-</v>
      </c>
      <c r="BG197" s="1056" t="str">
        <f t="shared" si="255"/>
        <v>-</v>
      </c>
      <c r="BH197" s="1048"/>
      <c r="BI197" s="2304" t="str">
        <f t="shared" si="182"/>
        <v>Rev</v>
      </c>
      <c r="BJ197" s="2305" t="str">
        <f t="shared" si="182"/>
        <v>[Service]</v>
      </c>
      <c r="BK197" s="2306" t="str">
        <f t="shared" si="182"/>
        <v>[Price]</v>
      </c>
      <c r="BL197" s="2307" t="str">
        <f t="shared" ref="BL197:BZ197" si="274">IF(OR(X197="",X197=0),"-",IFERROR((X197/W197-1)*(W197/W$13),"-"))</f>
        <v>-</v>
      </c>
      <c r="BM197" s="1055" t="str">
        <f t="shared" si="274"/>
        <v>-</v>
      </c>
      <c r="BN197" s="1055" t="str">
        <f t="shared" si="274"/>
        <v>-</v>
      </c>
      <c r="BO197" s="2308" t="str">
        <f t="shared" si="274"/>
        <v>-</v>
      </c>
      <c r="BP197" s="1055" t="str">
        <f t="shared" si="274"/>
        <v>-</v>
      </c>
      <c r="BQ197" s="2309" t="str">
        <f t="shared" si="274"/>
        <v>-</v>
      </c>
      <c r="BR197" s="1055" t="str">
        <f t="shared" si="274"/>
        <v>-</v>
      </c>
      <c r="BS197" s="1055" t="str">
        <f t="shared" si="274"/>
        <v>-</v>
      </c>
      <c r="BT197" s="1055" t="str">
        <f t="shared" si="274"/>
        <v>-</v>
      </c>
      <c r="BU197" s="1056" t="str">
        <f t="shared" si="274"/>
        <v>-</v>
      </c>
      <c r="BV197" s="1055" t="str">
        <f t="shared" si="274"/>
        <v>-</v>
      </c>
      <c r="BW197" s="1055" t="str">
        <f t="shared" si="274"/>
        <v>-</v>
      </c>
      <c r="BX197" s="1055" t="str">
        <f t="shared" si="274"/>
        <v>-</v>
      </c>
      <c r="BY197" s="1055" t="str">
        <f t="shared" si="274"/>
        <v>-</v>
      </c>
      <c r="BZ197" s="1056" t="str">
        <f t="shared" si="274"/>
        <v>-</v>
      </c>
      <c r="CA197" s="1048"/>
    </row>
    <row r="198" spans="3:79" x14ac:dyDescent="0.3">
      <c r="C198" s="126"/>
      <c r="D198" s="126">
        <f>D195+1</f>
        <v>44</v>
      </c>
      <c r="E198" s="553" t="s">
        <v>45</v>
      </c>
      <c r="F198" s="2105" t="s">
        <v>28</v>
      </c>
      <c r="G198" s="2105"/>
      <c r="H198" s="2105"/>
      <c r="I198" s="573" t="s">
        <v>319</v>
      </c>
      <c r="J198" s="573" t="s">
        <v>348</v>
      </c>
      <c r="K198" s="1969"/>
      <c r="L198" s="1970"/>
      <c r="M198" s="1970"/>
      <c r="N198" s="1971"/>
      <c r="O198" s="1970"/>
      <c r="P198" s="1970"/>
      <c r="Q198" s="1970"/>
      <c r="R198" s="1972"/>
      <c r="S198" s="1971"/>
      <c r="T198" s="1970"/>
      <c r="U198" s="1970"/>
      <c r="V198" s="1970"/>
      <c r="W198" s="1709"/>
      <c r="X198" s="1710"/>
      <c r="Y198" s="1709"/>
      <c r="Z198" s="1709"/>
      <c r="AA198" s="1709"/>
      <c r="AB198" s="1711"/>
      <c r="AC198" s="1709"/>
      <c r="AD198" s="1709"/>
      <c r="AE198" s="1709"/>
      <c r="AF198" s="1709"/>
      <c r="AG198" s="1712"/>
      <c r="AH198" s="1709"/>
      <c r="AI198" s="1709"/>
      <c r="AJ198" s="1709"/>
      <c r="AK198" s="1709"/>
      <c r="AL198" s="1712"/>
      <c r="AM198" s="560"/>
      <c r="AN198" s="1052"/>
      <c r="AO198" s="992"/>
      <c r="AP198" s="2297" t="str">
        <f t="shared" si="272"/>
        <v>Price</v>
      </c>
      <c r="AQ198" s="2298" t="str">
        <f t="shared" si="272"/>
        <v>[Service]</v>
      </c>
      <c r="AR198" s="1719" t="str">
        <f t="shared" si="273"/>
        <v>[Price]</v>
      </c>
      <c r="AS198" s="2299" t="str">
        <f t="shared" si="255"/>
        <v>-</v>
      </c>
      <c r="AT198" s="1728" t="str">
        <f t="shared" si="255"/>
        <v>-</v>
      </c>
      <c r="AU198" s="1728" t="str">
        <f t="shared" si="255"/>
        <v>-</v>
      </c>
      <c r="AV198" s="2300" t="str">
        <f t="shared" si="255"/>
        <v>-</v>
      </c>
      <c r="AW198" s="1728" t="str">
        <f t="shared" si="255"/>
        <v>-</v>
      </c>
      <c r="AX198" s="2301" t="str">
        <f t="shared" si="255"/>
        <v>-</v>
      </c>
      <c r="AY198" s="1728" t="str">
        <f t="shared" si="255"/>
        <v>-</v>
      </c>
      <c r="AZ198" s="1728" t="str">
        <f t="shared" si="255"/>
        <v>-</v>
      </c>
      <c r="BA198" s="1728" t="str">
        <f t="shared" si="255"/>
        <v>-</v>
      </c>
      <c r="BB198" s="1729" t="str">
        <f t="shared" si="255"/>
        <v>-</v>
      </c>
      <c r="BC198" s="1728" t="str">
        <f t="shared" si="255"/>
        <v>-</v>
      </c>
      <c r="BD198" s="1728" t="str">
        <f t="shared" si="255"/>
        <v>-</v>
      </c>
      <c r="BE198" s="1728" t="str">
        <f t="shared" si="255"/>
        <v>-</v>
      </c>
      <c r="BF198" s="1728" t="str">
        <f t="shared" si="255"/>
        <v>-</v>
      </c>
      <c r="BG198" s="1729" t="str">
        <f t="shared" si="255"/>
        <v>-</v>
      </c>
      <c r="BH198" s="1048"/>
      <c r="BI198" s="2297" t="str">
        <f t="shared" si="182"/>
        <v>Price</v>
      </c>
      <c r="BJ198" s="2298" t="str">
        <f t="shared" si="182"/>
        <v>[Service]</v>
      </c>
      <c r="BK198" s="1719" t="str">
        <f t="shared" si="182"/>
        <v>[Price]</v>
      </c>
      <c r="BL198" s="2299" t="str">
        <f t="shared" ref="BL198:BZ198" si="275">IF(OR(X198="",X198=0),"-",IFERROR((X198/W198-1)*(W200/W$13),"-"))</f>
        <v>-</v>
      </c>
      <c r="BM198" s="1053" t="str">
        <f t="shared" si="275"/>
        <v>-</v>
      </c>
      <c r="BN198" s="1053" t="str">
        <f t="shared" si="275"/>
        <v>-</v>
      </c>
      <c r="BO198" s="2302" t="str">
        <f t="shared" si="275"/>
        <v>-</v>
      </c>
      <c r="BP198" s="1053" t="str">
        <f t="shared" si="275"/>
        <v>-</v>
      </c>
      <c r="BQ198" s="2303" t="str">
        <f t="shared" si="275"/>
        <v>-</v>
      </c>
      <c r="BR198" s="1053" t="str">
        <f t="shared" si="275"/>
        <v>-</v>
      </c>
      <c r="BS198" s="1053" t="str">
        <f t="shared" si="275"/>
        <v>-</v>
      </c>
      <c r="BT198" s="1053" t="str">
        <f t="shared" si="275"/>
        <v>-</v>
      </c>
      <c r="BU198" s="1054" t="str">
        <f t="shared" si="275"/>
        <v>-</v>
      </c>
      <c r="BV198" s="1053" t="str">
        <f t="shared" si="275"/>
        <v>-</v>
      </c>
      <c r="BW198" s="1053" t="str">
        <f t="shared" si="275"/>
        <v>-</v>
      </c>
      <c r="BX198" s="1053" t="str">
        <f t="shared" si="275"/>
        <v>-</v>
      </c>
      <c r="BY198" s="1053" t="str">
        <f t="shared" si="275"/>
        <v>-</v>
      </c>
      <c r="BZ198" s="1054" t="str">
        <f t="shared" si="275"/>
        <v>-</v>
      </c>
      <c r="CA198" s="1048"/>
    </row>
    <row r="199" spans="3:79" x14ac:dyDescent="0.3">
      <c r="C199" s="126"/>
      <c r="D199" s="126"/>
      <c r="E199" s="558" t="s">
        <v>46</v>
      </c>
      <c r="F199" s="2161" t="str">
        <f t="shared" si="268"/>
        <v>[Service]</v>
      </c>
      <c r="G199" s="2163">
        <f t="shared" si="268"/>
        <v>0</v>
      </c>
      <c r="H199" s="2163">
        <f t="shared" si="268"/>
        <v>0</v>
      </c>
      <c r="I199" s="2164" t="str">
        <f t="shared" si="268"/>
        <v>[Price]</v>
      </c>
      <c r="J199" s="574" t="s">
        <v>323</v>
      </c>
      <c r="K199" s="1973"/>
      <c r="L199" s="1974"/>
      <c r="M199" s="1974"/>
      <c r="N199" s="1975"/>
      <c r="O199" s="1974"/>
      <c r="P199" s="1974"/>
      <c r="Q199" s="1974"/>
      <c r="R199" s="1976"/>
      <c r="S199" s="1975"/>
      <c r="T199" s="1974"/>
      <c r="U199" s="1974"/>
      <c r="V199" s="1974"/>
      <c r="W199" s="1713"/>
      <c r="X199" s="1714"/>
      <c r="Y199" s="1713"/>
      <c r="Z199" s="1713"/>
      <c r="AA199" s="1713"/>
      <c r="AB199" s="1715"/>
      <c r="AC199" s="1713"/>
      <c r="AD199" s="1713"/>
      <c r="AE199" s="1713"/>
      <c r="AF199" s="1713"/>
      <c r="AG199" s="1716"/>
      <c r="AH199" s="1713"/>
      <c r="AI199" s="1713"/>
      <c r="AJ199" s="1713"/>
      <c r="AK199" s="1713"/>
      <c r="AL199" s="1716"/>
      <c r="AM199" s="560"/>
      <c r="AN199" s="991"/>
      <c r="AO199" s="992"/>
      <c r="AP199" s="2285" t="str">
        <f t="shared" si="272"/>
        <v>Qty</v>
      </c>
      <c r="AQ199" s="2286" t="str">
        <f t="shared" si="272"/>
        <v>[Service]</v>
      </c>
      <c r="AR199" s="2287" t="str">
        <f t="shared" si="273"/>
        <v>[Price]</v>
      </c>
      <c r="AS199" s="2288" t="str">
        <f t="shared" si="255"/>
        <v>-</v>
      </c>
      <c r="AT199" s="1720" t="str">
        <f t="shared" si="255"/>
        <v>-</v>
      </c>
      <c r="AU199" s="1720" t="str">
        <f t="shared" si="255"/>
        <v>-</v>
      </c>
      <c r="AV199" s="2289" t="str">
        <f t="shared" si="255"/>
        <v>-</v>
      </c>
      <c r="AW199" s="1720" t="str">
        <f t="shared" si="255"/>
        <v>-</v>
      </c>
      <c r="AX199" s="2290" t="str">
        <f t="shared" si="255"/>
        <v>-</v>
      </c>
      <c r="AY199" s="1720" t="str">
        <f t="shared" si="255"/>
        <v>-</v>
      </c>
      <c r="AZ199" s="1720" t="str">
        <f t="shared" si="255"/>
        <v>-</v>
      </c>
      <c r="BA199" s="1720" t="str">
        <f t="shared" si="255"/>
        <v>-</v>
      </c>
      <c r="BB199" s="1721" t="str">
        <f t="shared" si="255"/>
        <v>-</v>
      </c>
      <c r="BC199" s="1720" t="str">
        <f t="shared" si="255"/>
        <v>-</v>
      </c>
      <c r="BD199" s="1720" t="str">
        <f t="shared" si="255"/>
        <v>-</v>
      </c>
      <c r="BE199" s="1720" t="str">
        <f t="shared" si="255"/>
        <v>-</v>
      </c>
      <c r="BF199" s="1720" t="str">
        <f t="shared" si="255"/>
        <v>-</v>
      </c>
      <c r="BG199" s="1721" t="str">
        <f t="shared" si="255"/>
        <v>-</v>
      </c>
      <c r="BH199" s="1048"/>
      <c r="BI199" s="2285" t="str">
        <f t="shared" si="182"/>
        <v>Qty</v>
      </c>
      <c r="BJ199" s="2286" t="str">
        <f t="shared" si="182"/>
        <v>[Service]</v>
      </c>
      <c r="BK199" s="2287" t="str">
        <f t="shared" si="182"/>
        <v>[Price]</v>
      </c>
      <c r="BL199" s="2288" t="str">
        <f t="shared" ref="BL199:BZ199" si="276">IF(OR(X199="",X199=0),"-",IFERROR((X199/W199-1)*(W200/W$13),"-"))</f>
        <v>-</v>
      </c>
      <c r="BM199" s="1720" t="str">
        <f t="shared" si="276"/>
        <v>-</v>
      </c>
      <c r="BN199" s="1720" t="str">
        <f t="shared" si="276"/>
        <v>-</v>
      </c>
      <c r="BO199" s="2289" t="str">
        <f t="shared" si="276"/>
        <v>-</v>
      </c>
      <c r="BP199" s="1720" t="str">
        <f t="shared" si="276"/>
        <v>-</v>
      </c>
      <c r="BQ199" s="2290" t="str">
        <f t="shared" si="276"/>
        <v>-</v>
      </c>
      <c r="BR199" s="1720" t="str">
        <f t="shared" si="276"/>
        <v>-</v>
      </c>
      <c r="BS199" s="1720" t="str">
        <f t="shared" si="276"/>
        <v>-</v>
      </c>
      <c r="BT199" s="1720" t="str">
        <f t="shared" si="276"/>
        <v>-</v>
      </c>
      <c r="BU199" s="1721" t="str">
        <f t="shared" si="276"/>
        <v>-</v>
      </c>
      <c r="BV199" s="1720" t="str">
        <f t="shared" si="276"/>
        <v>-</v>
      </c>
      <c r="BW199" s="1720" t="str">
        <f t="shared" si="276"/>
        <v>-</v>
      </c>
      <c r="BX199" s="1720" t="str">
        <f t="shared" si="276"/>
        <v>-</v>
      </c>
      <c r="BY199" s="1720" t="str">
        <f t="shared" si="276"/>
        <v>-</v>
      </c>
      <c r="BZ199" s="1721" t="str">
        <f t="shared" si="276"/>
        <v>-</v>
      </c>
      <c r="CA199" s="1048"/>
    </row>
    <row r="200" spans="3:79" ht="12.5" thickBot="1" x14ac:dyDescent="0.35">
      <c r="C200" s="126"/>
      <c r="D200" s="126"/>
      <c r="E200" s="559" t="s">
        <v>47</v>
      </c>
      <c r="F200" s="2162" t="str">
        <f t="shared" ref="F200:I200" si="277">+F198</f>
        <v>[Service]</v>
      </c>
      <c r="G200" s="2165">
        <f t="shared" si="277"/>
        <v>0</v>
      </c>
      <c r="H200" s="2165">
        <f t="shared" si="277"/>
        <v>0</v>
      </c>
      <c r="I200" s="2166" t="str">
        <f t="shared" si="277"/>
        <v>[Price]</v>
      </c>
      <c r="J200" s="2106" t="s">
        <v>347</v>
      </c>
      <c r="K200" s="1977"/>
      <c r="L200" s="1206"/>
      <c r="M200" s="1206"/>
      <c r="N200" s="1978"/>
      <c r="O200" s="1206"/>
      <c r="P200" s="1206"/>
      <c r="Q200" s="1206"/>
      <c r="R200" s="1206"/>
      <c r="S200" s="1978"/>
      <c r="T200" s="1206"/>
      <c r="U200" s="1206"/>
      <c r="V200" s="1206"/>
      <c r="W200" s="1731">
        <f t="shared" ref="W200:AG200" si="278">W198*W199/10^6</f>
        <v>0</v>
      </c>
      <c r="X200" s="1730">
        <f t="shared" si="278"/>
        <v>0</v>
      </c>
      <c r="Y200" s="1731">
        <f t="shared" si="278"/>
        <v>0</v>
      </c>
      <c r="Z200" s="1731">
        <f t="shared" si="278"/>
        <v>0</v>
      </c>
      <c r="AA200" s="1731">
        <f t="shared" si="278"/>
        <v>0</v>
      </c>
      <c r="AB200" s="1733">
        <f t="shared" si="278"/>
        <v>0</v>
      </c>
      <c r="AC200" s="1731">
        <f t="shared" si="278"/>
        <v>0</v>
      </c>
      <c r="AD200" s="1731">
        <f t="shared" si="278"/>
        <v>0</v>
      </c>
      <c r="AE200" s="1731">
        <f t="shared" si="278"/>
        <v>0</v>
      </c>
      <c r="AF200" s="1731">
        <f t="shared" si="278"/>
        <v>0</v>
      </c>
      <c r="AG200" s="1733">
        <f t="shared" si="278"/>
        <v>0</v>
      </c>
      <c r="AH200" s="1731">
        <f>AH198*AH199/10^6</f>
        <v>0</v>
      </c>
      <c r="AI200" s="1731">
        <f>AI198*AI199/10^6</f>
        <v>0</v>
      </c>
      <c r="AJ200" s="1731">
        <f>AJ198*AJ199/10^6</f>
        <v>0</v>
      </c>
      <c r="AK200" s="1731">
        <f>AK198*AK199/10^6</f>
        <v>0</v>
      </c>
      <c r="AL200" s="1733">
        <f>AL198*AL199/10^6</f>
        <v>0</v>
      </c>
      <c r="AM200" s="560"/>
      <c r="AN200" s="991"/>
      <c r="AO200" s="992"/>
      <c r="AP200" s="2304" t="str">
        <f t="shared" si="272"/>
        <v>Rev</v>
      </c>
      <c r="AQ200" s="2305" t="str">
        <f t="shared" si="272"/>
        <v>[Service]</v>
      </c>
      <c r="AR200" s="2306" t="str">
        <f t="shared" si="273"/>
        <v>[Price]</v>
      </c>
      <c r="AS200" s="2307" t="str">
        <f t="shared" si="255"/>
        <v>-</v>
      </c>
      <c r="AT200" s="1055" t="str">
        <f t="shared" si="255"/>
        <v>-</v>
      </c>
      <c r="AU200" s="1055" t="str">
        <f t="shared" si="255"/>
        <v>-</v>
      </c>
      <c r="AV200" s="2308" t="str">
        <f t="shared" si="255"/>
        <v>-</v>
      </c>
      <c r="AW200" s="1055" t="str">
        <f t="shared" si="255"/>
        <v>-</v>
      </c>
      <c r="AX200" s="2309" t="str">
        <f t="shared" si="255"/>
        <v>-</v>
      </c>
      <c r="AY200" s="1055" t="str">
        <f t="shared" si="255"/>
        <v>-</v>
      </c>
      <c r="AZ200" s="1055" t="str">
        <f t="shared" si="255"/>
        <v>-</v>
      </c>
      <c r="BA200" s="1055" t="str">
        <f t="shared" si="255"/>
        <v>-</v>
      </c>
      <c r="BB200" s="1056" t="str">
        <f t="shared" si="255"/>
        <v>-</v>
      </c>
      <c r="BC200" s="1055" t="str">
        <f t="shared" si="255"/>
        <v>-</v>
      </c>
      <c r="BD200" s="1055" t="str">
        <f t="shared" si="255"/>
        <v>-</v>
      </c>
      <c r="BE200" s="1055" t="str">
        <f t="shared" si="255"/>
        <v>-</v>
      </c>
      <c r="BF200" s="1055" t="str">
        <f t="shared" si="255"/>
        <v>-</v>
      </c>
      <c r="BG200" s="1056" t="str">
        <f t="shared" si="255"/>
        <v>-</v>
      </c>
      <c r="BH200" s="1048"/>
      <c r="BI200" s="2304" t="str">
        <f t="shared" si="182"/>
        <v>Rev</v>
      </c>
      <c r="BJ200" s="2305" t="str">
        <f t="shared" si="182"/>
        <v>[Service]</v>
      </c>
      <c r="BK200" s="2306" t="str">
        <f t="shared" si="182"/>
        <v>[Price]</v>
      </c>
      <c r="BL200" s="2307" t="str">
        <f t="shared" ref="BL200:BZ200" si="279">IF(OR(X200="",X200=0),"-",IFERROR((X200/W200-1)*(W200/W$13),"-"))</f>
        <v>-</v>
      </c>
      <c r="BM200" s="1055" t="str">
        <f t="shared" si="279"/>
        <v>-</v>
      </c>
      <c r="BN200" s="1055" t="str">
        <f t="shared" si="279"/>
        <v>-</v>
      </c>
      <c r="BO200" s="2308" t="str">
        <f t="shared" si="279"/>
        <v>-</v>
      </c>
      <c r="BP200" s="1055" t="str">
        <f t="shared" si="279"/>
        <v>-</v>
      </c>
      <c r="BQ200" s="2309" t="str">
        <f t="shared" si="279"/>
        <v>-</v>
      </c>
      <c r="BR200" s="1055" t="str">
        <f t="shared" si="279"/>
        <v>-</v>
      </c>
      <c r="BS200" s="1055" t="str">
        <f t="shared" si="279"/>
        <v>-</v>
      </c>
      <c r="BT200" s="1055" t="str">
        <f t="shared" si="279"/>
        <v>-</v>
      </c>
      <c r="BU200" s="1056" t="str">
        <f t="shared" si="279"/>
        <v>-</v>
      </c>
      <c r="BV200" s="1055" t="str">
        <f t="shared" si="279"/>
        <v>-</v>
      </c>
      <c r="BW200" s="1055" t="str">
        <f t="shared" si="279"/>
        <v>-</v>
      </c>
      <c r="BX200" s="1055" t="str">
        <f t="shared" si="279"/>
        <v>-</v>
      </c>
      <c r="BY200" s="1055" t="str">
        <f t="shared" si="279"/>
        <v>-</v>
      </c>
      <c r="BZ200" s="1056" t="str">
        <f t="shared" si="279"/>
        <v>-</v>
      </c>
      <c r="CA200" s="1048"/>
    </row>
    <row r="201" spans="3:79" x14ac:dyDescent="0.3">
      <c r="C201" s="126"/>
      <c r="D201" s="126">
        <f>D198+1</f>
        <v>45</v>
      </c>
      <c r="E201" s="553" t="s">
        <v>45</v>
      </c>
      <c r="F201" s="2105" t="s">
        <v>28</v>
      </c>
      <c r="G201" s="2105"/>
      <c r="H201" s="2105"/>
      <c r="I201" s="573" t="s">
        <v>319</v>
      </c>
      <c r="J201" s="573" t="s">
        <v>348</v>
      </c>
      <c r="K201" s="1969"/>
      <c r="L201" s="1970"/>
      <c r="M201" s="1970"/>
      <c r="N201" s="1971"/>
      <c r="O201" s="1970"/>
      <c r="P201" s="1970"/>
      <c r="Q201" s="1970"/>
      <c r="R201" s="1972"/>
      <c r="S201" s="1971"/>
      <c r="T201" s="1970"/>
      <c r="U201" s="1970"/>
      <c r="V201" s="1970"/>
      <c r="W201" s="1709"/>
      <c r="X201" s="1710"/>
      <c r="Y201" s="1709"/>
      <c r="Z201" s="1709"/>
      <c r="AA201" s="1709"/>
      <c r="AB201" s="1711"/>
      <c r="AC201" s="1709"/>
      <c r="AD201" s="1709"/>
      <c r="AE201" s="1709"/>
      <c r="AF201" s="1709"/>
      <c r="AG201" s="1712"/>
      <c r="AH201" s="1709"/>
      <c r="AI201" s="1709"/>
      <c r="AJ201" s="1709"/>
      <c r="AK201" s="1709"/>
      <c r="AL201" s="1712"/>
      <c r="AM201" s="560"/>
      <c r="AN201" s="1052"/>
      <c r="AO201" s="992"/>
      <c r="AP201" s="2297" t="str">
        <f t="shared" si="272"/>
        <v>Price</v>
      </c>
      <c r="AQ201" s="2298" t="str">
        <f t="shared" si="272"/>
        <v>[Service]</v>
      </c>
      <c r="AR201" s="1719" t="str">
        <f t="shared" si="273"/>
        <v>[Price]</v>
      </c>
      <c r="AS201" s="2299" t="str">
        <f t="shared" si="255"/>
        <v>-</v>
      </c>
      <c r="AT201" s="1728" t="str">
        <f t="shared" si="255"/>
        <v>-</v>
      </c>
      <c r="AU201" s="1728" t="str">
        <f t="shared" si="255"/>
        <v>-</v>
      </c>
      <c r="AV201" s="2300" t="str">
        <f t="shared" si="255"/>
        <v>-</v>
      </c>
      <c r="AW201" s="1728" t="str">
        <f t="shared" si="255"/>
        <v>-</v>
      </c>
      <c r="AX201" s="2301" t="str">
        <f t="shared" si="255"/>
        <v>-</v>
      </c>
      <c r="AY201" s="1728" t="str">
        <f t="shared" si="255"/>
        <v>-</v>
      </c>
      <c r="AZ201" s="1728" t="str">
        <f t="shared" si="255"/>
        <v>-</v>
      </c>
      <c r="BA201" s="1728" t="str">
        <f t="shared" si="255"/>
        <v>-</v>
      </c>
      <c r="BB201" s="1729" t="str">
        <f t="shared" si="255"/>
        <v>-</v>
      </c>
      <c r="BC201" s="1728" t="str">
        <f t="shared" si="255"/>
        <v>-</v>
      </c>
      <c r="BD201" s="1728" t="str">
        <f t="shared" si="255"/>
        <v>-</v>
      </c>
      <c r="BE201" s="1728" t="str">
        <f t="shared" si="255"/>
        <v>-</v>
      </c>
      <c r="BF201" s="1728" t="str">
        <f t="shared" si="255"/>
        <v>-</v>
      </c>
      <c r="BG201" s="1729" t="str">
        <f t="shared" si="255"/>
        <v>-</v>
      </c>
      <c r="BH201" s="1048"/>
      <c r="BI201" s="2297" t="str">
        <f t="shared" si="182"/>
        <v>Price</v>
      </c>
      <c r="BJ201" s="2298" t="str">
        <f t="shared" si="182"/>
        <v>[Service]</v>
      </c>
      <c r="BK201" s="1719" t="str">
        <f t="shared" si="182"/>
        <v>[Price]</v>
      </c>
      <c r="BL201" s="2299" t="str">
        <f t="shared" ref="BL201:BZ201" si="280">IF(OR(X201="",X201=0),"-",IFERROR((X201/W201-1)*(W203/W$13),"-"))</f>
        <v>-</v>
      </c>
      <c r="BM201" s="1053" t="str">
        <f t="shared" si="280"/>
        <v>-</v>
      </c>
      <c r="BN201" s="1053" t="str">
        <f t="shared" si="280"/>
        <v>-</v>
      </c>
      <c r="BO201" s="2302" t="str">
        <f t="shared" si="280"/>
        <v>-</v>
      </c>
      <c r="BP201" s="1053" t="str">
        <f t="shared" si="280"/>
        <v>-</v>
      </c>
      <c r="BQ201" s="2303" t="str">
        <f t="shared" si="280"/>
        <v>-</v>
      </c>
      <c r="BR201" s="1053" t="str">
        <f t="shared" si="280"/>
        <v>-</v>
      </c>
      <c r="BS201" s="1053" t="str">
        <f t="shared" si="280"/>
        <v>-</v>
      </c>
      <c r="BT201" s="1053" t="str">
        <f t="shared" si="280"/>
        <v>-</v>
      </c>
      <c r="BU201" s="1054" t="str">
        <f t="shared" si="280"/>
        <v>-</v>
      </c>
      <c r="BV201" s="1053" t="str">
        <f t="shared" si="280"/>
        <v>-</v>
      </c>
      <c r="BW201" s="1053" t="str">
        <f t="shared" si="280"/>
        <v>-</v>
      </c>
      <c r="BX201" s="1053" t="str">
        <f t="shared" si="280"/>
        <v>-</v>
      </c>
      <c r="BY201" s="1053" t="str">
        <f t="shared" si="280"/>
        <v>-</v>
      </c>
      <c r="BZ201" s="1054" t="str">
        <f t="shared" si="280"/>
        <v>-</v>
      </c>
      <c r="CA201" s="1048"/>
    </row>
    <row r="202" spans="3:79" x14ac:dyDescent="0.3">
      <c r="C202" s="126"/>
      <c r="D202" s="126"/>
      <c r="E202" s="558" t="s">
        <v>46</v>
      </c>
      <c r="F202" s="2161" t="str">
        <f t="shared" si="268"/>
        <v>[Service]</v>
      </c>
      <c r="G202" s="2163">
        <f t="shared" si="268"/>
        <v>0</v>
      </c>
      <c r="H202" s="2163">
        <f t="shared" si="268"/>
        <v>0</v>
      </c>
      <c r="I202" s="2164" t="str">
        <f t="shared" si="268"/>
        <v>[Price]</v>
      </c>
      <c r="J202" s="574" t="s">
        <v>323</v>
      </c>
      <c r="K202" s="1973"/>
      <c r="L202" s="1974"/>
      <c r="M202" s="1974"/>
      <c r="N202" s="1975"/>
      <c r="O202" s="1974"/>
      <c r="P202" s="1974"/>
      <c r="Q202" s="1974"/>
      <c r="R202" s="1976"/>
      <c r="S202" s="1975"/>
      <c r="T202" s="1974"/>
      <c r="U202" s="1974"/>
      <c r="V202" s="1974"/>
      <c r="W202" s="1713"/>
      <c r="X202" s="1714"/>
      <c r="Y202" s="1713"/>
      <c r="Z202" s="1713"/>
      <c r="AA202" s="1713"/>
      <c r="AB202" s="1715"/>
      <c r="AC202" s="1713"/>
      <c r="AD202" s="1713"/>
      <c r="AE202" s="1713"/>
      <c r="AF202" s="1713"/>
      <c r="AG202" s="1716"/>
      <c r="AH202" s="1713"/>
      <c r="AI202" s="1713"/>
      <c r="AJ202" s="1713"/>
      <c r="AK202" s="1713"/>
      <c r="AL202" s="1716"/>
      <c r="AM202" s="560"/>
      <c r="AN202" s="991"/>
      <c r="AO202" s="992"/>
      <c r="AP202" s="2285" t="str">
        <f t="shared" si="272"/>
        <v>Qty</v>
      </c>
      <c r="AQ202" s="2286" t="str">
        <f t="shared" si="272"/>
        <v>[Service]</v>
      </c>
      <c r="AR202" s="2287" t="str">
        <f t="shared" si="273"/>
        <v>[Price]</v>
      </c>
      <c r="AS202" s="2288" t="str">
        <f t="shared" si="255"/>
        <v>-</v>
      </c>
      <c r="AT202" s="1720" t="str">
        <f t="shared" si="255"/>
        <v>-</v>
      </c>
      <c r="AU202" s="1720" t="str">
        <f t="shared" si="255"/>
        <v>-</v>
      </c>
      <c r="AV202" s="2289" t="str">
        <f t="shared" si="255"/>
        <v>-</v>
      </c>
      <c r="AW202" s="1720" t="str">
        <f t="shared" si="255"/>
        <v>-</v>
      </c>
      <c r="AX202" s="2290" t="str">
        <f t="shared" si="255"/>
        <v>-</v>
      </c>
      <c r="AY202" s="1720" t="str">
        <f t="shared" si="255"/>
        <v>-</v>
      </c>
      <c r="AZ202" s="1720" t="str">
        <f t="shared" si="255"/>
        <v>-</v>
      </c>
      <c r="BA202" s="1720" t="str">
        <f t="shared" si="255"/>
        <v>-</v>
      </c>
      <c r="BB202" s="1721" t="str">
        <f t="shared" si="255"/>
        <v>-</v>
      </c>
      <c r="BC202" s="1720" t="str">
        <f t="shared" si="255"/>
        <v>-</v>
      </c>
      <c r="BD202" s="1720" t="str">
        <f t="shared" si="255"/>
        <v>-</v>
      </c>
      <c r="BE202" s="1720" t="str">
        <f t="shared" si="255"/>
        <v>-</v>
      </c>
      <c r="BF202" s="1720" t="str">
        <f t="shared" si="255"/>
        <v>-</v>
      </c>
      <c r="BG202" s="1721" t="str">
        <f t="shared" si="255"/>
        <v>-</v>
      </c>
      <c r="BH202" s="1048"/>
      <c r="BI202" s="2285" t="str">
        <f t="shared" si="182"/>
        <v>Qty</v>
      </c>
      <c r="BJ202" s="2286" t="str">
        <f t="shared" si="182"/>
        <v>[Service]</v>
      </c>
      <c r="BK202" s="2287" t="str">
        <f t="shared" si="182"/>
        <v>[Price]</v>
      </c>
      <c r="BL202" s="2288" t="str">
        <f t="shared" ref="BL202:BZ202" si="281">IF(OR(X202="",X202=0),"-",IFERROR((X202/W202-1)*(W203/W$13),"-"))</f>
        <v>-</v>
      </c>
      <c r="BM202" s="1720" t="str">
        <f t="shared" si="281"/>
        <v>-</v>
      </c>
      <c r="BN202" s="1720" t="str">
        <f t="shared" si="281"/>
        <v>-</v>
      </c>
      <c r="BO202" s="2289" t="str">
        <f t="shared" si="281"/>
        <v>-</v>
      </c>
      <c r="BP202" s="1720" t="str">
        <f t="shared" si="281"/>
        <v>-</v>
      </c>
      <c r="BQ202" s="2290" t="str">
        <f t="shared" si="281"/>
        <v>-</v>
      </c>
      <c r="BR202" s="1720" t="str">
        <f t="shared" si="281"/>
        <v>-</v>
      </c>
      <c r="BS202" s="1720" t="str">
        <f t="shared" si="281"/>
        <v>-</v>
      </c>
      <c r="BT202" s="1720" t="str">
        <f t="shared" si="281"/>
        <v>-</v>
      </c>
      <c r="BU202" s="1721" t="str">
        <f t="shared" si="281"/>
        <v>-</v>
      </c>
      <c r="BV202" s="1720" t="str">
        <f t="shared" si="281"/>
        <v>-</v>
      </c>
      <c r="BW202" s="1720" t="str">
        <f t="shared" si="281"/>
        <v>-</v>
      </c>
      <c r="BX202" s="1720" t="str">
        <f t="shared" si="281"/>
        <v>-</v>
      </c>
      <c r="BY202" s="1720" t="str">
        <f t="shared" si="281"/>
        <v>-</v>
      </c>
      <c r="BZ202" s="1721" t="str">
        <f t="shared" si="281"/>
        <v>-</v>
      </c>
      <c r="CA202" s="1048"/>
    </row>
    <row r="203" spans="3:79" ht="12.5" thickBot="1" x14ac:dyDescent="0.35">
      <c r="C203" s="126"/>
      <c r="D203" s="126"/>
      <c r="E203" s="559" t="s">
        <v>47</v>
      </c>
      <c r="F203" s="2162" t="str">
        <f t="shared" ref="F203:I203" si="282">+F201</f>
        <v>[Service]</v>
      </c>
      <c r="G203" s="2165">
        <f t="shared" si="282"/>
        <v>0</v>
      </c>
      <c r="H203" s="2165">
        <f t="shared" si="282"/>
        <v>0</v>
      </c>
      <c r="I203" s="2166" t="str">
        <f t="shared" si="282"/>
        <v>[Price]</v>
      </c>
      <c r="J203" s="2106" t="s">
        <v>347</v>
      </c>
      <c r="K203" s="1977"/>
      <c r="L203" s="1206"/>
      <c r="M203" s="1206"/>
      <c r="N203" s="1978"/>
      <c r="O203" s="1206"/>
      <c r="P203" s="1206"/>
      <c r="Q203" s="1206"/>
      <c r="R203" s="1206"/>
      <c r="S203" s="1978"/>
      <c r="T203" s="1206"/>
      <c r="U203" s="1206"/>
      <c r="V203" s="1206"/>
      <c r="W203" s="1731">
        <f t="shared" ref="W203:AG203" si="283">W201*W202/10^6</f>
        <v>0</v>
      </c>
      <c r="X203" s="1730">
        <f t="shared" si="283"/>
        <v>0</v>
      </c>
      <c r="Y203" s="1731">
        <f t="shared" si="283"/>
        <v>0</v>
      </c>
      <c r="Z203" s="1731">
        <f t="shared" si="283"/>
        <v>0</v>
      </c>
      <c r="AA203" s="1731">
        <f t="shared" si="283"/>
        <v>0</v>
      </c>
      <c r="AB203" s="1733">
        <f t="shared" si="283"/>
        <v>0</v>
      </c>
      <c r="AC203" s="1731">
        <f t="shared" si="283"/>
        <v>0</v>
      </c>
      <c r="AD203" s="1731">
        <f t="shared" si="283"/>
        <v>0</v>
      </c>
      <c r="AE203" s="1731">
        <f t="shared" si="283"/>
        <v>0</v>
      </c>
      <c r="AF203" s="1731">
        <f t="shared" si="283"/>
        <v>0</v>
      </c>
      <c r="AG203" s="1733">
        <f t="shared" si="283"/>
        <v>0</v>
      </c>
      <c r="AH203" s="1731">
        <f>AH201*AH202/10^6</f>
        <v>0</v>
      </c>
      <c r="AI203" s="1731">
        <f>AI201*AI202/10^6</f>
        <v>0</v>
      </c>
      <c r="AJ203" s="1731">
        <f>AJ201*AJ202/10^6</f>
        <v>0</v>
      </c>
      <c r="AK203" s="1731">
        <f>AK201*AK202/10^6</f>
        <v>0</v>
      </c>
      <c r="AL203" s="1733">
        <f>AL201*AL202/10^6</f>
        <v>0</v>
      </c>
      <c r="AM203" s="560"/>
      <c r="AN203" s="991"/>
      <c r="AO203" s="992"/>
      <c r="AP203" s="2304" t="str">
        <f t="shared" si="272"/>
        <v>Rev</v>
      </c>
      <c r="AQ203" s="2305" t="str">
        <f t="shared" si="272"/>
        <v>[Service]</v>
      </c>
      <c r="AR203" s="2306" t="str">
        <f t="shared" si="273"/>
        <v>[Price]</v>
      </c>
      <c r="AS203" s="2307" t="str">
        <f t="shared" si="255"/>
        <v>-</v>
      </c>
      <c r="AT203" s="1055" t="str">
        <f t="shared" si="255"/>
        <v>-</v>
      </c>
      <c r="AU203" s="1055" t="str">
        <f t="shared" si="255"/>
        <v>-</v>
      </c>
      <c r="AV203" s="2308" t="str">
        <f t="shared" si="255"/>
        <v>-</v>
      </c>
      <c r="AW203" s="1055" t="str">
        <f t="shared" si="255"/>
        <v>-</v>
      </c>
      <c r="AX203" s="2309" t="str">
        <f t="shared" si="255"/>
        <v>-</v>
      </c>
      <c r="AY203" s="1055" t="str">
        <f t="shared" si="255"/>
        <v>-</v>
      </c>
      <c r="AZ203" s="1055" t="str">
        <f t="shared" si="255"/>
        <v>-</v>
      </c>
      <c r="BA203" s="1055" t="str">
        <f t="shared" si="255"/>
        <v>-</v>
      </c>
      <c r="BB203" s="1056" t="str">
        <f t="shared" si="255"/>
        <v>-</v>
      </c>
      <c r="BC203" s="1055" t="str">
        <f t="shared" si="255"/>
        <v>-</v>
      </c>
      <c r="BD203" s="1055" t="str">
        <f t="shared" si="255"/>
        <v>-</v>
      </c>
      <c r="BE203" s="1055" t="str">
        <f t="shared" si="255"/>
        <v>-</v>
      </c>
      <c r="BF203" s="1055" t="str">
        <f t="shared" si="255"/>
        <v>-</v>
      </c>
      <c r="BG203" s="1056" t="str">
        <f t="shared" si="255"/>
        <v>-</v>
      </c>
      <c r="BH203" s="1048"/>
      <c r="BI203" s="2304" t="str">
        <f t="shared" si="182"/>
        <v>Rev</v>
      </c>
      <c r="BJ203" s="2305" t="str">
        <f t="shared" si="182"/>
        <v>[Service]</v>
      </c>
      <c r="BK203" s="2306" t="str">
        <f t="shared" si="182"/>
        <v>[Price]</v>
      </c>
      <c r="BL203" s="2307" t="str">
        <f t="shared" ref="BL203:BZ203" si="284">IF(OR(X203="",X203=0),"-",IFERROR((X203/W203-1)*(W203/W$13),"-"))</f>
        <v>-</v>
      </c>
      <c r="BM203" s="1055" t="str">
        <f t="shared" si="284"/>
        <v>-</v>
      </c>
      <c r="BN203" s="1055" t="str">
        <f t="shared" si="284"/>
        <v>-</v>
      </c>
      <c r="BO203" s="2308" t="str">
        <f t="shared" si="284"/>
        <v>-</v>
      </c>
      <c r="BP203" s="1055" t="str">
        <f t="shared" si="284"/>
        <v>-</v>
      </c>
      <c r="BQ203" s="2309" t="str">
        <f t="shared" si="284"/>
        <v>-</v>
      </c>
      <c r="BR203" s="1055" t="str">
        <f t="shared" si="284"/>
        <v>-</v>
      </c>
      <c r="BS203" s="1055" t="str">
        <f t="shared" si="284"/>
        <v>-</v>
      </c>
      <c r="BT203" s="1055" t="str">
        <f t="shared" si="284"/>
        <v>-</v>
      </c>
      <c r="BU203" s="1056" t="str">
        <f t="shared" si="284"/>
        <v>-</v>
      </c>
      <c r="BV203" s="1055" t="str">
        <f t="shared" si="284"/>
        <v>-</v>
      </c>
      <c r="BW203" s="1055" t="str">
        <f t="shared" si="284"/>
        <v>-</v>
      </c>
      <c r="BX203" s="1055" t="str">
        <f t="shared" si="284"/>
        <v>-</v>
      </c>
      <c r="BY203" s="1055" t="str">
        <f t="shared" si="284"/>
        <v>-</v>
      </c>
      <c r="BZ203" s="1056" t="str">
        <f t="shared" si="284"/>
        <v>-</v>
      </c>
      <c r="CA203" s="1048"/>
    </row>
    <row r="204" spans="3:79" x14ac:dyDescent="0.3">
      <c r="C204" s="126"/>
      <c r="D204" s="126">
        <f>D201+1</f>
        <v>46</v>
      </c>
      <c r="E204" s="553" t="s">
        <v>45</v>
      </c>
      <c r="F204" s="2105" t="s">
        <v>28</v>
      </c>
      <c r="G204" s="2105"/>
      <c r="H204" s="2105"/>
      <c r="I204" s="573" t="s">
        <v>319</v>
      </c>
      <c r="J204" s="573" t="s">
        <v>348</v>
      </c>
      <c r="K204" s="1969"/>
      <c r="L204" s="1970"/>
      <c r="M204" s="1970"/>
      <c r="N204" s="1971"/>
      <c r="O204" s="1970"/>
      <c r="P204" s="1970"/>
      <c r="Q204" s="1970"/>
      <c r="R204" s="1972"/>
      <c r="S204" s="1971"/>
      <c r="T204" s="1970"/>
      <c r="U204" s="1970"/>
      <c r="V204" s="1970"/>
      <c r="W204" s="1709"/>
      <c r="X204" s="1710"/>
      <c r="Y204" s="1709"/>
      <c r="Z204" s="1709"/>
      <c r="AA204" s="1709"/>
      <c r="AB204" s="1711"/>
      <c r="AC204" s="1709"/>
      <c r="AD204" s="1709"/>
      <c r="AE204" s="1709"/>
      <c r="AF204" s="1709"/>
      <c r="AG204" s="1712"/>
      <c r="AH204" s="1709"/>
      <c r="AI204" s="1709"/>
      <c r="AJ204" s="1709"/>
      <c r="AK204" s="1709"/>
      <c r="AL204" s="1712"/>
      <c r="AM204" s="560"/>
      <c r="AN204" s="1052"/>
      <c r="AO204" s="992"/>
      <c r="AP204" s="2297" t="str">
        <f t="shared" si="272"/>
        <v>Price</v>
      </c>
      <c r="AQ204" s="2298" t="str">
        <f t="shared" si="272"/>
        <v>[Service]</v>
      </c>
      <c r="AR204" s="1719" t="str">
        <f t="shared" si="273"/>
        <v>[Price]</v>
      </c>
      <c r="AS204" s="2299" t="str">
        <f t="shared" si="255"/>
        <v>-</v>
      </c>
      <c r="AT204" s="1728" t="str">
        <f t="shared" si="255"/>
        <v>-</v>
      </c>
      <c r="AU204" s="1728" t="str">
        <f t="shared" si="255"/>
        <v>-</v>
      </c>
      <c r="AV204" s="2300" t="str">
        <f t="shared" si="255"/>
        <v>-</v>
      </c>
      <c r="AW204" s="1728" t="str">
        <f t="shared" si="255"/>
        <v>-</v>
      </c>
      <c r="AX204" s="2301" t="str">
        <f t="shared" si="255"/>
        <v>-</v>
      </c>
      <c r="AY204" s="1728" t="str">
        <f t="shared" si="255"/>
        <v>-</v>
      </c>
      <c r="AZ204" s="1728" t="str">
        <f t="shared" si="255"/>
        <v>-</v>
      </c>
      <c r="BA204" s="1728" t="str">
        <f t="shared" si="255"/>
        <v>-</v>
      </c>
      <c r="BB204" s="1729" t="str">
        <f t="shared" si="255"/>
        <v>-</v>
      </c>
      <c r="BC204" s="1728" t="str">
        <f t="shared" si="255"/>
        <v>-</v>
      </c>
      <c r="BD204" s="1728" t="str">
        <f t="shared" si="255"/>
        <v>-</v>
      </c>
      <c r="BE204" s="1728" t="str">
        <f t="shared" si="255"/>
        <v>-</v>
      </c>
      <c r="BF204" s="1728" t="str">
        <f t="shared" si="255"/>
        <v>-</v>
      </c>
      <c r="BG204" s="1729" t="str">
        <f t="shared" si="255"/>
        <v>-</v>
      </c>
      <c r="BH204" s="1048"/>
      <c r="BI204" s="2297" t="str">
        <f t="shared" si="182"/>
        <v>Price</v>
      </c>
      <c r="BJ204" s="2298" t="str">
        <f t="shared" si="182"/>
        <v>[Service]</v>
      </c>
      <c r="BK204" s="1719" t="str">
        <f t="shared" si="182"/>
        <v>[Price]</v>
      </c>
      <c r="BL204" s="2299" t="str">
        <f t="shared" ref="BL204:BZ204" si="285">IF(OR(X204="",X204=0),"-",IFERROR((X204/W204-1)*(W206/W$13),"-"))</f>
        <v>-</v>
      </c>
      <c r="BM204" s="1053" t="str">
        <f t="shared" si="285"/>
        <v>-</v>
      </c>
      <c r="BN204" s="1053" t="str">
        <f t="shared" si="285"/>
        <v>-</v>
      </c>
      <c r="BO204" s="2302" t="str">
        <f t="shared" si="285"/>
        <v>-</v>
      </c>
      <c r="BP204" s="1053" t="str">
        <f t="shared" si="285"/>
        <v>-</v>
      </c>
      <c r="BQ204" s="2303" t="str">
        <f t="shared" si="285"/>
        <v>-</v>
      </c>
      <c r="BR204" s="1053" t="str">
        <f t="shared" si="285"/>
        <v>-</v>
      </c>
      <c r="BS204" s="1053" t="str">
        <f t="shared" si="285"/>
        <v>-</v>
      </c>
      <c r="BT204" s="1053" t="str">
        <f t="shared" si="285"/>
        <v>-</v>
      </c>
      <c r="BU204" s="1054" t="str">
        <f t="shared" si="285"/>
        <v>-</v>
      </c>
      <c r="BV204" s="1053" t="str">
        <f t="shared" si="285"/>
        <v>-</v>
      </c>
      <c r="BW204" s="1053" t="str">
        <f t="shared" si="285"/>
        <v>-</v>
      </c>
      <c r="BX204" s="1053" t="str">
        <f t="shared" si="285"/>
        <v>-</v>
      </c>
      <c r="BY204" s="1053" t="str">
        <f t="shared" si="285"/>
        <v>-</v>
      </c>
      <c r="BZ204" s="1054" t="str">
        <f t="shared" si="285"/>
        <v>-</v>
      </c>
      <c r="CA204" s="1048"/>
    </row>
    <row r="205" spans="3:79" x14ac:dyDescent="0.3">
      <c r="C205" s="126"/>
      <c r="D205" s="126"/>
      <c r="E205" s="558" t="s">
        <v>46</v>
      </c>
      <c r="F205" s="2161" t="str">
        <f t="shared" si="268"/>
        <v>[Service]</v>
      </c>
      <c r="G205" s="2163">
        <f t="shared" si="268"/>
        <v>0</v>
      </c>
      <c r="H205" s="2163">
        <f t="shared" si="268"/>
        <v>0</v>
      </c>
      <c r="I205" s="2164" t="str">
        <f t="shared" si="268"/>
        <v>[Price]</v>
      </c>
      <c r="J205" s="574" t="s">
        <v>323</v>
      </c>
      <c r="K205" s="1973"/>
      <c r="L205" s="1974"/>
      <c r="M205" s="1974"/>
      <c r="N205" s="1975"/>
      <c r="O205" s="1974"/>
      <c r="P205" s="1974"/>
      <c r="Q205" s="1974"/>
      <c r="R205" s="1976"/>
      <c r="S205" s="1975"/>
      <c r="T205" s="1974"/>
      <c r="U205" s="1974"/>
      <c r="V205" s="1974"/>
      <c r="W205" s="1713"/>
      <c r="X205" s="1714"/>
      <c r="Y205" s="1713"/>
      <c r="Z205" s="1713"/>
      <c r="AA205" s="1713"/>
      <c r="AB205" s="1715"/>
      <c r="AC205" s="1713"/>
      <c r="AD205" s="1713"/>
      <c r="AE205" s="1713"/>
      <c r="AF205" s="1713"/>
      <c r="AG205" s="1716"/>
      <c r="AH205" s="1713"/>
      <c r="AI205" s="1713"/>
      <c r="AJ205" s="1713"/>
      <c r="AK205" s="1713"/>
      <c r="AL205" s="1716"/>
      <c r="AM205" s="560"/>
      <c r="AN205" s="991"/>
      <c r="AO205" s="992"/>
      <c r="AP205" s="2285" t="str">
        <f t="shared" si="272"/>
        <v>Qty</v>
      </c>
      <c r="AQ205" s="2286" t="str">
        <f t="shared" si="272"/>
        <v>[Service]</v>
      </c>
      <c r="AR205" s="2287" t="str">
        <f t="shared" si="273"/>
        <v>[Price]</v>
      </c>
      <c r="AS205" s="2288" t="str">
        <f t="shared" ref="AS205:BG221" si="286">IF(OR(X205="",X205=0),"-",IFERROR(X205/W205-1,"-"))</f>
        <v>-</v>
      </c>
      <c r="AT205" s="1720" t="str">
        <f t="shared" si="286"/>
        <v>-</v>
      </c>
      <c r="AU205" s="1720" t="str">
        <f t="shared" si="286"/>
        <v>-</v>
      </c>
      <c r="AV205" s="2289" t="str">
        <f t="shared" si="286"/>
        <v>-</v>
      </c>
      <c r="AW205" s="1720" t="str">
        <f t="shared" si="286"/>
        <v>-</v>
      </c>
      <c r="AX205" s="2290" t="str">
        <f t="shared" si="286"/>
        <v>-</v>
      </c>
      <c r="AY205" s="1720" t="str">
        <f t="shared" si="286"/>
        <v>-</v>
      </c>
      <c r="AZ205" s="1720" t="str">
        <f t="shared" si="286"/>
        <v>-</v>
      </c>
      <c r="BA205" s="1720" t="str">
        <f t="shared" si="286"/>
        <v>-</v>
      </c>
      <c r="BB205" s="1721" t="str">
        <f t="shared" si="286"/>
        <v>-</v>
      </c>
      <c r="BC205" s="1720" t="str">
        <f t="shared" si="286"/>
        <v>-</v>
      </c>
      <c r="BD205" s="1720" t="str">
        <f t="shared" si="286"/>
        <v>-</v>
      </c>
      <c r="BE205" s="1720" t="str">
        <f t="shared" si="286"/>
        <v>-</v>
      </c>
      <c r="BF205" s="1720" t="str">
        <f t="shared" si="286"/>
        <v>-</v>
      </c>
      <c r="BG205" s="1721" t="str">
        <f t="shared" si="286"/>
        <v>-</v>
      </c>
      <c r="BH205" s="1048"/>
      <c r="BI205" s="2285" t="str">
        <f t="shared" si="182"/>
        <v>Qty</v>
      </c>
      <c r="BJ205" s="2286" t="str">
        <f t="shared" si="182"/>
        <v>[Service]</v>
      </c>
      <c r="BK205" s="2287" t="str">
        <f t="shared" si="182"/>
        <v>[Price]</v>
      </c>
      <c r="BL205" s="2288" t="str">
        <f t="shared" ref="BL205:BZ205" si="287">IF(OR(X205="",X205=0),"-",IFERROR((X205/W205-1)*(W206/W$13),"-"))</f>
        <v>-</v>
      </c>
      <c r="BM205" s="1720" t="str">
        <f t="shared" si="287"/>
        <v>-</v>
      </c>
      <c r="BN205" s="1720" t="str">
        <f t="shared" si="287"/>
        <v>-</v>
      </c>
      <c r="BO205" s="2289" t="str">
        <f t="shared" si="287"/>
        <v>-</v>
      </c>
      <c r="BP205" s="1720" t="str">
        <f t="shared" si="287"/>
        <v>-</v>
      </c>
      <c r="BQ205" s="2290" t="str">
        <f t="shared" si="287"/>
        <v>-</v>
      </c>
      <c r="BR205" s="1720" t="str">
        <f t="shared" si="287"/>
        <v>-</v>
      </c>
      <c r="BS205" s="1720" t="str">
        <f t="shared" si="287"/>
        <v>-</v>
      </c>
      <c r="BT205" s="1720" t="str">
        <f t="shared" si="287"/>
        <v>-</v>
      </c>
      <c r="BU205" s="1721" t="str">
        <f t="shared" si="287"/>
        <v>-</v>
      </c>
      <c r="BV205" s="1720" t="str">
        <f t="shared" si="287"/>
        <v>-</v>
      </c>
      <c r="BW205" s="1720" t="str">
        <f t="shared" si="287"/>
        <v>-</v>
      </c>
      <c r="BX205" s="1720" t="str">
        <f t="shared" si="287"/>
        <v>-</v>
      </c>
      <c r="BY205" s="1720" t="str">
        <f t="shared" si="287"/>
        <v>-</v>
      </c>
      <c r="BZ205" s="1721" t="str">
        <f t="shared" si="287"/>
        <v>-</v>
      </c>
      <c r="CA205" s="1048"/>
    </row>
    <row r="206" spans="3:79" ht="12.5" thickBot="1" x14ac:dyDescent="0.35">
      <c r="C206" s="126"/>
      <c r="D206" s="126"/>
      <c r="E206" s="559" t="s">
        <v>47</v>
      </c>
      <c r="F206" s="2162" t="str">
        <f t="shared" ref="F206:I206" si="288">+F204</f>
        <v>[Service]</v>
      </c>
      <c r="G206" s="2165">
        <f t="shared" si="288"/>
        <v>0</v>
      </c>
      <c r="H206" s="2165">
        <f t="shared" si="288"/>
        <v>0</v>
      </c>
      <c r="I206" s="2166" t="str">
        <f t="shared" si="288"/>
        <v>[Price]</v>
      </c>
      <c r="J206" s="2106" t="s">
        <v>347</v>
      </c>
      <c r="K206" s="1977"/>
      <c r="L206" s="1206"/>
      <c r="M206" s="1206"/>
      <c r="N206" s="1978"/>
      <c r="O206" s="1206"/>
      <c r="P206" s="1206"/>
      <c r="Q206" s="1206"/>
      <c r="R206" s="1206"/>
      <c r="S206" s="1978"/>
      <c r="T206" s="1206"/>
      <c r="U206" s="1206"/>
      <c r="V206" s="1206"/>
      <c r="W206" s="1731">
        <f t="shared" ref="W206:AG206" si="289">W204*W205/10^6</f>
        <v>0</v>
      </c>
      <c r="X206" s="1730">
        <f t="shared" si="289"/>
        <v>0</v>
      </c>
      <c r="Y206" s="1731">
        <f t="shared" si="289"/>
        <v>0</v>
      </c>
      <c r="Z206" s="1731">
        <f t="shared" si="289"/>
        <v>0</v>
      </c>
      <c r="AA206" s="1731">
        <f t="shared" si="289"/>
        <v>0</v>
      </c>
      <c r="AB206" s="1733">
        <f t="shared" si="289"/>
        <v>0</v>
      </c>
      <c r="AC206" s="1731">
        <f t="shared" si="289"/>
        <v>0</v>
      </c>
      <c r="AD206" s="1731">
        <f t="shared" si="289"/>
        <v>0</v>
      </c>
      <c r="AE206" s="1731">
        <f t="shared" si="289"/>
        <v>0</v>
      </c>
      <c r="AF206" s="1731">
        <f t="shared" si="289"/>
        <v>0</v>
      </c>
      <c r="AG206" s="1733">
        <f t="shared" si="289"/>
        <v>0</v>
      </c>
      <c r="AH206" s="1731">
        <f>AH204*AH205/10^6</f>
        <v>0</v>
      </c>
      <c r="AI206" s="1731">
        <f>AI204*AI205/10^6</f>
        <v>0</v>
      </c>
      <c r="AJ206" s="1731">
        <f>AJ204*AJ205/10^6</f>
        <v>0</v>
      </c>
      <c r="AK206" s="1731">
        <f>AK204*AK205/10^6</f>
        <v>0</v>
      </c>
      <c r="AL206" s="1733">
        <f>AL204*AL205/10^6</f>
        <v>0</v>
      </c>
      <c r="AM206" s="560"/>
      <c r="AN206" s="991"/>
      <c r="AO206" s="992"/>
      <c r="AP206" s="2304" t="str">
        <f t="shared" si="272"/>
        <v>Rev</v>
      </c>
      <c r="AQ206" s="2305" t="str">
        <f t="shared" si="272"/>
        <v>[Service]</v>
      </c>
      <c r="AR206" s="2306" t="str">
        <f t="shared" si="273"/>
        <v>[Price]</v>
      </c>
      <c r="AS206" s="2307" t="str">
        <f t="shared" si="286"/>
        <v>-</v>
      </c>
      <c r="AT206" s="1055" t="str">
        <f t="shared" si="286"/>
        <v>-</v>
      </c>
      <c r="AU206" s="1055" t="str">
        <f t="shared" si="286"/>
        <v>-</v>
      </c>
      <c r="AV206" s="2308" t="str">
        <f t="shared" si="286"/>
        <v>-</v>
      </c>
      <c r="AW206" s="1055" t="str">
        <f t="shared" si="286"/>
        <v>-</v>
      </c>
      <c r="AX206" s="2309" t="str">
        <f t="shared" si="286"/>
        <v>-</v>
      </c>
      <c r="AY206" s="1055" t="str">
        <f t="shared" si="286"/>
        <v>-</v>
      </c>
      <c r="AZ206" s="1055" t="str">
        <f t="shared" si="286"/>
        <v>-</v>
      </c>
      <c r="BA206" s="1055" t="str">
        <f t="shared" si="286"/>
        <v>-</v>
      </c>
      <c r="BB206" s="1056" t="str">
        <f t="shared" si="286"/>
        <v>-</v>
      </c>
      <c r="BC206" s="1055" t="str">
        <f t="shared" si="286"/>
        <v>-</v>
      </c>
      <c r="BD206" s="1055" t="str">
        <f t="shared" si="286"/>
        <v>-</v>
      </c>
      <c r="BE206" s="1055" t="str">
        <f t="shared" si="286"/>
        <v>-</v>
      </c>
      <c r="BF206" s="1055" t="str">
        <f t="shared" si="286"/>
        <v>-</v>
      </c>
      <c r="BG206" s="1056" t="str">
        <f t="shared" si="286"/>
        <v>-</v>
      </c>
      <c r="BH206" s="1048"/>
      <c r="BI206" s="2304" t="str">
        <f t="shared" si="182"/>
        <v>Rev</v>
      </c>
      <c r="BJ206" s="2305" t="str">
        <f t="shared" si="182"/>
        <v>[Service]</v>
      </c>
      <c r="BK206" s="2306" t="str">
        <f t="shared" si="182"/>
        <v>[Price]</v>
      </c>
      <c r="BL206" s="2307" t="str">
        <f t="shared" ref="BL206:BZ206" si="290">IF(OR(X206="",X206=0),"-",IFERROR((X206/W206-1)*(W206/W$13),"-"))</f>
        <v>-</v>
      </c>
      <c r="BM206" s="1055" t="str">
        <f t="shared" si="290"/>
        <v>-</v>
      </c>
      <c r="BN206" s="1055" t="str">
        <f t="shared" si="290"/>
        <v>-</v>
      </c>
      <c r="BO206" s="2308" t="str">
        <f t="shared" si="290"/>
        <v>-</v>
      </c>
      <c r="BP206" s="1055" t="str">
        <f t="shared" si="290"/>
        <v>-</v>
      </c>
      <c r="BQ206" s="2309" t="str">
        <f t="shared" si="290"/>
        <v>-</v>
      </c>
      <c r="BR206" s="1055" t="str">
        <f t="shared" si="290"/>
        <v>-</v>
      </c>
      <c r="BS206" s="1055" t="str">
        <f t="shared" si="290"/>
        <v>-</v>
      </c>
      <c r="BT206" s="1055" t="str">
        <f t="shared" si="290"/>
        <v>-</v>
      </c>
      <c r="BU206" s="1056" t="str">
        <f t="shared" si="290"/>
        <v>-</v>
      </c>
      <c r="BV206" s="1055" t="str">
        <f t="shared" si="290"/>
        <v>-</v>
      </c>
      <c r="BW206" s="1055" t="str">
        <f t="shared" si="290"/>
        <v>-</v>
      </c>
      <c r="BX206" s="1055" t="str">
        <f t="shared" si="290"/>
        <v>-</v>
      </c>
      <c r="BY206" s="1055" t="str">
        <f t="shared" si="290"/>
        <v>-</v>
      </c>
      <c r="BZ206" s="1056" t="str">
        <f t="shared" si="290"/>
        <v>-</v>
      </c>
      <c r="CA206" s="1048"/>
    </row>
    <row r="207" spans="3:79" x14ac:dyDescent="0.3">
      <c r="C207" s="126"/>
      <c r="D207" s="126">
        <f>D204+1</f>
        <v>47</v>
      </c>
      <c r="E207" s="553" t="s">
        <v>45</v>
      </c>
      <c r="F207" s="2105" t="s">
        <v>28</v>
      </c>
      <c r="G207" s="2105"/>
      <c r="H207" s="2105"/>
      <c r="I207" s="573" t="s">
        <v>319</v>
      </c>
      <c r="J207" s="573" t="s">
        <v>348</v>
      </c>
      <c r="K207" s="1969"/>
      <c r="L207" s="1970"/>
      <c r="M207" s="1970"/>
      <c r="N207" s="1971"/>
      <c r="O207" s="1970"/>
      <c r="P207" s="1970"/>
      <c r="Q207" s="1970"/>
      <c r="R207" s="1972"/>
      <c r="S207" s="1971"/>
      <c r="T207" s="1970"/>
      <c r="U207" s="1970"/>
      <c r="V207" s="1970"/>
      <c r="W207" s="1709"/>
      <c r="X207" s="1710"/>
      <c r="Y207" s="1709"/>
      <c r="Z207" s="1709"/>
      <c r="AA207" s="1709"/>
      <c r="AB207" s="1711"/>
      <c r="AC207" s="1709"/>
      <c r="AD207" s="1709"/>
      <c r="AE207" s="1709"/>
      <c r="AF207" s="1709"/>
      <c r="AG207" s="1712"/>
      <c r="AH207" s="1709"/>
      <c r="AI207" s="1709"/>
      <c r="AJ207" s="1709"/>
      <c r="AK207" s="1709"/>
      <c r="AL207" s="1712"/>
      <c r="AM207" s="560"/>
      <c r="AN207" s="1052"/>
      <c r="AO207" s="992"/>
      <c r="AP207" s="2297" t="str">
        <f t="shared" si="272"/>
        <v>Price</v>
      </c>
      <c r="AQ207" s="2298" t="str">
        <f t="shared" si="272"/>
        <v>[Service]</v>
      </c>
      <c r="AR207" s="1719" t="str">
        <f t="shared" si="273"/>
        <v>[Price]</v>
      </c>
      <c r="AS207" s="2299" t="str">
        <f t="shared" si="286"/>
        <v>-</v>
      </c>
      <c r="AT207" s="1728" t="str">
        <f t="shared" si="286"/>
        <v>-</v>
      </c>
      <c r="AU207" s="1728" t="str">
        <f t="shared" si="286"/>
        <v>-</v>
      </c>
      <c r="AV207" s="2300" t="str">
        <f t="shared" si="286"/>
        <v>-</v>
      </c>
      <c r="AW207" s="1728" t="str">
        <f t="shared" si="286"/>
        <v>-</v>
      </c>
      <c r="AX207" s="2301" t="str">
        <f t="shared" si="286"/>
        <v>-</v>
      </c>
      <c r="AY207" s="1728" t="str">
        <f t="shared" si="286"/>
        <v>-</v>
      </c>
      <c r="AZ207" s="1728" t="str">
        <f t="shared" si="286"/>
        <v>-</v>
      </c>
      <c r="BA207" s="1728" t="str">
        <f t="shared" si="286"/>
        <v>-</v>
      </c>
      <c r="BB207" s="1729" t="str">
        <f t="shared" si="286"/>
        <v>-</v>
      </c>
      <c r="BC207" s="1728" t="str">
        <f t="shared" si="286"/>
        <v>-</v>
      </c>
      <c r="BD207" s="1728" t="str">
        <f t="shared" si="286"/>
        <v>-</v>
      </c>
      <c r="BE207" s="1728" t="str">
        <f t="shared" si="286"/>
        <v>-</v>
      </c>
      <c r="BF207" s="1728" t="str">
        <f t="shared" si="286"/>
        <v>-</v>
      </c>
      <c r="BG207" s="1729" t="str">
        <f t="shared" si="286"/>
        <v>-</v>
      </c>
      <c r="BH207" s="1048"/>
      <c r="BI207" s="2297" t="str">
        <f t="shared" si="182"/>
        <v>Price</v>
      </c>
      <c r="BJ207" s="2298" t="str">
        <f t="shared" si="182"/>
        <v>[Service]</v>
      </c>
      <c r="BK207" s="1719" t="str">
        <f t="shared" si="182"/>
        <v>[Price]</v>
      </c>
      <c r="BL207" s="2299" t="str">
        <f t="shared" ref="BL207:BZ207" si="291">IF(OR(X207="",X207=0),"-",IFERROR((X207/W207-1)*(W209/W$13),"-"))</f>
        <v>-</v>
      </c>
      <c r="BM207" s="1053" t="str">
        <f t="shared" si="291"/>
        <v>-</v>
      </c>
      <c r="BN207" s="1053" t="str">
        <f t="shared" si="291"/>
        <v>-</v>
      </c>
      <c r="BO207" s="2302" t="str">
        <f t="shared" si="291"/>
        <v>-</v>
      </c>
      <c r="BP207" s="1053" t="str">
        <f t="shared" si="291"/>
        <v>-</v>
      </c>
      <c r="BQ207" s="2303" t="str">
        <f t="shared" si="291"/>
        <v>-</v>
      </c>
      <c r="BR207" s="1053" t="str">
        <f t="shared" si="291"/>
        <v>-</v>
      </c>
      <c r="BS207" s="1053" t="str">
        <f t="shared" si="291"/>
        <v>-</v>
      </c>
      <c r="BT207" s="1053" t="str">
        <f t="shared" si="291"/>
        <v>-</v>
      </c>
      <c r="BU207" s="1054" t="str">
        <f t="shared" si="291"/>
        <v>-</v>
      </c>
      <c r="BV207" s="1053" t="str">
        <f t="shared" si="291"/>
        <v>-</v>
      </c>
      <c r="BW207" s="1053" t="str">
        <f t="shared" si="291"/>
        <v>-</v>
      </c>
      <c r="BX207" s="1053" t="str">
        <f t="shared" si="291"/>
        <v>-</v>
      </c>
      <c r="BY207" s="1053" t="str">
        <f t="shared" si="291"/>
        <v>-</v>
      </c>
      <c r="BZ207" s="1054" t="str">
        <f t="shared" si="291"/>
        <v>-</v>
      </c>
      <c r="CA207" s="1048"/>
    </row>
    <row r="208" spans="3:79" x14ac:dyDescent="0.3">
      <c r="C208" s="126"/>
      <c r="D208" s="126"/>
      <c r="E208" s="558" t="s">
        <v>46</v>
      </c>
      <c r="F208" s="2161" t="str">
        <f t="shared" si="268"/>
        <v>[Service]</v>
      </c>
      <c r="G208" s="2163">
        <f t="shared" si="268"/>
        <v>0</v>
      </c>
      <c r="H208" s="2163">
        <f t="shared" si="268"/>
        <v>0</v>
      </c>
      <c r="I208" s="2164" t="str">
        <f t="shared" si="268"/>
        <v>[Price]</v>
      </c>
      <c r="J208" s="574" t="s">
        <v>323</v>
      </c>
      <c r="K208" s="1973"/>
      <c r="L208" s="1974"/>
      <c r="M208" s="1974"/>
      <c r="N208" s="1975"/>
      <c r="O208" s="1974"/>
      <c r="P208" s="1974"/>
      <c r="Q208" s="1974"/>
      <c r="R208" s="1976"/>
      <c r="S208" s="1975"/>
      <c r="T208" s="1974"/>
      <c r="U208" s="1974"/>
      <c r="V208" s="1974"/>
      <c r="W208" s="1713"/>
      <c r="X208" s="1714"/>
      <c r="Y208" s="1713"/>
      <c r="Z208" s="1713"/>
      <c r="AA208" s="1713"/>
      <c r="AB208" s="1715"/>
      <c r="AC208" s="1713"/>
      <c r="AD208" s="1713"/>
      <c r="AE208" s="1713"/>
      <c r="AF208" s="1713"/>
      <c r="AG208" s="1716"/>
      <c r="AH208" s="1713"/>
      <c r="AI208" s="1713"/>
      <c r="AJ208" s="1713"/>
      <c r="AK208" s="1713"/>
      <c r="AL208" s="1716"/>
      <c r="AM208" s="560"/>
      <c r="AN208" s="991"/>
      <c r="AO208" s="992"/>
      <c r="AP208" s="2285" t="str">
        <f t="shared" si="272"/>
        <v>Qty</v>
      </c>
      <c r="AQ208" s="2286" t="str">
        <f t="shared" si="272"/>
        <v>[Service]</v>
      </c>
      <c r="AR208" s="2287" t="str">
        <f t="shared" si="273"/>
        <v>[Price]</v>
      </c>
      <c r="AS208" s="2288" t="str">
        <f t="shared" si="286"/>
        <v>-</v>
      </c>
      <c r="AT208" s="1720" t="str">
        <f t="shared" si="286"/>
        <v>-</v>
      </c>
      <c r="AU208" s="1720" t="str">
        <f t="shared" si="286"/>
        <v>-</v>
      </c>
      <c r="AV208" s="2289" t="str">
        <f t="shared" si="286"/>
        <v>-</v>
      </c>
      <c r="AW208" s="1720" t="str">
        <f t="shared" si="286"/>
        <v>-</v>
      </c>
      <c r="AX208" s="2290" t="str">
        <f t="shared" si="286"/>
        <v>-</v>
      </c>
      <c r="AY208" s="1720" t="str">
        <f t="shared" si="286"/>
        <v>-</v>
      </c>
      <c r="AZ208" s="1720" t="str">
        <f t="shared" si="286"/>
        <v>-</v>
      </c>
      <c r="BA208" s="1720" t="str">
        <f t="shared" si="286"/>
        <v>-</v>
      </c>
      <c r="BB208" s="1721" t="str">
        <f t="shared" si="286"/>
        <v>-</v>
      </c>
      <c r="BC208" s="1720" t="str">
        <f t="shared" si="286"/>
        <v>-</v>
      </c>
      <c r="BD208" s="1720" t="str">
        <f t="shared" si="286"/>
        <v>-</v>
      </c>
      <c r="BE208" s="1720" t="str">
        <f t="shared" si="286"/>
        <v>-</v>
      </c>
      <c r="BF208" s="1720" t="str">
        <f t="shared" si="286"/>
        <v>-</v>
      </c>
      <c r="BG208" s="1721" t="str">
        <f t="shared" si="286"/>
        <v>-</v>
      </c>
      <c r="BH208" s="1048"/>
      <c r="BI208" s="2285" t="str">
        <f t="shared" si="182"/>
        <v>Qty</v>
      </c>
      <c r="BJ208" s="2286" t="str">
        <f t="shared" si="182"/>
        <v>[Service]</v>
      </c>
      <c r="BK208" s="2287" t="str">
        <f t="shared" si="182"/>
        <v>[Price]</v>
      </c>
      <c r="BL208" s="2288" t="str">
        <f t="shared" ref="BL208:BZ208" si="292">IF(OR(X208="",X208=0),"-",IFERROR((X208/W208-1)*(W209/W$13),"-"))</f>
        <v>-</v>
      </c>
      <c r="BM208" s="1720" t="str">
        <f t="shared" si="292"/>
        <v>-</v>
      </c>
      <c r="BN208" s="1720" t="str">
        <f t="shared" si="292"/>
        <v>-</v>
      </c>
      <c r="BO208" s="2289" t="str">
        <f t="shared" si="292"/>
        <v>-</v>
      </c>
      <c r="BP208" s="1720" t="str">
        <f t="shared" si="292"/>
        <v>-</v>
      </c>
      <c r="BQ208" s="2290" t="str">
        <f t="shared" si="292"/>
        <v>-</v>
      </c>
      <c r="BR208" s="1720" t="str">
        <f t="shared" si="292"/>
        <v>-</v>
      </c>
      <c r="BS208" s="1720" t="str">
        <f t="shared" si="292"/>
        <v>-</v>
      </c>
      <c r="BT208" s="1720" t="str">
        <f t="shared" si="292"/>
        <v>-</v>
      </c>
      <c r="BU208" s="1721" t="str">
        <f t="shared" si="292"/>
        <v>-</v>
      </c>
      <c r="BV208" s="1720" t="str">
        <f t="shared" si="292"/>
        <v>-</v>
      </c>
      <c r="BW208" s="1720" t="str">
        <f t="shared" si="292"/>
        <v>-</v>
      </c>
      <c r="BX208" s="1720" t="str">
        <f t="shared" si="292"/>
        <v>-</v>
      </c>
      <c r="BY208" s="1720" t="str">
        <f t="shared" si="292"/>
        <v>-</v>
      </c>
      <c r="BZ208" s="1721" t="str">
        <f t="shared" si="292"/>
        <v>-</v>
      </c>
      <c r="CA208" s="1048"/>
    </row>
    <row r="209" spans="3:79" ht="12.5" thickBot="1" x14ac:dyDescent="0.35">
      <c r="C209" s="126"/>
      <c r="D209" s="126"/>
      <c r="E209" s="559" t="s">
        <v>47</v>
      </c>
      <c r="F209" s="2162" t="str">
        <f t="shared" ref="F209:I209" si="293">+F207</f>
        <v>[Service]</v>
      </c>
      <c r="G209" s="2165">
        <f t="shared" si="293"/>
        <v>0</v>
      </c>
      <c r="H209" s="2165">
        <f t="shared" si="293"/>
        <v>0</v>
      </c>
      <c r="I209" s="2166" t="str">
        <f t="shared" si="293"/>
        <v>[Price]</v>
      </c>
      <c r="J209" s="2106" t="s">
        <v>347</v>
      </c>
      <c r="K209" s="1977"/>
      <c r="L209" s="1206"/>
      <c r="M209" s="1206"/>
      <c r="N209" s="1978"/>
      <c r="O209" s="1206"/>
      <c r="P209" s="1206"/>
      <c r="Q209" s="1206"/>
      <c r="R209" s="1206"/>
      <c r="S209" s="1978"/>
      <c r="T209" s="1206"/>
      <c r="U209" s="1206"/>
      <c r="V209" s="1206"/>
      <c r="W209" s="1731">
        <f t="shared" ref="W209:AG209" si="294">W207*W208/10^6</f>
        <v>0</v>
      </c>
      <c r="X209" s="1730">
        <f t="shared" si="294"/>
        <v>0</v>
      </c>
      <c r="Y209" s="1731">
        <f t="shared" si="294"/>
        <v>0</v>
      </c>
      <c r="Z209" s="1731">
        <f t="shared" si="294"/>
        <v>0</v>
      </c>
      <c r="AA209" s="1731">
        <f t="shared" si="294"/>
        <v>0</v>
      </c>
      <c r="AB209" s="1733">
        <f t="shared" si="294"/>
        <v>0</v>
      </c>
      <c r="AC209" s="1731">
        <f t="shared" si="294"/>
        <v>0</v>
      </c>
      <c r="AD209" s="1731">
        <f t="shared" si="294"/>
        <v>0</v>
      </c>
      <c r="AE209" s="1731">
        <f t="shared" si="294"/>
        <v>0</v>
      </c>
      <c r="AF209" s="1731">
        <f t="shared" si="294"/>
        <v>0</v>
      </c>
      <c r="AG209" s="1733">
        <f t="shared" si="294"/>
        <v>0</v>
      </c>
      <c r="AH209" s="1731">
        <f>AH207*AH208/10^6</f>
        <v>0</v>
      </c>
      <c r="AI209" s="1731">
        <f>AI207*AI208/10^6</f>
        <v>0</v>
      </c>
      <c r="AJ209" s="1731">
        <f>AJ207*AJ208/10^6</f>
        <v>0</v>
      </c>
      <c r="AK209" s="1731">
        <f>AK207*AK208/10^6</f>
        <v>0</v>
      </c>
      <c r="AL209" s="1733">
        <f>AL207*AL208/10^6</f>
        <v>0</v>
      </c>
      <c r="AM209" s="560"/>
      <c r="AN209" s="991"/>
      <c r="AO209" s="992"/>
      <c r="AP209" s="2304" t="str">
        <f t="shared" si="272"/>
        <v>Rev</v>
      </c>
      <c r="AQ209" s="2305" t="str">
        <f t="shared" si="272"/>
        <v>[Service]</v>
      </c>
      <c r="AR209" s="2306" t="str">
        <f t="shared" si="273"/>
        <v>[Price]</v>
      </c>
      <c r="AS209" s="2307" t="str">
        <f t="shared" si="286"/>
        <v>-</v>
      </c>
      <c r="AT209" s="1055" t="str">
        <f t="shared" si="286"/>
        <v>-</v>
      </c>
      <c r="AU209" s="1055" t="str">
        <f t="shared" si="286"/>
        <v>-</v>
      </c>
      <c r="AV209" s="2308" t="str">
        <f t="shared" si="286"/>
        <v>-</v>
      </c>
      <c r="AW209" s="1055" t="str">
        <f t="shared" si="286"/>
        <v>-</v>
      </c>
      <c r="AX209" s="2309" t="str">
        <f t="shared" si="286"/>
        <v>-</v>
      </c>
      <c r="AY209" s="1055" t="str">
        <f t="shared" si="286"/>
        <v>-</v>
      </c>
      <c r="AZ209" s="1055" t="str">
        <f t="shared" si="286"/>
        <v>-</v>
      </c>
      <c r="BA209" s="1055" t="str">
        <f t="shared" si="286"/>
        <v>-</v>
      </c>
      <c r="BB209" s="1056" t="str">
        <f t="shared" si="286"/>
        <v>-</v>
      </c>
      <c r="BC209" s="1055" t="str">
        <f t="shared" si="286"/>
        <v>-</v>
      </c>
      <c r="BD209" s="1055" t="str">
        <f t="shared" si="286"/>
        <v>-</v>
      </c>
      <c r="BE209" s="1055" t="str">
        <f t="shared" si="286"/>
        <v>-</v>
      </c>
      <c r="BF209" s="1055" t="str">
        <f t="shared" si="286"/>
        <v>-</v>
      </c>
      <c r="BG209" s="1056" t="str">
        <f t="shared" si="286"/>
        <v>-</v>
      </c>
      <c r="BH209" s="1048"/>
      <c r="BI209" s="2304" t="str">
        <f t="shared" si="182"/>
        <v>Rev</v>
      </c>
      <c r="BJ209" s="2305" t="str">
        <f t="shared" si="182"/>
        <v>[Service]</v>
      </c>
      <c r="BK209" s="2306" t="str">
        <f t="shared" si="182"/>
        <v>[Price]</v>
      </c>
      <c r="BL209" s="2307" t="str">
        <f t="shared" ref="BL209:BZ209" si="295">IF(OR(X209="",X209=0),"-",IFERROR((X209/W209-1)*(W209/W$13),"-"))</f>
        <v>-</v>
      </c>
      <c r="BM209" s="1055" t="str">
        <f t="shared" si="295"/>
        <v>-</v>
      </c>
      <c r="BN209" s="1055" t="str">
        <f t="shared" si="295"/>
        <v>-</v>
      </c>
      <c r="BO209" s="2308" t="str">
        <f t="shared" si="295"/>
        <v>-</v>
      </c>
      <c r="BP209" s="1055" t="str">
        <f t="shared" si="295"/>
        <v>-</v>
      </c>
      <c r="BQ209" s="2309" t="str">
        <f t="shared" si="295"/>
        <v>-</v>
      </c>
      <c r="BR209" s="1055" t="str">
        <f t="shared" si="295"/>
        <v>-</v>
      </c>
      <c r="BS209" s="1055" t="str">
        <f t="shared" si="295"/>
        <v>-</v>
      </c>
      <c r="BT209" s="1055" t="str">
        <f t="shared" si="295"/>
        <v>-</v>
      </c>
      <c r="BU209" s="1056" t="str">
        <f t="shared" si="295"/>
        <v>-</v>
      </c>
      <c r="BV209" s="1055" t="str">
        <f t="shared" si="295"/>
        <v>-</v>
      </c>
      <c r="BW209" s="1055" t="str">
        <f t="shared" si="295"/>
        <v>-</v>
      </c>
      <c r="BX209" s="1055" t="str">
        <f t="shared" si="295"/>
        <v>-</v>
      </c>
      <c r="BY209" s="1055" t="str">
        <f t="shared" si="295"/>
        <v>-</v>
      </c>
      <c r="BZ209" s="1056" t="str">
        <f t="shared" si="295"/>
        <v>-</v>
      </c>
      <c r="CA209" s="1048"/>
    </row>
    <row r="210" spans="3:79" x14ac:dyDescent="0.3">
      <c r="C210" s="126"/>
      <c r="D210" s="126">
        <f>D207+1</f>
        <v>48</v>
      </c>
      <c r="E210" s="553" t="s">
        <v>45</v>
      </c>
      <c r="F210" s="2105" t="s">
        <v>28</v>
      </c>
      <c r="G210" s="2105"/>
      <c r="H210" s="2105"/>
      <c r="I210" s="573" t="s">
        <v>319</v>
      </c>
      <c r="J210" s="573" t="s">
        <v>348</v>
      </c>
      <c r="K210" s="1969"/>
      <c r="L210" s="1970"/>
      <c r="M210" s="1970"/>
      <c r="N210" s="1971"/>
      <c r="O210" s="1970"/>
      <c r="P210" s="1970"/>
      <c r="Q210" s="1970"/>
      <c r="R210" s="1972"/>
      <c r="S210" s="1971"/>
      <c r="T210" s="1970"/>
      <c r="U210" s="1970"/>
      <c r="V210" s="1970"/>
      <c r="W210" s="1709"/>
      <c r="X210" s="1710"/>
      <c r="Y210" s="1709"/>
      <c r="Z210" s="1709"/>
      <c r="AA210" s="1709"/>
      <c r="AB210" s="1711"/>
      <c r="AC210" s="1709"/>
      <c r="AD210" s="1709"/>
      <c r="AE210" s="1709"/>
      <c r="AF210" s="1709"/>
      <c r="AG210" s="1712"/>
      <c r="AH210" s="1709"/>
      <c r="AI210" s="1709"/>
      <c r="AJ210" s="1709"/>
      <c r="AK210" s="1709"/>
      <c r="AL210" s="1712"/>
      <c r="AM210" s="560"/>
      <c r="AN210" s="1052"/>
      <c r="AO210" s="992"/>
      <c r="AP210" s="2297" t="str">
        <f t="shared" si="272"/>
        <v>Price</v>
      </c>
      <c r="AQ210" s="2298" t="str">
        <f t="shared" si="272"/>
        <v>[Service]</v>
      </c>
      <c r="AR210" s="1719" t="str">
        <f t="shared" si="273"/>
        <v>[Price]</v>
      </c>
      <c r="AS210" s="2299" t="str">
        <f t="shared" si="286"/>
        <v>-</v>
      </c>
      <c r="AT210" s="1728" t="str">
        <f t="shared" si="286"/>
        <v>-</v>
      </c>
      <c r="AU210" s="1728" t="str">
        <f t="shared" si="286"/>
        <v>-</v>
      </c>
      <c r="AV210" s="2300" t="str">
        <f t="shared" si="286"/>
        <v>-</v>
      </c>
      <c r="AW210" s="1728" t="str">
        <f t="shared" si="286"/>
        <v>-</v>
      </c>
      <c r="AX210" s="2301" t="str">
        <f t="shared" si="286"/>
        <v>-</v>
      </c>
      <c r="AY210" s="1728" t="str">
        <f t="shared" si="286"/>
        <v>-</v>
      </c>
      <c r="AZ210" s="1728" t="str">
        <f t="shared" si="286"/>
        <v>-</v>
      </c>
      <c r="BA210" s="1728" t="str">
        <f t="shared" si="286"/>
        <v>-</v>
      </c>
      <c r="BB210" s="1729" t="str">
        <f t="shared" si="286"/>
        <v>-</v>
      </c>
      <c r="BC210" s="1728" t="str">
        <f t="shared" si="286"/>
        <v>-</v>
      </c>
      <c r="BD210" s="1728" t="str">
        <f t="shared" si="286"/>
        <v>-</v>
      </c>
      <c r="BE210" s="1728" t="str">
        <f t="shared" si="286"/>
        <v>-</v>
      </c>
      <c r="BF210" s="1728" t="str">
        <f t="shared" si="286"/>
        <v>-</v>
      </c>
      <c r="BG210" s="1729" t="str">
        <f t="shared" si="286"/>
        <v>-</v>
      </c>
      <c r="BH210" s="1048"/>
      <c r="BI210" s="2297" t="str">
        <f t="shared" si="182"/>
        <v>Price</v>
      </c>
      <c r="BJ210" s="2298" t="str">
        <f t="shared" si="182"/>
        <v>[Service]</v>
      </c>
      <c r="BK210" s="1719" t="str">
        <f t="shared" si="182"/>
        <v>[Price]</v>
      </c>
      <c r="BL210" s="2299" t="str">
        <f t="shared" ref="BL210:BZ210" si="296">IF(OR(X210="",X210=0),"-",IFERROR((X210/W210-1)*(W212/W$13),"-"))</f>
        <v>-</v>
      </c>
      <c r="BM210" s="1053" t="str">
        <f t="shared" si="296"/>
        <v>-</v>
      </c>
      <c r="BN210" s="1053" t="str">
        <f t="shared" si="296"/>
        <v>-</v>
      </c>
      <c r="BO210" s="2302" t="str">
        <f t="shared" si="296"/>
        <v>-</v>
      </c>
      <c r="BP210" s="1053" t="str">
        <f t="shared" si="296"/>
        <v>-</v>
      </c>
      <c r="BQ210" s="2303" t="str">
        <f t="shared" si="296"/>
        <v>-</v>
      </c>
      <c r="BR210" s="1053" t="str">
        <f t="shared" si="296"/>
        <v>-</v>
      </c>
      <c r="BS210" s="1053" t="str">
        <f t="shared" si="296"/>
        <v>-</v>
      </c>
      <c r="BT210" s="1053" t="str">
        <f t="shared" si="296"/>
        <v>-</v>
      </c>
      <c r="BU210" s="1054" t="str">
        <f t="shared" si="296"/>
        <v>-</v>
      </c>
      <c r="BV210" s="1053" t="str">
        <f t="shared" si="296"/>
        <v>-</v>
      </c>
      <c r="BW210" s="1053" t="str">
        <f t="shared" si="296"/>
        <v>-</v>
      </c>
      <c r="BX210" s="1053" t="str">
        <f t="shared" si="296"/>
        <v>-</v>
      </c>
      <c r="BY210" s="1053" t="str">
        <f t="shared" si="296"/>
        <v>-</v>
      </c>
      <c r="BZ210" s="1054" t="str">
        <f t="shared" si="296"/>
        <v>-</v>
      </c>
      <c r="CA210" s="1048"/>
    </row>
    <row r="211" spans="3:79" x14ac:dyDescent="0.3">
      <c r="C211" s="126"/>
      <c r="D211" s="126"/>
      <c r="E211" s="558" t="s">
        <v>46</v>
      </c>
      <c r="F211" s="2161" t="str">
        <f t="shared" si="268"/>
        <v>[Service]</v>
      </c>
      <c r="G211" s="2163">
        <f t="shared" si="268"/>
        <v>0</v>
      </c>
      <c r="H211" s="2163">
        <f t="shared" si="268"/>
        <v>0</v>
      </c>
      <c r="I211" s="2164" t="str">
        <f t="shared" si="268"/>
        <v>[Price]</v>
      </c>
      <c r="J211" s="574" t="s">
        <v>323</v>
      </c>
      <c r="K211" s="1973"/>
      <c r="L211" s="1974"/>
      <c r="M211" s="1974"/>
      <c r="N211" s="1975"/>
      <c r="O211" s="1974"/>
      <c r="P211" s="1974"/>
      <c r="Q211" s="1974"/>
      <c r="R211" s="1976"/>
      <c r="S211" s="1975"/>
      <c r="T211" s="1974"/>
      <c r="U211" s="1974"/>
      <c r="V211" s="1974"/>
      <c r="W211" s="1713"/>
      <c r="X211" s="1714"/>
      <c r="Y211" s="1713"/>
      <c r="Z211" s="1713"/>
      <c r="AA211" s="1713"/>
      <c r="AB211" s="1715"/>
      <c r="AC211" s="1713"/>
      <c r="AD211" s="1713"/>
      <c r="AE211" s="1713"/>
      <c r="AF211" s="1713"/>
      <c r="AG211" s="1716"/>
      <c r="AH211" s="1713"/>
      <c r="AI211" s="1713"/>
      <c r="AJ211" s="1713"/>
      <c r="AK211" s="1713"/>
      <c r="AL211" s="1716"/>
      <c r="AM211" s="560"/>
      <c r="AN211" s="991"/>
      <c r="AO211" s="992"/>
      <c r="AP211" s="2285" t="str">
        <f t="shared" si="272"/>
        <v>Qty</v>
      </c>
      <c r="AQ211" s="2286" t="str">
        <f t="shared" si="272"/>
        <v>[Service]</v>
      </c>
      <c r="AR211" s="2287" t="str">
        <f t="shared" si="273"/>
        <v>[Price]</v>
      </c>
      <c r="AS211" s="2288" t="str">
        <f t="shared" si="286"/>
        <v>-</v>
      </c>
      <c r="AT211" s="1720" t="str">
        <f t="shared" si="286"/>
        <v>-</v>
      </c>
      <c r="AU211" s="1720" t="str">
        <f t="shared" si="286"/>
        <v>-</v>
      </c>
      <c r="AV211" s="2289" t="str">
        <f t="shared" si="286"/>
        <v>-</v>
      </c>
      <c r="AW211" s="1720" t="str">
        <f t="shared" si="286"/>
        <v>-</v>
      </c>
      <c r="AX211" s="2290" t="str">
        <f t="shared" si="286"/>
        <v>-</v>
      </c>
      <c r="AY211" s="1720" t="str">
        <f t="shared" si="286"/>
        <v>-</v>
      </c>
      <c r="AZ211" s="1720" t="str">
        <f t="shared" si="286"/>
        <v>-</v>
      </c>
      <c r="BA211" s="1720" t="str">
        <f t="shared" si="286"/>
        <v>-</v>
      </c>
      <c r="BB211" s="1721" t="str">
        <f t="shared" si="286"/>
        <v>-</v>
      </c>
      <c r="BC211" s="1720" t="str">
        <f t="shared" si="286"/>
        <v>-</v>
      </c>
      <c r="BD211" s="1720" t="str">
        <f t="shared" si="286"/>
        <v>-</v>
      </c>
      <c r="BE211" s="1720" t="str">
        <f t="shared" si="286"/>
        <v>-</v>
      </c>
      <c r="BF211" s="1720" t="str">
        <f t="shared" si="286"/>
        <v>-</v>
      </c>
      <c r="BG211" s="1721" t="str">
        <f t="shared" si="286"/>
        <v>-</v>
      </c>
      <c r="BH211" s="1048"/>
      <c r="BI211" s="2285" t="str">
        <f t="shared" si="182"/>
        <v>Qty</v>
      </c>
      <c r="BJ211" s="2286" t="str">
        <f t="shared" si="182"/>
        <v>[Service]</v>
      </c>
      <c r="BK211" s="2287" t="str">
        <f t="shared" si="182"/>
        <v>[Price]</v>
      </c>
      <c r="BL211" s="2288" t="str">
        <f t="shared" ref="BL211:BZ211" si="297">IF(OR(X211="",X211=0),"-",IFERROR((X211/W211-1)*(W212/W$13),"-"))</f>
        <v>-</v>
      </c>
      <c r="BM211" s="1720" t="str">
        <f t="shared" si="297"/>
        <v>-</v>
      </c>
      <c r="BN211" s="1720" t="str">
        <f t="shared" si="297"/>
        <v>-</v>
      </c>
      <c r="BO211" s="2289" t="str">
        <f t="shared" si="297"/>
        <v>-</v>
      </c>
      <c r="BP211" s="1720" t="str">
        <f t="shared" si="297"/>
        <v>-</v>
      </c>
      <c r="BQ211" s="2290" t="str">
        <f t="shared" si="297"/>
        <v>-</v>
      </c>
      <c r="BR211" s="1720" t="str">
        <f t="shared" si="297"/>
        <v>-</v>
      </c>
      <c r="BS211" s="1720" t="str">
        <f t="shared" si="297"/>
        <v>-</v>
      </c>
      <c r="BT211" s="1720" t="str">
        <f t="shared" si="297"/>
        <v>-</v>
      </c>
      <c r="BU211" s="1721" t="str">
        <f t="shared" si="297"/>
        <v>-</v>
      </c>
      <c r="BV211" s="1720" t="str">
        <f t="shared" si="297"/>
        <v>-</v>
      </c>
      <c r="BW211" s="1720" t="str">
        <f t="shared" si="297"/>
        <v>-</v>
      </c>
      <c r="BX211" s="1720" t="str">
        <f t="shared" si="297"/>
        <v>-</v>
      </c>
      <c r="BY211" s="1720" t="str">
        <f t="shared" si="297"/>
        <v>-</v>
      </c>
      <c r="BZ211" s="1721" t="str">
        <f t="shared" si="297"/>
        <v>-</v>
      </c>
      <c r="CA211" s="1048"/>
    </row>
    <row r="212" spans="3:79" ht="12.5" thickBot="1" x14ac:dyDescent="0.35">
      <c r="C212" s="126"/>
      <c r="D212" s="126"/>
      <c r="E212" s="559" t="s">
        <v>47</v>
      </c>
      <c r="F212" s="2162" t="str">
        <f t="shared" ref="F212:I212" si="298">+F210</f>
        <v>[Service]</v>
      </c>
      <c r="G212" s="2165">
        <f t="shared" si="298"/>
        <v>0</v>
      </c>
      <c r="H212" s="2165">
        <f t="shared" si="298"/>
        <v>0</v>
      </c>
      <c r="I212" s="2166" t="str">
        <f t="shared" si="298"/>
        <v>[Price]</v>
      </c>
      <c r="J212" s="2106" t="s">
        <v>347</v>
      </c>
      <c r="K212" s="1977"/>
      <c r="L212" s="1206"/>
      <c r="M212" s="1206"/>
      <c r="N212" s="1978"/>
      <c r="O212" s="1206"/>
      <c r="P212" s="1206"/>
      <c r="Q212" s="1206"/>
      <c r="R212" s="1206"/>
      <c r="S212" s="1978"/>
      <c r="T212" s="1206"/>
      <c r="U212" s="1206"/>
      <c r="V212" s="1206"/>
      <c r="W212" s="1731">
        <f t="shared" ref="W212:AG212" si="299">W210*W211/10^6</f>
        <v>0</v>
      </c>
      <c r="X212" s="1730">
        <f t="shared" si="299"/>
        <v>0</v>
      </c>
      <c r="Y212" s="1731">
        <f t="shared" si="299"/>
        <v>0</v>
      </c>
      <c r="Z212" s="1731">
        <f t="shared" si="299"/>
        <v>0</v>
      </c>
      <c r="AA212" s="1731">
        <f t="shared" si="299"/>
        <v>0</v>
      </c>
      <c r="AB212" s="1733">
        <f t="shared" si="299"/>
        <v>0</v>
      </c>
      <c r="AC212" s="1731">
        <f t="shared" si="299"/>
        <v>0</v>
      </c>
      <c r="AD212" s="1731">
        <f t="shared" si="299"/>
        <v>0</v>
      </c>
      <c r="AE212" s="1731">
        <f t="shared" si="299"/>
        <v>0</v>
      </c>
      <c r="AF212" s="1731">
        <f t="shared" si="299"/>
        <v>0</v>
      </c>
      <c r="AG212" s="1733">
        <f t="shared" si="299"/>
        <v>0</v>
      </c>
      <c r="AH212" s="1731">
        <f>AH210*AH211/10^6</f>
        <v>0</v>
      </c>
      <c r="AI212" s="1731">
        <f>AI210*AI211/10^6</f>
        <v>0</v>
      </c>
      <c r="AJ212" s="1731">
        <f>AJ210*AJ211/10^6</f>
        <v>0</v>
      </c>
      <c r="AK212" s="1731">
        <f>AK210*AK211/10^6</f>
        <v>0</v>
      </c>
      <c r="AL212" s="1733">
        <f>AL210*AL211/10^6</f>
        <v>0</v>
      </c>
      <c r="AM212" s="560"/>
      <c r="AN212" s="991"/>
      <c r="AO212" s="992"/>
      <c r="AP212" s="2304" t="str">
        <f t="shared" si="272"/>
        <v>Rev</v>
      </c>
      <c r="AQ212" s="2305" t="str">
        <f t="shared" si="272"/>
        <v>[Service]</v>
      </c>
      <c r="AR212" s="2306" t="str">
        <f t="shared" si="273"/>
        <v>[Price]</v>
      </c>
      <c r="AS212" s="2307" t="str">
        <f t="shared" si="286"/>
        <v>-</v>
      </c>
      <c r="AT212" s="1055" t="str">
        <f t="shared" si="286"/>
        <v>-</v>
      </c>
      <c r="AU212" s="1055" t="str">
        <f t="shared" si="286"/>
        <v>-</v>
      </c>
      <c r="AV212" s="2308" t="str">
        <f t="shared" si="286"/>
        <v>-</v>
      </c>
      <c r="AW212" s="1055" t="str">
        <f t="shared" si="286"/>
        <v>-</v>
      </c>
      <c r="AX212" s="2309" t="str">
        <f t="shared" si="286"/>
        <v>-</v>
      </c>
      <c r="AY212" s="1055" t="str">
        <f t="shared" si="286"/>
        <v>-</v>
      </c>
      <c r="AZ212" s="1055" t="str">
        <f t="shared" si="286"/>
        <v>-</v>
      </c>
      <c r="BA212" s="1055" t="str">
        <f t="shared" si="286"/>
        <v>-</v>
      </c>
      <c r="BB212" s="1056" t="str">
        <f t="shared" si="286"/>
        <v>-</v>
      </c>
      <c r="BC212" s="1055" t="str">
        <f t="shared" si="286"/>
        <v>-</v>
      </c>
      <c r="BD212" s="1055" t="str">
        <f t="shared" si="286"/>
        <v>-</v>
      </c>
      <c r="BE212" s="1055" t="str">
        <f t="shared" si="286"/>
        <v>-</v>
      </c>
      <c r="BF212" s="1055" t="str">
        <f t="shared" si="286"/>
        <v>-</v>
      </c>
      <c r="BG212" s="1056" t="str">
        <f t="shared" si="286"/>
        <v>-</v>
      </c>
      <c r="BH212" s="1048"/>
      <c r="BI212" s="2304" t="str">
        <f t="shared" ref="BI212:BK275" si="300">AP212</f>
        <v>Rev</v>
      </c>
      <c r="BJ212" s="2305" t="str">
        <f t="shared" si="300"/>
        <v>[Service]</v>
      </c>
      <c r="BK212" s="2306" t="str">
        <f t="shared" si="300"/>
        <v>[Price]</v>
      </c>
      <c r="BL212" s="2307" t="str">
        <f t="shared" ref="BL212:BZ212" si="301">IF(OR(X212="",X212=0),"-",IFERROR((X212/W212-1)*(W212/W$13),"-"))</f>
        <v>-</v>
      </c>
      <c r="BM212" s="1055" t="str">
        <f t="shared" si="301"/>
        <v>-</v>
      </c>
      <c r="BN212" s="1055" t="str">
        <f t="shared" si="301"/>
        <v>-</v>
      </c>
      <c r="BO212" s="2308" t="str">
        <f t="shared" si="301"/>
        <v>-</v>
      </c>
      <c r="BP212" s="1055" t="str">
        <f t="shared" si="301"/>
        <v>-</v>
      </c>
      <c r="BQ212" s="2309" t="str">
        <f t="shared" si="301"/>
        <v>-</v>
      </c>
      <c r="BR212" s="1055" t="str">
        <f t="shared" si="301"/>
        <v>-</v>
      </c>
      <c r="BS212" s="1055" t="str">
        <f t="shared" si="301"/>
        <v>-</v>
      </c>
      <c r="BT212" s="1055" t="str">
        <f t="shared" si="301"/>
        <v>-</v>
      </c>
      <c r="BU212" s="1056" t="str">
        <f t="shared" si="301"/>
        <v>-</v>
      </c>
      <c r="BV212" s="1055" t="str">
        <f t="shared" si="301"/>
        <v>-</v>
      </c>
      <c r="BW212" s="1055" t="str">
        <f t="shared" si="301"/>
        <v>-</v>
      </c>
      <c r="BX212" s="1055" t="str">
        <f t="shared" si="301"/>
        <v>-</v>
      </c>
      <c r="BY212" s="1055" t="str">
        <f t="shared" si="301"/>
        <v>-</v>
      </c>
      <c r="BZ212" s="1056" t="str">
        <f t="shared" si="301"/>
        <v>-</v>
      </c>
      <c r="CA212" s="1048"/>
    </row>
    <row r="213" spans="3:79" x14ac:dyDescent="0.3">
      <c r="C213" s="126"/>
      <c r="D213" s="126">
        <f>D210+1</f>
        <v>49</v>
      </c>
      <c r="E213" s="553" t="s">
        <v>45</v>
      </c>
      <c r="F213" s="2105" t="s">
        <v>28</v>
      </c>
      <c r="G213" s="2105"/>
      <c r="H213" s="2105"/>
      <c r="I213" s="573" t="s">
        <v>319</v>
      </c>
      <c r="J213" s="573" t="s">
        <v>348</v>
      </c>
      <c r="K213" s="1969"/>
      <c r="L213" s="1970"/>
      <c r="M213" s="1970"/>
      <c r="N213" s="1971"/>
      <c r="O213" s="1970"/>
      <c r="P213" s="1970"/>
      <c r="Q213" s="1970"/>
      <c r="R213" s="1972"/>
      <c r="S213" s="1971"/>
      <c r="T213" s="1970"/>
      <c r="U213" s="1970"/>
      <c r="V213" s="1970"/>
      <c r="W213" s="1709"/>
      <c r="X213" s="1710"/>
      <c r="Y213" s="1709"/>
      <c r="Z213" s="1709"/>
      <c r="AA213" s="1709"/>
      <c r="AB213" s="1711"/>
      <c r="AC213" s="1709"/>
      <c r="AD213" s="1709"/>
      <c r="AE213" s="1709"/>
      <c r="AF213" s="1709"/>
      <c r="AG213" s="1712"/>
      <c r="AH213" s="1709"/>
      <c r="AI213" s="1709"/>
      <c r="AJ213" s="1709"/>
      <c r="AK213" s="1709"/>
      <c r="AL213" s="1712"/>
      <c r="AM213" s="560"/>
      <c r="AN213" s="1052"/>
      <c r="AO213" s="992"/>
      <c r="AP213" s="2297" t="str">
        <f t="shared" si="272"/>
        <v>Price</v>
      </c>
      <c r="AQ213" s="2298" t="str">
        <f t="shared" si="272"/>
        <v>[Service]</v>
      </c>
      <c r="AR213" s="1719" t="str">
        <f t="shared" si="273"/>
        <v>[Price]</v>
      </c>
      <c r="AS213" s="2299" t="str">
        <f t="shared" si="286"/>
        <v>-</v>
      </c>
      <c r="AT213" s="1728" t="str">
        <f t="shared" si="286"/>
        <v>-</v>
      </c>
      <c r="AU213" s="1728" t="str">
        <f t="shared" si="286"/>
        <v>-</v>
      </c>
      <c r="AV213" s="2300" t="str">
        <f t="shared" si="286"/>
        <v>-</v>
      </c>
      <c r="AW213" s="1728" t="str">
        <f t="shared" si="286"/>
        <v>-</v>
      </c>
      <c r="AX213" s="2301" t="str">
        <f t="shared" si="286"/>
        <v>-</v>
      </c>
      <c r="AY213" s="1728" t="str">
        <f t="shared" si="286"/>
        <v>-</v>
      </c>
      <c r="AZ213" s="1728" t="str">
        <f t="shared" si="286"/>
        <v>-</v>
      </c>
      <c r="BA213" s="1728" t="str">
        <f t="shared" si="286"/>
        <v>-</v>
      </c>
      <c r="BB213" s="1729" t="str">
        <f t="shared" si="286"/>
        <v>-</v>
      </c>
      <c r="BC213" s="1728" t="str">
        <f t="shared" si="286"/>
        <v>-</v>
      </c>
      <c r="BD213" s="1728" t="str">
        <f t="shared" si="286"/>
        <v>-</v>
      </c>
      <c r="BE213" s="1728" t="str">
        <f t="shared" si="286"/>
        <v>-</v>
      </c>
      <c r="BF213" s="1728" t="str">
        <f t="shared" si="286"/>
        <v>-</v>
      </c>
      <c r="BG213" s="1729" t="str">
        <f t="shared" si="286"/>
        <v>-</v>
      </c>
      <c r="BH213" s="1048"/>
      <c r="BI213" s="2297" t="str">
        <f t="shared" si="300"/>
        <v>Price</v>
      </c>
      <c r="BJ213" s="2298" t="str">
        <f t="shared" si="300"/>
        <v>[Service]</v>
      </c>
      <c r="BK213" s="1719" t="str">
        <f t="shared" si="300"/>
        <v>[Price]</v>
      </c>
      <c r="BL213" s="2299" t="str">
        <f t="shared" ref="BL213:BZ213" si="302">IF(OR(X213="",X213=0),"-",IFERROR((X213/W213-1)*(W215/W$13),"-"))</f>
        <v>-</v>
      </c>
      <c r="BM213" s="1053" t="str">
        <f t="shared" si="302"/>
        <v>-</v>
      </c>
      <c r="BN213" s="1053" t="str">
        <f t="shared" si="302"/>
        <v>-</v>
      </c>
      <c r="BO213" s="2302" t="str">
        <f t="shared" si="302"/>
        <v>-</v>
      </c>
      <c r="BP213" s="1053" t="str">
        <f t="shared" si="302"/>
        <v>-</v>
      </c>
      <c r="BQ213" s="2303" t="str">
        <f t="shared" si="302"/>
        <v>-</v>
      </c>
      <c r="BR213" s="1053" t="str">
        <f t="shared" si="302"/>
        <v>-</v>
      </c>
      <c r="BS213" s="1053" t="str">
        <f t="shared" si="302"/>
        <v>-</v>
      </c>
      <c r="BT213" s="1053" t="str">
        <f t="shared" si="302"/>
        <v>-</v>
      </c>
      <c r="BU213" s="1054" t="str">
        <f t="shared" si="302"/>
        <v>-</v>
      </c>
      <c r="BV213" s="1053" t="str">
        <f t="shared" si="302"/>
        <v>-</v>
      </c>
      <c r="BW213" s="1053" t="str">
        <f t="shared" si="302"/>
        <v>-</v>
      </c>
      <c r="BX213" s="1053" t="str">
        <f t="shared" si="302"/>
        <v>-</v>
      </c>
      <c r="BY213" s="1053" t="str">
        <f t="shared" si="302"/>
        <v>-</v>
      </c>
      <c r="BZ213" s="1054" t="str">
        <f t="shared" si="302"/>
        <v>-</v>
      </c>
      <c r="CA213" s="1048"/>
    </row>
    <row r="214" spans="3:79" x14ac:dyDescent="0.3">
      <c r="C214" s="126"/>
      <c r="D214" s="126"/>
      <c r="E214" s="558" t="s">
        <v>46</v>
      </c>
      <c r="F214" s="2161" t="str">
        <f t="shared" ref="F214:I229" si="303">+F213</f>
        <v>[Service]</v>
      </c>
      <c r="G214" s="2163">
        <f t="shared" si="303"/>
        <v>0</v>
      </c>
      <c r="H214" s="2163">
        <f t="shared" si="303"/>
        <v>0</v>
      </c>
      <c r="I214" s="2164" t="str">
        <f t="shared" si="303"/>
        <v>[Price]</v>
      </c>
      <c r="J214" s="574" t="s">
        <v>323</v>
      </c>
      <c r="K214" s="1973"/>
      <c r="L214" s="1974"/>
      <c r="M214" s="1974"/>
      <c r="N214" s="1975"/>
      <c r="O214" s="1974"/>
      <c r="P214" s="1974"/>
      <c r="Q214" s="1974"/>
      <c r="R214" s="1976"/>
      <c r="S214" s="1975"/>
      <c r="T214" s="1974"/>
      <c r="U214" s="1974"/>
      <c r="V214" s="1974"/>
      <c r="W214" s="1713"/>
      <c r="X214" s="1714"/>
      <c r="Y214" s="1713"/>
      <c r="Z214" s="1713"/>
      <c r="AA214" s="1713"/>
      <c r="AB214" s="1715"/>
      <c r="AC214" s="1713"/>
      <c r="AD214" s="1713"/>
      <c r="AE214" s="1713"/>
      <c r="AF214" s="1713"/>
      <c r="AG214" s="1716"/>
      <c r="AH214" s="1713"/>
      <c r="AI214" s="1713"/>
      <c r="AJ214" s="1713"/>
      <c r="AK214" s="1713"/>
      <c r="AL214" s="1716"/>
      <c r="AM214" s="560"/>
      <c r="AN214" s="991"/>
      <c r="AO214" s="992"/>
      <c r="AP214" s="2285" t="str">
        <f t="shared" si="272"/>
        <v>Qty</v>
      </c>
      <c r="AQ214" s="2286" t="str">
        <f t="shared" si="272"/>
        <v>[Service]</v>
      </c>
      <c r="AR214" s="2287" t="str">
        <f t="shared" si="273"/>
        <v>[Price]</v>
      </c>
      <c r="AS214" s="2288" t="str">
        <f t="shared" si="286"/>
        <v>-</v>
      </c>
      <c r="AT214" s="1720" t="str">
        <f t="shared" si="286"/>
        <v>-</v>
      </c>
      <c r="AU214" s="1720" t="str">
        <f t="shared" si="286"/>
        <v>-</v>
      </c>
      <c r="AV214" s="2289" t="str">
        <f t="shared" si="286"/>
        <v>-</v>
      </c>
      <c r="AW214" s="1720" t="str">
        <f t="shared" si="286"/>
        <v>-</v>
      </c>
      <c r="AX214" s="2290" t="str">
        <f t="shared" si="286"/>
        <v>-</v>
      </c>
      <c r="AY214" s="1720" t="str">
        <f t="shared" si="286"/>
        <v>-</v>
      </c>
      <c r="AZ214" s="1720" t="str">
        <f t="shared" si="286"/>
        <v>-</v>
      </c>
      <c r="BA214" s="1720" t="str">
        <f t="shared" si="286"/>
        <v>-</v>
      </c>
      <c r="BB214" s="1721" t="str">
        <f t="shared" si="286"/>
        <v>-</v>
      </c>
      <c r="BC214" s="1720" t="str">
        <f t="shared" si="286"/>
        <v>-</v>
      </c>
      <c r="BD214" s="1720" t="str">
        <f t="shared" si="286"/>
        <v>-</v>
      </c>
      <c r="BE214" s="1720" t="str">
        <f t="shared" si="286"/>
        <v>-</v>
      </c>
      <c r="BF214" s="1720" t="str">
        <f t="shared" si="286"/>
        <v>-</v>
      </c>
      <c r="BG214" s="1721" t="str">
        <f t="shared" si="286"/>
        <v>-</v>
      </c>
      <c r="BH214" s="1048"/>
      <c r="BI214" s="2285" t="str">
        <f t="shared" si="300"/>
        <v>Qty</v>
      </c>
      <c r="BJ214" s="2286" t="str">
        <f t="shared" si="300"/>
        <v>[Service]</v>
      </c>
      <c r="BK214" s="2287" t="str">
        <f t="shared" si="300"/>
        <v>[Price]</v>
      </c>
      <c r="BL214" s="2288" t="str">
        <f t="shared" ref="BL214:BZ214" si="304">IF(OR(X214="",X214=0),"-",IFERROR((X214/W214-1)*(W215/W$13),"-"))</f>
        <v>-</v>
      </c>
      <c r="BM214" s="1720" t="str">
        <f t="shared" si="304"/>
        <v>-</v>
      </c>
      <c r="BN214" s="1720" t="str">
        <f t="shared" si="304"/>
        <v>-</v>
      </c>
      <c r="BO214" s="2289" t="str">
        <f t="shared" si="304"/>
        <v>-</v>
      </c>
      <c r="BP214" s="1720" t="str">
        <f t="shared" si="304"/>
        <v>-</v>
      </c>
      <c r="BQ214" s="2290" t="str">
        <f t="shared" si="304"/>
        <v>-</v>
      </c>
      <c r="BR214" s="1720" t="str">
        <f t="shared" si="304"/>
        <v>-</v>
      </c>
      <c r="BS214" s="1720" t="str">
        <f t="shared" si="304"/>
        <v>-</v>
      </c>
      <c r="BT214" s="1720" t="str">
        <f t="shared" si="304"/>
        <v>-</v>
      </c>
      <c r="BU214" s="1721" t="str">
        <f t="shared" si="304"/>
        <v>-</v>
      </c>
      <c r="BV214" s="1720" t="str">
        <f t="shared" si="304"/>
        <v>-</v>
      </c>
      <c r="BW214" s="1720" t="str">
        <f t="shared" si="304"/>
        <v>-</v>
      </c>
      <c r="BX214" s="1720" t="str">
        <f t="shared" si="304"/>
        <v>-</v>
      </c>
      <c r="BY214" s="1720" t="str">
        <f t="shared" si="304"/>
        <v>-</v>
      </c>
      <c r="BZ214" s="1721" t="str">
        <f t="shared" si="304"/>
        <v>-</v>
      </c>
      <c r="CA214" s="1048"/>
    </row>
    <row r="215" spans="3:79" ht="12.5" thickBot="1" x14ac:dyDescent="0.35">
      <c r="C215" s="126"/>
      <c r="D215" s="126"/>
      <c r="E215" s="559" t="s">
        <v>47</v>
      </c>
      <c r="F215" s="2162" t="str">
        <f t="shared" ref="F215:I215" si="305">+F213</f>
        <v>[Service]</v>
      </c>
      <c r="G215" s="2165">
        <f t="shared" si="305"/>
        <v>0</v>
      </c>
      <c r="H215" s="2165">
        <f t="shared" si="305"/>
        <v>0</v>
      </c>
      <c r="I215" s="2166" t="str">
        <f t="shared" si="305"/>
        <v>[Price]</v>
      </c>
      <c r="J215" s="2106" t="s">
        <v>347</v>
      </c>
      <c r="K215" s="1977"/>
      <c r="L215" s="1206"/>
      <c r="M215" s="1206"/>
      <c r="N215" s="1978"/>
      <c r="O215" s="1206"/>
      <c r="P215" s="1206"/>
      <c r="Q215" s="1206"/>
      <c r="R215" s="1206"/>
      <c r="S215" s="1978"/>
      <c r="T215" s="1206"/>
      <c r="U215" s="1206"/>
      <c r="V215" s="1206"/>
      <c r="W215" s="1731">
        <f t="shared" ref="W215:AG215" si="306">W213*W214/10^6</f>
        <v>0</v>
      </c>
      <c r="X215" s="1730">
        <f t="shared" si="306"/>
        <v>0</v>
      </c>
      <c r="Y215" s="1731">
        <f t="shared" si="306"/>
        <v>0</v>
      </c>
      <c r="Z215" s="1612">
        <f t="shared" si="306"/>
        <v>0</v>
      </c>
      <c r="AA215" s="1731">
        <f t="shared" si="306"/>
        <v>0</v>
      </c>
      <c r="AB215" s="1733">
        <f t="shared" si="306"/>
        <v>0</v>
      </c>
      <c r="AC215" s="1731">
        <f t="shared" si="306"/>
        <v>0</v>
      </c>
      <c r="AD215" s="1731">
        <f t="shared" si="306"/>
        <v>0</v>
      </c>
      <c r="AE215" s="1731">
        <f t="shared" si="306"/>
        <v>0</v>
      </c>
      <c r="AF215" s="1731">
        <f t="shared" si="306"/>
        <v>0</v>
      </c>
      <c r="AG215" s="1733">
        <f t="shared" si="306"/>
        <v>0</v>
      </c>
      <c r="AH215" s="1731">
        <f>AH213*AH214/10^6</f>
        <v>0</v>
      </c>
      <c r="AI215" s="1731">
        <f>AI213*AI214/10^6</f>
        <v>0</v>
      </c>
      <c r="AJ215" s="1731">
        <f>AJ213*AJ214/10^6</f>
        <v>0</v>
      </c>
      <c r="AK215" s="1731">
        <f>AK213*AK214/10^6</f>
        <v>0</v>
      </c>
      <c r="AL215" s="1733">
        <f>AL213*AL214/10^6</f>
        <v>0</v>
      </c>
      <c r="AM215" s="560"/>
      <c r="AN215" s="991"/>
      <c r="AO215" s="992"/>
      <c r="AP215" s="2304" t="str">
        <f t="shared" si="272"/>
        <v>Rev</v>
      </c>
      <c r="AQ215" s="2305" t="str">
        <f t="shared" si="272"/>
        <v>[Service]</v>
      </c>
      <c r="AR215" s="2306" t="str">
        <f t="shared" si="273"/>
        <v>[Price]</v>
      </c>
      <c r="AS215" s="2307" t="str">
        <f t="shared" si="286"/>
        <v>-</v>
      </c>
      <c r="AT215" s="1055" t="str">
        <f t="shared" si="286"/>
        <v>-</v>
      </c>
      <c r="AU215" s="1055" t="str">
        <f t="shared" si="286"/>
        <v>-</v>
      </c>
      <c r="AV215" s="2308" t="str">
        <f t="shared" si="286"/>
        <v>-</v>
      </c>
      <c r="AW215" s="1055" t="str">
        <f t="shared" si="286"/>
        <v>-</v>
      </c>
      <c r="AX215" s="2309" t="str">
        <f t="shared" si="286"/>
        <v>-</v>
      </c>
      <c r="AY215" s="1055" t="str">
        <f t="shared" si="286"/>
        <v>-</v>
      </c>
      <c r="AZ215" s="1055" t="str">
        <f t="shared" si="286"/>
        <v>-</v>
      </c>
      <c r="BA215" s="1055" t="str">
        <f t="shared" si="286"/>
        <v>-</v>
      </c>
      <c r="BB215" s="1056" t="str">
        <f t="shared" si="286"/>
        <v>-</v>
      </c>
      <c r="BC215" s="1055" t="str">
        <f t="shared" si="286"/>
        <v>-</v>
      </c>
      <c r="BD215" s="1055" t="str">
        <f t="shared" si="286"/>
        <v>-</v>
      </c>
      <c r="BE215" s="1055" t="str">
        <f t="shared" si="286"/>
        <v>-</v>
      </c>
      <c r="BF215" s="1055" t="str">
        <f t="shared" si="286"/>
        <v>-</v>
      </c>
      <c r="BG215" s="1056" t="str">
        <f t="shared" si="286"/>
        <v>-</v>
      </c>
      <c r="BH215" s="1048"/>
      <c r="BI215" s="2304" t="str">
        <f t="shared" si="300"/>
        <v>Rev</v>
      </c>
      <c r="BJ215" s="2305" t="str">
        <f t="shared" si="300"/>
        <v>[Service]</v>
      </c>
      <c r="BK215" s="2306" t="str">
        <f t="shared" si="300"/>
        <v>[Price]</v>
      </c>
      <c r="BL215" s="2307" t="str">
        <f t="shared" ref="BL215:BZ215" si="307">IF(OR(X215="",X215=0),"-",IFERROR((X215/W215-1)*(W215/W$13),"-"))</f>
        <v>-</v>
      </c>
      <c r="BM215" s="1055" t="str">
        <f t="shared" si="307"/>
        <v>-</v>
      </c>
      <c r="BN215" s="1055" t="str">
        <f t="shared" si="307"/>
        <v>-</v>
      </c>
      <c r="BO215" s="2308" t="str">
        <f t="shared" si="307"/>
        <v>-</v>
      </c>
      <c r="BP215" s="1055" t="str">
        <f t="shared" si="307"/>
        <v>-</v>
      </c>
      <c r="BQ215" s="2309" t="str">
        <f t="shared" si="307"/>
        <v>-</v>
      </c>
      <c r="BR215" s="1055" t="str">
        <f t="shared" si="307"/>
        <v>-</v>
      </c>
      <c r="BS215" s="1055" t="str">
        <f t="shared" si="307"/>
        <v>-</v>
      </c>
      <c r="BT215" s="1055" t="str">
        <f t="shared" si="307"/>
        <v>-</v>
      </c>
      <c r="BU215" s="1056" t="str">
        <f t="shared" si="307"/>
        <v>-</v>
      </c>
      <c r="BV215" s="1055" t="str">
        <f t="shared" si="307"/>
        <v>-</v>
      </c>
      <c r="BW215" s="1055" t="str">
        <f t="shared" si="307"/>
        <v>-</v>
      </c>
      <c r="BX215" s="1055" t="str">
        <f t="shared" si="307"/>
        <v>-</v>
      </c>
      <c r="BY215" s="1055" t="str">
        <f t="shared" si="307"/>
        <v>-</v>
      </c>
      <c r="BZ215" s="1056" t="str">
        <f t="shared" si="307"/>
        <v>-</v>
      </c>
      <c r="CA215" s="1048"/>
    </row>
    <row r="216" spans="3:79" x14ac:dyDescent="0.3">
      <c r="C216" s="126"/>
      <c r="D216" s="126">
        <f>D213+1</f>
        <v>50</v>
      </c>
      <c r="E216" s="553" t="s">
        <v>45</v>
      </c>
      <c r="F216" s="2105" t="s">
        <v>28</v>
      </c>
      <c r="G216" s="2105"/>
      <c r="H216" s="2105"/>
      <c r="I216" s="573" t="s">
        <v>319</v>
      </c>
      <c r="J216" s="573" t="s">
        <v>348</v>
      </c>
      <c r="K216" s="1969"/>
      <c r="L216" s="1970"/>
      <c r="M216" s="1970"/>
      <c r="N216" s="1971"/>
      <c r="O216" s="1970"/>
      <c r="P216" s="1970"/>
      <c r="Q216" s="1970"/>
      <c r="R216" s="1972"/>
      <c r="S216" s="1971"/>
      <c r="T216" s="1970"/>
      <c r="U216" s="1970"/>
      <c r="V216" s="1970"/>
      <c r="W216" s="1709"/>
      <c r="X216" s="1710"/>
      <c r="Y216" s="1709"/>
      <c r="Z216" s="1709"/>
      <c r="AA216" s="1709"/>
      <c r="AB216" s="1711"/>
      <c r="AC216" s="1709"/>
      <c r="AD216" s="1709"/>
      <c r="AE216" s="1709"/>
      <c r="AF216" s="1709"/>
      <c r="AG216" s="1712"/>
      <c r="AH216" s="1709"/>
      <c r="AI216" s="1709"/>
      <c r="AJ216" s="1709"/>
      <c r="AK216" s="1709"/>
      <c r="AL216" s="1712"/>
      <c r="AM216" s="560"/>
      <c r="AN216" s="1052"/>
      <c r="AO216" s="992"/>
      <c r="AP216" s="2297" t="str">
        <f t="shared" si="272"/>
        <v>Price</v>
      </c>
      <c r="AQ216" s="2298" t="str">
        <f t="shared" si="272"/>
        <v>[Service]</v>
      </c>
      <c r="AR216" s="1719" t="str">
        <f t="shared" si="273"/>
        <v>[Price]</v>
      </c>
      <c r="AS216" s="2299" t="str">
        <f t="shared" si="286"/>
        <v>-</v>
      </c>
      <c r="AT216" s="1728" t="str">
        <f t="shared" si="286"/>
        <v>-</v>
      </c>
      <c r="AU216" s="1728" t="str">
        <f t="shared" si="286"/>
        <v>-</v>
      </c>
      <c r="AV216" s="2300" t="str">
        <f t="shared" si="286"/>
        <v>-</v>
      </c>
      <c r="AW216" s="1728" t="str">
        <f t="shared" si="286"/>
        <v>-</v>
      </c>
      <c r="AX216" s="2301" t="str">
        <f t="shared" si="286"/>
        <v>-</v>
      </c>
      <c r="AY216" s="1728" t="str">
        <f t="shared" si="286"/>
        <v>-</v>
      </c>
      <c r="AZ216" s="1728" t="str">
        <f t="shared" si="286"/>
        <v>-</v>
      </c>
      <c r="BA216" s="1728" t="str">
        <f t="shared" si="286"/>
        <v>-</v>
      </c>
      <c r="BB216" s="1729" t="str">
        <f t="shared" si="286"/>
        <v>-</v>
      </c>
      <c r="BC216" s="1728" t="str">
        <f t="shared" si="286"/>
        <v>-</v>
      </c>
      <c r="BD216" s="1728" t="str">
        <f t="shared" si="286"/>
        <v>-</v>
      </c>
      <c r="BE216" s="1728" t="str">
        <f t="shared" si="286"/>
        <v>-</v>
      </c>
      <c r="BF216" s="1728" t="str">
        <f t="shared" si="286"/>
        <v>-</v>
      </c>
      <c r="BG216" s="1729" t="str">
        <f t="shared" si="286"/>
        <v>-</v>
      </c>
      <c r="BH216" s="1048"/>
      <c r="BI216" s="2297" t="str">
        <f t="shared" si="300"/>
        <v>Price</v>
      </c>
      <c r="BJ216" s="2298" t="str">
        <f t="shared" si="300"/>
        <v>[Service]</v>
      </c>
      <c r="BK216" s="1719" t="str">
        <f t="shared" si="300"/>
        <v>[Price]</v>
      </c>
      <c r="BL216" s="2299" t="str">
        <f t="shared" ref="BL216:BZ216" si="308">IF(OR(X216="",X216=0),"-",IFERROR((X216/W216-1)*(W218/W$13),"-"))</f>
        <v>-</v>
      </c>
      <c r="BM216" s="1053" t="str">
        <f t="shared" si="308"/>
        <v>-</v>
      </c>
      <c r="BN216" s="1053" t="str">
        <f t="shared" si="308"/>
        <v>-</v>
      </c>
      <c r="BO216" s="2302" t="str">
        <f t="shared" si="308"/>
        <v>-</v>
      </c>
      <c r="BP216" s="1053" t="str">
        <f t="shared" si="308"/>
        <v>-</v>
      </c>
      <c r="BQ216" s="2303" t="str">
        <f t="shared" si="308"/>
        <v>-</v>
      </c>
      <c r="BR216" s="1053" t="str">
        <f t="shared" si="308"/>
        <v>-</v>
      </c>
      <c r="BS216" s="1053" t="str">
        <f t="shared" si="308"/>
        <v>-</v>
      </c>
      <c r="BT216" s="1053" t="str">
        <f t="shared" si="308"/>
        <v>-</v>
      </c>
      <c r="BU216" s="1054" t="str">
        <f t="shared" si="308"/>
        <v>-</v>
      </c>
      <c r="BV216" s="1053" t="str">
        <f t="shared" si="308"/>
        <v>-</v>
      </c>
      <c r="BW216" s="1053" t="str">
        <f t="shared" si="308"/>
        <v>-</v>
      </c>
      <c r="BX216" s="1053" t="str">
        <f t="shared" si="308"/>
        <v>-</v>
      </c>
      <c r="BY216" s="1053" t="str">
        <f t="shared" si="308"/>
        <v>-</v>
      </c>
      <c r="BZ216" s="1054" t="str">
        <f t="shared" si="308"/>
        <v>-</v>
      </c>
      <c r="CA216" s="1048"/>
    </row>
    <row r="217" spans="3:79" x14ac:dyDescent="0.3">
      <c r="C217" s="126"/>
      <c r="D217" s="126"/>
      <c r="E217" s="558" t="s">
        <v>46</v>
      </c>
      <c r="F217" s="2161" t="str">
        <f t="shared" si="303"/>
        <v>[Service]</v>
      </c>
      <c r="G217" s="2163">
        <f t="shared" si="303"/>
        <v>0</v>
      </c>
      <c r="H217" s="2163">
        <f t="shared" si="303"/>
        <v>0</v>
      </c>
      <c r="I217" s="2164" t="str">
        <f t="shared" si="303"/>
        <v>[Price]</v>
      </c>
      <c r="J217" s="574" t="s">
        <v>323</v>
      </c>
      <c r="K217" s="1973"/>
      <c r="L217" s="1974"/>
      <c r="M217" s="1974"/>
      <c r="N217" s="1975"/>
      <c r="O217" s="1974"/>
      <c r="P217" s="1974"/>
      <c r="Q217" s="1974"/>
      <c r="R217" s="1976"/>
      <c r="S217" s="1975"/>
      <c r="T217" s="1974"/>
      <c r="U217" s="1974"/>
      <c r="V217" s="1974"/>
      <c r="W217" s="1713"/>
      <c r="X217" s="1714"/>
      <c r="Y217" s="1713"/>
      <c r="Z217" s="1713"/>
      <c r="AA217" s="1713"/>
      <c r="AB217" s="1715"/>
      <c r="AC217" s="1713"/>
      <c r="AD217" s="1713"/>
      <c r="AE217" s="1713"/>
      <c r="AF217" s="1713"/>
      <c r="AG217" s="1716"/>
      <c r="AH217" s="1713"/>
      <c r="AI217" s="1713"/>
      <c r="AJ217" s="1713"/>
      <c r="AK217" s="1713"/>
      <c r="AL217" s="1716"/>
      <c r="AM217" s="560"/>
      <c r="AN217" s="991"/>
      <c r="AO217" s="992"/>
      <c r="AP217" s="2285" t="str">
        <f t="shared" si="272"/>
        <v>Qty</v>
      </c>
      <c r="AQ217" s="2286" t="str">
        <f t="shared" si="272"/>
        <v>[Service]</v>
      </c>
      <c r="AR217" s="2287" t="str">
        <f t="shared" si="273"/>
        <v>[Price]</v>
      </c>
      <c r="AS217" s="2288" t="str">
        <f t="shared" si="286"/>
        <v>-</v>
      </c>
      <c r="AT217" s="1720" t="str">
        <f t="shared" si="286"/>
        <v>-</v>
      </c>
      <c r="AU217" s="1720" t="str">
        <f t="shared" si="286"/>
        <v>-</v>
      </c>
      <c r="AV217" s="2289" t="str">
        <f t="shared" si="286"/>
        <v>-</v>
      </c>
      <c r="AW217" s="1720" t="str">
        <f t="shared" si="286"/>
        <v>-</v>
      </c>
      <c r="AX217" s="2290" t="str">
        <f t="shared" si="286"/>
        <v>-</v>
      </c>
      <c r="AY217" s="1720" t="str">
        <f t="shared" si="286"/>
        <v>-</v>
      </c>
      <c r="AZ217" s="1720" t="str">
        <f t="shared" si="286"/>
        <v>-</v>
      </c>
      <c r="BA217" s="1720" t="str">
        <f t="shared" si="286"/>
        <v>-</v>
      </c>
      <c r="BB217" s="1721" t="str">
        <f t="shared" si="286"/>
        <v>-</v>
      </c>
      <c r="BC217" s="1720" t="str">
        <f t="shared" si="286"/>
        <v>-</v>
      </c>
      <c r="BD217" s="1720" t="str">
        <f t="shared" si="286"/>
        <v>-</v>
      </c>
      <c r="BE217" s="1720" t="str">
        <f t="shared" si="286"/>
        <v>-</v>
      </c>
      <c r="BF217" s="1720" t="str">
        <f t="shared" si="286"/>
        <v>-</v>
      </c>
      <c r="BG217" s="1721" t="str">
        <f t="shared" si="286"/>
        <v>-</v>
      </c>
      <c r="BH217" s="1048"/>
      <c r="BI217" s="2285" t="str">
        <f t="shared" si="300"/>
        <v>Qty</v>
      </c>
      <c r="BJ217" s="2286" t="str">
        <f t="shared" si="300"/>
        <v>[Service]</v>
      </c>
      <c r="BK217" s="2287" t="str">
        <f t="shared" si="300"/>
        <v>[Price]</v>
      </c>
      <c r="BL217" s="2288" t="str">
        <f t="shared" ref="BL217:BZ217" si="309">IF(OR(X217="",X217=0),"-",IFERROR((X217/W217-1)*(W218/W$13),"-"))</f>
        <v>-</v>
      </c>
      <c r="BM217" s="1720" t="str">
        <f t="shared" si="309"/>
        <v>-</v>
      </c>
      <c r="BN217" s="1720" t="str">
        <f t="shared" si="309"/>
        <v>-</v>
      </c>
      <c r="BO217" s="2289" t="str">
        <f t="shared" si="309"/>
        <v>-</v>
      </c>
      <c r="BP217" s="1720" t="str">
        <f t="shared" si="309"/>
        <v>-</v>
      </c>
      <c r="BQ217" s="2290" t="str">
        <f t="shared" si="309"/>
        <v>-</v>
      </c>
      <c r="BR217" s="1720" t="str">
        <f t="shared" si="309"/>
        <v>-</v>
      </c>
      <c r="BS217" s="1720" t="str">
        <f t="shared" si="309"/>
        <v>-</v>
      </c>
      <c r="BT217" s="1720" t="str">
        <f t="shared" si="309"/>
        <v>-</v>
      </c>
      <c r="BU217" s="1721" t="str">
        <f t="shared" si="309"/>
        <v>-</v>
      </c>
      <c r="BV217" s="1720" t="str">
        <f t="shared" si="309"/>
        <v>-</v>
      </c>
      <c r="BW217" s="1720" t="str">
        <f t="shared" si="309"/>
        <v>-</v>
      </c>
      <c r="BX217" s="1720" t="str">
        <f t="shared" si="309"/>
        <v>-</v>
      </c>
      <c r="BY217" s="1720" t="str">
        <f t="shared" si="309"/>
        <v>-</v>
      </c>
      <c r="BZ217" s="1721" t="str">
        <f t="shared" si="309"/>
        <v>-</v>
      </c>
      <c r="CA217" s="1048"/>
    </row>
    <row r="218" spans="3:79" ht="12.5" thickBot="1" x14ac:dyDescent="0.35">
      <c r="C218" s="126"/>
      <c r="D218" s="126"/>
      <c r="E218" s="559" t="s">
        <v>47</v>
      </c>
      <c r="F218" s="2162" t="str">
        <f t="shared" ref="F218:I218" si="310">+F216</f>
        <v>[Service]</v>
      </c>
      <c r="G218" s="2165">
        <f t="shared" si="310"/>
        <v>0</v>
      </c>
      <c r="H218" s="2165">
        <f t="shared" si="310"/>
        <v>0</v>
      </c>
      <c r="I218" s="2166" t="str">
        <f t="shared" si="310"/>
        <v>[Price]</v>
      </c>
      <c r="J218" s="2106" t="s">
        <v>347</v>
      </c>
      <c r="K218" s="1977"/>
      <c r="L218" s="1206"/>
      <c r="M218" s="1206"/>
      <c r="N218" s="1978"/>
      <c r="O218" s="1206"/>
      <c r="P218" s="1206"/>
      <c r="Q218" s="1206"/>
      <c r="R218" s="1206"/>
      <c r="S218" s="1978"/>
      <c r="T218" s="1206"/>
      <c r="U218" s="1206"/>
      <c r="V218" s="1206"/>
      <c r="W218" s="1731">
        <f t="shared" ref="W218:AG218" si="311">W216*W217/10^6</f>
        <v>0</v>
      </c>
      <c r="X218" s="1730">
        <f t="shared" si="311"/>
        <v>0</v>
      </c>
      <c r="Y218" s="1731">
        <f t="shared" si="311"/>
        <v>0</v>
      </c>
      <c r="Z218" s="1731">
        <f t="shared" si="311"/>
        <v>0</v>
      </c>
      <c r="AA218" s="1731">
        <f t="shared" si="311"/>
        <v>0</v>
      </c>
      <c r="AB218" s="1733">
        <f t="shared" si="311"/>
        <v>0</v>
      </c>
      <c r="AC218" s="1731">
        <f t="shared" si="311"/>
        <v>0</v>
      </c>
      <c r="AD218" s="1731">
        <f t="shared" si="311"/>
        <v>0</v>
      </c>
      <c r="AE218" s="1731">
        <f t="shared" si="311"/>
        <v>0</v>
      </c>
      <c r="AF218" s="1731">
        <f t="shared" si="311"/>
        <v>0</v>
      </c>
      <c r="AG218" s="1733">
        <f t="shared" si="311"/>
        <v>0</v>
      </c>
      <c r="AH218" s="1731">
        <f>AH216*AH217/10^6</f>
        <v>0</v>
      </c>
      <c r="AI218" s="1731">
        <f>AI216*AI217/10^6</f>
        <v>0</v>
      </c>
      <c r="AJ218" s="1731">
        <f>AJ216*AJ217/10^6</f>
        <v>0</v>
      </c>
      <c r="AK218" s="1731">
        <f>AK216*AK217/10^6</f>
        <v>0</v>
      </c>
      <c r="AL218" s="1733">
        <f>AL216*AL217/10^6</f>
        <v>0</v>
      </c>
      <c r="AM218" s="560"/>
      <c r="AN218" s="991"/>
      <c r="AO218" s="992"/>
      <c r="AP218" s="2304" t="str">
        <f t="shared" si="272"/>
        <v>Rev</v>
      </c>
      <c r="AQ218" s="2305" t="str">
        <f t="shared" si="272"/>
        <v>[Service]</v>
      </c>
      <c r="AR218" s="2306" t="str">
        <f t="shared" si="273"/>
        <v>[Price]</v>
      </c>
      <c r="AS218" s="2307" t="str">
        <f t="shared" si="286"/>
        <v>-</v>
      </c>
      <c r="AT218" s="1055" t="str">
        <f t="shared" si="286"/>
        <v>-</v>
      </c>
      <c r="AU218" s="1055" t="str">
        <f t="shared" si="286"/>
        <v>-</v>
      </c>
      <c r="AV218" s="2308" t="str">
        <f t="shared" si="286"/>
        <v>-</v>
      </c>
      <c r="AW218" s="1055" t="str">
        <f t="shared" si="286"/>
        <v>-</v>
      </c>
      <c r="AX218" s="2309" t="str">
        <f t="shared" si="286"/>
        <v>-</v>
      </c>
      <c r="AY218" s="1055" t="str">
        <f t="shared" si="286"/>
        <v>-</v>
      </c>
      <c r="AZ218" s="1055" t="str">
        <f t="shared" si="286"/>
        <v>-</v>
      </c>
      <c r="BA218" s="1055" t="str">
        <f t="shared" si="286"/>
        <v>-</v>
      </c>
      <c r="BB218" s="1056" t="str">
        <f t="shared" si="286"/>
        <v>-</v>
      </c>
      <c r="BC218" s="1055" t="str">
        <f t="shared" si="286"/>
        <v>-</v>
      </c>
      <c r="BD218" s="1055" t="str">
        <f t="shared" si="286"/>
        <v>-</v>
      </c>
      <c r="BE218" s="1055" t="str">
        <f t="shared" si="286"/>
        <v>-</v>
      </c>
      <c r="BF218" s="1055" t="str">
        <f t="shared" si="286"/>
        <v>-</v>
      </c>
      <c r="BG218" s="1056" t="str">
        <f t="shared" si="286"/>
        <v>-</v>
      </c>
      <c r="BH218" s="1048"/>
      <c r="BI218" s="2304" t="str">
        <f t="shared" si="300"/>
        <v>Rev</v>
      </c>
      <c r="BJ218" s="2305" t="str">
        <f t="shared" si="300"/>
        <v>[Service]</v>
      </c>
      <c r="BK218" s="2306" t="str">
        <f t="shared" si="300"/>
        <v>[Price]</v>
      </c>
      <c r="BL218" s="2307" t="str">
        <f t="shared" ref="BL218:BZ218" si="312">IF(OR(X218="",X218=0),"-",IFERROR((X218/W218-1)*(W218/W$13),"-"))</f>
        <v>-</v>
      </c>
      <c r="BM218" s="1055" t="str">
        <f t="shared" si="312"/>
        <v>-</v>
      </c>
      <c r="BN218" s="1055" t="str">
        <f t="shared" si="312"/>
        <v>-</v>
      </c>
      <c r="BO218" s="2308" t="str">
        <f t="shared" si="312"/>
        <v>-</v>
      </c>
      <c r="BP218" s="1055" t="str">
        <f t="shared" si="312"/>
        <v>-</v>
      </c>
      <c r="BQ218" s="2309" t="str">
        <f t="shared" si="312"/>
        <v>-</v>
      </c>
      <c r="BR218" s="1055" t="str">
        <f t="shared" si="312"/>
        <v>-</v>
      </c>
      <c r="BS218" s="1055" t="str">
        <f t="shared" si="312"/>
        <v>-</v>
      </c>
      <c r="BT218" s="1055" t="str">
        <f t="shared" si="312"/>
        <v>-</v>
      </c>
      <c r="BU218" s="1056" t="str">
        <f t="shared" si="312"/>
        <v>-</v>
      </c>
      <c r="BV218" s="1055" t="str">
        <f t="shared" si="312"/>
        <v>-</v>
      </c>
      <c r="BW218" s="1055" t="str">
        <f t="shared" si="312"/>
        <v>-</v>
      </c>
      <c r="BX218" s="1055" t="str">
        <f t="shared" si="312"/>
        <v>-</v>
      </c>
      <c r="BY218" s="1055" t="str">
        <f t="shared" si="312"/>
        <v>-</v>
      </c>
      <c r="BZ218" s="1056" t="str">
        <f t="shared" si="312"/>
        <v>-</v>
      </c>
      <c r="CA218" s="1048"/>
    </row>
    <row r="219" spans="3:79" x14ac:dyDescent="0.3">
      <c r="C219" s="126"/>
      <c r="D219" s="126">
        <f>D216+1</f>
        <v>51</v>
      </c>
      <c r="E219" s="553" t="s">
        <v>45</v>
      </c>
      <c r="F219" s="2105" t="s">
        <v>28</v>
      </c>
      <c r="G219" s="2105"/>
      <c r="H219" s="2105"/>
      <c r="I219" s="573" t="s">
        <v>319</v>
      </c>
      <c r="J219" s="573" t="s">
        <v>348</v>
      </c>
      <c r="K219" s="1969"/>
      <c r="L219" s="1970"/>
      <c r="M219" s="1970"/>
      <c r="N219" s="1971"/>
      <c r="O219" s="1970"/>
      <c r="P219" s="1970"/>
      <c r="Q219" s="1970"/>
      <c r="R219" s="1972"/>
      <c r="S219" s="1971"/>
      <c r="T219" s="1970"/>
      <c r="U219" s="1970"/>
      <c r="V219" s="1970"/>
      <c r="W219" s="1709"/>
      <c r="X219" s="1710"/>
      <c r="Y219" s="1709"/>
      <c r="Z219" s="1709"/>
      <c r="AA219" s="1709"/>
      <c r="AB219" s="1711"/>
      <c r="AC219" s="1709"/>
      <c r="AD219" s="1709"/>
      <c r="AE219" s="1709"/>
      <c r="AF219" s="1709"/>
      <c r="AG219" s="1712"/>
      <c r="AH219" s="1709"/>
      <c r="AI219" s="1709"/>
      <c r="AJ219" s="1709"/>
      <c r="AK219" s="1709"/>
      <c r="AL219" s="1712"/>
      <c r="AM219" s="560"/>
      <c r="AN219" s="1052"/>
      <c r="AO219" s="992"/>
      <c r="AP219" s="2297" t="str">
        <f t="shared" si="272"/>
        <v>Price</v>
      </c>
      <c r="AQ219" s="2298" t="str">
        <f t="shared" si="272"/>
        <v>[Service]</v>
      </c>
      <c r="AR219" s="1719" t="str">
        <f t="shared" si="273"/>
        <v>[Price]</v>
      </c>
      <c r="AS219" s="2299" t="str">
        <f t="shared" si="286"/>
        <v>-</v>
      </c>
      <c r="AT219" s="1728" t="str">
        <f t="shared" si="286"/>
        <v>-</v>
      </c>
      <c r="AU219" s="1728" t="str">
        <f t="shared" si="286"/>
        <v>-</v>
      </c>
      <c r="AV219" s="2300" t="str">
        <f t="shared" si="286"/>
        <v>-</v>
      </c>
      <c r="AW219" s="1728" t="str">
        <f t="shared" si="286"/>
        <v>-</v>
      </c>
      <c r="AX219" s="2301" t="str">
        <f t="shared" si="286"/>
        <v>-</v>
      </c>
      <c r="AY219" s="1728" t="str">
        <f t="shared" si="286"/>
        <v>-</v>
      </c>
      <c r="AZ219" s="1728" t="str">
        <f t="shared" si="286"/>
        <v>-</v>
      </c>
      <c r="BA219" s="1728" t="str">
        <f t="shared" si="286"/>
        <v>-</v>
      </c>
      <c r="BB219" s="1729" t="str">
        <f t="shared" si="286"/>
        <v>-</v>
      </c>
      <c r="BC219" s="1728" t="str">
        <f t="shared" si="286"/>
        <v>-</v>
      </c>
      <c r="BD219" s="1728" t="str">
        <f t="shared" si="286"/>
        <v>-</v>
      </c>
      <c r="BE219" s="1728" t="str">
        <f t="shared" si="286"/>
        <v>-</v>
      </c>
      <c r="BF219" s="1728" t="str">
        <f t="shared" si="286"/>
        <v>-</v>
      </c>
      <c r="BG219" s="1729" t="str">
        <f t="shared" si="286"/>
        <v>-</v>
      </c>
      <c r="BH219" s="1048"/>
      <c r="BI219" s="2297" t="str">
        <f t="shared" si="300"/>
        <v>Price</v>
      </c>
      <c r="BJ219" s="2298" t="str">
        <f t="shared" si="300"/>
        <v>[Service]</v>
      </c>
      <c r="BK219" s="1719" t="str">
        <f t="shared" si="300"/>
        <v>[Price]</v>
      </c>
      <c r="BL219" s="2299" t="str">
        <f t="shared" ref="BL219:BZ219" si="313">IF(OR(X219="",X219=0),"-",IFERROR((X219/W219-1)*(W221/W$13),"-"))</f>
        <v>-</v>
      </c>
      <c r="BM219" s="1053" t="str">
        <f t="shared" si="313"/>
        <v>-</v>
      </c>
      <c r="BN219" s="1053" t="str">
        <f t="shared" si="313"/>
        <v>-</v>
      </c>
      <c r="BO219" s="2302" t="str">
        <f t="shared" si="313"/>
        <v>-</v>
      </c>
      <c r="BP219" s="1053" t="str">
        <f t="shared" si="313"/>
        <v>-</v>
      </c>
      <c r="BQ219" s="2303" t="str">
        <f t="shared" si="313"/>
        <v>-</v>
      </c>
      <c r="BR219" s="1053" t="str">
        <f t="shared" si="313"/>
        <v>-</v>
      </c>
      <c r="BS219" s="1053" t="str">
        <f t="shared" si="313"/>
        <v>-</v>
      </c>
      <c r="BT219" s="1053" t="str">
        <f t="shared" si="313"/>
        <v>-</v>
      </c>
      <c r="BU219" s="1054" t="str">
        <f t="shared" si="313"/>
        <v>-</v>
      </c>
      <c r="BV219" s="1053" t="str">
        <f t="shared" si="313"/>
        <v>-</v>
      </c>
      <c r="BW219" s="1053" t="str">
        <f t="shared" si="313"/>
        <v>-</v>
      </c>
      <c r="BX219" s="1053" t="str">
        <f t="shared" si="313"/>
        <v>-</v>
      </c>
      <c r="BY219" s="1053" t="str">
        <f t="shared" si="313"/>
        <v>-</v>
      </c>
      <c r="BZ219" s="1054" t="str">
        <f t="shared" si="313"/>
        <v>-</v>
      </c>
      <c r="CA219" s="1048"/>
    </row>
    <row r="220" spans="3:79" x14ac:dyDescent="0.3">
      <c r="C220" s="126"/>
      <c r="D220" s="126"/>
      <c r="E220" s="558" t="s">
        <v>46</v>
      </c>
      <c r="F220" s="2161" t="str">
        <f t="shared" si="303"/>
        <v>[Service]</v>
      </c>
      <c r="G220" s="2163">
        <f t="shared" si="303"/>
        <v>0</v>
      </c>
      <c r="H220" s="2163">
        <f t="shared" si="303"/>
        <v>0</v>
      </c>
      <c r="I220" s="2164" t="str">
        <f t="shared" si="303"/>
        <v>[Price]</v>
      </c>
      <c r="J220" s="574" t="s">
        <v>323</v>
      </c>
      <c r="K220" s="1973"/>
      <c r="L220" s="1974"/>
      <c r="M220" s="1974"/>
      <c r="N220" s="1975"/>
      <c r="O220" s="1974"/>
      <c r="P220" s="1974"/>
      <c r="Q220" s="1974"/>
      <c r="R220" s="1976"/>
      <c r="S220" s="1975"/>
      <c r="T220" s="1974"/>
      <c r="U220" s="1974"/>
      <c r="V220" s="1974"/>
      <c r="W220" s="1713"/>
      <c r="X220" s="1714"/>
      <c r="Y220" s="1713"/>
      <c r="Z220" s="1713"/>
      <c r="AA220" s="1713"/>
      <c r="AB220" s="1715"/>
      <c r="AC220" s="1713"/>
      <c r="AD220" s="1713"/>
      <c r="AE220" s="1713"/>
      <c r="AF220" s="1713"/>
      <c r="AG220" s="1716"/>
      <c r="AH220" s="1713"/>
      <c r="AI220" s="1713"/>
      <c r="AJ220" s="1713"/>
      <c r="AK220" s="1713"/>
      <c r="AL220" s="1716"/>
      <c r="AM220" s="560"/>
      <c r="AN220" s="991"/>
      <c r="AO220" s="992"/>
      <c r="AP220" s="2285" t="str">
        <f t="shared" si="272"/>
        <v>Qty</v>
      </c>
      <c r="AQ220" s="2286" t="str">
        <f t="shared" si="272"/>
        <v>[Service]</v>
      </c>
      <c r="AR220" s="2287" t="str">
        <f t="shared" si="273"/>
        <v>[Price]</v>
      </c>
      <c r="AS220" s="2288" t="str">
        <f t="shared" si="286"/>
        <v>-</v>
      </c>
      <c r="AT220" s="1720" t="str">
        <f t="shared" si="286"/>
        <v>-</v>
      </c>
      <c r="AU220" s="1720" t="str">
        <f t="shared" si="286"/>
        <v>-</v>
      </c>
      <c r="AV220" s="2289" t="str">
        <f t="shared" si="286"/>
        <v>-</v>
      </c>
      <c r="AW220" s="1720" t="str">
        <f t="shared" si="286"/>
        <v>-</v>
      </c>
      <c r="AX220" s="2290" t="str">
        <f t="shared" si="286"/>
        <v>-</v>
      </c>
      <c r="AY220" s="1720" t="str">
        <f t="shared" si="286"/>
        <v>-</v>
      </c>
      <c r="AZ220" s="1720" t="str">
        <f t="shared" si="286"/>
        <v>-</v>
      </c>
      <c r="BA220" s="1720" t="str">
        <f t="shared" si="286"/>
        <v>-</v>
      </c>
      <c r="BB220" s="1721" t="str">
        <f t="shared" si="286"/>
        <v>-</v>
      </c>
      <c r="BC220" s="1720" t="str">
        <f t="shared" si="286"/>
        <v>-</v>
      </c>
      <c r="BD220" s="1720" t="str">
        <f t="shared" si="286"/>
        <v>-</v>
      </c>
      <c r="BE220" s="1720" t="str">
        <f t="shared" si="286"/>
        <v>-</v>
      </c>
      <c r="BF220" s="1720" t="str">
        <f t="shared" si="286"/>
        <v>-</v>
      </c>
      <c r="BG220" s="1721" t="str">
        <f t="shared" si="286"/>
        <v>-</v>
      </c>
      <c r="BH220" s="1048"/>
      <c r="BI220" s="2285" t="str">
        <f t="shared" si="300"/>
        <v>Qty</v>
      </c>
      <c r="BJ220" s="2286" t="str">
        <f t="shared" si="300"/>
        <v>[Service]</v>
      </c>
      <c r="BK220" s="2287" t="str">
        <f t="shared" si="300"/>
        <v>[Price]</v>
      </c>
      <c r="BL220" s="2288" t="str">
        <f t="shared" ref="BL220:BZ220" si="314">IF(OR(X220="",X220=0),"-",IFERROR((X220/W220-1)*(W221/W$13),"-"))</f>
        <v>-</v>
      </c>
      <c r="BM220" s="1720" t="str">
        <f t="shared" si="314"/>
        <v>-</v>
      </c>
      <c r="BN220" s="1720" t="str">
        <f t="shared" si="314"/>
        <v>-</v>
      </c>
      <c r="BO220" s="2289" t="str">
        <f t="shared" si="314"/>
        <v>-</v>
      </c>
      <c r="BP220" s="1720" t="str">
        <f t="shared" si="314"/>
        <v>-</v>
      </c>
      <c r="BQ220" s="2290" t="str">
        <f t="shared" si="314"/>
        <v>-</v>
      </c>
      <c r="BR220" s="1720" t="str">
        <f t="shared" si="314"/>
        <v>-</v>
      </c>
      <c r="BS220" s="1720" t="str">
        <f t="shared" si="314"/>
        <v>-</v>
      </c>
      <c r="BT220" s="1720" t="str">
        <f t="shared" si="314"/>
        <v>-</v>
      </c>
      <c r="BU220" s="1721" t="str">
        <f t="shared" si="314"/>
        <v>-</v>
      </c>
      <c r="BV220" s="1720" t="str">
        <f t="shared" si="314"/>
        <v>-</v>
      </c>
      <c r="BW220" s="1720" t="str">
        <f t="shared" si="314"/>
        <v>-</v>
      </c>
      <c r="BX220" s="1720" t="str">
        <f t="shared" si="314"/>
        <v>-</v>
      </c>
      <c r="BY220" s="1720" t="str">
        <f t="shared" si="314"/>
        <v>-</v>
      </c>
      <c r="BZ220" s="1721" t="str">
        <f t="shared" si="314"/>
        <v>-</v>
      </c>
      <c r="CA220" s="1048"/>
    </row>
    <row r="221" spans="3:79" ht="12.5" thickBot="1" x14ac:dyDescent="0.35">
      <c r="C221" s="126"/>
      <c r="D221" s="126"/>
      <c r="E221" s="559" t="s">
        <v>47</v>
      </c>
      <c r="F221" s="2162" t="str">
        <f t="shared" ref="F221:I221" si="315">+F219</f>
        <v>[Service]</v>
      </c>
      <c r="G221" s="2165">
        <f t="shared" si="315"/>
        <v>0</v>
      </c>
      <c r="H221" s="2165">
        <f t="shared" si="315"/>
        <v>0</v>
      </c>
      <c r="I221" s="2166" t="str">
        <f t="shared" si="315"/>
        <v>[Price]</v>
      </c>
      <c r="J221" s="2106" t="s">
        <v>347</v>
      </c>
      <c r="K221" s="1977"/>
      <c r="L221" s="1206"/>
      <c r="M221" s="1206"/>
      <c r="N221" s="1978"/>
      <c r="O221" s="1206"/>
      <c r="P221" s="1206"/>
      <c r="Q221" s="1206"/>
      <c r="R221" s="1206"/>
      <c r="S221" s="1978"/>
      <c r="T221" s="1206"/>
      <c r="U221" s="1206"/>
      <c r="V221" s="1206"/>
      <c r="W221" s="1731">
        <f t="shared" ref="W221:AG221" si="316">W219*W220/10^6</f>
        <v>0</v>
      </c>
      <c r="X221" s="1730">
        <f t="shared" si="316"/>
        <v>0</v>
      </c>
      <c r="Y221" s="1731">
        <f t="shared" si="316"/>
        <v>0</v>
      </c>
      <c r="Z221" s="1731">
        <f t="shared" si="316"/>
        <v>0</v>
      </c>
      <c r="AA221" s="1731">
        <f t="shared" si="316"/>
        <v>0</v>
      </c>
      <c r="AB221" s="1733">
        <f t="shared" si="316"/>
        <v>0</v>
      </c>
      <c r="AC221" s="1731">
        <f t="shared" si="316"/>
        <v>0</v>
      </c>
      <c r="AD221" s="1731">
        <f t="shared" si="316"/>
        <v>0</v>
      </c>
      <c r="AE221" s="1731">
        <f t="shared" si="316"/>
        <v>0</v>
      </c>
      <c r="AF221" s="1731">
        <f t="shared" si="316"/>
        <v>0</v>
      </c>
      <c r="AG221" s="1733">
        <f t="shared" si="316"/>
        <v>0</v>
      </c>
      <c r="AH221" s="1731">
        <f>AH219*AH220/10^6</f>
        <v>0</v>
      </c>
      <c r="AI221" s="1731">
        <f>AI219*AI220/10^6</f>
        <v>0</v>
      </c>
      <c r="AJ221" s="1731">
        <f>AJ219*AJ220/10^6</f>
        <v>0</v>
      </c>
      <c r="AK221" s="1731">
        <f>AK219*AK220/10^6</f>
        <v>0</v>
      </c>
      <c r="AL221" s="1733">
        <f>AL219*AL220/10^6</f>
        <v>0</v>
      </c>
      <c r="AM221" s="560"/>
      <c r="AN221" s="991"/>
      <c r="AO221" s="992"/>
      <c r="AP221" s="2304" t="str">
        <f t="shared" si="272"/>
        <v>Rev</v>
      </c>
      <c r="AQ221" s="2305" t="str">
        <f t="shared" si="272"/>
        <v>[Service]</v>
      </c>
      <c r="AR221" s="2306" t="str">
        <f t="shared" si="273"/>
        <v>[Price]</v>
      </c>
      <c r="AS221" s="2307" t="str">
        <f t="shared" si="286"/>
        <v>-</v>
      </c>
      <c r="AT221" s="1055" t="str">
        <f t="shared" si="286"/>
        <v>-</v>
      </c>
      <c r="AU221" s="1055" t="str">
        <f t="shared" si="286"/>
        <v>-</v>
      </c>
      <c r="AV221" s="2308" t="str">
        <f t="shared" si="286"/>
        <v>-</v>
      </c>
      <c r="AW221" s="1055" t="str">
        <f t="shared" si="286"/>
        <v>-</v>
      </c>
      <c r="AX221" s="2309" t="str">
        <f t="shared" si="286"/>
        <v>-</v>
      </c>
      <c r="AY221" s="1055" t="str">
        <f t="shared" si="286"/>
        <v>-</v>
      </c>
      <c r="AZ221" s="1055" t="str">
        <f t="shared" si="286"/>
        <v>-</v>
      </c>
      <c r="BA221" s="1055" t="str">
        <f t="shared" si="286"/>
        <v>-</v>
      </c>
      <c r="BB221" s="1056" t="str">
        <f t="shared" si="286"/>
        <v>-</v>
      </c>
      <c r="BC221" s="1055" t="str">
        <f t="shared" si="286"/>
        <v>-</v>
      </c>
      <c r="BD221" s="1055" t="str">
        <f t="shared" si="286"/>
        <v>-</v>
      </c>
      <c r="BE221" s="1055" t="str">
        <f t="shared" si="286"/>
        <v>-</v>
      </c>
      <c r="BF221" s="1055" t="str">
        <f t="shared" si="286"/>
        <v>-</v>
      </c>
      <c r="BG221" s="1056" t="str">
        <f t="shared" si="286"/>
        <v>-</v>
      </c>
      <c r="BH221" s="1048"/>
      <c r="BI221" s="2304" t="str">
        <f t="shared" si="300"/>
        <v>Rev</v>
      </c>
      <c r="BJ221" s="2305" t="str">
        <f t="shared" si="300"/>
        <v>[Service]</v>
      </c>
      <c r="BK221" s="2306" t="str">
        <f t="shared" si="300"/>
        <v>[Price]</v>
      </c>
      <c r="BL221" s="2307" t="str">
        <f t="shared" ref="BL221:BZ221" si="317">IF(OR(X221="",X221=0),"-",IFERROR((X221/W221-1)*(W221/W$13),"-"))</f>
        <v>-</v>
      </c>
      <c r="BM221" s="1055" t="str">
        <f t="shared" si="317"/>
        <v>-</v>
      </c>
      <c r="BN221" s="1055" t="str">
        <f t="shared" si="317"/>
        <v>-</v>
      </c>
      <c r="BO221" s="2308" t="str">
        <f t="shared" si="317"/>
        <v>-</v>
      </c>
      <c r="BP221" s="1055" t="str">
        <f t="shared" si="317"/>
        <v>-</v>
      </c>
      <c r="BQ221" s="2309" t="str">
        <f t="shared" si="317"/>
        <v>-</v>
      </c>
      <c r="BR221" s="1055" t="str">
        <f t="shared" si="317"/>
        <v>-</v>
      </c>
      <c r="BS221" s="1055" t="str">
        <f t="shared" si="317"/>
        <v>-</v>
      </c>
      <c r="BT221" s="1055" t="str">
        <f t="shared" si="317"/>
        <v>-</v>
      </c>
      <c r="BU221" s="1056" t="str">
        <f t="shared" si="317"/>
        <v>-</v>
      </c>
      <c r="BV221" s="1055" t="str">
        <f t="shared" si="317"/>
        <v>-</v>
      </c>
      <c r="BW221" s="1055" t="str">
        <f t="shared" si="317"/>
        <v>-</v>
      </c>
      <c r="BX221" s="1055" t="str">
        <f t="shared" si="317"/>
        <v>-</v>
      </c>
      <c r="BY221" s="1055" t="str">
        <f t="shared" si="317"/>
        <v>-</v>
      </c>
      <c r="BZ221" s="1056" t="str">
        <f t="shared" si="317"/>
        <v>-</v>
      </c>
      <c r="CA221" s="1048"/>
    </row>
    <row r="222" spans="3:79" x14ac:dyDescent="0.3">
      <c r="C222" s="126"/>
      <c r="D222" s="126">
        <f>D219+1</f>
        <v>52</v>
      </c>
      <c r="E222" s="553" t="s">
        <v>45</v>
      </c>
      <c r="F222" s="2105" t="s">
        <v>28</v>
      </c>
      <c r="G222" s="2105"/>
      <c r="H222" s="2105"/>
      <c r="I222" s="573" t="s">
        <v>319</v>
      </c>
      <c r="J222" s="573" t="s">
        <v>348</v>
      </c>
      <c r="K222" s="1969"/>
      <c r="L222" s="1970"/>
      <c r="M222" s="1970"/>
      <c r="N222" s="1971"/>
      <c r="O222" s="1970"/>
      <c r="P222" s="1970"/>
      <c r="Q222" s="1970"/>
      <c r="R222" s="1972"/>
      <c r="S222" s="1971"/>
      <c r="T222" s="1970"/>
      <c r="U222" s="1970"/>
      <c r="V222" s="1970"/>
      <c r="W222" s="1709"/>
      <c r="X222" s="1710"/>
      <c r="Y222" s="1709"/>
      <c r="Z222" s="1709"/>
      <c r="AA222" s="1709"/>
      <c r="AB222" s="1711"/>
      <c r="AC222" s="1709"/>
      <c r="AD222" s="1709"/>
      <c r="AE222" s="1709"/>
      <c r="AF222" s="1709"/>
      <c r="AG222" s="1712"/>
      <c r="AH222" s="1709"/>
      <c r="AI222" s="1709"/>
      <c r="AJ222" s="1709"/>
      <c r="AK222" s="1709"/>
      <c r="AL222" s="1712"/>
      <c r="AM222" s="560"/>
      <c r="AN222" s="1052"/>
      <c r="AO222" s="992"/>
      <c r="AP222" s="2297" t="str">
        <f t="shared" si="272"/>
        <v>Price</v>
      </c>
      <c r="AQ222" s="2298" t="str">
        <f t="shared" si="272"/>
        <v>[Service]</v>
      </c>
      <c r="AR222" s="1719" t="str">
        <f t="shared" si="273"/>
        <v>[Price]</v>
      </c>
      <c r="AS222" s="2299" t="str">
        <f t="shared" ref="AS222:BG238" si="318">IF(OR(X222="",X222=0),"-",IFERROR(X222/W222-1,"-"))</f>
        <v>-</v>
      </c>
      <c r="AT222" s="1728" t="str">
        <f t="shared" si="318"/>
        <v>-</v>
      </c>
      <c r="AU222" s="1728" t="str">
        <f t="shared" si="318"/>
        <v>-</v>
      </c>
      <c r="AV222" s="2300" t="str">
        <f t="shared" si="318"/>
        <v>-</v>
      </c>
      <c r="AW222" s="1728" t="str">
        <f t="shared" si="318"/>
        <v>-</v>
      </c>
      <c r="AX222" s="2301" t="str">
        <f t="shared" si="318"/>
        <v>-</v>
      </c>
      <c r="AY222" s="1728" t="str">
        <f t="shared" si="318"/>
        <v>-</v>
      </c>
      <c r="AZ222" s="1728" t="str">
        <f t="shared" si="318"/>
        <v>-</v>
      </c>
      <c r="BA222" s="1728" t="str">
        <f t="shared" si="318"/>
        <v>-</v>
      </c>
      <c r="BB222" s="1729" t="str">
        <f t="shared" si="318"/>
        <v>-</v>
      </c>
      <c r="BC222" s="1728" t="str">
        <f t="shared" si="318"/>
        <v>-</v>
      </c>
      <c r="BD222" s="1728" t="str">
        <f t="shared" si="318"/>
        <v>-</v>
      </c>
      <c r="BE222" s="1728" t="str">
        <f t="shared" si="318"/>
        <v>-</v>
      </c>
      <c r="BF222" s="1728" t="str">
        <f t="shared" si="318"/>
        <v>-</v>
      </c>
      <c r="BG222" s="1729" t="str">
        <f t="shared" si="318"/>
        <v>-</v>
      </c>
      <c r="BH222" s="1048"/>
      <c r="BI222" s="2297" t="str">
        <f t="shared" si="300"/>
        <v>Price</v>
      </c>
      <c r="BJ222" s="2298" t="str">
        <f t="shared" si="300"/>
        <v>[Service]</v>
      </c>
      <c r="BK222" s="1719" t="str">
        <f t="shared" si="300"/>
        <v>[Price]</v>
      </c>
      <c r="BL222" s="2299" t="str">
        <f t="shared" ref="BL222:BZ222" si="319">IF(OR(X222="",X222=0),"-",IFERROR((X222/W222-1)*(W224/W$13),"-"))</f>
        <v>-</v>
      </c>
      <c r="BM222" s="1053" t="str">
        <f t="shared" si="319"/>
        <v>-</v>
      </c>
      <c r="BN222" s="1053" t="str">
        <f t="shared" si="319"/>
        <v>-</v>
      </c>
      <c r="BO222" s="2302" t="str">
        <f t="shared" si="319"/>
        <v>-</v>
      </c>
      <c r="BP222" s="1053" t="str">
        <f t="shared" si="319"/>
        <v>-</v>
      </c>
      <c r="BQ222" s="2303" t="str">
        <f t="shared" si="319"/>
        <v>-</v>
      </c>
      <c r="BR222" s="1053" t="str">
        <f t="shared" si="319"/>
        <v>-</v>
      </c>
      <c r="BS222" s="1053" t="str">
        <f t="shared" si="319"/>
        <v>-</v>
      </c>
      <c r="BT222" s="1053" t="str">
        <f t="shared" si="319"/>
        <v>-</v>
      </c>
      <c r="BU222" s="1054" t="str">
        <f t="shared" si="319"/>
        <v>-</v>
      </c>
      <c r="BV222" s="1053" t="str">
        <f t="shared" si="319"/>
        <v>-</v>
      </c>
      <c r="BW222" s="1053" t="str">
        <f t="shared" si="319"/>
        <v>-</v>
      </c>
      <c r="BX222" s="1053" t="str">
        <f t="shared" si="319"/>
        <v>-</v>
      </c>
      <c r="BY222" s="1053" t="str">
        <f t="shared" si="319"/>
        <v>-</v>
      </c>
      <c r="BZ222" s="1054" t="str">
        <f t="shared" si="319"/>
        <v>-</v>
      </c>
      <c r="CA222" s="1048"/>
    </row>
    <row r="223" spans="3:79" x14ac:dyDescent="0.3">
      <c r="C223" s="126"/>
      <c r="D223" s="126"/>
      <c r="E223" s="558" t="s">
        <v>46</v>
      </c>
      <c r="F223" s="2161" t="str">
        <f t="shared" si="303"/>
        <v>[Service]</v>
      </c>
      <c r="G223" s="2163">
        <f t="shared" si="303"/>
        <v>0</v>
      </c>
      <c r="H223" s="2163">
        <f t="shared" si="303"/>
        <v>0</v>
      </c>
      <c r="I223" s="2164" t="str">
        <f t="shared" si="303"/>
        <v>[Price]</v>
      </c>
      <c r="J223" s="574" t="s">
        <v>323</v>
      </c>
      <c r="K223" s="1973"/>
      <c r="L223" s="1974"/>
      <c r="M223" s="1974"/>
      <c r="N223" s="1975"/>
      <c r="O223" s="1974"/>
      <c r="P223" s="1974"/>
      <c r="Q223" s="1974"/>
      <c r="R223" s="1976"/>
      <c r="S223" s="1975"/>
      <c r="T223" s="1974"/>
      <c r="U223" s="1974"/>
      <c r="V223" s="1974"/>
      <c r="W223" s="1713"/>
      <c r="X223" s="1714"/>
      <c r="Y223" s="1713"/>
      <c r="Z223" s="1713"/>
      <c r="AA223" s="1713"/>
      <c r="AB223" s="1715"/>
      <c r="AC223" s="1713"/>
      <c r="AD223" s="1713"/>
      <c r="AE223" s="1713"/>
      <c r="AF223" s="1713"/>
      <c r="AG223" s="1716"/>
      <c r="AH223" s="1713"/>
      <c r="AI223" s="1713"/>
      <c r="AJ223" s="1713"/>
      <c r="AK223" s="1713"/>
      <c r="AL223" s="1716"/>
      <c r="AM223" s="560"/>
      <c r="AN223" s="991"/>
      <c r="AO223" s="992"/>
      <c r="AP223" s="2285" t="str">
        <f t="shared" si="272"/>
        <v>Qty</v>
      </c>
      <c r="AQ223" s="2286" t="str">
        <f t="shared" si="272"/>
        <v>[Service]</v>
      </c>
      <c r="AR223" s="2287" t="str">
        <f t="shared" si="273"/>
        <v>[Price]</v>
      </c>
      <c r="AS223" s="2288" t="str">
        <f t="shared" si="318"/>
        <v>-</v>
      </c>
      <c r="AT223" s="1720" t="str">
        <f t="shared" si="318"/>
        <v>-</v>
      </c>
      <c r="AU223" s="1720" t="str">
        <f t="shared" si="318"/>
        <v>-</v>
      </c>
      <c r="AV223" s="2289" t="str">
        <f t="shared" si="318"/>
        <v>-</v>
      </c>
      <c r="AW223" s="1720" t="str">
        <f t="shared" si="318"/>
        <v>-</v>
      </c>
      <c r="AX223" s="2290" t="str">
        <f t="shared" si="318"/>
        <v>-</v>
      </c>
      <c r="AY223" s="1720" t="str">
        <f t="shared" si="318"/>
        <v>-</v>
      </c>
      <c r="AZ223" s="1720" t="str">
        <f t="shared" si="318"/>
        <v>-</v>
      </c>
      <c r="BA223" s="1720" t="str">
        <f t="shared" si="318"/>
        <v>-</v>
      </c>
      <c r="BB223" s="1721" t="str">
        <f t="shared" si="318"/>
        <v>-</v>
      </c>
      <c r="BC223" s="1720" t="str">
        <f t="shared" si="318"/>
        <v>-</v>
      </c>
      <c r="BD223" s="1720" t="str">
        <f t="shared" si="318"/>
        <v>-</v>
      </c>
      <c r="BE223" s="1720" t="str">
        <f t="shared" si="318"/>
        <v>-</v>
      </c>
      <c r="BF223" s="1720" t="str">
        <f t="shared" si="318"/>
        <v>-</v>
      </c>
      <c r="BG223" s="1721" t="str">
        <f t="shared" si="318"/>
        <v>-</v>
      </c>
      <c r="BH223" s="1048"/>
      <c r="BI223" s="2285" t="str">
        <f t="shared" si="300"/>
        <v>Qty</v>
      </c>
      <c r="BJ223" s="2286" t="str">
        <f t="shared" si="300"/>
        <v>[Service]</v>
      </c>
      <c r="BK223" s="2287" t="str">
        <f t="shared" si="300"/>
        <v>[Price]</v>
      </c>
      <c r="BL223" s="2288" t="str">
        <f t="shared" ref="BL223:BZ223" si="320">IF(OR(X223="",X223=0),"-",IFERROR((X223/W223-1)*(W224/W$13),"-"))</f>
        <v>-</v>
      </c>
      <c r="BM223" s="1720" t="str">
        <f t="shared" si="320"/>
        <v>-</v>
      </c>
      <c r="BN223" s="1720" t="str">
        <f t="shared" si="320"/>
        <v>-</v>
      </c>
      <c r="BO223" s="2289" t="str">
        <f t="shared" si="320"/>
        <v>-</v>
      </c>
      <c r="BP223" s="1720" t="str">
        <f t="shared" si="320"/>
        <v>-</v>
      </c>
      <c r="BQ223" s="2290" t="str">
        <f t="shared" si="320"/>
        <v>-</v>
      </c>
      <c r="BR223" s="1720" t="str">
        <f t="shared" si="320"/>
        <v>-</v>
      </c>
      <c r="BS223" s="1720" t="str">
        <f t="shared" si="320"/>
        <v>-</v>
      </c>
      <c r="BT223" s="1720" t="str">
        <f t="shared" si="320"/>
        <v>-</v>
      </c>
      <c r="BU223" s="1721" t="str">
        <f t="shared" si="320"/>
        <v>-</v>
      </c>
      <c r="BV223" s="1720" t="str">
        <f t="shared" si="320"/>
        <v>-</v>
      </c>
      <c r="BW223" s="1720" t="str">
        <f t="shared" si="320"/>
        <v>-</v>
      </c>
      <c r="BX223" s="1720" t="str">
        <f t="shared" si="320"/>
        <v>-</v>
      </c>
      <c r="BY223" s="1720" t="str">
        <f t="shared" si="320"/>
        <v>-</v>
      </c>
      <c r="BZ223" s="1721" t="str">
        <f t="shared" si="320"/>
        <v>-</v>
      </c>
      <c r="CA223" s="1048"/>
    </row>
    <row r="224" spans="3:79" ht="12.5" thickBot="1" x14ac:dyDescent="0.35">
      <c r="C224" s="126"/>
      <c r="D224" s="126"/>
      <c r="E224" s="559" t="s">
        <v>47</v>
      </c>
      <c r="F224" s="2162" t="str">
        <f t="shared" ref="F224:I224" si="321">+F222</f>
        <v>[Service]</v>
      </c>
      <c r="G224" s="2165">
        <f t="shared" si="321"/>
        <v>0</v>
      </c>
      <c r="H224" s="2165">
        <f t="shared" si="321"/>
        <v>0</v>
      </c>
      <c r="I224" s="2166" t="str">
        <f t="shared" si="321"/>
        <v>[Price]</v>
      </c>
      <c r="J224" s="2106" t="s">
        <v>347</v>
      </c>
      <c r="K224" s="1977"/>
      <c r="L224" s="1206"/>
      <c r="M224" s="1206"/>
      <c r="N224" s="1978"/>
      <c r="O224" s="1206"/>
      <c r="P224" s="1206"/>
      <c r="Q224" s="1206"/>
      <c r="R224" s="1206"/>
      <c r="S224" s="1978"/>
      <c r="T224" s="1206"/>
      <c r="U224" s="1206"/>
      <c r="V224" s="1206"/>
      <c r="W224" s="1731">
        <f t="shared" ref="W224:AG224" si="322">W222*W223/10^6</f>
        <v>0</v>
      </c>
      <c r="X224" s="1730">
        <f t="shared" si="322"/>
        <v>0</v>
      </c>
      <c r="Y224" s="1731">
        <f t="shared" si="322"/>
        <v>0</v>
      </c>
      <c r="Z224" s="1731">
        <f t="shared" si="322"/>
        <v>0</v>
      </c>
      <c r="AA224" s="1731">
        <f t="shared" si="322"/>
        <v>0</v>
      </c>
      <c r="AB224" s="1733">
        <f t="shared" si="322"/>
        <v>0</v>
      </c>
      <c r="AC224" s="1731">
        <f t="shared" si="322"/>
        <v>0</v>
      </c>
      <c r="AD224" s="1731">
        <f t="shared" si="322"/>
        <v>0</v>
      </c>
      <c r="AE224" s="1731">
        <f t="shared" si="322"/>
        <v>0</v>
      </c>
      <c r="AF224" s="1731">
        <f t="shared" si="322"/>
        <v>0</v>
      </c>
      <c r="AG224" s="1733">
        <f t="shared" si="322"/>
        <v>0</v>
      </c>
      <c r="AH224" s="1731">
        <f>AH222*AH223/10^6</f>
        <v>0</v>
      </c>
      <c r="AI224" s="1731">
        <f>AI222*AI223/10^6</f>
        <v>0</v>
      </c>
      <c r="AJ224" s="1731">
        <f>AJ222*AJ223/10^6</f>
        <v>0</v>
      </c>
      <c r="AK224" s="1731">
        <f>AK222*AK223/10^6</f>
        <v>0</v>
      </c>
      <c r="AL224" s="1733">
        <f>AL222*AL223/10^6</f>
        <v>0</v>
      </c>
      <c r="AM224" s="560"/>
      <c r="AN224" s="991"/>
      <c r="AO224" s="992"/>
      <c r="AP224" s="2304" t="str">
        <f t="shared" si="272"/>
        <v>Rev</v>
      </c>
      <c r="AQ224" s="2305" t="str">
        <f t="shared" si="272"/>
        <v>[Service]</v>
      </c>
      <c r="AR224" s="2306" t="str">
        <f t="shared" si="273"/>
        <v>[Price]</v>
      </c>
      <c r="AS224" s="2307" t="str">
        <f t="shared" si="318"/>
        <v>-</v>
      </c>
      <c r="AT224" s="1055" t="str">
        <f t="shared" si="318"/>
        <v>-</v>
      </c>
      <c r="AU224" s="1055" t="str">
        <f t="shared" si="318"/>
        <v>-</v>
      </c>
      <c r="AV224" s="2308" t="str">
        <f t="shared" si="318"/>
        <v>-</v>
      </c>
      <c r="AW224" s="1055" t="str">
        <f t="shared" si="318"/>
        <v>-</v>
      </c>
      <c r="AX224" s="2309" t="str">
        <f t="shared" si="318"/>
        <v>-</v>
      </c>
      <c r="AY224" s="1055" t="str">
        <f t="shared" si="318"/>
        <v>-</v>
      </c>
      <c r="AZ224" s="1055" t="str">
        <f t="shared" si="318"/>
        <v>-</v>
      </c>
      <c r="BA224" s="1055" t="str">
        <f t="shared" si="318"/>
        <v>-</v>
      </c>
      <c r="BB224" s="1056" t="str">
        <f t="shared" si="318"/>
        <v>-</v>
      </c>
      <c r="BC224" s="1055" t="str">
        <f t="shared" si="318"/>
        <v>-</v>
      </c>
      <c r="BD224" s="1055" t="str">
        <f t="shared" si="318"/>
        <v>-</v>
      </c>
      <c r="BE224" s="1055" t="str">
        <f t="shared" si="318"/>
        <v>-</v>
      </c>
      <c r="BF224" s="1055" t="str">
        <f t="shared" si="318"/>
        <v>-</v>
      </c>
      <c r="BG224" s="1056" t="str">
        <f t="shared" si="318"/>
        <v>-</v>
      </c>
      <c r="BH224" s="1048"/>
      <c r="BI224" s="2304" t="str">
        <f t="shared" si="300"/>
        <v>Rev</v>
      </c>
      <c r="BJ224" s="2305" t="str">
        <f t="shared" si="300"/>
        <v>[Service]</v>
      </c>
      <c r="BK224" s="2306" t="str">
        <f t="shared" si="300"/>
        <v>[Price]</v>
      </c>
      <c r="BL224" s="2307" t="str">
        <f t="shared" ref="BL224:BZ224" si="323">IF(OR(X224="",X224=0),"-",IFERROR((X224/W224-1)*(W224/W$13),"-"))</f>
        <v>-</v>
      </c>
      <c r="BM224" s="1055" t="str">
        <f t="shared" si="323"/>
        <v>-</v>
      </c>
      <c r="BN224" s="1055" t="str">
        <f t="shared" si="323"/>
        <v>-</v>
      </c>
      <c r="BO224" s="2308" t="str">
        <f t="shared" si="323"/>
        <v>-</v>
      </c>
      <c r="BP224" s="1055" t="str">
        <f t="shared" si="323"/>
        <v>-</v>
      </c>
      <c r="BQ224" s="2309" t="str">
        <f t="shared" si="323"/>
        <v>-</v>
      </c>
      <c r="BR224" s="1055" t="str">
        <f t="shared" si="323"/>
        <v>-</v>
      </c>
      <c r="BS224" s="1055" t="str">
        <f t="shared" si="323"/>
        <v>-</v>
      </c>
      <c r="BT224" s="1055" t="str">
        <f t="shared" si="323"/>
        <v>-</v>
      </c>
      <c r="BU224" s="1056" t="str">
        <f t="shared" si="323"/>
        <v>-</v>
      </c>
      <c r="BV224" s="1055" t="str">
        <f t="shared" si="323"/>
        <v>-</v>
      </c>
      <c r="BW224" s="1055" t="str">
        <f t="shared" si="323"/>
        <v>-</v>
      </c>
      <c r="BX224" s="1055" t="str">
        <f t="shared" si="323"/>
        <v>-</v>
      </c>
      <c r="BY224" s="1055" t="str">
        <f t="shared" si="323"/>
        <v>-</v>
      </c>
      <c r="BZ224" s="1056" t="str">
        <f t="shared" si="323"/>
        <v>-</v>
      </c>
      <c r="CA224" s="1048"/>
    </row>
    <row r="225" spans="3:79" x14ac:dyDescent="0.3">
      <c r="C225" s="126"/>
      <c r="D225" s="126">
        <f>D222+1</f>
        <v>53</v>
      </c>
      <c r="E225" s="553" t="s">
        <v>45</v>
      </c>
      <c r="F225" s="2105" t="s">
        <v>28</v>
      </c>
      <c r="G225" s="2105"/>
      <c r="H225" s="2105"/>
      <c r="I225" s="573" t="s">
        <v>319</v>
      </c>
      <c r="J225" s="573" t="s">
        <v>348</v>
      </c>
      <c r="K225" s="1969"/>
      <c r="L225" s="1970"/>
      <c r="M225" s="1970"/>
      <c r="N225" s="1971"/>
      <c r="O225" s="1970"/>
      <c r="P225" s="1970"/>
      <c r="Q225" s="1970"/>
      <c r="R225" s="1972"/>
      <c r="S225" s="1971"/>
      <c r="T225" s="1970"/>
      <c r="U225" s="1970"/>
      <c r="V225" s="1970"/>
      <c r="W225" s="1709"/>
      <c r="X225" s="1710"/>
      <c r="Y225" s="1709"/>
      <c r="Z225" s="1709"/>
      <c r="AA225" s="1709"/>
      <c r="AB225" s="1711"/>
      <c r="AC225" s="1709"/>
      <c r="AD225" s="1709"/>
      <c r="AE225" s="1709"/>
      <c r="AF225" s="1709"/>
      <c r="AG225" s="1712"/>
      <c r="AH225" s="1709"/>
      <c r="AI225" s="1709"/>
      <c r="AJ225" s="1709"/>
      <c r="AK225" s="1709"/>
      <c r="AL225" s="1712"/>
      <c r="AM225" s="560"/>
      <c r="AN225" s="1052"/>
      <c r="AO225" s="992"/>
      <c r="AP225" s="2297" t="str">
        <f t="shared" si="272"/>
        <v>Price</v>
      </c>
      <c r="AQ225" s="2298" t="str">
        <f t="shared" si="272"/>
        <v>[Service]</v>
      </c>
      <c r="AR225" s="1719" t="str">
        <f t="shared" si="273"/>
        <v>[Price]</v>
      </c>
      <c r="AS225" s="2299" t="str">
        <f t="shared" si="318"/>
        <v>-</v>
      </c>
      <c r="AT225" s="1728" t="str">
        <f t="shared" si="318"/>
        <v>-</v>
      </c>
      <c r="AU225" s="1728" t="str">
        <f t="shared" si="318"/>
        <v>-</v>
      </c>
      <c r="AV225" s="2300" t="str">
        <f t="shared" si="318"/>
        <v>-</v>
      </c>
      <c r="AW225" s="1728" t="str">
        <f t="shared" si="318"/>
        <v>-</v>
      </c>
      <c r="AX225" s="2301" t="str">
        <f t="shared" si="318"/>
        <v>-</v>
      </c>
      <c r="AY225" s="1728" t="str">
        <f t="shared" si="318"/>
        <v>-</v>
      </c>
      <c r="AZ225" s="1728" t="str">
        <f t="shared" si="318"/>
        <v>-</v>
      </c>
      <c r="BA225" s="1728" t="str">
        <f t="shared" si="318"/>
        <v>-</v>
      </c>
      <c r="BB225" s="1729" t="str">
        <f t="shared" si="318"/>
        <v>-</v>
      </c>
      <c r="BC225" s="1728" t="str">
        <f t="shared" si="318"/>
        <v>-</v>
      </c>
      <c r="BD225" s="1728" t="str">
        <f t="shared" si="318"/>
        <v>-</v>
      </c>
      <c r="BE225" s="1728" t="str">
        <f t="shared" si="318"/>
        <v>-</v>
      </c>
      <c r="BF225" s="1728" t="str">
        <f t="shared" si="318"/>
        <v>-</v>
      </c>
      <c r="BG225" s="1729" t="str">
        <f t="shared" si="318"/>
        <v>-</v>
      </c>
      <c r="BH225" s="1048"/>
      <c r="BI225" s="2297" t="str">
        <f t="shared" si="300"/>
        <v>Price</v>
      </c>
      <c r="BJ225" s="2298" t="str">
        <f t="shared" si="300"/>
        <v>[Service]</v>
      </c>
      <c r="BK225" s="1719" t="str">
        <f t="shared" si="300"/>
        <v>[Price]</v>
      </c>
      <c r="BL225" s="2299" t="str">
        <f t="shared" ref="BL225:BZ225" si="324">IF(OR(X225="",X225=0),"-",IFERROR((X225/W225-1)*(W227/W$13),"-"))</f>
        <v>-</v>
      </c>
      <c r="BM225" s="1053" t="str">
        <f t="shared" si="324"/>
        <v>-</v>
      </c>
      <c r="BN225" s="1053" t="str">
        <f t="shared" si="324"/>
        <v>-</v>
      </c>
      <c r="BO225" s="2302" t="str">
        <f t="shared" si="324"/>
        <v>-</v>
      </c>
      <c r="BP225" s="1053" t="str">
        <f t="shared" si="324"/>
        <v>-</v>
      </c>
      <c r="BQ225" s="2303" t="str">
        <f t="shared" si="324"/>
        <v>-</v>
      </c>
      <c r="BR225" s="1053" t="str">
        <f t="shared" si="324"/>
        <v>-</v>
      </c>
      <c r="BS225" s="1053" t="str">
        <f t="shared" si="324"/>
        <v>-</v>
      </c>
      <c r="BT225" s="1053" t="str">
        <f t="shared" si="324"/>
        <v>-</v>
      </c>
      <c r="BU225" s="1054" t="str">
        <f t="shared" si="324"/>
        <v>-</v>
      </c>
      <c r="BV225" s="1053" t="str">
        <f t="shared" si="324"/>
        <v>-</v>
      </c>
      <c r="BW225" s="1053" t="str">
        <f t="shared" si="324"/>
        <v>-</v>
      </c>
      <c r="BX225" s="1053" t="str">
        <f t="shared" si="324"/>
        <v>-</v>
      </c>
      <c r="BY225" s="1053" t="str">
        <f t="shared" si="324"/>
        <v>-</v>
      </c>
      <c r="BZ225" s="1054" t="str">
        <f t="shared" si="324"/>
        <v>-</v>
      </c>
      <c r="CA225" s="1048"/>
    </row>
    <row r="226" spans="3:79" x14ac:dyDescent="0.3">
      <c r="C226" s="126"/>
      <c r="D226" s="126"/>
      <c r="E226" s="558" t="s">
        <v>46</v>
      </c>
      <c r="F226" s="2161" t="str">
        <f t="shared" si="303"/>
        <v>[Service]</v>
      </c>
      <c r="G226" s="2163">
        <f t="shared" si="303"/>
        <v>0</v>
      </c>
      <c r="H226" s="2163">
        <f t="shared" si="303"/>
        <v>0</v>
      </c>
      <c r="I226" s="2164" t="str">
        <f t="shared" si="303"/>
        <v>[Price]</v>
      </c>
      <c r="J226" s="574" t="s">
        <v>323</v>
      </c>
      <c r="K226" s="1973"/>
      <c r="L226" s="1974"/>
      <c r="M226" s="1974"/>
      <c r="N226" s="1975"/>
      <c r="O226" s="1974"/>
      <c r="P226" s="1974"/>
      <c r="Q226" s="1974"/>
      <c r="R226" s="1976"/>
      <c r="S226" s="1975"/>
      <c r="T226" s="1974"/>
      <c r="U226" s="1974"/>
      <c r="V226" s="1974"/>
      <c r="W226" s="1713"/>
      <c r="X226" s="1714"/>
      <c r="Y226" s="1713"/>
      <c r="Z226" s="1713"/>
      <c r="AA226" s="1713"/>
      <c r="AB226" s="1715"/>
      <c r="AC226" s="1713"/>
      <c r="AD226" s="1713"/>
      <c r="AE226" s="1713"/>
      <c r="AF226" s="1713"/>
      <c r="AG226" s="1716"/>
      <c r="AH226" s="1713"/>
      <c r="AI226" s="1713"/>
      <c r="AJ226" s="1713"/>
      <c r="AK226" s="1713"/>
      <c r="AL226" s="1716"/>
      <c r="AM226" s="560"/>
      <c r="AN226" s="991"/>
      <c r="AO226" s="992"/>
      <c r="AP226" s="2285" t="str">
        <f t="shared" si="272"/>
        <v>Qty</v>
      </c>
      <c r="AQ226" s="2286" t="str">
        <f t="shared" si="272"/>
        <v>[Service]</v>
      </c>
      <c r="AR226" s="2287" t="str">
        <f t="shared" si="273"/>
        <v>[Price]</v>
      </c>
      <c r="AS226" s="2288" t="str">
        <f t="shared" si="318"/>
        <v>-</v>
      </c>
      <c r="AT226" s="1720" t="str">
        <f t="shared" si="318"/>
        <v>-</v>
      </c>
      <c r="AU226" s="1720" t="str">
        <f t="shared" si="318"/>
        <v>-</v>
      </c>
      <c r="AV226" s="2289" t="str">
        <f t="shared" si="318"/>
        <v>-</v>
      </c>
      <c r="AW226" s="1720" t="str">
        <f t="shared" si="318"/>
        <v>-</v>
      </c>
      <c r="AX226" s="2290" t="str">
        <f t="shared" si="318"/>
        <v>-</v>
      </c>
      <c r="AY226" s="1720" t="str">
        <f t="shared" si="318"/>
        <v>-</v>
      </c>
      <c r="AZ226" s="1720" t="str">
        <f t="shared" si="318"/>
        <v>-</v>
      </c>
      <c r="BA226" s="1720" t="str">
        <f t="shared" si="318"/>
        <v>-</v>
      </c>
      <c r="BB226" s="1721" t="str">
        <f t="shared" si="318"/>
        <v>-</v>
      </c>
      <c r="BC226" s="1720" t="str">
        <f t="shared" si="318"/>
        <v>-</v>
      </c>
      <c r="BD226" s="1720" t="str">
        <f t="shared" si="318"/>
        <v>-</v>
      </c>
      <c r="BE226" s="1720" t="str">
        <f t="shared" si="318"/>
        <v>-</v>
      </c>
      <c r="BF226" s="1720" t="str">
        <f t="shared" si="318"/>
        <v>-</v>
      </c>
      <c r="BG226" s="1721" t="str">
        <f t="shared" si="318"/>
        <v>-</v>
      </c>
      <c r="BH226" s="1048"/>
      <c r="BI226" s="2285" t="str">
        <f t="shared" si="300"/>
        <v>Qty</v>
      </c>
      <c r="BJ226" s="2286" t="str">
        <f t="shared" si="300"/>
        <v>[Service]</v>
      </c>
      <c r="BK226" s="2287" t="str">
        <f t="shared" si="300"/>
        <v>[Price]</v>
      </c>
      <c r="BL226" s="2288" t="str">
        <f t="shared" ref="BL226:BZ226" si="325">IF(OR(X226="",X226=0),"-",IFERROR((X226/W226-1)*(W227/W$13),"-"))</f>
        <v>-</v>
      </c>
      <c r="BM226" s="1720" t="str">
        <f t="shared" si="325"/>
        <v>-</v>
      </c>
      <c r="BN226" s="1720" t="str">
        <f t="shared" si="325"/>
        <v>-</v>
      </c>
      <c r="BO226" s="2289" t="str">
        <f t="shared" si="325"/>
        <v>-</v>
      </c>
      <c r="BP226" s="1720" t="str">
        <f t="shared" si="325"/>
        <v>-</v>
      </c>
      <c r="BQ226" s="2290" t="str">
        <f t="shared" si="325"/>
        <v>-</v>
      </c>
      <c r="BR226" s="1720" t="str">
        <f t="shared" si="325"/>
        <v>-</v>
      </c>
      <c r="BS226" s="1720" t="str">
        <f t="shared" si="325"/>
        <v>-</v>
      </c>
      <c r="BT226" s="1720" t="str">
        <f t="shared" si="325"/>
        <v>-</v>
      </c>
      <c r="BU226" s="1721" t="str">
        <f t="shared" si="325"/>
        <v>-</v>
      </c>
      <c r="BV226" s="1720" t="str">
        <f t="shared" si="325"/>
        <v>-</v>
      </c>
      <c r="BW226" s="1720" t="str">
        <f t="shared" si="325"/>
        <v>-</v>
      </c>
      <c r="BX226" s="1720" t="str">
        <f t="shared" si="325"/>
        <v>-</v>
      </c>
      <c r="BY226" s="1720" t="str">
        <f t="shared" si="325"/>
        <v>-</v>
      </c>
      <c r="BZ226" s="1721" t="str">
        <f t="shared" si="325"/>
        <v>-</v>
      </c>
      <c r="CA226" s="1048"/>
    </row>
    <row r="227" spans="3:79" ht="12.5" thickBot="1" x14ac:dyDescent="0.35">
      <c r="C227" s="126"/>
      <c r="D227" s="126"/>
      <c r="E227" s="559" t="s">
        <v>47</v>
      </c>
      <c r="F227" s="2162" t="str">
        <f t="shared" ref="F227:I227" si="326">+F225</f>
        <v>[Service]</v>
      </c>
      <c r="G227" s="2165">
        <f t="shared" si="326"/>
        <v>0</v>
      </c>
      <c r="H227" s="2165">
        <f t="shared" si="326"/>
        <v>0</v>
      </c>
      <c r="I227" s="2166" t="str">
        <f t="shared" si="326"/>
        <v>[Price]</v>
      </c>
      <c r="J227" s="2106" t="s">
        <v>347</v>
      </c>
      <c r="K227" s="1977"/>
      <c r="L227" s="1206"/>
      <c r="M227" s="1206"/>
      <c r="N227" s="1978"/>
      <c r="O227" s="1206"/>
      <c r="P227" s="1206"/>
      <c r="Q227" s="1206"/>
      <c r="R227" s="1206"/>
      <c r="S227" s="1978"/>
      <c r="T227" s="1206"/>
      <c r="U227" s="1206"/>
      <c r="V227" s="1206"/>
      <c r="W227" s="1731">
        <f t="shared" ref="W227:AG227" si="327">W225*W226/10^6</f>
        <v>0</v>
      </c>
      <c r="X227" s="1730">
        <f t="shared" si="327"/>
        <v>0</v>
      </c>
      <c r="Y227" s="1731">
        <f t="shared" si="327"/>
        <v>0</v>
      </c>
      <c r="Z227" s="1731">
        <f t="shared" si="327"/>
        <v>0</v>
      </c>
      <c r="AA227" s="1731">
        <f t="shared" si="327"/>
        <v>0</v>
      </c>
      <c r="AB227" s="1733">
        <f t="shared" si="327"/>
        <v>0</v>
      </c>
      <c r="AC227" s="1731">
        <f t="shared" si="327"/>
        <v>0</v>
      </c>
      <c r="AD227" s="1731">
        <f t="shared" si="327"/>
        <v>0</v>
      </c>
      <c r="AE227" s="1731">
        <f t="shared" si="327"/>
        <v>0</v>
      </c>
      <c r="AF227" s="1731">
        <f t="shared" si="327"/>
        <v>0</v>
      </c>
      <c r="AG227" s="1733">
        <f t="shared" si="327"/>
        <v>0</v>
      </c>
      <c r="AH227" s="1731">
        <f>AH225*AH226/10^6</f>
        <v>0</v>
      </c>
      <c r="AI227" s="1731">
        <f>AI225*AI226/10^6</f>
        <v>0</v>
      </c>
      <c r="AJ227" s="1731">
        <f>AJ225*AJ226/10^6</f>
        <v>0</v>
      </c>
      <c r="AK227" s="1731">
        <f>AK225*AK226/10^6</f>
        <v>0</v>
      </c>
      <c r="AL227" s="1733">
        <f>AL225*AL226/10^6</f>
        <v>0</v>
      </c>
      <c r="AM227" s="560"/>
      <c r="AN227" s="991"/>
      <c r="AO227" s="992"/>
      <c r="AP227" s="2304" t="str">
        <f t="shared" si="272"/>
        <v>Rev</v>
      </c>
      <c r="AQ227" s="2305" t="str">
        <f t="shared" si="272"/>
        <v>[Service]</v>
      </c>
      <c r="AR227" s="2306" t="str">
        <f t="shared" si="273"/>
        <v>[Price]</v>
      </c>
      <c r="AS227" s="2307" t="str">
        <f t="shared" si="318"/>
        <v>-</v>
      </c>
      <c r="AT227" s="1055" t="str">
        <f t="shared" si="318"/>
        <v>-</v>
      </c>
      <c r="AU227" s="1055" t="str">
        <f t="shared" si="318"/>
        <v>-</v>
      </c>
      <c r="AV227" s="2308" t="str">
        <f t="shared" si="318"/>
        <v>-</v>
      </c>
      <c r="AW227" s="1055" t="str">
        <f t="shared" si="318"/>
        <v>-</v>
      </c>
      <c r="AX227" s="2309" t="str">
        <f t="shared" si="318"/>
        <v>-</v>
      </c>
      <c r="AY227" s="1055" t="str">
        <f t="shared" si="318"/>
        <v>-</v>
      </c>
      <c r="AZ227" s="1055" t="str">
        <f t="shared" si="318"/>
        <v>-</v>
      </c>
      <c r="BA227" s="1055" t="str">
        <f t="shared" si="318"/>
        <v>-</v>
      </c>
      <c r="BB227" s="1056" t="str">
        <f t="shared" si="318"/>
        <v>-</v>
      </c>
      <c r="BC227" s="1055" t="str">
        <f t="shared" si="318"/>
        <v>-</v>
      </c>
      <c r="BD227" s="1055" t="str">
        <f t="shared" si="318"/>
        <v>-</v>
      </c>
      <c r="BE227" s="1055" t="str">
        <f t="shared" si="318"/>
        <v>-</v>
      </c>
      <c r="BF227" s="1055" t="str">
        <f t="shared" si="318"/>
        <v>-</v>
      </c>
      <c r="BG227" s="1056" t="str">
        <f t="shared" si="318"/>
        <v>-</v>
      </c>
      <c r="BH227" s="1048"/>
      <c r="BI227" s="2304" t="str">
        <f t="shared" si="300"/>
        <v>Rev</v>
      </c>
      <c r="BJ227" s="2305" t="str">
        <f t="shared" si="300"/>
        <v>[Service]</v>
      </c>
      <c r="BK227" s="2306" t="str">
        <f t="shared" si="300"/>
        <v>[Price]</v>
      </c>
      <c r="BL227" s="2307" t="str">
        <f t="shared" ref="BL227:BZ227" si="328">IF(OR(X227="",X227=0),"-",IFERROR((X227/W227-1)*(W227/W$13),"-"))</f>
        <v>-</v>
      </c>
      <c r="BM227" s="1055" t="str">
        <f t="shared" si="328"/>
        <v>-</v>
      </c>
      <c r="BN227" s="1055" t="str">
        <f t="shared" si="328"/>
        <v>-</v>
      </c>
      <c r="BO227" s="2308" t="str">
        <f t="shared" si="328"/>
        <v>-</v>
      </c>
      <c r="BP227" s="1055" t="str">
        <f t="shared" si="328"/>
        <v>-</v>
      </c>
      <c r="BQ227" s="2309" t="str">
        <f t="shared" si="328"/>
        <v>-</v>
      </c>
      <c r="BR227" s="1055" t="str">
        <f t="shared" si="328"/>
        <v>-</v>
      </c>
      <c r="BS227" s="1055" t="str">
        <f t="shared" si="328"/>
        <v>-</v>
      </c>
      <c r="BT227" s="1055" t="str">
        <f t="shared" si="328"/>
        <v>-</v>
      </c>
      <c r="BU227" s="1056" t="str">
        <f t="shared" si="328"/>
        <v>-</v>
      </c>
      <c r="BV227" s="1055" t="str">
        <f t="shared" si="328"/>
        <v>-</v>
      </c>
      <c r="BW227" s="1055" t="str">
        <f t="shared" si="328"/>
        <v>-</v>
      </c>
      <c r="BX227" s="1055" t="str">
        <f t="shared" si="328"/>
        <v>-</v>
      </c>
      <c r="BY227" s="1055" t="str">
        <f t="shared" si="328"/>
        <v>-</v>
      </c>
      <c r="BZ227" s="1056" t="str">
        <f t="shared" si="328"/>
        <v>-</v>
      </c>
      <c r="CA227" s="1048"/>
    </row>
    <row r="228" spans="3:79" x14ac:dyDescent="0.3">
      <c r="C228" s="126"/>
      <c r="D228" s="126">
        <f>D225+1</f>
        <v>54</v>
      </c>
      <c r="E228" s="553" t="s">
        <v>45</v>
      </c>
      <c r="F228" s="2105" t="s">
        <v>28</v>
      </c>
      <c r="G228" s="2105"/>
      <c r="H228" s="2105"/>
      <c r="I228" s="573" t="s">
        <v>319</v>
      </c>
      <c r="J228" s="573" t="s">
        <v>348</v>
      </c>
      <c r="K228" s="1969"/>
      <c r="L228" s="1970"/>
      <c r="M228" s="1970"/>
      <c r="N228" s="1971"/>
      <c r="O228" s="1970"/>
      <c r="P228" s="1970"/>
      <c r="Q228" s="1970"/>
      <c r="R228" s="1972"/>
      <c r="S228" s="1971"/>
      <c r="T228" s="1970"/>
      <c r="U228" s="1970"/>
      <c r="V228" s="1970"/>
      <c r="W228" s="1709"/>
      <c r="X228" s="1710"/>
      <c r="Y228" s="1709"/>
      <c r="Z228" s="1709"/>
      <c r="AA228" s="1709"/>
      <c r="AB228" s="1711"/>
      <c r="AC228" s="1709"/>
      <c r="AD228" s="1709"/>
      <c r="AE228" s="1709"/>
      <c r="AF228" s="1709"/>
      <c r="AG228" s="1712"/>
      <c r="AH228" s="1709"/>
      <c r="AI228" s="1709"/>
      <c r="AJ228" s="1709"/>
      <c r="AK228" s="1709"/>
      <c r="AL228" s="1712"/>
      <c r="AM228" s="560"/>
      <c r="AN228" s="1052"/>
      <c r="AO228" s="992"/>
      <c r="AP228" s="2297" t="str">
        <f t="shared" si="272"/>
        <v>Price</v>
      </c>
      <c r="AQ228" s="2298" t="str">
        <f t="shared" si="272"/>
        <v>[Service]</v>
      </c>
      <c r="AR228" s="1719" t="str">
        <f t="shared" si="273"/>
        <v>[Price]</v>
      </c>
      <c r="AS228" s="2299" t="str">
        <f t="shared" si="318"/>
        <v>-</v>
      </c>
      <c r="AT228" s="1728" t="str">
        <f t="shared" si="318"/>
        <v>-</v>
      </c>
      <c r="AU228" s="1728" t="str">
        <f t="shared" si="318"/>
        <v>-</v>
      </c>
      <c r="AV228" s="2300" t="str">
        <f t="shared" si="318"/>
        <v>-</v>
      </c>
      <c r="AW228" s="1728" t="str">
        <f t="shared" si="318"/>
        <v>-</v>
      </c>
      <c r="AX228" s="2301" t="str">
        <f t="shared" si="318"/>
        <v>-</v>
      </c>
      <c r="AY228" s="1728" t="str">
        <f t="shared" si="318"/>
        <v>-</v>
      </c>
      <c r="AZ228" s="1728" t="str">
        <f t="shared" si="318"/>
        <v>-</v>
      </c>
      <c r="BA228" s="1728" t="str">
        <f t="shared" si="318"/>
        <v>-</v>
      </c>
      <c r="BB228" s="1729" t="str">
        <f t="shared" si="318"/>
        <v>-</v>
      </c>
      <c r="BC228" s="1728" t="str">
        <f t="shared" si="318"/>
        <v>-</v>
      </c>
      <c r="BD228" s="1728" t="str">
        <f t="shared" si="318"/>
        <v>-</v>
      </c>
      <c r="BE228" s="1728" t="str">
        <f t="shared" si="318"/>
        <v>-</v>
      </c>
      <c r="BF228" s="1728" t="str">
        <f t="shared" si="318"/>
        <v>-</v>
      </c>
      <c r="BG228" s="1729" t="str">
        <f t="shared" si="318"/>
        <v>-</v>
      </c>
      <c r="BH228" s="1048"/>
      <c r="BI228" s="2297" t="str">
        <f t="shared" si="300"/>
        <v>Price</v>
      </c>
      <c r="BJ228" s="2298" t="str">
        <f t="shared" si="300"/>
        <v>[Service]</v>
      </c>
      <c r="BK228" s="1719" t="str">
        <f t="shared" si="300"/>
        <v>[Price]</v>
      </c>
      <c r="BL228" s="2299" t="str">
        <f t="shared" ref="BL228:BZ228" si="329">IF(OR(X228="",X228=0),"-",IFERROR((X228/W228-1)*(W230/W$13),"-"))</f>
        <v>-</v>
      </c>
      <c r="BM228" s="1053" t="str">
        <f t="shared" si="329"/>
        <v>-</v>
      </c>
      <c r="BN228" s="1053" t="str">
        <f t="shared" si="329"/>
        <v>-</v>
      </c>
      <c r="BO228" s="2302" t="str">
        <f t="shared" si="329"/>
        <v>-</v>
      </c>
      <c r="BP228" s="1053" t="str">
        <f t="shared" si="329"/>
        <v>-</v>
      </c>
      <c r="BQ228" s="2303" t="str">
        <f t="shared" si="329"/>
        <v>-</v>
      </c>
      <c r="BR228" s="1053" t="str">
        <f t="shared" si="329"/>
        <v>-</v>
      </c>
      <c r="BS228" s="1053" t="str">
        <f t="shared" si="329"/>
        <v>-</v>
      </c>
      <c r="BT228" s="1053" t="str">
        <f t="shared" si="329"/>
        <v>-</v>
      </c>
      <c r="BU228" s="1054" t="str">
        <f t="shared" si="329"/>
        <v>-</v>
      </c>
      <c r="BV228" s="1053" t="str">
        <f t="shared" si="329"/>
        <v>-</v>
      </c>
      <c r="BW228" s="1053" t="str">
        <f t="shared" si="329"/>
        <v>-</v>
      </c>
      <c r="BX228" s="1053" t="str">
        <f t="shared" si="329"/>
        <v>-</v>
      </c>
      <c r="BY228" s="1053" t="str">
        <f t="shared" si="329"/>
        <v>-</v>
      </c>
      <c r="BZ228" s="1054" t="str">
        <f t="shared" si="329"/>
        <v>-</v>
      </c>
      <c r="CA228" s="1048"/>
    </row>
    <row r="229" spans="3:79" x14ac:dyDescent="0.3">
      <c r="C229" s="126"/>
      <c r="D229" s="126"/>
      <c r="E229" s="558" t="s">
        <v>46</v>
      </c>
      <c r="F229" s="2161" t="str">
        <f t="shared" si="303"/>
        <v>[Service]</v>
      </c>
      <c r="G229" s="2163">
        <f t="shared" si="303"/>
        <v>0</v>
      </c>
      <c r="H229" s="2163">
        <f t="shared" si="303"/>
        <v>0</v>
      </c>
      <c r="I229" s="2164" t="str">
        <f t="shared" si="303"/>
        <v>[Price]</v>
      </c>
      <c r="J229" s="574" t="s">
        <v>323</v>
      </c>
      <c r="K229" s="1973"/>
      <c r="L229" s="1974"/>
      <c r="M229" s="1974"/>
      <c r="N229" s="1975"/>
      <c r="O229" s="1974"/>
      <c r="P229" s="1974"/>
      <c r="Q229" s="1974"/>
      <c r="R229" s="1976"/>
      <c r="S229" s="1975"/>
      <c r="T229" s="1974"/>
      <c r="U229" s="1974"/>
      <c r="V229" s="1974"/>
      <c r="W229" s="1713"/>
      <c r="X229" s="1714"/>
      <c r="Y229" s="1713"/>
      <c r="Z229" s="1713"/>
      <c r="AA229" s="1713"/>
      <c r="AB229" s="1715"/>
      <c r="AC229" s="1713"/>
      <c r="AD229" s="1713"/>
      <c r="AE229" s="1713"/>
      <c r="AF229" s="1713"/>
      <c r="AG229" s="1716"/>
      <c r="AH229" s="1713"/>
      <c r="AI229" s="1713"/>
      <c r="AJ229" s="1713"/>
      <c r="AK229" s="1713"/>
      <c r="AL229" s="1716"/>
      <c r="AM229" s="560"/>
      <c r="AN229" s="991"/>
      <c r="AO229" s="992"/>
      <c r="AP229" s="2285" t="str">
        <f t="shared" si="272"/>
        <v>Qty</v>
      </c>
      <c r="AQ229" s="2286" t="str">
        <f t="shared" si="272"/>
        <v>[Service]</v>
      </c>
      <c r="AR229" s="2287" t="str">
        <f t="shared" si="273"/>
        <v>[Price]</v>
      </c>
      <c r="AS229" s="2288" t="str">
        <f t="shared" si="318"/>
        <v>-</v>
      </c>
      <c r="AT229" s="1720" t="str">
        <f t="shared" si="318"/>
        <v>-</v>
      </c>
      <c r="AU229" s="1720" t="str">
        <f t="shared" si="318"/>
        <v>-</v>
      </c>
      <c r="AV229" s="2289" t="str">
        <f t="shared" si="318"/>
        <v>-</v>
      </c>
      <c r="AW229" s="1720" t="str">
        <f t="shared" si="318"/>
        <v>-</v>
      </c>
      <c r="AX229" s="2290" t="str">
        <f t="shared" si="318"/>
        <v>-</v>
      </c>
      <c r="AY229" s="1720" t="str">
        <f t="shared" si="318"/>
        <v>-</v>
      </c>
      <c r="AZ229" s="1720" t="str">
        <f t="shared" si="318"/>
        <v>-</v>
      </c>
      <c r="BA229" s="1720" t="str">
        <f t="shared" si="318"/>
        <v>-</v>
      </c>
      <c r="BB229" s="1721" t="str">
        <f t="shared" si="318"/>
        <v>-</v>
      </c>
      <c r="BC229" s="1720" t="str">
        <f t="shared" si="318"/>
        <v>-</v>
      </c>
      <c r="BD229" s="1720" t="str">
        <f t="shared" si="318"/>
        <v>-</v>
      </c>
      <c r="BE229" s="1720" t="str">
        <f t="shared" si="318"/>
        <v>-</v>
      </c>
      <c r="BF229" s="1720" t="str">
        <f t="shared" si="318"/>
        <v>-</v>
      </c>
      <c r="BG229" s="1721" t="str">
        <f t="shared" si="318"/>
        <v>-</v>
      </c>
      <c r="BH229" s="1048"/>
      <c r="BI229" s="2285" t="str">
        <f t="shared" si="300"/>
        <v>Qty</v>
      </c>
      <c r="BJ229" s="2286" t="str">
        <f t="shared" si="300"/>
        <v>[Service]</v>
      </c>
      <c r="BK229" s="2287" t="str">
        <f t="shared" si="300"/>
        <v>[Price]</v>
      </c>
      <c r="BL229" s="2288" t="str">
        <f t="shared" ref="BL229:BZ229" si="330">IF(OR(X229="",X229=0),"-",IFERROR((X229/W229-1)*(W230/W$13),"-"))</f>
        <v>-</v>
      </c>
      <c r="BM229" s="1720" t="str">
        <f t="shared" si="330"/>
        <v>-</v>
      </c>
      <c r="BN229" s="1720" t="str">
        <f t="shared" si="330"/>
        <v>-</v>
      </c>
      <c r="BO229" s="2289" t="str">
        <f t="shared" si="330"/>
        <v>-</v>
      </c>
      <c r="BP229" s="1720" t="str">
        <f t="shared" si="330"/>
        <v>-</v>
      </c>
      <c r="BQ229" s="2290" t="str">
        <f t="shared" si="330"/>
        <v>-</v>
      </c>
      <c r="BR229" s="1720" t="str">
        <f t="shared" si="330"/>
        <v>-</v>
      </c>
      <c r="BS229" s="1720" t="str">
        <f t="shared" si="330"/>
        <v>-</v>
      </c>
      <c r="BT229" s="1720" t="str">
        <f t="shared" si="330"/>
        <v>-</v>
      </c>
      <c r="BU229" s="1721" t="str">
        <f t="shared" si="330"/>
        <v>-</v>
      </c>
      <c r="BV229" s="1720" t="str">
        <f t="shared" si="330"/>
        <v>-</v>
      </c>
      <c r="BW229" s="1720" t="str">
        <f t="shared" si="330"/>
        <v>-</v>
      </c>
      <c r="BX229" s="1720" t="str">
        <f t="shared" si="330"/>
        <v>-</v>
      </c>
      <c r="BY229" s="1720" t="str">
        <f t="shared" si="330"/>
        <v>-</v>
      </c>
      <c r="BZ229" s="1721" t="str">
        <f t="shared" si="330"/>
        <v>-</v>
      </c>
      <c r="CA229" s="1048"/>
    </row>
    <row r="230" spans="3:79" ht="12.5" thickBot="1" x14ac:dyDescent="0.35">
      <c r="C230" s="126"/>
      <c r="D230" s="126"/>
      <c r="E230" s="559" t="s">
        <v>47</v>
      </c>
      <c r="F230" s="2162" t="str">
        <f t="shared" ref="F230:I230" si="331">+F228</f>
        <v>[Service]</v>
      </c>
      <c r="G230" s="2165">
        <f t="shared" si="331"/>
        <v>0</v>
      </c>
      <c r="H230" s="2165">
        <f t="shared" si="331"/>
        <v>0</v>
      </c>
      <c r="I230" s="2166" t="str">
        <f t="shared" si="331"/>
        <v>[Price]</v>
      </c>
      <c r="J230" s="2106" t="s">
        <v>347</v>
      </c>
      <c r="K230" s="1977"/>
      <c r="L230" s="1206"/>
      <c r="M230" s="1206"/>
      <c r="N230" s="1978"/>
      <c r="O230" s="1206"/>
      <c r="P230" s="1206"/>
      <c r="Q230" s="1206"/>
      <c r="R230" s="1206"/>
      <c r="S230" s="1978"/>
      <c r="T230" s="1206"/>
      <c r="U230" s="1206"/>
      <c r="V230" s="1206"/>
      <c r="W230" s="1731">
        <f t="shared" ref="W230:AG230" si="332">W228*W229/10^6</f>
        <v>0</v>
      </c>
      <c r="X230" s="1730">
        <f t="shared" si="332"/>
        <v>0</v>
      </c>
      <c r="Y230" s="1731">
        <f t="shared" si="332"/>
        <v>0</v>
      </c>
      <c r="Z230" s="1731">
        <f t="shared" si="332"/>
        <v>0</v>
      </c>
      <c r="AA230" s="1731">
        <f t="shared" si="332"/>
        <v>0</v>
      </c>
      <c r="AB230" s="1733">
        <f t="shared" si="332"/>
        <v>0</v>
      </c>
      <c r="AC230" s="1731">
        <f t="shared" si="332"/>
        <v>0</v>
      </c>
      <c r="AD230" s="1731">
        <f t="shared" si="332"/>
        <v>0</v>
      </c>
      <c r="AE230" s="1731">
        <f t="shared" si="332"/>
        <v>0</v>
      </c>
      <c r="AF230" s="1731">
        <f t="shared" si="332"/>
        <v>0</v>
      </c>
      <c r="AG230" s="1733">
        <f t="shared" si="332"/>
        <v>0</v>
      </c>
      <c r="AH230" s="1731">
        <f>AH228*AH229/10^6</f>
        <v>0</v>
      </c>
      <c r="AI230" s="1731">
        <f>AI228*AI229/10^6</f>
        <v>0</v>
      </c>
      <c r="AJ230" s="1731">
        <f>AJ228*AJ229/10^6</f>
        <v>0</v>
      </c>
      <c r="AK230" s="1731">
        <f>AK228*AK229/10^6</f>
        <v>0</v>
      </c>
      <c r="AL230" s="1733">
        <f>AL228*AL229/10^6</f>
        <v>0</v>
      </c>
      <c r="AM230" s="560"/>
      <c r="AN230" s="991"/>
      <c r="AO230" s="992"/>
      <c r="AP230" s="2304" t="str">
        <f t="shared" si="272"/>
        <v>Rev</v>
      </c>
      <c r="AQ230" s="2305" t="str">
        <f t="shared" si="272"/>
        <v>[Service]</v>
      </c>
      <c r="AR230" s="2306" t="str">
        <f t="shared" si="273"/>
        <v>[Price]</v>
      </c>
      <c r="AS230" s="2307" t="str">
        <f t="shared" si="318"/>
        <v>-</v>
      </c>
      <c r="AT230" s="1055" t="str">
        <f t="shared" si="318"/>
        <v>-</v>
      </c>
      <c r="AU230" s="1055" t="str">
        <f t="shared" si="318"/>
        <v>-</v>
      </c>
      <c r="AV230" s="2308" t="str">
        <f t="shared" si="318"/>
        <v>-</v>
      </c>
      <c r="AW230" s="1055" t="str">
        <f t="shared" si="318"/>
        <v>-</v>
      </c>
      <c r="AX230" s="2309" t="str">
        <f t="shared" si="318"/>
        <v>-</v>
      </c>
      <c r="AY230" s="1055" t="str">
        <f t="shared" si="318"/>
        <v>-</v>
      </c>
      <c r="AZ230" s="1055" t="str">
        <f t="shared" si="318"/>
        <v>-</v>
      </c>
      <c r="BA230" s="1055" t="str">
        <f t="shared" si="318"/>
        <v>-</v>
      </c>
      <c r="BB230" s="1056" t="str">
        <f t="shared" si="318"/>
        <v>-</v>
      </c>
      <c r="BC230" s="1055" t="str">
        <f t="shared" si="318"/>
        <v>-</v>
      </c>
      <c r="BD230" s="1055" t="str">
        <f t="shared" si="318"/>
        <v>-</v>
      </c>
      <c r="BE230" s="1055" t="str">
        <f t="shared" si="318"/>
        <v>-</v>
      </c>
      <c r="BF230" s="1055" t="str">
        <f t="shared" si="318"/>
        <v>-</v>
      </c>
      <c r="BG230" s="1056" t="str">
        <f t="shared" si="318"/>
        <v>-</v>
      </c>
      <c r="BH230" s="1048"/>
      <c r="BI230" s="2304" t="str">
        <f t="shared" si="300"/>
        <v>Rev</v>
      </c>
      <c r="BJ230" s="2305" t="str">
        <f t="shared" si="300"/>
        <v>[Service]</v>
      </c>
      <c r="BK230" s="2306" t="str">
        <f t="shared" si="300"/>
        <v>[Price]</v>
      </c>
      <c r="BL230" s="2307" t="str">
        <f t="shared" ref="BL230:BZ230" si="333">IF(OR(X230="",X230=0),"-",IFERROR((X230/W230-1)*(W230/W$13),"-"))</f>
        <v>-</v>
      </c>
      <c r="BM230" s="1055" t="str">
        <f t="shared" si="333"/>
        <v>-</v>
      </c>
      <c r="BN230" s="1055" t="str">
        <f t="shared" si="333"/>
        <v>-</v>
      </c>
      <c r="BO230" s="2308" t="str">
        <f t="shared" si="333"/>
        <v>-</v>
      </c>
      <c r="BP230" s="1055" t="str">
        <f t="shared" si="333"/>
        <v>-</v>
      </c>
      <c r="BQ230" s="2309" t="str">
        <f t="shared" si="333"/>
        <v>-</v>
      </c>
      <c r="BR230" s="1055" t="str">
        <f t="shared" si="333"/>
        <v>-</v>
      </c>
      <c r="BS230" s="1055" t="str">
        <f t="shared" si="333"/>
        <v>-</v>
      </c>
      <c r="BT230" s="1055" t="str">
        <f t="shared" si="333"/>
        <v>-</v>
      </c>
      <c r="BU230" s="1056" t="str">
        <f t="shared" si="333"/>
        <v>-</v>
      </c>
      <c r="BV230" s="1055" t="str">
        <f t="shared" si="333"/>
        <v>-</v>
      </c>
      <c r="BW230" s="1055" t="str">
        <f t="shared" si="333"/>
        <v>-</v>
      </c>
      <c r="BX230" s="1055" t="str">
        <f t="shared" si="333"/>
        <v>-</v>
      </c>
      <c r="BY230" s="1055" t="str">
        <f t="shared" si="333"/>
        <v>-</v>
      </c>
      <c r="BZ230" s="1056" t="str">
        <f t="shared" si="333"/>
        <v>-</v>
      </c>
      <c r="CA230" s="1048"/>
    </row>
    <row r="231" spans="3:79" x14ac:dyDescent="0.3">
      <c r="C231" s="126"/>
      <c r="D231" s="126">
        <f>D228+1</f>
        <v>55</v>
      </c>
      <c r="E231" s="553" t="s">
        <v>45</v>
      </c>
      <c r="F231" s="2105" t="s">
        <v>28</v>
      </c>
      <c r="G231" s="2105"/>
      <c r="H231" s="2105"/>
      <c r="I231" s="573" t="s">
        <v>319</v>
      </c>
      <c r="J231" s="573" t="s">
        <v>348</v>
      </c>
      <c r="K231" s="1969"/>
      <c r="L231" s="1970"/>
      <c r="M231" s="1970"/>
      <c r="N231" s="1971"/>
      <c r="O231" s="1970"/>
      <c r="P231" s="1970"/>
      <c r="Q231" s="1970"/>
      <c r="R231" s="1972"/>
      <c r="S231" s="1971"/>
      <c r="T231" s="1970"/>
      <c r="U231" s="1970"/>
      <c r="V231" s="1970"/>
      <c r="W231" s="1709"/>
      <c r="X231" s="1710"/>
      <c r="Y231" s="1709"/>
      <c r="Z231" s="1709"/>
      <c r="AA231" s="1709"/>
      <c r="AB231" s="1711"/>
      <c r="AC231" s="1709"/>
      <c r="AD231" s="1709"/>
      <c r="AE231" s="1709"/>
      <c r="AF231" s="1709"/>
      <c r="AG231" s="1712"/>
      <c r="AH231" s="1709"/>
      <c r="AI231" s="1709"/>
      <c r="AJ231" s="1709"/>
      <c r="AK231" s="1709"/>
      <c r="AL231" s="1712"/>
      <c r="AM231" s="560"/>
      <c r="AN231" s="1052"/>
      <c r="AO231" s="992"/>
      <c r="AP231" s="2297" t="str">
        <f t="shared" si="272"/>
        <v>Price</v>
      </c>
      <c r="AQ231" s="2298" t="str">
        <f t="shared" si="272"/>
        <v>[Service]</v>
      </c>
      <c r="AR231" s="1719" t="str">
        <f t="shared" si="273"/>
        <v>[Price]</v>
      </c>
      <c r="AS231" s="2299" t="str">
        <f t="shared" si="318"/>
        <v>-</v>
      </c>
      <c r="AT231" s="1728" t="str">
        <f t="shared" si="318"/>
        <v>-</v>
      </c>
      <c r="AU231" s="1728" t="str">
        <f t="shared" si="318"/>
        <v>-</v>
      </c>
      <c r="AV231" s="2300" t="str">
        <f t="shared" si="318"/>
        <v>-</v>
      </c>
      <c r="AW231" s="1728" t="str">
        <f t="shared" si="318"/>
        <v>-</v>
      </c>
      <c r="AX231" s="2301" t="str">
        <f t="shared" si="318"/>
        <v>-</v>
      </c>
      <c r="AY231" s="1728" t="str">
        <f t="shared" si="318"/>
        <v>-</v>
      </c>
      <c r="AZ231" s="1728" t="str">
        <f t="shared" si="318"/>
        <v>-</v>
      </c>
      <c r="BA231" s="1728" t="str">
        <f t="shared" si="318"/>
        <v>-</v>
      </c>
      <c r="BB231" s="1729" t="str">
        <f t="shared" si="318"/>
        <v>-</v>
      </c>
      <c r="BC231" s="1728" t="str">
        <f t="shared" si="318"/>
        <v>-</v>
      </c>
      <c r="BD231" s="1728" t="str">
        <f t="shared" si="318"/>
        <v>-</v>
      </c>
      <c r="BE231" s="1728" t="str">
        <f t="shared" si="318"/>
        <v>-</v>
      </c>
      <c r="BF231" s="1728" t="str">
        <f t="shared" si="318"/>
        <v>-</v>
      </c>
      <c r="BG231" s="1729" t="str">
        <f t="shared" si="318"/>
        <v>-</v>
      </c>
      <c r="BH231" s="1048"/>
      <c r="BI231" s="2297" t="str">
        <f t="shared" si="300"/>
        <v>Price</v>
      </c>
      <c r="BJ231" s="2298" t="str">
        <f t="shared" si="300"/>
        <v>[Service]</v>
      </c>
      <c r="BK231" s="1719" t="str">
        <f t="shared" si="300"/>
        <v>[Price]</v>
      </c>
      <c r="BL231" s="2299" t="str">
        <f t="shared" ref="BL231:BZ231" si="334">IF(OR(X231="",X231=0),"-",IFERROR((X231/W231-1)*(W233/W$13),"-"))</f>
        <v>-</v>
      </c>
      <c r="BM231" s="1053" t="str">
        <f t="shared" si="334"/>
        <v>-</v>
      </c>
      <c r="BN231" s="1053" t="str">
        <f t="shared" si="334"/>
        <v>-</v>
      </c>
      <c r="BO231" s="2302" t="str">
        <f t="shared" si="334"/>
        <v>-</v>
      </c>
      <c r="BP231" s="1053" t="str">
        <f t="shared" si="334"/>
        <v>-</v>
      </c>
      <c r="BQ231" s="2303" t="str">
        <f t="shared" si="334"/>
        <v>-</v>
      </c>
      <c r="BR231" s="1053" t="str">
        <f t="shared" si="334"/>
        <v>-</v>
      </c>
      <c r="BS231" s="1053" t="str">
        <f t="shared" si="334"/>
        <v>-</v>
      </c>
      <c r="BT231" s="1053" t="str">
        <f t="shared" si="334"/>
        <v>-</v>
      </c>
      <c r="BU231" s="1054" t="str">
        <f t="shared" si="334"/>
        <v>-</v>
      </c>
      <c r="BV231" s="1053" t="str">
        <f t="shared" si="334"/>
        <v>-</v>
      </c>
      <c r="BW231" s="1053" t="str">
        <f t="shared" si="334"/>
        <v>-</v>
      </c>
      <c r="BX231" s="1053" t="str">
        <f t="shared" si="334"/>
        <v>-</v>
      </c>
      <c r="BY231" s="1053" t="str">
        <f t="shared" si="334"/>
        <v>-</v>
      </c>
      <c r="BZ231" s="1054" t="str">
        <f t="shared" si="334"/>
        <v>-</v>
      </c>
      <c r="CA231" s="1048"/>
    </row>
    <row r="232" spans="3:79" x14ac:dyDescent="0.3">
      <c r="C232" s="126"/>
      <c r="D232" s="126"/>
      <c r="E232" s="558" t="s">
        <v>46</v>
      </c>
      <c r="F232" s="2161" t="str">
        <f t="shared" ref="F232:I247" si="335">+F231</f>
        <v>[Service]</v>
      </c>
      <c r="G232" s="2163">
        <f t="shared" si="335"/>
        <v>0</v>
      </c>
      <c r="H232" s="2163">
        <f t="shared" si="335"/>
        <v>0</v>
      </c>
      <c r="I232" s="2164" t="str">
        <f t="shared" si="335"/>
        <v>[Price]</v>
      </c>
      <c r="J232" s="574" t="s">
        <v>323</v>
      </c>
      <c r="K232" s="1973"/>
      <c r="L232" s="1974"/>
      <c r="M232" s="1974"/>
      <c r="N232" s="1975"/>
      <c r="O232" s="1974"/>
      <c r="P232" s="1974"/>
      <c r="Q232" s="1974"/>
      <c r="R232" s="1976"/>
      <c r="S232" s="1975"/>
      <c r="T232" s="1974"/>
      <c r="U232" s="1974"/>
      <c r="V232" s="1974"/>
      <c r="W232" s="1713"/>
      <c r="X232" s="1714"/>
      <c r="Y232" s="1713"/>
      <c r="Z232" s="1713"/>
      <c r="AA232" s="1713"/>
      <c r="AB232" s="1715"/>
      <c r="AC232" s="1713"/>
      <c r="AD232" s="1713"/>
      <c r="AE232" s="1713"/>
      <c r="AF232" s="1713"/>
      <c r="AG232" s="1716"/>
      <c r="AH232" s="1713"/>
      <c r="AI232" s="1713"/>
      <c r="AJ232" s="1713"/>
      <c r="AK232" s="1713"/>
      <c r="AL232" s="1716"/>
      <c r="AM232" s="560"/>
      <c r="AN232" s="991"/>
      <c r="AO232" s="992"/>
      <c r="AP232" s="2285" t="str">
        <f t="shared" si="272"/>
        <v>Qty</v>
      </c>
      <c r="AQ232" s="2286" t="str">
        <f t="shared" si="272"/>
        <v>[Service]</v>
      </c>
      <c r="AR232" s="2287" t="str">
        <f t="shared" si="273"/>
        <v>[Price]</v>
      </c>
      <c r="AS232" s="2288" t="str">
        <f t="shared" si="318"/>
        <v>-</v>
      </c>
      <c r="AT232" s="1720" t="str">
        <f t="shared" si="318"/>
        <v>-</v>
      </c>
      <c r="AU232" s="1720" t="str">
        <f t="shared" si="318"/>
        <v>-</v>
      </c>
      <c r="AV232" s="2289" t="str">
        <f t="shared" si="318"/>
        <v>-</v>
      </c>
      <c r="AW232" s="1720" t="str">
        <f t="shared" si="318"/>
        <v>-</v>
      </c>
      <c r="AX232" s="2290" t="str">
        <f t="shared" si="318"/>
        <v>-</v>
      </c>
      <c r="AY232" s="1720" t="str">
        <f t="shared" si="318"/>
        <v>-</v>
      </c>
      <c r="AZ232" s="1720" t="str">
        <f t="shared" si="318"/>
        <v>-</v>
      </c>
      <c r="BA232" s="1720" t="str">
        <f t="shared" si="318"/>
        <v>-</v>
      </c>
      <c r="BB232" s="1721" t="str">
        <f t="shared" si="318"/>
        <v>-</v>
      </c>
      <c r="BC232" s="1720" t="str">
        <f t="shared" si="318"/>
        <v>-</v>
      </c>
      <c r="BD232" s="1720" t="str">
        <f t="shared" si="318"/>
        <v>-</v>
      </c>
      <c r="BE232" s="1720" t="str">
        <f t="shared" si="318"/>
        <v>-</v>
      </c>
      <c r="BF232" s="1720" t="str">
        <f t="shared" si="318"/>
        <v>-</v>
      </c>
      <c r="BG232" s="1721" t="str">
        <f t="shared" si="318"/>
        <v>-</v>
      </c>
      <c r="BH232" s="1048"/>
      <c r="BI232" s="2285" t="str">
        <f t="shared" si="300"/>
        <v>Qty</v>
      </c>
      <c r="BJ232" s="2286" t="str">
        <f t="shared" si="300"/>
        <v>[Service]</v>
      </c>
      <c r="BK232" s="2287" t="str">
        <f t="shared" si="300"/>
        <v>[Price]</v>
      </c>
      <c r="BL232" s="2288" t="str">
        <f t="shared" ref="BL232:BZ232" si="336">IF(OR(X232="",X232=0),"-",IFERROR((X232/W232-1)*(W233/W$13),"-"))</f>
        <v>-</v>
      </c>
      <c r="BM232" s="1720" t="str">
        <f t="shared" si="336"/>
        <v>-</v>
      </c>
      <c r="BN232" s="1720" t="str">
        <f t="shared" si="336"/>
        <v>-</v>
      </c>
      <c r="BO232" s="2289" t="str">
        <f t="shared" si="336"/>
        <v>-</v>
      </c>
      <c r="BP232" s="1720" t="str">
        <f t="shared" si="336"/>
        <v>-</v>
      </c>
      <c r="BQ232" s="2290" t="str">
        <f t="shared" si="336"/>
        <v>-</v>
      </c>
      <c r="BR232" s="1720" t="str">
        <f t="shared" si="336"/>
        <v>-</v>
      </c>
      <c r="BS232" s="1720" t="str">
        <f t="shared" si="336"/>
        <v>-</v>
      </c>
      <c r="BT232" s="1720" t="str">
        <f t="shared" si="336"/>
        <v>-</v>
      </c>
      <c r="BU232" s="1721" t="str">
        <f t="shared" si="336"/>
        <v>-</v>
      </c>
      <c r="BV232" s="1720" t="str">
        <f t="shared" si="336"/>
        <v>-</v>
      </c>
      <c r="BW232" s="1720" t="str">
        <f t="shared" si="336"/>
        <v>-</v>
      </c>
      <c r="BX232" s="1720" t="str">
        <f t="shared" si="336"/>
        <v>-</v>
      </c>
      <c r="BY232" s="1720" t="str">
        <f t="shared" si="336"/>
        <v>-</v>
      </c>
      <c r="BZ232" s="1721" t="str">
        <f t="shared" si="336"/>
        <v>-</v>
      </c>
      <c r="CA232" s="1048"/>
    </row>
    <row r="233" spans="3:79" ht="12.5" thickBot="1" x14ac:dyDescent="0.35">
      <c r="C233" s="126"/>
      <c r="D233" s="126"/>
      <c r="E233" s="559" t="s">
        <v>47</v>
      </c>
      <c r="F233" s="2162" t="str">
        <f t="shared" ref="F233:I233" si="337">+F231</f>
        <v>[Service]</v>
      </c>
      <c r="G233" s="2165">
        <f t="shared" si="337"/>
        <v>0</v>
      </c>
      <c r="H233" s="2165">
        <f t="shared" si="337"/>
        <v>0</v>
      </c>
      <c r="I233" s="2166" t="str">
        <f t="shared" si="337"/>
        <v>[Price]</v>
      </c>
      <c r="J233" s="2106" t="s">
        <v>347</v>
      </c>
      <c r="K233" s="1977"/>
      <c r="L233" s="1206"/>
      <c r="M233" s="1206"/>
      <c r="N233" s="1978"/>
      <c r="O233" s="1206"/>
      <c r="P233" s="1206"/>
      <c r="Q233" s="1206"/>
      <c r="R233" s="1206"/>
      <c r="S233" s="1978"/>
      <c r="T233" s="1206"/>
      <c r="U233" s="1206"/>
      <c r="V233" s="1206"/>
      <c r="W233" s="1731">
        <f t="shared" ref="W233:AG233" si="338">W231*W232/10^6</f>
        <v>0</v>
      </c>
      <c r="X233" s="1730">
        <f t="shared" si="338"/>
        <v>0</v>
      </c>
      <c r="Y233" s="1731">
        <f t="shared" si="338"/>
        <v>0</v>
      </c>
      <c r="Z233" s="1731">
        <f t="shared" si="338"/>
        <v>0</v>
      </c>
      <c r="AA233" s="1731">
        <f t="shared" si="338"/>
        <v>0</v>
      </c>
      <c r="AB233" s="1733">
        <f t="shared" si="338"/>
        <v>0</v>
      </c>
      <c r="AC233" s="1731">
        <f t="shared" si="338"/>
        <v>0</v>
      </c>
      <c r="AD233" s="1731">
        <f t="shared" si="338"/>
        <v>0</v>
      </c>
      <c r="AE233" s="1731">
        <f t="shared" si="338"/>
        <v>0</v>
      </c>
      <c r="AF233" s="1731">
        <f t="shared" si="338"/>
        <v>0</v>
      </c>
      <c r="AG233" s="1733">
        <f t="shared" si="338"/>
        <v>0</v>
      </c>
      <c r="AH233" s="1731">
        <f>AH231*AH232/10^6</f>
        <v>0</v>
      </c>
      <c r="AI233" s="1731">
        <f>AI231*AI232/10^6</f>
        <v>0</v>
      </c>
      <c r="AJ233" s="1731">
        <f>AJ231*AJ232/10^6</f>
        <v>0</v>
      </c>
      <c r="AK233" s="1731">
        <f>AK231*AK232/10^6</f>
        <v>0</v>
      </c>
      <c r="AL233" s="1733">
        <f>AL231*AL232/10^6</f>
        <v>0</v>
      </c>
      <c r="AM233" s="560"/>
      <c r="AN233" s="991"/>
      <c r="AO233" s="992"/>
      <c r="AP233" s="2304" t="str">
        <f t="shared" si="272"/>
        <v>Rev</v>
      </c>
      <c r="AQ233" s="2305" t="str">
        <f t="shared" si="272"/>
        <v>[Service]</v>
      </c>
      <c r="AR233" s="2306" t="str">
        <f t="shared" si="273"/>
        <v>[Price]</v>
      </c>
      <c r="AS233" s="2307" t="str">
        <f t="shared" si="318"/>
        <v>-</v>
      </c>
      <c r="AT233" s="1055" t="str">
        <f t="shared" si="318"/>
        <v>-</v>
      </c>
      <c r="AU233" s="1055" t="str">
        <f t="shared" si="318"/>
        <v>-</v>
      </c>
      <c r="AV233" s="2308" t="str">
        <f t="shared" si="318"/>
        <v>-</v>
      </c>
      <c r="AW233" s="1055" t="str">
        <f t="shared" si="318"/>
        <v>-</v>
      </c>
      <c r="AX233" s="2309" t="str">
        <f t="shared" si="318"/>
        <v>-</v>
      </c>
      <c r="AY233" s="1055" t="str">
        <f t="shared" si="318"/>
        <v>-</v>
      </c>
      <c r="AZ233" s="1055" t="str">
        <f t="shared" si="318"/>
        <v>-</v>
      </c>
      <c r="BA233" s="1055" t="str">
        <f t="shared" si="318"/>
        <v>-</v>
      </c>
      <c r="BB233" s="1056" t="str">
        <f t="shared" si="318"/>
        <v>-</v>
      </c>
      <c r="BC233" s="1055" t="str">
        <f t="shared" si="318"/>
        <v>-</v>
      </c>
      <c r="BD233" s="1055" t="str">
        <f t="shared" si="318"/>
        <v>-</v>
      </c>
      <c r="BE233" s="1055" t="str">
        <f t="shared" si="318"/>
        <v>-</v>
      </c>
      <c r="BF233" s="1055" t="str">
        <f t="shared" si="318"/>
        <v>-</v>
      </c>
      <c r="BG233" s="1056" t="str">
        <f t="shared" si="318"/>
        <v>-</v>
      </c>
      <c r="BH233" s="1048"/>
      <c r="BI233" s="2304" t="str">
        <f t="shared" si="300"/>
        <v>Rev</v>
      </c>
      <c r="BJ233" s="2305" t="str">
        <f t="shared" si="300"/>
        <v>[Service]</v>
      </c>
      <c r="BK233" s="2306" t="str">
        <f t="shared" si="300"/>
        <v>[Price]</v>
      </c>
      <c r="BL233" s="2307" t="str">
        <f t="shared" ref="BL233:BZ233" si="339">IF(OR(X233="",X233=0),"-",IFERROR((X233/W233-1)*(W233/W$13),"-"))</f>
        <v>-</v>
      </c>
      <c r="BM233" s="1055" t="str">
        <f t="shared" si="339"/>
        <v>-</v>
      </c>
      <c r="BN233" s="1055" t="str">
        <f t="shared" si="339"/>
        <v>-</v>
      </c>
      <c r="BO233" s="2308" t="str">
        <f t="shared" si="339"/>
        <v>-</v>
      </c>
      <c r="BP233" s="1055" t="str">
        <f t="shared" si="339"/>
        <v>-</v>
      </c>
      <c r="BQ233" s="2309" t="str">
        <f t="shared" si="339"/>
        <v>-</v>
      </c>
      <c r="BR233" s="1055" t="str">
        <f t="shared" si="339"/>
        <v>-</v>
      </c>
      <c r="BS233" s="1055" t="str">
        <f t="shared" si="339"/>
        <v>-</v>
      </c>
      <c r="BT233" s="1055" t="str">
        <f t="shared" si="339"/>
        <v>-</v>
      </c>
      <c r="BU233" s="1056" t="str">
        <f t="shared" si="339"/>
        <v>-</v>
      </c>
      <c r="BV233" s="1055" t="str">
        <f t="shared" si="339"/>
        <v>-</v>
      </c>
      <c r="BW233" s="1055" t="str">
        <f t="shared" si="339"/>
        <v>-</v>
      </c>
      <c r="BX233" s="1055" t="str">
        <f t="shared" si="339"/>
        <v>-</v>
      </c>
      <c r="BY233" s="1055" t="str">
        <f t="shared" si="339"/>
        <v>-</v>
      </c>
      <c r="BZ233" s="1056" t="str">
        <f t="shared" si="339"/>
        <v>-</v>
      </c>
      <c r="CA233" s="1048"/>
    </row>
    <row r="234" spans="3:79" x14ac:dyDescent="0.3">
      <c r="C234" s="126"/>
      <c r="D234" s="126">
        <f>D231+1</f>
        <v>56</v>
      </c>
      <c r="E234" s="553" t="s">
        <v>45</v>
      </c>
      <c r="F234" s="2105" t="s">
        <v>28</v>
      </c>
      <c r="G234" s="2105"/>
      <c r="H234" s="2105"/>
      <c r="I234" s="573" t="s">
        <v>319</v>
      </c>
      <c r="J234" s="573" t="s">
        <v>348</v>
      </c>
      <c r="K234" s="1969"/>
      <c r="L234" s="1970"/>
      <c r="M234" s="1970"/>
      <c r="N234" s="1971"/>
      <c r="O234" s="1970"/>
      <c r="P234" s="1970"/>
      <c r="Q234" s="1970"/>
      <c r="R234" s="1972"/>
      <c r="S234" s="1971"/>
      <c r="T234" s="1970"/>
      <c r="U234" s="1970"/>
      <c r="V234" s="1970"/>
      <c r="W234" s="1709"/>
      <c r="X234" s="1710"/>
      <c r="Y234" s="1709"/>
      <c r="Z234" s="1709"/>
      <c r="AA234" s="1709"/>
      <c r="AB234" s="1711"/>
      <c r="AC234" s="1709"/>
      <c r="AD234" s="1709"/>
      <c r="AE234" s="1709"/>
      <c r="AF234" s="1709"/>
      <c r="AG234" s="1712"/>
      <c r="AH234" s="1709"/>
      <c r="AI234" s="1709"/>
      <c r="AJ234" s="1709"/>
      <c r="AK234" s="1709"/>
      <c r="AL234" s="1712"/>
      <c r="AM234" s="560"/>
      <c r="AN234" s="1052"/>
      <c r="AO234" s="992"/>
      <c r="AP234" s="2297" t="str">
        <f t="shared" si="272"/>
        <v>Price</v>
      </c>
      <c r="AQ234" s="2298" t="str">
        <f t="shared" si="272"/>
        <v>[Service]</v>
      </c>
      <c r="AR234" s="1719" t="str">
        <f t="shared" si="273"/>
        <v>[Price]</v>
      </c>
      <c r="AS234" s="2299" t="str">
        <f t="shared" si="318"/>
        <v>-</v>
      </c>
      <c r="AT234" s="1728" t="str">
        <f t="shared" si="318"/>
        <v>-</v>
      </c>
      <c r="AU234" s="1728" t="str">
        <f t="shared" si="318"/>
        <v>-</v>
      </c>
      <c r="AV234" s="2300" t="str">
        <f t="shared" si="318"/>
        <v>-</v>
      </c>
      <c r="AW234" s="1728" t="str">
        <f t="shared" si="318"/>
        <v>-</v>
      </c>
      <c r="AX234" s="2301" t="str">
        <f t="shared" si="318"/>
        <v>-</v>
      </c>
      <c r="AY234" s="1728" t="str">
        <f t="shared" si="318"/>
        <v>-</v>
      </c>
      <c r="AZ234" s="1728" t="str">
        <f t="shared" si="318"/>
        <v>-</v>
      </c>
      <c r="BA234" s="1728" t="str">
        <f t="shared" si="318"/>
        <v>-</v>
      </c>
      <c r="BB234" s="1729" t="str">
        <f t="shared" si="318"/>
        <v>-</v>
      </c>
      <c r="BC234" s="1728" t="str">
        <f t="shared" si="318"/>
        <v>-</v>
      </c>
      <c r="BD234" s="1728" t="str">
        <f t="shared" si="318"/>
        <v>-</v>
      </c>
      <c r="BE234" s="1728" t="str">
        <f t="shared" si="318"/>
        <v>-</v>
      </c>
      <c r="BF234" s="1728" t="str">
        <f t="shared" si="318"/>
        <v>-</v>
      </c>
      <c r="BG234" s="1729" t="str">
        <f t="shared" si="318"/>
        <v>-</v>
      </c>
      <c r="BH234" s="1048"/>
      <c r="BI234" s="2297" t="str">
        <f t="shared" si="300"/>
        <v>Price</v>
      </c>
      <c r="BJ234" s="2298" t="str">
        <f t="shared" si="300"/>
        <v>[Service]</v>
      </c>
      <c r="BK234" s="1719" t="str">
        <f t="shared" si="300"/>
        <v>[Price]</v>
      </c>
      <c r="BL234" s="2299" t="str">
        <f t="shared" ref="BL234:BZ234" si="340">IF(OR(X234="",X234=0),"-",IFERROR((X234/W234-1)*(W236/W$13),"-"))</f>
        <v>-</v>
      </c>
      <c r="BM234" s="1053" t="str">
        <f t="shared" si="340"/>
        <v>-</v>
      </c>
      <c r="BN234" s="1053" t="str">
        <f t="shared" si="340"/>
        <v>-</v>
      </c>
      <c r="BO234" s="2302" t="str">
        <f t="shared" si="340"/>
        <v>-</v>
      </c>
      <c r="BP234" s="1053" t="str">
        <f t="shared" si="340"/>
        <v>-</v>
      </c>
      <c r="BQ234" s="2303" t="str">
        <f t="shared" si="340"/>
        <v>-</v>
      </c>
      <c r="BR234" s="1053" t="str">
        <f t="shared" si="340"/>
        <v>-</v>
      </c>
      <c r="BS234" s="1053" t="str">
        <f t="shared" si="340"/>
        <v>-</v>
      </c>
      <c r="BT234" s="1053" t="str">
        <f t="shared" si="340"/>
        <v>-</v>
      </c>
      <c r="BU234" s="1054" t="str">
        <f t="shared" si="340"/>
        <v>-</v>
      </c>
      <c r="BV234" s="1053" t="str">
        <f t="shared" si="340"/>
        <v>-</v>
      </c>
      <c r="BW234" s="1053" t="str">
        <f t="shared" si="340"/>
        <v>-</v>
      </c>
      <c r="BX234" s="1053" t="str">
        <f t="shared" si="340"/>
        <v>-</v>
      </c>
      <c r="BY234" s="1053" t="str">
        <f t="shared" si="340"/>
        <v>-</v>
      </c>
      <c r="BZ234" s="1054" t="str">
        <f t="shared" si="340"/>
        <v>-</v>
      </c>
      <c r="CA234" s="1048"/>
    </row>
    <row r="235" spans="3:79" x14ac:dyDescent="0.3">
      <c r="C235" s="126"/>
      <c r="D235" s="126"/>
      <c r="E235" s="558" t="s">
        <v>46</v>
      </c>
      <c r="F235" s="2161" t="str">
        <f t="shared" si="335"/>
        <v>[Service]</v>
      </c>
      <c r="G235" s="2163">
        <f t="shared" si="335"/>
        <v>0</v>
      </c>
      <c r="H235" s="2163">
        <f t="shared" si="335"/>
        <v>0</v>
      </c>
      <c r="I235" s="2164" t="str">
        <f t="shared" si="335"/>
        <v>[Price]</v>
      </c>
      <c r="J235" s="574" t="s">
        <v>323</v>
      </c>
      <c r="K235" s="1973"/>
      <c r="L235" s="1974"/>
      <c r="M235" s="1974"/>
      <c r="N235" s="1975"/>
      <c r="O235" s="1974"/>
      <c r="P235" s="1974"/>
      <c r="Q235" s="1974"/>
      <c r="R235" s="1976"/>
      <c r="S235" s="1975"/>
      <c r="T235" s="1974"/>
      <c r="U235" s="1974"/>
      <c r="V235" s="1974"/>
      <c r="W235" s="1713"/>
      <c r="X235" s="1714"/>
      <c r="Y235" s="1713"/>
      <c r="Z235" s="1713"/>
      <c r="AA235" s="1713"/>
      <c r="AB235" s="1715"/>
      <c r="AC235" s="1713"/>
      <c r="AD235" s="1713"/>
      <c r="AE235" s="1713"/>
      <c r="AF235" s="1713"/>
      <c r="AG235" s="1716"/>
      <c r="AH235" s="1713"/>
      <c r="AI235" s="1713"/>
      <c r="AJ235" s="1713"/>
      <c r="AK235" s="1713"/>
      <c r="AL235" s="1716"/>
      <c r="AM235" s="560"/>
      <c r="AN235" s="991"/>
      <c r="AO235" s="992"/>
      <c r="AP235" s="2285" t="str">
        <f t="shared" si="272"/>
        <v>Qty</v>
      </c>
      <c r="AQ235" s="2286" t="str">
        <f t="shared" si="272"/>
        <v>[Service]</v>
      </c>
      <c r="AR235" s="2287" t="str">
        <f t="shared" si="273"/>
        <v>[Price]</v>
      </c>
      <c r="AS235" s="2288" t="str">
        <f t="shared" si="318"/>
        <v>-</v>
      </c>
      <c r="AT235" s="1720" t="str">
        <f t="shared" si="318"/>
        <v>-</v>
      </c>
      <c r="AU235" s="1720" t="str">
        <f t="shared" si="318"/>
        <v>-</v>
      </c>
      <c r="AV235" s="2289" t="str">
        <f t="shared" si="318"/>
        <v>-</v>
      </c>
      <c r="AW235" s="1720" t="str">
        <f t="shared" si="318"/>
        <v>-</v>
      </c>
      <c r="AX235" s="2290" t="str">
        <f t="shared" si="318"/>
        <v>-</v>
      </c>
      <c r="AY235" s="1720" t="str">
        <f t="shared" si="318"/>
        <v>-</v>
      </c>
      <c r="AZ235" s="1720" t="str">
        <f t="shared" si="318"/>
        <v>-</v>
      </c>
      <c r="BA235" s="1720" t="str">
        <f t="shared" si="318"/>
        <v>-</v>
      </c>
      <c r="BB235" s="1721" t="str">
        <f t="shared" si="318"/>
        <v>-</v>
      </c>
      <c r="BC235" s="1720" t="str">
        <f t="shared" si="318"/>
        <v>-</v>
      </c>
      <c r="BD235" s="1720" t="str">
        <f t="shared" si="318"/>
        <v>-</v>
      </c>
      <c r="BE235" s="1720" t="str">
        <f t="shared" si="318"/>
        <v>-</v>
      </c>
      <c r="BF235" s="1720" t="str">
        <f t="shared" si="318"/>
        <v>-</v>
      </c>
      <c r="BG235" s="1721" t="str">
        <f t="shared" si="318"/>
        <v>-</v>
      </c>
      <c r="BH235" s="1048"/>
      <c r="BI235" s="2285" t="str">
        <f t="shared" si="300"/>
        <v>Qty</v>
      </c>
      <c r="BJ235" s="2286" t="str">
        <f t="shared" si="300"/>
        <v>[Service]</v>
      </c>
      <c r="BK235" s="2287" t="str">
        <f t="shared" si="300"/>
        <v>[Price]</v>
      </c>
      <c r="BL235" s="2288" t="str">
        <f t="shared" ref="BL235:BZ235" si="341">IF(OR(X235="",X235=0),"-",IFERROR((X235/W235-1)*(W236/W$13),"-"))</f>
        <v>-</v>
      </c>
      <c r="BM235" s="1720" t="str">
        <f t="shared" si="341"/>
        <v>-</v>
      </c>
      <c r="BN235" s="1720" t="str">
        <f t="shared" si="341"/>
        <v>-</v>
      </c>
      <c r="BO235" s="2289" t="str">
        <f t="shared" si="341"/>
        <v>-</v>
      </c>
      <c r="BP235" s="1720" t="str">
        <f t="shared" si="341"/>
        <v>-</v>
      </c>
      <c r="BQ235" s="2290" t="str">
        <f t="shared" si="341"/>
        <v>-</v>
      </c>
      <c r="BR235" s="1720" t="str">
        <f t="shared" si="341"/>
        <v>-</v>
      </c>
      <c r="BS235" s="1720" t="str">
        <f t="shared" si="341"/>
        <v>-</v>
      </c>
      <c r="BT235" s="1720" t="str">
        <f t="shared" si="341"/>
        <v>-</v>
      </c>
      <c r="BU235" s="1721" t="str">
        <f t="shared" si="341"/>
        <v>-</v>
      </c>
      <c r="BV235" s="1720" t="str">
        <f t="shared" si="341"/>
        <v>-</v>
      </c>
      <c r="BW235" s="1720" t="str">
        <f t="shared" si="341"/>
        <v>-</v>
      </c>
      <c r="BX235" s="1720" t="str">
        <f t="shared" si="341"/>
        <v>-</v>
      </c>
      <c r="BY235" s="1720" t="str">
        <f t="shared" si="341"/>
        <v>-</v>
      </c>
      <c r="BZ235" s="1721" t="str">
        <f t="shared" si="341"/>
        <v>-</v>
      </c>
      <c r="CA235" s="1048"/>
    </row>
    <row r="236" spans="3:79" ht="12.5" thickBot="1" x14ac:dyDescent="0.35">
      <c r="C236" s="126"/>
      <c r="D236" s="126"/>
      <c r="E236" s="559" t="s">
        <v>47</v>
      </c>
      <c r="F236" s="2162" t="str">
        <f t="shared" ref="F236:I236" si="342">+F234</f>
        <v>[Service]</v>
      </c>
      <c r="G236" s="2165">
        <f t="shared" si="342"/>
        <v>0</v>
      </c>
      <c r="H236" s="2165">
        <f t="shared" si="342"/>
        <v>0</v>
      </c>
      <c r="I236" s="2166" t="str">
        <f t="shared" si="342"/>
        <v>[Price]</v>
      </c>
      <c r="J236" s="2106" t="s">
        <v>347</v>
      </c>
      <c r="K236" s="1977"/>
      <c r="L236" s="1206"/>
      <c r="M236" s="1206"/>
      <c r="N236" s="1978"/>
      <c r="O236" s="1206"/>
      <c r="P236" s="1206"/>
      <c r="Q236" s="1206"/>
      <c r="R236" s="1206"/>
      <c r="S236" s="1978"/>
      <c r="T236" s="1206"/>
      <c r="U236" s="1206"/>
      <c r="V236" s="1206"/>
      <c r="W236" s="1731">
        <f t="shared" ref="W236:AG236" si="343">W234*W235/10^6</f>
        <v>0</v>
      </c>
      <c r="X236" s="1730">
        <f t="shared" si="343"/>
        <v>0</v>
      </c>
      <c r="Y236" s="1731">
        <f t="shared" si="343"/>
        <v>0</v>
      </c>
      <c r="Z236" s="1731">
        <f t="shared" si="343"/>
        <v>0</v>
      </c>
      <c r="AA236" s="1731">
        <f t="shared" si="343"/>
        <v>0</v>
      </c>
      <c r="AB236" s="1733">
        <f t="shared" si="343"/>
        <v>0</v>
      </c>
      <c r="AC236" s="1731">
        <f t="shared" si="343"/>
        <v>0</v>
      </c>
      <c r="AD236" s="1731">
        <f t="shared" si="343"/>
        <v>0</v>
      </c>
      <c r="AE236" s="1731">
        <f t="shared" si="343"/>
        <v>0</v>
      </c>
      <c r="AF236" s="1731">
        <f t="shared" si="343"/>
        <v>0</v>
      </c>
      <c r="AG236" s="1733">
        <f t="shared" si="343"/>
        <v>0</v>
      </c>
      <c r="AH236" s="1731">
        <f>AH234*AH235/10^6</f>
        <v>0</v>
      </c>
      <c r="AI236" s="1731">
        <f>AI234*AI235/10^6</f>
        <v>0</v>
      </c>
      <c r="AJ236" s="1731">
        <f>AJ234*AJ235/10^6</f>
        <v>0</v>
      </c>
      <c r="AK236" s="1731">
        <f>AK234*AK235/10^6</f>
        <v>0</v>
      </c>
      <c r="AL236" s="1733">
        <f>AL234*AL235/10^6</f>
        <v>0</v>
      </c>
      <c r="AM236" s="560"/>
      <c r="AN236" s="991"/>
      <c r="AO236" s="992"/>
      <c r="AP236" s="2304" t="str">
        <f t="shared" si="272"/>
        <v>Rev</v>
      </c>
      <c r="AQ236" s="2305" t="str">
        <f t="shared" si="272"/>
        <v>[Service]</v>
      </c>
      <c r="AR236" s="2306" t="str">
        <f t="shared" si="273"/>
        <v>[Price]</v>
      </c>
      <c r="AS236" s="2307" t="str">
        <f t="shared" si="318"/>
        <v>-</v>
      </c>
      <c r="AT236" s="1055" t="str">
        <f t="shared" si="318"/>
        <v>-</v>
      </c>
      <c r="AU236" s="1055" t="str">
        <f t="shared" si="318"/>
        <v>-</v>
      </c>
      <c r="AV236" s="2308" t="str">
        <f t="shared" si="318"/>
        <v>-</v>
      </c>
      <c r="AW236" s="1055" t="str">
        <f t="shared" si="318"/>
        <v>-</v>
      </c>
      <c r="AX236" s="2309" t="str">
        <f t="shared" si="318"/>
        <v>-</v>
      </c>
      <c r="AY236" s="1055" t="str">
        <f t="shared" si="318"/>
        <v>-</v>
      </c>
      <c r="AZ236" s="1055" t="str">
        <f t="shared" si="318"/>
        <v>-</v>
      </c>
      <c r="BA236" s="1055" t="str">
        <f t="shared" si="318"/>
        <v>-</v>
      </c>
      <c r="BB236" s="1056" t="str">
        <f t="shared" si="318"/>
        <v>-</v>
      </c>
      <c r="BC236" s="1055" t="str">
        <f t="shared" si="318"/>
        <v>-</v>
      </c>
      <c r="BD236" s="1055" t="str">
        <f t="shared" si="318"/>
        <v>-</v>
      </c>
      <c r="BE236" s="1055" t="str">
        <f t="shared" si="318"/>
        <v>-</v>
      </c>
      <c r="BF236" s="1055" t="str">
        <f t="shared" si="318"/>
        <v>-</v>
      </c>
      <c r="BG236" s="1056" t="str">
        <f t="shared" si="318"/>
        <v>-</v>
      </c>
      <c r="BH236" s="1048"/>
      <c r="BI236" s="2304" t="str">
        <f t="shared" si="300"/>
        <v>Rev</v>
      </c>
      <c r="BJ236" s="2305" t="str">
        <f t="shared" si="300"/>
        <v>[Service]</v>
      </c>
      <c r="BK236" s="2306" t="str">
        <f t="shared" si="300"/>
        <v>[Price]</v>
      </c>
      <c r="BL236" s="2307" t="str">
        <f t="shared" ref="BL236:BZ236" si="344">IF(OR(X236="",X236=0),"-",IFERROR((X236/W236-1)*(W236/W$13),"-"))</f>
        <v>-</v>
      </c>
      <c r="BM236" s="1055" t="str">
        <f t="shared" si="344"/>
        <v>-</v>
      </c>
      <c r="BN236" s="1055" t="str">
        <f t="shared" si="344"/>
        <v>-</v>
      </c>
      <c r="BO236" s="2308" t="str">
        <f t="shared" si="344"/>
        <v>-</v>
      </c>
      <c r="BP236" s="1055" t="str">
        <f t="shared" si="344"/>
        <v>-</v>
      </c>
      <c r="BQ236" s="2309" t="str">
        <f t="shared" si="344"/>
        <v>-</v>
      </c>
      <c r="BR236" s="1055" t="str">
        <f t="shared" si="344"/>
        <v>-</v>
      </c>
      <c r="BS236" s="1055" t="str">
        <f t="shared" si="344"/>
        <v>-</v>
      </c>
      <c r="BT236" s="1055" t="str">
        <f t="shared" si="344"/>
        <v>-</v>
      </c>
      <c r="BU236" s="1056" t="str">
        <f t="shared" si="344"/>
        <v>-</v>
      </c>
      <c r="BV236" s="1055" t="str">
        <f t="shared" si="344"/>
        <v>-</v>
      </c>
      <c r="BW236" s="1055" t="str">
        <f t="shared" si="344"/>
        <v>-</v>
      </c>
      <c r="BX236" s="1055" t="str">
        <f t="shared" si="344"/>
        <v>-</v>
      </c>
      <c r="BY236" s="1055" t="str">
        <f t="shared" si="344"/>
        <v>-</v>
      </c>
      <c r="BZ236" s="1056" t="str">
        <f t="shared" si="344"/>
        <v>-</v>
      </c>
      <c r="CA236" s="1048"/>
    </row>
    <row r="237" spans="3:79" x14ac:dyDescent="0.3">
      <c r="C237" s="126"/>
      <c r="D237" s="126">
        <f>D234+1</f>
        <v>57</v>
      </c>
      <c r="E237" s="553" t="s">
        <v>45</v>
      </c>
      <c r="F237" s="2105" t="s">
        <v>28</v>
      </c>
      <c r="G237" s="2105"/>
      <c r="H237" s="2105"/>
      <c r="I237" s="573" t="s">
        <v>319</v>
      </c>
      <c r="J237" s="573" t="s">
        <v>348</v>
      </c>
      <c r="K237" s="1969"/>
      <c r="L237" s="1970"/>
      <c r="M237" s="1970"/>
      <c r="N237" s="1971"/>
      <c r="O237" s="1970"/>
      <c r="P237" s="1970"/>
      <c r="Q237" s="1970"/>
      <c r="R237" s="1972"/>
      <c r="S237" s="1971"/>
      <c r="T237" s="1970"/>
      <c r="U237" s="1970"/>
      <c r="V237" s="1970"/>
      <c r="W237" s="1709"/>
      <c r="X237" s="1710"/>
      <c r="Y237" s="1709"/>
      <c r="Z237" s="1709"/>
      <c r="AA237" s="1709"/>
      <c r="AB237" s="1711"/>
      <c r="AC237" s="1709"/>
      <c r="AD237" s="1709"/>
      <c r="AE237" s="1709"/>
      <c r="AF237" s="1709"/>
      <c r="AG237" s="1712"/>
      <c r="AH237" s="1709"/>
      <c r="AI237" s="1709"/>
      <c r="AJ237" s="1709"/>
      <c r="AK237" s="1709"/>
      <c r="AL237" s="1712"/>
      <c r="AM237" s="560"/>
      <c r="AN237" s="1052"/>
      <c r="AO237" s="992"/>
      <c r="AP237" s="2297" t="str">
        <f t="shared" si="272"/>
        <v>Price</v>
      </c>
      <c r="AQ237" s="2298" t="str">
        <f t="shared" si="272"/>
        <v>[Service]</v>
      </c>
      <c r="AR237" s="1719" t="str">
        <f t="shared" si="273"/>
        <v>[Price]</v>
      </c>
      <c r="AS237" s="2299" t="str">
        <f t="shared" si="318"/>
        <v>-</v>
      </c>
      <c r="AT237" s="1728" t="str">
        <f t="shared" si="318"/>
        <v>-</v>
      </c>
      <c r="AU237" s="1728" t="str">
        <f t="shared" si="318"/>
        <v>-</v>
      </c>
      <c r="AV237" s="2300" t="str">
        <f t="shared" si="318"/>
        <v>-</v>
      </c>
      <c r="AW237" s="1728" t="str">
        <f t="shared" si="318"/>
        <v>-</v>
      </c>
      <c r="AX237" s="2301" t="str">
        <f t="shared" si="318"/>
        <v>-</v>
      </c>
      <c r="AY237" s="1728" t="str">
        <f t="shared" si="318"/>
        <v>-</v>
      </c>
      <c r="AZ237" s="1728" t="str">
        <f t="shared" si="318"/>
        <v>-</v>
      </c>
      <c r="BA237" s="1728" t="str">
        <f t="shared" si="318"/>
        <v>-</v>
      </c>
      <c r="BB237" s="1729" t="str">
        <f t="shared" si="318"/>
        <v>-</v>
      </c>
      <c r="BC237" s="1728" t="str">
        <f t="shared" si="318"/>
        <v>-</v>
      </c>
      <c r="BD237" s="1728" t="str">
        <f t="shared" si="318"/>
        <v>-</v>
      </c>
      <c r="BE237" s="1728" t="str">
        <f t="shared" si="318"/>
        <v>-</v>
      </c>
      <c r="BF237" s="1728" t="str">
        <f t="shared" si="318"/>
        <v>-</v>
      </c>
      <c r="BG237" s="1729" t="str">
        <f t="shared" si="318"/>
        <v>-</v>
      </c>
      <c r="BH237" s="1048"/>
      <c r="BI237" s="2297" t="str">
        <f t="shared" si="300"/>
        <v>Price</v>
      </c>
      <c r="BJ237" s="2298" t="str">
        <f t="shared" si="300"/>
        <v>[Service]</v>
      </c>
      <c r="BK237" s="1719" t="str">
        <f t="shared" si="300"/>
        <v>[Price]</v>
      </c>
      <c r="BL237" s="2299" t="str">
        <f t="shared" ref="BL237:BZ237" si="345">IF(OR(X237="",X237=0),"-",IFERROR((X237/W237-1)*(W239/W$13),"-"))</f>
        <v>-</v>
      </c>
      <c r="BM237" s="1053" t="str">
        <f t="shared" si="345"/>
        <v>-</v>
      </c>
      <c r="BN237" s="1053" t="str">
        <f t="shared" si="345"/>
        <v>-</v>
      </c>
      <c r="BO237" s="2302" t="str">
        <f t="shared" si="345"/>
        <v>-</v>
      </c>
      <c r="BP237" s="1053" t="str">
        <f t="shared" si="345"/>
        <v>-</v>
      </c>
      <c r="BQ237" s="2303" t="str">
        <f t="shared" si="345"/>
        <v>-</v>
      </c>
      <c r="BR237" s="1053" t="str">
        <f t="shared" si="345"/>
        <v>-</v>
      </c>
      <c r="BS237" s="1053" t="str">
        <f t="shared" si="345"/>
        <v>-</v>
      </c>
      <c r="BT237" s="1053" t="str">
        <f t="shared" si="345"/>
        <v>-</v>
      </c>
      <c r="BU237" s="1054" t="str">
        <f t="shared" si="345"/>
        <v>-</v>
      </c>
      <c r="BV237" s="1053" t="str">
        <f t="shared" si="345"/>
        <v>-</v>
      </c>
      <c r="BW237" s="1053" t="str">
        <f t="shared" si="345"/>
        <v>-</v>
      </c>
      <c r="BX237" s="1053" t="str">
        <f t="shared" si="345"/>
        <v>-</v>
      </c>
      <c r="BY237" s="1053" t="str">
        <f t="shared" si="345"/>
        <v>-</v>
      </c>
      <c r="BZ237" s="1054" t="str">
        <f t="shared" si="345"/>
        <v>-</v>
      </c>
      <c r="CA237" s="1048"/>
    </row>
    <row r="238" spans="3:79" x14ac:dyDescent="0.3">
      <c r="C238" s="126"/>
      <c r="D238" s="126"/>
      <c r="E238" s="558" t="s">
        <v>46</v>
      </c>
      <c r="F238" s="2161" t="str">
        <f t="shared" si="335"/>
        <v>[Service]</v>
      </c>
      <c r="G238" s="2163">
        <f t="shared" si="335"/>
        <v>0</v>
      </c>
      <c r="H238" s="2163">
        <f t="shared" si="335"/>
        <v>0</v>
      </c>
      <c r="I238" s="2164" t="str">
        <f t="shared" si="335"/>
        <v>[Price]</v>
      </c>
      <c r="J238" s="574" t="s">
        <v>323</v>
      </c>
      <c r="K238" s="1973"/>
      <c r="L238" s="1974"/>
      <c r="M238" s="1974"/>
      <c r="N238" s="1975"/>
      <c r="O238" s="1974"/>
      <c r="P238" s="1974"/>
      <c r="Q238" s="1974"/>
      <c r="R238" s="1976"/>
      <c r="S238" s="1975"/>
      <c r="T238" s="1974"/>
      <c r="U238" s="1974"/>
      <c r="V238" s="1974"/>
      <c r="W238" s="1713"/>
      <c r="X238" s="1714"/>
      <c r="Y238" s="1713"/>
      <c r="Z238" s="1713"/>
      <c r="AA238" s="1713"/>
      <c r="AB238" s="1715"/>
      <c r="AC238" s="1713"/>
      <c r="AD238" s="1713"/>
      <c r="AE238" s="1713"/>
      <c r="AF238" s="1713"/>
      <c r="AG238" s="1716"/>
      <c r="AH238" s="1713"/>
      <c r="AI238" s="1713"/>
      <c r="AJ238" s="1713"/>
      <c r="AK238" s="1713"/>
      <c r="AL238" s="1716"/>
      <c r="AM238" s="560"/>
      <c r="AN238" s="991"/>
      <c r="AO238" s="992"/>
      <c r="AP238" s="2285" t="str">
        <f t="shared" si="272"/>
        <v>Qty</v>
      </c>
      <c r="AQ238" s="2286" t="str">
        <f t="shared" si="272"/>
        <v>[Service]</v>
      </c>
      <c r="AR238" s="2287" t="str">
        <f t="shared" si="273"/>
        <v>[Price]</v>
      </c>
      <c r="AS238" s="2288" t="str">
        <f t="shared" si="318"/>
        <v>-</v>
      </c>
      <c r="AT238" s="1720" t="str">
        <f t="shared" si="318"/>
        <v>-</v>
      </c>
      <c r="AU238" s="1720" t="str">
        <f t="shared" si="318"/>
        <v>-</v>
      </c>
      <c r="AV238" s="2289" t="str">
        <f t="shared" si="318"/>
        <v>-</v>
      </c>
      <c r="AW238" s="1720" t="str">
        <f t="shared" si="318"/>
        <v>-</v>
      </c>
      <c r="AX238" s="2290" t="str">
        <f t="shared" si="318"/>
        <v>-</v>
      </c>
      <c r="AY238" s="1720" t="str">
        <f t="shared" si="318"/>
        <v>-</v>
      </c>
      <c r="AZ238" s="1720" t="str">
        <f t="shared" si="318"/>
        <v>-</v>
      </c>
      <c r="BA238" s="1720" t="str">
        <f t="shared" si="318"/>
        <v>-</v>
      </c>
      <c r="BB238" s="1721" t="str">
        <f t="shared" si="318"/>
        <v>-</v>
      </c>
      <c r="BC238" s="1720" t="str">
        <f t="shared" si="318"/>
        <v>-</v>
      </c>
      <c r="BD238" s="1720" t="str">
        <f t="shared" si="318"/>
        <v>-</v>
      </c>
      <c r="BE238" s="1720" t="str">
        <f t="shared" si="318"/>
        <v>-</v>
      </c>
      <c r="BF238" s="1720" t="str">
        <f t="shared" si="318"/>
        <v>-</v>
      </c>
      <c r="BG238" s="1721" t="str">
        <f t="shared" si="318"/>
        <v>-</v>
      </c>
      <c r="BH238" s="1048"/>
      <c r="BI238" s="2285" t="str">
        <f t="shared" si="300"/>
        <v>Qty</v>
      </c>
      <c r="BJ238" s="2286" t="str">
        <f t="shared" si="300"/>
        <v>[Service]</v>
      </c>
      <c r="BK238" s="2287" t="str">
        <f t="shared" si="300"/>
        <v>[Price]</v>
      </c>
      <c r="BL238" s="2288" t="str">
        <f t="shared" ref="BL238:BZ238" si="346">IF(OR(X238="",X238=0),"-",IFERROR((X238/W238-1)*(W239/W$13),"-"))</f>
        <v>-</v>
      </c>
      <c r="BM238" s="1720" t="str">
        <f t="shared" si="346"/>
        <v>-</v>
      </c>
      <c r="BN238" s="1720" t="str">
        <f t="shared" si="346"/>
        <v>-</v>
      </c>
      <c r="BO238" s="2289" t="str">
        <f t="shared" si="346"/>
        <v>-</v>
      </c>
      <c r="BP238" s="1720" t="str">
        <f t="shared" si="346"/>
        <v>-</v>
      </c>
      <c r="BQ238" s="2290" t="str">
        <f t="shared" si="346"/>
        <v>-</v>
      </c>
      <c r="BR238" s="1720" t="str">
        <f t="shared" si="346"/>
        <v>-</v>
      </c>
      <c r="BS238" s="1720" t="str">
        <f t="shared" si="346"/>
        <v>-</v>
      </c>
      <c r="BT238" s="1720" t="str">
        <f t="shared" si="346"/>
        <v>-</v>
      </c>
      <c r="BU238" s="1721" t="str">
        <f t="shared" si="346"/>
        <v>-</v>
      </c>
      <c r="BV238" s="1720" t="str">
        <f t="shared" si="346"/>
        <v>-</v>
      </c>
      <c r="BW238" s="1720" t="str">
        <f t="shared" si="346"/>
        <v>-</v>
      </c>
      <c r="BX238" s="1720" t="str">
        <f t="shared" si="346"/>
        <v>-</v>
      </c>
      <c r="BY238" s="1720" t="str">
        <f t="shared" si="346"/>
        <v>-</v>
      </c>
      <c r="BZ238" s="1721" t="str">
        <f t="shared" si="346"/>
        <v>-</v>
      </c>
      <c r="CA238" s="1048"/>
    </row>
    <row r="239" spans="3:79" ht="12.5" thickBot="1" x14ac:dyDescent="0.35">
      <c r="C239" s="126"/>
      <c r="D239" s="126"/>
      <c r="E239" s="559" t="s">
        <v>47</v>
      </c>
      <c r="F239" s="2162" t="str">
        <f t="shared" ref="F239:I239" si="347">+F237</f>
        <v>[Service]</v>
      </c>
      <c r="G239" s="2165">
        <f t="shared" si="347"/>
        <v>0</v>
      </c>
      <c r="H239" s="2165">
        <f t="shared" si="347"/>
        <v>0</v>
      </c>
      <c r="I239" s="2166" t="str">
        <f t="shared" si="347"/>
        <v>[Price]</v>
      </c>
      <c r="J239" s="2106" t="s">
        <v>347</v>
      </c>
      <c r="K239" s="1977"/>
      <c r="L239" s="1206"/>
      <c r="M239" s="1206"/>
      <c r="N239" s="1978"/>
      <c r="O239" s="1206"/>
      <c r="P239" s="1206"/>
      <c r="Q239" s="1206"/>
      <c r="R239" s="1206"/>
      <c r="S239" s="1978"/>
      <c r="T239" s="1206"/>
      <c r="U239" s="1206"/>
      <c r="V239" s="1206"/>
      <c r="W239" s="1731">
        <f t="shared" ref="W239:AG239" si="348">W237*W238/10^6</f>
        <v>0</v>
      </c>
      <c r="X239" s="1730">
        <f t="shared" si="348"/>
        <v>0</v>
      </c>
      <c r="Y239" s="1612">
        <f t="shared" si="348"/>
        <v>0</v>
      </c>
      <c r="Z239" s="1731">
        <f t="shared" si="348"/>
        <v>0</v>
      </c>
      <c r="AA239" s="1731">
        <f t="shared" si="348"/>
        <v>0</v>
      </c>
      <c r="AB239" s="1733">
        <f t="shared" si="348"/>
        <v>0</v>
      </c>
      <c r="AC239" s="1731">
        <f t="shared" si="348"/>
        <v>0</v>
      </c>
      <c r="AD239" s="1731">
        <f t="shared" si="348"/>
        <v>0</v>
      </c>
      <c r="AE239" s="1731">
        <f t="shared" si="348"/>
        <v>0</v>
      </c>
      <c r="AF239" s="1731">
        <f t="shared" si="348"/>
        <v>0</v>
      </c>
      <c r="AG239" s="1733">
        <f t="shared" si="348"/>
        <v>0</v>
      </c>
      <c r="AH239" s="1731">
        <f>AH237*AH238/10^6</f>
        <v>0</v>
      </c>
      <c r="AI239" s="1731">
        <f>AI237*AI238/10^6</f>
        <v>0</v>
      </c>
      <c r="AJ239" s="1731">
        <f>AJ237*AJ238/10^6</f>
        <v>0</v>
      </c>
      <c r="AK239" s="1731">
        <f>AK237*AK238/10^6</f>
        <v>0</v>
      </c>
      <c r="AL239" s="1733">
        <f>AL237*AL238/10^6</f>
        <v>0</v>
      </c>
      <c r="AM239" s="560"/>
      <c r="AN239" s="991"/>
      <c r="AO239" s="992"/>
      <c r="AP239" s="2304" t="str">
        <f t="shared" si="272"/>
        <v>Rev</v>
      </c>
      <c r="AQ239" s="2305" t="str">
        <f t="shared" si="272"/>
        <v>[Service]</v>
      </c>
      <c r="AR239" s="2306" t="str">
        <f t="shared" si="273"/>
        <v>[Price]</v>
      </c>
      <c r="AS239" s="2307" t="str">
        <f t="shared" ref="AS239:BG255" si="349">IF(OR(X239="",X239=0),"-",IFERROR(X239/W239-1,"-"))</f>
        <v>-</v>
      </c>
      <c r="AT239" s="1055" t="str">
        <f t="shared" si="349"/>
        <v>-</v>
      </c>
      <c r="AU239" s="1055" t="str">
        <f t="shared" si="349"/>
        <v>-</v>
      </c>
      <c r="AV239" s="2308" t="str">
        <f t="shared" si="349"/>
        <v>-</v>
      </c>
      <c r="AW239" s="1055" t="str">
        <f t="shared" si="349"/>
        <v>-</v>
      </c>
      <c r="AX239" s="2309" t="str">
        <f t="shared" si="349"/>
        <v>-</v>
      </c>
      <c r="AY239" s="1055" t="str">
        <f t="shared" si="349"/>
        <v>-</v>
      </c>
      <c r="AZ239" s="1055" t="str">
        <f t="shared" si="349"/>
        <v>-</v>
      </c>
      <c r="BA239" s="1055" t="str">
        <f t="shared" si="349"/>
        <v>-</v>
      </c>
      <c r="BB239" s="1056" t="str">
        <f t="shared" si="349"/>
        <v>-</v>
      </c>
      <c r="BC239" s="1055" t="str">
        <f t="shared" si="349"/>
        <v>-</v>
      </c>
      <c r="BD239" s="1055" t="str">
        <f t="shared" si="349"/>
        <v>-</v>
      </c>
      <c r="BE239" s="1055" t="str">
        <f t="shared" si="349"/>
        <v>-</v>
      </c>
      <c r="BF239" s="1055" t="str">
        <f t="shared" si="349"/>
        <v>-</v>
      </c>
      <c r="BG239" s="1056" t="str">
        <f t="shared" si="349"/>
        <v>-</v>
      </c>
      <c r="BH239" s="1048"/>
      <c r="BI239" s="2304" t="str">
        <f t="shared" si="300"/>
        <v>Rev</v>
      </c>
      <c r="BJ239" s="2305" t="str">
        <f t="shared" si="300"/>
        <v>[Service]</v>
      </c>
      <c r="BK239" s="2306" t="str">
        <f t="shared" si="300"/>
        <v>[Price]</v>
      </c>
      <c r="BL239" s="2307" t="str">
        <f t="shared" ref="BL239:BZ239" si="350">IF(OR(X239="",X239=0),"-",IFERROR((X239/W239-1)*(W239/W$13),"-"))</f>
        <v>-</v>
      </c>
      <c r="BM239" s="1055" t="str">
        <f t="shared" si="350"/>
        <v>-</v>
      </c>
      <c r="BN239" s="1055" t="str">
        <f t="shared" si="350"/>
        <v>-</v>
      </c>
      <c r="BO239" s="2308" t="str">
        <f t="shared" si="350"/>
        <v>-</v>
      </c>
      <c r="BP239" s="1055" t="str">
        <f t="shared" si="350"/>
        <v>-</v>
      </c>
      <c r="BQ239" s="2309" t="str">
        <f t="shared" si="350"/>
        <v>-</v>
      </c>
      <c r="BR239" s="1055" t="str">
        <f t="shared" si="350"/>
        <v>-</v>
      </c>
      <c r="BS239" s="1055" t="str">
        <f t="shared" si="350"/>
        <v>-</v>
      </c>
      <c r="BT239" s="1055" t="str">
        <f t="shared" si="350"/>
        <v>-</v>
      </c>
      <c r="BU239" s="1056" t="str">
        <f t="shared" si="350"/>
        <v>-</v>
      </c>
      <c r="BV239" s="1055" t="str">
        <f t="shared" si="350"/>
        <v>-</v>
      </c>
      <c r="BW239" s="1055" t="str">
        <f t="shared" si="350"/>
        <v>-</v>
      </c>
      <c r="BX239" s="1055" t="str">
        <f t="shared" si="350"/>
        <v>-</v>
      </c>
      <c r="BY239" s="1055" t="str">
        <f t="shared" si="350"/>
        <v>-</v>
      </c>
      <c r="BZ239" s="1056" t="str">
        <f t="shared" si="350"/>
        <v>-</v>
      </c>
      <c r="CA239" s="1048"/>
    </row>
    <row r="240" spans="3:79" x14ac:dyDescent="0.3">
      <c r="C240" s="126"/>
      <c r="D240" s="126">
        <f>D237+1</f>
        <v>58</v>
      </c>
      <c r="E240" s="553" t="s">
        <v>45</v>
      </c>
      <c r="F240" s="2105" t="s">
        <v>28</v>
      </c>
      <c r="G240" s="2105"/>
      <c r="H240" s="2105"/>
      <c r="I240" s="573" t="s">
        <v>319</v>
      </c>
      <c r="J240" s="573" t="s">
        <v>348</v>
      </c>
      <c r="K240" s="1969"/>
      <c r="L240" s="1970"/>
      <c r="M240" s="1970"/>
      <c r="N240" s="1971"/>
      <c r="O240" s="1970"/>
      <c r="P240" s="1970"/>
      <c r="Q240" s="1970"/>
      <c r="R240" s="1972"/>
      <c r="S240" s="1971"/>
      <c r="T240" s="1970"/>
      <c r="U240" s="1970"/>
      <c r="V240" s="1970"/>
      <c r="W240" s="1709"/>
      <c r="X240" s="1710"/>
      <c r="Y240" s="1709"/>
      <c r="Z240" s="1709"/>
      <c r="AA240" s="1709"/>
      <c r="AB240" s="1711"/>
      <c r="AC240" s="1709"/>
      <c r="AD240" s="1709"/>
      <c r="AE240" s="1709"/>
      <c r="AF240" s="1709"/>
      <c r="AG240" s="1712"/>
      <c r="AH240" s="1709"/>
      <c r="AI240" s="1709"/>
      <c r="AJ240" s="1709"/>
      <c r="AK240" s="1709"/>
      <c r="AL240" s="1712"/>
      <c r="AM240" s="560"/>
      <c r="AN240" s="1052"/>
      <c r="AO240" s="992"/>
      <c r="AP240" s="2297" t="str">
        <f t="shared" si="272"/>
        <v>Price</v>
      </c>
      <c r="AQ240" s="2298" t="str">
        <f t="shared" si="272"/>
        <v>[Service]</v>
      </c>
      <c r="AR240" s="1719" t="str">
        <f t="shared" si="273"/>
        <v>[Price]</v>
      </c>
      <c r="AS240" s="2299" t="str">
        <f t="shared" si="349"/>
        <v>-</v>
      </c>
      <c r="AT240" s="1728" t="str">
        <f t="shared" si="349"/>
        <v>-</v>
      </c>
      <c r="AU240" s="1728" t="str">
        <f t="shared" si="349"/>
        <v>-</v>
      </c>
      <c r="AV240" s="2300" t="str">
        <f t="shared" si="349"/>
        <v>-</v>
      </c>
      <c r="AW240" s="1728" t="str">
        <f t="shared" si="349"/>
        <v>-</v>
      </c>
      <c r="AX240" s="2301" t="str">
        <f t="shared" si="349"/>
        <v>-</v>
      </c>
      <c r="AY240" s="1728" t="str">
        <f t="shared" si="349"/>
        <v>-</v>
      </c>
      <c r="AZ240" s="1728" t="str">
        <f t="shared" si="349"/>
        <v>-</v>
      </c>
      <c r="BA240" s="1728" t="str">
        <f t="shared" si="349"/>
        <v>-</v>
      </c>
      <c r="BB240" s="1729" t="str">
        <f t="shared" si="349"/>
        <v>-</v>
      </c>
      <c r="BC240" s="1728" t="str">
        <f t="shared" si="349"/>
        <v>-</v>
      </c>
      <c r="BD240" s="1728" t="str">
        <f t="shared" si="349"/>
        <v>-</v>
      </c>
      <c r="BE240" s="1728" t="str">
        <f t="shared" si="349"/>
        <v>-</v>
      </c>
      <c r="BF240" s="1728" t="str">
        <f t="shared" si="349"/>
        <v>-</v>
      </c>
      <c r="BG240" s="1729" t="str">
        <f t="shared" si="349"/>
        <v>-</v>
      </c>
      <c r="BH240" s="1048"/>
      <c r="BI240" s="2297" t="str">
        <f t="shared" si="300"/>
        <v>Price</v>
      </c>
      <c r="BJ240" s="2298" t="str">
        <f t="shared" si="300"/>
        <v>[Service]</v>
      </c>
      <c r="BK240" s="1719" t="str">
        <f t="shared" si="300"/>
        <v>[Price]</v>
      </c>
      <c r="BL240" s="2299" t="str">
        <f t="shared" ref="BL240:BZ240" si="351">IF(OR(X240="",X240=0),"-",IFERROR((X240/W240-1)*(W242/W$13),"-"))</f>
        <v>-</v>
      </c>
      <c r="BM240" s="1053" t="str">
        <f t="shared" si="351"/>
        <v>-</v>
      </c>
      <c r="BN240" s="1053" t="str">
        <f t="shared" si="351"/>
        <v>-</v>
      </c>
      <c r="BO240" s="2302" t="str">
        <f t="shared" si="351"/>
        <v>-</v>
      </c>
      <c r="BP240" s="1053" t="str">
        <f t="shared" si="351"/>
        <v>-</v>
      </c>
      <c r="BQ240" s="2303" t="str">
        <f t="shared" si="351"/>
        <v>-</v>
      </c>
      <c r="BR240" s="1053" t="str">
        <f t="shared" si="351"/>
        <v>-</v>
      </c>
      <c r="BS240" s="1053" t="str">
        <f t="shared" si="351"/>
        <v>-</v>
      </c>
      <c r="BT240" s="1053" t="str">
        <f t="shared" si="351"/>
        <v>-</v>
      </c>
      <c r="BU240" s="1054" t="str">
        <f t="shared" si="351"/>
        <v>-</v>
      </c>
      <c r="BV240" s="1053" t="str">
        <f t="shared" si="351"/>
        <v>-</v>
      </c>
      <c r="BW240" s="1053" t="str">
        <f t="shared" si="351"/>
        <v>-</v>
      </c>
      <c r="BX240" s="1053" t="str">
        <f t="shared" si="351"/>
        <v>-</v>
      </c>
      <c r="BY240" s="1053" t="str">
        <f t="shared" si="351"/>
        <v>-</v>
      </c>
      <c r="BZ240" s="1054" t="str">
        <f t="shared" si="351"/>
        <v>-</v>
      </c>
      <c r="CA240" s="1048"/>
    </row>
    <row r="241" spans="3:79" x14ac:dyDescent="0.3">
      <c r="C241" s="126"/>
      <c r="D241" s="126"/>
      <c r="E241" s="558" t="s">
        <v>46</v>
      </c>
      <c r="F241" s="2161" t="str">
        <f t="shared" si="335"/>
        <v>[Service]</v>
      </c>
      <c r="G241" s="2163">
        <f t="shared" si="335"/>
        <v>0</v>
      </c>
      <c r="H241" s="2163">
        <f t="shared" si="335"/>
        <v>0</v>
      </c>
      <c r="I241" s="2164" t="str">
        <f t="shared" si="335"/>
        <v>[Price]</v>
      </c>
      <c r="J241" s="574" t="s">
        <v>323</v>
      </c>
      <c r="K241" s="1973"/>
      <c r="L241" s="1974"/>
      <c r="M241" s="1974"/>
      <c r="N241" s="1975"/>
      <c r="O241" s="1974"/>
      <c r="P241" s="1974"/>
      <c r="Q241" s="1974"/>
      <c r="R241" s="1976"/>
      <c r="S241" s="1975"/>
      <c r="T241" s="1974"/>
      <c r="U241" s="1974"/>
      <c r="V241" s="1974"/>
      <c r="W241" s="1713"/>
      <c r="X241" s="1714"/>
      <c r="Y241" s="1713"/>
      <c r="Z241" s="1713"/>
      <c r="AA241" s="1713"/>
      <c r="AB241" s="1715"/>
      <c r="AC241" s="1713"/>
      <c r="AD241" s="1713"/>
      <c r="AE241" s="1713"/>
      <c r="AF241" s="1713"/>
      <c r="AG241" s="1716"/>
      <c r="AH241" s="1713"/>
      <c r="AI241" s="1713"/>
      <c r="AJ241" s="1713"/>
      <c r="AK241" s="1713"/>
      <c r="AL241" s="1716"/>
      <c r="AM241" s="560"/>
      <c r="AN241" s="991"/>
      <c r="AO241" s="992"/>
      <c r="AP241" s="2285" t="str">
        <f t="shared" si="272"/>
        <v>Qty</v>
      </c>
      <c r="AQ241" s="2286" t="str">
        <f t="shared" si="272"/>
        <v>[Service]</v>
      </c>
      <c r="AR241" s="2287" t="str">
        <f t="shared" si="273"/>
        <v>[Price]</v>
      </c>
      <c r="AS241" s="2288" t="str">
        <f t="shared" si="349"/>
        <v>-</v>
      </c>
      <c r="AT241" s="1720" t="str">
        <f t="shared" si="349"/>
        <v>-</v>
      </c>
      <c r="AU241" s="1720" t="str">
        <f t="shared" si="349"/>
        <v>-</v>
      </c>
      <c r="AV241" s="2289" t="str">
        <f t="shared" si="349"/>
        <v>-</v>
      </c>
      <c r="AW241" s="1720" t="str">
        <f t="shared" si="349"/>
        <v>-</v>
      </c>
      <c r="AX241" s="2290" t="str">
        <f t="shared" si="349"/>
        <v>-</v>
      </c>
      <c r="AY241" s="1720" t="str">
        <f t="shared" si="349"/>
        <v>-</v>
      </c>
      <c r="AZ241" s="1720" t="str">
        <f t="shared" si="349"/>
        <v>-</v>
      </c>
      <c r="BA241" s="1720" t="str">
        <f t="shared" si="349"/>
        <v>-</v>
      </c>
      <c r="BB241" s="1721" t="str">
        <f t="shared" si="349"/>
        <v>-</v>
      </c>
      <c r="BC241" s="1720" t="str">
        <f t="shared" si="349"/>
        <v>-</v>
      </c>
      <c r="BD241" s="1720" t="str">
        <f t="shared" si="349"/>
        <v>-</v>
      </c>
      <c r="BE241" s="1720" t="str">
        <f t="shared" si="349"/>
        <v>-</v>
      </c>
      <c r="BF241" s="1720" t="str">
        <f t="shared" si="349"/>
        <v>-</v>
      </c>
      <c r="BG241" s="1721" t="str">
        <f t="shared" si="349"/>
        <v>-</v>
      </c>
      <c r="BH241" s="1048"/>
      <c r="BI241" s="2285" t="str">
        <f t="shared" si="300"/>
        <v>Qty</v>
      </c>
      <c r="BJ241" s="2286" t="str">
        <f t="shared" si="300"/>
        <v>[Service]</v>
      </c>
      <c r="BK241" s="2287" t="str">
        <f t="shared" si="300"/>
        <v>[Price]</v>
      </c>
      <c r="BL241" s="2288" t="str">
        <f t="shared" ref="BL241:BZ241" si="352">IF(OR(X241="",X241=0),"-",IFERROR((X241/W241-1)*(W242/W$13),"-"))</f>
        <v>-</v>
      </c>
      <c r="BM241" s="1720" t="str">
        <f t="shared" si="352"/>
        <v>-</v>
      </c>
      <c r="BN241" s="1720" t="str">
        <f t="shared" si="352"/>
        <v>-</v>
      </c>
      <c r="BO241" s="2289" t="str">
        <f t="shared" si="352"/>
        <v>-</v>
      </c>
      <c r="BP241" s="1720" t="str">
        <f t="shared" si="352"/>
        <v>-</v>
      </c>
      <c r="BQ241" s="2290" t="str">
        <f t="shared" si="352"/>
        <v>-</v>
      </c>
      <c r="BR241" s="1720" t="str">
        <f t="shared" si="352"/>
        <v>-</v>
      </c>
      <c r="BS241" s="1720" t="str">
        <f t="shared" si="352"/>
        <v>-</v>
      </c>
      <c r="BT241" s="1720" t="str">
        <f t="shared" si="352"/>
        <v>-</v>
      </c>
      <c r="BU241" s="1721" t="str">
        <f t="shared" si="352"/>
        <v>-</v>
      </c>
      <c r="BV241" s="1720" t="str">
        <f t="shared" si="352"/>
        <v>-</v>
      </c>
      <c r="BW241" s="1720" t="str">
        <f t="shared" si="352"/>
        <v>-</v>
      </c>
      <c r="BX241" s="1720" t="str">
        <f t="shared" si="352"/>
        <v>-</v>
      </c>
      <c r="BY241" s="1720" t="str">
        <f t="shared" si="352"/>
        <v>-</v>
      </c>
      <c r="BZ241" s="1721" t="str">
        <f t="shared" si="352"/>
        <v>-</v>
      </c>
      <c r="CA241" s="1048"/>
    </row>
    <row r="242" spans="3:79" ht="12.5" thickBot="1" x14ac:dyDescent="0.35">
      <c r="C242" s="126"/>
      <c r="D242" s="126"/>
      <c r="E242" s="559" t="s">
        <v>47</v>
      </c>
      <c r="F242" s="2162" t="str">
        <f t="shared" ref="F242:I242" si="353">+F240</f>
        <v>[Service]</v>
      </c>
      <c r="G242" s="2165">
        <f t="shared" si="353"/>
        <v>0</v>
      </c>
      <c r="H242" s="2165">
        <f t="shared" si="353"/>
        <v>0</v>
      </c>
      <c r="I242" s="2166" t="str">
        <f t="shared" si="353"/>
        <v>[Price]</v>
      </c>
      <c r="J242" s="2106" t="s">
        <v>347</v>
      </c>
      <c r="K242" s="1977"/>
      <c r="L242" s="1206"/>
      <c r="M242" s="1206"/>
      <c r="N242" s="1978"/>
      <c r="O242" s="1206"/>
      <c r="P242" s="1206"/>
      <c r="Q242" s="1206"/>
      <c r="R242" s="1206"/>
      <c r="S242" s="1978"/>
      <c r="T242" s="1206"/>
      <c r="U242" s="1206"/>
      <c r="V242" s="1206"/>
      <c r="W242" s="1731">
        <f t="shared" ref="W242:AG242" si="354">W240*W241/10^6</f>
        <v>0</v>
      </c>
      <c r="X242" s="1730">
        <f t="shared" si="354"/>
        <v>0</v>
      </c>
      <c r="Y242" s="1731">
        <f t="shared" si="354"/>
        <v>0</v>
      </c>
      <c r="Z242" s="1731">
        <f t="shared" si="354"/>
        <v>0</v>
      </c>
      <c r="AA242" s="1731">
        <f t="shared" si="354"/>
        <v>0</v>
      </c>
      <c r="AB242" s="1733">
        <f t="shared" si="354"/>
        <v>0</v>
      </c>
      <c r="AC242" s="1731">
        <f t="shared" si="354"/>
        <v>0</v>
      </c>
      <c r="AD242" s="1731">
        <f t="shared" si="354"/>
        <v>0</v>
      </c>
      <c r="AE242" s="1731">
        <f t="shared" si="354"/>
        <v>0</v>
      </c>
      <c r="AF242" s="1731">
        <f t="shared" si="354"/>
        <v>0</v>
      </c>
      <c r="AG242" s="1733">
        <f t="shared" si="354"/>
        <v>0</v>
      </c>
      <c r="AH242" s="1731">
        <f>AH240*AH241/10^6</f>
        <v>0</v>
      </c>
      <c r="AI242" s="1731">
        <f>AI240*AI241/10^6</f>
        <v>0</v>
      </c>
      <c r="AJ242" s="1731">
        <f>AJ240*AJ241/10^6</f>
        <v>0</v>
      </c>
      <c r="AK242" s="1731">
        <f>AK240*AK241/10^6</f>
        <v>0</v>
      </c>
      <c r="AL242" s="1733">
        <f>AL240*AL241/10^6</f>
        <v>0</v>
      </c>
      <c r="AM242" s="560"/>
      <c r="AN242" s="991"/>
      <c r="AO242" s="992"/>
      <c r="AP242" s="2304" t="str">
        <f t="shared" si="272"/>
        <v>Rev</v>
      </c>
      <c r="AQ242" s="2305" t="str">
        <f t="shared" si="272"/>
        <v>[Service]</v>
      </c>
      <c r="AR242" s="2306" t="str">
        <f t="shared" si="273"/>
        <v>[Price]</v>
      </c>
      <c r="AS242" s="2307" t="str">
        <f t="shared" si="349"/>
        <v>-</v>
      </c>
      <c r="AT242" s="1055" t="str">
        <f t="shared" si="349"/>
        <v>-</v>
      </c>
      <c r="AU242" s="1055" t="str">
        <f t="shared" si="349"/>
        <v>-</v>
      </c>
      <c r="AV242" s="2308" t="str">
        <f t="shared" si="349"/>
        <v>-</v>
      </c>
      <c r="AW242" s="1055" t="str">
        <f t="shared" si="349"/>
        <v>-</v>
      </c>
      <c r="AX242" s="2309" t="str">
        <f t="shared" si="349"/>
        <v>-</v>
      </c>
      <c r="AY242" s="1055" t="str">
        <f t="shared" si="349"/>
        <v>-</v>
      </c>
      <c r="AZ242" s="1055" t="str">
        <f t="shared" si="349"/>
        <v>-</v>
      </c>
      <c r="BA242" s="1055" t="str">
        <f t="shared" si="349"/>
        <v>-</v>
      </c>
      <c r="BB242" s="1056" t="str">
        <f t="shared" si="349"/>
        <v>-</v>
      </c>
      <c r="BC242" s="1055" t="str">
        <f t="shared" si="349"/>
        <v>-</v>
      </c>
      <c r="BD242" s="1055" t="str">
        <f t="shared" si="349"/>
        <v>-</v>
      </c>
      <c r="BE242" s="1055" t="str">
        <f t="shared" si="349"/>
        <v>-</v>
      </c>
      <c r="BF242" s="1055" t="str">
        <f t="shared" si="349"/>
        <v>-</v>
      </c>
      <c r="BG242" s="1056" t="str">
        <f t="shared" si="349"/>
        <v>-</v>
      </c>
      <c r="BH242" s="1048"/>
      <c r="BI242" s="2304" t="str">
        <f t="shared" si="300"/>
        <v>Rev</v>
      </c>
      <c r="BJ242" s="2305" t="str">
        <f t="shared" si="300"/>
        <v>[Service]</v>
      </c>
      <c r="BK242" s="2306" t="str">
        <f t="shared" si="300"/>
        <v>[Price]</v>
      </c>
      <c r="BL242" s="2307" t="str">
        <f t="shared" ref="BL242:BZ242" si="355">IF(OR(X242="",X242=0),"-",IFERROR((X242/W242-1)*(W242/W$13),"-"))</f>
        <v>-</v>
      </c>
      <c r="BM242" s="1055" t="str">
        <f t="shared" si="355"/>
        <v>-</v>
      </c>
      <c r="BN242" s="1055" t="str">
        <f t="shared" si="355"/>
        <v>-</v>
      </c>
      <c r="BO242" s="2308" t="str">
        <f t="shared" si="355"/>
        <v>-</v>
      </c>
      <c r="BP242" s="1055" t="str">
        <f t="shared" si="355"/>
        <v>-</v>
      </c>
      <c r="BQ242" s="2309" t="str">
        <f t="shared" si="355"/>
        <v>-</v>
      </c>
      <c r="BR242" s="1055" t="str">
        <f t="shared" si="355"/>
        <v>-</v>
      </c>
      <c r="BS242" s="1055" t="str">
        <f t="shared" si="355"/>
        <v>-</v>
      </c>
      <c r="BT242" s="1055" t="str">
        <f t="shared" si="355"/>
        <v>-</v>
      </c>
      <c r="BU242" s="1056" t="str">
        <f t="shared" si="355"/>
        <v>-</v>
      </c>
      <c r="BV242" s="1055" t="str">
        <f t="shared" si="355"/>
        <v>-</v>
      </c>
      <c r="BW242" s="1055" t="str">
        <f t="shared" si="355"/>
        <v>-</v>
      </c>
      <c r="BX242" s="1055" t="str">
        <f t="shared" si="355"/>
        <v>-</v>
      </c>
      <c r="BY242" s="1055" t="str">
        <f t="shared" si="355"/>
        <v>-</v>
      </c>
      <c r="BZ242" s="1056" t="str">
        <f t="shared" si="355"/>
        <v>-</v>
      </c>
      <c r="CA242" s="1048"/>
    </row>
    <row r="243" spans="3:79" x14ac:dyDescent="0.3">
      <c r="C243" s="126"/>
      <c r="D243" s="126">
        <f>D240+1</f>
        <v>59</v>
      </c>
      <c r="E243" s="553" t="s">
        <v>45</v>
      </c>
      <c r="F243" s="2105" t="s">
        <v>28</v>
      </c>
      <c r="G243" s="2105"/>
      <c r="H243" s="2105"/>
      <c r="I243" s="573" t="s">
        <v>319</v>
      </c>
      <c r="J243" s="573" t="s">
        <v>348</v>
      </c>
      <c r="K243" s="1969"/>
      <c r="L243" s="1970"/>
      <c r="M243" s="1970"/>
      <c r="N243" s="1971"/>
      <c r="O243" s="1970"/>
      <c r="P243" s="1970"/>
      <c r="Q243" s="1970"/>
      <c r="R243" s="1972"/>
      <c r="S243" s="1971"/>
      <c r="T243" s="1970"/>
      <c r="U243" s="1970"/>
      <c r="V243" s="1970"/>
      <c r="W243" s="1709"/>
      <c r="X243" s="1710"/>
      <c r="Y243" s="1709"/>
      <c r="Z243" s="1709"/>
      <c r="AA243" s="1709"/>
      <c r="AB243" s="1711"/>
      <c r="AC243" s="1709"/>
      <c r="AD243" s="1709"/>
      <c r="AE243" s="1709"/>
      <c r="AF243" s="1709"/>
      <c r="AG243" s="1712"/>
      <c r="AH243" s="1709"/>
      <c r="AI243" s="1709"/>
      <c r="AJ243" s="1709"/>
      <c r="AK243" s="1709"/>
      <c r="AL243" s="1712"/>
      <c r="AM243" s="560"/>
      <c r="AN243" s="1052"/>
      <c r="AO243" s="992"/>
      <c r="AP243" s="2297" t="str">
        <f t="shared" si="272"/>
        <v>Price</v>
      </c>
      <c r="AQ243" s="2298" t="str">
        <f t="shared" si="272"/>
        <v>[Service]</v>
      </c>
      <c r="AR243" s="1719" t="str">
        <f t="shared" si="273"/>
        <v>[Price]</v>
      </c>
      <c r="AS243" s="2299" t="str">
        <f t="shared" si="349"/>
        <v>-</v>
      </c>
      <c r="AT243" s="1728" t="str">
        <f t="shared" si="349"/>
        <v>-</v>
      </c>
      <c r="AU243" s="1728" t="str">
        <f t="shared" si="349"/>
        <v>-</v>
      </c>
      <c r="AV243" s="2300" t="str">
        <f t="shared" si="349"/>
        <v>-</v>
      </c>
      <c r="AW243" s="1728" t="str">
        <f t="shared" si="349"/>
        <v>-</v>
      </c>
      <c r="AX243" s="2301" t="str">
        <f t="shared" si="349"/>
        <v>-</v>
      </c>
      <c r="AY243" s="1728" t="str">
        <f t="shared" si="349"/>
        <v>-</v>
      </c>
      <c r="AZ243" s="1728" t="str">
        <f t="shared" si="349"/>
        <v>-</v>
      </c>
      <c r="BA243" s="1728" t="str">
        <f t="shared" si="349"/>
        <v>-</v>
      </c>
      <c r="BB243" s="1729" t="str">
        <f t="shared" si="349"/>
        <v>-</v>
      </c>
      <c r="BC243" s="1728" t="str">
        <f t="shared" si="349"/>
        <v>-</v>
      </c>
      <c r="BD243" s="1728" t="str">
        <f t="shared" si="349"/>
        <v>-</v>
      </c>
      <c r="BE243" s="1728" t="str">
        <f t="shared" si="349"/>
        <v>-</v>
      </c>
      <c r="BF243" s="1728" t="str">
        <f t="shared" si="349"/>
        <v>-</v>
      </c>
      <c r="BG243" s="1729" t="str">
        <f t="shared" si="349"/>
        <v>-</v>
      </c>
      <c r="BH243" s="1048"/>
      <c r="BI243" s="2297" t="str">
        <f t="shared" si="300"/>
        <v>Price</v>
      </c>
      <c r="BJ243" s="2298" t="str">
        <f t="shared" si="300"/>
        <v>[Service]</v>
      </c>
      <c r="BK243" s="1719" t="str">
        <f t="shared" si="300"/>
        <v>[Price]</v>
      </c>
      <c r="BL243" s="2299" t="str">
        <f t="shared" ref="BL243:BZ243" si="356">IF(OR(X243="",X243=0),"-",IFERROR((X243/W243-1)*(W245/W$13),"-"))</f>
        <v>-</v>
      </c>
      <c r="BM243" s="1053" t="str">
        <f t="shared" si="356"/>
        <v>-</v>
      </c>
      <c r="BN243" s="1053" t="str">
        <f t="shared" si="356"/>
        <v>-</v>
      </c>
      <c r="BO243" s="2302" t="str">
        <f t="shared" si="356"/>
        <v>-</v>
      </c>
      <c r="BP243" s="1053" t="str">
        <f t="shared" si="356"/>
        <v>-</v>
      </c>
      <c r="BQ243" s="2303" t="str">
        <f t="shared" si="356"/>
        <v>-</v>
      </c>
      <c r="BR243" s="1053" t="str">
        <f t="shared" si="356"/>
        <v>-</v>
      </c>
      <c r="BS243" s="1053" t="str">
        <f t="shared" si="356"/>
        <v>-</v>
      </c>
      <c r="BT243" s="1053" t="str">
        <f t="shared" si="356"/>
        <v>-</v>
      </c>
      <c r="BU243" s="1054" t="str">
        <f t="shared" si="356"/>
        <v>-</v>
      </c>
      <c r="BV243" s="1053" t="str">
        <f t="shared" si="356"/>
        <v>-</v>
      </c>
      <c r="BW243" s="1053" t="str">
        <f t="shared" si="356"/>
        <v>-</v>
      </c>
      <c r="BX243" s="1053" t="str">
        <f t="shared" si="356"/>
        <v>-</v>
      </c>
      <c r="BY243" s="1053" t="str">
        <f t="shared" si="356"/>
        <v>-</v>
      </c>
      <c r="BZ243" s="1054" t="str">
        <f t="shared" si="356"/>
        <v>-</v>
      </c>
      <c r="CA243" s="1048"/>
    </row>
    <row r="244" spans="3:79" x14ac:dyDescent="0.3">
      <c r="C244" s="126"/>
      <c r="D244" s="126"/>
      <c r="E244" s="558" t="s">
        <v>46</v>
      </c>
      <c r="F244" s="2161" t="str">
        <f t="shared" si="335"/>
        <v>[Service]</v>
      </c>
      <c r="G244" s="2163">
        <f t="shared" si="335"/>
        <v>0</v>
      </c>
      <c r="H244" s="2163">
        <f t="shared" si="335"/>
        <v>0</v>
      </c>
      <c r="I244" s="2164" t="str">
        <f t="shared" si="335"/>
        <v>[Price]</v>
      </c>
      <c r="J244" s="574" t="s">
        <v>323</v>
      </c>
      <c r="K244" s="1973"/>
      <c r="L244" s="1974"/>
      <c r="M244" s="1974"/>
      <c r="N244" s="1975"/>
      <c r="O244" s="1974"/>
      <c r="P244" s="1974"/>
      <c r="Q244" s="1974"/>
      <c r="R244" s="1976"/>
      <c r="S244" s="1975"/>
      <c r="T244" s="1974"/>
      <c r="U244" s="1974"/>
      <c r="V244" s="1974"/>
      <c r="W244" s="1713"/>
      <c r="X244" s="1714"/>
      <c r="Y244" s="1713"/>
      <c r="Z244" s="1713"/>
      <c r="AA244" s="1713"/>
      <c r="AB244" s="1715"/>
      <c r="AC244" s="1713"/>
      <c r="AD244" s="1713"/>
      <c r="AE244" s="1713"/>
      <c r="AF244" s="1713"/>
      <c r="AG244" s="1716"/>
      <c r="AH244" s="1713"/>
      <c r="AI244" s="1713"/>
      <c r="AJ244" s="1713"/>
      <c r="AK244" s="1713"/>
      <c r="AL244" s="1716"/>
      <c r="AM244" s="560"/>
      <c r="AN244" s="991"/>
      <c r="AO244" s="992"/>
      <c r="AP244" s="2285" t="str">
        <f t="shared" si="272"/>
        <v>Qty</v>
      </c>
      <c r="AQ244" s="2286" t="str">
        <f t="shared" si="272"/>
        <v>[Service]</v>
      </c>
      <c r="AR244" s="2287" t="str">
        <f t="shared" si="273"/>
        <v>[Price]</v>
      </c>
      <c r="AS244" s="2288" t="str">
        <f t="shared" si="349"/>
        <v>-</v>
      </c>
      <c r="AT244" s="1720" t="str">
        <f t="shared" si="349"/>
        <v>-</v>
      </c>
      <c r="AU244" s="1720" t="str">
        <f t="shared" si="349"/>
        <v>-</v>
      </c>
      <c r="AV244" s="2289" t="str">
        <f t="shared" si="349"/>
        <v>-</v>
      </c>
      <c r="AW244" s="1720" t="str">
        <f t="shared" si="349"/>
        <v>-</v>
      </c>
      <c r="AX244" s="2290" t="str">
        <f t="shared" si="349"/>
        <v>-</v>
      </c>
      <c r="AY244" s="1720" t="str">
        <f t="shared" si="349"/>
        <v>-</v>
      </c>
      <c r="AZ244" s="1720" t="str">
        <f t="shared" si="349"/>
        <v>-</v>
      </c>
      <c r="BA244" s="1720" t="str">
        <f t="shared" si="349"/>
        <v>-</v>
      </c>
      <c r="BB244" s="1721" t="str">
        <f t="shared" si="349"/>
        <v>-</v>
      </c>
      <c r="BC244" s="1720" t="str">
        <f t="shared" si="349"/>
        <v>-</v>
      </c>
      <c r="BD244" s="1720" t="str">
        <f t="shared" si="349"/>
        <v>-</v>
      </c>
      <c r="BE244" s="1720" t="str">
        <f t="shared" si="349"/>
        <v>-</v>
      </c>
      <c r="BF244" s="1720" t="str">
        <f t="shared" si="349"/>
        <v>-</v>
      </c>
      <c r="BG244" s="1721" t="str">
        <f t="shared" si="349"/>
        <v>-</v>
      </c>
      <c r="BH244" s="1048"/>
      <c r="BI244" s="2285" t="str">
        <f t="shared" si="300"/>
        <v>Qty</v>
      </c>
      <c r="BJ244" s="2286" t="str">
        <f t="shared" si="300"/>
        <v>[Service]</v>
      </c>
      <c r="BK244" s="2287" t="str">
        <f t="shared" si="300"/>
        <v>[Price]</v>
      </c>
      <c r="BL244" s="2288" t="str">
        <f t="shared" ref="BL244:BZ244" si="357">IF(OR(X244="",X244=0),"-",IFERROR((X244/W244-1)*(W245/W$13),"-"))</f>
        <v>-</v>
      </c>
      <c r="BM244" s="1720" t="str">
        <f t="shared" si="357"/>
        <v>-</v>
      </c>
      <c r="BN244" s="1720" t="str">
        <f t="shared" si="357"/>
        <v>-</v>
      </c>
      <c r="BO244" s="2289" t="str">
        <f t="shared" si="357"/>
        <v>-</v>
      </c>
      <c r="BP244" s="1720" t="str">
        <f t="shared" si="357"/>
        <v>-</v>
      </c>
      <c r="BQ244" s="2290" t="str">
        <f t="shared" si="357"/>
        <v>-</v>
      </c>
      <c r="BR244" s="1720" t="str">
        <f t="shared" si="357"/>
        <v>-</v>
      </c>
      <c r="BS244" s="1720" t="str">
        <f t="shared" si="357"/>
        <v>-</v>
      </c>
      <c r="BT244" s="1720" t="str">
        <f t="shared" si="357"/>
        <v>-</v>
      </c>
      <c r="BU244" s="1721" t="str">
        <f t="shared" si="357"/>
        <v>-</v>
      </c>
      <c r="BV244" s="1720" t="str">
        <f t="shared" si="357"/>
        <v>-</v>
      </c>
      <c r="BW244" s="1720" t="str">
        <f t="shared" si="357"/>
        <v>-</v>
      </c>
      <c r="BX244" s="1720" t="str">
        <f t="shared" si="357"/>
        <v>-</v>
      </c>
      <c r="BY244" s="1720" t="str">
        <f t="shared" si="357"/>
        <v>-</v>
      </c>
      <c r="BZ244" s="1721" t="str">
        <f t="shared" si="357"/>
        <v>-</v>
      </c>
      <c r="CA244" s="1048"/>
    </row>
    <row r="245" spans="3:79" ht="12.5" thickBot="1" x14ac:dyDescent="0.35">
      <c r="C245" s="126"/>
      <c r="D245" s="126"/>
      <c r="E245" s="559" t="s">
        <v>47</v>
      </c>
      <c r="F245" s="2162" t="str">
        <f t="shared" ref="F245:I245" si="358">+F243</f>
        <v>[Service]</v>
      </c>
      <c r="G245" s="2165">
        <f t="shared" si="358"/>
        <v>0</v>
      </c>
      <c r="H245" s="2165">
        <f t="shared" si="358"/>
        <v>0</v>
      </c>
      <c r="I245" s="2166" t="str">
        <f t="shared" si="358"/>
        <v>[Price]</v>
      </c>
      <c r="J245" s="2106" t="s">
        <v>347</v>
      </c>
      <c r="K245" s="1977"/>
      <c r="L245" s="1206"/>
      <c r="M245" s="1206"/>
      <c r="N245" s="1978"/>
      <c r="O245" s="1206"/>
      <c r="P245" s="1206"/>
      <c r="Q245" s="1206"/>
      <c r="R245" s="1206"/>
      <c r="S245" s="1978"/>
      <c r="T245" s="1206"/>
      <c r="U245" s="1206"/>
      <c r="V245" s="1206"/>
      <c r="W245" s="1731">
        <f t="shared" ref="W245:AG245" si="359">W243*W244/10^6</f>
        <v>0</v>
      </c>
      <c r="X245" s="1730">
        <f t="shared" si="359"/>
        <v>0</v>
      </c>
      <c r="Y245" s="1731">
        <f t="shared" si="359"/>
        <v>0</v>
      </c>
      <c r="Z245" s="1731">
        <f t="shared" si="359"/>
        <v>0</v>
      </c>
      <c r="AA245" s="1731">
        <f t="shared" si="359"/>
        <v>0</v>
      </c>
      <c r="AB245" s="1733">
        <f t="shared" si="359"/>
        <v>0</v>
      </c>
      <c r="AC245" s="1731">
        <f t="shared" si="359"/>
        <v>0</v>
      </c>
      <c r="AD245" s="1731">
        <f t="shared" si="359"/>
        <v>0</v>
      </c>
      <c r="AE245" s="1731">
        <f t="shared" si="359"/>
        <v>0</v>
      </c>
      <c r="AF245" s="1731">
        <f t="shared" si="359"/>
        <v>0</v>
      </c>
      <c r="AG245" s="1733">
        <f t="shared" si="359"/>
        <v>0</v>
      </c>
      <c r="AH245" s="1731">
        <f>AH243*AH244/10^6</f>
        <v>0</v>
      </c>
      <c r="AI245" s="1731">
        <f>AI243*AI244/10^6</f>
        <v>0</v>
      </c>
      <c r="AJ245" s="1731">
        <f>AJ243*AJ244/10^6</f>
        <v>0</v>
      </c>
      <c r="AK245" s="1731">
        <f>AK243*AK244/10^6</f>
        <v>0</v>
      </c>
      <c r="AL245" s="1733">
        <f>AL243*AL244/10^6</f>
        <v>0</v>
      </c>
      <c r="AM245" s="560"/>
      <c r="AN245" s="991"/>
      <c r="AO245" s="992"/>
      <c r="AP245" s="2304" t="str">
        <f t="shared" si="272"/>
        <v>Rev</v>
      </c>
      <c r="AQ245" s="2305" t="str">
        <f t="shared" si="272"/>
        <v>[Service]</v>
      </c>
      <c r="AR245" s="2306" t="str">
        <f t="shared" si="273"/>
        <v>[Price]</v>
      </c>
      <c r="AS245" s="2307" t="str">
        <f t="shared" si="349"/>
        <v>-</v>
      </c>
      <c r="AT245" s="1055" t="str">
        <f t="shared" si="349"/>
        <v>-</v>
      </c>
      <c r="AU245" s="1055" t="str">
        <f t="shared" si="349"/>
        <v>-</v>
      </c>
      <c r="AV245" s="2308" t="str">
        <f t="shared" si="349"/>
        <v>-</v>
      </c>
      <c r="AW245" s="1055" t="str">
        <f t="shared" si="349"/>
        <v>-</v>
      </c>
      <c r="AX245" s="2309" t="str">
        <f t="shared" si="349"/>
        <v>-</v>
      </c>
      <c r="AY245" s="1055" t="str">
        <f t="shared" si="349"/>
        <v>-</v>
      </c>
      <c r="AZ245" s="1055" t="str">
        <f t="shared" si="349"/>
        <v>-</v>
      </c>
      <c r="BA245" s="1055" t="str">
        <f t="shared" si="349"/>
        <v>-</v>
      </c>
      <c r="BB245" s="1056" t="str">
        <f t="shared" si="349"/>
        <v>-</v>
      </c>
      <c r="BC245" s="1055" t="str">
        <f t="shared" si="349"/>
        <v>-</v>
      </c>
      <c r="BD245" s="1055" t="str">
        <f t="shared" si="349"/>
        <v>-</v>
      </c>
      <c r="BE245" s="1055" t="str">
        <f t="shared" si="349"/>
        <v>-</v>
      </c>
      <c r="BF245" s="1055" t="str">
        <f t="shared" si="349"/>
        <v>-</v>
      </c>
      <c r="BG245" s="1056" t="str">
        <f t="shared" si="349"/>
        <v>-</v>
      </c>
      <c r="BH245" s="1048"/>
      <c r="BI245" s="2304" t="str">
        <f t="shared" si="300"/>
        <v>Rev</v>
      </c>
      <c r="BJ245" s="2305" t="str">
        <f t="shared" si="300"/>
        <v>[Service]</v>
      </c>
      <c r="BK245" s="2306" t="str">
        <f t="shared" si="300"/>
        <v>[Price]</v>
      </c>
      <c r="BL245" s="2307" t="str">
        <f t="shared" ref="BL245:BZ245" si="360">IF(OR(X245="",X245=0),"-",IFERROR((X245/W245-1)*(W245/W$13),"-"))</f>
        <v>-</v>
      </c>
      <c r="BM245" s="1055" t="str">
        <f t="shared" si="360"/>
        <v>-</v>
      </c>
      <c r="BN245" s="1055" t="str">
        <f t="shared" si="360"/>
        <v>-</v>
      </c>
      <c r="BO245" s="2308" t="str">
        <f t="shared" si="360"/>
        <v>-</v>
      </c>
      <c r="BP245" s="1055" t="str">
        <f t="shared" si="360"/>
        <v>-</v>
      </c>
      <c r="BQ245" s="2309" t="str">
        <f t="shared" si="360"/>
        <v>-</v>
      </c>
      <c r="BR245" s="1055" t="str">
        <f t="shared" si="360"/>
        <v>-</v>
      </c>
      <c r="BS245" s="1055" t="str">
        <f t="shared" si="360"/>
        <v>-</v>
      </c>
      <c r="BT245" s="1055" t="str">
        <f t="shared" si="360"/>
        <v>-</v>
      </c>
      <c r="BU245" s="1056" t="str">
        <f t="shared" si="360"/>
        <v>-</v>
      </c>
      <c r="BV245" s="1055" t="str">
        <f t="shared" si="360"/>
        <v>-</v>
      </c>
      <c r="BW245" s="1055" t="str">
        <f t="shared" si="360"/>
        <v>-</v>
      </c>
      <c r="BX245" s="1055" t="str">
        <f t="shared" si="360"/>
        <v>-</v>
      </c>
      <c r="BY245" s="1055" t="str">
        <f t="shared" si="360"/>
        <v>-</v>
      </c>
      <c r="BZ245" s="1056" t="str">
        <f t="shared" si="360"/>
        <v>-</v>
      </c>
      <c r="CA245" s="1048"/>
    </row>
    <row r="246" spans="3:79" x14ac:dyDescent="0.3">
      <c r="C246" s="126"/>
      <c r="D246" s="126">
        <f>D243+1</f>
        <v>60</v>
      </c>
      <c r="E246" s="553" t="s">
        <v>45</v>
      </c>
      <c r="F246" s="2105" t="s">
        <v>28</v>
      </c>
      <c r="G246" s="2105"/>
      <c r="H246" s="2105"/>
      <c r="I246" s="573" t="s">
        <v>319</v>
      </c>
      <c r="J246" s="573" t="s">
        <v>348</v>
      </c>
      <c r="K246" s="1969"/>
      <c r="L246" s="1970"/>
      <c r="M246" s="1970"/>
      <c r="N246" s="1971"/>
      <c r="O246" s="1970"/>
      <c r="P246" s="1970"/>
      <c r="Q246" s="1970"/>
      <c r="R246" s="1972"/>
      <c r="S246" s="1971"/>
      <c r="T246" s="1970"/>
      <c r="U246" s="1970"/>
      <c r="V246" s="1970"/>
      <c r="W246" s="1709"/>
      <c r="X246" s="1710"/>
      <c r="Y246" s="1709"/>
      <c r="Z246" s="1709"/>
      <c r="AA246" s="1709"/>
      <c r="AB246" s="1711"/>
      <c r="AC246" s="1709"/>
      <c r="AD246" s="1709"/>
      <c r="AE246" s="1709"/>
      <c r="AF246" s="1709"/>
      <c r="AG246" s="1712"/>
      <c r="AH246" s="1709"/>
      <c r="AI246" s="1709"/>
      <c r="AJ246" s="1709"/>
      <c r="AK246" s="1709"/>
      <c r="AL246" s="1712"/>
      <c r="AM246" s="560"/>
      <c r="AN246" s="1052"/>
      <c r="AO246" s="992"/>
      <c r="AP246" s="2297" t="str">
        <f t="shared" si="272"/>
        <v>Price</v>
      </c>
      <c r="AQ246" s="2298" t="str">
        <f t="shared" si="272"/>
        <v>[Service]</v>
      </c>
      <c r="AR246" s="1719" t="str">
        <f t="shared" si="273"/>
        <v>[Price]</v>
      </c>
      <c r="AS246" s="2299" t="str">
        <f t="shared" si="349"/>
        <v>-</v>
      </c>
      <c r="AT246" s="1728" t="str">
        <f t="shared" si="349"/>
        <v>-</v>
      </c>
      <c r="AU246" s="1728" t="str">
        <f t="shared" si="349"/>
        <v>-</v>
      </c>
      <c r="AV246" s="2300" t="str">
        <f t="shared" si="349"/>
        <v>-</v>
      </c>
      <c r="AW246" s="1728" t="str">
        <f t="shared" si="349"/>
        <v>-</v>
      </c>
      <c r="AX246" s="2301" t="str">
        <f t="shared" si="349"/>
        <v>-</v>
      </c>
      <c r="AY246" s="1728" t="str">
        <f t="shared" si="349"/>
        <v>-</v>
      </c>
      <c r="AZ246" s="1728" t="str">
        <f t="shared" si="349"/>
        <v>-</v>
      </c>
      <c r="BA246" s="1728" t="str">
        <f t="shared" si="349"/>
        <v>-</v>
      </c>
      <c r="BB246" s="1729" t="str">
        <f t="shared" si="349"/>
        <v>-</v>
      </c>
      <c r="BC246" s="1728" t="str">
        <f t="shared" si="349"/>
        <v>-</v>
      </c>
      <c r="BD246" s="1728" t="str">
        <f t="shared" si="349"/>
        <v>-</v>
      </c>
      <c r="BE246" s="1728" t="str">
        <f t="shared" si="349"/>
        <v>-</v>
      </c>
      <c r="BF246" s="1728" t="str">
        <f t="shared" si="349"/>
        <v>-</v>
      </c>
      <c r="BG246" s="1729" t="str">
        <f t="shared" si="349"/>
        <v>-</v>
      </c>
      <c r="BH246" s="1048"/>
      <c r="BI246" s="2297" t="str">
        <f t="shared" si="300"/>
        <v>Price</v>
      </c>
      <c r="BJ246" s="2298" t="str">
        <f t="shared" si="300"/>
        <v>[Service]</v>
      </c>
      <c r="BK246" s="1719" t="str">
        <f t="shared" si="300"/>
        <v>[Price]</v>
      </c>
      <c r="BL246" s="2299" t="str">
        <f t="shared" ref="BL246:BZ246" si="361">IF(OR(X246="",X246=0),"-",IFERROR((X246/W246-1)*(W248/W$13),"-"))</f>
        <v>-</v>
      </c>
      <c r="BM246" s="1053" t="str">
        <f t="shared" si="361"/>
        <v>-</v>
      </c>
      <c r="BN246" s="1053" t="str">
        <f t="shared" si="361"/>
        <v>-</v>
      </c>
      <c r="BO246" s="2302" t="str">
        <f t="shared" si="361"/>
        <v>-</v>
      </c>
      <c r="BP246" s="1053" t="str">
        <f t="shared" si="361"/>
        <v>-</v>
      </c>
      <c r="BQ246" s="2303" t="str">
        <f t="shared" si="361"/>
        <v>-</v>
      </c>
      <c r="BR246" s="1053" t="str">
        <f t="shared" si="361"/>
        <v>-</v>
      </c>
      <c r="BS246" s="1053" t="str">
        <f t="shared" si="361"/>
        <v>-</v>
      </c>
      <c r="BT246" s="1053" t="str">
        <f t="shared" si="361"/>
        <v>-</v>
      </c>
      <c r="BU246" s="1054" t="str">
        <f t="shared" si="361"/>
        <v>-</v>
      </c>
      <c r="BV246" s="1053" t="str">
        <f t="shared" si="361"/>
        <v>-</v>
      </c>
      <c r="BW246" s="1053" t="str">
        <f t="shared" si="361"/>
        <v>-</v>
      </c>
      <c r="BX246" s="1053" t="str">
        <f t="shared" si="361"/>
        <v>-</v>
      </c>
      <c r="BY246" s="1053" t="str">
        <f t="shared" si="361"/>
        <v>-</v>
      </c>
      <c r="BZ246" s="1054" t="str">
        <f t="shared" si="361"/>
        <v>-</v>
      </c>
      <c r="CA246" s="1048"/>
    </row>
    <row r="247" spans="3:79" x14ac:dyDescent="0.3">
      <c r="C247" s="126"/>
      <c r="D247" s="126"/>
      <c r="E247" s="558" t="s">
        <v>46</v>
      </c>
      <c r="F247" s="2161" t="str">
        <f t="shared" si="335"/>
        <v>[Service]</v>
      </c>
      <c r="G247" s="2163">
        <f t="shared" si="335"/>
        <v>0</v>
      </c>
      <c r="H247" s="2163">
        <f t="shared" si="335"/>
        <v>0</v>
      </c>
      <c r="I247" s="2164" t="str">
        <f t="shared" si="335"/>
        <v>[Price]</v>
      </c>
      <c r="J247" s="574" t="s">
        <v>323</v>
      </c>
      <c r="K247" s="1973"/>
      <c r="L247" s="1974"/>
      <c r="M247" s="1974"/>
      <c r="N247" s="1975"/>
      <c r="O247" s="1974"/>
      <c r="P247" s="1974"/>
      <c r="Q247" s="1974"/>
      <c r="R247" s="1976"/>
      <c r="S247" s="1975"/>
      <c r="T247" s="1974"/>
      <c r="U247" s="1974"/>
      <c r="V247" s="1974"/>
      <c r="W247" s="1713"/>
      <c r="X247" s="1714"/>
      <c r="Y247" s="1713"/>
      <c r="Z247" s="1713"/>
      <c r="AA247" s="1713"/>
      <c r="AB247" s="1715"/>
      <c r="AC247" s="1713"/>
      <c r="AD247" s="1713"/>
      <c r="AE247" s="1713"/>
      <c r="AF247" s="1713"/>
      <c r="AG247" s="1716"/>
      <c r="AH247" s="1713"/>
      <c r="AI247" s="1713"/>
      <c r="AJ247" s="1713"/>
      <c r="AK247" s="1713"/>
      <c r="AL247" s="1716"/>
      <c r="AM247" s="560"/>
      <c r="AN247" s="991"/>
      <c r="AO247" s="992"/>
      <c r="AP247" s="2285" t="str">
        <f t="shared" si="272"/>
        <v>Qty</v>
      </c>
      <c r="AQ247" s="2286" t="str">
        <f t="shared" si="272"/>
        <v>[Service]</v>
      </c>
      <c r="AR247" s="2287" t="str">
        <f t="shared" si="273"/>
        <v>[Price]</v>
      </c>
      <c r="AS247" s="2288" t="str">
        <f t="shared" si="349"/>
        <v>-</v>
      </c>
      <c r="AT247" s="1720" t="str">
        <f t="shared" si="349"/>
        <v>-</v>
      </c>
      <c r="AU247" s="1720" t="str">
        <f t="shared" si="349"/>
        <v>-</v>
      </c>
      <c r="AV247" s="2289" t="str">
        <f t="shared" si="349"/>
        <v>-</v>
      </c>
      <c r="AW247" s="1720" t="str">
        <f t="shared" si="349"/>
        <v>-</v>
      </c>
      <c r="AX247" s="2290" t="str">
        <f t="shared" si="349"/>
        <v>-</v>
      </c>
      <c r="AY247" s="1720" t="str">
        <f t="shared" si="349"/>
        <v>-</v>
      </c>
      <c r="AZ247" s="1720" t="str">
        <f t="shared" si="349"/>
        <v>-</v>
      </c>
      <c r="BA247" s="1720" t="str">
        <f t="shared" si="349"/>
        <v>-</v>
      </c>
      <c r="BB247" s="1721" t="str">
        <f t="shared" si="349"/>
        <v>-</v>
      </c>
      <c r="BC247" s="1720" t="str">
        <f t="shared" si="349"/>
        <v>-</v>
      </c>
      <c r="BD247" s="1720" t="str">
        <f t="shared" si="349"/>
        <v>-</v>
      </c>
      <c r="BE247" s="1720" t="str">
        <f t="shared" si="349"/>
        <v>-</v>
      </c>
      <c r="BF247" s="1720" t="str">
        <f t="shared" si="349"/>
        <v>-</v>
      </c>
      <c r="BG247" s="1721" t="str">
        <f t="shared" si="349"/>
        <v>-</v>
      </c>
      <c r="BH247" s="1048"/>
      <c r="BI247" s="2285" t="str">
        <f t="shared" si="300"/>
        <v>Qty</v>
      </c>
      <c r="BJ247" s="2286" t="str">
        <f t="shared" si="300"/>
        <v>[Service]</v>
      </c>
      <c r="BK247" s="2287" t="str">
        <f t="shared" si="300"/>
        <v>[Price]</v>
      </c>
      <c r="BL247" s="2288" t="str">
        <f t="shared" ref="BL247:BZ247" si="362">IF(OR(X247="",X247=0),"-",IFERROR((X247/W247-1)*(W248/W$13),"-"))</f>
        <v>-</v>
      </c>
      <c r="BM247" s="1720" t="str">
        <f t="shared" si="362"/>
        <v>-</v>
      </c>
      <c r="BN247" s="1720" t="str">
        <f t="shared" si="362"/>
        <v>-</v>
      </c>
      <c r="BO247" s="2289" t="str">
        <f t="shared" si="362"/>
        <v>-</v>
      </c>
      <c r="BP247" s="1720" t="str">
        <f t="shared" si="362"/>
        <v>-</v>
      </c>
      <c r="BQ247" s="2290" t="str">
        <f t="shared" si="362"/>
        <v>-</v>
      </c>
      <c r="BR247" s="1720" t="str">
        <f t="shared" si="362"/>
        <v>-</v>
      </c>
      <c r="BS247" s="1720" t="str">
        <f t="shared" si="362"/>
        <v>-</v>
      </c>
      <c r="BT247" s="1720" t="str">
        <f t="shared" si="362"/>
        <v>-</v>
      </c>
      <c r="BU247" s="1721" t="str">
        <f t="shared" si="362"/>
        <v>-</v>
      </c>
      <c r="BV247" s="1720" t="str">
        <f t="shared" si="362"/>
        <v>-</v>
      </c>
      <c r="BW247" s="1720" t="str">
        <f t="shared" si="362"/>
        <v>-</v>
      </c>
      <c r="BX247" s="1720" t="str">
        <f t="shared" si="362"/>
        <v>-</v>
      </c>
      <c r="BY247" s="1720" t="str">
        <f t="shared" si="362"/>
        <v>-</v>
      </c>
      <c r="BZ247" s="1721" t="str">
        <f t="shared" si="362"/>
        <v>-</v>
      </c>
      <c r="CA247" s="1048"/>
    </row>
    <row r="248" spans="3:79" ht="12.5" thickBot="1" x14ac:dyDescent="0.35">
      <c r="C248" s="126"/>
      <c r="D248" s="126"/>
      <c r="E248" s="559" t="s">
        <v>47</v>
      </c>
      <c r="F248" s="2162" t="str">
        <f t="shared" ref="F248:I248" si="363">+F246</f>
        <v>[Service]</v>
      </c>
      <c r="G248" s="2165">
        <f t="shared" si="363"/>
        <v>0</v>
      </c>
      <c r="H248" s="2165">
        <f t="shared" si="363"/>
        <v>0</v>
      </c>
      <c r="I248" s="2166" t="str">
        <f t="shared" si="363"/>
        <v>[Price]</v>
      </c>
      <c r="J248" s="2106" t="s">
        <v>347</v>
      </c>
      <c r="K248" s="1977"/>
      <c r="L248" s="1206"/>
      <c r="M248" s="1206"/>
      <c r="N248" s="1978"/>
      <c r="O248" s="1206"/>
      <c r="P248" s="1206"/>
      <c r="Q248" s="1206"/>
      <c r="R248" s="1206"/>
      <c r="S248" s="1978"/>
      <c r="T248" s="1206"/>
      <c r="U248" s="1206"/>
      <c r="V248" s="1206"/>
      <c r="W248" s="1731">
        <f t="shared" ref="W248:AG248" si="364">W246*W247/10^6</f>
        <v>0</v>
      </c>
      <c r="X248" s="1730">
        <f t="shared" si="364"/>
        <v>0</v>
      </c>
      <c r="Y248" s="1731">
        <f t="shared" si="364"/>
        <v>0</v>
      </c>
      <c r="Z248" s="1731">
        <f t="shared" si="364"/>
        <v>0</v>
      </c>
      <c r="AA248" s="1731">
        <f t="shared" si="364"/>
        <v>0</v>
      </c>
      <c r="AB248" s="1733">
        <f t="shared" si="364"/>
        <v>0</v>
      </c>
      <c r="AC248" s="1731">
        <f t="shared" si="364"/>
        <v>0</v>
      </c>
      <c r="AD248" s="1731">
        <f t="shared" si="364"/>
        <v>0</v>
      </c>
      <c r="AE248" s="1731">
        <f t="shared" si="364"/>
        <v>0</v>
      </c>
      <c r="AF248" s="1731">
        <f t="shared" si="364"/>
        <v>0</v>
      </c>
      <c r="AG248" s="1733">
        <f t="shared" si="364"/>
        <v>0</v>
      </c>
      <c r="AH248" s="1731">
        <f>AH246*AH247/10^6</f>
        <v>0</v>
      </c>
      <c r="AI248" s="1731">
        <f>AI246*AI247/10^6</f>
        <v>0</v>
      </c>
      <c r="AJ248" s="1731">
        <f>AJ246*AJ247/10^6</f>
        <v>0</v>
      </c>
      <c r="AK248" s="1731">
        <f>AK246*AK247/10^6</f>
        <v>0</v>
      </c>
      <c r="AL248" s="1733">
        <f>AL246*AL247/10^6</f>
        <v>0</v>
      </c>
      <c r="AM248" s="560"/>
      <c r="AN248" s="991"/>
      <c r="AO248" s="992"/>
      <c r="AP248" s="2304" t="str">
        <f t="shared" si="272"/>
        <v>Rev</v>
      </c>
      <c r="AQ248" s="2305" t="str">
        <f t="shared" si="272"/>
        <v>[Service]</v>
      </c>
      <c r="AR248" s="2306" t="str">
        <f t="shared" si="273"/>
        <v>[Price]</v>
      </c>
      <c r="AS248" s="2307" t="str">
        <f t="shared" si="349"/>
        <v>-</v>
      </c>
      <c r="AT248" s="1055" t="str">
        <f t="shared" si="349"/>
        <v>-</v>
      </c>
      <c r="AU248" s="1055" t="str">
        <f t="shared" si="349"/>
        <v>-</v>
      </c>
      <c r="AV248" s="2308" t="str">
        <f t="shared" si="349"/>
        <v>-</v>
      </c>
      <c r="AW248" s="1055" t="str">
        <f t="shared" si="349"/>
        <v>-</v>
      </c>
      <c r="AX248" s="2309" t="str">
        <f t="shared" si="349"/>
        <v>-</v>
      </c>
      <c r="AY248" s="1055" t="str">
        <f t="shared" si="349"/>
        <v>-</v>
      </c>
      <c r="AZ248" s="1055" t="str">
        <f t="shared" si="349"/>
        <v>-</v>
      </c>
      <c r="BA248" s="1055" t="str">
        <f t="shared" si="349"/>
        <v>-</v>
      </c>
      <c r="BB248" s="1056" t="str">
        <f t="shared" si="349"/>
        <v>-</v>
      </c>
      <c r="BC248" s="1055" t="str">
        <f t="shared" si="349"/>
        <v>-</v>
      </c>
      <c r="BD248" s="1055" t="str">
        <f t="shared" si="349"/>
        <v>-</v>
      </c>
      <c r="BE248" s="1055" t="str">
        <f t="shared" si="349"/>
        <v>-</v>
      </c>
      <c r="BF248" s="1055" t="str">
        <f t="shared" si="349"/>
        <v>-</v>
      </c>
      <c r="BG248" s="1056" t="str">
        <f t="shared" si="349"/>
        <v>-</v>
      </c>
      <c r="BH248" s="1048"/>
      <c r="BI248" s="2304" t="str">
        <f t="shared" si="300"/>
        <v>Rev</v>
      </c>
      <c r="BJ248" s="2305" t="str">
        <f t="shared" si="300"/>
        <v>[Service]</v>
      </c>
      <c r="BK248" s="2306" t="str">
        <f t="shared" si="300"/>
        <v>[Price]</v>
      </c>
      <c r="BL248" s="2307" t="str">
        <f t="shared" ref="BL248:BZ248" si="365">IF(OR(X248="",X248=0),"-",IFERROR((X248/W248-1)*(W248/W$13),"-"))</f>
        <v>-</v>
      </c>
      <c r="BM248" s="1055" t="str">
        <f t="shared" si="365"/>
        <v>-</v>
      </c>
      <c r="BN248" s="1055" t="str">
        <f t="shared" si="365"/>
        <v>-</v>
      </c>
      <c r="BO248" s="2308" t="str">
        <f t="shared" si="365"/>
        <v>-</v>
      </c>
      <c r="BP248" s="1055" t="str">
        <f t="shared" si="365"/>
        <v>-</v>
      </c>
      <c r="BQ248" s="2309" t="str">
        <f t="shared" si="365"/>
        <v>-</v>
      </c>
      <c r="BR248" s="1055" t="str">
        <f t="shared" si="365"/>
        <v>-</v>
      </c>
      <c r="BS248" s="1055" t="str">
        <f t="shared" si="365"/>
        <v>-</v>
      </c>
      <c r="BT248" s="1055" t="str">
        <f t="shared" si="365"/>
        <v>-</v>
      </c>
      <c r="BU248" s="1056" t="str">
        <f t="shared" si="365"/>
        <v>-</v>
      </c>
      <c r="BV248" s="1055" t="str">
        <f t="shared" si="365"/>
        <v>-</v>
      </c>
      <c r="BW248" s="1055" t="str">
        <f t="shared" si="365"/>
        <v>-</v>
      </c>
      <c r="BX248" s="1055" t="str">
        <f t="shared" si="365"/>
        <v>-</v>
      </c>
      <c r="BY248" s="1055" t="str">
        <f t="shared" si="365"/>
        <v>-</v>
      </c>
      <c r="BZ248" s="1056" t="str">
        <f t="shared" si="365"/>
        <v>-</v>
      </c>
      <c r="CA248" s="1048"/>
    </row>
    <row r="249" spans="3:79" x14ac:dyDescent="0.3">
      <c r="C249" s="126"/>
      <c r="D249" s="126">
        <f>D246+1</f>
        <v>61</v>
      </c>
      <c r="E249" s="553" t="s">
        <v>45</v>
      </c>
      <c r="F249" s="2105" t="s">
        <v>28</v>
      </c>
      <c r="G249" s="2105"/>
      <c r="H249" s="2105"/>
      <c r="I249" s="573" t="s">
        <v>319</v>
      </c>
      <c r="J249" s="573" t="s">
        <v>348</v>
      </c>
      <c r="K249" s="1969"/>
      <c r="L249" s="1970"/>
      <c r="M249" s="1970"/>
      <c r="N249" s="1971"/>
      <c r="O249" s="1970"/>
      <c r="P249" s="1970"/>
      <c r="Q249" s="1970"/>
      <c r="R249" s="1972"/>
      <c r="S249" s="1971"/>
      <c r="T249" s="1970"/>
      <c r="U249" s="1970"/>
      <c r="V249" s="1970"/>
      <c r="W249" s="1709"/>
      <c r="X249" s="1710"/>
      <c r="Y249" s="1709"/>
      <c r="Z249" s="1709"/>
      <c r="AA249" s="1709"/>
      <c r="AB249" s="1711"/>
      <c r="AC249" s="1709"/>
      <c r="AD249" s="1709"/>
      <c r="AE249" s="1709"/>
      <c r="AF249" s="1709"/>
      <c r="AG249" s="1712"/>
      <c r="AH249" s="1709"/>
      <c r="AI249" s="1709"/>
      <c r="AJ249" s="1709"/>
      <c r="AK249" s="1709"/>
      <c r="AL249" s="1712"/>
      <c r="AM249" s="560"/>
      <c r="AN249" s="1052"/>
      <c r="AO249" s="992"/>
      <c r="AP249" s="2297" t="str">
        <f t="shared" si="272"/>
        <v>Price</v>
      </c>
      <c r="AQ249" s="2298" t="str">
        <f t="shared" si="272"/>
        <v>[Service]</v>
      </c>
      <c r="AR249" s="1719" t="str">
        <f t="shared" si="273"/>
        <v>[Price]</v>
      </c>
      <c r="AS249" s="2299" t="str">
        <f t="shared" si="349"/>
        <v>-</v>
      </c>
      <c r="AT249" s="1728" t="str">
        <f t="shared" si="349"/>
        <v>-</v>
      </c>
      <c r="AU249" s="1728" t="str">
        <f t="shared" si="349"/>
        <v>-</v>
      </c>
      <c r="AV249" s="2300" t="str">
        <f t="shared" si="349"/>
        <v>-</v>
      </c>
      <c r="AW249" s="1728" t="str">
        <f t="shared" si="349"/>
        <v>-</v>
      </c>
      <c r="AX249" s="2301" t="str">
        <f t="shared" si="349"/>
        <v>-</v>
      </c>
      <c r="AY249" s="1728" t="str">
        <f t="shared" si="349"/>
        <v>-</v>
      </c>
      <c r="AZ249" s="1728" t="str">
        <f t="shared" si="349"/>
        <v>-</v>
      </c>
      <c r="BA249" s="1728" t="str">
        <f t="shared" si="349"/>
        <v>-</v>
      </c>
      <c r="BB249" s="1729" t="str">
        <f t="shared" si="349"/>
        <v>-</v>
      </c>
      <c r="BC249" s="1728" t="str">
        <f t="shared" si="349"/>
        <v>-</v>
      </c>
      <c r="BD249" s="1728" t="str">
        <f t="shared" si="349"/>
        <v>-</v>
      </c>
      <c r="BE249" s="1728" t="str">
        <f t="shared" si="349"/>
        <v>-</v>
      </c>
      <c r="BF249" s="1728" t="str">
        <f t="shared" si="349"/>
        <v>-</v>
      </c>
      <c r="BG249" s="1729" t="str">
        <f t="shared" si="349"/>
        <v>-</v>
      </c>
      <c r="BH249" s="1048"/>
      <c r="BI249" s="2297" t="str">
        <f t="shared" si="300"/>
        <v>Price</v>
      </c>
      <c r="BJ249" s="2298" t="str">
        <f t="shared" si="300"/>
        <v>[Service]</v>
      </c>
      <c r="BK249" s="1719" t="str">
        <f t="shared" si="300"/>
        <v>[Price]</v>
      </c>
      <c r="BL249" s="2299" t="str">
        <f t="shared" ref="BL249:BZ249" si="366">IF(OR(X249="",X249=0),"-",IFERROR((X249/W249-1)*(W251/W$13),"-"))</f>
        <v>-</v>
      </c>
      <c r="BM249" s="1053" t="str">
        <f t="shared" si="366"/>
        <v>-</v>
      </c>
      <c r="BN249" s="1053" t="str">
        <f t="shared" si="366"/>
        <v>-</v>
      </c>
      <c r="BO249" s="2302" t="str">
        <f t="shared" si="366"/>
        <v>-</v>
      </c>
      <c r="BP249" s="1053" t="str">
        <f t="shared" si="366"/>
        <v>-</v>
      </c>
      <c r="BQ249" s="2303" t="str">
        <f t="shared" si="366"/>
        <v>-</v>
      </c>
      <c r="BR249" s="1053" t="str">
        <f t="shared" si="366"/>
        <v>-</v>
      </c>
      <c r="BS249" s="1053" t="str">
        <f t="shared" si="366"/>
        <v>-</v>
      </c>
      <c r="BT249" s="1053" t="str">
        <f t="shared" si="366"/>
        <v>-</v>
      </c>
      <c r="BU249" s="1054" t="str">
        <f t="shared" si="366"/>
        <v>-</v>
      </c>
      <c r="BV249" s="1053" t="str">
        <f t="shared" si="366"/>
        <v>-</v>
      </c>
      <c r="BW249" s="1053" t="str">
        <f t="shared" si="366"/>
        <v>-</v>
      </c>
      <c r="BX249" s="1053" t="str">
        <f t="shared" si="366"/>
        <v>-</v>
      </c>
      <c r="BY249" s="1053" t="str">
        <f t="shared" si="366"/>
        <v>-</v>
      </c>
      <c r="BZ249" s="1054" t="str">
        <f t="shared" si="366"/>
        <v>-</v>
      </c>
      <c r="CA249" s="1048"/>
    </row>
    <row r="250" spans="3:79" x14ac:dyDescent="0.3">
      <c r="C250" s="126"/>
      <c r="D250" s="126"/>
      <c r="E250" s="558" t="s">
        <v>46</v>
      </c>
      <c r="F250" s="2161" t="str">
        <f t="shared" ref="F250:I265" si="367">+F249</f>
        <v>[Service]</v>
      </c>
      <c r="G250" s="2163">
        <f t="shared" si="367"/>
        <v>0</v>
      </c>
      <c r="H250" s="2163">
        <f t="shared" si="367"/>
        <v>0</v>
      </c>
      <c r="I250" s="2164" t="str">
        <f t="shared" si="367"/>
        <v>[Price]</v>
      </c>
      <c r="J250" s="574" t="s">
        <v>323</v>
      </c>
      <c r="K250" s="1973"/>
      <c r="L250" s="1974"/>
      <c r="M250" s="1974"/>
      <c r="N250" s="1975"/>
      <c r="O250" s="1974"/>
      <c r="P250" s="1974"/>
      <c r="Q250" s="1974"/>
      <c r="R250" s="1976"/>
      <c r="S250" s="1975"/>
      <c r="T250" s="1974"/>
      <c r="U250" s="1974"/>
      <c r="V250" s="1974"/>
      <c r="W250" s="1713"/>
      <c r="X250" s="1714"/>
      <c r="Y250" s="1713"/>
      <c r="Z250" s="1713"/>
      <c r="AA250" s="1713"/>
      <c r="AB250" s="1715"/>
      <c r="AC250" s="1713"/>
      <c r="AD250" s="1713"/>
      <c r="AE250" s="1713"/>
      <c r="AF250" s="1713"/>
      <c r="AG250" s="1716"/>
      <c r="AH250" s="1713"/>
      <c r="AI250" s="1713"/>
      <c r="AJ250" s="1713"/>
      <c r="AK250" s="1713"/>
      <c r="AL250" s="1716"/>
      <c r="AM250" s="560"/>
      <c r="AN250" s="991"/>
      <c r="AO250" s="992"/>
      <c r="AP250" s="2285" t="str">
        <f t="shared" si="272"/>
        <v>Qty</v>
      </c>
      <c r="AQ250" s="2286" t="str">
        <f t="shared" si="272"/>
        <v>[Service]</v>
      </c>
      <c r="AR250" s="2287" t="str">
        <f t="shared" si="273"/>
        <v>[Price]</v>
      </c>
      <c r="AS250" s="2288" t="str">
        <f t="shared" si="349"/>
        <v>-</v>
      </c>
      <c r="AT250" s="1720" t="str">
        <f t="shared" si="349"/>
        <v>-</v>
      </c>
      <c r="AU250" s="1720" t="str">
        <f t="shared" si="349"/>
        <v>-</v>
      </c>
      <c r="AV250" s="2289" t="str">
        <f t="shared" si="349"/>
        <v>-</v>
      </c>
      <c r="AW250" s="1720" t="str">
        <f t="shared" si="349"/>
        <v>-</v>
      </c>
      <c r="AX250" s="2290" t="str">
        <f t="shared" si="349"/>
        <v>-</v>
      </c>
      <c r="AY250" s="1720" t="str">
        <f t="shared" si="349"/>
        <v>-</v>
      </c>
      <c r="AZ250" s="1720" t="str">
        <f t="shared" si="349"/>
        <v>-</v>
      </c>
      <c r="BA250" s="1720" t="str">
        <f t="shared" si="349"/>
        <v>-</v>
      </c>
      <c r="BB250" s="1721" t="str">
        <f t="shared" si="349"/>
        <v>-</v>
      </c>
      <c r="BC250" s="1720" t="str">
        <f t="shared" si="349"/>
        <v>-</v>
      </c>
      <c r="BD250" s="1720" t="str">
        <f t="shared" si="349"/>
        <v>-</v>
      </c>
      <c r="BE250" s="1720" t="str">
        <f t="shared" si="349"/>
        <v>-</v>
      </c>
      <c r="BF250" s="1720" t="str">
        <f t="shared" si="349"/>
        <v>-</v>
      </c>
      <c r="BG250" s="1721" t="str">
        <f t="shared" si="349"/>
        <v>-</v>
      </c>
      <c r="BH250" s="1048"/>
      <c r="BI250" s="2285" t="str">
        <f t="shared" si="300"/>
        <v>Qty</v>
      </c>
      <c r="BJ250" s="2286" t="str">
        <f t="shared" si="300"/>
        <v>[Service]</v>
      </c>
      <c r="BK250" s="2287" t="str">
        <f t="shared" si="300"/>
        <v>[Price]</v>
      </c>
      <c r="BL250" s="2288" t="str">
        <f t="shared" ref="BL250:BZ250" si="368">IF(OR(X250="",X250=0),"-",IFERROR((X250/W250-1)*(W251/W$13),"-"))</f>
        <v>-</v>
      </c>
      <c r="BM250" s="1720" t="str">
        <f t="shared" si="368"/>
        <v>-</v>
      </c>
      <c r="BN250" s="1720" t="str">
        <f t="shared" si="368"/>
        <v>-</v>
      </c>
      <c r="BO250" s="2289" t="str">
        <f t="shared" si="368"/>
        <v>-</v>
      </c>
      <c r="BP250" s="1720" t="str">
        <f t="shared" si="368"/>
        <v>-</v>
      </c>
      <c r="BQ250" s="2290" t="str">
        <f t="shared" si="368"/>
        <v>-</v>
      </c>
      <c r="BR250" s="1720" t="str">
        <f t="shared" si="368"/>
        <v>-</v>
      </c>
      <c r="BS250" s="1720" t="str">
        <f t="shared" si="368"/>
        <v>-</v>
      </c>
      <c r="BT250" s="1720" t="str">
        <f t="shared" si="368"/>
        <v>-</v>
      </c>
      <c r="BU250" s="1721" t="str">
        <f t="shared" si="368"/>
        <v>-</v>
      </c>
      <c r="BV250" s="1720" t="str">
        <f t="shared" si="368"/>
        <v>-</v>
      </c>
      <c r="BW250" s="1720" t="str">
        <f t="shared" si="368"/>
        <v>-</v>
      </c>
      <c r="BX250" s="1720" t="str">
        <f t="shared" si="368"/>
        <v>-</v>
      </c>
      <c r="BY250" s="1720" t="str">
        <f t="shared" si="368"/>
        <v>-</v>
      </c>
      <c r="BZ250" s="1721" t="str">
        <f t="shared" si="368"/>
        <v>-</v>
      </c>
      <c r="CA250" s="1048"/>
    </row>
    <row r="251" spans="3:79" ht="12.5" thickBot="1" x14ac:dyDescent="0.35">
      <c r="C251" s="126"/>
      <c r="D251" s="126"/>
      <c r="E251" s="559" t="s">
        <v>47</v>
      </c>
      <c r="F251" s="2162" t="str">
        <f t="shared" ref="F251:I251" si="369">+F249</f>
        <v>[Service]</v>
      </c>
      <c r="G251" s="2165">
        <f t="shared" si="369"/>
        <v>0</v>
      </c>
      <c r="H251" s="2165">
        <f t="shared" si="369"/>
        <v>0</v>
      </c>
      <c r="I251" s="2166" t="str">
        <f t="shared" si="369"/>
        <v>[Price]</v>
      </c>
      <c r="J251" s="2106" t="s">
        <v>347</v>
      </c>
      <c r="K251" s="1977"/>
      <c r="L251" s="1206"/>
      <c r="M251" s="1206"/>
      <c r="N251" s="1978"/>
      <c r="O251" s="1206"/>
      <c r="P251" s="1206"/>
      <c r="Q251" s="1206"/>
      <c r="R251" s="1206"/>
      <c r="S251" s="1978"/>
      <c r="T251" s="1206"/>
      <c r="U251" s="1206"/>
      <c r="V251" s="1206"/>
      <c r="W251" s="1731">
        <f t="shared" ref="W251:AG251" si="370">W249*W250/10^6</f>
        <v>0</v>
      </c>
      <c r="X251" s="1730">
        <f t="shared" si="370"/>
        <v>0</v>
      </c>
      <c r="Y251" s="1731">
        <f t="shared" si="370"/>
        <v>0</v>
      </c>
      <c r="Z251" s="1731">
        <f t="shared" si="370"/>
        <v>0</v>
      </c>
      <c r="AA251" s="1731">
        <f t="shared" si="370"/>
        <v>0</v>
      </c>
      <c r="AB251" s="1733">
        <f t="shared" si="370"/>
        <v>0</v>
      </c>
      <c r="AC251" s="1731">
        <f t="shared" si="370"/>
        <v>0</v>
      </c>
      <c r="AD251" s="1731">
        <f t="shared" si="370"/>
        <v>0</v>
      </c>
      <c r="AE251" s="1731">
        <f t="shared" si="370"/>
        <v>0</v>
      </c>
      <c r="AF251" s="1731">
        <f t="shared" si="370"/>
        <v>0</v>
      </c>
      <c r="AG251" s="1733">
        <f t="shared" si="370"/>
        <v>0</v>
      </c>
      <c r="AH251" s="1731">
        <f>AH249*AH250/10^6</f>
        <v>0</v>
      </c>
      <c r="AI251" s="1731">
        <f>AI249*AI250/10^6</f>
        <v>0</v>
      </c>
      <c r="AJ251" s="1731">
        <f>AJ249*AJ250/10^6</f>
        <v>0</v>
      </c>
      <c r="AK251" s="1731">
        <f>AK249*AK250/10^6</f>
        <v>0</v>
      </c>
      <c r="AL251" s="1733">
        <f>AL249*AL250/10^6</f>
        <v>0</v>
      </c>
      <c r="AM251" s="560"/>
      <c r="AN251" s="991"/>
      <c r="AO251" s="992"/>
      <c r="AP251" s="2304" t="str">
        <f t="shared" si="272"/>
        <v>Rev</v>
      </c>
      <c r="AQ251" s="2305" t="str">
        <f t="shared" si="272"/>
        <v>[Service]</v>
      </c>
      <c r="AR251" s="2306" t="str">
        <f t="shared" si="273"/>
        <v>[Price]</v>
      </c>
      <c r="AS251" s="2307" t="str">
        <f t="shared" si="349"/>
        <v>-</v>
      </c>
      <c r="AT251" s="1055" t="str">
        <f t="shared" si="349"/>
        <v>-</v>
      </c>
      <c r="AU251" s="1055" t="str">
        <f t="shared" si="349"/>
        <v>-</v>
      </c>
      <c r="AV251" s="2308" t="str">
        <f t="shared" si="349"/>
        <v>-</v>
      </c>
      <c r="AW251" s="1055" t="str">
        <f t="shared" si="349"/>
        <v>-</v>
      </c>
      <c r="AX251" s="2309" t="str">
        <f t="shared" si="349"/>
        <v>-</v>
      </c>
      <c r="AY251" s="1055" t="str">
        <f t="shared" si="349"/>
        <v>-</v>
      </c>
      <c r="AZ251" s="1055" t="str">
        <f t="shared" si="349"/>
        <v>-</v>
      </c>
      <c r="BA251" s="1055" t="str">
        <f t="shared" si="349"/>
        <v>-</v>
      </c>
      <c r="BB251" s="1056" t="str">
        <f t="shared" si="349"/>
        <v>-</v>
      </c>
      <c r="BC251" s="1055" t="str">
        <f t="shared" si="349"/>
        <v>-</v>
      </c>
      <c r="BD251" s="1055" t="str">
        <f t="shared" si="349"/>
        <v>-</v>
      </c>
      <c r="BE251" s="1055" t="str">
        <f t="shared" si="349"/>
        <v>-</v>
      </c>
      <c r="BF251" s="1055" t="str">
        <f t="shared" si="349"/>
        <v>-</v>
      </c>
      <c r="BG251" s="1056" t="str">
        <f t="shared" si="349"/>
        <v>-</v>
      </c>
      <c r="BH251" s="1048"/>
      <c r="BI251" s="2304" t="str">
        <f t="shared" si="300"/>
        <v>Rev</v>
      </c>
      <c r="BJ251" s="2305" t="str">
        <f t="shared" si="300"/>
        <v>[Service]</v>
      </c>
      <c r="BK251" s="2306" t="str">
        <f t="shared" si="300"/>
        <v>[Price]</v>
      </c>
      <c r="BL251" s="2307" t="str">
        <f t="shared" ref="BL251:BZ251" si="371">IF(OR(X251="",X251=0),"-",IFERROR((X251/W251-1)*(W251/W$13),"-"))</f>
        <v>-</v>
      </c>
      <c r="BM251" s="1055" t="str">
        <f t="shared" si="371"/>
        <v>-</v>
      </c>
      <c r="BN251" s="1055" t="str">
        <f t="shared" si="371"/>
        <v>-</v>
      </c>
      <c r="BO251" s="2308" t="str">
        <f t="shared" si="371"/>
        <v>-</v>
      </c>
      <c r="BP251" s="1055" t="str">
        <f t="shared" si="371"/>
        <v>-</v>
      </c>
      <c r="BQ251" s="2309" t="str">
        <f t="shared" si="371"/>
        <v>-</v>
      </c>
      <c r="BR251" s="1055" t="str">
        <f t="shared" si="371"/>
        <v>-</v>
      </c>
      <c r="BS251" s="1055" t="str">
        <f t="shared" si="371"/>
        <v>-</v>
      </c>
      <c r="BT251" s="1055" t="str">
        <f t="shared" si="371"/>
        <v>-</v>
      </c>
      <c r="BU251" s="1056" t="str">
        <f t="shared" si="371"/>
        <v>-</v>
      </c>
      <c r="BV251" s="1055" t="str">
        <f t="shared" si="371"/>
        <v>-</v>
      </c>
      <c r="BW251" s="1055" t="str">
        <f t="shared" si="371"/>
        <v>-</v>
      </c>
      <c r="BX251" s="1055" t="str">
        <f t="shared" si="371"/>
        <v>-</v>
      </c>
      <c r="BY251" s="1055" t="str">
        <f t="shared" si="371"/>
        <v>-</v>
      </c>
      <c r="BZ251" s="1056" t="str">
        <f t="shared" si="371"/>
        <v>-</v>
      </c>
      <c r="CA251" s="1048"/>
    </row>
    <row r="252" spans="3:79" x14ac:dyDescent="0.3">
      <c r="C252" s="126"/>
      <c r="D252" s="126">
        <f>D249+1</f>
        <v>62</v>
      </c>
      <c r="E252" s="553" t="s">
        <v>45</v>
      </c>
      <c r="F252" s="2105" t="s">
        <v>28</v>
      </c>
      <c r="G252" s="2105"/>
      <c r="H252" s="2105"/>
      <c r="I252" s="573" t="s">
        <v>319</v>
      </c>
      <c r="J252" s="573" t="s">
        <v>348</v>
      </c>
      <c r="K252" s="1969"/>
      <c r="L252" s="1970"/>
      <c r="M252" s="1970"/>
      <c r="N252" s="1971"/>
      <c r="O252" s="1970"/>
      <c r="P252" s="1970"/>
      <c r="Q252" s="1970"/>
      <c r="R252" s="1972"/>
      <c r="S252" s="1971"/>
      <c r="T252" s="1970"/>
      <c r="U252" s="1970"/>
      <c r="V252" s="1970"/>
      <c r="W252" s="1709"/>
      <c r="X252" s="1710"/>
      <c r="Y252" s="1709"/>
      <c r="Z252" s="1709"/>
      <c r="AA252" s="1709"/>
      <c r="AB252" s="1711"/>
      <c r="AC252" s="1709"/>
      <c r="AD252" s="1709"/>
      <c r="AE252" s="1709"/>
      <c r="AF252" s="1709"/>
      <c r="AG252" s="1712"/>
      <c r="AH252" s="1709"/>
      <c r="AI252" s="1709"/>
      <c r="AJ252" s="1709"/>
      <c r="AK252" s="1709"/>
      <c r="AL252" s="1712"/>
      <c r="AM252" s="560"/>
      <c r="AN252" s="1052"/>
      <c r="AO252" s="992"/>
      <c r="AP252" s="2297" t="str">
        <f t="shared" si="272"/>
        <v>Price</v>
      </c>
      <c r="AQ252" s="2298" t="str">
        <f t="shared" si="272"/>
        <v>[Service]</v>
      </c>
      <c r="AR252" s="1719" t="str">
        <f t="shared" si="273"/>
        <v>[Price]</v>
      </c>
      <c r="AS252" s="2299" t="str">
        <f t="shared" si="349"/>
        <v>-</v>
      </c>
      <c r="AT252" s="1728" t="str">
        <f t="shared" si="349"/>
        <v>-</v>
      </c>
      <c r="AU252" s="1728" t="str">
        <f t="shared" si="349"/>
        <v>-</v>
      </c>
      <c r="AV252" s="2300" t="str">
        <f t="shared" si="349"/>
        <v>-</v>
      </c>
      <c r="AW252" s="1728" t="str">
        <f t="shared" si="349"/>
        <v>-</v>
      </c>
      <c r="AX252" s="2301" t="str">
        <f t="shared" si="349"/>
        <v>-</v>
      </c>
      <c r="AY252" s="1728" t="str">
        <f t="shared" si="349"/>
        <v>-</v>
      </c>
      <c r="AZ252" s="1728" t="str">
        <f t="shared" si="349"/>
        <v>-</v>
      </c>
      <c r="BA252" s="1728" t="str">
        <f t="shared" si="349"/>
        <v>-</v>
      </c>
      <c r="BB252" s="1729" t="str">
        <f t="shared" si="349"/>
        <v>-</v>
      </c>
      <c r="BC252" s="1728" t="str">
        <f t="shared" si="349"/>
        <v>-</v>
      </c>
      <c r="BD252" s="1728" t="str">
        <f t="shared" si="349"/>
        <v>-</v>
      </c>
      <c r="BE252" s="1728" t="str">
        <f t="shared" si="349"/>
        <v>-</v>
      </c>
      <c r="BF252" s="1728" t="str">
        <f t="shared" si="349"/>
        <v>-</v>
      </c>
      <c r="BG252" s="1729" t="str">
        <f t="shared" si="349"/>
        <v>-</v>
      </c>
      <c r="BH252" s="1048"/>
      <c r="BI252" s="2297" t="str">
        <f t="shared" si="300"/>
        <v>Price</v>
      </c>
      <c r="BJ252" s="2298" t="str">
        <f t="shared" si="300"/>
        <v>[Service]</v>
      </c>
      <c r="BK252" s="1719" t="str">
        <f t="shared" si="300"/>
        <v>[Price]</v>
      </c>
      <c r="BL252" s="2299" t="str">
        <f t="shared" ref="BL252:BZ252" si="372">IF(OR(X252="",X252=0),"-",IFERROR((X252/W252-1)*(W254/W$13),"-"))</f>
        <v>-</v>
      </c>
      <c r="BM252" s="1053" t="str">
        <f t="shared" si="372"/>
        <v>-</v>
      </c>
      <c r="BN252" s="1053" t="str">
        <f t="shared" si="372"/>
        <v>-</v>
      </c>
      <c r="BO252" s="2302" t="str">
        <f t="shared" si="372"/>
        <v>-</v>
      </c>
      <c r="BP252" s="1053" t="str">
        <f t="shared" si="372"/>
        <v>-</v>
      </c>
      <c r="BQ252" s="2303" t="str">
        <f t="shared" si="372"/>
        <v>-</v>
      </c>
      <c r="BR252" s="1053" t="str">
        <f t="shared" si="372"/>
        <v>-</v>
      </c>
      <c r="BS252" s="1053" t="str">
        <f t="shared" si="372"/>
        <v>-</v>
      </c>
      <c r="BT252" s="1053" t="str">
        <f t="shared" si="372"/>
        <v>-</v>
      </c>
      <c r="BU252" s="1054" t="str">
        <f t="shared" si="372"/>
        <v>-</v>
      </c>
      <c r="BV252" s="1053" t="str">
        <f t="shared" si="372"/>
        <v>-</v>
      </c>
      <c r="BW252" s="1053" t="str">
        <f t="shared" si="372"/>
        <v>-</v>
      </c>
      <c r="BX252" s="1053" t="str">
        <f t="shared" si="372"/>
        <v>-</v>
      </c>
      <c r="BY252" s="1053" t="str">
        <f t="shared" si="372"/>
        <v>-</v>
      </c>
      <c r="BZ252" s="1054" t="str">
        <f t="shared" si="372"/>
        <v>-</v>
      </c>
      <c r="CA252" s="1048"/>
    </row>
    <row r="253" spans="3:79" x14ac:dyDescent="0.3">
      <c r="C253" s="126"/>
      <c r="D253" s="126"/>
      <c r="E253" s="558" t="s">
        <v>46</v>
      </c>
      <c r="F253" s="2161" t="str">
        <f t="shared" si="367"/>
        <v>[Service]</v>
      </c>
      <c r="G253" s="2163">
        <f t="shared" si="367"/>
        <v>0</v>
      </c>
      <c r="H253" s="2163">
        <f t="shared" si="367"/>
        <v>0</v>
      </c>
      <c r="I253" s="2164" t="str">
        <f t="shared" si="367"/>
        <v>[Price]</v>
      </c>
      <c r="J253" s="574" t="s">
        <v>323</v>
      </c>
      <c r="K253" s="1973"/>
      <c r="L253" s="1974"/>
      <c r="M253" s="1974"/>
      <c r="N253" s="1975"/>
      <c r="O253" s="1974"/>
      <c r="P253" s="1974"/>
      <c r="Q253" s="1974"/>
      <c r="R253" s="1976"/>
      <c r="S253" s="1975"/>
      <c r="T253" s="1974"/>
      <c r="U253" s="1974"/>
      <c r="V253" s="1974"/>
      <c r="W253" s="1713"/>
      <c r="X253" s="1714"/>
      <c r="Y253" s="1713"/>
      <c r="Z253" s="1713"/>
      <c r="AA253" s="1713"/>
      <c r="AB253" s="1715"/>
      <c r="AC253" s="1713"/>
      <c r="AD253" s="1713"/>
      <c r="AE253" s="1713"/>
      <c r="AF253" s="1713"/>
      <c r="AG253" s="1716"/>
      <c r="AH253" s="1713"/>
      <c r="AI253" s="1713"/>
      <c r="AJ253" s="1713"/>
      <c r="AK253" s="1713"/>
      <c r="AL253" s="1716"/>
      <c r="AM253" s="560"/>
      <c r="AN253" s="991"/>
      <c r="AO253" s="992"/>
      <c r="AP253" s="2285" t="str">
        <f t="shared" si="272"/>
        <v>Qty</v>
      </c>
      <c r="AQ253" s="2286" t="str">
        <f t="shared" si="272"/>
        <v>[Service]</v>
      </c>
      <c r="AR253" s="2287" t="str">
        <f t="shared" si="273"/>
        <v>[Price]</v>
      </c>
      <c r="AS253" s="2288" t="str">
        <f t="shared" si="349"/>
        <v>-</v>
      </c>
      <c r="AT253" s="1720" t="str">
        <f t="shared" si="349"/>
        <v>-</v>
      </c>
      <c r="AU253" s="1720" t="str">
        <f t="shared" si="349"/>
        <v>-</v>
      </c>
      <c r="AV253" s="2289" t="str">
        <f t="shared" si="349"/>
        <v>-</v>
      </c>
      <c r="AW253" s="1720" t="str">
        <f t="shared" si="349"/>
        <v>-</v>
      </c>
      <c r="AX253" s="2290" t="str">
        <f t="shared" si="349"/>
        <v>-</v>
      </c>
      <c r="AY253" s="1720" t="str">
        <f t="shared" si="349"/>
        <v>-</v>
      </c>
      <c r="AZ253" s="1720" t="str">
        <f t="shared" si="349"/>
        <v>-</v>
      </c>
      <c r="BA253" s="1720" t="str">
        <f t="shared" si="349"/>
        <v>-</v>
      </c>
      <c r="BB253" s="1721" t="str">
        <f t="shared" si="349"/>
        <v>-</v>
      </c>
      <c r="BC253" s="1720" t="str">
        <f t="shared" si="349"/>
        <v>-</v>
      </c>
      <c r="BD253" s="1720" t="str">
        <f t="shared" si="349"/>
        <v>-</v>
      </c>
      <c r="BE253" s="1720" t="str">
        <f t="shared" si="349"/>
        <v>-</v>
      </c>
      <c r="BF253" s="1720" t="str">
        <f t="shared" si="349"/>
        <v>-</v>
      </c>
      <c r="BG253" s="1721" t="str">
        <f t="shared" si="349"/>
        <v>-</v>
      </c>
      <c r="BH253" s="1048"/>
      <c r="BI253" s="2285" t="str">
        <f t="shared" si="300"/>
        <v>Qty</v>
      </c>
      <c r="BJ253" s="2286" t="str">
        <f t="shared" si="300"/>
        <v>[Service]</v>
      </c>
      <c r="BK253" s="2287" t="str">
        <f t="shared" si="300"/>
        <v>[Price]</v>
      </c>
      <c r="BL253" s="2288" t="str">
        <f t="shared" ref="BL253:BZ253" si="373">IF(OR(X253="",X253=0),"-",IFERROR((X253/W253-1)*(W254/W$13),"-"))</f>
        <v>-</v>
      </c>
      <c r="BM253" s="1720" t="str">
        <f t="shared" si="373"/>
        <v>-</v>
      </c>
      <c r="BN253" s="1720" t="str">
        <f t="shared" si="373"/>
        <v>-</v>
      </c>
      <c r="BO253" s="2289" t="str">
        <f t="shared" si="373"/>
        <v>-</v>
      </c>
      <c r="BP253" s="1720" t="str">
        <f t="shared" si="373"/>
        <v>-</v>
      </c>
      <c r="BQ253" s="2290" t="str">
        <f t="shared" si="373"/>
        <v>-</v>
      </c>
      <c r="BR253" s="1720" t="str">
        <f t="shared" si="373"/>
        <v>-</v>
      </c>
      <c r="BS253" s="1720" t="str">
        <f t="shared" si="373"/>
        <v>-</v>
      </c>
      <c r="BT253" s="1720" t="str">
        <f t="shared" si="373"/>
        <v>-</v>
      </c>
      <c r="BU253" s="1721" t="str">
        <f t="shared" si="373"/>
        <v>-</v>
      </c>
      <c r="BV253" s="1720" t="str">
        <f t="shared" si="373"/>
        <v>-</v>
      </c>
      <c r="BW253" s="1720" t="str">
        <f t="shared" si="373"/>
        <v>-</v>
      </c>
      <c r="BX253" s="1720" t="str">
        <f t="shared" si="373"/>
        <v>-</v>
      </c>
      <c r="BY253" s="1720" t="str">
        <f t="shared" si="373"/>
        <v>-</v>
      </c>
      <c r="BZ253" s="1721" t="str">
        <f t="shared" si="373"/>
        <v>-</v>
      </c>
      <c r="CA253" s="1048"/>
    </row>
    <row r="254" spans="3:79" ht="12.5" thickBot="1" x14ac:dyDescent="0.35">
      <c r="C254" s="126"/>
      <c r="D254" s="126"/>
      <c r="E254" s="559" t="s">
        <v>47</v>
      </c>
      <c r="F254" s="2162" t="str">
        <f t="shared" ref="F254:I254" si="374">+F252</f>
        <v>[Service]</v>
      </c>
      <c r="G254" s="2165">
        <f t="shared" si="374"/>
        <v>0</v>
      </c>
      <c r="H254" s="2165">
        <f t="shared" si="374"/>
        <v>0</v>
      </c>
      <c r="I254" s="2166" t="str">
        <f t="shared" si="374"/>
        <v>[Price]</v>
      </c>
      <c r="J254" s="2106" t="s">
        <v>347</v>
      </c>
      <c r="K254" s="1977"/>
      <c r="L254" s="1206"/>
      <c r="M254" s="1206"/>
      <c r="N254" s="1978"/>
      <c r="O254" s="1206"/>
      <c r="P254" s="1206"/>
      <c r="Q254" s="1206"/>
      <c r="R254" s="1206"/>
      <c r="S254" s="1978"/>
      <c r="T254" s="1206"/>
      <c r="U254" s="1206"/>
      <c r="V254" s="1206"/>
      <c r="W254" s="1731">
        <f t="shared" ref="W254:AG254" si="375">W252*W253/10^6</f>
        <v>0</v>
      </c>
      <c r="X254" s="1730">
        <f t="shared" si="375"/>
        <v>0</v>
      </c>
      <c r="Y254" s="1731">
        <f t="shared" si="375"/>
        <v>0</v>
      </c>
      <c r="Z254" s="1731">
        <f t="shared" si="375"/>
        <v>0</v>
      </c>
      <c r="AA254" s="1731">
        <f t="shared" si="375"/>
        <v>0</v>
      </c>
      <c r="AB254" s="1733">
        <f t="shared" si="375"/>
        <v>0</v>
      </c>
      <c r="AC254" s="1731">
        <f t="shared" si="375"/>
        <v>0</v>
      </c>
      <c r="AD254" s="1731">
        <f t="shared" si="375"/>
        <v>0</v>
      </c>
      <c r="AE254" s="1731">
        <f t="shared" si="375"/>
        <v>0</v>
      </c>
      <c r="AF254" s="1731">
        <f t="shared" si="375"/>
        <v>0</v>
      </c>
      <c r="AG254" s="1733">
        <f t="shared" si="375"/>
        <v>0</v>
      </c>
      <c r="AH254" s="1731">
        <f>AH252*AH253/10^6</f>
        <v>0</v>
      </c>
      <c r="AI254" s="1731">
        <f>AI252*AI253/10^6</f>
        <v>0</v>
      </c>
      <c r="AJ254" s="1731">
        <f>AJ252*AJ253/10^6</f>
        <v>0</v>
      </c>
      <c r="AK254" s="1731">
        <f>AK252*AK253/10^6</f>
        <v>0</v>
      </c>
      <c r="AL254" s="1733">
        <f>AL252*AL253/10^6</f>
        <v>0</v>
      </c>
      <c r="AM254" s="560"/>
      <c r="AN254" s="991"/>
      <c r="AO254" s="992"/>
      <c r="AP254" s="2304" t="str">
        <f t="shared" si="272"/>
        <v>Rev</v>
      </c>
      <c r="AQ254" s="2305" t="str">
        <f t="shared" si="272"/>
        <v>[Service]</v>
      </c>
      <c r="AR254" s="2306" t="str">
        <f t="shared" si="273"/>
        <v>[Price]</v>
      </c>
      <c r="AS254" s="2307" t="str">
        <f t="shared" si="349"/>
        <v>-</v>
      </c>
      <c r="AT254" s="1055" t="str">
        <f t="shared" si="349"/>
        <v>-</v>
      </c>
      <c r="AU254" s="1055" t="str">
        <f t="shared" si="349"/>
        <v>-</v>
      </c>
      <c r="AV254" s="2308" t="str">
        <f t="shared" si="349"/>
        <v>-</v>
      </c>
      <c r="AW254" s="1055" t="str">
        <f t="shared" si="349"/>
        <v>-</v>
      </c>
      <c r="AX254" s="2309" t="str">
        <f t="shared" si="349"/>
        <v>-</v>
      </c>
      <c r="AY254" s="1055" t="str">
        <f t="shared" si="349"/>
        <v>-</v>
      </c>
      <c r="AZ254" s="1055" t="str">
        <f t="shared" si="349"/>
        <v>-</v>
      </c>
      <c r="BA254" s="1055" t="str">
        <f t="shared" si="349"/>
        <v>-</v>
      </c>
      <c r="BB254" s="1056" t="str">
        <f t="shared" si="349"/>
        <v>-</v>
      </c>
      <c r="BC254" s="1055" t="str">
        <f t="shared" si="349"/>
        <v>-</v>
      </c>
      <c r="BD254" s="1055" t="str">
        <f t="shared" si="349"/>
        <v>-</v>
      </c>
      <c r="BE254" s="1055" t="str">
        <f t="shared" si="349"/>
        <v>-</v>
      </c>
      <c r="BF254" s="1055" t="str">
        <f t="shared" si="349"/>
        <v>-</v>
      </c>
      <c r="BG254" s="1056" t="str">
        <f t="shared" si="349"/>
        <v>-</v>
      </c>
      <c r="BH254" s="1048"/>
      <c r="BI254" s="2304" t="str">
        <f t="shared" si="300"/>
        <v>Rev</v>
      </c>
      <c r="BJ254" s="2305" t="str">
        <f t="shared" si="300"/>
        <v>[Service]</v>
      </c>
      <c r="BK254" s="2306" t="str">
        <f t="shared" si="300"/>
        <v>[Price]</v>
      </c>
      <c r="BL254" s="2307" t="str">
        <f t="shared" ref="BL254:BZ254" si="376">IF(OR(X254="",X254=0),"-",IFERROR((X254/W254-1)*(W254/W$13),"-"))</f>
        <v>-</v>
      </c>
      <c r="BM254" s="1055" t="str">
        <f t="shared" si="376"/>
        <v>-</v>
      </c>
      <c r="BN254" s="1055" t="str">
        <f t="shared" si="376"/>
        <v>-</v>
      </c>
      <c r="BO254" s="2308" t="str">
        <f t="shared" si="376"/>
        <v>-</v>
      </c>
      <c r="BP254" s="1055" t="str">
        <f t="shared" si="376"/>
        <v>-</v>
      </c>
      <c r="BQ254" s="2309" t="str">
        <f t="shared" si="376"/>
        <v>-</v>
      </c>
      <c r="BR254" s="1055" t="str">
        <f t="shared" si="376"/>
        <v>-</v>
      </c>
      <c r="BS254" s="1055" t="str">
        <f t="shared" si="376"/>
        <v>-</v>
      </c>
      <c r="BT254" s="1055" t="str">
        <f t="shared" si="376"/>
        <v>-</v>
      </c>
      <c r="BU254" s="1056" t="str">
        <f t="shared" si="376"/>
        <v>-</v>
      </c>
      <c r="BV254" s="1055" t="str">
        <f t="shared" si="376"/>
        <v>-</v>
      </c>
      <c r="BW254" s="1055" t="str">
        <f t="shared" si="376"/>
        <v>-</v>
      </c>
      <c r="BX254" s="1055" t="str">
        <f t="shared" si="376"/>
        <v>-</v>
      </c>
      <c r="BY254" s="1055" t="str">
        <f t="shared" si="376"/>
        <v>-</v>
      </c>
      <c r="BZ254" s="1056" t="str">
        <f t="shared" si="376"/>
        <v>-</v>
      </c>
      <c r="CA254" s="1048"/>
    </row>
    <row r="255" spans="3:79" x14ac:dyDescent="0.3">
      <c r="C255" s="126"/>
      <c r="D255" s="126">
        <f>D252+1</f>
        <v>63</v>
      </c>
      <c r="E255" s="553" t="s">
        <v>45</v>
      </c>
      <c r="F255" s="2105" t="s">
        <v>28</v>
      </c>
      <c r="G255" s="2105"/>
      <c r="H255" s="2105"/>
      <c r="I255" s="573" t="s">
        <v>319</v>
      </c>
      <c r="J255" s="573" t="s">
        <v>348</v>
      </c>
      <c r="K255" s="1969"/>
      <c r="L255" s="1970"/>
      <c r="M255" s="1970"/>
      <c r="N255" s="1971"/>
      <c r="O255" s="1970"/>
      <c r="P255" s="1970"/>
      <c r="Q255" s="1970"/>
      <c r="R255" s="1972"/>
      <c r="S255" s="1971"/>
      <c r="T255" s="1970"/>
      <c r="U255" s="1970"/>
      <c r="V255" s="1970"/>
      <c r="W255" s="1709"/>
      <c r="X255" s="1710"/>
      <c r="Y255" s="1709"/>
      <c r="Z255" s="1709"/>
      <c r="AA255" s="1709"/>
      <c r="AB255" s="1711"/>
      <c r="AC255" s="1709"/>
      <c r="AD255" s="1709"/>
      <c r="AE255" s="1709"/>
      <c r="AF255" s="1709"/>
      <c r="AG255" s="1712"/>
      <c r="AH255" s="1709"/>
      <c r="AI255" s="1709"/>
      <c r="AJ255" s="1709"/>
      <c r="AK255" s="1709"/>
      <c r="AL255" s="1712"/>
      <c r="AM255" s="560"/>
      <c r="AN255" s="1052"/>
      <c r="AO255" s="992"/>
      <c r="AP255" s="2297" t="str">
        <f t="shared" si="272"/>
        <v>Price</v>
      </c>
      <c r="AQ255" s="2298" t="str">
        <f t="shared" si="272"/>
        <v>[Service]</v>
      </c>
      <c r="AR255" s="1719" t="str">
        <f t="shared" si="273"/>
        <v>[Price]</v>
      </c>
      <c r="AS255" s="2299" t="str">
        <f t="shared" si="349"/>
        <v>-</v>
      </c>
      <c r="AT255" s="1728" t="str">
        <f t="shared" si="349"/>
        <v>-</v>
      </c>
      <c r="AU255" s="1728" t="str">
        <f t="shared" si="349"/>
        <v>-</v>
      </c>
      <c r="AV255" s="2300" t="str">
        <f t="shared" si="349"/>
        <v>-</v>
      </c>
      <c r="AW255" s="1728" t="str">
        <f t="shared" si="349"/>
        <v>-</v>
      </c>
      <c r="AX255" s="2301" t="str">
        <f t="shared" si="349"/>
        <v>-</v>
      </c>
      <c r="AY255" s="1728" t="str">
        <f t="shared" si="349"/>
        <v>-</v>
      </c>
      <c r="AZ255" s="1728" t="str">
        <f t="shared" si="349"/>
        <v>-</v>
      </c>
      <c r="BA255" s="1728" t="str">
        <f t="shared" si="349"/>
        <v>-</v>
      </c>
      <c r="BB255" s="1729" t="str">
        <f t="shared" si="349"/>
        <v>-</v>
      </c>
      <c r="BC255" s="1728" t="str">
        <f t="shared" si="349"/>
        <v>-</v>
      </c>
      <c r="BD255" s="1728" t="str">
        <f t="shared" si="349"/>
        <v>-</v>
      </c>
      <c r="BE255" s="1728" t="str">
        <f t="shared" si="349"/>
        <v>-</v>
      </c>
      <c r="BF255" s="1728" t="str">
        <f t="shared" si="349"/>
        <v>-</v>
      </c>
      <c r="BG255" s="1729" t="str">
        <f t="shared" si="349"/>
        <v>-</v>
      </c>
      <c r="BH255" s="1048"/>
      <c r="BI255" s="2297" t="str">
        <f t="shared" si="300"/>
        <v>Price</v>
      </c>
      <c r="BJ255" s="2298" t="str">
        <f t="shared" si="300"/>
        <v>[Service]</v>
      </c>
      <c r="BK255" s="1719" t="str">
        <f t="shared" si="300"/>
        <v>[Price]</v>
      </c>
      <c r="BL255" s="2299" t="str">
        <f t="shared" ref="BL255:BZ255" si="377">IF(OR(X255="",X255=0),"-",IFERROR((X255/W255-1)*(W257/W$13),"-"))</f>
        <v>-</v>
      </c>
      <c r="BM255" s="1053" t="str">
        <f t="shared" si="377"/>
        <v>-</v>
      </c>
      <c r="BN255" s="1053" t="str">
        <f t="shared" si="377"/>
        <v>-</v>
      </c>
      <c r="BO255" s="2302" t="str">
        <f t="shared" si="377"/>
        <v>-</v>
      </c>
      <c r="BP255" s="1053" t="str">
        <f t="shared" si="377"/>
        <v>-</v>
      </c>
      <c r="BQ255" s="2303" t="str">
        <f t="shared" si="377"/>
        <v>-</v>
      </c>
      <c r="BR255" s="1053" t="str">
        <f t="shared" si="377"/>
        <v>-</v>
      </c>
      <c r="BS255" s="1053" t="str">
        <f t="shared" si="377"/>
        <v>-</v>
      </c>
      <c r="BT255" s="1053" t="str">
        <f t="shared" si="377"/>
        <v>-</v>
      </c>
      <c r="BU255" s="1054" t="str">
        <f t="shared" si="377"/>
        <v>-</v>
      </c>
      <c r="BV255" s="1053" t="str">
        <f t="shared" si="377"/>
        <v>-</v>
      </c>
      <c r="BW255" s="1053" t="str">
        <f t="shared" si="377"/>
        <v>-</v>
      </c>
      <c r="BX255" s="1053" t="str">
        <f t="shared" si="377"/>
        <v>-</v>
      </c>
      <c r="BY255" s="1053" t="str">
        <f t="shared" si="377"/>
        <v>-</v>
      </c>
      <c r="BZ255" s="1054" t="str">
        <f t="shared" si="377"/>
        <v>-</v>
      </c>
      <c r="CA255" s="1048"/>
    </row>
    <row r="256" spans="3:79" x14ac:dyDescent="0.3">
      <c r="C256" s="126"/>
      <c r="D256" s="126"/>
      <c r="E256" s="558" t="s">
        <v>46</v>
      </c>
      <c r="F256" s="2161" t="str">
        <f t="shared" si="367"/>
        <v>[Service]</v>
      </c>
      <c r="G256" s="2163">
        <f t="shared" si="367"/>
        <v>0</v>
      </c>
      <c r="H256" s="2163">
        <f t="shared" si="367"/>
        <v>0</v>
      </c>
      <c r="I256" s="2164" t="str">
        <f t="shared" si="367"/>
        <v>[Price]</v>
      </c>
      <c r="J256" s="574" t="s">
        <v>323</v>
      </c>
      <c r="K256" s="1973"/>
      <c r="L256" s="1974"/>
      <c r="M256" s="1974"/>
      <c r="N256" s="1975"/>
      <c r="O256" s="1974"/>
      <c r="P256" s="1974"/>
      <c r="Q256" s="1974"/>
      <c r="R256" s="1976"/>
      <c r="S256" s="1975"/>
      <c r="T256" s="1974"/>
      <c r="U256" s="1974"/>
      <c r="V256" s="1974"/>
      <c r="W256" s="1713"/>
      <c r="X256" s="1714"/>
      <c r="Y256" s="1713"/>
      <c r="Z256" s="1713"/>
      <c r="AA256" s="1713"/>
      <c r="AB256" s="1715"/>
      <c r="AC256" s="1713"/>
      <c r="AD256" s="1713"/>
      <c r="AE256" s="1713"/>
      <c r="AF256" s="1713"/>
      <c r="AG256" s="1716"/>
      <c r="AH256" s="1713"/>
      <c r="AI256" s="1713"/>
      <c r="AJ256" s="1713"/>
      <c r="AK256" s="1713"/>
      <c r="AL256" s="1716"/>
      <c r="AM256" s="560"/>
      <c r="AN256" s="991"/>
      <c r="AO256" s="992"/>
      <c r="AP256" s="2285" t="str">
        <f t="shared" si="272"/>
        <v>Qty</v>
      </c>
      <c r="AQ256" s="2286" t="str">
        <f t="shared" si="272"/>
        <v>[Service]</v>
      </c>
      <c r="AR256" s="2287" t="str">
        <f t="shared" si="273"/>
        <v>[Price]</v>
      </c>
      <c r="AS256" s="2288" t="str">
        <f t="shared" ref="AS256:BG272" si="378">IF(OR(X256="",X256=0),"-",IFERROR(X256/W256-1,"-"))</f>
        <v>-</v>
      </c>
      <c r="AT256" s="1720" t="str">
        <f t="shared" si="378"/>
        <v>-</v>
      </c>
      <c r="AU256" s="1720" t="str">
        <f t="shared" si="378"/>
        <v>-</v>
      </c>
      <c r="AV256" s="2289" t="str">
        <f t="shared" si="378"/>
        <v>-</v>
      </c>
      <c r="AW256" s="1720" t="str">
        <f t="shared" si="378"/>
        <v>-</v>
      </c>
      <c r="AX256" s="2290" t="str">
        <f t="shared" si="378"/>
        <v>-</v>
      </c>
      <c r="AY256" s="1720" t="str">
        <f t="shared" si="378"/>
        <v>-</v>
      </c>
      <c r="AZ256" s="1720" t="str">
        <f t="shared" si="378"/>
        <v>-</v>
      </c>
      <c r="BA256" s="1720" t="str">
        <f t="shared" si="378"/>
        <v>-</v>
      </c>
      <c r="BB256" s="1721" t="str">
        <f t="shared" si="378"/>
        <v>-</v>
      </c>
      <c r="BC256" s="1720" t="str">
        <f t="shared" si="378"/>
        <v>-</v>
      </c>
      <c r="BD256" s="1720" t="str">
        <f t="shared" si="378"/>
        <v>-</v>
      </c>
      <c r="BE256" s="1720" t="str">
        <f t="shared" si="378"/>
        <v>-</v>
      </c>
      <c r="BF256" s="1720" t="str">
        <f t="shared" si="378"/>
        <v>-</v>
      </c>
      <c r="BG256" s="1721" t="str">
        <f t="shared" si="378"/>
        <v>-</v>
      </c>
      <c r="BH256" s="1048"/>
      <c r="BI256" s="2285" t="str">
        <f t="shared" si="300"/>
        <v>Qty</v>
      </c>
      <c r="BJ256" s="2286" t="str">
        <f t="shared" si="300"/>
        <v>[Service]</v>
      </c>
      <c r="BK256" s="2287" t="str">
        <f t="shared" si="300"/>
        <v>[Price]</v>
      </c>
      <c r="BL256" s="2288" t="str">
        <f t="shared" ref="BL256:BZ256" si="379">IF(OR(X256="",X256=0),"-",IFERROR((X256/W256-1)*(W257/W$13),"-"))</f>
        <v>-</v>
      </c>
      <c r="BM256" s="1720" t="str">
        <f t="shared" si="379"/>
        <v>-</v>
      </c>
      <c r="BN256" s="1720" t="str">
        <f t="shared" si="379"/>
        <v>-</v>
      </c>
      <c r="BO256" s="2289" t="str">
        <f t="shared" si="379"/>
        <v>-</v>
      </c>
      <c r="BP256" s="1720" t="str">
        <f t="shared" si="379"/>
        <v>-</v>
      </c>
      <c r="BQ256" s="2290" t="str">
        <f t="shared" si="379"/>
        <v>-</v>
      </c>
      <c r="BR256" s="1720" t="str">
        <f t="shared" si="379"/>
        <v>-</v>
      </c>
      <c r="BS256" s="1720" t="str">
        <f t="shared" si="379"/>
        <v>-</v>
      </c>
      <c r="BT256" s="1720" t="str">
        <f t="shared" si="379"/>
        <v>-</v>
      </c>
      <c r="BU256" s="1721" t="str">
        <f t="shared" si="379"/>
        <v>-</v>
      </c>
      <c r="BV256" s="1720" t="str">
        <f t="shared" si="379"/>
        <v>-</v>
      </c>
      <c r="BW256" s="1720" t="str">
        <f t="shared" si="379"/>
        <v>-</v>
      </c>
      <c r="BX256" s="1720" t="str">
        <f t="shared" si="379"/>
        <v>-</v>
      </c>
      <c r="BY256" s="1720" t="str">
        <f t="shared" si="379"/>
        <v>-</v>
      </c>
      <c r="BZ256" s="1721" t="str">
        <f t="shared" si="379"/>
        <v>-</v>
      </c>
      <c r="CA256" s="1048"/>
    </row>
    <row r="257" spans="3:79" ht="12.5" thickBot="1" x14ac:dyDescent="0.35">
      <c r="C257" s="126"/>
      <c r="D257" s="126"/>
      <c r="E257" s="559" t="s">
        <v>47</v>
      </c>
      <c r="F257" s="2162" t="str">
        <f t="shared" ref="F257:I257" si="380">+F255</f>
        <v>[Service]</v>
      </c>
      <c r="G257" s="2165">
        <f t="shared" si="380"/>
        <v>0</v>
      </c>
      <c r="H257" s="2165">
        <f t="shared" si="380"/>
        <v>0</v>
      </c>
      <c r="I257" s="2166" t="str">
        <f t="shared" si="380"/>
        <v>[Price]</v>
      </c>
      <c r="J257" s="2106" t="s">
        <v>347</v>
      </c>
      <c r="K257" s="1977"/>
      <c r="L257" s="1206"/>
      <c r="M257" s="1206"/>
      <c r="N257" s="1978"/>
      <c r="O257" s="1206"/>
      <c r="P257" s="1206"/>
      <c r="Q257" s="1206"/>
      <c r="R257" s="1206"/>
      <c r="S257" s="1978"/>
      <c r="T257" s="1206"/>
      <c r="U257" s="1206"/>
      <c r="V257" s="1206"/>
      <c r="W257" s="1731">
        <f t="shared" ref="W257:AG257" si="381">W255*W256/10^6</f>
        <v>0</v>
      </c>
      <c r="X257" s="1730">
        <f t="shared" si="381"/>
        <v>0</v>
      </c>
      <c r="Y257" s="1731">
        <f t="shared" si="381"/>
        <v>0</v>
      </c>
      <c r="Z257" s="1731">
        <f t="shared" si="381"/>
        <v>0</v>
      </c>
      <c r="AA257" s="1731">
        <f t="shared" si="381"/>
        <v>0</v>
      </c>
      <c r="AB257" s="1733">
        <f t="shared" si="381"/>
        <v>0</v>
      </c>
      <c r="AC257" s="1731">
        <f t="shared" si="381"/>
        <v>0</v>
      </c>
      <c r="AD257" s="1731">
        <f t="shared" si="381"/>
        <v>0</v>
      </c>
      <c r="AE257" s="1731">
        <f t="shared" si="381"/>
        <v>0</v>
      </c>
      <c r="AF257" s="1731">
        <f t="shared" si="381"/>
        <v>0</v>
      </c>
      <c r="AG257" s="1733">
        <f t="shared" si="381"/>
        <v>0</v>
      </c>
      <c r="AH257" s="1731">
        <f>AH255*AH256/10^6</f>
        <v>0</v>
      </c>
      <c r="AI257" s="1731">
        <f>AI255*AI256/10^6</f>
        <v>0</v>
      </c>
      <c r="AJ257" s="1731">
        <f>AJ255*AJ256/10^6</f>
        <v>0</v>
      </c>
      <c r="AK257" s="1731">
        <f>AK255*AK256/10^6</f>
        <v>0</v>
      </c>
      <c r="AL257" s="1733">
        <f>AL255*AL256/10^6</f>
        <v>0</v>
      </c>
      <c r="AM257" s="560"/>
      <c r="AN257" s="991"/>
      <c r="AO257" s="992"/>
      <c r="AP257" s="2304" t="str">
        <f t="shared" si="272"/>
        <v>Rev</v>
      </c>
      <c r="AQ257" s="2305" t="str">
        <f t="shared" si="272"/>
        <v>[Service]</v>
      </c>
      <c r="AR257" s="2306" t="str">
        <f t="shared" si="273"/>
        <v>[Price]</v>
      </c>
      <c r="AS257" s="2307" t="str">
        <f t="shared" si="378"/>
        <v>-</v>
      </c>
      <c r="AT257" s="1055" t="str">
        <f t="shared" si="378"/>
        <v>-</v>
      </c>
      <c r="AU257" s="1055" t="str">
        <f t="shared" si="378"/>
        <v>-</v>
      </c>
      <c r="AV257" s="2308" t="str">
        <f t="shared" si="378"/>
        <v>-</v>
      </c>
      <c r="AW257" s="1055" t="str">
        <f t="shared" si="378"/>
        <v>-</v>
      </c>
      <c r="AX257" s="2309" t="str">
        <f t="shared" si="378"/>
        <v>-</v>
      </c>
      <c r="AY257" s="1055" t="str">
        <f t="shared" si="378"/>
        <v>-</v>
      </c>
      <c r="AZ257" s="1055" t="str">
        <f t="shared" si="378"/>
        <v>-</v>
      </c>
      <c r="BA257" s="1055" t="str">
        <f t="shared" si="378"/>
        <v>-</v>
      </c>
      <c r="BB257" s="1056" t="str">
        <f t="shared" si="378"/>
        <v>-</v>
      </c>
      <c r="BC257" s="1055" t="str">
        <f t="shared" si="378"/>
        <v>-</v>
      </c>
      <c r="BD257" s="1055" t="str">
        <f t="shared" si="378"/>
        <v>-</v>
      </c>
      <c r="BE257" s="1055" t="str">
        <f t="shared" si="378"/>
        <v>-</v>
      </c>
      <c r="BF257" s="1055" t="str">
        <f t="shared" si="378"/>
        <v>-</v>
      </c>
      <c r="BG257" s="1056" t="str">
        <f t="shared" si="378"/>
        <v>-</v>
      </c>
      <c r="BH257" s="1048"/>
      <c r="BI257" s="2304" t="str">
        <f t="shared" si="300"/>
        <v>Rev</v>
      </c>
      <c r="BJ257" s="2305" t="str">
        <f t="shared" si="300"/>
        <v>[Service]</v>
      </c>
      <c r="BK257" s="2306" t="str">
        <f t="shared" si="300"/>
        <v>[Price]</v>
      </c>
      <c r="BL257" s="2307" t="str">
        <f t="shared" ref="BL257:BZ257" si="382">IF(OR(X257="",X257=0),"-",IFERROR((X257/W257-1)*(W257/W$13),"-"))</f>
        <v>-</v>
      </c>
      <c r="BM257" s="1055" t="str">
        <f t="shared" si="382"/>
        <v>-</v>
      </c>
      <c r="BN257" s="1055" t="str">
        <f t="shared" si="382"/>
        <v>-</v>
      </c>
      <c r="BO257" s="2308" t="str">
        <f t="shared" si="382"/>
        <v>-</v>
      </c>
      <c r="BP257" s="1055" t="str">
        <f t="shared" si="382"/>
        <v>-</v>
      </c>
      <c r="BQ257" s="2309" t="str">
        <f t="shared" si="382"/>
        <v>-</v>
      </c>
      <c r="BR257" s="1055" t="str">
        <f t="shared" si="382"/>
        <v>-</v>
      </c>
      <c r="BS257" s="1055" t="str">
        <f t="shared" si="382"/>
        <v>-</v>
      </c>
      <c r="BT257" s="1055" t="str">
        <f t="shared" si="382"/>
        <v>-</v>
      </c>
      <c r="BU257" s="1056" t="str">
        <f t="shared" si="382"/>
        <v>-</v>
      </c>
      <c r="BV257" s="1055" t="str">
        <f t="shared" si="382"/>
        <v>-</v>
      </c>
      <c r="BW257" s="1055" t="str">
        <f t="shared" si="382"/>
        <v>-</v>
      </c>
      <c r="BX257" s="1055" t="str">
        <f t="shared" si="382"/>
        <v>-</v>
      </c>
      <c r="BY257" s="1055" t="str">
        <f t="shared" si="382"/>
        <v>-</v>
      </c>
      <c r="BZ257" s="1056" t="str">
        <f t="shared" si="382"/>
        <v>-</v>
      </c>
      <c r="CA257" s="1048"/>
    </row>
    <row r="258" spans="3:79" x14ac:dyDescent="0.3">
      <c r="C258" s="126"/>
      <c r="D258" s="126">
        <f>D255+1</f>
        <v>64</v>
      </c>
      <c r="E258" s="553" t="s">
        <v>45</v>
      </c>
      <c r="F258" s="2105" t="s">
        <v>28</v>
      </c>
      <c r="G258" s="2105"/>
      <c r="H258" s="2105"/>
      <c r="I258" s="573" t="s">
        <v>319</v>
      </c>
      <c r="J258" s="573" t="s">
        <v>348</v>
      </c>
      <c r="K258" s="1969"/>
      <c r="L258" s="1970"/>
      <c r="M258" s="1970"/>
      <c r="N258" s="1971"/>
      <c r="O258" s="1970"/>
      <c r="P258" s="1970"/>
      <c r="Q258" s="1970"/>
      <c r="R258" s="1972"/>
      <c r="S258" s="1971"/>
      <c r="T258" s="1970"/>
      <c r="U258" s="1970"/>
      <c r="V258" s="1970"/>
      <c r="W258" s="1709"/>
      <c r="X258" s="1710"/>
      <c r="Y258" s="1709"/>
      <c r="Z258" s="1709"/>
      <c r="AA258" s="1709"/>
      <c r="AB258" s="1711"/>
      <c r="AC258" s="1709"/>
      <c r="AD258" s="1709"/>
      <c r="AE258" s="1709"/>
      <c r="AF258" s="1709"/>
      <c r="AG258" s="1712"/>
      <c r="AH258" s="1709"/>
      <c r="AI258" s="1709"/>
      <c r="AJ258" s="1709"/>
      <c r="AK258" s="1709"/>
      <c r="AL258" s="1712"/>
      <c r="AM258" s="560"/>
      <c r="AN258" s="1052"/>
      <c r="AO258" s="992"/>
      <c r="AP258" s="2297" t="str">
        <f t="shared" si="272"/>
        <v>Price</v>
      </c>
      <c r="AQ258" s="2298" t="str">
        <f t="shared" si="272"/>
        <v>[Service]</v>
      </c>
      <c r="AR258" s="1719" t="str">
        <f t="shared" si="273"/>
        <v>[Price]</v>
      </c>
      <c r="AS258" s="2299" t="str">
        <f t="shared" si="378"/>
        <v>-</v>
      </c>
      <c r="AT258" s="1728" t="str">
        <f t="shared" si="378"/>
        <v>-</v>
      </c>
      <c r="AU258" s="1728" t="str">
        <f t="shared" si="378"/>
        <v>-</v>
      </c>
      <c r="AV258" s="2300" t="str">
        <f t="shared" si="378"/>
        <v>-</v>
      </c>
      <c r="AW258" s="1728" t="str">
        <f t="shared" si="378"/>
        <v>-</v>
      </c>
      <c r="AX258" s="2301" t="str">
        <f t="shared" si="378"/>
        <v>-</v>
      </c>
      <c r="AY258" s="1728" t="str">
        <f t="shared" si="378"/>
        <v>-</v>
      </c>
      <c r="AZ258" s="1728" t="str">
        <f t="shared" si="378"/>
        <v>-</v>
      </c>
      <c r="BA258" s="1728" t="str">
        <f t="shared" si="378"/>
        <v>-</v>
      </c>
      <c r="BB258" s="1729" t="str">
        <f t="shared" si="378"/>
        <v>-</v>
      </c>
      <c r="BC258" s="1728" t="str">
        <f t="shared" si="378"/>
        <v>-</v>
      </c>
      <c r="BD258" s="1728" t="str">
        <f t="shared" si="378"/>
        <v>-</v>
      </c>
      <c r="BE258" s="1728" t="str">
        <f t="shared" si="378"/>
        <v>-</v>
      </c>
      <c r="BF258" s="1728" t="str">
        <f t="shared" si="378"/>
        <v>-</v>
      </c>
      <c r="BG258" s="1729" t="str">
        <f t="shared" si="378"/>
        <v>-</v>
      </c>
      <c r="BH258" s="1048"/>
      <c r="BI258" s="2297" t="str">
        <f t="shared" si="300"/>
        <v>Price</v>
      </c>
      <c r="BJ258" s="2298" t="str">
        <f t="shared" si="300"/>
        <v>[Service]</v>
      </c>
      <c r="BK258" s="1719" t="str">
        <f t="shared" si="300"/>
        <v>[Price]</v>
      </c>
      <c r="BL258" s="2299" t="str">
        <f t="shared" ref="BL258:BZ258" si="383">IF(OR(X258="",X258=0),"-",IFERROR((X258/W258-1)*(W260/W$13),"-"))</f>
        <v>-</v>
      </c>
      <c r="BM258" s="1053" t="str">
        <f t="shared" si="383"/>
        <v>-</v>
      </c>
      <c r="BN258" s="1053" t="str">
        <f t="shared" si="383"/>
        <v>-</v>
      </c>
      <c r="BO258" s="2302" t="str">
        <f t="shared" si="383"/>
        <v>-</v>
      </c>
      <c r="BP258" s="1053" t="str">
        <f t="shared" si="383"/>
        <v>-</v>
      </c>
      <c r="BQ258" s="2303" t="str">
        <f t="shared" si="383"/>
        <v>-</v>
      </c>
      <c r="BR258" s="1053" t="str">
        <f t="shared" si="383"/>
        <v>-</v>
      </c>
      <c r="BS258" s="1053" t="str">
        <f t="shared" si="383"/>
        <v>-</v>
      </c>
      <c r="BT258" s="1053" t="str">
        <f t="shared" si="383"/>
        <v>-</v>
      </c>
      <c r="BU258" s="1054" t="str">
        <f t="shared" si="383"/>
        <v>-</v>
      </c>
      <c r="BV258" s="1053" t="str">
        <f t="shared" si="383"/>
        <v>-</v>
      </c>
      <c r="BW258" s="1053" t="str">
        <f t="shared" si="383"/>
        <v>-</v>
      </c>
      <c r="BX258" s="1053" t="str">
        <f t="shared" si="383"/>
        <v>-</v>
      </c>
      <c r="BY258" s="1053" t="str">
        <f t="shared" si="383"/>
        <v>-</v>
      </c>
      <c r="BZ258" s="1054" t="str">
        <f t="shared" si="383"/>
        <v>-</v>
      </c>
      <c r="CA258" s="1048"/>
    </row>
    <row r="259" spans="3:79" x14ac:dyDescent="0.3">
      <c r="C259" s="126"/>
      <c r="D259" s="126"/>
      <c r="E259" s="558" t="s">
        <v>46</v>
      </c>
      <c r="F259" s="2161" t="str">
        <f t="shared" si="367"/>
        <v>[Service]</v>
      </c>
      <c r="G259" s="2163">
        <f t="shared" si="367"/>
        <v>0</v>
      </c>
      <c r="H259" s="2163">
        <f t="shared" si="367"/>
        <v>0</v>
      </c>
      <c r="I259" s="2164" t="str">
        <f t="shared" si="367"/>
        <v>[Price]</v>
      </c>
      <c r="J259" s="574" t="s">
        <v>323</v>
      </c>
      <c r="K259" s="1973"/>
      <c r="L259" s="1974"/>
      <c r="M259" s="1974"/>
      <c r="N259" s="1975"/>
      <c r="O259" s="1974"/>
      <c r="P259" s="1974"/>
      <c r="Q259" s="1974"/>
      <c r="R259" s="1976"/>
      <c r="S259" s="1975"/>
      <c r="T259" s="1974"/>
      <c r="U259" s="1974"/>
      <c r="V259" s="1974"/>
      <c r="W259" s="1713"/>
      <c r="X259" s="1714"/>
      <c r="Y259" s="1713"/>
      <c r="Z259" s="1713"/>
      <c r="AA259" s="1713"/>
      <c r="AB259" s="1715"/>
      <c r="AC259" s="1713"/>
      <c r="AD259" s="1713"/>
      <c r="AE259" s="1713"/>
      <c r="AF259" s="1713"/>
      <c r="AG259" s="1716"/>
      <c r="AH259" s="1713"/>
      <c r="AI259" s="1713"/>
      <c r="AJ259" s="1713"/>
      <c r="AK259" s="1713"/>
      <c r="AL259" s="1716"/>
      <c r="AM259" s="560"/>
      <c r="AN259" s="991"/>
      <c r="AO259" s="992"/>
      <c r="AP259" s="2285" t="str">
        <f t="shared" si="272"/>
        <v>Qty</v>
      </c>
      <c r="AQ259" s="2286" t="str">
        <f t="shared" si="272"/>
        <v>[Service]</v>
      </c>
      <c r="AR259" s="2287" t="str">
        <f t="shared" si="273"/>
        <v>[Price]</v>
      </c>
      <c r="AS259" s="2288" t="str">
        <f t="shared" si="378"/>
        <v>-</v>
      </c>
      <c r="AT259" s="1720" t="str">
        <f t="shared" si="378"/>
        <v>-</v>
      </c>
      <c r="AU259" s="1720" t="str">
        <f t="shared" si="378"/>
        <v>-</v>
      </c>
      <c r="AV259" s="2289" t="str">
        <f t="shared" si="378"/>
        <v>-</v>
      </c>
      <c r="AW259" s="1720" t="str">
        <f t="shared" si="378"/>
        <v>-</v>
      </c>
      <c r="AX259" s="2290" t="str">
        <f t="shared" si="378"/>
        <v>-</v>
      </c>
      <c r="AY259" s="1720" t="str">
        <f t="shared" si="378"/>
        <v>-</v>
      </c>
      <c r="AZ259" s="1720" t="str">
        <f t="shared" si="378"/>
        <v>-</v>
      </c>
      <c r="BA259" s="1720" t="str">
        <f t="shared" si="378"/>
        <v>-</v>
      </c>
      <c r="BB259" s="1721" t="str">
        <f t="shared" si="378"/>
        <v>-</v>
      </c>
      <c r="BC259" s="1720" t="str">
        <f t="shared" si="378"/>
        <v>-</v>
      </c>
      <c r="BD259" s="1720" t="str">
        <f t="shared" si="378"/>
        <v>-</v>
      </c>
      <c r="BE259" s="1720" t="str">
        <f t="shared" si="378"/>
        <v>-</v>
      </c>
      <c r="BF259" s="1720" t="str">
        <f t="shared" si="378"/>
        <v>-</v>
      </c>
      <c r="BG259" s="1721" t="str">
        <f t="shared" si="378"/>
        <v>-</v>
      </c>
      <c r="BH259" s="1048"/>
      <c r="BI259" s="2285" t="str">
        <f t="shared" si="300"/>
        <v>Qty</v>
      </c>
      <c r="BJ259" s="2286" t="str">
        <f t="shared" si="300"/>
        <v>[Service]</v>
      </c>
      <c r="BK259" s="2287" t="str">
        <f t="shared" si="300"/>
        <v>[Price]</v>
      </c>
      <c r="BL259" s="2288" t="str">
        <f t="shared" ref="BL259:BZ259" si="384">IF(OR(X259="",X259=0),"-",IFERROR((X259/W259-1)*(W260/W$13),"-"))</f>
        <v>-</v>
      </c>
      <c r="BM259" s="1720" t="str">
        <f t="shared" si="384"/>
        <v>-</v>
      </c>
      <c r="BN259" s="1720" t="str">
        <f t="shared" si="384"/>
        <v>-</v>
      </c>
      <c r="BO259" s="2289" t="str">
        <f t="shared" si="384"/>
        <v>-</v>
      </c>
      <c r="BP259" s="1720" t="str">
        <f t="shared" si="384"/>
        <v>-</v>
      </c>
      <c r="BQ259" s="2290" t="str">
        <f t="shared" si="384"/>
        <v>-</v>
      </c>
      <c r="BR259" s="1720" t="str">
        <f t="shared" si="384"/>
        <v>-</v>
      </c>
      <c r="BS259" s="1720" t="str">
        <f t="shared" si="384"/>
        <v>-</v>
      </c>
      <c r="BT259" s="1720" t="str">
        <f t="shared" si="384"/>
        <v>-</v>
      </c>
      <c r="BU259" s="1721" t="str">
        <f t="shared" si="384"/>
        <v>-</v>
      </c>
      <c r="BV259" s="1720" t="str">
        <f t="shared" si="384"/>
        <v>-</v>
      </c>
      <c r="BW259" s="1720" t="str">
        <f t="shared" si="384"/>
        <v>-</v>
      </c>
      <c r="BX259" s="1720" t="str">
        <f t="shared" si="384"/>
        <v>-</v>
      </c>
      <c r="BY259" s="1720" t="str">
        <f t="shared" si="384"/>
        <v>-</v>
      </c>
      <c r="BZ259" s="1721" t="str">
        <f t="shared" si="384"/>
        <v>-</v>
      </c>
      <c r="CA259" s="1048"/>
    </row>
    <row r="260" spans="3:79" ht="12.5" thickBot="1" x14ac:dyDescent="0.35">
      <c r="C260" s="126"/>
      <c r="D260" s="126"/>
      <c r="E260" s="559" t="s">
        <v>47</v>
      </c>
      <c r="F260" s="2162" t="str">
        <f t="shared" ref="F260:I260" si="385">+F258</f>
        <v>[Service]</v>
      </c>
      <c r="G260" s="2165">
        <f t="shared" si="385"/>
        <v>0</v>
      </c>
      <c r="H260" s="2165">
        <f t="shared" si="385"/>
        <v>0</v>
      </c>
      <c r="I260" s="2166" t="str">
        <f t="shared" si="385"/>
        <v>[Price]</v>
      </c>
      <c r="J260" s="2106" t="s">
        <v>347</v>
      </c>
      <c r="K260" s="1977"/>
      <c r="L260" s="1206"/>
      <c r="M260" s="1206"/>
      <c r="N260" s="1978"/>
      <c r="O260" s="1206"/>
      <c r="P260" s="1206"/>
      <c r="Q260" s="1206"/>
      <c r="R260" s="1206"/>
      <c r="S260" s="1978"/>
      <c r="T260" s="1206"/>
      <c r="U260" s="1206"/>
      <c r="V260" s="1206"/>
      <c r="W260" s="1731">
        <f t="shared" ref="W260:AG260" si="386">W258*W259/10^6</f>
        <v>0</v>
      </c>
      <c r="X260" s="1730">
        <f t="shared" si="386"/>
        <v>0</v>
      </c>
      <c r="Y260" s="1731">
        <f t="shared" si="386"/>
        <v>0</v>
      </c>
      <c r="Z260" s="1731">
        <f t="shared" si="386"/>
        <v>0</v>
      </c>
      <c r="AA260" s="1731">
        <f t="shared" si="386"/>
        <v>0</v>
      </c>
      <c r="AB260" s="1733">
        <f t="shared" si="386"/>
        <v>0</v>
      </c>
      <c r="AC260" s="1731">
        <f t="shared" si="386"/>
        <v>0</v>
      </c>
      <c r="AD260" s="1731">
        <f t="shared" si="386"/>
        <v>0</v>
      </c>
      <c r="AE260" s="1731">
        <f t="shared" si="386"/>
        <v>0</v>
      </c>
      <c r="AF260" s="1731">
        <f t="shared" si="386"/>
        <v>0</v>
      </c>
      <c r="AG260" s="1733">
        <f t="shared" si="386"/>
        <v>0</v>
      </c>
      <c r="AH260" s="1731">
        <f>AH258*AH259/10^6</f>
        <v>0</v>
      </c>
      <c r="AI260" s="1731">
        <f>AI258*AI259/10^6</f>
        <v>0</v>
      </c>
      <c r="AJ260" s="1731">
        <f>AJ258*AJ259/10^6</f>
        <v>0</v>
      </c>
      <c r="AK260" s="1731">
        <f>AK258*AK259/10^6</f>
        <v>0</v>
      </c>
      <c r="AL260" s="1733">
        <f>AL258*AL259/10^6</f>
        <v>0</v>
      </c>
      <c r="AM260" s="560"/>
      <c r="AN260" s="991"/>
      <c r="AO260" s="992"/>
      <c r="AP260" s="2304" t="str">
        <f t="shared" si="272"/>
        <v>Rev</v>
      </c>
      <c r="AQ260" s="2305" t="str">
        <f t="shared" si="272"/>
        <v>[Service]</v>
      </c>
      <c r="AR260" s="2306" t="str">
        <f t="shared" si="273"/>
        <v>[Price]</v>
      </c>
      <c r="AS260" s="2307" t="str">
        <f t="shared" si="378"/>
        <v>-</v>
      </c>
      <c r="AT260" s="1055" t="str">
        <f t="shared" si="378"/>
        <v>-</v>
      </c>
      <c r="AU260" s="1055" t="str">
        <f t="shared" si="378"/>
        <v>-</v>
      </c>
      <c r="AV260" s="2308" t="str">
        <f t="shared" si="378"/>
        <v>-</v>
      </c>
      <c r="AW260" s="1055" t="str">
        <f t="shared" si="378"/>
        <v>-</v>
      </c>
      <c r="AX260" s="2309" t="str">
        <f t="shared" si="378"/>
        <v>-</v>
      </c>
      <c r="AY260" s="1055" t="str">
        <f t="shared" si="378"/>
        <v>-</v>
      </c>
      <c r="AZ260" s="1055" t="str">
        <f t="shared" si="378"/>
        <v>-</v>
      </c>
      <c r="BA260" s="1055" t="str">
        <f t="shared" si="378"/>
        <v>-</v>
      </c>
      <c r="BB260" s="1056" t="str">
        <f t="shared" si="378"/>
        <v>-</v>
      </c>
      <c r="BC260" s="1055" t="str">
        <f t="shared" si="378"/>
        <v>-</v>
      </c>
      <c r="BD260" s="1055" t="str">
        <f t="shared" si="378"/>
        <v>-</v>
      </c>
      <c r="BE260" s="1055" t="str">
        <f t="shared" si="378"/>
        <v>-</v>
      </c>
      <c r="BF260" s="1055" t="str">
        <f t="shared" si="378"/>
        <v>-</v>
      </c>
      <c r="BG260" s="1056" t="str">
        <f t="shared" si="378"/>
        <v>-</v>
      </c>
      <c r="BH260" s="1048"/>
      <c r="BI260" s="2304" t="str">
        <f t="shared" si="300"/>
        <v>Rev</v>
      </c>
      <c r="BJ260" s="2305" t="str">
        <f t="shared" si="300"/>
        <v>[Service]</v>
      </c>
      <c r="BK260" s="2306" t="str">
        <f t="shared" si="300"/>
        <v>[Price]</v>
      </c>
      <c r="BL260" s="2307" t="str">
        <f t="shared" ref="BL260:BZ260" si="387">IF(OR(X260="",X260=0),"-",IFERROR((X260/W260-1)*(W260/W$13),"-"))</f>
        <v>-</v>
      </c>
      <c r="BM260" s="1055" t="str">
        <f t="shared" si="387"/>
        <v>-</v>
      </c>
      <c r="BN260" s="1055" t="str">
        <f t="shared" si="387"/>
        <v>-</v>
      </c>
      <c r="BO260" s="2308" t="str">
        <f t="shared" si="387"/>
        <v>-</v>
      </c>
      <c r="BP260" s="1055" t="str">
        <f t="shared" si="387"/>
        <v>-</v>
      </c>
      <c r="BQ260" s="2309" t="str">
        <f t="shared" si="387"/>
        <v>-</v>
      </c>
      <c r="BR260" s="1055" t="str">
        <f t="shared" si="387"/>
        <v>-</v>
      </c>
      <c r="BS260" s="1055" t="str">
        <f t="shared" si="387"/>
        <v>-</v>
      </c>
      <c r="BT260" s="1055" t="str">
        <f t="shared" si="387"/>
        <v>-</v>
      </c>
      <c r="BU260" s="1056" t="str">
        <f t="shared" si="387"/>
        <v>-</v>
      </c>
      <c r="BV260" s="1055" t="str">
        <f t="shared" si="387"/>
        <v>-</v>
      </c>
      <c r="BW260" s="1055" t="str">
        <f t="shared" si="387"/>
        <v>-</v>
      </c>
      <c r="BX260" s="1055" t="str">
        <f t="shared" si="387"/>
        <v>-</v>
      </c>
      <c r="BY260" s="1055" t="str">
        <f t="shared" si="387"/>
        <v>-</v>
      </c>
      <c r="BZ260" s="1056" t="str">
        <f t="shared" si="387"/>
        <v>-</v>
      </c>
      <c r="CA260" s="1048"/>
    </row>
    <row r="261" spans="3:79" x14ac:dyDescent="0.3">
      <c r="C261" s="126"/>
      <c r="D261" s="126">
        <f>D258+1</f>
        <v>65</v>
      </c>
      <c r="E261" s="553" t="s">
        <v>45</v>
      </c>
      <c r="F261" s="2105" t="s">
        <v>28</v>
      </c>
      <c r="G261" s="2105"/>
      <c r="H261" s="2105"/>
      <c r="I261" s="573" t="s">
        <v>319</v>
      </c>
      <c r="J261" s="573" t="s">
        <v>348</v>
      </c>
      <c r="K261" s="1969"/>
      <c r="L261" s="1970"/>
      <c r="M261" s="1970"/>
      <c r="N261" s="1971"/>
      <c r="O261" s="1970"/>
      <c r="P261" s="1970"/>
      <c r="Q261" s="1970"/>
      <c r="R261" s="1972"/>
      <c r="S261" s="1971"/>
      <c r="T261" s="1970"/>
      <c r="U261" s="1970"/>
      <c r="V261" s="1970"/>
      <c r="W261" s="1709"/>
      <c r="X261" s="1710"/>
      <c r="Y261" s="1709"/>
      <c r="Z261" s="1709"/>
      <c r="AA261" s="1709"/>
      <c r="AB261" s="1711"/>
      <c r="AC261" s="1709"/>
      <c r="AD261" s="1709"/>
      <c r="AE261" s="1709"/>
      <c r="AF261" s="1709"/>
      <c r="AG261" s="1712"/>
      <c r="AH261" s="1709"/>
      <c r="AI261" s="1709"/>
      <c r="AJ261" s="1709"/>
      <c r="AK261" s="1709"/>
      <c r="AL261" s="1712"/>
      <c r="AM261" s="560"/>
      <c r="AN261" s="1052"/>
      <c r="AO261" s="992"/>
      <c r="AP261" s="2297" t="str">
        <f t="shared" ref="AP261:AQ324" si="388">E261</f>
        <v>Price</v>
      </c>
      <c r="AQ261" s="2298" t="str">
        <f t="shared" si="388"/>
        <v>[Service]</v>
      </c>
      <c r="AR261" s="1719" t="str">
        <f t="shared" ref="AR261:AR324" si="389">I261</f>
        <v>[Price]</v>
      </c>
      <c r="AS261" s="2299" t="str">
        <f t="shared" si="378"/>
        <v>-</v>
      </c>
      <c r="AT261" s="1728" t="str">
        <f t="shared" si="378"/>
        <v>-</v>
      </c>
      <c r="AU261" s="1728" t="str">
        <f t="shared" si="378"/>
        <v>-</v>
      </c>
      <c r="AV261" s="2300" t="str">
        <f t="shared" si="378"/>
        <v>-</v>
      </c>
      <c r="AW261" s="1728" t="str">
        <f t="shared" si="378"/>
        <v>-</v>
      </c>
      <c r="AX261" s="2301" t="str">
        <f t="shared" si="378"/>
        <v>-</v>
      </c>
      <c r="AY261" s="1728" t="str">
        <f t="shared" si="378"/>
        <v>-</v>
      </c>
      <c r="AZ261" s="1728" t="str">
        <f t="shared" si="378"/>
        <v>-</v>
      </c>
      <c r="BA261" s="1728" t="str">
        <f t="shared" si="378"/>
        <v>-</v>
      </c>
      <c r="BB261" s="1729" t="str">
        <f t="shared" si="378"/>
        <v>-</v>
      </c>
      <c r="BC261" s="1728" t="str">
        <f t="shared" si="378"/>
        <v>-</v>
      </c>
      <c r="BD261" s="1728" t="str">
        <f t="shared" si="378"/>
        <v>-</v>
      </c>
      <c r="BE261" s="1728" t="str">
        <f t="shared" si="378"/>
        <v>-</v>
      </c>
      <c r="BF261" s="1728" t="str">
        <f t="shared" si="378"/>
        <v>-</v>
      </c>
      <c r="BG261" s="1729" t="str">
        <f t="shared" si="378"/>
        <v>-</v>
      </c>
      <c r="BH261" s="1048"/>
      <c r="BI261" s="2297" t="str">
        <f t="shared" si="300"/>
        <v>Price</v>
      </c>
      <c r="BJ261" s="2298" t="str">
        <f t="shared" si="300"/>
        <v>[Service]</v>
      </c>
      <c r="BK261" s="1719" t="str">
        <f t="shared" si="300"/>
        <v>[Price]</v>
      </c>
      <c r="BL261" s="2299" t="str">
        <f t="shared" ref="BL261:BZ261" si="390">IF(OR(X261="",X261=0),"-",IFERROR((X261/W261-1)*(W263/W$13),"-"))</f>
        <v>-</v>
      </c>
      <c r="BM261" s="1053" t="str">
        <f t="shared" si="390"/>
        <v>-</v>
      </c>
      <c r="BN261" s="1053" t="str">
        <f t="shared" si="390"/>
        <v>-</v>
      </c>
      <c r="BO261" s="2302" t="str">
        <f t="shared" si="390"/>
        <v>-</v>
      </c>
      <c r="BP261" s="1053" t="str">
        <f t="shared" si="390"/>
        <v>-</v>
      </c>
      <c r="BQ261" s="2303" t="str">
        <f t="shared" si="390"/>
        <v>-</v>
      </c>
      <c r="BR261" s="1053" t="str">
        <f t="shared" si="390"/>
        <v>-</v>
      </c>
      <c r="BS261" s="1053" t="str">
        <f t="shared" si="390"/>
        <v>-</v>
      </c>
      <c r="BT261" s="1053" t="str">
        <f t="shared" si="390"/>
        <v>-</v>
      </c>
      <c r="BU261" s="1054" t="str">
        <f t="shared" si="390"/>
        <v>-</v>
      </c>
      <c r="BV261" s="1053" t="str">
        <f t="shared" si="390"/>
        <v>-</v>
      </c>
      <c r="BW261" s="1053" t="str">
        <f t="shared" si="390"/>
        <v>-</v>
      </c>
      <c r="BX261" s="1053" t="str">
        <f t="shared" si="390"/>
        <v>-</v>
      </c>
      <c r="BY261" s="1053" t="str">
        <f t="shared" si="390"/>
        <v>-</v>
      </c>
      <c r="BZ261" s="1054" t="str">
        <f t="shared" si="390"/>
        <v>-</v>
      </c>
      <c r="CA261" s="1048"/>
    </row>
    <row r="262" spans="3:79" x14ac:dyDescent="0.3">
      <c r="C262" s="126"/>
      <c r="D262" s="126"/>
      <c r="E262" s="558" t="s">
        <v>46</v>
      </c>
      <c r="F262" s="2161" t="str">
        <f t="shared" si="367"/>
        <v>[Service]</v>
      </c>
      <c r="G262" s="2163">
        <f t="shared" si="367"/>
        <v>0</v>
      </c>
      <c r="H262" s="2163">
        <f t="shared" si="367"/>
        <v>0</v>
      </c>
      <c r="I262" s="2164" t="str">
        <f t="shared" si="367"/>
        <v>[Price]</v>
      </c>
      <c r="J262" s="574" t="s">
        <v>323</v>
      </c>
      <c r="K262" s="1973"/>
      <c r="L262" s="1974"/>
      <c r="M262" s="1974"/>
      <c r="N262" s="1975"/>
      <c r="O262" s="1974"/>
      <c r="P262" s="1974"/>
      <c r="Q262" s="1974"/>
      <c r="R262" s="1976"/>
      <c r="S262" s="1975"/>
      <c r="T262" s="1974"/>
      <c r="U262" s="1974"/>
      <c r="V262" s="1974"/>
      <c r="W262" s="1713"/>
      <c r="X262" s="1714"/>
      <c r="Y262" s="1713"/>
      <c r="Z262" s="1713"/>
      <c r="AA262" s="1713"/>
      <c r="AB262" s="1715"/>
      <c r="AC262" s="1713"/>
      <c r="AD262" s="1713"/>
      <c r="AE262" s="1713"/>
      <c r="AF262" s="1713"/>
      <c r="AG262" s="1716"/>
      <c r="AH262" s="1713"/>
      <c r="AI262" s="1713"/>
      <c r="AJ262" s="1713"/>
      <c r="AK262" s="1713"/>
      <c r="AL262" s="1716"/>
      <c r="AM262" s="560"/>
      <c r="AN262" s="991"/>
      <c r="AO262" s="992"/>
      <c r="AP262" s="2285" t="str">
        <f t="shared" si="388"/>
        <v>Qty</v>
      </c>
      <c r="AQ262" s="2286" t="str">
        <f t="shared" si="388"/>
        <v>[Service]</v>
      </c>
      <c r="AR262" s="2287" t="str">
        <f t="shared" si="389"/>
        <v>[Price]</v>
      </c>
      <c r="AS262" s="2288" t="str">
        <f t="shared" si="378"/>
        <v>-</v>
      </c>
      <c r="AT262" s="1720" t="str">
        <f t="shared" si="378"/>
        <v>-</v>
      </c>
      <c r="AU262" s="1720" t="str">
        <f t="shared" si="378"/>
        <v>-</v>
      </c>
      <c r="AV262" s="2289" t="str">
        <f t="shared" si="378"/>
        <v>-</v>
      </c>
      <c r="AW262" s="1720" t="str">
        <f t="shared" si="378"/>
        <v>-</v>
      </c>
      <c r="AX262" s="2290" t="str">
        <f t="shared" si="378"/>
        <v>-</v>
      </c>
      <c r="AY262" s="1720" t="str">
        <f t="shared" si="378"/>
        <v>-</v>
      </c>
      <c r="AZ262" s="1720" t="str">
        <f t="shared" si="378"/>
        <v>-</v>
      </c>
      <c r="BA262" s="1720" t="str">
        <f t="shared" si="378"/>
        <v>-</v>
      </c>
      <c r="BB262" s="1721" t="str">
        <f t="shared" si="378"/>
        <v>-</v>
      </c>
      <c r="BC262" s="1720" t="str">
        <f t="shared" si="378"/>
        <v>-</v>
      </c>
      <c r="BD262" s="1720" t="str">
        <f t="shared" si="378"/>
        <v>-</v>
      </c>
      <c r="BE262" s="1720" t="str">
        <f t="shared" si="378"/>
        <v>-</v>
      </c>
      <c r="BF262" s="1720" t="str">
        <f t="shared" si="378"/>
        <v>-</v>
      </c>
      <c r="BG262" s="1721" t="str">
        <f t="shared" si="378"/>
        <v>-</v>
      </c>
      <c r="BH262" s="1048"/>
      <c r="BI262" s="2285" t="str">
        <f t="shared" si="300"/>
        <v>Qty</v>
      </c>
      <c r="BJ262" s="2286" t="str">
        <f t="shared" si="300"/>
        <v>[Service]</v>
      </c>
      <c r="BK262" s="2287" t="str">
        <f t="shared" si="300"/>
        <v>[Price]</v>
      </c>
      <c r="BL262" s="2288" t="str">
        <f t="shared" ref="BL262:BZ262" si="391">IF(OR(X262="",X262=0),"-",IFERROR((X262/W262-1)*(W263/W$13),"-"))</f>
        <v>-</v>
      </c>
      <c r="BM262" s="1720" t="str">
        <f t="shared" si="391"/>
        <v>-</v>
      </c>
      <c r="BN262" s="1720" t="str">
        <f t="shared" si="391"/>
        <v>-</v>
      </c>
      <c r="BO262" s="2289" t="str">
        <f t="shared" si="391"/>
        <v>-</v>
      </c>
      <c r="BP262" s="1720" t="str">
        <f t="shared" si="391"/>
        <v>-</v>
      </c>
      <c r="BQ262" s="2290" t="str">
        <f t="shared" si="391"/>
        <v>-</v>
      </c>
      <c r="BR262" s="1720" t="str">
        <f t="shared" si="391"/>
        <v>-</v>
      </c>
      <c r="BS262" s="1720" t="str">
        <f t="shared" si="391"/>
        <v>-</v>
      </c>
      <c r="BT262" s="1720" t="str">
        <f t="shared" si="391"/>
        <v>-</v>
      </c>
      <c r="BU262" s="1721" t="str">
        <f t="shared" si="391"/>
        <v>-</v>
      </c>
      <c r="BV262" s="1720" t="str">
        <f t="shared" si="391"/>
        <v>-</v>
      </c>
      <c r="BW262" s="1720" t="str">
        <f t="shared" si="391"/>
        <v>-</v>
      </c>
      <c r="BX262" s="1720" t="str">
        <f t="shared" si="391"/>
        <v>-</v>
      </c>
      <c r="BY262" s="1720" t="str">
        <f t="shared" si="391"/>
        <v>-</v>
      </c>
      <c r="BZ262" s="1721" t="str">
        <f t="shared" si="391"/>
        <v>-</v>
      </c>
      <c r="CA262" s="1048"/>
    </row>
    <row r="263" spans="3:79" ht="12.5" thickBot="1" x14ac:dyDescent="0.35">
      <c r="C263" s="126"/>
      <c r="D263" s="126"/>
      <c r="E263" s="559" t="s">
        <v>47</v>
      </c>
      <c r="F263" s="2162" t="str">
        <f t="shared" ref="F263:I263" si="392">+F261</f>
        <v>[Service]</v>
      </c>
      <c r="G263" s="2165">
        <f t="shared" si="392"/>
        <v>0</v>
      </c>
      <c r="H263" s="2165">
        <f t="shared" si="392"/>
        <v>0</v>
      </c>
      <c r="I263" s="2166" t="str">
        <f t="shared" si="392"/>
        <v>[Price]</v>
      </c>
      <c r="J263" s="2106" t="s">
        <v>347</v>
      </c>
      <c r="K263" s="1977"/>
      <c r="L263" s="1206"/>
      <c r="M263" s="1206"/>
      <c r="N263" s="1978"/>
      <c r="O263" s="1206"/>
      <c r="P263" s="1206"/>
      <c r="Q263" s="1206"/>
      <c r="R263" s="1206"/>
      <c r="S263" s="1978"/>
      <c r="T263" s="1206"/>
      <c r="U263" s="1206"/>
      <c r="V263" s="1206"/>
      <c r="W263" s="1731">
        <f t="shared" ref="W263:AG263" si="393">W261*W262/10^6</f>
        <v>0</v>
      </c>
      <c r="X263" s="1730">
        <f t="shared" si="393"/>
        <v>0</v>
      </c>
      <c r="Y263" s="1731">
        <f t="shared" si="393"/>
        <v>0</v>
      </c>
      <c r="Z263" s="1731">
        <f t="shared" si="393"/>
        <v>0</v>
      </c>
      <c r="AA263" s="1731">
        <f t="shared" si="393"/>
        <v>0</v>
      </c>
      <c r="AB263" s="1733">
        <f t="shared" si="393"/>
        <v>0</v>
      </c>
      <c r="AC263" s="1731">
        <f t="shared" si="393"/>
        <v>0</v>
      </c>
      <c r="AD263" s="1731">
        <f t="shared" si="393"/>
        <v>0</v>
      </c>
      <c r="AE263" s="1731">
        <f t="shared" si="393"/>
        <v>0</v>
      </c>
      <c r="AF263" s="1731">
        <f t="shared" si="393"/>
        <v>0</v>
      </c>
      <c r="AG263" s="1733">
        <f t="shared" si="393"/>
        <v>0</v>
      </c>
      <c r="AH263" s="1731">
        <f>AH261*AH262/10^6</f>
        <v>0</v>
      </c>
      <c r="AI263" s="1731">
        <f>AI261*AI262/10^6</f>
        <v>0</v>
      </c>
      <c r="AJ263" s="1731">
        <f>AJ261*AJ262/10^6</f>
        <v>0</v>
      </c>
      <c r="AK263" s="1731">
        <f>AK261*AK262/10^6</f>
        <v>0</v>
      </c>
      <c r="AL263" s="1733">
        <f>AL261*AL262/10^6</f>
        <v>0</v>
      </c>
      <c r="AM263" s="560"/>
      <c r="AN263" s="991"/>
      <c r="AO263" s="992"/>
      <c r="AP263" s="2304" t="str">
        <f t="shared" si="388"/>
        <v>Rev</v>
      </c>
      <c r="AQ263" s="2305" t="str">
        <f t="shared" si="388"/>
        <v>[Service]</v>
      </c>
      <c r="AR263" s="2306" t="str">
        <f t="shared" si="389"/>
        <v>[Price]</v>
      </c>
      <c r="AS263" s="2307" t="str">
        <f t="shared" si="378"/>
        <v>-</v>
      </c>
      <c r="AT263" s="1055" t="str">
        <f t="shared" si="378"/>
        <v>-</v>
      </c>
      <c r="AU263" s="1055" t="str">
        <f t="shared" si="378"/>
        <v>-</v>
      </c>
      <c r="AV263" s="2308" t="str">
        <f t="shared" si="378"/>
        <v>-</v>
      </c>
      <c r="AW263" s="1055" t="str">
        <f t="shared" si="378"/>
        <v>-</v>
      </c>
      <c r="AX263" s="2309" t="str">
        <f t="shared" si="378"/>
        <v>-</v>
      </c>
      <c r="AY263" s="1055" t="str">
        <f t="shared" si="378"/>
        <v>-</v>
      </c>
      <c r="AZ263" s="1055" t="str">
        <f t="shared" si="378"/>
        <v>-</v>
      </c>
      <c r="BA263" s="1055" t="str">
        <f t="shared" si="378"/>
        <v>-</v>
      </c>
      <c r="BB263" s="1056" t="str">
        <f t="shared" si="378"/>
        <v>-</v>
      </c>
      <c r="BC263" s="1055" t="str">
        <f t="shared" si="378"/>
        <v>-</v>
      </c>
      <c r="BD263" s="1055" t="str">
        <f t="shared" si="378"/>
        <v>-</v>
      </c>
      <c r="BE263" s="1055" t="str">
        <f t="shared" si="378"/>
        <v>-</v>
      </c>
      <c r="BF263" s="1055" t="str">
        <f t="shared" si="378"/>
        <v>-</v>
      </c>
      <c r="BG263" s="1056" t="str">
        <f t="shared" si="378"/>
        <v>-</v>
      </c>
      <c r="BH263" s="1048"/>
      <c r="BI263" s="2304" t="str">
        <f t="shared" si="300"/>
        <v>Rev</v>
      </c>
      <c r="BJ263" s="2305" t="str">
        <f t="shared" si="300"/>
        <v>[Service]</v>
      </c>
      <c r="BK263" s="2306" t="str">
        <f t="shared" si="300"/>
        <v>[Price]</v>
      </c>
      <c r="BL263" s="2307" t="str">
        <f t="shared" ref="BL263:BZ263" si="394">IF(OR(X263="",X263=0),"-",IFERROR((X263/W263-1)*(W263/W$13),"-"))</f>
        <v>-</v>
      </c>
      <c r="BM263" s="1055" t="str">
        <f t="shared" si="394"/>
        <v>-</v>
      </c>
      <c r="BN263" s="1055" t="str">
        <f t="shared" si="394"/>
        <v>-</v>
      </c>
      <c r="BO263" s="2308" t="str">
        <f t="shared" si="394"/>
        <v>-</v>
      </c>
      <c r="BP263" s="1055" t="str">
        <f t="shared" si="394"/>
        <v>-</v>
      </c>
      <c r="BQ263" s="2309" t="str">
        <f t="shared" si="394"/>
        <v>-</v>
      </c>
      <c r="BR263" s="1055" t="str">
        <f t="shared" si="394"/>
        <v>-</v>
      </c>
      <c r="BS263" s="1055" t="str">
        <f t="shared" si="394"/>
        <v>-</v>
      </c>
      <c r="BT263" s="1055" t="str">
        <f t="shared" si="394"/>
        <v>-</v>
      </c>
      <c r="BU263" s="1056" t="str">
        <f t="shared" si="394"/>
        <v>-</v>
      </c>
      <c r="BV263" s="1055" t="str">
        <f t="shared" si="394"/>
        <v>-</v>
      </c>
      <c r="BW263" s="1055" t="str">
        <f t="shared" si="394"/>
        <v>-</v>
      </c>
      <c r="BX263" s="1055" t="str">
        <f t="shared" si="394"/>
        <v>-</v>
      </c>
      <c r="BY263" s="1055" t="str">
        <f t="shared" si="394"/>
        <v>-</v>
      </c>
      <c r="BZ263" s="1056" t="str">
        <f t="shared" si="394"/>
        <v>-</v>
      </c>
      <c r="CA263" s="1048"/>
    </row>
    <row r="264" spans="3:79" x14ac:dyDescent="0.3">
      <c r="C264" s="126"/>
      <c r="D264" s="126">
        <f>D261+1</f>
        <v>66</v>
      </c>
      <c r="E264" s="553" t="s">
        <v>45</v>
      </c>
      <c r="F264" s="2105" t="s">
        <v>28</v>
      </c>
      <c r="G264" s="2105"/>
      <c r="H264" s="2105"/>
      <c r="I264" s="573" t="s">
        <v>319</v>
      </c>
      <c r="J264" s="573" t="s">
        <v>348</v>
      </c>
      <c r="K264" s="1969"/>
      <c r="L264" s="1970"/>
      <c r="M264" s="1970"/>
      <c r="N264" s="1971"/>
      <c r="O264" s="1970"/>
      <c r="P264" s="1970"/>
      <c r="Q264" s="1970"/>
      <c r="R264" s="1972"/>
      <c r="S264" s="1971"/>
      <c r="T264" s="1970"/>
      <c r="U264" s="1970"/>
      <c r="V264" s="1970"/>
      <c r="W264" s="575"/>
      <c r="X264" s="1238"/>
      <c r="Y264" s="575"/>
      <c r="Z264" s="575"/>
      <c r="AA264" s="575"/>
      <c r="AB264" s="1142"/>
      <c r="AC264" s="575"/>
      <c r="AD264" s="575"/>
      <c r="AE264" s="575"/>
      <c r="AF264" s="575"/>
      <c r="AG264" s="577"/>
      <c r="AH264" s="575"/>
      <c r="AI264" s="575"/>
      <c r="AJ264" s="575"/>
      <c r="AK264" s="575"/>
      <c r="AL264" s="577"/>
      <c r="AM264" s="560"/>
      <c r="AN264" s="1052"/>
      <c r="AO264" s="992"/>
      <c r="AP264" s="2297" t="str">
        <f t="shared" si="388"/>
        <v>Price</v>
      </c>
      <c r="AQ264" s="2298" t="str">
        <f t="shared" si="388"/>
        <v>[Service]</v>
      </c>
      <c r="AR264" s="1719" t="str">
        <f t="shared" si="389"/>
        <v>[Price]</v>
      </c>
      <c r="AS264" s="2299" t="str">
        <f t="shared" si="378"/>
        <v>-</v>
      </c>
      <c r="AT264" s="1728" t="str">
        <f t="shared" si="378"/>
        <v>-</v>
      </c>
      <c r="AU264" s="1728" t="str">
        <f t="shared" si="378"/>
        <v>-</v>
      </c>
      <c r="AV264" s="2300" t="str">
        <f t="shared" si="378"/>
        <v>-</v>
      </c>
      <c r="AW264" s="1728" t="str">
        <f t="shared" si="378"/>
        <v>-</v>
      </c>
      <c r="AX264" s="2301" t="str">
        <f t="shared" si="378"/>
        <v>-</v>
      </c>
      <c r="AY264" s="1728" t="str">
        <f t="shared" si="378"/>
        <v>-</v>
      </c>
      <c r="AZ264" s="1728" t="str">
        <f t="shared" si="378"/>
        <v>-</v>
      </c>
      <c r="BA264" s="1728" t="str">
        <f t="shared" si="378"/>
        <v>-</v>
      </c>
      <c r="BB264" s="1729" t="str">
        <f t="shared" si="378"/>
        <v>-</v>
      </c>
      <c r="BC264" s="1728" t="str">
        <f t="shared" si="378"/>
        <v>-</v>
      </c>
      <c r="BD264" s="1728" t="str">
        <f t="shared" si="378"/>
        <v>-</v>
      </c>
      <c r="BE264" s="1728" t="str">
        <f t="shared" si="378"/>
        <v>-</v>
      </c>
      <c r="BF264" s="1728" t="str">
        <f t="shared" si="378"/>
        <v>-</v>
      </c>
      <c r="BG264" s="1729" t="str">
        <f t="shared" si="378"/>
        <v>-</v>
      </c>
      <c r="BH264" s="1048"/>
      <c r="BI264" s="2297" t="str">
        <f t="shared" si="300"/>
        <v>Price</v>
      </c>
      <c r="BJ264" s="2298" t="str">
        <f t="shared" si="300"/>
        <v>[Service]</v>
      </c>
      <c r="BK264" s="1719" t="str">
        <f t="shared" si="300"/>
        <v>[Price]</v>
      </c>
      <c r="BL264" s="2299" t="str">
        <f t="shared" ref="BL264:BZ264" si="395">IF(OR(X264="",X264=0),"-",IFERROR((X264/W264-1)*(W266/W$13),"-"))</f>
        <v>-</v>
      </c>
      <c r="BM264" s="1053" t="str">
        <f t="shared" si="395"/>
        <v>-</v>
      </c>
      <c r="BN264" s="1053" t="str">
        <f t="shared" si="395"/>
        <v>-</v>
      </c>
      <c r="BO264" s="2302" t="str">
        <f t="shared" si="395"/>
        <v>-</v>
      </c>
      <c r="BP264" s="1053" t="str">
        <f t="shared" si="395"/>
        <v>-</v>
      </c>
      <c r="BQ264" s="2303" t="str">
        <f t="shared" si="395"/>
        <v>-</v>
      </c>
      <c r="BR264" s="1053" t="str">
        <f t="shared" si="395"/>
        <v>-</v>
      </c>
      <c r="BS264" s="1053" t="str">
        <f t="shared" si="395"/>
        <v>-</v>
      </c>
      <c r="BT264" s="1053" t="str">
        <f t="shared" si="395"/>
        <v>-</v>
      </c>
      <c r="BU264" s="1054" t="str">
        <f t="shared" si="395"/>
        <v>-</v>
      </c>
      <c r="BV264" s="1053" t="str">
        <f t="shared" si="395"/>
        <v>-</v>
      </c>
      <c r="BW264" s="1053" t="str">
        <f t="shared" si="395"/>
        <v>-</v>
      </c>
      <c r="BX264" s="1053" t="str">
        <f t="shared" si="395"/>
        <v>-</v>
      </c>
      <c r="BY264" s="1053" t="str">
        <f t="shared" si="395"/>
        <v>-</v>
      </c>
      <c r="BZ264" s="1054" t="str">
        <f t="shared" si="395"/>
        <v>-</v>
      </c>
      <c r="CA264" s="1048"/>
    </row>
    <row r="265" spans="3:79" x14ac:dyDescent="0.3">
      <c r="C265" s="126"/>
      <c r="D265" s="126"/>
      <c r="E265" s="558" t="s">
        <v>46</v>
      </c>
      <c r="F265" s="2161" t="str">
        <f t="shared" si="367"/>
        <v>[Service]</v>
      </c>
      <c r="G265" s="2163">
        <f t="shared" si="367"/>
        <v>0</v>
      </c>
      <c r="H265" s="2163">
        <f t="shared" si="367"/>
        <v>0</v>
      </c>
      <c r="I265" s="2164" t="str">
        <f t="shared" si="367"/>
        <v>[Price]</v>
      </c>
      <c r="J265" s="574" t="s">
        <v>323</v>
      </c>
      <c r="K265" s="1973"/>
      <c r="L265" s="1974"/>
      <c r="M265" s="1974"/>
      <c r="N265" s="1975"/>
      <c r="O265" s="1974"/>
      <c r="P265" s="1974"/>
      <c r="Q265" s="1974"/>
      <c r="R265" s="1976"/>
      <c r="S265" s="1975"/>
      <c r="T265" s="1974"/>
      <c r="U265" s="1974"/>
      <c r="V265" s="1974"/>
      <c r="W265" s="578"/>
      <c r="X265" s="1239"/>
      <c r="Y265" s="578"/>
      <c r="Z265" s="578"/>
      <c r="AA265" s="578"/>
      <c r="AB265" s="1143"/>
      <c r="AC265" s="578"/>
      <c r="AD265" s="578"/>
      <c r="AE265" s="578"/>
      <c r="AF265" s="578"/>
      <c r="AG265" s="580"/>
      <c r="AH265" s="578"/>
      <c r="AI265" s="578"/>
      <c r="AJ265" s="578"/>
      <c r="AK265" s="578"/>
      <c r="AL265" s="580"/>
      <c r="AM265" s="560"/>
      <c r="AN265" s="991"/>
      <c r="AO265" s="992"/>
      <c r="AP265" s="2285" t="str">
        <f t="shared" si="388"/>
        <v>Qty</v>
      </c>
      <c r="AQ265" s="2286" t="str">
        <f t="shared" si="388"/>
        <v>[Service]</v>
      </c>
      <c r="AR265" s="2287" t="str">
        <f t="shared" si="389"/>
        <v>[Price]</v>
      </c>
      <c r="AS265" s="2288" t="str">
        <f t="shared" si="378"/>
        <v>-</v>
      </c>
      <c r="AT265" s="1720" t="str">
        <f t="shared" si="378"/>
        <v>-</v>
      </c>
      <c r="AU265" s="1720" t="str">
        <f t="shared" si="378"/>
        <v>-</v>
      </c>
      <c r="AV265" s="2289" t="str">
        <f t="shared" si="378"/>
        <v>-</v>
      </c>
      <c r="AW265" s="1720" t="str">
        <f t="shared" si="378"/>
        <v>-</v>
      </c>
      <c r="AX265" s="2290" t="str">
        <f t="shared" si="378"/>
        <v>-</v>
      </c>
      <c r="AY265" s="1720" t="str">
        <f t="shared" si="378"/>
        <v>-</v>
      </c>
      <c r="AZ265" s="1720" t="str">
        <f t="shared" si="378"/>
        <v>-</v>
      </c>
      <c r="BA265" s="1720" t="str">
        <f t="shared" si="378"/>
        <v>-</v>
      </c>
      <c r="BB265" s="1721" t="str">
        <f t="shared" si="378"/>
        <v>-</v>
      </c>
      <c r="BC265" s="1720" t="str">
        <f t="shared" si="378"/>
        <v>-</v>
      </c>
      <c r="BD265" s="1720" t="str">
        <f t="shared" si="378"/>
        <v>-</v>
      </c>
      <c r="BE265" s="1720" t="str">
        <f t="shared" si="378"/>
        <v>-</v>
      </c>
      <c r="BF265" s="1720" t="str">
        <f t="shared" si="378"/>
        <v>-</v>
      </c>
      <c r="BG265" s="1721" t="str">
        <f t="shared" si="378"/>
        <v>-</v>
      </c>
      <c r="BH265" s="1048"/>
      <c r="BI265" s="2285" t="str">
        <f t="shared" si="300"/>
        <v>Qty</v>
      </c>
      <c r="BJ265" s="2286" t="str">
        <f t="shared" si="300"/>
        <v>[Service]</v>
      </c>
      <c r="BK265" s="2287" t="str">
        <f t="shared" si="300"/>
        <v>[Price]</v>
      </c>
      <c r="BL265" s="2288" t="str">
        <f t="shared" ref="BL265:BZ265" si="396">IF(OR(X265="",X265=0),"-",IFERROR((X265/W265-1)*(W266/W$13),"-"))</f>
        <v>-</v>
      </c>
      <c r="BM265" s="1720" t="str">
        <f t="shared" si="396"/>
        <v>-</v>
      </c>
      <c r="BN265" s="1720" t="str">
        <f t="shared" si="396"/>
        <v>-</v>
      </c>
      <c r="BO265" s="2289" t="str">
        <f t="shared" si="396"/>
        <v>-</v>
      </c>
      <c r="BP265" s="1720" t="str">
        <f t="shared" si="396"/>
        <v>-</v>
      </c>
      <c r="BQ265" s="2290" t="str">
        <f t="shared" si="396"/>
        <v>-</v>
      </c>
      <c r="BR265" s="1720" t="str">
        <f t="shared" si="396"/>
        <v>-</v>
      </c>
      <c r="BS265" s="1720" t="str">
        <f t="shared" si="396"/>
        <v>-</v>
      </c>
      <c r="BT265" s="1720" t="str">
        <f t="shared" si="396"/>
        <v>-</v>
      </c>
      <c r="BU265" s="1721" t="str">
        <f t="shared" si="396"/>
        <v>-</v>
      </c>
      <c r="BV265" s="1720" t="str">
        <f t="shared" si="396"/>
        <v>-</v>
      </c>
      <c r="BW265" s="1720" t="str">
        <f t="shared" si="396"/>
        <v>-</v>
      </c>
      <c r="BX265" s="1720" t="str">
        <f t="shared" si="396"/>
        <v>-</v>
      </c>
      <c r="BY265" s="1720" t="str">
        <f t="shared" si="396"/>
        <v>-</v>
      </c>
      <c r="BZ265" s="1721" t="str">
        <f t="shared" si="396"/>
        <v>-</v>
      </c>
      <c r="CA265" s="1048"/>
    </row>
    <row r="266" spans="3:79" ht="12.5" thickBot="1" x14ac:dyDescent="0.35">
      <c r="C266" s="126"/>
      <c r="D266" s="126"/>
      <c r="E266" s="559" t="s">
        <v>47</v>
      </c>
      <c r="F266" s="2162" t="str">
        <f t="shared" ref="F266:I266" si="397">+F264</f>
        <v>[Service]</v>
      </c>
      <c r="G266" s="2165">
        <f t="shared" si="397"/>
        <v>0</v>
      </c>
      <c r="H266" s="2165">
        <f t="shared" si="397"/>
        <v>0</v>
      </c>
      <c r="I266" s="2166" t="str">
        <f t="shared" si="397"/>
        <v>[Price]</v>
      </c>
      <c r="J266" s="2106" t="s">
        <v>347</v>
      </c>
      <c r="K266" s="1977"/>
      <c r="L266" s="1206"/>
      <c r="M266" s="1206"/>
      <c r="N266" s="1978"/>
      <c r="O266" s="1206"/>
      <c r="P266" s="1206"/>
      <c r="Q266" s="1206"/>
      <c r="R266" s="1206"/>
      <c r="S266" s="1978"/>
      <c r="T266" s="1206"/>
      <c r="U266" s="1206"/>
      <c r="V266" s="1206"/>
      <c r="W266" s="1731">
        <f t="shared" ref="W266:AG266" si="398">W264*W265/10^6</f>
        <v>0</v>
      </c>
      <c r="X266" s="1730">
        <f t="shared" si="398"/>
        <v>0</v>
      </c>
      <c r="Y266" s="1731">
        <f t="shared" si="398"/>
        <v>0</v>
      </c>
      <c r="Z266" s="1731">
        <f t="shared" si="398"/>
        <v>0</v>
      </c>
      <c r="AA266" s="1731">
        <f t="shared" si="398"/>
        <v>0</v>
      </c>
      <c r="AB266" s="1733">
        <f t="shared" si="398"/>
        <v>0</v>
      </c>
      <c r="AC266" s="1731">
        <f t="shared" si="398"/>
        <v>0</v>
      </c>
      <c r="AD266" s="1731">
        <f t="shared" si="398"/>
        <v>0</v>
      </c>
      <c r="AE266" s="1731">
        <f t="shared" si="398"/>
        <v>0</v>
      </c>
      <c r="AF266" s="1731">
        <f t="shared" si="398"/>
        <v>0</v>
      </c>
      <c r="AG266" s="1733">
        <f t="shared" si="398"/>
        <v>0</v>
      </c>
      <c r="AH266" s="1731">
        <f>AH264*AH265/10^6</f>
        <v>0</v>
      </c>
      <c r="AI266" s="1731">
        <f>AI264*AI265/10^6</f>
        <v>0</v>
      </c>
      <c r="AJ266" s="1731">
        <f>AJ264*AJ265/10^6</f>
        <v>0</v>
      </c>
      <c r="AK266" s="1731">
        <f>AK264*AK265/10^6</f>
        <v>0</v>
      </c>
      <c r="AL266" s="1733">
        <f>AL264*AL265/10^6</f>
        <v>0</v>
      </c>
      <c r="AM266" s="560"/>
      <c r="AN266" s="991"/>
      <c r="AO266" s="992"/>
      <c r="AP266" s="2304" t="str">
        <f t="shared" si="388"/>
        <v>Rev</v>
      </c>
      <c r="AQ266" s="2305" t="str">
        <f t="shared" si="388"/>
        <v>[Service]</v>
      </c>
      <c r="AR266" s="2306" t="str">
        <f t="shared" si="389"/>
        <v>[Price]</v>
      </c>
      <c r="AS266" s="2307" t="str">
        <f t="shared" si="378"/>
        <v>-</v>
      </c>
      <c r="AT266" s="1055" t="str">
        <f t="shared" si="378"/>
        <v>-</v>
      </c>
      <c r="AU266" s="1055" t="str">
        <f t="shared" si="378"/>
        <v>-</v>
      </c>
      <c r="AV266" s="2308" t="str">
        <f t="shared" si="378"/>
        <v>-</v>
      </c>
      <c r="AW266" s="1055" t="str">
        <f t="shared" si="378"/>
        <v>-</v>
      </c>
      <c r="AX266" s="2309" t="str">
        <f t="shared" si="378"/>
        <v>-</v>
      </c>
      <c r="AY266" s="1055" t="str">
        <f t="shared" si="378"/>
        <v>-</v>
      </c>
      <c r="AZ266" s="1055" t="str">
        <f t="shared" si="378"/>
        <v>-</v>
      </c>
      <c r="BA266" s="1055" t="str">
        <f t="shared" si="378"/>
        <v>-</v>
      </c>
      <c r="BB266" s="1056" t="str">
        <f t="shared" si="378"/>
        <v>-</v>
      </c>
      <c r="BC266" s="1055" t="str">
        <f t="shared" si="378"/>
        <v>-</v>
      </c>
      <c r="BD266" s="1055" t="str">
        <f t="shared" si="378"/>
        <v>-</v>
      </c>
      <c r="BE266" s="1055" t="str">
        <f t="shared" si="378"/>
        <v>-</v>
      </c>
      <c r="BF266" s="1055" t="str">
        <f t="shared" si="378"/>
        <v>-</v>
      </c>
      <c r="BG266" s="1056" t="str">
        <f t="shared" si="378"/>
        <v>-</v>
      </c>
      <c r="BH266" s="1048"/>
      <c r="BI266" s="2304" t="str">
        <f t="shared" si="300"/>
        <v>Rev</v>
      </c>
      <c r="BJ266" s="2305" t="str">
        <f t="shared" si="300"/>
        <v>[Service]</v>
      </c>
      <c r="BK266" s="2306" t="str">
        <f t="shared" si="300"/>
        <v>[Price]</v>
      </c>
      <c r="BL266" s="2307" t="str">
        <f t="shared" ref="BL266:BZ266" si="399">IF(OR(X266="",X266=0),"-",IFERROR((X266/W266-1)*(W266/W$13),"-"))</f>
        <v>-</v>
      </c>
      <c r="BM266" s="1055" t="str">
        <f t="shared" si="399"/>
        <v>-</v>
      </c>
      <c r="BN266" s="1055" t="str">
        <f t="shared" si="399"/>
        <v>-</v>
      </c>
      <c r="BO266" s="2308" t="str">
        <f t="shared" si="399"/>
        <v>-</v>
      </c>
      <c r="BP266" s="1055" t="str">
        <f t="shared" si="399"/>
        <v>-</v>
      </c>
      <c r="BQ266" s="2309" t="str">
        <f t="shared" si="399"/>
        <v>-</v>
      </c>
      <c r="BR266" s="1055" t="str">
        <f t="shared" si="399"/>
        <v>-</v>
      </c>
      <c r="BS266" s="1055" t="str">
        <f t="shared" si="399"/>
        <v>-</v>
      </c>
      <c r="BT266" s="1055" t="str">
        <f t="shared" si="399"/>
        <v>-</v>
      </c>
      <c r="BU266" s="1056" t="str">
        <f t="shared" si="399"/>
        <v>-</v>
      </c>
      <c r="BV266" s="1055" t="str">
        <f t="shared" si="399"/>
        <v>-</v>
      </c>
      <c r="BW266" s="1055" t="str">
        <f t="shared" si="399"/>
        <v>-</v>
      </c>
      <c r="BX266" s="1055" t="str">
        <f t="shared" si="399"/>
        <v>-</v>
      </c>
      <c r="BY266" s="1055" t="str">
        <f t="shared" si="399"/>
        <v>-</v>
      </c>
      <c r="BZ266" s="1056" t="str">
        <f t="shared" si="399"/>
        <v>-</v>
      </c>
      <c r="CA266" s="1048"/>
    </row>
    <row r="267" spans="3:79" x14ac:dyDescent="0.3">
      <c r="C267" s="126"/>
      <c r="D267" s="126">
        <f>D264+1</f>
        <v>67</v>
      </c>
      <c r="E267" s="553" t="s">
        <v>45</v>
      </c>
      <c r="F267" s="2105" t="s">
        <v>28</v>
      </c>
      <c r="G267" s="2105"/>
      <c r="H267" s="2105"/>
      <c r="I267" s="573" t="s">
        <v>319</v>
      </c>
      <c r="J267" s="573" t="s">
        <v>348</v>
      </c>
      <c r="K267" s="1969"/>
      <c r="L267" s="1970"/>
      <c r="M267" s="1970"/>
      <c r="N267" s="1971"/>
      <c r="O267" s="1970"/>
      <c r="P267" s="1970"/>
      <c r="Q267" s="1970"/>
      <c r="R267" s="1972"/>
      <c r="S267" s="1971"/>
      <c r="T267" s="1970"/>
      <c r="U267" s="1970"/>
      <c r="V267" s="1970"/>
      <c r="W267" s="575"/>
      <c r="X267" s="1238"/>
      <c r="Y267" s="575"/>
      <c r="Z267" s="575"/>
      <c r="AA267" s="575"/>
      <c r="AB267" s="1142"/>
      <c r="AC267" s="575"/>
      <c r="AD267" s="575"/>
      <c r="AE267" s="575"/>
      <c r="AF267" s="575"/>
      <c r="AG267" s="577"/>
      <c r="AH267" s="575"/>
      <c r="AI267" s="575"/>
      <c r="AJ267" s="575"/>
      <c r="AK267" s="575"/>
      <c r="AL267" s="577"/>
      <c r="AM267" s="560"/>
      <c r="AN267" s="1052"/>
      <c r="AO267" s="992"/>
      <c r="AP267" s="2297" t="str">
        <f t="shared" si="388"/>
        <v>Price</v>
      </c>
      <c r="AQ267" s="2298" t="str">
        <f t="shared" si="388"/>
        <v>[Service]</v>
      </c>
      <c r="AR267" s="1719" t="str">
        <f t="shared" si="389"/>
        <v>[Price]</v>
      </c>
      <c r="AS267" s="2299" t="str">
        <f t="shared" si="378"/>
        <v>-</v>
      </c>
      <c r="AT267" s="1728" t="str">
        <f t="shared" si="378"/>
        <v>-</v>
      </c>
      <c r="AU267" s="1728" t="str">
        <f t="shared" si="378"/>
        <v>-</v>
      </c>
      <c r="AV267" s="2300" t="str">
        <f t="shared" si="378"/>
        <v>-</v>
      </c>
      <c r="AW267" s="1728" t="str">
        <f t="shared" si="378"/>
        <v>-</v>
      </c>
      <c r="AX267" s="2301" t="str">
        <f t="shared" si="378"/>
        <v>-</v>
      </c>
      <c r="AY267" s="1728" t="str">
        <f t="shared" si="378"/>
        <v>-</v>
      </c>
      <c r="AZ267" s="1728" t="str">
        <f t="shared" si="378"/>
        <v>-</v>
      </c>
      <c r="BA267" s="1728" t="str">
        <f t="shared" si="378"/>
        <v>-</v>
      </c>
      <c r="BB267" s="1729" t="str">
        <f t="shared" si="378"/>
        <v>-</v>
      </c>
      <c r="BC267" s="1728" t="str">
        <f t="shared" si="378"/>
        <v>-</v>
      </c>
      <c r="BD267" s="1728" t="str">
        <f t="shared" si="378"/>
        <v>-</v>
      </c>
      <c r="BE267" s="1728" t="str">
        <f t="shared" si="378"/>
        <v>-</v>
      </c>
      <c r="BF267" s="1728" t="str">
        <f t="shared" si="378"/>
        <v>-</v>
      </c>
      <c r="BG267" s="1729" t="str">
        <f t="shared" si="378"/>
        <v>-</v>
      </c>
      <c r="BH267" s="1048"/>
      <c r="BI267" s="2297" t="str">
        <f t="shared" si="300"/>
        <v>Price</v>
      </c>
      <c r="BJ267" s="2298" t="str">
        <f t="shared" si="300"/>
        <v>[Service]</v>
      </c>
      <c r="BK267" s="1719" t="str">
        <f t="shared" si="300"/>
        <v>[Price]</v>
      </c>
      <c r="BL267" s="2299" t="str">
        <f t="shared" ref="BL267:BZ267" si="400">IF(OR(X267="",X267=0),"-",IFERROR((X267/W267-1)*(W269/W$13),"-"))</f>
        <v>-</v>
      </c>
      <c r="BM267" s="1053" t="str">
        <f t="shared" si="400"/>
        <v>-</v>
      </c>
      <c r="BN267" s="1053" t="str">
        <f t="shared" si="400"/>
        <v>-</v>
      </c>
      <c r="BO267" s="2302" t="str">
        <f t="shared" si="400"/>
        <v>-</v>
      </c>
      <c r="BP267" s="1053" t="str">
        <f t="shared" si="400"/>
        <v>-</v>
      </c>
      <c r="BQ267" s="2303" t="str">
        <f t="shared" si="400"/>
        <v>-</v>
      </c>
      <c r="BR267" s="1053" t="str">
        <f t="shared" si="400"/>
        <v>-</v>
      </c>
      <c r="BS267" s="1053" t="str">
        <f t="shared" si="400"/>
        <v>-</v>
      </c>
      <c r="BT267" s="1053" t="str">
        <f t="shared" si="400"/>
        <v>-</v>
      </c>
      <c r="BU267" s="1054" t="str">
        <f t="shared" si="400"/>
        <v>-</v>
      </c>
      <c r="BV267" s="1053" t="str">
        <f t="shared" si="400"/>
        <v>-</v>
      </c>
      <c r="BW267" s="1053" t="str">
        <f t="shared" si="400"/>
        <v>-</v>
      </c>
      <c r="BX267" s="1053" t="str">
        <f t="shared" si="400"/>
        <v>-</v>
      </c>
      <c r="BY267" s="1053" t="str">
        <f t="shared" si="400"/>
        <v>-</v>
      </c>
      <c r="BZ267" s="1054" t="str">
        <f t="shared" si="400"/>
        <v>-</v>
      </c>
      <c r="CA267" s="1048"/>
    </row>
    <row r="268" spans="3:79" x14ac:dyDescent="0.3">
      <c r="C268" s="126"/>
      <c r="D268" s="126"/>
      <c r="E268" s="558" t="s">
        <v>46</v>
      </c>
      <c r="F268" s="2161" t="str">
        <f t="shared" ref="F268:I283" si="401">+F267</f>
        <v>[Service]</v>
      </c>
      <c r="G268" s="2163">
        <f t="shared" si="401"/>
        <v>0</v>
      </c>
      <c r="H268" s="2163">
        <f t="shared" si="401"/>
        <v>0</v>
      </c>
      <c r="I268" s="2164" t="str">
        <f t="shared" si="401"/>
        <v>[Price]</v>
      </c>
      <c r="J268" s="574" t="s">
        <v>323</v>
      </c>
      <c r="K268" s="1973"/>
      <c r="L268" s="1974"/>
      <c r="M268" s="1974"/>
      <c r="N268" s="1975"/>
      <c r="O268" s="1974"/>
      <c r="P268" s="1974"/>
      <c r="Q268" s="1974"/>
      <c r="R268" s="1976"/>
      <c r="S268" s="1975"/>
      <c r="T268" s="1974"/>
      <c r="U268" s="1974"/>
      <c r="V268" s="1974"/>
      <c r="W268" s="578"/>
      <c r="X268" s="1239"/>
      <c r="Y268" s="578"/>
      <c r="Z268" s="578"/>
      <c r="AA268" s="578"/>
      <c r="AB268" s="1143"/>
      <c r="AC268" s="578"/>
      <c r="AD268" s="578"/>
      <c r="AE268" s="578"/>
      <c r="AF268" s="578"/>
      <c r="AG268" s="580"/>
      <c r="AH268" s="578"/>
      <c r="AI268" s="578"/>
      <c r="AJ268" s="578"/>
      <c r="AK268" s="578"/>
      <c r="AL268" s="580"/>
      <c r="AM268" s="560"/>
      <c r="AN268" s="991"/>
      <c r="AO268" s="992"/>
      <c r="AP268" s="2285" t="str">
        <f t="shared" si="388"/>
        <v>Qty</v>
      </c>
      <c r="AQ268" s="2286" t="str">
        <f t="shared" si="388"/>
        <v>[Service]</v>
      </c>
      <c r="AR268" s="2287" t="str">
        <f t="shared" si="389"/>
        <v>[Price]</v>
      </c>
      <c r="AS268" s="2288" t="str">
        <f t="shared" si="378"/>
        <v>-</v>
      </c>
      <c r="AT268" s="1720" t="str">
        <f t="shared" si="378"/>
        <v>-</v>
      </c>
      <c r="AU268" s="1720" t="str">
        <f t="shared" si="378"/>
        <v>-</v>
      </c>
      <c r="AV268" s="2289" t="str">
        <f t="shared" si="378"/>
        <v>-</v>
      </c>
      <c r="AW268" s="1720" t="str">
        <f t="shared" si="378"/>
        <v>-</v>
      </c>
      <c r="AX268" s="2290" t="str">
        <f t="shared" si="378"/>
        <v>-</v>
      </c>
      <c r="AY268" s="1720" t="str">
        <f t="shared" si="378"/>
        <v>-</v>
      </c>
      <c r="AZ268" s="1720" t="str">
        <f t="shared" si="378"/>
        <v>-</v>
      </c>
      <c r="BA268" s="1720" t="str">
        <f t="shared" si="378"/>
        <v>-</v>
      </c>
      <c r="BB268" s="1721" t="str">
        <f t="shared" si="378"/>
        <v>-</v>
      </c>
      <c r="BC268" s="1720" t="str">
        <f t="shared" si="378"/>
        <v>-</v>
      </c>
      <c r="BD268" s="1720" t="str">
        <f t="shared" si="378"/>
        <v>-</v>
      </c>
      <c r="BE268" s="1720" t="str">
        <f t="shared" si="378"/>
        <v>-</v>
      </c>
      <c r="BF268" s="1720" t="str">
        <f t="shared" si="378"/>
        <v>-</v>
      </c>
      <c r="BG268" s="1721" t="str">
        <f t="shared" si="378"/>
        <v>-</v>
      </c>
      <c r="BH268" s="1048"/>
      <c r="BI268" s="2285" t="str">
        <f t="shared" si="300"/>
        <v>Qty</v>
      </c>
      <c r="BJ268" s="2286" t="str">
        <f t="shared" si="300"/>
        <v>[Service]</v>
      </c>
      <c r="BK268" s="2287" t="str">
        <f t="shared" si="300"/>
        <v>[Price]</v>
      </c>
      <c r="BL268" s="2288" t="str">
        <f t="shared" ref="BL268:BZ268" si="402">IF(OR(X268="",X268=0),"-",IFERROR((X268/W268-1)*(W269/W$13),"-"))</f>
        <v>-</v>
      </c>
      <c r="BM268" s="1720" t="str">
        <f t="shared" si="402"/>
        <v>-</v>
      </c>
      <c r="BN268" s="1720" t="str">
        <f t="shared" si="402"/>
        <v>-</v>
      </c>
      <c r="BO268" s="2289" t="str">
        <f t="shared" si="402"/>
        <v>-</v>
      </c>
      <c r="BP268" s="1720" t="str">
        <f t="shared" si="402"/>
        <v>-</v>
      </c>
      <c r="BQ268" s="2290" t="str">
        <f t="shared" si="402"/>
        <v>-</v>
      </c>
      <c r="BR268" s="1720" t="str">
        <f t="shared" si="402"/>
        <v>-</v>
      </c>
      <c r="BS268" s="1720" t="str">
        <f t="shared" si="402"/>
        <v>-</v>
      </c>
      <c r="BT268" s="1720" t="str">
        <f t="shared" si="402"/>
        <v>-</v>
      </c>
      <c r="BU268" s="1721" t="str">
        <f t="shared" si="402"/>
        <v>-</v>
      </c>
      <c r="BV268" s="1720" t="str">
        <f t="shared" si="402"/>
        <v>-</v>
      </c>
      <c r="BW268" s="1720" t="str">
        <f t="shared" si="402"/>
        <v>-</v>
      </c>
      <c r="BX268" s="1720" t="str">
        <f t="shared" si="402"/>
        <v>-</v>
      </c>
      <c r="BY268" s="1720" t="str">
        <f t="shared" si="402"/>
        <v>-</v>
      </c>
      <c r="BZ268" s="1721" t="str">
        <f t="shared" si="402"/>
        <v>-</v>
      </c>
      <c r="CA268" s="1048"/>
    </row>
    <row r="269" spans="3:79" ht="12.5" thickBot="1" x14ac:dyDescent="0.35">
      <c r="C269" s="126"/>
      <c r="D269" s="126"/>
      <c r="E269" s="559" t="s">
        <v>47</v>
      </c>
      <c r="F269" s="2162" t="str">
        <f t="shared" ref="F269:I269" si="403">+F267</f>
        <v>[Service]</v>
      </c>
      <c r="G269" s="2165">
        <f t="shared" si="403"/>
        <v>0</v>
      </c>
      <c r="H269" s="2165">
        <f t="shared" si="403"/>
        <v>0</v>
      </c>
      <c r="I269" s="2166" t="str">
        <f t="shared" si="403"/>
        <v>[Price]</v>
      </c>
      <c r="J269" s="2106" t="s">
        <v>347</v>
      </c>
      <c r="K269" s="1977"/>
      <c r="L269" s="1206"/>
      <c r="M269" s="1206"/>
      <c r="N269" s="1978"/>
      <c r="O269" s="1206"/>
      <c r="P269" s="1206"/>
      <c r="Q269" s="1206"/>
      <c r="R269" s="1206"/>
      <c r="S269" s="1978"/>
      <c r="T269" s="1206"/>
      <c r="U269" s="1206"/>
      <c r="V269" s="1206"/>
      <c r="W269" s="1731">
        <f t="shared" ref="W269:AG269" si="404">W267*W268/10^6</f>
        <v>0</v>
      </c>
      <c r="X269" s="1730">
        <f t="shared" si="404"/>
        <v>0</v>
      </c>
      <c r="Y269" s="1731">
        <f t="shared" si="404"/>
        <v>0</v>
      </c>
      <c r="Z269" s="1731">
        <f t="shared" si="404"/>
        <v>0</v>
      </c>
      <c r="AA269" s="1731">
        <f t="shared" si="404"/>
        <v>0</v>
      </c>
      <c r="AB269" s="1733">
        <f t="shared" si="404"/>
        <v>0</v>
      </c>
      <c r="AC269" s="1731">
        <f t="shared" si="404"/>
        <v>0</v>
      </c>
      <c r="AD269" s="1731">
        <f t="shared" si="404"/>
        <v>0</v>
      </c>
      <c r="AE269" s="1731">
        <f t="shared" si="404"/>
        <v>0</v>
      </c>
      <c r="AF269" s="1731">
        <f t="shared" si="404"/>
        <v>0</v>
      </c>
      <c r="AG269" s="1733">
        <f t="shared" si="404"/>
        <v>0</v>
      </c>
      <c r="AH269" s="1731">
        <f>AH267*AH268/10^6</f>
        <v>0</v>
      </c>
      <c r="AI269" s="1731">
        <f>AI267*AI268/10^6</f>
        <v>0</v>
      </c>
      <c r="AJ269" s="1731">
        <f>AJ267*AJ268/10^6</f>
        <v>0</v>
      </c>
      <c r="AK269" s="1731">
        <f>AK267*AK268/10^6</f>
        <v>0</v>
      </c>
      <c r="AL269" s="1733">
        <f>AL267*AL268/10^6</f>
        <v>0</v>
      </c>
      <c r="AM269" s="560"/>
      <c r="AN269" s="991"/>
      <c r="AO269" s="992"/>
      <c r="AP269" s="2304" t="str">
        <f t="shared" si="388"/>
        <v>Rev</v>
      </c>
      <c r="AQ269" s="2305" t="str">
        <f t="shared" si="388"/>
        <v>[Service]</v>
      </c>
      <c r="AR269" s="2306" t="str">
        <f t="shared" si="389"/>
        <v>[Price]</v>
      </c>
      <c r="AS269" s="2307" t="str">
        <f t="shared" si="378"/>
        <v>-</v>
      </c>
      <c r="AT269" s="1055" t="str">
        <f t="shared" si="378"/>
        <v>-</v>
      </c>
      <c r="AU269" s="1055" t="str">
        <f t="shared" si="378"/>
        <v>-</v>
      </c>
      <c r="AV269" s="2308" t="str">
        <f t="shared" si="378"/>
        <v>-</v>
      </c>
      <c r="AW269" s="1055" t="str">
        <f t="shared" si="378"/>
        <v>-</v>
      </c>
      <c r="AX269" s="2309" t="str">
        <f t="shared" si="378"/>
        <v>-</v>
      </c>
      <c r="AY269" s="1055" t="str">
        <f t="shared" si="378"/>
        <v>-</v>
      </c>
      <c r="AZ269" s="1055" t="str">
        <f t="shared" si="378"/>
        <v>-</v>
      </c>
      <c r="BA269" s="1055" t="str">
        <f t="shared" si="378"/>
        <v>-</v>
      </c>
      <c r="BB269" s="1056" t="str">
        <f t="shared" si="378"/>
        <v>-</v>
      </c>
      <c r="BC269" s="1055" t="str">
        <f t="shared" si="378"/>
        <v>-</v>
      </c>
      <c r="BD269" s="1055" t="str">
        <f t="shared" si="378"/>
        <v>-</v>
      </c>
      <c r="BE269" s="1055" t="str">
        <f t="shared" si="378"/>
        <v>-</v>
      </c>
      <c r="BF269" s="1055" t="str">
        <f t="shared" si="378"/>
        <v>-</v>
      </c>
      <c r="BG269" s="1056" t="str">
        <f t="shared" si="378"/>
        <v>-</v>
      </c>
      <c r="BH269" s="1048"/>
      <c r="BI269" s="2304" t="str">
        <f t="shared" si="300"/>
        <v>Rev</v>
      </c>
      <c r="BJ269" s="2305" t="str">
        <f t="shared" si="300"/>
        <v>[Service]</v>
      </c>
      <c r="BK269" s="2306" t="str">
        <f t="shared" si="300"/>
        <v>[Price]</v>
      </c>
      <c r="BL269" s="2307" t="str">
        <f t="shared" ref="BL269:BZ269" si="405">IF(OR(X269="",X269=0),"-",IFERROR((X269/W269-1)*(W269/W$13),"-"))</f>
        <v>-</v>
      </c>
      <c r="BM269" s="1055" t="str">
        <f t="shared" si="405"/>
        <v>-</v>
      </c>
      <c r="BN269" s="1055" t="str">
        <f t="shared" si="405"/>
        <v>-</v>
      </c>
      <c r="BO269" s="2308" t="str">
        <f t="shared" si="405"/>
        <v>-</v>
      </c>
      <c r="BP269" s="1055" t="str">
        <f t="shared" si="405"/>
        <v>-</v>
      </c>
      <c r="BQ269" s="2309" t="str">
        <f t="shared" si="405"/>
        <v>-</v>
      </c>
      <c r="BR269" s="1055" t="str">
        <f t="shared" si="405"/>
        <v>-</v>
      </c>
      <c r="BS269" s="1055" t="str">
        <f t="shared" si="405"/>
        <v>-</v>
      </c>
      <c r="BT269" s="1055" t="str">
        <f t="shared" si="405"/>
        <v>-</v>
      </c>
      <c r="BU269" s="1056" t="str">
        <f t="shared" si="405"/>
        <v>-</v>
      </c>
      <c r="BV269" s="1055" t="str">
        <f t="shared" si="405"/>
        <v>-</v>
      </c>
      <c r="BW269" s="1055" t="str">
        <f t="shared" si="405"/>
        <v>-</v>
      </c>
      <c r="BX269" s="1055" t="str">
        <f t="shared" si="405"/>
        <v>-</v>
      </c>
      <c r="BY269" s="1055" t="str">
        <f t="shared" si="405"/>
        <v>-</v>
      </c>
      <c r="BZ269" s="1056" t="str">
        <f t="shared" si="405"/>
        <v>-</v>
      </c>
      <c r="CA269" s="1048"/>
    </row>
    <row r="270" spans="3:79" x14ac:dyDescent="0.3">
      <c r="C270" s="126"/>
      <c r="D270" s="126">
        <f>D267+1</f>
        <v>68</v>
      </c>
      <c r="E270" s="553" t="s">
        <v>45</v>
      </c>
      <c r="F270" s="2105" t="s">
        <v>28</v>
      </c>
      <c r="G270" s="2105"/>
      <c r="H270" s="2105"/>
      <c r="I270" s="573" t="s">
        <v>319</v>
      </c>
      <c r="J270" s="573" t="s">
        <v>348</v>
      </c>
      <c r="K270" s="1969"/>
      <c r="L270" s="1970"/>
      <c r="M270" s="1970"/>
      <c r="N270" s="1971"/>
      <c r="O270" s="1970"/>
      <c r="P270" s="1970"/>
      <c r="Q270" s="1970"/>
      <c r="R270" s="1972"/>
      <c r="S270" s="1971"/>
      <c r="T270" s="1970"/>
      <c r="U270" s="1970"/>
      <c r="V270" s="1970"/>
      <c r="W270" s="575"/>
      <c r="X270" s="1238"/>
      <c r="Y270" s="575"/>
      <c r="Z270" s="575"/>
      <c r="AA270" s="575"/>
      <c r="AB270" s="1142"/>
      <c r="AC270" s="575"/>
      <c r="AD270" s="575"/>
      <c r="AE270" s="575"/>
      <c r="AF270" s="575"/>
      <c r="AG270" s="577"/>
      <c r="AH270" s="575"/>
      <c r="AI270" s="575"/>
      <c r="AJ270" s="575"/>
      <c r="AK270" s="575"/>
      <c r="AL270" s="577"/>
      <c r="AM270" s="560"/>
      <c r="AN270" s="1052"/>
      <c r="AO270" s="992"/>
      <c r="AP270" s="2297" t="str">
        <f t="shared" si="388"/>
        <v>Price</v>
      </c>
      <c r="AQ270" s="2298" t="str">
        <f t="shared" si="388"/>
        <v>[Service]</v>
      </c>
      <c r="AR270" s="1719" t="str">
        <f t="shared" si="389"/>
        <v>[Price]</v>
      </c>
      <c r="AS270" s="2299" t="str">
        <f t="shared" si="378"/>
        <v>-</v>
      </c>
      <c r="AT270" s="1728" t="str">
        <f t="shared" si="378"/>
        <v>-</v>
      </c>
      <c r="AU270" s="1728" t="str">
        <f t="shared" si="378"/>
        <v>-</v>
      </c>
      <c r="AV270" s="2300" t="str">
        <f t="shared" si="378"/>
        <v>-</v>
      </c>
      <c r="AW270" s="1728" t="str">
        <f t="shared" si="378"/>
        <v>-</v>
      </c>
      <c r="AX270" s="2301" t="str">
        <f t="shared" si="378"/>
        <v>-</v>
      </c>
      <c r="AY270" s="1728" t="str">
        <f t="shared" si="378"/>
        <v>-</v>
      </c>
      <c r="AZ270" s="1728" t="str">
        <f t="shared" si="378"/>
        <v>-</v>
      </c>
      <c r="BA270" s="1728" t="str">
        <f t="shared" si="378"/>
        <v>-</v>
      </c>
      <c r="BB270" s="1729" t="str">
        <f t="shared" si="378"/>
        <v>-</v>
      </c>
      <c r="BC270" s="1728" t="str">
        <f t="shared" si="378"/>
        <v>-</v>
      </c>
      <c r="BD270" s="1728" t="str">
        <f t="shared" si="378"/>
        <v>-</v>
      </c>
      <c r="BE270" s="1728" t="str">
        <f t="shared" si="378"/>
        <v>-</v>
      </c>
      <c r="BF270" s="1728" t="str">
        <f t="shared" si="378"/>
        <v>-</v>
      </c>
      <c r="BG270" s="1729" t="str">
        <f t="shared" si="378"/>
        <v>-</v>
      </c>
      <c r="BH270" s="1048"/>
      <c r="BI270" s="2297" t="str">
        <f t="shared" si="300"/>
        <v>Price</v>
      </c>
      <c r="BJ270" s="2298" t="str">
        <f t="shared" si="300"/>
        <v>[Service]</v>
      </c>
      <c r="BK270" s="1719" t="str">
        <f t="shared" si="300"/>
        <v>[Price]</v>
      </c>
      <c r="BL270" s="2299" t="str">
        <f t="shared" ref="BL270:BZ270" si="406">IF(OR(X270="",X270=0),"-",IFERROR((X270/W270-1)*(W272/W$13),"-"))</f>
        <v>-</v>
      </c>
      <c r="BM270" s="1053" t="str">
        <f t="shared" si="406"/>
        <v>-</v>
      </c>
      <c r="BN270" s="1053" t="str">
        <f t="shared" si="406"/>
        <v>-</v>
      </c>
      <c r="BO270" s="2302" t="str">
        <f t="shared" si="406"/>
        <v>-</v>
      </c>
      <c r="BP270" s="1053" t="str">
        <f t="shared" si="406"/>
        <v>-</v>
      </c>
      <c r="BQ270" s="2303" t="str">
        <f t="shared" si="406"/>
        <v>-</v>
      </c>
      <c r="BR270" s="1053" t="str">
        <f t="shared" si="406"/>
        <v>-</v>
      </c>
      <c r="BS270" s="1053" t="str">
        <f t="shared" si="406"/>
        <v>-</v>
      </c>
      <c r="BT270" s="1053" t="str">
        <f t="shared" si="406"/>
        <v>-</v>
      </c>
      <c r="BU270" s="1054" t="str">
        <f t="shared" si="406"/>
        <v>-</v>
      </c>
      <c r="BV270" s="1053" t="str">
        <f t="shared" si="406"/>
        <v>-</v>
      </c>
      <c r="BW270" s="1053" t="str">
        <f t="shared" si="406"/>
        <v>-</v>
      </c>
      <c r="BX270" s="1053" t="str">
        <f t="shared" si="406"/>
        <v>-</v>
      </c>
      <c r="BY270" s="1053" t="str">
        <f t="shared" si="406"/>
        <v>-</v>
      </c>
      <c r="BZ270" s="1054" t="str">
        <f t="shared" si="406"/>
        <v>-</v>
      </c>
      <c r="CA270" s="1048"/>
    </row>
    <row r="271" spans="3:79" x14ac:dyDescent="0.3">
      <c r="C271" s="126"/>
      <c r="D271" s="126"/>
      <c r="E271" s="558" t="s">
        <v>46</v>
      </c>
      <c r="F271" s="2161" t="str">
        <f t="shared" si="401"/>
        <v>[Service]</v>
      </c>
      <c r="G271" s="2163">
        <f t="shared" si="401"/>
        <v>0</v>
      </c>
      <c r="H271" s="2163">
        <f t="shared" si="401"/>
        <v>0</v>
      </c>
      <c r="I271" s="2164" t="str">
        <f t="shared" si="401"/>
        <v>[Price]</v>
      </c>
      <c r="J271" s="574" t="s">
        <v>323</v>
      </c>
      <c r="K271" s="1973"/>
      <c r="L271" s="1974"/>
      <c r="M271" s="1974"/>
      <c r="N271" s="1975"/>
      <c r="O271" s="1974"/>
      <c r="P271" s="1974"/>
      <c r="Q271" s="1974"/>
      <c r="R271" s="1976"/>
      <c r="S271" s="1975"/>
      <c r="T271" s="1974"/>
      <c r="U271" s="1974"/>
      <c r="V271" s="1974"/>
      <c r="W271" s="578"/>
      <c r="X271" s="1239"/>
      <c r="Y271" s="578"/>
      <c r="Z271" s="578"/>
      <c r="AA271" s="578"/>
      <c r="AB271" s="1143"/>
      <c r="AC271" s="578"/>
      <c r="AD271" s="578"/>
      <c r="AE271" s="578"/>
      <c r="AF271" s="578"/>
      <c r="AG271" s="580"/>
      <c r="AH271" s="578"/>
      <c r="AI271" s="578"/>
      <c r="AJ271" s="578"/>
      <c r="AK271" s="578"/>
      <c r="AL271" s="580"/>
      <c r="AM271" s="560"/>
      <c r="AN271" s="991"/>
      <c r="AO271" s="992"/>
      <c r="AP271" s="2285" t="str">
        <f t="shared" si="388"/>
        <v>Qty</v>
      </c>
      <c r="AQ271" s="2286" t="str">
        <f t="shared" si="388"/>
        <v>[Service]</v>
      </c>
      <c r="AR271" s="2287" t="str">
        <f t="shared" si="389"/>
        <v>[Price]</v>
      </c>
      <c r="AS271" s="2288" t="str">
        <f t="shared" si="378"/>
        <v>-</v>
      </c>
      <c r="AT271" s="1720" t="str">
        <f t="shared" si="378"/>
        <v>-</v>
      </c>
      <c r="AU271" s="1720" t="str">
        <f t="shared" si="378"/>
        <v>-</v>
      </c>
      <c r="AV271" s="2289" t="str">
        <f t="shared" si="378"/>
        <v>-</v>
      </c>
      <c r="AW271" s="1720" t="str">
        <f t="shared" si="378"/>
        <v>-</v>
      </c>
      <c r="AX271" s="2290" t="str">
        <f t="shared" si="378"/>
        <v>-</v>
      </c>
      <c r="AY271" s="1720" t="str">
        <f t="shared" si="378"/>
        <v>-</v>
      </c>
      <c r="AZ271" s="1720" t="str">
        <f t="shared" si="378"/>
        <v>-</v>
      </c>
      <c r="BA271" s="1720" t="str">
        <f t="shared" si="378"/>
        <v>-</v>
      </c>
      <c r="BB271" s="1721" t="str">
        <f t="shared" si="378"/>
        <v>-</v>
      </c>
      <c r="BC271" s="1720" t="str">
        <f t="shared" si="378"/>
        <v>-</v>
      </c>
      <c r="BD271" s="1720" t="str">
        <f t="shared" si="378"/>
        <v>-</v>
      </c>
      <c r="BE271" s="1720" t="str">
        <f t="shared" si="378"/>
        <v>-</v>
      </c>
      <c r="BF271" s="1720" t="str">
        <f t="shared" si="378"/>
        <v>-</v>
      </c>
      <c r="BG271" s="1721" t="str">
        <f t="shared" si="378"/>
        <v>-</v>
      </c>
      <c r="BH271" s="1048"/>
      <c r="BI271" s="2285" t="str">
        <f t="shared" si="300"/>
        <v>Qty</v>
      </c>
      <c r="BJ271" s="2286" t="str">
        <f t="shared" si="300"/>
        <v>[Service]</v>
      </c>
      <c r="BK271" s="2287" t="str">
        <f t="shared" si="300"/>
        <v>[Price]</v>
      </c>
      <c r="BL271" s="2288" t="str">
        <f t="shared" ref="BL271:BZ271" si="407">IF(OR(X271="",X271=0),"-",IFERROR((X271/W271-1)*(W272/W$13),"-"))</f>
        <v>-</v>
      </c>
      <c r="BM271" s="1720" t="str">
        <f t="shared" si="407"/>
        <v>-</v>
      </c>
      <c r="BN271" s="1720" t="str">
        <f t="shared" si="407"/>
        <v>-</v>
      </c>
      <c r="BO271" s="2289" t="str">
        <f t="shared" si="407"/>
        <v>-</v>
      </c>
      <c r="BP271" s="1720" t="str">
        <f t="shared" si="407"/>
        <v>-</v>
      </c>
      <c r="BQ271" s="2290" t="str">
        <f t="shared" si="407"/>
        <v>-</v>
      </c>
      <c r="BR271" s="1720" t="str">
        <f t="shared" si="407"/>
        <v>-</v>
      </c>
      <c r="BS271" s="1720" t="str">
        <f t="shared" si="407"/>
        <v>-</v>
      </c>
      <c r="BT271" s="1720" t="str">
        <f t="shared" si="407"/>
        <v>-</v>
      </c>
      <c r="BU271" s="1721" t="str">
        <f t="shared" si="407"/>
        <v>-</v>
      </c>
      <c r="BV271" s="1720" t="str">
        <f t="shared" si="407"/>
        <v>-</v>
      </c>
      <c r="BW271" s="1720" t="str">
        <f t="shared" si="407"/>
        <v>-</v>
      </c>
      <c r="BX271" s="1720" t="str">
        <f t="shared" si="407"/>
        <v>-</v>
      </c>
      <c r="BY271" s="1720" t="str">
        <f t="shared" si="407"/>
        <v>-</v>
      </c>
      <c r="BZ271" s="1721" t="str">
        <f t="shared" si="407"/>
        <v>-</v>
      </c>
      <c r="CA271" s="1048"/>
    </row>
    <row r="272" spans="3:79" ht="12.5" thickBot="1" x14ac:dyDescent="0.35">
      <c r="C272" s="126"/>
      <c r="D272" s="126"/>
      <c r="E272" s="559" t="s">
        <v>47</v>
      </c>
      <c r="F272" s="2162" t="str">
        <f t="shared" ref="F272:I272" si="408">+F270</f>
        <v>[Service]</v>
      </c>
      <c r="G272" s="2165">
        <f t="shared" si="408"/>
        <v>0</v>
      </c>
      <c r="H272" s="2165">
        <f t="shared" si="408"/>
        <v>0</v>
      </c>
      <c r="I272" s="2166" t="str">
        <f t="shared" si="408"/>
        <v>[Price]</v>
      </c>
      <c r="J272" s="2106" t="s">
        <v>347</v>
      </c>
      <c r="K272" s="1977"/>
      <c r="L272" s="1206"/>
      <c r="M272" s="1206"/>
      <c r="N272" s="1978"/>
      <c r="O272" s="1206"/>
      <c r="P272" s="1206"/>
      <c r="Q272" s="1206"/>
      <c r="R272" s="1206"/>
      <c r="S272" s="1978"/>
      <c r="T272" s="1206"/>
      <c r="U272" s="1206"/>
      <c r="V272" s="1206"/>
      <c r="W272" s="1731">
        <f t="shared" ref="W272:AG272" si="409">W270*W271/10^6</f>
        <v>0</v>
      </c>
      <c r="X272" s="1730">
        <f t="shared" si="409"/>
        <v>0</v>
      </c>
      <c r="Y272" s="1731">
        <f t="shared" si="409"/>
        <v>0</v>
      </c>
      <c r="Z272" s="1731">
        <f t="shared" si="409"/>
        <v>0</v>
      </c>
      <c r="AA272" s="1731">
        <f t="shared" si="409"/>
        <v>0</v>
      </c>
      <c r="AB272" s="1733">
        <f t="shared" si="409"/>
        <v>0</v>
      </c>
      <c r="AC272" s="1731">
        <f t="shared" si="409"/>
        <v>0</v>
      </c>
      <c r="AD272" s="1731">
        <f t="shared" si="409"/>
        <v>0</v>
      </c>
      <c r="AE272" s="1731">
        <f t="shared" si="409"/>
        <v>0</v>
      </c>
      <c r="AF272" s="1731">
        <f t="shared" si="409"/>
        <v>0</v>
      </c>
      <c r="AG272" s="1733">
        <f t="shared" si="409"/>
        <v>0</v>
      </c>
      <c r="AH272" s="1731">
        <f>AH270*AH271/10^6</f>
        <v>0</v>
      </c>
      <c r="AI272" s="1731">
        <f>AI270*AI271/10^6</f>
        <v>0</v>
      </c>
      <c r="AJ272" s="1731">
        <f>AJ270*AJ271/10^6</f>
        <v>0</v>
      </c>
      <c r="AK272" s="1731">
        <f>AK270*AK271/10^6</f>
        <v>0</v>
      </c>
      <c r="AL272" s="1733">
        <f>AL270*AL271/10^6</f>
        <v>0</v>
      </c>
      <c r="AM272" s="560"/>
      <c r="AN272" s="991"/>
      <c r="AO272" s="992"/>
      <c r="AP272" s="2304" t="str">
        <f t="shared" si="388"/>
        <v>Rev</v>
      </c>
      <c r="AQ272" s="2305" t="str">
        <f t="shared" si="388"/>
        <v>[Service]</v>
      </c>
      <c r="AR272" s="2306" t="str">
        <f t="shared" si="389"/>
        <v>[Price]</v>
      </c>
      <c r="AS272" s="2307" t="str">
        <f t="shared" si="378"/>
        <v>-</v>
      </c>
      <c r="AT272" s="1055" t="str">
        <f t="shared" si="378"/>
        <v>-</v>
      </c>
      <c r="AU272" s="1055" t="str">
        <f t="shared" si="378"/>
        <v>-</v>
      </c>
      <c r="AV272" s="2308" t="str">
        <f t="shared" si="378"/>
        <v>-</v>
      </c>
      <c r="AW272" s="1055" t="str">
        <f t="shared" si="378"/>
        <v>-</v>
      </c>
      <c r="AX272" s="2309" t="str">
        <f t="shared" si="378"/>
        <v>-</v>
      </c>
      <c r="AY272" s="1055" t="str">
        <f t="shared" si="378"/>
        <v>-</v>
      </c>
      <c r="AZ272" s="1055" t="str">
        <f t="shared" si="378"/>
        <v>-</v>
      </c>
      <c r="BA272" s="1055" t="str">
        <f t="shared" si="378"/>
        <v>-</v>
      </c>
      <c r="BB272" s="1056" t="str">
        <f t="shared" si="378"/>
        <v>-</v>
      </c>
      <c r="BC272" s="1055" t="str">
        <f t="shared" si="378"/>
        <v>-</v>
      </c>
      <c r="BD272" s="1055" t="str">
        <f t="shared" si="378"/>
        <v>-</v>
      </c>
      <c r="BE272" s="1055" t="str">
        <f t="shared" si="378"/>
        <v>-</v>
      </c>
      <c r="BF272" s="1055" t="str">
        <f t="shared" si="378"/>
        <v>-</v>
      </c>
      <c r="BG272" s="1056" t="str">
        <f t="shared" si="378"/>
        <v>-</v>
      </c>
      <c r="BH272" s="1048"/>
      <c r="BI272" s="2304" t="str">
        <f t="shared" si="300"/>
        <v>Rev</v>
      </c>
      <c r="BJ272" s="2305" t="str">
        <f t="shared" si="300"/>
        <v>[Service]</v>
      </c>
      <c r="BK272" s="2306" t="str">
        <f t="shared" si="300"/>
        <v>[Price]</v>
      </c>
      <c r="BL272" s="2307" t="str">
        <f t="shared" ref="BL272:BZ272" si="410">IF(OR(X272="",X272=0),"-",IFERROR((X272/W272-1)*(W272/W$13),"-"))</f>
        <v>-</v>
      </c>
      <c r="BM272" s="1055" t="str">
        <f t="shared" si="410"/>
        <v>-</v>
      </c>
      <c r="BN272" s="1055" t="str">
        <f t="shared" si="410"/>
        <v>-</v>
      </c>
      <c r="BO272" s="2308" t="str">
        <f t="shared" si="410"/>
        <v>-</v>
      </c>
      <c r="BP272" s="1055" t="str">
        <f t="shared" si="410"/>
        <v>-</v>
      </c>
      <c r="BQ272" s="2309" t="str">
        <f t="shared" si="410"/>
        <v>-</v>
      </c>
      <c r="BR272" s="1055" t="str">
        <f t="shared" si="410"/>
        <v>-</v>
      </c>
      <c r="BS272" s="1055" t="str">
        <f t="shared" si="410"/>
        <v>-</v>
      </c>
      <c r="BT272" s="1055" t="str">
        <f t="shared" si="410"/>
        <v>-</v>
      </c>
      <c r="BU272" s="1056" t="str">
        <f t="shared" si="410"/>
        <v>-</v>
      </c>
      <c r="BV272" s="1055" t="str">
        <f t="shared" si="410"/>
        <v>-</v>
      </c>
      <c r="BW272" s="1055" t="str">
        <f t="shared" si="410"/>
        <v>-</v>
      </c>
      <c r="BX272" s="1055" t="str">
        <f t="shared" si="410"/>
        <v>-</v>
      </c>
      <c r="BY272" s="1055" t="str">
        <f t="shared" si="410"/>
        <v>-</v>
      </c>
      <c r="BZ272" s="1056" t="str">
        <f t="shared" si="410"/>
        <v>-</v>
      </c>
      <c r="CA272" s="1048"/>
    </row>
    <row r="273" spans="3:79" x14ac:dyDescent="0.3">
      <c r="C273" s="126"/>
      <c r="D273" s="126">
        <f>D270+1</f>
        <v>69</v>
      </c>
      <c r="E273" s="553" t="s">
        <v>45</v>
      </c>
      <c r="F273" s="2105" t="s">
        <v>28</v>
      </c>
      <c r="G273" s="2105"/>
      <c r="H273" s="2105"/>
      <c r="I273" s="573" t="s">
        <v>319</v>
      </c>
      <c r="J273" s="573" t="s">
        <v>348</v>
      </c>
      <c r="K273" s="1969"/>
      <c r="L273" s="1970"/>
      <c r="M273" s="1970"/>
      <c r="N273" s="1971"/>
      <c r="O273" s="1970"/>
      <c r="P273" s="1970"/>
      <c r="Q273" s="1970"/>
      <c r="R273" s="1972"/>
      <c r="S273" s="1971"/>
      <c r="T273" s="1970"/>
      <c r="U273" s="1970"/>
      <c r="V273" s="1970"/>
      <c r="W273" s="575"/>
      <c r="X273" s="1238"/>
      <c r="Y273" s="575"/>
      <c r="Z273" s="575"/>
      <c r="AA273" s="575"/>
      <c r="AB273" s="1142"/>
      <c r="AC273" s="575"/>
      <c r="AD273" s="575"/>
      <c r="AE273" s="575"/>
      <c r="AF273" s="575"/>
      <c r="AG273" s="577"/>
      <c r="AH273" s="575"/>
      <c r="AI273" s="575"/>
      <c r="AJ273" s="575"/>
      <c r="AK273" s="575"/>
      <c r="AL273" s="577"/>
      <c r="AM273" s="560"/>
      <c r="AN273" s="1052"/>
      <c r="AO273" s="992"/>
      <c r="AP273" s="2297" t="str">
        <f t="shared" si="388"/>
        <v>Price</v>
      </c>
      <c r="AQ273" s="2298" t="str">
        <f t="shared" si="388"/>
        <v>[Service]</v>
      </c>
      <c r="AR273" s="1719" t="str">
        <f t="shared" si="389"/>
        <v>[Price]</v>
      </c>
      <c r="AS273" s="2299" t="str">
        <f t="shared" ref="AS273:BG289" si="411">IF(OR(X273="",X273=0),"-",IFERROR(X273/W273-1,"-"))</f>
        <v>-</v>
      </c>
      <c r="AT273" s="1728" t="str">
        <f t="shared" si="411"/>
        <v>-</v>
      </c>
      <c r="AU273" s="1728" t="str">
        <f t="shared" si="411"/>
        <v>-</v>
      </c>
      <c r="AV273" s="2300" t="str">
        <f t="shared" si="411"/>
        <v>-</v>
      </c>
      <c r="AW273" s="1728" t="str">
        <f t="shared" si="411"/>
        <v>-</v>
      </c>
      <c r="AX273" s="2301" t="str">
        <f t="shared" si="411"/>
        <v>-</v>
      </c>
      <c r="AY273" s="1728" t="str">
        <f t="shared" si="411"/>
        <v>-</v>
      </c>
      <c r="AZ273" s="1728" t="str">
        <f t="shared" si="411"/>
        <v>-</v>
      </c>
      <c r="BA273" s="1728" t="str">
        <f t="shared" si="411"/>
        <v>-</v>
      </c>
      <c r="BB273" s="1729" t="str">
        <f t="shared" si="411"/>
        <v>-</v>
      </c>
      <c r="BC273" s="1728" t="str">
        <f t="shared" si="411"/>
        <v>-</v>
      </c>
      <c r="BD273" s="1728" t="str">
        <f t="shared" si="411"/>
        <v>-</v>
      </c>
      <c r="BE273" s="1728" t="str">
        <f t="shared" si="411"/>
        <v>-</v>
      </c>
      <c r="BF273" s="1728" t="str">
        <f t="shared" si="411"/>
        <v>-</v>
      </c>
      <c r="BG273" s="1729" t="str">
        <f t="shared" si="411"/>
        <v>-</v>
      </c>
      <c r="BH273" s="1048"/>
      <c r="BI273" s="2297" t="str">
        <f t="shared" si="300"/>
        <v>Price</v>
      </c>
      <c r="BJ273" s="2298" t="str">
        <f t="shared" si="300"/>
        <v>[Service]</v>
      </c>
      <c r="BK273" s="1719" t="str">
        <f t="shared" si="300"/>
        <v>[Price]</v>
      </c>
      <c r="BL273" s="2299" t="str">
        <f t="shared" ref="BL273:BZ273" si="412">IF(OR(X273="",X273=0),"-",IFERROR((X273/W273-1)*(W275/W$13),"-"))</f>
        <v>-</v>
      </c>
      <c r="BM273" s="1053" t="str">
        <f t="shared" si="412"/>
        <v>-</v>
      </c>
      <c r="BN273" s="1053" t="str">
        <f t="shared" si="412"/>
        <v>-</v>
      </c>
      <c r="BO273" s="2302" t="str">
        <f t="shared" si="412"/>
        <v>-</v>
      </c>
      <c r="BP273" s="1053" t="str">
        <f t="shared" si="412"/>
        <v>-</v>
      </c>
      <c r="BQ273" s="2303" t="str">
        <f t="shared" si="412"/>
        <v>-</v>
      </c>
      <c r="BR273" s="1053" t="str">
        <f t="shared" si="412"/>
        <v>-</v>
      </c>
      <c r="BS273" s="1053" t="str">
        <f t="shared" si="412"/>
        <v>-</v>
      </c>
      <c r="BT273" s="1053" t="str">
        <f t="shared" si="412"/>
        <v>-</v>
      </c>
      <c r="BU273" s="1054" t="str">
        <f t="shared" si="412"/>
        <v>-</v>
      </c>
      <c r="BV273" s="1053" t="str">
        <f t="shared" si="412"/>
        <v>-</v>
      </c>
      <c r="BW273" s="1053" t="str">
        <f t="shared" si="412"/>
        <v>-</v>
      </c>
      <c r="BX273" s="1053" t="str">
        <f t="shared" si="412"/>
        <v>-</v>
      </c>
      <c r="BY273" s="1053" t="str">
        <f t="shared" si="412"/>
        <v>-</v>
      </c>
      <c r="BZ273" s="1054" t="str">
        <f t="shared" si="412"/>
        <v>-</v>
      </c>
      <c r="CA273" s="1048"/>
    </row>
    <row r="274" spans="3:79" x14ac:dyDescent="0.3">
      <c r="C274" s="126"/>
      <c r="D274" s="126"/>
      <c r="E274" s="558" t="s">
        <v>46</v>
      </c>
      <c r="F274" s="2161" t="str">
        <f t="shared" si="401"/>
        <v>[Service]</v>
      </c>
      <c r="G274" s="2163">
        <f t="shared" si="401"/>
        <v>0</v>
      </c>
      <c r="H274" s="2163">
        <f t="shared" si="401"/>
        <v>0</v>
      </c>
      <c r="I274" s="2164" t="str">
        <f t="shared" si="401"/>
        <v>[Price]</v>
      </c>
      <c r="J274" s="574" t="s">
        <v>323</v>
      </c>
      <c r="K274" s="1973"/>
      <c r="L274" s="1974"/>
      <c r="M274" s="1974"/>
      <c r="N274" s="1975"/>
      <c r="O274" s="1974"/>
      <c r="P274" s="1974"/>
      <c r="Q274" s="1974"/>
      <c r="R274" s="1976"/>
      <c r="S274" s="1975"/>
      <c r="T274" s="1974"/>
      <c r="U274" s="1974"/>
      <c r="V274" s="1974"/>
      <c r="W274" s="578"/>
      <c r="X274" s="1239"/>
      <c r="Y274" s="578"/>
      <c r="Z274" s="578"/>
      <c r="AA274" s="578"/>
      <c r="AB274" s="1143"/>
      <c r="AC274" s="578"/>
      <c r="AD274" s="578"/>
      <c r="AE274" s="578"/>
      <c r="AF274" s="578"/>
      <c r="AG274" s="580"/>
      <c r="AH274" s="578"/>
      <c r="AI274" s="578"/>
      <c r="AJ274" s="578"/>
      <c r="AK274" s="578"/>
      <c r="AL274" s="580"/>
      <c r="AM274" s="560"/>
      <c r="AN274" s="991"/>
      <c r="AO274" s="992"/>
      <c r="AP274" s="2285" t="str">
        <f t="shared" si="388"/>
        <v>Qty</v>
      </c>
      <c r="AQ274" s="2286" t="str">
        <f t="shared" si="388"/>
        <v>[Service]</v>
      </c>
      <c r="AR274" s="2287" t="str">
        <f t="shared" si="389"/>
        <v>[Price]</v>
      </c>
      <c r="AS274" s="2288" t="str">
        <f t="shared" si="411"/>
        <v>-</v>
      </c>
      <c r="AT274" s="1720" t="str">
        <f t="shared" si="411"/>
        <v>-</v>
      </c>
      <c r="AU274" s="1720" t="str">
        <f t="shared" si="411"/>
        <v>-</v>
      </c>
      <c r="AV274" s="2289" t="str">
        <f t="shared" si="411"/>
        <v>-</v>
      </c>
      <c r="AW274" s="1720" t="str">
        <f t="shared" si="411"/>
        <v>-</v>
      </c>
      <c r="AX274" s="2290" t="str">
        <f t="shared" si="411"/>
        <v>-</v>
      </c>
      <c r="AY274" s="1720" t="str">
        <f t="shared" si="411"/>
        <v>-</v>
      </c>
      <c r="AZ274" s="1720" t="str">
        <f t="shared" si="411"/>
        <v>-</v>
      </c>
      <c r="BA274" s="1720" t="str">
        <f t="shared" si="411"/>
        <v>-</v>
      </c>
      <c r="BB274" s="1721" t="str">
        <f t="shared" si="411"/>
        <v>-</v>
      </c>
      <c r="BC274" s="1720" t="str">
        <f t="shared" si="411"/>
        <v>-</v>
      </c>
      <c r="BD274" s="1720" t="str">
        <f t="shared" si="411"/>
        <v>-</v>
      </c>
      <c r="BE274" s="1720" t="str">
        <f t="shared" si="411"/>
        <v>-</v>
      </c>
      <c r="BF274" s="1720" t="str">
        <f t="shared" si="411"/>
        <v>-</v>
      </c>
      <c r="BG274" s="1721" t="str">
        <f t="shared" si="411"/>
        <v>-</v>
      </c>
      <c r="BH274" s="1048"/>
      <c r="BI274" s="2285" t="str">
        <f t="shared" si="300"/>
        <v>Qty</v>
      </c>
      <c r="BJ274" s="2286" t="str">
        <f t="shared" si="300"/>
        <v>[Service]</v>
      </c>
      <c r="BK274" s="2287" t="str">
        <f t="shared" si="300"/>
        <v>[Price]</v>
      </c>
      <c r="BL274" s="2288" t="str">
        <f t="shared" ref="BL274:BZ274" si="413">IF(OR(X274="",X274=0),"-",IFERROR((X274/W274-1)*(W275/W$13),"-"))</f>
        <v>-</v>
      </c>
      <c r="BM274" s="1720" t="str">
        <f t="shared" si="413"/>
        <v>-</v>
      </c>
      <c r="BN274" s="1720" t="str">
        <f t="shared" si="413"/>
        <v>-</v>
      </c>
      <c r="BO274" s="2289" t="str">
        <f t="shared" si="413"/>
        <v>-</v>
      </c>
      <c r="BP274" s="1720" t="str">
        <f t="shared" si="413"/>
        <v>-</v>
      </c>
      <c r="BQ274" s="2290" t="str">
        <f t="shared" si="413"/>
        <v>-</v>
      </c>
      <c r="BR274" s="1720" t="str">
        <f t="shared" si="413"/>
        <v>-</v>
      </c>
      <c r="BS274" s="1720" t="str">
        <f t="shared" si="413"/>
        <v>-</v>
      </c>
      <c r="BT274" s="1720" t="str">
        <f t="shared" si="413"/>
        <v>-</v>
      </c>
      <c r="BU274" s="1721" t="str">
        <f t="shared" si="413"/>
        <v>-</v>
      </c>
      <c r="BV274" s="1720" t="str">
        <f t="shared" si="413"/>
        <v>-</v>
      </c>
      <c r="BW274" s="1720" t="str">
        <f t="shared" si="413"/>
        <v>-</v>
      </c>
      <c r="BX274" s="1720" t="str">
        <f t="shared" si="413"/>
        <v>-</v>
      </c>
      <c r="BY274" s="1720" t="str">
        <f t="shared" si="413"/>
        <v>-</v>
      </c>
      <c r="BZ274" s="1721" t="str">
        <f t="shared" si="413"/>
        <v>-</v>
      </c>
      <c r="CA274" s="1048"/>
    </row>
    <row r="275" spans="3:79" ht="12.5" thickBot="1" x14ac:dyDescent="0.35">
      <c r="C275" s="126"/>
      <c r="D275" s="126"/>
      <c r="E275" s="559" t="s">
        <v>47</v>
      </c>
      <c r="F275" s="2162" t="str">
        <f t="shared" ref="F275:I275" si="414">+F273</f>
        <v>[Service]</v>
      </c>
      <c r="G275" s="2165">
        <f t="shared" si="414"/>
        <v>0</v>
      </c>
      <c r="H275" s="2165">
        <f t="shared" si="414"/>
        <v>0</v>
      </c>
      <c r="I275" s="2166" t="str">
        <f t="shared" si="414"/>
        <v>[Price]</v>
      </c>
      <c r="J275" s="2106" t="s">
        <v>347</v>
      </c>
      <c r="K275" s="1977"/>
      <c r="L275" s="1206"/>
      <c r="M275" s="1206"/>
      <c r="N275" s="1978"/>
      <c r="O275" s="1206"/>
      <c r="P275" s="1206"/>
      <c r="Q275" s="1206"/>
      <c r="R275" s="1206"/>
      <c r="S275" s="1978"/>
      <c r="T275" s="1206"/>
      <c r="U275" s="1206"/>
      <c r="V275" s="1206"/>
      <c r="W275" s="1731">
        <f t="shared" ref="W275:AG275" si="415">W273*W274/10^6</f>
        <v>0</v>
      </c>
      <c r="X275" s="1730">
        <f t="shared" si="415"/>
        <v>0</v>
      </c>
      <c r="Y275" s="1731">
        <f t="shared" si="415"/>
        <v>0</v>
      </c>
      <c r="Z275" s="1731">
        <f t="shared" si="415"/>
        <v>0</v>
      </c>
      <c r="AA275" s="1731">
        <f t="shared" si="415"/>
        <v>0</v>
      </c>
      <c r="AB275" s="1733">
        <f t="shared" si="415"/>
        <v>0</v>
      </c>
      <c r="AC275" s="1731">
        <f t="shared" si="415"/>
        <v>0</v>
      </c>
      <c r="AD275" s="1731">
        <f t="shared" si="415"/>
        <v>0</v>
      </c>
      <c r="AE275" s="1731">
        <f t="shared" si="415"/>
        <v>0</v>
      </c>
      <c r="AF275" s="1731">
        <f t="shared" si="415"/>
        <v>0</v>
      </c>
      <c r="AG275" s="1733">
        <f t="shared" si="415"/>
        <v>0</v>
      </c>
      <c r="AH275" s="1731">
        <f>AH273*AH274/10^6</f>
        <v>0</v>
      </c>
      <c r="AI275" s="1731">
        <f>AI273*AI274/10^6</f>
        <v>0</v>
      </c>
      <c r="AJ275" s="1731">
        <f>AJ273*AJ274/10^6</f>
        <v>0</v>
      </c>
      <c r="AK275" s="1731">
        <f>AK273*AK274/10^6</f>
        <v>0</v>
      </c>
      <c r="AL275" s="1733">
        <f>AL273*AL274/10^6</f>
        <v>0</v>
      </c>
      <c r="AM275" s="560"/>
      <c r="AN275" s="991"/>
      <c r="AO275" s="992"/>
      <c r="AP275" s="2304" t="str">
        <f t="shared" si="388"/>
        <v>Rev</v>
      </c>
      <c r="AQ275" s="2305" t="str">
        <f t="shared" si="388"/>
        <v>[Service]</v>
      </c>
      <c r="AR275" s="2306" t="str">
        <f t="shared" si="389"/>
        <v>[Price]</v>
      </c>
      <c r="AS275" s="2307" t="str">
        <f t="shared" si="411"/>
        <v>-</v>
      </c>
      <c r="AT275" s="1055" t="str">
        <f t="shared" si="411"/>
        <v>-</v>
      </c>
      <c r="AU275" s="1055" t="str">
        <f t="shared" si="411"/>
        <v>-</v>
      </c>
      <c r="AV275" s="2308" t="str">
        <f t="shared" si="411"/>
        <v>-</v>
      </c>
      <c r="AW275" s="1055" t="str">
        <f t="shared" si="411"/>
        <v>-</v>
      </c>
      <c r="AX275" s="2309" t="str">
        <f t="shared" si="411"/>
        <v>-</v>
      </c>
      <c r="AY275" s="1055" t="str">
        <f t="shared" si="411"/>
        <v>-</v>
      </c>
      <c r="AZ275" s="1055" t="str">
        <f t="shared" si="411"/>
        <v>-</v>
      </c>
      <c r="BA275" s="1055" t="str">
        <f t="shared" si="411"/>
        <v>-</v>
      </c>
      <c r="BB275" s="1056" t="str">
        <f t="shared" si="411"/>
        <v>-</v>
      </c>
      <c r="BC275" s="1055" t="str">
        <f t="shared" si="411"/>
        <v>-</v>
      </c>
      <c r="BD275" s="1055" t="str">
        <f t="shared" si="411"/>
        <v>-</v>
      </c>
      <c r="BE275" s="1055" t="str">
        <f t="shared" si="411"/>
        <v>-</v>
      </c>
      <c r="BF275" s="1055" t="str">
        <f t="shared" si="411"/>
        <v>-</v>
      </c>
      <c r="BG275" s="1056" t="str">
        <f t="shared" si="411"/>
        <v>-</v>
      </c>
      <c r="BH275" s="1048"/>
      <c r="BI275" s="2304" t="str">
        <f t="shared" si="300"/>
        <v>Rev</v>
      </c>
      <c r="BJ275" s="2305" t="str">
        <f t="shared" si="300"/>
        <v>[Service]</v>
      </c>
      <c r="BK275" s="2306" t="str">
        <f t="shared" si="300"/>
        <v>[Price]</v>
      </c>
      <c r="BL275" s="2307" t="str">
        <f t="shared" ref="BL275:BZ275" si="416">IF(OR(X275="",X275=0),"-",IFERROR((X275/W275-1)*(W275/W$13),"-"))</f>
        <v>-</v>
      </c>
      <c r="BM275" s="1055" t="str">
        <f t="shared" si="416"/>
        <v>-</v>
      </c>
      <c r="BN275" s="1055" t="str">
        <f t="shared" si="416"/>
        <v>-</v>
      </c>
      <c r="BO275" s="2308" t="str">
        <f t="shared" si="416"/>
        <v>-</v>
      </c>
      <c r="BP275" s="1055" t="str">
        <f t="shared" si="416"/>
        <v>-</v>
      </c>
      <c r="BQ275" s="2309" t="str">
        <f t="shared" si="416"/>
        <v>-</v>
      </c>
      <c r="BR275" s="1055" t="str">
        <f t="shared" si="416"/>
        <v>-</v>
      </c>
      <c r="BS275" s="1055" t="str">
        <f t="shared" si="416"/>
        <v>-</v>
      </c>
      <c r="BT275" s="1055" t="str">
        <f t="shared" si="416"/>
        <v>-</v>
      </c>
      <c r="BU275" s="1056" t="str">
        <f t="shared" si="416"/>
        <v>-</v>
      </c>
      <c r="BV275" s="1055" t="str">
        <f t="shared" si="416"/>
        <v>-</v>
      </c>
      <c r="BW275" s="1055" t="str">
        <f t="shared" si="416"/>
        <v>-</v>
      </c>
      <c r="BX275" s="1055" t="str">
        <f t="shared" si="416"/>
        <v>-</v>
      </c>
      <c r="BY275" s="1055" t="str">
        <f t="shared" si="416"/>
        <v>-</v>
      </c>
      <c r="BZ275" s="1056" t="str">
        <f t="shared" si="416"/>
        <v>-</v>
      </c>
      <c r="CA275" s="1048"/>
    </row>
    <row r="276" spans="3:79" x14ac:dyDescent="0.3">
      <c r="C276" s="126"/>
      <c r="D276" s="126">
        <f>D273+1</f>
        <v>70</v>
      </c>
      <c r="E276" s="553" t="s">
        <v>45</v>
      </c>
      <c r="F276" s="2105" t="s">
        <v>28</v>
      </c>
      <c r="G276" s="2105"/>
      <c r="H276" s="2105"/>
      <c r="I276" s="573" t="s">
        <v>319</v>
      </c>
      <c r="J276" s="573" t="s">
        <v>348</v>
      </c>
      <c r="K276" s="1969"/>
      <c r="L276" s="1970"/>
      <c r="M276" s="1970"/>
      <c r="N276" s="1971"/>
      <c r="O276" s="1970"/>
      <c r="P276" s="1970"/>
      <c r="Q276" s="1970"/>
      <c r="R276" s="1972"/>
      <c r="S276" s="1971"/>
      <c r="T276" s="1970"/>
      <c r="U276" s="1970"/>
      <c r="V276" s="1970"/>
      <c r="W276" s="575"/>
      <c r="X276" s="1238"/>
      <c r="Y276" s="575"/>
      <c r="Z276" s="575"/>
      <c r="AA276" s="575"/>
      <c r="AB276" s="1142"/>
      <c r="AC276" s="575"/>
      <c r="AD276" s="575"/>
      <c r="AE276" s="575"/>
      <c r="AF276" s="575"/>
      <c r="AG276" s="577"/>
      <c r="AH276" s="575"/>
      <c r="AI276" s="575"/>
      <c r="AJ276" s="575"/>
      <c r="AK276" s="575"/>
      <c r="AL276" s="577"/>
      <c r="AM276" s="560"/>
      <c r="AN276" s="1052"/>
      <c r="AO276" s="992"/>
      <c r="AP276" s="2297" t="str">
        <f t="shared" si="388"/>
        <v>Price</v>
      </c>
      <c r="AQ276" s="2298" t="str">
        <f t="shared" si="388"/>
        <v>[Service]</v>
      </c>
      <c r="AR276" s="1719" t="str">
        <f t="shared" si="389"/>
        <v>[Price]</v>
      </c>
      <c r="AS276" s="2299" t="str">
        <f t="shared" si="411"/>
        <v>-</v>
      </c>
      <c r="AT276" s="1728" t="str">
        <f t="shared" si="411"/>
        <v>-</v>
      </c>
      <c r="AU276" s="1728" t="str">
        <f t="shared" si="411"/>
        <v>-</v>
      </c>
      <c r="AV276" s="2300" t="str">
        <f t="shared" si="411"/>
        <v>-</v>
      </c>
      <c r="AW276" s="1728" t="str">
        <f t="shared" si="411"/>
        <v>-</v>
      </c>
      <c r="AX276" s="2301" t="str">
        <f t="shared" si="411"/>
        <v>-</v>
      </c>
      <c r="AY276" s="1728" t="str">
        <f t="shared" si="411"/>
        <v>-</v>
      </c>
      <c r="AZ276" s="1728" t="str">
        <f t="shared" si="411"/>
        <v>-</v>
      </c>
      <c r="BA276" s="1728" t="str">
        <f t="shared" si="411"/>
        <v>-</v>
      </c>
      <c r="BB276" s="1729" t="str">
        <f t="shared" si="411"/>
        <v>-</v>
      </c>
      <c r="BC276" s="1728" t="str">
        <f t="shared" si="411"/>
        <v>-</v>
      </c>
      <c r="BD276" s="1728" t="str">
        <f t="shared" si="411"/>
        <v>-</v>
      </c>
      <c r="BE276" s="1728" t="str">
        <f t="shared" si="411"/>
        <v>-</v>
      </c>
      <c r="BF276" s="1728" t="str">
        <f t="shared" si="411"/>
        <v>-</v>
      </c>
      <c r="BG276" s="1729" t="str">
        <f t="shared" si="411"/>
        <v>-</v>
      </c>
      <c r="BH276" s="1048"/>
      <c r="BI276" s="2297" t="str">
        <f t="shared" ref="BI276:BK339" si="417">AP276</f>
        <v>Price</v>
      </c>
      <c r="BJ276" s="2298" t="str">
        <f t="shared" si="417"/>
        <v>[Service]</v>
      </c>
      <c r="BK276" s="1719" t="str">
        <f t="shared" si="417"/>
        <v>[Price]</v>
      </c>
      <c r="BL276" s="2299" t="str">
        <f t="shared" ref="BL276:BZ276" si="418">IF(OR(X276="",X276=0),"-",IFERROR((X276/W276-1)*(W278/W$13),"-"))</f>
        <v>-</v>
      </c>
      <c r="BM276" s="1053" t="str">
        <f t="shared" si="418"/>
        <v>-</v>
      </c>
      <c r="BN276" s="1053" t="str">
        <f t="shared" si="418"/>
        <v>-</v>
      </c>
      <c r="BO276" s="2302" t="str">
        <f t="shared" si="418"/>
        <v>-</v>
      </c>
      <c r="BP276" s="1053" t="str">
        <f t="shared" si="418"/>
        <v>-</v>
      </c>
      <c r="BQ276" s="2303" t="str">
        <f t="shared" si="418"/>
        <v>-</v>
      </c>
      <c r="BR276" s="1053" t="str">
        <f t="shared" si="418"/>
        <v>-</v>
      </c>
      <c r="BS276" s="1053" t="str">
        <f t="shared" si="418"/>
        <v>-</v>
      </c>
      <c r="BT276" s="1053" t="str">
        <f t="shared" si="418"/>
        <v>-</v>
      </c>
      <c r="BU276" s="1054" t="str">
        <f t="shared" si="418"/>
        <v>-</v>
      </c>
      <c r="BV276" s="1053" t="str">
        <f t="shared" si="418"/>
        <v>-</v>
      </c>
      <c r="BW276" s="1053" t="str">
        <f t="shared" si="418"/>
        <v>-</v>
      </c>
      <c r="BX276" s="1053" t="str">
        <f t="shared" si="418"/>
        <v>-</v>
      </c>
      <c r="BY276" s="1053" t="str">
        <f t="shared" si="418"/>
        <v>-</v>
      </c>
      <c r="BZ276" s="1054" t="str">
        <f t="shared" si="418"/>
        <v>-</v>
      </c>
      <c r="CA276" s="1048"/>
    </row>
    <row r="277" spans="3:79" x14ac:dyDescent="0.3">
      <c r="C277" s="126"/>
      <c r="D277" s="126"/>
      <c r="E277" s="558" t="s">
        <v>46</v>
      </c>
      <c r="F277" s="2161" t="str">
        <f t="shared" si="401"/>
        <v>[Service]</v>
      </c>
      <c r="G277" s="2163">
        <f t="shared" si="401"/>
        <v>0</v>
      </c>
      <c r="H277" s="2163">
        <f t="shared" si="401"/>
        <v>0</v>
      </c>
      <c r="I277" s="2164" t="str">
        <f t="shared" si="401"/>
        <v>[Price]</v>
      </c>
      <c r="J277" s="574" t="s">
        <v>323</v>
      </c>
      <c r="K277" s="1973"/>
      <c r="L277" s="1974"/>
      <c r="M277" s="1974"/>
      <c r="N277" s="1975"/>
      <c r="O277" s="1974"/>
      <c r="P277" s="1974"/>
      <c r="Q277" s="1974"/>
      <c r="R277" s="1976"/>
      <c r="S277" s="1975"/>
      <c r="T277" s="1974"/>
      <c r="U277" s="1974"/>
      <c r="V277" s="1974"/>
      <c r="W277" s="578"/>
      <c r="X277" s="1239"/>
      <c r="Y277" s="578"/>
      <c r="Z277" s="578"/>
      <c r="AA277" s="578"/>
      <c r="AB277" s="1143"/>
      <c r="AC277" s="578"/>
      <c r="AD277" s="578"/>
      <c r="AE277" s="578"/>
      <c r="AF277" s="578"/>
      <c r="AG277" s="580"/>
      <c r="AH277" s="578"/>
      <c r="AI277" s="578"/>
      <c r="AJ277" s="578"/>
      <c r="AK277" s="578"/>
      <c r="AL277" s="580"/>
      <c r="AM277" s="560"/>
      <c r="AN277" s="991"/>
      <c r="AO277" s="992"/>
      <c r="AP277" s="2285" t="str">
        <f t="shared" si="388"/>
        <v>Qty</v>
      </c>
      <c r="AQ277" s="2286" t="str">
        <f t="shared" si="388"/>
        <v>[Service]</v>
      </c>
      <c r="AR277" s="2287" t="str">
        <f t="shared" si="389"/>
        <v>[Price]</v>
      </c>
      <c r="AS277" s="2288" t="str">
        <f t="shared" si="411"/>
        <v>-</v>
      </c>
      <c r="AT277" s="1720" t="str">
        <f t="shared" si="411"/>
        <v>-</v>
      </c>
      <c r="AU277" s="1720" t="str">
        <f t="shared" si="411"/>
        <v>-</v>
      </c>
      <c r="AV277" s="2289" t="str">
        <f t="shared" si="411"/>
        <v>-</v>
      </c>
      <c r="AW277" s="1720" t="str">
        <f t="shared" si="411"/>
        <v>-</v>
      </c>
      <c r="AX277" s="2290" t="str">
        <f t="shared" si="411"/>
        <v>-</v>
      </c>
      <c r="AY277" s="1720" t="str">
        <f t="shared" si="411"/>
        <v>-</v>
      </c>
      <c r="AZ277" s="1720" t="str">
        <f t="shared" si="411"/>
        <v>-</v>
      </c>
      <c r="BA277" s="1720" t="str">
        <f t="shared" si="411"/>
        <v>-</v>
      </c>
      <c r="BB277" s="1721" t="str">
        <f t="shared" si="411"/>
        <v>-</v>
      </c>
      <c r="BC277" s="1720" t="str">
        <f t="shared" si="411"/>
        <v>-</v>
      </c>
      <c r="BD277" s="1720" t="str">
        <f t="shared" si="411"/>
        <v>-</v>
      </c>
      <c r="BE277" s="1720" t="str">
        <f t="shared" si="411"/>
        <v>-</v>
      </c>
      <c r="BF277" s="1720" t="str">
        <f t="shared" si="411"/>
        <v>-</v>
      </c>
      <c r="BG277" s="1721" t="str">
        <f t="shared" si="411"/>
        <v>-</v>
      </c>
      <c r="BH277" s="1048"/>
      <c r="BI277" s="2285" t="str">
        <f t="shared" si="417"/>
        <v>Qty</v>
      </c>
      <c r="BJ277" s="2286" t="str">
        <f t="shared" si="417"/>
        <v>[Service]</v>
      </c>
      <c r="BK277" s="2287" t="str">
        <f t="shared" si="417"/>
        <v>[Price]</v>
      </c>
      <c r="BL277" s="2288" t="str">
        <f t="shared" ref="BL277:BZ277" si="419">IF(OR(X277="",X277=0),"-",IFERROR((X277/W277-1)*(W278/W$13),"-"))</f>
        <v>-</v>
      </c>
      <c r="BM277" s="1720" t="str">
        <f t="shared" si="419"/>
        <v>-</v>
      </c>
      <c r="BN277" s="1720" t="str">
        <f t="shared" si="419"/>
        <v>-</v>
      </c>
      <c r="BO277" s="2289" t="str">
        <f t="shared" si="419"/>
        <v>-</v>
      </c>
      <c r="BP277" s="1720" t="str">
        <f t="shared" si="419"/>
        <v>-</v>
      </c>
      <c r="BQ277" s="2290" t="str">
        <f t="shared" si="419"/>
        <v>-</v>
      </c>
      <c r="BR277" s="1720" t="str">
        <f t="shared" si="419"/>
        <v>-</v>
      </c>
      <c r="BS277" s="1720" t="str">
        <f t="shared" si="419"/>
        <v>-</v>
      </c>
      <c r="BT277" s="1720" t="str">
        <f t="shared" si="419"/>
        <v>-</v>
      </c>
      <c r="BU277" s="1721" t="str">
        <f t="shared" si="419"/>
        <v>-</v>
      </c>
      <c r="BV277" s="1720" t="str">
        <f t="shared" si="419"/>
        <v>-</v>
      </c>
      <c r="BW277" s="1720" t="str">
        <f t="shared" si="419"/>
        <v>-</v>
      </c>
      <c r="BX277" s="1720" t="str">
        <f t="shared" si="419"/>
        <v>-</v>
      </c>
      <c r="BY277" s="1720" t="str">
        <f t="shared" si="419"/>
        <v>-</v>
      </c>
      <c r="BZ277" s="1721" t="str">
        <f t="shared" si="419"/>
        <v>-</v>
      </c>
      <c r="CA277" s="1048"/>
    </row>
    <row r="278" spans="3:79" ht="12.5" thickBot="1" x14ac:dyDescent="0.35">
      <c r="C278" s="126"/>
      <c r="D278" s="126"/>
      <c r="E278" s="559" t="s">
        <v>47</v>
      </c>
      <c r="F278" s="2162" t="str">
        <f t="shared" ref="F278:I278" si="420">+F276</f>
        <v>[Service]</v>
      </c>
      <c r="G278" s="2165">
        <f t="shared" si="420"/>
        <v>0</v>
      </c>
      <c r="H278" s="2165">
        <f t="shared" si="420"/>
        <v>0</v>
      </c>
      <c r="I278" s="2166" t="str">
        <f t="shared" si="420"/>
        <v>[Price]</v>
      </c>
      <c r="J278" s="2106" t="s">
        <v>347</v>
      </c>
      <c r="K278" s="1977"/>
      <c r="L278" s="1206"/>
      <c r="M278" s="1206"/>
      <c r="N278" s="1978"/>
      <c r="O278" s="1206"/>
      <c r="P278" s="1206"/>
      <c r="Q278" s="1206"/>
      <c r="R278" s="1206"/>
      <c r="S278" s="1978"/>
      <c r="T278" s="1206"/>
      <c r="U278" s="1206"/>
      <c r="V278" s="1206"/>
      <c r="W278" s="1731">
        <f t="shared" ref="W278:AG278" si="421">W276*W277/10^6</f>
        <v>0</v>
      </c>
      <c r="X278" s="1730">
        <f t="shared" si="421"/>
        <v>0</v>
      </c>
      <c r="Y278" s="1612">
        <f t="shared" si="421"/>
        <v>0</v>
      </c>
      <c r="Z278" s="1731">
        <f t="shared" si="421"/>
        <v>0</v>
      </c>
      <c r="AA278" s="1731">
        <f t="shared" si="421"/>
        <v>0</v>
      </c>
      <c r="AB278" s="1733">
        <f t="shared" si="421"/>
        <v>0</v>
      </c>
      <c r="AC278" s="1731">
        <f t="shared" si="421"/>
        <v>0</v>
      </c>
      <c r="AD278" s="1731">
        <f t="shared" si="421"/>
        <v>0</v>
      </c>
      <c r="AE278" s="1731">
        <f t="shared" si="421"/>
        <v>0</v>
      </c>
      <c r="AF278" s="1731">
        <f t="shared" si="421"/>
        <v>0</v>
      </c>
      <c r="AG278" s="1733">
        <f t="shared" si="421"/>
        <v>0</v>
      </c>
      <c r="AH278" s="1731">
        <f>AH276*AH277/10^6</f>
        <v>0</v>
      </c>
      <c r="AI278" s="1731">
        <f>AI276*AI277/10^6</f>
        <v>0</v>
      </c>
      <c r="AJ278" s="1731">
        <f>AJ276*AJ277/10^6</f>
        <v>0</v>
      </c>
      <c r="AK278" s="1731">
        <f>AK276*AK277/10^6</f>
        <v>0</v>
      </c>
      <c r="AL278" s="1733">
        <f>AL276*AL277/10^6</f>
        <v>0</v>
      </c>
      <c r="AM278" s="560"/>
      <c r="AN278" s="991"/>
      <c r="AO278" s="992"/>
      <c r="AP278" s="2304" t="str">
        <f t="shared" si="388"/>
        <v>Rev</v>
      </c>
      <c r="AQ278" s="2305" t="str">
        <f t="shared" si="388"/>
        <v>[Service]</v>
      </c>
      <c r="AR278" s="2306" t="str">
        <f t="shared" si="389"/>
        <v>[Price]</v>
      </c>
      <c r="AS278" s="2307" t="str">
        <f t="shared" si="411"/>
        <v>-</v>
      </c>
      <c r="AT278" s="1055" t="str">
        <f t="shared" si="411"/>
        <v>-</v>
      </c>
      <c r="AU278" s="1055" t="str">
        <f t="shared" si="411"/>
        <v>-</v>
      </c>
      <c r="AV278" s="2308" t="str">
        <f t="shared" si="411"/>
        <v>-</v>
      </c>
      <c r="AW278" s="1055" t="str">
        <f t="shared" si="411"/>
        <v>-</v>
      </c>
      <c r="AX278" s="2309" t="str">
        <f t="shared" si="411"/>
        <v>-</v>
      </c>
      <c r="AY278" s="1055" t="str">
        <f t="shared" si="411"/>
        <v>-</v>
      </c>
      <c r="AZ278" s="1055" t="str">
        <f t="shared" si="411"/>
        <v>-</v>
      </c>
      <c r="BA278" s="1055" t="str">
        <f t="shared" si="411"/>
        <v>-</v>
      </c>
      <c r="BB278" s="1056" t="str">
        <f t="shared" si="411"/>
        <v>-</v>
      </c>
      <c r="BC278" s="1055" t="str">
        <f t="shared" si="411"/>
        <v>-</v>
      </c>
      <c r="BD278" s="1055" t="str">
        <f t="shared" si="411"/>
        <v>-</v>
      </c>
      <c r="BE278" s="1055" t="str">
        <f t="shared" si="411"/>
        <v>-</v>
      </c>
      <c r="BF278" s="1055" t="str">
        <f t="shared" si="411"/>
        <v>-</v>
      </c>
      <c r="BG278" s="1056" t="str">
        <f t="shared" si="411"/>
        <v>-</v>
      </c>
      <c r="BH278" s="1048"/>
      <c r="BI278" s="2304" t="str">
        <f t="shared" si="417"/>
        <v>Rev</v>
      </c>
      <c r="BJ278" s="2305" t="str">
        <f t="shared" si="417"/>
        <v>[Service]</v>
      </c>
      <c r="BK278" s="2306" t="str">
        <f t="shared" si="417"/>
        <v>[Price]</v>
      </c>
      <c r="BL278" s="2307" t="str">
        <f t="shared" ref="BL278:BZ278" si="422">IF(OR(X278="",X278=0),"-",IFERROR((X278/W278-1)*(W278/W$13),"-"))</f>
        <v>-</v>
      </c>
      <c r="BM278" s="1055" t="str">
        <f t="shared" si="422"/>
        <v>-</v>
      </c>
      <c r="BN278" s="1055" t="str">
        <f t="shared" si="422"/>
        <v>-</v>
      </c>
      <c r="BO278" s="2308" t="str">
        <f t="shared" si="422"/>
        <v>-</v>
      </c>
      <c r="BP278" s="1055" t="str">
        <f t="shared" si="422"/>
        <v>-</v>
      </c>
      <c r="BQ278" s="2309" t="str">
        <f t="shared" si="422"/>
        <v>-</v>
      </c>
      <c r="BR278" s="1055" t="str">
        <f t="shared" si="422"/>
        <v>-</v>
      </c>
      <c r="BS278" s="1055" t="str">
        <f t="shared" si="422"/>
        <v>-</v>
      </c>
      <c r="BT278" s="1055" t="str">
        <f t="shared" si="422"/>
        <v>-</v>
      </c>
      <c r="BU278" s="1056" t="str">
        <f t="shared" si="422"/>
        <v>-</v>
      </c>
      <c r="BV278" s="1055" t="str">
        <f t="shared" si="422"/>
        <v>-</v>
      </c>
      <c r="BW278" s="1055" t="str">
        <f t="shared" si="422"/>
        <v>-</v>
      </c>
      <c r="BX278" s="1055" t="str">
        <f t="shared" si="422"/>
        <v>-</v>
      </c>
      <c r="BY278" s="1055" t="str">
        <f t="shared" si="422"/>
        <v>-</v>
      </c>
      <c r="BZ278" s="1056" t="str">
        <f t="shared" si="422"/>
        <v>-</v>
      </c>
      <c r="CA278" s="1048"/>
    </row>
    <row r="279" spans="3:79" x14ac:dyDescent="0.3">
      <c r="C279" s="126"/>
      <c r="D279" s="126">
        <f>D276+1</f>
        <v>71</v>
      </c>
      <c r="E279" s="553" t="s">
        <v>45</v>
      </c>
      <c r="F279" s="2105" t="s">
        <v>28</v>
      </c>
      <c r="G279" s="2105"/>
      <c r="H279" s="2105"/>
      <c r="I279" s="573" t="s">
        <v>319</v>
      </c>
      <c r="J279" s="573" t="s">
        <v>348</v>
      </c>
      <c r="K279" s="1969"/>
      <c r="L279" s="1970"/>
      <c r="M279" s="1970"/>
      <c r="N279" s="1971"/>
      <c r="O279" s="1970"/>
      <c r="P279" s="1970"/>
      <c r="Q279" s="1970"/>
      <c r="R279" s="1972"/>
      <c r="S279" s="1971"/>
      <c r="T279" s="1970"/>
      <c r="U279" s="1970"/>
      <c r="V279" s="1970"/>
      <c r="W279" s="575"/>
      <c r="X279" s="1238"/>
      <c r="Y279" s="575"/>
      <c r="Z279" s="575"/>
      <c r="AA279" s="575"/>
      <c r="AB279" s="1142"/>
      <c r="AC279" s="575"/>
      <c r="AD279" s="575"/>
      <c r="AE279" s="575"/>
      <c r="AF279" s="575"/>
      <c r="AG279" s="577"/>
      <c r="AH279" s="575"/>
      <c r="AI279" s="575"/>
      <c r="AJ279" s="575"/>
      <c r="AK279" s="575"/>
      <c r="AL279" s="577"/>
      <c r="AM279" s="560"/>
      <c r="AN279" s="1052"/>
      <c r="AO279" s="992"/>
      <c r="AP279" s="2297" t="str">
        <f t="shared" si="388"/>
        <v>Price</v>
      </c>
      <c r="AQ279" s="2298" t="str">
        <f t="shared" si="388"/>
        <v>[Service]</v>
      </c>
      <c r="AR279" s="1719" t="str">
        <f t="shared" si="389"/>
        <v>[Price]</v>
      </c>
      <c r="AS279" s="2299" t="str">
        <f t="shared" si="411"/>
        <v>-</v>
      </c>
      <c r="AT279" s="1728" t="str">
        <f t="shared" si="411"/>
        <v>-</v>
      </c>
      <c r="AU279" s="1728" t="str">
        <f t="shared" si="411"/>
        <v>-</v>
      </c>
      <c r="AV279" s="2300" t="str">
        <f t="shared" si="411"/>
        <v>-</v>
      </c>
      <c r="AW279" s="1728" t="str">
        <f t="shared" si="411"/>
        <v>-</v>
      </c>
      <c r="AX279" s="2301" t="str">
        <f t="shared" si="411"/>
        <v>-</v>
      </c>
      <c r="AY279" s="1728" t="str">
        <f t="shared" si="411"/>
        <v>-</v>
      </c>
      <c r="AZ279" s="1728" t="str">
        <f t="shared" si="411"/>
        <v>-</v>
      </c>
      <c r="BA279" s="1728" t="str">
        <f t="shared" si="411"/>
        <v>-</v>
      </c>
      <c r="BB279" s="1729" t="str">
        <f t="shared" si="411"/>
        <v>-</v>
      </c>
      <c r="BC279" s="1728" t="str">
        <f t="shared" si="411"/>
        <v>-</v>
      </c>
      <c r="BD279" s="1728" t="str">
        <f t="shared" si="411"/>
        <v>-</v>
      </c>
      <c r="BE279" s="1728" t="str">
        <f t="shared" si="411"/>
        <v>-</v>
      </c>
      <c r="BF279" s="1728" t="str">
        <f t="shared" si="411"/>
        <v>-</v>
      </c>
      <c r="BG279" s="1729" t="str">
        <f t="shared" si="411"/>
        <v>-</v>
      </c>
      <c r="BH279" s="1048"/>
      <c r="BI279" s="2297" t="str">
        <f t="shared" si="417"/>
        <v>Price</v>
      </c>
      <c r="BJ279" s="2298" t="str">
        <f t="shared" si="417"/>
        <v>[Service]</v>
      </c>
      <c r="BK279" s="1719" t="str">
        <f t="shared" si="417"/>
        <v>[Price]</v>
      </c>
      <c r="BL279" s="2299" t="str">
        <f t="shared" ref="BL279:BZ279" si="423">IF(OR(X279="",X279=0),"-",IFERROR((X279/W279-1)*(W281/W$13),"-"))</f>
        <v>-</v>
      </c>
      <c r="BM279" s="1053" t="str">
        <f t="shared" si="423"/>
        <v>-</v>
      </c>
      <c r="BN279" s="1053" t="str">
        <f t="shared" si="423"/>
        <v>-</v>
      </c>
      <c r="BO279" s="2302" t="str">
        <f t="shared" si="423"/>
        <v>-</v>
      </c>
      <c r="BP279" s="1053" t="str">
        <f t="shared" si="423"/>
        <v>-</v>
      </c>
      <c r="BQ279" s="2303" t="str">
        <f t="shared" si="423"/>
        <v>-</v>
      </c>
      <c r="BR279" s="1053" t="str">
        <f t="shared" si="423"/>
        <v>-</v>
      </c>
      <c r="BS279" s="1053" t="str">
        <f t="shared" si="423"/>
        <v>-</v>
      </c>
      <c r="BT279" s="1053" t="str">
        <f t="shared" si="423"/>
        <v>-</v>
      </c>
      <c r="BU279" s="1054" t="str">
        <f t="shared" si="423"/>
        <v>-</v>
      </c>
      <c r="BV279" s="1053" t="str">
        <f t="shared" si="423"/>
        <v>-</v>
      </c>
      <c r="BW279" s="1053" t="str">
        <f t="shared" si="423"/>
        <v>-</v>
      </c>
      <c r="BX279" s="1053" t="str">
        <f t="shared" si="423"/>
        <v>-</v>
      </c>
      <c r="BY279" s="1053" t="str">
        <f t="shared" si="423"/>
        <v>-</v>
      </c>
      <c r="BZ279" s="1054" t="str">
        <f t="shared" si="423"/>
        <v>-</v>
      </c>
      <c r="CA279" s="1048"/>
    </row>
    <row r="280" spans="3:79" x14ac:dyDescent="0.3">
      <c r="C280" s="126"/>
      <c r="D280" s="126"/>
      <c r="E280" s="558" t="s">
        <v>46</v>
      </c>
      <c r="F280" s="2161" t="str">
        <f t="shared" si="401"/>
        <v>[Service]</v>
      </c>
      <c r="G280" s="2163">
        <f t="shared" si="401"/>
        <v>0</v>
      </c>
      <c r="H280" s="2163">
        <f t="shared" si="401"/>
        <v>0</v>
      </c>
      <c r="I280" s="2164" t="str">
        <f t="shared" si="401"/>
        <v>[Price]</v>
      </c>
      <c r="J280" s="574" t="s">
        <v>323</v>
      </c>
      <c r="K280" s="1973"/>
      <c r="L280" s="1974"/>
      <c r="M280" s="1974"/>
      <c r="N280" s="1975"/>
      <c r="O280" s="1974"/>
      <c r="P280" s="1974"/>
      <c r="Q280" s="1974"/>
      <c r="R280" s="1976"/>
      <c r="S280" s="1975"/>
      <c r="T280" s="1974"/>
      <c r="U280" s="1974"/>
      <c r="V280" s="1974"/>
      <c r="W280" s="578"/>
      <c r="X280" s="1239"/>
      <c r="Y280" s="578"/>
      <c r="Z280" s="578"/>
      <c r="AA280" s="578"/>
      <c r="AB280" s="1143"/>
      <c r="AC280" s="578"/>
      <c r="AD280" s="578"/>
      <c r="AE280" s="578"/>
      <c r="AF280" s="578"/>
      <c r="AG280" s="580"/>
      <c r="AH280" s="578"/>
      <c r="AI280" s="578"/>
      <c r="AJ280" s="578"/>
      <c r="AK280" s="578"/>
      <c r="AL280" s="580"/>
      <c r="AM280" s="560"/>
      <c r="AN280" s="991"/>
      <c r="AO280" s="992"/>
      <c r="AP280" s="2285" t="str">
        <f t="shared" si="388"/>
        <v>Qty</v>
      </c>
      <c r="AQ280" s="2286" t="str">
        <f t="shared" si="388"/>
        <v>[Service]</v>
      </c>
      <c r="AR280" s="2287" t="str">
        <f t="shared" si="389"/>
        <v>[Price]</v>
      </c>
      <c r="AS280" s="2288" t="str">
        <f t="shared" si="411"/>
        <v>-</v>
      </c>
      <c r="AT280" s="1720" t="str">
        <f t="shared" si="411"/>
        <v>-</v>
      </c>
      <c r="AU280" s="1720" t="str">
        <f t="shared" si="411"/>
        <v>-</v>
      </c>
      <c r="AV280" s="2289" t="str">
        <f t="shared" si="411"/>
        <v>-</v>
      </c>
      <c r="AW280" s="1720" t="str">
        <f t="shared" si="411"/>
        <v>-</v>
      </c>
      <c r="AX280" s="2290" t="str">
        <f t="shared" si="411"/>
        <v>-</v>
      </c>
      <c r="AY280" s="1720" t="str">
        <f t="shared" si="411"/>
        <v>-</v>
      </c>
      <c r="AZ280" s="1720" t="str">
        <f t="shared" si="411"/>
        <v>-</v>
      </c>
      <c r="BA280" s="1720" t="str">
        <f t="shared" si="411"/>
        <v>-</v>
      </c>
      <c r="BB280" s="1721" t="str">
        <f t="shared" si="411"/>
        <v>-</v>
      </c>
      <c r="BC280" s="1720" t="str">
        <f t="shared" si="411"/>
        <v>-</v>
      </c>
      <c r="BD280" s="1720" t="str">
        <f t="shared" si="411"/>
        <v>-</v>
      </c>
      <c r="BE280" s="1720" t="str">
        <f t="shared" si="411"/>
        <v>-</v>
      </c>
      <c r="BF280" s="1720" t="str">
        <f t="shared" si="411"/>
        <v>-</v>
      </c>
      <c r="BG280" s="1721" t="str">
        <f t="shared" si="411"/>
        <v>-</v>
      </c>
      <c r="BH280" s="1048"/>
      <c r="BI280" s="2285" t="str">
        <f t="shared" si="417"/>
        <v>Qty</v>
      </c>
      <c r="BJ280" s="2286" t="str">
        <f t="shared" si="417"/>
        <v>[Service]</v>
      </c>
      <c r="BK280" s="2287" t="str">
        <f t="shared" si="417"/>
        <v>[Price]</v>
      </c>
      <c r="BL280" s="2288" t="str">
        <f t="shared" ref="BL280:BZ280" si="424">IF(OR(X280="",X280=0),"-",IFERROR((X280/W280-1)*(W281/W$13),"-"))</f>
        <v>-</v>
      </c>
      <c r="BM280" s="1720" t="str">
        <f t="shared" si="424"/>
        <v>-</v>
      </c>
      <c r="BN280" s="1720" t="str">
        <f t="shared" si="424"/>
        <v>-</v>
      </c>
      <c r="BO280" s="2289" t="str">
        <f t="shared" si="424"/>
        <v>-</v>
      </c>
      <c r="BP280" s="1720" t="str">
        <f t="shared" si="424"/>
        <v>-</v>
      </c>
      <c r="BQ280" s="2290" t="str">
        <f t="shared" si="424"/>
        <v>-</v>
      </c>
      <c r="BR280" s="1720" t="str">
        <f t="shared" si="424"/>
        <v>-</v>
      </c>
      <c r="BS280" s="1720" t="str">
        <f t="shared" si="424"/>
        <v>-</v>
      </c>
      <c r="BT280" s="1720" t="str">
        <f t="shared" si="424"/>
        <v>-</v>
      </c>
      <c r="BU280" s="1721" t="str">
        <f t="shared" si="424"/>
        <v>-</v>
      </c>
      <c r="BV280" s="1720" t="str">
        <f t="shared" si="424"/>
        <v>-</v>
      </c>
      <c r="BW280" s="1720" t="str">
        <f t="shared" si="424"/>
        <v>-</v>
      </c>
      <c r="BX280" s="1720" t="str">
        <f t="shared" si="424"/>
        <v>-</v>
      </c>
      <c r="BY280" s="1720" t="str">
        <f t="shared" si="424"/>
        <v>-</v>
      </c>
      <c r="BZ280" s="1721" t="str">
        <f t="shared" si="424"/>
        <v>-</v>
      </c>
      <c r="CA280" s="1048"/>
    </row>
    <row r="281" spans="3:79" ht="12.5" thickBot="1" x14ac:dyDescent="0.35">
      <c r="C281" s="126"/>
      <c r="D281" s="126"/>
      <c r="E281" s="559" t="s">
        <v>47</v>
      </c>
      <c r="F281" s="2162" t="str">
        <f t="shared" ref="F281:I281" si="425">+F279</f>
        <v>[Service]</v>
      </c>
      <c r="G281" s="2165">
        <f t="shared" si="425"/>
        <v>0</v>
      </c>
      <c r="H281" s="2165">
        <f t="shared" si="425"/>
        <v>0</v>
      </c>
      <c r="I281" s="2166" t="str">
        <f t="shared" si="425"/>
        <v>[Price]</v>
      </c>
      <c r="J281" s="2106" t="s">
        <v>347</v>
      </c>
      <c r="K281" s="1977"/>
      <c r="L281" s="1206"/>
      <c r="M281" s="1206"/>
      <c r="N281" s="1978"/>
      <c r="O281" s="1206"/>
      <c r="P281" s="1206"/>
      <c r="Q281" s="1206"/>
      <c r="R281" s="1206"/>
      <c r="S281" s="1978"/>
      <c r="T281" s="1206"/>
      <c r="U281" s="1206"/>
      <c r="V281" s="1206"/>
      <c r="W281" s="1731">
        <f t="shared" ref="W281:AG281" si="426">W279*W280/10^6</f>
        <v>0</v>
      </c>
      <c r="X281" s="1730">
        <f t="shared" si="426"/>
        <v>0</v>
      </c>
      <c r="Y281" s="1731">
        <f t="shared" si="426"/>
        <v>0</v>
      </c>
      <c r="Z281" s="1731">
        <f t="shared" si="426"/>
        <v>0</v>
      </c>
      <c r="AA281" s="1731">
        <f t="shared" si="426"/>
        <v>0</v>
      </c>
      <c r="AB281" s="1733">
        <f t="shared" si="426"/>
        <v>0</v>
      </c>
      <c r="AC281" s="1731">
        <f t="shared" si="426"/>
        <v>0</v>
      </c>
      <c r="AD281" s="1731">
        <f t="shared" si="426"/>
        <v>0</v>
      </c>
      <c r="AE281" s="1731">
        <f t="shared" si="426"/>
        <v>0</v>
      </c>
      <c r="AF281" s="1731">
        <f t="shared" si="426"/>
        <v>0</v>
      </c>
      <c r="AG281" s="1733">
        <f t="shared" si="426"/>
        <v>0</v>
      </c>
      <c r="AH281" s="1731">
        <f>AH279*AH280/10^6</f>
        <v>0</v>
      </c>
      <c r="AI281" s="1731">
        <f>AI279*AI280/10^6</f>
        <v>0</v>
      </c>
      <c r="AJ281" s="1731">
        <f>AJ279*AJ280/10^6</f>
        <v>0</v>
      </c>
      <c r="AK281" s="1731">
        <f>AK279*AK280/10^6</f>
        <v>0</v>
      </c>
      <c r="AL281" s="1733">
        <f>AL279*AL280/10^6</f>
        <v>0</v>
      </c>
      <c r="AM281" s="560"/>
      <c r="AN281" s="991"/>
      <c r="AO281" s="992"/>
      <c r="AP281" s="2304" t="str">
        <f t="shared" si="388"/>
        <v>Rev</v>
      </c>
      <c r="AQ281" s="2305" t="str">
        <f t="shared" si="388"/>
        <v>[Service]</v>
      </c>
      <c r="AR281" s="2306" t="str">
        <f t="shared" si="389"/>
        <v>[Price]</v>
      </c>
      <c r="AS281" s="2307" t="str">
        <f t="shared" si="411"/>
        <v>-</v>
      </c>
      <c r="AT281" s="1055" t="str">
        <f t="shared" si="411"/>
        <v>-</v>
      </c>
      <c r="AU281" s="1055" t="str">
        <f t="shared" si="411"/>
        <v>-</v>
      </c>
      <c r="AV281" s="2308" t="str">
        <f t="shared" si="411"/>
        <v>-</v>
      </c>
      <c r="AW281" s="1055" t="str">
        <f t="shared" si="411"/>
        <v>-</v>
      </c>
      <c r="AX281" s="2309" t="str">
        <f t="shared" si="411"/>
        <v>-</v>
      </c>
      <c r="AY281" s="1055" t="str">
        <f t="shared" si="411"/>
        <v>-</v>
      </c>
      <c r="AZ281" s="1055" t="str">
        <f t="shared" si="411"/>
        <v>-</v>
      </c>
      <c r="BA281" s="1055" t="str">
        <f t="shared" si="411"/>
        <v>-</v>
      </c>
      <c r="BB281" s="1056" t="str">
        <f t="shared" si="411"/>
        <v>-</v>
      </c>
      <c r="BC281" s="1055" t="str">
        <f t="shared" si="411"/>
        <v>-</v>
      </c>
      <c r="BD281" s="1055" t="str">
        <f t="shared" si="411"/>
        <v>-</v>
      </c>
      <c r="BE281" s="1055" t="str">
        <f t="shared" si="411"/>
        <v>-</v>
      </c>
      <c r="BF281" s="1055" t="str">
        <f t="shared" si="411"/>
        <v>-</v>
      </c>
      <c r="BG281" s="1056" t="str">
        <f t="shared" si="411"/>
        <v>-</v>
      </c>
      <c r="BH281" s="1048"/>
      <c r="BI281" s="2304" t="str">
        <f t="shared" si="417"/>
        <v>Rev</v>
      </c>
      <c r="BJ281" s="2305" t="str">
        <f t="shared" si="417"/>
        <v>[Service]</v>
      </c>
      <c r="BK281" s="2306" t="str">
        <f t="shared" si="417"/>
        <v>[Price]</v>
      </c>
      <c r="BL281" s="2307" t="str">
        <f t="shared" ref="BL281:BZ281" si="427">IF(OR(X281="",X281=0),"-",IFERROR((X281/W281-1)*(W281/W$13),"-"))</f>
        <v>-</v>
      </c>
      <c r="BM281" s="1055" t="str">
        <f t="shared" si="427"/>
        <v>-</v>
      </c>
      <c r="BN281" s="1055" t="str">
        <f t="shared" si="427"/>
        <v>-</v>
      </c>
      <c r="BO281" s="2308" t="str">
        <f t="shared" si="427"/>
        <v>-</v>
      </c>
      <c r="BP281" s="1055" t="str">
        <f t="shared" si="427"/>
        <v>-</v>
      </c>
      <c r="BQ281" s="2309" t="str">
        <f t="shared" si="427"/>
        <v>-</v>
      </c>
      <c r="BR281" s="1055" t="str">
        <f t="shared" si="427"/>
        <v>-</v>
      </c>
      <c r="BS281" s="1055" t="str">
        <f t="shared" si="427"/>
        <v>-</v>
      </c>
      <c r="BT281" s="1055" t="str">
        <f t="shared" si="427"/>
        <v>-</v>
      </c>
      <c r="BU281" s="1056" t="str">
        <f t="shared" si="427"/>
        <v>-</v>
      </c>
      <c r="BV281" s="1055" t="str">
        <f t="shared" si="427"/>
        <v>-</v>
      </c>
      <c r="BW281" s="1055" t="str">
        <f t="shared" si="427"/>
        <v>-</v>
      </c>
      <c r="BX281" s="1055" t="str">
        <f t="shared" si="427"/>
        <v>-</v>
      </c>
      <c r="BY281" s="1055" t="str">
        <f t="shared" si="427"/>
        <v>-</v>
      </c>
      <c r="BZ281" s="1056" t="str">
        <f t="shared" si="427"/>
        <v>-</v>
      </c>
      <c r="CA281" s="1048"/>
    </row>
    <row r="282" spans="3:79" x14ac:dyDescent="0.3">
      <c r="C282" s="126"/>
      <c r="D282" s="126">
        <f>D279+1</f>
        <v>72</v>
      </c>
      <c r="E282" s="553" t="s">
        <v>45</v>
      </c>
      <c r="F282" s="2105" t="s">
        <v>28</v>
      </c>
      <c r="G282" s="2105"/>
      <c r="H282" s="2105"/>
      <c r="I282" s="573" t="s">
        <v>319</v>
      </c>
      <c r="J282" s="573" t="s">
        <v>348</v>
      </c>
      <c r="K282" s="1969"/>
      <c r="L282" s="1970"/>
      <c r="M282" s="1970"/>
      <c r="N282" s="1971"/>
      <c r="O282" s="1970"/>
      <c r="P282" s="1970"/>
      <c r="Q282" s="1970"/>
      <c r="R282" s="1972"/>
      <c r="S282" s="1971"/>
      <c r="T282" s="1970"/>
      <c r="U282" s="1970"/>
      <c r="V282" s="1970"/>
      <c r="W282" s="575"/>
      <c r="X282" s="1238"/>
      <c r="Y282" s="575"/>
      <c r="Z282" s="575"/>
      <c r="AA282" s="575"/>
      <c r="AB282" s="1142"/>
      <c r="AC282" s="575"/>
      <c r="AD282" s="575"/>
      <c r="AE282" s="575"/>
      <c r="AF282" s="575"/>
      <c r="AG282" s="577"/>
      <c r="AH282" s="575"/>
      <c r="AI282" s="575"/>
      <c r="AJ282" s="575"/>
      <c r="AK282" s="575"/>
      <c r="AL282" s="577"/>
      <c r="AM282" s="560"/>
      <c r="AN282" s="1052"/>
      <c r="AO282" s="992"/>
      <c r="AP282" s="2297" t="str">
        <f t="shared" si="388"/>
        <v>Price</v>
      </c>
      <c r="AQ282" s="2298" t="str">
        <f t="shared" si="388"/>
        <v>[Service]</v>
      </c>
      <c r="AR282" s="1719" t="str">
        <f t="shared" si="389"/>
        <v>[Price]</v>
      </c>
      <c r="AS282" s="2299" t="str">
        <f t="shared" si="411"/>
        <v>-</v>
      </c>
      <c r="AT282" s="1728" t="str">
        <f t="shared" si="411"/>
        <v>-</v>
      </c>
      <c r="AU282" s="1728" t="str">
        <f t="shared" si="411"/>
        <v>-</v>
      </c>
      <c r="AV282" s="2300" t="str">
        <f t="shared" si="411"/>
        <v>-</v>
      </c>
      <c r="AW282" s="1728" t="str">
        <f t="shared" si="411"/>
        <v>-</v>
      </c>
      <c r="AX282" s="2301" t="str">
        <f t="shared" si="411"/>
        <v>-</v>
      </c>
      <c r="AY282" s="1728" t="str">
        <f t="shared" si="411"/>
        <v>-</v>
      </c>
      <c r="AZ282" s="1728" t="str">
        <f t="shared" si="411"/>
        <v>-</v>
      </c>
      <c r="BA282" s="1728" t="str">
        <f t="shared" si="411"/>
        <v>-</v>
      </c>
      <c r="BB282" s="1729" t="str">
        <f t="shared" si="411"/>
        <v>-</v>
      </c>
      <c r="BC282" s="1728" t="str">
        <f t="shared" si="411"/>
        <v>-</v>
      </c>
      <c r="BD282" s="1728" t="str">
        <f t="shared" si="411"/>
        <v>-</v>
      </c>
      <c r="BE282" s="1728" t="str">
        <f t="shared" si="411"/>
        <v>-</v>
      </c>
      <c r="BF282" s="1728" t="str">
        <f t="shared" si="411"/>
        <v>-</v>
      </c>
      <c r="BG282" s="1729" t="str">
        <f t="shared" si="411"/>
        <v>-</v>
      </c>
      <c r="BH282" s="1048"/>
      <c r="BI282" s="2297" t="str">
        <f t="shared" si="417"/>
        <v>Price</v>
      </c>
      <c r="BJ282" s="2298" t="str">
        <f t="shared" si="417"/>
        <v>[Service]</v>
      </c>
      <c r="BK282" s="1719" t="str">
        <f t="shared" si="417"/>
        <v>[Price]</v>
      </c>
      <c r="BL282" s="2299" t="str">
        <f t="shared" ref="BL282:BZ282" si="428">IF(OR(X282="",X282=0),"-",IFERROR((X282/W282-1)*(W284/W$13),"-"))</f>
        <v>-</v>
      </c>
      <c r="BM282" s="1053" t="str">
        <f t="shared" si="428"/>
        <v>-</v>
      </c>
      <c r="BN282" s="1053" t="str">
        <f t="shared" si="428"/>
        <v>-</v>
      </c>
      <c r="BO282" s="2302" t="str">
        <f t="shared" si="428"/>
        <v>-</v>
      </c>
      <c r="BP282" s="1053" t="str">
        <f t="shared" si="428"/>
        <v>-</v>
      </c>
      <c r="BQ282" s="2303" t="str">
        <f t="shared" si="428"/>
        <v>-</v>
      </c>
      <c r="BR282" s="1053" t="str">
        <f t="shared" si="428"/>
        <v>-</v>
      </c>
      <c r="BS282" s="1053" t="str">
        <f t="shared" si="428"/>
        <v>-</v>
      </c>
      <c r="BT282" s="1053" t="str">
        <f t="shared" si="428"/>
        <v>-</v>
      </c>
      <c r="BU282" s="1054" t="str">
        <f t="shared" si="428"/>
        <v>-</v>
      </c>
      <c r="BV282" s="1053" t="str">
        <f t="shared" si="428"/>
        <v>-</v>
      </c>
      <c r="BW282" s="1053" t="str">
        <f t="shared" si="428"/>
        <v>-</v>
      </c>
      <c r="BX282" s="1053" t="str">
        <f t="shared" si="428"/>
        <v>-</v>
      </c>
      <c r="BY282" s="1053" t="str">
        <f t="shared" si="428"/>
        <v>-</v>
      </c>
      <c r="BZ282" s="1054" t="str">
        <f t="shared" si="428"/>
        <v>-</v>
      </c>
      <c r="CA282" s="1048"/>
    </row>
    <row r="283" spans="3:79" x14ac:dyDescent="0.3">
      <c r="C283" s="126"/>
      <c r="D283" s="126"/>
      <c r="E283" s="558" t="s">
        <v>46</v>
      </c>
      <c r="F283" s="2161" t="str">
        <f t="shared" si="401"/>
        <v>[Service]</v>
      </c>
      <c r="G283" s="2163">
        <f t="shared" si="401"/>
        <v>0</v>
      </c>
      <c r="H283" s="2163">
        <f t="shared" si="401"/>
        <v>0</v>
      </c>
      <c r="I283" s="2164" t="str">
        <f t="shared" si="401"/>
        <v>[Price]</v>
      </c>
      <c r="J283" s="574" t="s">
        <v>323</v>
      </c>
      <c r="K283" s="1973"/>
      <c r="L283" s="1974"/>
      <c r="M283" s="1974"/>
      <c r="N283" s="1975"/>
      <c r="O283" s="1974"/>
      <c r="P283" s="1974"/>
      <c r="Q283" s="1974"/>
      <c r="R283" s="1976"/>
      <c r="S283" s="1975"/>
      <c r="T283" s="1974"/>
      <c r="U283" s="1974"/>
      <c r="V283" s="1974"/>
      <c r="W283" s="578"/>
      <c r="X283" s="1239"/>
      <c r="Y283" s="578"/>
      <c r="Z283" s="578"/>
      <c r="AA283" s="578"/>
      <c r="AB283" s="1143"/>
      <c r="AC283" s="578"/>
      <c r="AD283" s="578"/>
      <c r="AE283" s="578"/>
      <c r="AF283" s="578"/>
      <c r="AG283" s="580"/>
      <c r="AH283" s="578"/>
      <c r="AI283" s="578"/>
      <c r="AJ283" s="578"/>
      <c r="AK283" s="578"/>
      <c r="AL283" s="580"/>
      <c r="AM283" s="560"/>
      <c r="AN283" s="991"/>
      <c r="AO283" s="992"/>
      <c r="AP283" s="2285" t="str">
        <f t="shared" si="388"/>
        <v>Qty</v>
      </c>
      <c r="AQ283" s="2286" t="str">
        <f t="shared" si="388"/>
        <v>[Service]</v>
      </c>
      <c r="AR283" s="2287" t="str">
        <f t="shared" si="389"/>
        <v>[Price]</v>
      </c>
      <c r="AS283" s="2288" t="str">
        <f t="shared" si="411"/>
        <v>-</v>
      </c>
      <c r="AT283" s="1720" t="str">
        <f t="shared" si="411"/>
        <v>-</v>
      </c>
      <c r="AU283" s="1720" t="str">
        <f t="shared" si="411"/>
        <v>-</v>
      </c>
      <c r="AV283" s="2289" t="str">
        <f t="shared" si="411"/>
        <v>-</v>
      </c>
      <c r="AW283" s="1720" t="str">
        <f t="shared" si="411"/>
        <v>-</v>
      </c>
      <c r="AX283" s="2290" t="str">
        <f t="shared" si="411"/>
        <v>-</v>
      </c>
      <c r="AY283" s="1720" t="str">
        <f t="shared" si="411"/>
        <v>-</v>
      </c>
      <c r="AZ283" s="1720" t="str">
        <f t="shared" si="411"/>
        <v>-</v>
      </c>
      <c r="BA283" s="1720" t="str">
        <f t="shared" si="411"/>
        <v>-</v>
      </c>
      <c r="BB283" s="1721" t="str">
        <f t="shared" si="411"/>
        <v>-</v>
      </c>
      <c r="BC283" s="1720" t="str">
        <f t="shared" si="411"/>
        <v>-</v>
      </c>
      <c r="BD283" s="1720" t="str">
        <f t="shared" si="411"/>
        <v>-</v>
      </c>
      <c r="BE283" s="1720" t="str">
        <f t="shared" si="411"/>
        <v>-</v>
      </c>
      <c r="BF283" s="1720" t="str">
        <f t="shared" si="411"/>
        <v>-</v>
      </c>
      <c r="BG283" s="1721" t="str">
        <f t="shared" si="411"/>
        <v>-</v>
      </c>
      <c r="BH283" s="1048"/>
      <c r="BI283" s="2285" t="str">
        <f t="shared" si="417"/>
        <v>Qty</v>
      </c>
      <c r="BJ283" s="2286" t="str">
        <f t="shared" si="417"/>
        <v>[Service]</v>
      </c>
      <c r="BK283" s="2287" t="str">
        <f t="shared" si="417"/>
        <v>[Price]</v>
      </c>
      <c r="BL283" s="2288" t="str">
        <f t="shared" ref="BL283:BZ283" si="429">IF(OR(X283="",X283=0),"-",IFERROR((X283/W283-1)*(W284/W$13),"-"))</f>
        <v>-</v>
      </c>
      <c r="BM283" s="1720" t="str">
        <f t="shared" si="429"/>
        <v>-</v>
      </c>
      <c r="BN283" s="1720" t="str">
        <f t="shared" si="429"/>
        <v>-</v>
      </c>
      <c r="BO283" s="2289" t="str">
        <f t="shared" si="429"/>
        <v>-</v>
      </c>
      <c r="BP283" s="1720" t="str">
        <f t="shared" si="429"/>
        <v>-</v>
      </c>
      <c r="BQ283" s="2290" t="str">
        <f t="shared" si="429"/>
        <v>-</v>
      </c>
      <c r="BR283" s="1720" t="str">
        <f t="shared" si="429"/>
        <v>-</v>
      </c>
      <c r="BS283" s="1720" t="str">
        <f t="shared" si="429"/>
        <v>-</v>
      </c>
      <c r="BT283" s="1720" t="str">
        <f t="shared" si="429"/>
        <v>-</v>
      </c>
      <c r="BU283" s="1721" t="str">
        <f t="shared" si="429"/>
        <v>-</v>
      </c>
      <c r="BV283" s="1720" t="str">
        <f t="shared" si="429"/>
        <v>-</v>
      </c>
      <c r="BW283" s="1720" t="str">
        <f t="shared" si="429"/>
        <v>-</v>
      </c>
      <c r="BX283" s="1720" t="str">
        <f t="shared" si="429"/>
        <v>-</v>
      </c>
      <c r="BY283" s="1720" t="str">
        <f t="shared" si="429"/>
        <v>-</v>
      </c>
      <c r="BZ283" s="1721" t="str">
        <f t="shared" si="429"/>
        <v>-</v>
      </c>
      <c r="CA283" s="1048"/>
    </row>
    <row r="284" spans="3:79" ht="12.5" thickBot="1" x14ac:dyDescent="0.35">
      <c r="C284" s="126"/>
      <c r="D284" s="126"/>
      <c r="E284" s="559" t="s">
        <v>47</v>
      </c>
      <c r="F284" s="2162" t="str">
        <f t="shared" ref="F284:I284" si="430">+F282</f>
        <v>[Service]</v>
      </c>
      <c r="G284" s="2165">
        <f t="shared" si="430"/>
        <v>0</v>
      </c>
      <c r="H284" s="2165">
        <f t="shared" si="430"/>
        <v>0</v>
      </c>
      <c r="I284" s="2166" t="str">
        <f t="shared" si="430"/>
        <v>[Price]</v>
      </c>
      <c r="J284" s="2106" t="s">
        <v>347</v>
      </c>
      <c r="K284" s="1977"/>
      <c r="L284" s="1206"/>
      <c r="M284" s="1206"/>
      <c r="N284" s="1978"/>
      <c r="O284" s="1206"/>
      <c r="P284" s="1206"/>
      <c r="Q284" s="1206"/>
      <c r="R284" s="1206"/>
      <c r="S284" s="1978"/>
      <c r="T284" s="1206"/>
      <c r="U284" s="1206"/>
      <c r="V284" s="1206"/>
      <c r="W284" s="1731">
        <f t="shared" ref="W284:AG284" si="431">W282*W283/10^6</f>
        <v>0</v>
      </c>
      <c r="X284" s="1730">
        <f t="shared" si="431"/>
        <v>0</v>
      </c>
      <c r="Y284" s="1731">
        <f t="shared" si="431"/>
        <v>0</v>
      </c>
      <c r="Z284" s="1731">
        <f t="shared" si="431"/>
        <v>0</v>
      </c>
      <c r="AA284" s="1731">
        <f t="shared" si="431"/>
        <v>0</v>
      </c>
      <c r="AB284" s="1733">
        <f t="shared" si="431"/>
        <v>0</v>
      </c>
      <c r="AC284" s="1731">
        <f t="shared" si="431"/>
        <v>0</v>
      </c>
      <c r="AD284" s="1731">
        <f t="shared" si="431"/>
        <v>0</v>
      </c>
      <c r="AE284" s="1731">
        <f t="shared" si="431"/>
        <v>0</v>
      </c>
      <c r="AF284" s="1731">
        <f t="shared" si="431"/>
        <v>0</v>
      </c>
      <c r="AG284" s="1733">
        <f t="shared" si="431"/>
        <v>0</v>
      </c>
      <c r="AH284" s="1731">
        <f>AH282*AH283/10^6</f>
        <v>0</v>
      </c>
      <c r="AI284" s="1731">
        <f>AI282*AI283/10^6</f>
        <v>0</v>
      </c>
      <c r="AJ284" s="1731">
        <f>AJ282*AJ283/10^6</f>
        <v>0</v>
      </c>
      <c r="AK284" s="1731">
        <f>AK282*AK283/10^6</f>
        <v>0</v>
      </c>
      <c r="AL284" s="1733">
        <f>AL282*AL283/10^6</f>
        <v>0</v>
      </c>
      <c r="AM284" s="560"/>
      <c r="AN284" s="991"/>
      <c r="AO284" s="992"/>
      <c r="AP284" s="2304" t="str">
        <f t="shared" si="388"/>
        <v>Rev</v>
      </c>
      <c r="AQ284" s="2305" t="str">
        <f t="shared" si="388"/>
        <v>[Service]</v>
      </c>
      <c r="AR284" s="2306" t="str">
        <f t="shared" si="389"/>
        <v>[Price]</v>
      </c>
      <c r="AS284" s="2307" t="str">
        <f t="shared" si="411"/>
        <v>-</v>
      </c>
      <c r="AT284" s="1055" t="str">
        <f t="shared" si="411"/>
        <v>-</v>
      </c>
      <c r="AU284" s="1055" t="str">
        <f t="shared" si="411"/>
        <v>-</v>
      </c>
      <c r="AV284" s="2308" t="str">
        <f t="shared" si="411"/>
        <v>-</v>
      </c>
      <c r="AW284" s="1055" t="str">
        <f t="shared" si="411"/>
        <v>-</v>
      </c>
      <c r="AX284" s="2309" t="str">
        <f t="shared" si="411"/>
        <v>-</v>
      </c>
      <c r="AY284" s="1055" t="str">
        <f t="shared" si="411"/>
        <v>-</v>
      </c>
      <c r="AZ284" s="1055" t="str">
        <f t="shared" si="411"/>
        <v>-</v>
      </c>
      <c r="BA284" s="1055" t="str">
        <f t="shared" si="411"/>
        <v>-</v>
      </c>
      <c r="BB284" s="1056" t="str">
        <f t="shared" si="411"/>
        <v>-</v>
      </c>
      <c r="BC284" s="1055" t="str">
        <f t="shared" si="411"/>
        <v>-</v>
      </c>
      <c r="BD284" s="1055" t="str">
        <f t="shared" si="411"/>
        <v>-</v>
      </c>
      <c r="BE284" s="1055" t="str">
        <f t="shared" si="411"/>
        <v>-</v>
      </c>
      <c r="BF284" s="1055" t="str">
        <f t="shared" si="411"/>
        <v>-</v>
      </c>
      <c r="BG284" s="1056" t="str">
        <f t="shared" si="411"/>
        <v>-</v>
      </c>
      <c r="BH284" s="1048"/>
      <c r="BI284" s="2304" t="str">
        <f t="shared" si="417"/>
        <v>Rev</v>
      </c>
      <c r="BJ284" s="2305" t="str">
        <f t="shared" si="417"/>
        <v>[Service]</v>
      </c>
      <c r="BK284" s="2306" t="str">
        <f t="shared" si="417"/>
        <v>[Price]</v>
      </c>
      <c r="BL284" s="2307" t="str">
        <f t="shared" ref="BL284:BZ284" si="432">IF(OR(X284="",X284=0),"-",IFERROR((X284/W284-1)*(W284/W$13),"-"))</f>
        <v>-</v>
      </c>
      <c r="BM284" s="1055" t="str">
        <f t="shared" si="432"/>
        <v>-</v>
      </c>
      <c r="BN284" s="1055" t="str">
        <f t="shared" si="432"/>
        <v>-</v>
      </c>
      <c r="BO284" s="2308" t="str">
        <f t="shared" si="432"/>
        <v>-</v>
      </c>
      <c r="BP284" s="1055" t="str">
        <f t="shared" si="432"/>
        <v>-</v>
      </c>
      <c r="BQ284" s="2309" t="str">
        <f t="shared" si="432"/>
        <v>-</v>
      </c>
      <c r="BR284" s="1055" t="str">
        <f t="shared" si="432"/>
        <v>-</v>
      </c>
      <c r="BS284" s="1055" t="str">
        <f t="shared" si="432"/>
        <v>-</v>
      </c>
      <c r="BT284" s="1055" t="str">
        <f t="shared" si="432"/>
        <v>-</v>
      </c>
      <c r="BU284" s="1056" t="str">
        <f t="shared" si="432"/>
        <v>-</v>
      </c>
      <c r="BV284" s="1055" t="str">
        <f t="shared" si="432"/>
        <v>-</v>
      </c>
      <c r="BW284" s="1055" t="str">
        <f t="shared" si="432"/>
        <v>-</v>
      </c>
      <c r="BX284" s="1055" t="str">
        <f t="shared" si="432"/>
        <v>-</v>
      </c>
      <c r="BY284" s="1055" t="str">
        <f t="shared" si="432"/>
        <v>-</v>
      </c>
      <c r="BZ284" s="1056" t="str">
        <f t="shared" si="432"/>
        <v>-</v>
      </c>
      <c r="CA284" s="1048"/>
    </row>
    <row r="285" spans="3:79" x14ac:dyDescent="0.3">
      <c r="C285" s="126"/>
      <c r="D285" s="126">
        <f>D282+1</f>
        <v>73</v>
      </c>
      <c r="E285" s="553" t="s">
        <v>45</v>
      </c>
      <c r="F285" s="2105" t="s">
        <v>28</v>
      </c>
      <c r="G285" s="2105"/>
      <c r="H285" s="2105"/>
      <c r="I285" s="573" t="s">
        <v>319</v>
      </c>
      <c r="J285" s="573" t="s">
        <v>348</v>
      </c>
      <c r="K285" s="1969"/>
      <c r="L285" s="1970"/>
      <c r="M285" s="1970"/>
      <c r="N285" s="1971"/>
      <c r="O285" s="1970"/>
      <c r="P285" s="1970"/>
      <c r="Q285" s="1970"/>
      <c r="R285" s="1972"/>
      <c r="S285" s="1971"/>
      <c r="T285" s="1970"/>
      <c r="U285" s="1970"/>
      <c r="V285" s="1970"/>
      <c r="W285" s="575"/>
      <c r="X285" s="1238"/>
      <c r="Y285" s="575"/>
      <c r="Z285" s="575"/>
      <c r="AA285" s="575"/>
      <c r="AB285" s="1142"/>
      <c r="AC285" s="575"/>
      <c r="AD285" s="575"/>
      <c r="AE285" s="575"/>
      <c r="AF285" s="575"/>
      <c r="AG285" s="577"/>
      <c r="AH285" s="575"/>
      <c r="AI285" s="575"/>
      <c r="AJ285" s="575"/>
      <c r="AK285" s="575"/>
      <c r="AL285" s="577"/>
      <c r="AM285" s="560"/>
      <c r="AN285" s="1052"/>
      <c r="AO285" s="992"/>
      <c r="AP285" s="2297" t="str">
        <f t="shared" si="388"/>
        <v>Price</v>
      </c>
      <c r="AQ285" s="2298" t="str">
        <f t="shared" si="388"/>
        <v>[Service]</v>
      </c>
      <c r="AR285" s="1719" t="str">
        <f t="shared" si="389"/>
        <v>[Price]</v>
      </c>
      <c r="AS285" s="2299" t="str">
        <f t="shared" si="411"/>
        <v>-</v>
      </c>
      <c r="AT285" s="1728" t="str">
        <f t="shared" si="411"/>
        <v>-</v>
      </c>
      <c r="AU285" s="1728" t="str">
        <f t="shared" si="411"/>
        <v>-</v>
      </c>
      <c r="AV285" s="2300" t="str">
        <f t="shared" si="411"/>
        <v>-</v>
      </c>
      <c r="AW285" s="1728" t="str">
        <f t="shared" si="411"/>
        <v>-</v>
      </c>
      <c r="AX285" s="2301" t="str">
        <f t="shared" si="411"/>
        <v>-</v>
      </c>
      <c r="AY285" s="1728" t="str">
        <f t="shared" si="411"/>
        <v>-</v>
      </c>
      <c r="AZ285" s="1728" t="str">
        <f t="shared" si="411"/>
        <v>-</v>
      </c>
      <c r="BA285" s="1728" t="str">
        <f t="shared" si="411"/>
        <v>-</v>
      </c>
      <c r="BB285" s="1729" t="str">
        <f t="shared" si="411"/>
        <v>-</v>
      </c>
      <c r="BC285" s="1728" t="str">
        <f t="shared" si="411"/>
        <v>-</v>
      </c>
      <c r="BD285" s="1728" t="str">
        <f t="shared" si="411"/>
        <v>-</v>
      </c>
      <c r="BE285" s="1728" t="str">
        <f t="shared" si="411"/>
        <v>-</v>
      </c>
      <c r="BF285" s="1728" t="str">
        <f t="shared" si="411"/>
        <v>-</v>
      </c>
      <c r="BG285" s="1729" t="str">
        <f t="shared" si="411"/>
        <v>-</v>
      </c>
      <c r="BH285" s="1048"/>
      <c r="BI285" s="2297" t="str">
        <f t="shared" si="417"/>
        <v>Price</v>
      </c>
      <c r="BJ285" s="2298" t="str">
        <f t="shared" si="417"/>
        <v>[Service]</v>
      </c>
      <c r="BK285" s="1719" t="str">
        <f t="shared" si="417"/>
        <v>[Price]</v>
      </c>
      <c r="BL285" s="2299" t="str">
        <f t="shared" ref="BL285:BZ285" si="433">IF(OR(X285="",X285=0),"-",IFERROR((X285/W285-1)*(W287/W$13),"-"))</f>
        <v>-</v>
      </c>
      <c r="BM285" s="1053" t="str">
        <f t="shared" si="433"/>
        <v>-</v>
      </c>
      <c r="BN285" s="1053" t="str">
        <f t="shared" si="433"/>
        <v>-</v>
      </c>
      <c r="BO285" s="2302" t="str">
        <f t="shared" si="433"/>
        <v>-</v>
      </c>
      <c r="BP285" s="1053" t="str">
        <f t="shared" si="433"/>
        <v>-</v>
      </c>
      <c r="BQ285" s="2303" t="str">
        <f t="shared" si="433"/>
        <v>-</v>
      </c>
      <c r="BR285" s="1053" t="str">
        <f t="shared" si="433"/>
        <v>-</v>
      </c>
      <c r="BS285" s="1053" t="str">
        <f t="shared" si="433"/>
        <v>-</v>
      </c>
      <c r="BT285" s="1053" t="str">
        <f t="shared" si="433"/>
        <v>-</v>
      </c>
      <c r="BU285" s="1054" t="str">
        <f t="shared" si="433"/>
        <v>-</v>
      </c>
      <c r="BV285" s="1053" t="str">
        <f t="shared" si="433"/>
        <v>-</v>
      </c>
      <c r="BW285" s="1053" t="str">
        <f t="shared" si="433"/>
        <v>-</v>
      </c>
      <c r="BX285" s="1053" t="str">
        <f t="shared" si="433"/>
        <v>-</v>
      </c>
      <c r="BY285" s="1053" t="str">
        <f t="shared" si="433"/>
        <v>-</v>
      </c>
      <c r="BZ285" s="1054" t="str">
        <f t="shared" si="433"/>
        <v>-</v>
      </c>
      <c r="CA285" s="1048"/>
    </row>
    <row r="286" spans="3:79" x14ac:dyDescent="0.3">
      <c r="C286" s="126"/>
      <c r="D286" s="126"/>
      <c r="E286" s="558" t="s">
        <v>46</v>
      </c>
      <c r="F286" s="2161" t="str">
        <f t="shared" ref="F286:I301" si="434">+F285</f>
        <v>[Service]</v>
      </c>
      <c r="G286" s="2163">
        <f t="shared" si="434"/>
        <v>0</v>
      </c>
      <c r="H286" s="2163">
        <f t="shared" si="434"/>
        <v>0</v>
      </c>
      <c r="I286" s="2164" t="str">
        <f t="shared" si="434"/>
        <v>[Price]</v>
      </c>
      <c r="J286" s="574" t="s">
        <v>323</v>
      </c>
      <c r="K286" s="1973"/>
      <c r="L286" s="1974"/>
      <c r="M286" s="1974"/>
      <c r="N286" s="1975"/>
      <c r="O286" s="1974"/>
      <c r="P286" s="1974"/>
      <c r="Q286" s="1974"/>
      <c r="R286" s="1976"/>
      <c r="S286" s="1975"/>
      <c r="T286" s="1974"/>
      <c r="U286" s="1974"/>
      <c r="V286" s="1974"/>
      <c r="W286" s="578"/>
      <c r="X286" s="1239"/>
      <c r="Y286" s="578"/>
      <c r="Z286" s="578"/>
      <c r="AA286" s="578"/>
      <c r="AB286" s="1143"/>
      <c r="AC286" s="578"/>
      <c r="AD286" s="578"/>
      <c r="AE286" s="578"/>
      <c r="AF286" s="578"/>
      <c r="AG286" s="580"/>
      <c r="AH286" s="578"/>
      <c r="AI286" s="578"/>
      <c r="AJ286" s="578"/>
      <c r="AK286" s="578"/>
      <c r="AL286" s="580"/>
      <c r="AM286" s="560"/>
      <c r="AN286" s="991"/>
      <c r="AO286" s="992"/>
      <c r="AP286" s="2285" t="str">
        <f t="shared" si="388"/>
        <v>Qty</v>
      </c>
      <c r="AQ286" s="2286" t="str">
        <f t="shared" si="388"/>
        <v>[Service]</v>
      </c>
      <c r="AR286" s="2287" t="str">
        <f t="shared" si="389"/>
        <v>[Price]</v>
      </c>
      <c r="AS286" s="2288" t="str">
        <f t="shared" si="411"/>
        <v>-</v>
      </c>
      <c r="AT286" s="1720" t="str">
        <f t="shared" si="411"/>
        <v>-</v>
      </c>
      <c r="AU286" s="1720" t="str">
        <f t="shared" si="411"/>
        <v>-</v>
      </c>
      <c r="AV286" s="2289" t="str">
        <f t="shared" si="411"/>
        <v>-</v>
      </c>
      <c r="AW286" s="1720" t="str">
        <f t="shared" si="411"/>
        <v>-</v>
      </c>
      <c r="AX286" s="2290" t="str">
        <f t="shared" si="411"/>
        <v>-</v>
      </c>
      <c r="AY286" s="1720" t="str">
        <f t="shared" si="411"/>
        <v>-</v>
      </c>
      <c r="AZ286" s="1720" t="str">
        <f t="shared" si="411"/>
        <v>-</v>
      </c>
      <c r="BA286" s="1720" t="str">
        <f t="shared" si="411"/>
        <v>-</v>
      </c>
      <c r="BB286" s="1721" t="str">
        <f t="shared" si="411"/>
        <v>-</v>
      </c>
      <c r="BC286" s="1720" t="str">
        <f t="shared" si="411"/>
        <v>-</v>
      </c>
      <c r="BD286" s="1720" t="str">
        <f t="shared" si="411"/>
        <v>-</v>
      </c>
      <c r="BE286" s="1720" t="str">
        <f t="shared" si="411"/>
        <v>-</v>
      </c>
      <c r="BF286" s="1720" t="str">
        <f t="shared" si="411"/>
        <v>-</v>
      </c>
      <c r="BG286" s="1721" t="str">
        <f t="shared" si="411"/>
        <v>-</v>
      </c>
      <c r="BH286" s="1048"/>
      <c r="BI286" s="2285" t="str">
        <f t="shared" si="417"/>
        <v>Qty</v>
      </c>
      <c r="BJ286" s="2286" t="str">
        <f t="shared" si="417"/>
        <v>[Service]</v>
      </c>
      <c r="BK286" s="2287" t="str">
        <f t="shared" si="417"/>
        <v>[Price]</v>
      </c>
      <c r="BL286" s="2288" t="str">
        <f t="shared" ref="BL286:BZ286" si="435">IF(OR(X286="",X286=0),"-",IFERROR((X286/W286-1)*(W287/W$13),"-"))</f>
        <v>-</v>
      </c>
      <c r="BM286" s="1720" t="str">
        <f t="shared" si="435"/>
        <v>-</v>
      </c>
      <c r="BN286" s="1720" t="str">
        <f t="shared" si="435"/>
        <v>-</v>
      </c>
      <c r="BO286" s="2289" t="str">
        <f t="shared" si="435"/>
        <v>-</v>
      </c>
      <c r="BP286" s="1720" t="str">
        <f t="shared" si="435"/>
        <v>-</v>
      </c>
      <c r="BQ286" s="2290" t="str">
        <f t="shared" si="435"/>
        <v>-</v>
      </c>
      <c r="BR286" s="1720" t="str">
        <f t="shared" si="435"/>
        <v>-</v>
      </c>
      <c r="BS286" s="1720" t="str">
        <f t="shared" si="435"/>
        <v>-</v>
      </c>
      <c r="BT286" s="1720" t="str">
        <f t="shared" si="435"/>
        <v>-</v>
      </c>
      <c r="BU286" s="1721" t="str">
        <f t="shared" si="435"/>
        <v>-</v>
      </c>
      <c r="BV286" s="1720" t="str">
        <f t="shared" si="435"/>
        <v>-</v>
      </c>
      <c r="BW286" s="1720" t="str">
        <f t="shared" si="435"/>
        <v>-</v>
      </c>
      <c r="BX286" s="1720" t="str">
        <f t="shared" si="435"/>
        <v>-</v>
      </c>
      <c r="BY286" s="1720" t="str">
        <f t="shared" si="435"/>
        <v>-</v>
      </c>
      <c r="BZ286" s="1721" t="str">
        <f t="shared" si="435"/>
        <v>-</v>
      </c>
      <c r="CA286" s="1048"/>
    </row>
    <row r="287" spans="3:79" ht="12.5" thickBot="1" x14ac:dyDescent="0.35">
      <c r="C287" s="126"/>
      <c r="D287" s="126"/>
      <c r="E287" s="559" t="s">
        <v>47</v>
      </c>
      <c r="F287" s="2162" t="str">
        <f t="shared" ref="F287:I287" si="436">+F285</f>
        <v>[Service]</v>
      </c>
      <c r="G287" s="2165">
        <f t="shared" si="436"/>
        <v>0</v>
      </c>
      <c r="H287" s="2165">
        <f t="shared" si="436"/>
        <v>0</v>
      </c>
      <c r="I287" s="2166" t="str">
        <f t="shared" si="436"/>
        <v>[Price]</v>
      </c>
      <c r="J287" s="2106" t="s">
        <v>347</v>
      </c>
      <c r="K287" s="1977"/>
      <c r="L287" s="1206"/>
      <c r="M287" s="1206"/>
      <c r="N287" s="1978"/>
      <c r="O287" s="1206"/>
      <c r="P287" s="1206"/>
      <c r="Q287" s="1206"/>
      <c r="R287" s="1206"/>
      <c r="S287" s="1978"/>
      <c r="T287" s="1206"/>
      <c r="U287" s="1206"/>
      <c r="V287" s="1206"/>
      <c r="W287" s="1731">
        <f t="shared" ref="W287:AG287" si="437">W285*W286/10^6</f>
        <v>0</v>
      </c>
      <c r="X287" s="1730">
        <f t="shared" si="437"/>
        <v>0</v>
      </c>
      <c r="Y287" s="1731">
        <f t="shared" si="437"/>
        <v>0</v>
      </c>
      <c r="Z287" s="1731">
        <f t="shared" si="437"/>
        <v>0</v>
      </c>
      <c r="AA287" s="1731">
        <f t="shared" si="437"/>
        <v>0</v>
      </c>
      <c r="AB287" s="1733">
        <f t="shared" si="437"/>
        <v>0</v>
      </c>
      <c r="AC287" s="1731">
        <f t="shared" si="437"/>
        <v>0</v>
      </c>
      <c r="AD287" s="1731">
        <f t="shared" si="437"/>
        <v>0</v>
      </c>
      <c r="AE287" s="1731">
        <f t="shared" si="437"/>
        <v>0</v>
      </c>
      <c r="AF287" s="1731">
        <f t="shared" si="437"/>
        <v>0</v>
      </c>
      <c r="AG287" s="1733">
        <f t="shared" si="437"/>
        <v>0</v>
      </c>
      <c r="AH287" s="1731">
        <f>AH285*AH286/10^6</f>
        <v>0</v>
      </c>
      <c r="AI287" s="1731">
        <f>AI285*AI286/10^6</f>
        <v>0</v>
      </c>
      <c r="AJ287" s="1731">
        <f>AJ285*AJ286/10^6</f>
        <v>0</v>
      </c>
      <c r="AK287" s="1731">
        <f>AK285*AK286/10^6</f>
        <v>0</v>
      </c>
      <c r="AL287" s="1733">
        <f>AL285*AL286/10^6</f>
        <v>0</v>
      </c>
      <c r="AM287" s="560"/>
      <c r="AN287" s="991"/>
      <c r="AO287" s="992"/>
      <c r="AP287" s="2304" t="str">
        <f t="shared" si="388"/>
        <v>Rev</v>
      </c>
      <c r="AQ287" s="2305" t="str">
        <f t="shared" si="388"/>
        <v>[Service]</v>
      </c>
      <c r="AR287" s="2306" t="str">
        <f t="shared" si="389"/>
        <v>[Price]</v>
      </c>
      <c r="AS287" s="2307" t="str">
        <f t="shared" si="411"/>
        <v>-</v>
      </c>
      <c r="AT287" s="1055" t="str">
        <f t="shared" si="411"/>
        <v>-</v>
      </c>
      <c r="AU287" s="1055" t="str">
        <f t="shared" si="411"/>
        <v>-</v>
      </c>
      <c r="AV287" s="2308" t="str">
        <f t="shared" si="411"/>
        <v>-</v>
      </c>
      <c r="AW287" s="1055" t="str">
        <f t="shared" si="411"/>
        <v>-</v>
      </c>
      <c r="AX287" s="2309" t="str">
        <f t="shared" si="411"/>
        <v>-</v>
      </c>
      <c r="AY287" s="1055" t="str">
        <f t="shared" si="411"/>
        <v>-</v>
      </c>
      <c r="AZ287" s="1055" t="str">
        <f t="shared" si="411"/>
        <v>-</v>
      </c>
      <c r="BA287" s="1055" t="str">
        <f t="shared" si="411"/>
        <v>-</v>
      </c>
      <c r="BB287" s="1056" t="str">
        <f t="shared" si="411"/>
        <v>-</v>
      </c>
      <c r="BC287" s="1055" t="str">
        <f t="shared" si="411"/>
        <v>-</v>
      </c>
      <c r="BD287" s="1055" t="str">
        <f t="shared" si="411"/>
        <v>-</v>
      </c>
      <c r="BE287" s="1055" t="str">
        <f t="shared" si="411"/>
        <v>-</v>
      </c>
      <c r="BF287" s="1055" t="str">
        <f t="shared" si="411"/>
        <v>-</v>
      </c>
      <c r="BG287" s="1056" t="str">
        <f t="shared" si="411"/>
        <v>-</v>
      </c>
      <c r="BH287" s="1048"/>
      <c r="BI287" s="2304" t="str">
        <f t="shared" si="417"/>
        <v>Rev</v>
      </c>
      <c r="BJ287" s="2305" t="str">
        <f t="shared" si="417"/>
        <v>[Service]</v>
      </c>
      <c r="BK287" s="2306" t="str">
        <f t="shared" si="417"/>
        <v>[Price]</v>
      </c>
      <c r="BL287" s="2307" t="str">
        <f t="shared" ref="BL287:BZ287" si="438">IF(OR(X287="",X287=0),"-",IFERROR((X287/W287-1)*(W287/W$13),"-"))</f>
        <v>-</v>
      </c>
      <c r="BM287" s="1055" t="str">
        <f t="shared" si="438"/>
        <v>-</v>
      </c>
      <c r="BN287" s="1055" t="str">
        <f t="shared" si="438"/>
        <v>-</v>
      </c>
      <c r="BO287" s="2308" t="str">
        <f t="shared" si="438"/>
        <v>-</v>
      </c>
      <c r="BP287" s="1055" t="str">
        <f t="shared" si="438"/>
        <v>-</v>
      </c>
      <c r="BQ287" s="2309" t="str">
        <f t="shared" si="438"/>
        <v>-</v>
      </c>
      <c r="BR287" s="1055" t="str">
        <f t="shared" si="438"/>
        <v>-</v>
      </c>
      <c r="BS287" s="1055" t="str">
        <f t="shared" si="438"/>
        <v>-</v>
      </c>
      <c r="BT287" s="1055" t="str">
        <f t="shared" si="438"/>
        <v>-</v>
      </c>
      <c r="BU287" s="1056" t="str">
        <f t="shared" si="438"/>
        <v>-</v>
      </c>
      <c r="BV287" s="1055" t="str">
        <f t="shared" si="438"/>
        <v>-</v>
      </c>
      <c r="BW287" s="1055" t="str">
        <f t="shared" si="438"/>
        <v>-</v>
      </c>
      <c r="BX287" s="1055" t="str">
        <f t="shared" si="438"/>
        <v>-</v>
      </c>
      <c r="BY287" s="1055" t="str">
        <f t="shared" si="438"/>
        <v>-</v>
      </c>
      <c r="BZ287" s="1056" t="str">
        <f t="shared" si="438"/>
        <v>-</v>
      </c>
      <c r="CA287" s="1048"/>
    </row>
    <row r="288" spans="3:79" x14ac:dyDescent="0.3">
      <c r="C288" s="126"/>
      <c r="D288" s="126">
        <f>D285+1</f>
        <v>74</v>
      </c>
      <c r="E288" s="553" t="s">
        <v>45</v>
      </c>
      <c r="F288" s="2105" t="s">
        <v>28</v>
      </c>
      <c r="G288" s="2105"/>
      <c r="H288" s="2105"/>
      <c r="I288" s="573" t="s">
        <v>319</v>
      </c>
      <c r="J288" s="573" t="s">
        <v>348</v>
      </c>
      <c r="K288" s="1969"/>
      <c r="L288" s="1970"/>
      <c r="M288" s="1970"/>
      <c r="N288" s="1971"/>
      <c r="O288" s="1970"/>
      <c r="P288" s="1970"/>
      <c r="Q288" s="1970"/>
      <c r="R288" s="1972"/>
      <c r="S288" s="1971"/>
      <c r="T288" s="1970"/>
      <c r="U288" s="1970"/>
      <c r="V288" s="1970"/>
      <c r="W288" s="575"/>
      <c r="X288" s="1238"/>
      <c r="Y288" s="575"/>
      <c r="Z288" s="575"/>
      <c r="AA288" s="575"/>
      <c r="AB288" s="1142"/>
      <c r="AC288" s="575"/>
      <c r="AD288" s="575"/>
      <c r="AE288" s="575"/>
      <c r="AF288" s="575"/>
      <c r="AG288" s="577"/>
      <c r="AH288" s="575"/>
      <c r="AI288" s="575"/>
      <c r="AJ288" s="575"/>
      <c r="AK288" s="575"/>
      <c r="AL288" s="577"/>
      <c r="AM288" s="560"/>
      <c r="AN288" s="1052"/>
      <c r="AO288" s="992"/>
      <c r="AP288" s="2297" t="str">
        <f t="shared" si="388"/>
        <v>Price</v>
      </c>
      <c r="AQ288" s="2298" t="str">
        <f t="shared" si="388"/>
        <v>[Service]</v>
      </c>
      <c r="AR288" s="1719" t="str">
        <f t="shared" si="389"/>
        <v>[Price]</v>
      </c>
      <c r="AS288" s="2299" t="str">
        <f t="shared" si="411"/>
        <v>-</v>
      </c>
      <c r="AT288" s="1728" t="str">
        <f t="shared" si="411"/>
        <v>-</v>
      </c>
      <c r="AU288" s="1728" t="str">
        <f t="shared" si="411"/>
        <v>-</v>
      </c>
      <c r="AV288" s="2300" t="str">
        <f t="shared" si="411"/>
        <v>-</v>
      </c>
      <c r="AW288" s="1728" t="str">
        <f t="shared" si="411"/>
        <v>-</v>
      </c>
      <c r="AX288" s="2301" t="str">
        <f t="shared" si="411"/>
        <v>-</v>
      </c>
      <c r="AY288" s="1728" t="str">
        <f t="shared" si="411"/>
        <v>-</v>
      </c>
      <c r="AZ288" s="1728" t="str">
        <f t="shared" si="411"/>
        <v>-</v>
      </c>
      <c r="BA288" s="1728" t="str">
        <f t="shared" si="411"/>
        <v>-</v>
      </c>
      <c r="BB288" s="1729" t="str">
        <f t="shared" si="411"/>
        <v>-</v>
      </c>
      <c r="BC288" s="1728" t="str">
        <f t="shared" si="411"/>
        <v>-</v>
      </c>
      <c r="BD288" s="1728" t="str">
        <f t="shared" si="411"/>
        <v>-</v>
      </c>
      <c r="BE288" s="1728" t="str">
        <f t="shared" si="411"/>
        <v>-</v>
      </c>
      <c r="BF288" s="1728" t="str">
        <f t="shared" si="411"/>
        <v>-</v>
      </c>
      <c r="BG288" s="1729" t="str">
        <f t="shared" si="411"/>
        <v>-</v>
      </c>
      <c r="BH288" s="1048"/>
      <c r="BI288" s="2297" t="str">
        <f t="shared" si="417"/>
        <v>Price</v>
      </c>
      <c r="BJ288" s="2298" t="str">
        <f t="shared" si="417"/>
        <v>[Service]</v>
      </c>
      <c r="BK288" s="1719" t="str">
        <f t="shared" si="417"/>
        <v>[Price]</v>
      </c>
      <c r="BL288" s="2299" t="str">
        <f t="shared" ref="BL288:BZ288" si="439">IF(OR(X288="",X288=0),"-",IFERROR((X288/W288-1)*(W290/W$13),"-"))</f>
        <v>-</v>
      </c>
      <c r="BM288" s="1053" t="str">
        <f t="shared" si="439"/>
        <v>-</v>
      </c>
      <c r="BN288" s="1053" t="str">
        <f t="shared" si="439"/>
        <v>-</v>
      </c>
      <c r="BO288" s="2302" t="str">
        <f t="shared" si="439"/>
        <v>-</v>
      </c>
      <c r="BP288" s="1053" t="str">
        <f t="shared" si="439"/>
        <v>-</v>
      </c>
      <c r="BQ288" s="2303" t="str">
        <f t="shared" si="439"/>
        <v>-</v>
      </c>
      <c r="BR288" s="1053" t="str">
        <f t="shared" si="439"/>
        <v>-</v>
      </c>
      <c r="BS288" s="1053" t="str">
        <f t="shared" si="439"/>
        <v>-</v>
      </c>
      <c r="BT288" s="1053" t="str">
        <f t="shared" si="439"/>
        <v>-</v>
      </c>
      <c r="BU288" s="1054" t="str">
        <f t="shared" si="439"/>
        <v>-</v>
      </c>
      <c r="BV288" s="1053" t="str">
        <f t="shared" si="439"/>
        <v>-</v>
      </c>
      <c r="BW288" s="1053" t="str">
        <f t="shared" si="439"/>
        <v>-</v>
      </c>
      <c r="BX288" s="1053" t="str">
        <f t="shared" si="439"/>
        <v>-</v>
      </c>
      <c r="BY288" s="1053" t="str">
        <f t="shared" si="439"/>
        <v>-</v>
      </c>
      <c r="BZ288" s="1054" t="str">
        <f t="shared" si="439"/>
        <v>-</v>
      </c>
      <c r="CA288" s="1048"/>
    </row>
    <row r="289" spans="3:79" x14ac:dyDescent="0.3">
      <c r="C289" s="126"/>
      <c r="D289" s="126"/>
      <c r="E289" s="558" t="s">
        <v>46</v>
      </c>
      <c r="F289" s="2161" t="str">
        <f t="shared" si="434"/>
        <v>[Service]</v>
      </c>
      <c r="G289" s="2163">
        <f t="shared" si="434"/>
        <v>0</v>
      </c>
      <c r="H289" s="2163">
        <f t="shared" si="434"/>
        <v>0</v>
      </c>
      <c r="I289" s="2164" t="str">
        <f t="shared" si="434"/>
        <v>[Price]</v>
      </c>
      <c r="J289" s="574" t="s">
        <v>323</v>
      </c>
      <c r="K289" s="1973"/>
      <c r="L289" s="1974"/>
      <c r="M289" s="1974"/>
      <c r="N289" s="1975"/>
      <c r="O289" s="1974"/>
      <c r="P289" s="1974"/>
      <c r="Q289" s="1974"/>
      <c r="R289" s="1976"/>
      <c r="S289" s="1975"/>
      <c r="T289" s="1974"/>
      <c r="U289" s="1974"/>
      <c r="V289" s="1974"/>
      <c r="W289" s="578"/>
      <c r="X289" s="1239"/>
      <c r="Y289" s="578"/>
      <c r="Z289" s="578"/>
      <c r="AA289" s="578"/>
      <c r="AB289" s="1143"/>
      <c r="AC289" s="578"/>
      <c r="AD289" s="578"/>
      <c r="AE289" s="578"/>
      <c r="AF289" s="578"/>
      <c r="AG289" s="580"/>
      <c r="AH289" s="578"/>
      <c r="AI289" s="578"/>
      <c r="AJ289" s="578"/>
      <c r="AK289" s="578"/>
      <c r="AL289" s="580"/>
      <c r="AM289" s="560"/>
      <c r="AN289" s="991"/>
      <c r="AO289" s="992"/>
      <c r="AP289" s="2285" t="str">
        <f t="shared" si="388"/>
        <v>Qty</v>
      </c>
      <c r="AQ289" s="2286" t="str">
        <f t="shared" si="388"/>
        <v>[Service]</v>
      </c>
      <c r="AR289" s="2287" t="str">
        <f t="shared" si="389"/>
        <v>[Price]</v>
      </c>
      <c r="AS289" s="2288" t="str">
        <f t="shared" si="411"/>
        <v>-</v>
      </c>
      <c r="AT289" s="1720" t="str">
        <f t="shared" si="411"/>
        <v>-</v>
      </c>
      <c r="AU289" s="1720" t="str">
        <f t="shared" si="411"/>
        <v>-</v>
      </c>
      <c r="AV289" s="2289" t="str">
        <f t="shared" si="411"/>
        <v>-</v>
      </c>
      <c r="AW289" s="1720" t="str">
        <f t="shared" si="411"/>
        <v>-</v>
      </c>
      <c r="AX289" s="2290" t="str">
        <f t="shared" si="411"/>
        <v>-</v>
      </c>
      <c r="AY289" s="1720" t="str">
        <f t="shared" si="411"/>
        <v>-</v>
      </c>
      <c r="AZ289" s="1720" t="str">
        <f t="shared" si="411"/>
        <v>-</v>
      </c>
      <c r="BA289" s="1720" t="str">
        <f t="shared" si="411"/>
        <v>-</v>
      </c>
      <c r="BB289" s="1721" t="str">
        <f t="shared" si="411"/>
        <v>-</v>
      </c>
      <c r="BC289" s="1720" t="str">
        <f t="shared" si="411"/>
        <v>-</v>
      </c>
      <c r="BD289" s="1720" t="str">
        <f t="shared" si="411"/>
        <v>-</v>
      </c>
      <c r="BE289" s="1720" t="str">
        <f t="shared" si="411"/>
        <v>-</v>
      </c>
      <c r="BF289" s="1720" t="str">
        <f t="shared" si="411"/>
        <v>-</v>
      </c>
      <c r="BG289" s="1721" t="str">
        <f t="shared" si="411"/>
        <v>-</v>
      </c>
      <c r="BH289" s="1048"/>
      <c r="BI289" s="2285" t="str">
        <f t="shared" si="417"/>
        <v>Qty</v>
      </c>
      <c r="BJ289" s="2286" t="str">
        <f t="shared" si="417"/>
        <v>[Service]</v>
      </c>
      <c r="BK289" s="2287" t="str">
        <f t="shared" si="417"/>
        <v>[Price]</v>
      </c>
      <c r="BL289" s="2288" t="str">
        <f t="shared" ref="BL289:BZ289" si="440">IF(OR(X289="",X289=0),"-",IFERROR((X289/W289-1)*(W290/W$13),"-"))</f>
        <v>-</v>
      </c>
      <c r="BM289" s="1720" t="str">
        <f t="shared" si="440"/>
        <v>-</v>
      </c>
      <c r="BN289" s="1720" t="str">
        <f t="shared" si="440"/>
        <v>-</v>
      </c>
      <c r="BO289" s="2289" t="str">
        <f t="shared" si="440"/>
        <v>-</v>
      </c>
      <c r="BP289" s="1720" t="str">
        <f t="shared" si="440"/>
        <v>-</v>
      </c>
      <c r="BQ289" s="2290" t="str">
        <f t="shared" si="440"/>
        <v>-</v>
      </c>
      <c r="BR289" s="1720" t="str">
        <f t="shared" si="440"/>
        <v>-</v>
      </c>
      <c r="BS289" s="1720" t="str">
        <f t="shared" si="440"/>
        <v>-</v>
      </c>
      <c r="BT289" s="1720" t="str">
        <f t="shared" si="440"/>
        <v>-</v>
      </c>
      <c r="BU289" s="1721" t="str">
        <f t="shared" si="440"/>
        <v>-</v>
      </c>
      <c r="BV289" s="1720" t="str">
        <f t="shared" si="440"/>
        <v>-</v>
      </c>
      <c r="BW289" s="1720" t="str">
        <f t="shared" si="440"/>
        <v>-</v>
      </c>
      <c r="BX289" s="1720" t="str">
        <f t="shared" si="440"/>
        <v>-</v>
      </c>
      <c r="BY289" s="1720" t="str">
        <f t="shared" si="440"/>
        <v>-</v>
      </c>
      <c r="BZ289" s="1721" t="str">
        <f t="shared" si="440"/>
        <v>-</v>
      </c>
      <c r="CA289" s="1048"/>
    </row>
    <row r="290" spans="3:79" ht="12.5" thickBot="1" x14ac:dyDescent="0.35">
      <c r="C290" s="126"/>
      <c r="D290" s="126"/>
      <c r="E290" s="559" t="s">
        <v>47</v>
      </c>
      <c r="F290" s="2162" t="str">
        <f t="shared" ref="F290:I290" si="441">+F288</f>
        <v>[Service]</v>
      </c>
      <c r="G290" s="2165">
        <f t="shared" si="441"/>
        <v>0</v>
      </c>
      <c r="H290" s="2165">
        <f t="shared" si="441"/>
        <v>0</v>
      </c>
      <c r="I290" s="2166" t="str">
        <f t="shared" si="441"/>
        <v>[Price]</v>
      </c>
      <c r="J290" s="2106" t="s">
        <v>347</v>
      </c>
      <c r="K290" s="1977"/>
      <c r="L290" s="1206"/>
      <c r="M290" s="1206"/>
      <c r="N290" s="1978"/>
      <c r="O290" s="1206"/>
      <c r="P290" s="1206"/>
      <c r="Q290" s="1206"/>
      <c r="R290" s="1206"/>
      <c r="S290" s="1978"/>
      <c r="T290" s="1206"/>
      <c r="U290" s="1206"/>
      <c r="V290" s="1206"/>
      <c r="W290" s="1731">
        <f t="shared" ref="W290:AG290" si="442">W288*W289/10^6</f>
        <v>0</v>
      </c>
      <c r="X290" s="1730">
        <f t="shared" si="442"/>
        <v>0</v>
      </c>
      <c r="Y290" s="1731">
        <f t="shared" si="442"/>
        <v>0</v>
      </c>
      <c r="Z290" s="1731">
        <f t="shared" si="442"/>
        <v>0</v>
      </c>
      <c r="AA290" s="1731">
        <f t="shared" si="442"/>
        <v>0</v>
      </c>
      <c r="AB290" s="1733">
        <f t="shared" si="442"/>
        <v>0</v>
      </c>
      <c r="AC290" s="1731">
        <f t="shared" si="442"/>
        <v>0</v>
      </c>
      <c r="AD290" s="1731">
        <f t="shared" si="442"/>
        <v>0</v>
      </c>
      <c r="AE290" s="1731">
        <f t="shared" si="442"/>
        <v>0</v>
      </c>
      <c r="AF290" s="1731">
        <f t="shared" si="442"/>
        <v>0</v>
      </c>
      <c r="AG290" s="1733">
        <f t="shared" si="442"/>
        <v>0</v>
      </c>
      <c r="AH290" s="1731">
        <f>AH288*AH289/10^6</f>
        <v>0</v>
      </c>
      <c r="AI290" s="1731">
        <f>AI288*AI289/10^6</f>
        <v>0</v>
      </c>
      <c r="AJ290" s="1731">
        <f>AJ288*AJ289/10^6</f>
        <v>0</v>
      </c>
      <c r="AK290" s="1731">
        <f>AK288*AK289/10^6</f>
        <v>0</v>
      </c>
      <c r="AL290" s="1733">
        <f>AL288*AL289/10^6</f>
        <v>0</v>
      </c>
      <c r="AM290" s="560"/>
      <c r="AN290" s="991"/>
      <c r="AO290" s="992"/>
      <c r="AP290" s="2304" t="str">
        <f t="shared" si="388"/>
        <v>Rev</v>
      </c>
      <c r="AQ290" s="2305" t="str">
        <f t="shared" si="388"/>
        <v>[Service]</v>
      </c>
      <c r="AR290" s="2306" t="str">
        <f t="shared" si="389"/>
        <v>[Price]</v>
      </c>
      <c r="AS290" s="2307" t="str">
        <f t="shared" ref="AS290:BG306" si="443">IF(OR(X290="",X290=0),"-",IFERROR(X290/W290-1,"-"))</f>
        <v>-</v>
      </c>
      <c r="AT290" s="1055" t="str">
        <f t="shared" si="443"/>
        <v>-</v>
      </c>
      <c r="AU290" s="1055" t="str">
        <f t="shared" si="443"/>
        <v>-</v>
      </c>
      <c r="AV290" s="2308" t="str">
        <f t="shared" si="443"/>
        <v>-</v>
      </c>
      <c r="AW290" s="1055" t="str">
        <f t="shared" si="443"/>
        <v>-</v>
      </c>
      <c r="AX290" s="2309" t="str">
        <f t="shared" si="443"/>
        <v>-</v>
      </c>
      <c r="AY290" s="1055" t="str">
        <f t="shared" si="443"/>
        <v>-</v>
      </c>
      <c r="AZ290" s="1055" t="str">
        <f t="shared" si="443"/>
        <v>-</v>
      </c>
      <c r="BA290" s="1055" t="str">
        <f t="shared" si="443"/>
        <v>-</v>
      </c>
      <c r="BB290" s="1056" t="str">
        <f t="shared" si="443"/>
        <v>-</v>
      </c>
      <c r="BC290" s="1055" t="str">
        <f t="shared" si="443"/>
        <v>-</v>
      </c>
      <c r="BD290" s="1055" t="str">
        <f t="shared" si="443"/>
        <v>-</v>
      </c>
      <c r="BE290" s="1055" t="str">
        <f t="shared" si="443"/>
        <v>-</v>
      </c>
      <c r="BF290" s="1055" t="str">
        <f t="shared" si="443"/>
        <v>-</v>
      </c>
      <c r="BG290" s="1056" t="str">
        <f t="shared" si="443"/>
        <v>-</v>
      </c>
      <c r="BH290" s="1048"/>
      <c r="BI290" s="2304" t="str">
        <f t="shared" si="417"/>
        <v>Rev</v>
      </c>
      <c r="BJ290" s="2305" t="str">
        <f t="shared" si="417"/>
        <v>[Service]</v>
      </c>
      <c r="BK290" s="2306" t="str">
        <f t="shared" si="417"/>
        <v>[Price]</v>
      </c>
      <c r="BL290" s="2307" t="str">
        <f t="shared" ref="BL290:BZ290" si="444">IF(OR(X290="",X290=0),"-",IFERROR((X290/W290-1)*(W290/W$13),"-"))</f>
        <v>-</v>
      </c>
      <c r="BM290" s="1055" t="str">
        <f t="shared" si="444"/>
        <v>-</v>
      </c>
      <c r="BN290" s="1055" t="str">
        <f t="shared" si="444"/>
        <v>-</v>
      </c>
      <c r="BO290" s="2308" t="str">
        <f t="shared" si="444"/>
        <v>-</v>
      </c>
      <c r="BP290" s="1055" t="str">
        <f t="shared" si="444"/>
        <v>-</v>
      </c>
      <c r="BQ290" s="2309" t="str">
        <f t="shared" si="444"/>
        <v>-</v>
      </c>
      <c r="BR290" s="1055" t="str">
        <f t="shared" si="444"/>
        <v>-</v>
      </c>
      <c r="BS290" s="1055" t="str">
        <f t="shared" si="444"/>
        <v>-</v>
      </c>
      <c r="BT290" s="1055" t="str">
        <f t="shared" si="444"/>
        <v>-</v>
      </c>
      <c r="BU290" s="1056" t="str">
        <f t="shared" si="444"/>
        <v>-</v>
      </c>
      <c r="BV290" s="1055" t="str">
        <f t="shared" si="444"/>
        <v>-</v>
      </c>
      <c r="BW290" s="1055" t="str">
        <f t="shared" si="444"/>
        <v>-</v>
      </c>
      <c r="BX290" s="1055" t="str">
        <f t="shared" si="444"/>
        <v>-</v>
      </c>
      <c r="BY290" s="1055" t="str">
        <f t="shared" si="444"/>
        <v>-</v>
      </c>
      <c r="BZ290" s="1056" t="str">
        <f t="shared" si="444"/>
        <v>-</v>
      </c>
      <c r="CA290" s="1048"/>
    </row>
    <row r="291" spans="3:79" x14ac:dyDescent="0.3">
      <c r="C291" s="126"/>
      <c r="D291" s="126">
        <f>D288+1</f>
        <v>75</v>
      </c>
      <c r="E291" s="553" t="s">
        <v>45</v>
      </c>
      <c r="F291" s="2105" t="s">
        <v>28</v>
      </c>
      <c r="G291" s="2105"/>
      <c r="H291" s="2105"/>
      <c r="I291" s="573" t="s">
        <v>319</v>
      </c>
      <c r="J291" s="573" t="s">
        <v>348</v>
      </c>
      <c r="K291" s="1969"/>
      <c r="L291" s="1970"/>
      <c r="M291" s="1970"/>
      <c r="N291" s="1971"/>
      <c r="O291" s="1970"/>
      <c r="P291" s="1970"/>
      <c r="Q291" s="1970"/>
      <c r="R291" s="1972"/>
      <c r="S291" s="1971"/>
      <c r="T291" s="1970"/>
      <c r="U291" s="1970"/>
      <c r="V291" s="1970"/>
      <c r="W291" s="575"/>
      <c r="X291" s="1238"/>
      <c r="Y291" s="575"/>
      <c r="Z291" s="575"/>
      <c r="AA291" s="575"/>
      <c r="AB291" s="1142"/>
      <c r="AC291" s="575"/>
      <c r="AD291" s="575"/>
      <c r="AE291" s="575"/>
      <c r="AF291" s="575"/>
      <c r="AG291" s="577"/>
      <c r="AH291" s="575"/>
      <c r="AI291" s="575"/>
      <c r="AJ291" s="575"/>
      <c r="AK291" s="575"/>
      <c r="AL291" s="577"/>
      <c r="AM291" s="560"/>
      <c r="AN291" s="1052"/>
      <c r="AO291" s="992"/>
      <c r="AP291" s="2297" t="str">
        <f t="shared" si="388"/>
        <v>Price</v>
      </c>
      <c r="AQ291" s="2298" t="str">
        <f t="shared" si="388"/>
        <v>[Service]</v>
      </c>
      <c r="AR291" s="1719" t="str">
        <f t="shared" si="389"/>
        <v>[Price]</v>
      </c>
      <c r="AS291" s="2299" t="str">
        <f t="shared" si="443"/>
        <v>-</v>
      </c>
      <c r="AT291" s="1728" t="str">
        <f t="shared" si="443"/>
        <v>-</v>
      </c>
      <c r="AU291" s="1728" t="str">
        <f t="shared" si="443"/>
        <v>-</v>
      </c>
      <c r="AV291" s="2300" t="str">
        <f t="shared" si="443"/>
        <v>-</v>
      </c>
      <c r="AW291" s="1728" t="str">
        <f t="shared" si="443"/>
        <v>-</v>
      </c>
      <c r="AX291" s="2301" t="str">
        <f t="shared" si="443"/>
        <v>-</v>
      </c>
      <c r="AY291" s="1728" t="str">
        <f t="shared" si="443"/>
        <v>-</v>
      </c>
      <c r="AZ291" s="1728" t="str">
        <f t="shared" si="443"/>
        <v>-</v>
      </c>
      <c r="BA291" s="1728" t="str">
        <f t="shared" si="443"/>
        <v>-</v>
      </c>
      <c r="BB291" s="1729" t="str">
        <f t="shared" si="443"/>
        <v>-</v>
      </c>
      <c r="BC291" s="1728" t="str">
        <f t="shared" si="443"/>
        <v>-</v>
      </c>
      <c r="BD291" s="1728" t="str">
        <f t="shared" si="443"/>
        <v>-</v>
      </c>
      <c r="BE291" s="1728" t="str">
        <f t="shared" si="443"/>
        <v>-</v>
      </c>
      <c r="BF291" s="1728" t="str">
        <f t="shared" si="443"/>
        <v>-</v>
      </c>
      <c r="BG291" s="1729" t="str">
        <f t="shared" si="443"/>
        <v>-</v>
      </c>
      <c r="BH291" s="1048"/>
      <c r="BI291" s="2297" t="str">
        <f t="shared" si="417"/>
        <v>Price</v>
      </c>
      <c r="BJ291" s="2298" t="str">
        <f t="shared" si="417"/>
        <v>[Service]</v>
      </c>
      <c r="BK291" s="1719" t="str">
        <f t="shared" si="417"/>
        <v>[Price]</v>
      </c>
      <c r="BL291" s="2299" t="str">
        <f t="shared" ref="BL291:BZ291" si="445">IF(OR(X291="",X291=0),"-",IFERROR((X291/W291-1)*(W293/W$13),"-"))</f>
        <v>-</v>
      </c>
      <c r="BM291" s="1053" t="str">
        <f t="shared" si="445"/>
        <v>-</v>
      </c>
      <c r="BN291" s="1053" t="str">
        <f t="shared" si="445"/>
        <v>-</v>
      </c>
      <c r="BO291" s="2302" t="str">
        <f t="shared" si="445"/>
        <v>-</v>
      </c>
      <c r="BP291" s="1053" t="str">
        <f t="shared" si="445"/>
        <v>-</v>
      </c>
      <c r="BQ291" s="2303" t="str">
        <f t="shared" si="445"/>
        <v>-</v>
      </c>
      <c r="BR291" s="1053" t="str">
        <f t="shared" si="445"/>
        <v>-</v>
      </c>
      <c r="BS291" s="1053" t="str">
        <f t="shared" si="445"/>
        <v>-</v>
      </c>
      <c r="BT291" s="1053" t="str">
        <f t="shared" si="445"/>
        <v>-</v>
      </c>
      <c r="BU291" s="1054" t="str">
        <f t="shared" si="445"/>
        <v>-</v>
      </c>
      <c r="BV291" s="1053" t="str">
        <f t="shared" si="445"/>
        <v>-</v>
      </c>
      <c r="BW291" s="1053" t="str">
        <f t="shared" si="445"/>
        <v>-</v>
      </c>
      <c r="BX291" s="1053" t="str">
        <f t="shared" si="445"/>
        <v>-</v>
      </c>
      <c r="BY291" s="1053" t="str">
        <f t="shared" si="445"/>
        <v>-</v>
      </c>
      <c r="BZ291" s="1054" t="str">
        <f t="shared" si="445"/>
        <v>-</v>
      </c>
      <c r="CA291" s="1048"/>
    </row>
    <row r="292" spans="3:79" x14ac:dyDescent="0.3">
      <c r="C292" s="126"/>
      <c r="D292" s="126"/>
      <c r="E292" s="558" t="s">
        <v>46</v>
      </c>
      <c r="F292" s="2161" t="str">
        <f t="shared" si="434"/>
        <v>[Service]</v>
      </c>
      <c r="G292" s="2163">
        <f t="shared" si="434"/>
        <v>0</v>
      </c>
      <c r="H292" s="2163">
        <f t="shared" si="434"/>
        <v>0</v>
      </c>
      <c r="I292" s="2164" t="str">
        <f t="shared" si="434"/>
        <v>[Price]</v>
      </c>
      <c r="J292" s="574" t="s">
        <v>323</v>
      </c>
      <c r="K292" s="1973"/>
      <c r="L292" s="1974"/>
      <c r="M292" s="1974"/>
      <c r="N292" s="1975"/>
      <c r="O292" s="1974"/>
      <c r="P292" s="1974"/>
      <c r="Q292" s="1974"/>
      <c r="R292" s="1976"/>
      <c r="S292" s="1975"/>
      <c r="T292" s="1974"/>
      <c r="U292" s="1974"/>
      <c r="V292" s="1974"/>
      <c r="W292" s="578"/>
      <c r="X292" s="1239"/>
      <c r="Y292" s="578"/>
      <c r="Z292" s="578"/>
      <c r="AA292" s="578"/>
      <c r="AB292" s="1143"/>
      <c r="AC292" s="578"/>
      <c r="AD292" s="578"/>
      <c r="AE292" s="578"/>
      <c r="AF292" s="578"/>
      <c r="AG292" s="580"/>
      <c r="AH292" s="578"/>
      <c r="AI292" s="578"/>
      <c r="AJ292" s="578"/>
      <c r="AK292" s="578"/>
      <c r="AL292" s="580"/>
      <c r="AM292" s="560"/>
      <c r="AN292" s="991"/>
      <c r="AO292" s="992"/>
      <c r="AP292" s="2285" t="str">
        <f t="shared" si="388"/>
        <v>Qty</v>
      </c>
      <c r="AQ292" s="2286" t="str">
        <f t="shared" si="388"/>
        <v>[Service]</v>
      </c>
      <c r="AR292" s="2287" t="str">
        <f t="shared" si="389"/>
        <v>[Price]</v>
      </c>
      <c r="AS292" s="2288" t="str">
        <f t="shared" si="443"/>
        <v>-</v>
      </c>
      <c r="AT292" s="1720" t="str">
        <f t="shared" si="443"/>
        <v>-</v>
      </c>
      <c r="AU292" s="1720" t="str">
        <f t="shared" si="443"/>
        <v>-</v>
      </c>
      <c r="AV292" s="2289" t="str">
        <f t="shared" si="443"/>
        <v>-</v>
      </c>
      <c r="AW292" s="1720" t="str">
        <f t="shared" si="443"/>
        <v>-</v>
      </c>
      <c r="AX292" s="2290" t="str">
        <f t="shared" si="443"/>
        <v>-</v>
      </c>
      <c r="AY292" s="1720" t="str">
        <f t="shared" si="443"/>
        <v>-</v>
      </c>
      <c r="AZ292" s="1720" t="str">
        <f t="shared" si="443"/>
        <v>-</v>
      </c>
      <c r="BA292" s="1720" t="str">
        <f t="shared" si="443"/>
        <v>-</v>
      </c>
      <c r="BB292" s="1721" t="str">
        <f t="shared" si="443"/>
        <v>-</v>
      </c>
      <c r="BC292" s="1720" t="str">
        <f t="shared" si="443"/>
        <v>-</v>
      </c>
      <c r="BD292" s="1720" t="str">
        <f t="shared" si="443"/>
        <v>-</v>
      </c>
      <c r="BE292" s="1720" t="str">
        <f t="shared" si="443"/>
        <v>-</v>
      </c>
      <c r="BF292" s="1720" t="str">
        <f t="shared" si="443"/>
        <v>-</v>
      </c>
      <c r="BG292" s="1721" t="str">
        <f t="shared" si="443"/>
        <v>-</v>
      </c>
      <c r="BH292" s="1048"/>
      <c r="BI292" s="2285" t="str">
        <f t="shared" si="417"/>
        <v>Qty</v>
      </c>
      <c r="BJ292" s="2286" t="str">
        <f t="shared" si="417"/>
        <v>[Service]</v>
      </c>
      <c r="BK292" s="2287" t="str">
        <f t="shared" si="417"/>
        <v>[Price]</v>
      </c>
      <c r="BL292" s="2288" t="str">
        <f t="shared" ref="BL292:BZ292" si="446">IF(OR(X292="",X292=0),"-",IFERROR((X292/W292-1)*(W293/W$13),"-"))</f>
        <v>-</v>
      </c>
      <c r="BM292" s="1720" t="str">
        <f t="shared" si="446"/>
        <v>-</v>
      </c>
      <c r="BN292" s="1720" t="str">
        <f t="shared" si="446"/>
        <v>-</v>
      </c>
      <c r="BO292" s="2289" t="str">
        <f t="shared" si="446"/>
        <v>-</v>
      </c>
      <c r="BP292" s="1720" t="str">
        <f t="shared" si="446"/>
        <v>-</v>
      </c>
      <c r="BQ292" s="2290" t="str">
        <f t="shared" si="446"/>
        <v>-</v>
      </c>
      <c r="BR292" s="1720" t="str">
        <f t="shared" si="446"/>
        <v>-</v>
      </c>
      <c r="BS292" s="1720" t="str">
        <f t="shared" si="446"/>
        <v>-</v>
      </c>
      <c r="BT292" s="1720" t="str">
        <f t="shared" si="446"/>
        <v>-</v>
      </c>
      <c r="BU292" s="1721" t="str">
        <f t="shared" si="446"/>
        <v>-</v>
      </c>
      <c r="BV292" s="1720" t="str">
        <f t="shared" si="446"/>
        <v>-</v>
      </c>
      <c r="BW292" s="1720" t="str">
        <f t="shared" si="446"/>
        <v>-</v>
      </c>
      <c r="BX292" s="1720" t="str">
        <f t="shared" si="446"/>
        <v>-</v>
      </c>
      <c r="BY292" s="1720" t="str">
        <f t="shared" si="446"/>
        <v>-</v>
      </c>
      <c r="BZ292" s="1721" t="str">
        <f t="shared" si="446"/>
        <v>-</v>
      </c>
      <c r="CA292" s="1048"/>
    </row>
    <row r="293" spans="3:79" ht="12.5" thickBot="1" x14ac:dyDescent="0.35">
      <c r="C293" s="126"/>
      <c r="D293" s="126"/>
      <c r="E293" s="559" t="s">
        <v>47</v>
      </c>
      <c r="F293" s="2162" t="str">
        <f t="shared" ref="F293:I293" si="447">+F291</f>
        <v>[Service]</v>
      </c>
      <c r="G293" s="2165">
        <f t="shared" si="447"/>
        <v>0</v>
      </c>
      <c r="H293" s="2165">
        <f t="shared" si="447"/>
        <v>0</v>
      </c>
      <c r="I293" s="2166" t="str">
        <f t="shared" si="447"/>
        <v>[Price]</v>
      </c>
      <c r="J293" s="2106" t="s">
        <v>347</v>
      </c>
      <c r="K293" s="1977"/>
      <c r="L293" s="1206"/>
      <c r="M293" s="1206"/>
      <c r="N293" s="1978"/>
      <c r="O293" s="1206"/>
      <c r="P293" s="1206"/>
      <c r="Q293" s="1206"/>
      <c r="R293" s="1206"/>
      <c r="S293" s="1978"/>
      <c r="T293" s="1206"/>
      <c r="U293" s="1206"/>
      <c r="V293" s="1206"/>
      <c r="W293" s="1731">
        <f t="shared" ref="W293:AG293" si="448">W291*W292/10^6</f>
        <v>0</v>
      </c>
      <c r="X293" s="1730">
        <f t="shared" si="448"/>
        <v>0</v>
      </c>
      <c r="Y293" s="1731">
        <f t="shared" si="448"/>
        <v>0</v>
      </c>
      <c r="Z293" s="1731">
        <f t="shared" si="448"/>
        <v>0</v>
      </c>
      <c r="AA293" s="1731">
        <f t="shared" si="448"/>
        <v>0</v>
      </c>
      <c r="AB293" s="1733">
        <f t="shared" si="448"/>
        <v>0</v>
      </c>
      <c r="AC293" s="1731">
        <f t="shared" si="448"/>
        <v>0</v>
      </c>
      <c r="AD293" s="1731">
        <f t="shared" si="448"/>
        <v>0</v>
      </c>
      <c r="AE293" s="1731">
        <f t="shared" si="448"/>
        <v>0</v>
      </c>
      <c r="AF293" s="1731">
        <f t="shared" si="448"/>
        <v>0</v>
      </c>
      <c r="AG293" s="1733">
        <f t="shared" si="448"/>
        <v>0</v>
      </c>
      <c r="AH293" s="1731">
        <f>AH291*AH292/10^6</f>
        <v>0</v>
      </c>
      <c r="AI293" s="1731">
        <f>AI291*AI292/10^6</f>
        <v>0</v>
      </c>
      <c r="AJ293" s="1731">
        <f>AJ291*AJ292/10^6</f>
        <v>0</v>
      </c>
      <c r="AK293" s="1731">
        <f>AK291*AK292/10^6</f>
        <v>0</v>
      </c>
      <c r="AL293" s="1733">
        <f>AL291*AL292/10^6</f>
        <v>0</v>
      </c>
      <c r="AM293" s="560"/>
      <c r="AN293" s="991"/>
      <c r="AO293" s="992"/>
      <c r="AP293" s="2304" t="str">
        <f t="shared" si="388"/>
        <v>Rev</v>
      </c>
      <c r="AQ293" s="2305" t="str">
        <f t="shared" si="388"/>
        <v>[Service]</v>
      </c>
      <c r="AR293" s="2306" t="str">
        <f t="shared" si="389"/>
        <v>[Price]</v>
      </c>
      <c r="AS293" s="2307" t="str">
        <f t="shared" si="443"/>
        <v>-</v>
      </c>
      <c r="AT293" s="1055" t="str">
        <f t="shared" si="443"/>
        <v>-</v>
      </c>
      <c r="AU293" s="1055" t="str">
        <f t="shared" si="443"/>
        <v>-</v>
      </c>
      <c r="AV293" s="2308" t="str">
        <f t="shared" si="443"/>
        <v>-</v>
      </c>
      <c r="AW293" s="1055" t="str">
        <f t="shared" si="443"/>
        <v>-</v>
      </c>
      <c r="AX293" s="2309" t="str">
        <f t="shared" si="443"/>
        <v>-</v>
      </c>
      <c r="AY293" s="1055" t="str">
        <f t="shared" si="443"/>
        <v>-</v>
      </c>
      <c r="AZ293" s="1055" t="str">
        <f t="shared" si="443"/>
        <v>-</v>
      </c>
      <c r="BA293" s="1055" t="str">
        <f t="shared" si="443"/>
        <v>-</v>
      </c>
      <c r="BB293" s="1056" t="str">
        <f t="shared" si="443"/>
        <v>-</v>
      </c>
      <c r="BC293" s="1055" t="str">
        <f t="shared" si="443"/>
        <v>-</v>
      </c>
      <c r="BD293" s="1055" t="str">
        <f t="shared" si="443"/>
        <v>-</v>
      </c>
      <c r="BE293" s="1055" t="str">
        <f t="shared" si="443"/>
        <v>-</v>
      </c>
      <c r="BF293" s="1055" t="str">
        <f t="shared" si="443"/>
        <v>-</v>
      </c>
      <c r="BG293" s="1056" t="str">
        <f t="shared" si="443"/>
        <v>-</v>
      </c>
      <c r="BH293" s="1048"/>
      <c r="BI293" s="2304" t="str">
        <f t="shared" si="417"/>
        <v>Rev</v>
      </c>
      <c r="BJ293" s="2305" t="str">
        <f t="shared" si="417"/>
        <v>[Service]</v>
      </c>
      <c r="BK293" s="2306" t="str">
        <f t="shared" si="417"/>
        <v>[Price]</v>
      </c>
      <c r="BL293" s="2307" t="str">
        <f t="shared" ref="BL293:BZ293" si="449">IF(OR(X293="",X293=0),"-",IFERROR((X293/W293-1)*(W293/W$13),"-"))</f>
        <v>-</v>
      </c>
      <c r="BM293" s="1055" t="str">
        <f t="shared" si="449"/>
        <v>-</v>
      </c>
      <c r="BN293" s="1055" t="str">
        <f t="shared" si="449"/>
        <v>-</v>
      </c>
      <c r="BO293" s="2308" t="str">
        <f t="shared" si="449"/>
        <v>-</v>
      </c>
      <c r="BP293" s="1055" t="str">
        <f t="shared" si="449"/>
        <v>-</v>
      </c>
      <c r="BQ293" s="2309" t="str">
        <f t="shared" si="449"/>
        <v>-</v>
      </c>
      <c r="BR293" s="1055" t="str">
        <f t="shared" si="449"/>
        <v>-</v>
      </c>
      <c r="BS293" s="1055" t="str">
        <f t="shared" si="449"/>
        <v>-</v>
      </c>
      <c r="BT293" s="1055" t="str">
        <f t="shared" si="449"/>
        <v>-</v>
      </c>
      <c r="BU293" s="1056" t="str">
        <f t="shared" si="449"/>
        <v>-</v>
      </c>
      <c r="BV293" s="1055" t="str">
        <f t="shared" si="449"/>
        <v>-</v>
      </c>
      <c r="BW293" s="1055" t="str">
        <f t="shared" si="449"/>
        <v>-</v>
      </c>
      <c r="BX293" s="1055" t="str">
        <f t="shared" si="449"/>
        <v>-</v>
      </c>
      <c r="BY293" s="1055" t="str">
        <f t="shared" si="449"/>
        <v>-</v>
      </c>
      <c r="BZ293" s="1056" t="str">
        <f t="shared" si="449"/>
        <v>-</v>
      </c>
      <c r="CA293" s="1048"/>
    </row>
    <row r="294" spans="3:79" x14ac:dyDescent="0.3">
      <c r="C294" s="126"/>
      <c r="D294" s="126">
        <f>D291+1</f>
        <v>76</v>
      </c>
      <c r="E294" s="553" t="s">
        <v>45</v>
      </c>
      <c r="F294" s="2105" t="s">
        <v>28</v>
      </c>
      <c r="G294" s="2105"/>
      <c r="H294" s="2105"/>
      <c r="I294" s="573" t="s">
        <v>319</v>
      </c>
      <c r="J294" s="573" t="s">
        <v>348</v>
      </c>
      <c r="K294" s="1969"/>
      <c r="L294" s="1970"/>
      <c r="M294" s="1970"/>
      <c r="N294" s="1971"/>
      <c r="O294" s="1970"/>
      <c r="P294" s="1970"/>
      <c r="Q294" s="1970"/>
      <c r="R294" s="1972"/>
      <c r="S294" s="1971"/>
      <c r="T294" s="1970"/>
      <c r="U294" s="1970"/>
      <c r="V294" s="1970"/>
      <c r="W294" s="575"/>
      <c r="X294" s="1238"/>
      <c r="Y294" s="575"/>
      <c r="Z294" s="575"/>
      <c r="AA294" s="575"/>
      <c r="AB294" s="1142"/>
      <c r="AC294" s="575"/>
      <c r="AD294" s="575"/>
      <c r="AE294" s="575"/>
      <c r="AF294" s="575"/>
      <c r="AG294" s="577"/>
      <c r="AH294" s="575"/>
      <c r="AI294" s="575"/>
      <c r="AJ294" s="575"/>
      <c r="AK294" s="575"/>
      <c r="AL294" s="577"/>
      <c r="AM294" s="560"/>
      <c r="AN294" s="1052"/>
      <c r="AO294" s="992"/>
      <c r="AP294" s="2297" t="str">
        <f t="shared" si="388"/>
        <v>Price</v>
      </c>
      <c r="AQ294" s="2298" t="str">
        <f t="shared" si="388"/>
        <v>[Service]</v>
      </c>
      <c r="AR294" s="1719" t="str">
        <f t="shared" si="389"/>
        <v>[Price]</v>
      </c>
      <c r="AS294" s="2299" t="str">
        <f t="shared" si="443"/>
        <v>-</v>
      </c>
      <c r="AT294" s="1728" t="str">
        <f t="shared" si="443"/>
        <v>-</v>
      </c>
      <c r="AU294" s="1728" t="str">
        <f t="shared" si="443"/>
        <v>-</v>
      </c>
      <c r="AV294" s="2300" t="str">
        <f t="shared" si="443"/>
        <v>-</v>
      </c>
      <c r="AW294" s="1728" t="str">
        <f t="shared" si="443"/>
        <v>-</v>
      </c>
      <c r="AX294" s="2301" t="str">
        <f t="shared" si="443"/>
        <v>-</v>
      </c>
      <c r="AY294" s="1728" t="str">
        <f t="shared" si="443"/>
        <v>-</v>
      </c>
      <c r="AZ294" s="1728" t="str">
        <f t="shared" si="443"/>
        <v>-</v>
      </c>
      <c r="BA294" s="1728" t="str">
        <f t="shared" si="443"/>
        <v>-</v>
      </c>
      <c r="BB294" s="1729" t="str">
        <f t="shared" si="443"/>
        <v>-</v>
      </c>
      <c r="BC294" s="1728" t="str">
        <f t="shared" si="443"/>
        <v>-</v>
      </c>
      <c r="BD294" s="1728" t="str">
        <f t="shared" si="443"/>
        <v>-</v>
      </c>
      <c r="BE294" s="1728" t="str">
        <f t="shared" si="443"/>
        <v>-</v>
      </c>
      <c r="BF294" s="1728" t="str">
        <f t="shared" si="443"/>
        <v>-</v>
      </c>
      <c r="BG294" s="1729" t="str">
        <f t="shared" si="443"/>
        <v>-</v>
      </c>
      <c r="BH294" s="1048"/>
      <c r="BI294" s="2297" t="str">
        <f t="shared" si="417"/>
        <v>Price</v>
      </c>
      <c r="BJ294" s="2298" t="str">
        <f t="shared" si="417"/>
        <v>[Service]</v>
      </c>
      <c r="BK294" s="1719" t="str">
        <f t="shared" si="417"/>
        <v>[Price]</v>
      </c>
      <c r="BL294" s="2299" t="str">
        <f t="shared" ref="BL294:BZ294" si="450">IF(OR(X294="",X294=0),"-",IFERROR((X294/W294-1)*(W296/W$13),"-"))</f>
        <v>-</v>
      </c>
      <c r="BM294" s="1053" t="str">
        <f t="shared" si="450"/>
        <v>-</v>
      </c>
      <c r="BN294" s="1053" t="str">
        <f t="shared" si="450"/>
        <v>-</v>
      </c>
      <c r="BO294" s="2302" t="str">
        <f t="shared" si="450"/>
        <v>-</v>
      </c>
      <c r="BP294" s="1053" t="str">
        <f t="shared" si="450"/>
        <v>-</v>
      </c>
      <c r="BQ294" s="2303" t="str">
        <f t="shared" si="450"/>
        <v>-</v>
      </c>
      <c r="BR294" s="1053" t="str">
        <f t="shared" si="450"/>
        <v>-</v>
      </c>
      <c r="BS294" s="1053" t="str">
        <f t="shared" si="450"/>
        <v>-</v>
      </c>
      <c r="BT294" s="1053" t="str">
        <f t="shared" si="450"/>
        <v>-</v>
      </c>
      <c r="BU294" s="1054" t="str">
        <f t="shared" si="450"/>
        <v>-</v>
      </c>
      <c r="BV294" s="1053" t="str">
        <f t="shared" si="450"/>
        <v>-</v>
      </c>
      <c r="BW294" s="1053" t="str">
        <f t="shared" si="450"/>
        <v>-</v>
      </c>
      <c r="BX294" s="1053" t="str">
        <f t="shared" si="450"/>
        <v>-</v>
      </c>
      <c r="BY294" s="1053" t="str">
        <f t="shared" si="450"/>
        <v>-</v>
      </c>
      <c r="BZ294" s="1054" t="str">
        <f t="shared" si="450"/>
        <v>-</v>
      </c>
      <c r="CA294" s="1048"/>
    </row>
    <row r="295" spans="3:79" x14ac:dyDescent="0.3">
      <c r="C295" s="126"/>
      <c r="D295" s="126"/>
      <c r="E295" s="558" t="s">
        <v>46</v>
      </c>
      <c r="F295" s="2161" t="str">
        <f t="shared" si="434"/>
        <v>[Service]</v>
      </c>
      <c r="G295" s="2163">
        <f t="shared" si="434"/>
        <v>0</v>
      </c>
      <c r="H295" s="2163">
        <f t="shared" si="434"/>
        <v>0</v>
      </c>
      <c r="I295" s="2164" t="str">
        <f t="shared" si="434"/>
        <v>[Price]</v>
      </c>
      <c r="J295" s="574" t="s">
        <v>323</v>
      </c>
      <c r="K295" s="1973"/>
      <c r="L295" s="1974"/>
      <c r="M295" s="1974"/>
      <c r="N295" s="1975"/>
      <c r="O295" s="1974"/>
      <c r="P295" s="1974"/>
      <c r="Q295" s="1974"/>
      <c r="R295" s="1976"/>
      <c r="S295" s="1975"/>
      <c r="T295" s="1974"/>
      <c r="U295" s="1974"/>
      <c r="V295" s="1974"/>
      <c r="W295" s="578"/>
      <c r="X295" s="1239"/>
      <c r="Y295" s="578"/>
      <c r="Z295" s="578"/>
      <c r="AA295" s="578"/>
      <c r="AB295" s="1143"/>
      <c r="AC295" s="578"/>
      <c r="AD295" s="578"/>
      <c r="AE295" s="578"/>
      <c r="AF295" s="578"/>
      <c r="AG295" s="580"/>
      <c r="AH295" s="578"/>
      <c r="AI295" s="578"/>
      <c r="AJ295" s="578"/>
      <c r="AK295" s="578"/>
      <c r="AL295" s="580"/>
      <c r="AM295" s="560"/>
      <c r="AN295" s="991"/>
      <c r="AO295" s="992"/>
      <c r="AP295" s="2285" t="str">
        <f t="shared" si="388"/>
        <v>Qty</v>
      </c>
      <c r="AQ295" s="2286" t="str">
        <f t="shared" si="388"/>
        <v>[Service]</v>
      </c>
      <c r="AR295" s="2287" t="str">
        <f t="shared" si="389"/>
        <v>[Price]</v>
      </c>
      <c r="AS295" s="2288" t="str">
        <f t="shared" si="443"/>
        <v>-</v>
      </c>
      <c r="AT295" s="1720" t="str">
        <f t="shared" si="443"/>
        <v>-</v>
      </c>
      <c r="AU295" s="1720" t="str">
        <f t="shared" si="443"/>
        <v>-</v>
      </c>
      <c r="AV295" s="2289" t="str">
        <f t="shared" si="443"/>
        <v>-</v>
      </c>
      <c r="AW295" s="1720" t="str">
        <f t="shared" si="443"/>
        <v>-</v>
      </c>
      <c r="AX295" s="2290" t="str">
        <f t="shared" si="443"/>
        <v>-</v>
      </c>
      <c r="AY295" s="1720" t="str">
        <f t="shared" si="443"/>
        <v>-</v>
      </c>
      <c r="AZ295" s="1720" t="str">
        <f t="shared" si="443"/>
        <v>-</v>
      </c>
      <c r="BA295" s="1720" t="str">
        <f t="shared" si="443"/>
        <v>-</v>
      </c>
      <c r="BB295" s="1721" t="str">
        <f t="shared" si="443"/>
        <v>-</v>
      </c>
      <c r="BC295" s="1720" t="str">
        <f t="shared" si="443"/>
        <v>-</v>
      </c>
      <c r="BD295" s="1720" t="str">
        <f t="shared" si="443"/>
        <v>-</v>
      </c>
      <c r="BE295" s="1720" t="str">
        <f t="shared" si="443"/>
        <v>-</v>
      </c>
      <c r="BF295" s="1720" t="str">
        <f t="shared" si="443"/>
        <v>-</v>
      </c>
      <c r="BG295" s="1721" t="str">
        <f t="shared" si="443"/>
        <v>-</v>
      </c>
      <c r="BH295" s="1048"/>
      <c r="BI295" s="2285" t="str">
        <f t="shared" si="417"/>
        <v>Qty</v>
      </c>
      <c r="BJ295" s="2286" t="str">
        <f t="shared" si="417"/>
        <v>[Service]</v>
      </c>
      <c r="BK295" s="2287" t="str">
        <f t="shared" si="417"/>
        <v>[Price]</v>
      </c>
      <c r="BL295" s="2288" t="str">
        <f t="shared" ref="BL295:BZ295" si="451">IF(OR(X295="",X295=0),"-",IFERROR((X295/W295-1)*(W296/W$13),"-"))</f>
        <v>-</v>
      </c>
      <c r="BM295" s="1720" t="str">
        <f t="shared" si="451"/>
        <v>-</v>
      </c>
      <c r="BN295" s="1720" t="str">
        <f t="shared" si="451"/>
        <v>-</v>
      </c>
      <c r="BO295" s="2289" t="str">
        <f t="shared" si="451"/>
        <v>-</v>
      </c>
      <c r="BP295" s="1720" t="str">
        <f t="shared" si="451"/>
        <v>-</v>
      </c>
      <c r="BQ295" s="2290" t="str">
        <f t="shared" si="451"/>
        <v>-</v>
      </c>
      <c r="BR295" s="1720" t="str">
        <f t="shared" si="451"/>
        <v>-</v>
      </c>
      <c r="BS295" s="1720" t="str">
        <f t="shared" si="451"/>
        <v>-</v>
      </c>
      <c r="BT295" s="1720" t="str">
        <f t="shared" si="451"/>
        <v>-</v>
      </c>
      <c r="BU295" s="1721" t="str">
        <f t="shared" si="451"/>
        <v>-</v>
      </c>
      <c r="BV295" s="1720" t="str">
        <f t="shared" si="451"/>
        <v>-</v>
      </c>
      <c r="BW295" s="1720" t="str">
        <f t="shared" si="451"/>
        <v>-</v>
      </c>
      <c r="BX295" s="1720" t="str">
        <f t="shared" si="451"/>
        <v>-</v>
      </c>
      <c r="BY295" s="1720" t="str">
        <f t="shared" si="451"/>
        <v>-</v>
      </c>
      <c r="BZ295" s="1721" t="str">
        <f t="shared" si="451"/>
        <v>-</v>
      </c>
      <c r="CA295" s="1048"/>
    </row>
    <row r="296" spans="3:79" ht="12.5" thickBot="1" x14ac:dyDescent="0.35">
      <c r="C296" s="126"/>
      <c r="D296" s="126"/>
      <c r="E296" s="559" t="s">
        <v>47</v>
      </c>
      <c r="F296" s="2162" t="str">
        <f t="shared" ref="F296:I296" si="452">+F294</f>
        <v>[Service]</v>
      </c>
      <c r="G296" s="2165">
        <f t="shared" si="452"/>
        <v>0</v>
      </c>
      <c r="H296" s="2165">
        <f t="shared" si="452"/>
        <v>0</v>
      </c>
      <c r="I296" s="2166" t="str">
        <f t="shared" si="452"/>
        <v>[Price]</v>
      </c>
      <c r="J296" s="2106" t="s">
        <v>347</v>
      </c>
      <c r="K296" s="1977"/>
      <c r="L296" s="1206"/>
      <c r="M296" s="1206"/>
      <c r="N296" s="1978"/>
      <c r="O296" s="1206"/>
      <c r="P296" s="1206"/>
      <c r="Q296" s="1206"/>
      <c r="R296" s="1206"/>
      <c r="S296" s="1978"/>
      <c r="T296" s="1206"/>
      <c r="U296" s="1206"/>
      <c r="V296" s="1206"/>
      <c r="W296" s="1731">
        <f t="shared" ref="W296:AG296" si="453">W294*W295/10^6</f>
        <v>0</v>
      </c>
      <c r="X296" s="1730">
        <f t="shared" si="453"/>
        <v>0</v>
      </c>
      <c r="Y296" s="1731">
        <f t="shared" si="453"/>
        <v>0</v>
      </c>
      <c r="Z296" s="1731">
        <f t="shared" si="453"/>
        <v>0</v>
      </c>
      <c r="AA296" s="1731">
        <f t="shared" si="453"/>
        <v>0</v>
      </c>
      <c r="AB296" s="1733">
        <f t="shared" si="453"/>
        <v>0</v>
      </c>
      <c r="AC296" s="1731">
        <f t="shared" si="453"/>
        <v>0</v>
      </c>
      <c r="AD296" s="1731">
        <f t="shared" si="453"/>
        <v>0</v>
      </c>
      <c r="AE296" s="1731">
        <f t="shared" si="453"/>
        <v>0</v>
      </c>
      <c r="AF296" s="1731">
        <f t="shared" si="453"/>
        <v>0</v>
      </c>
      <c r="AG296" s="1733">
        <f t="shared" si="453"/>
        <v>0</v>
      </c>
      <c r="AH296" s="1731">
        <f>AH294*AH295/10^6</f>
        <v>0</v>
      </c>
      <c r="AI296" s="1731">
        <f>AI294*AI295/10^6</f>
        <v>0</v>
      </c>
      <c r="AJ296" s="1731">
        <f>AJ294*AJ295/10^6</f>
        <v>0</v>
      </c>
      <c r="AK296" s="1731">
        <f>AK294*AK295/10^6</f>
        <v>0</v>
      </c>
      <c r="AL296" s="1733">
        <f>AL294*AL295/10^6</f>
        <v>0</v>
      </c>
      <c r="AM296" s="560"/>
      <c r="AN296" s="991"/>
      <c r="AO296" s="992"/>
      <c r="AP296" s="2304" t="str">
        <f t="shared" si="388"/>
        <v>Rev</v>
      </c>
      <c r="AQ296" s="2305" t="str">
        <f t="shared" si="388"/>
        <v>[Service]</v>
      </c>
      <c r="AR296" s="2306" t="str">
        <f t="shared" si="389"/>
        <v>[Price]</v>
      </c>
      <c r="AS296" s="2307" t="str">
        <f t="shared" si="443"/>
        <v>-</v>
      </c>
      <c r="AT296" s="1055" t="str">
        <f t="shared" si="443"/>
        <v>-</v>
      </c>
      <c r="AU296" s="1055" t="str">
        <f t="shared" si="443"/>
        <v>-</v>
      </c>
      <c r="AV296" s="2308" t="str">
        <f t="shared" si="443"/>
        <v>-</v>
      </c>
      <c r="AW296" s="1055" t="str">
        <f t="shared" si="443"/>
        <v>-</v>
      </c>
      <c r="AX296" s="2309" t="str">
        <f t="shared" si="443"/>
        <v>-</v>
      </c>
      <c r="AY296" s="1055" t="str">
        <f t="shared" si="443"/>
        <v>-</v>
      </c>
      <c r="AZ296" s="1055" t="str">
        <f t="shared" si="443"/>
        <v>-</v>
      </c>
      <c r="BA296" s="1055" t="str">
        <f t="shared" si="443"/>
        <v>-</v>
      </c>
      <c r="BB296" s="1056" t="str">
        <f t="shared" si="443"/>
        <v>-</v>
      </c>
      <c r="BC296" s="1055" t="str">
        <f t="shared" si="443"/>
        <v>-</v>
      </c>
      <c r="BD296" s="1055" t="str">
        <f t="shared" si="443"/>
        <v>-</v>
      </c>
      <c r="BE296" s="1055" t="str">
        <f t="shared" si="443"/>
        <v>-</v>
      </c>
      <c r="BF296" s="1055" t="str">
        <f t="shared" si="443"/>
        <v>-</v>
      </c>
      <c r="BG296" s="1056" t="str">
        <f t="shared" si="443"/>
        <v>-</v>
      </c>
      <c r="BH296" s="1048"/>
      <c r="BI296" s="2304" t="str">
        <f t="shared" si="417"/>
        <v>Rev</v>
      </c>
      <c r="BJ296" s="2305" t="str">
        <f t="shared" si="417"/>
        <v>[Service]</v>
      </c>
      <c r="BK296" s="2306" t="str">
        <f t="shared" si="417"/>
        <v>[Price]</v>
      </c>
      <c r="BL296" s="2307" t="str">
        <f t="shared" ref="BL296:BZ296" si="454">IF(OR(X296="",X296=0),"-",IFERROR((X296/W296-1)*(W296/W$13),"-"))</f>
        <v>-</v>
      </c>
      <c r="BM296" s="1055" t="str">
        <f t="shared" si="454"/>
        <v>-</v>
      </c>
      <c r="BN296" s="1055" t="str">
        <f t="shared" si="454"/>
        <v>-</v>
      </c>
      <c r="BO296" s="2308" t="str">
        <f t="shared" si="454"/>
        <v>-</v>
      </c>
      <c r="BP296" s="1055" t="str">
        <f t="shared" si="454"/>
        <v>-</v>
      </c>
      <c r="BQ296" s="2309" t="str">
        <f t="shared" si="454"/>
        <v>-</v>
      </c>
      <c r="BR296" s="1055" t="str">
        <f t="shared" si="454"/>
        <v>-</v>
      </c>
      <c r="BS296" s="1055" t="str">
        <f t="shared" si="454"/>
        <v>-</v>
      </c>
      <c r="BT296" s="1055" t="str">
        <f t="shared" si="454"/>
        <v>-</v>
      </c>
      <c r="BU296" s="1056" t="str">
        <f t="shared" si="454"/>
        <v>-</v>
      </c>
      <c r="BV296" s="1055" t="str">
        <f t="shared" si="454"/>
        <v>-</v>
      </c>
      <c r="BW296" s="1055" t="str">
        <f t="shared" si="454"/>
        <v>-</v>
      </c>
      <c r="BX296" s="1055" t="str">
        <f t="shared" si="454"/>
        <v>-</v>
      </c>
      <c r="BY296" s="1055" t="str">
        <f t="shared" si="454"/>
        <v>-</v>
      </c>
      <c r="BZ296" s="1056" t="str">
        <f t="shared" si="454"/>
        <v>-</v>
      </c>
      <c r="CA296" s="1048"/>
    </row>
    <row r="297" spans="3:79" x14ac:dyDescent="0.3">
      <c r="C297" s="126"/>
      <c r="D297" s="126">
        <f>D294+1</f>
        <v>77</v>
      </c>
      <c r="E297" s="553" t="s">
        <v>45</v>
      </c>
      <c r="F297" s="2105" t="s">
        <v>28</v>
      </c>
      <c r="G297" s="2105"/>
      <c r="H297" s="2105"/>
      <c r="I297" s="573" t="s">
        <v>319</v>
      </c>
      <c r="J297" s="573" t="s">
        <v>348</v>
      </c>
      <c r="K297" s="1969"/>
      <c r="L297" s="1970"/>
      <c r="M297" s="1970"/>
      <c r="N297" s="1971"/>
      <c r="O297" s="1970"/>
      <c r="P297" s="1970"/>
      <c r="Q297" s="1970"/>
      <c r="R297" s="1972"/>
      <c r="S297" s="1971"/>
      <c r="T297" s="1970"/>
      <c r="U297" s="1970"/>
      <c r="V297" s="1970"/>
      <c r="W297" s="575"/>
      <c r="X297" s="1238"/>
      <c r="Y297" s="575"/>
      <c r="Z297" s="575"/>
      <c r="AA297" s="575"/>
      <c r="AB297" s="1142"/>
      <c r="AC297" s="575"/>
      <c r="AD297" s="575"/>
      <c r="AE297" s="575"/>
      <c r="AF297" s="575"/>
      <c r="AG297" s="577"/>
      <c r="AH297" s="575"/>
      <c r="AI297" s="575"/>
      <c r="AJ297" s="575"/>
      <c r="AK297" s="575"/>
      <c r="AL297" s="577"/>
      <c r="AM297" s="560"/>
      <c r="AN297" s="1052"/>
      <c r="AO297" s="992"/>
      <c r="AP297" s="2297" t="str">
        <f t="shared" si="388"/>
        <v>Price</v>
      </c>
      <c r="AQ297" s="2298" t="str">
        <f t="shared" si="388"/>
        <v>[Service]</v>
      </c>
      <c r="AR297" s="1719" t="str">
        <f t="shared" si="389"/>
        <v>[Price]</v>
      </c>
      <c r="AS297" s="2299" t="str">
        <f t="shared" si="443"/>
        <v>-</v>
      </c>
      <c r="AT297" s="1728" t="str">
        <f t="shared" si="443"/>
        <v>-</v>
      </c>
      <c r="AU297" s="1728" t="str">
        <f t="shared" si="443"/>
        <v>-</v>
      </c>
      <c r="AV297" s="2300" t="str">
        <f t="shared" si="443"/>
        <v>-</v>
      </c>
      <c r="AW297" s="1728" t="str">
        <f t="shared" si="443"/>
        <v>-</v>
      </c>
      <c r="AX297" s="2301" t="str">
        <f t="shared" si="443"/>
        <v>-</v>
      </c>
      <c r="AY297" s="1728" t="str">
        <f t="shared" si="443"/>
        <v>-</v>
      </c>
      <c r="AZ297" s="1728" t="str">
        <f t="shared" si="443"/>
        <v>-</v>
      </c>
      <c r="BA297" s="1728" t="str">
        <f t="shared" si="443"/>
        <v>-</v>
      </c>
      <c r="BB297" s="1729" t="str">
        <f t="shared" si="443"/>
        <v>-</v>
      </c>
      <c r="BC297" s="1728" t="str">
        <f t="shared" si="443"/>
        <v>-</v>
      </c>
      <c r="BD297" s="1728" t="str">
        <f t="shared" si="443"/>
        <v>-</v>
      </c>
      <c r="BE297" s="1728" t="str">
        <f t="shared" si="443"/>
        <v>-</v>
      </c>
      <c r="BF297" s="1728" t="str">
        <f t="shared" si="443"/>
        <v>-</v>
      </c>
      <c r="BG297" s="1729" t="str">
        <f t="shared" si="443"/>
        <v>-</v>
      </c>
      <c r="BH297" s="1048"/>
      <c r="BI297" s="2297" t="str">
        <f t="shared" si="417"/>
        <v>Price</v>
      </c>
      <c r="BJ297" s="2298" t="str">
        <f t="shared" si="417"/>
        <v>[Service]</v>
      </c>
      <c r="BK297" s="1719" t="str">
        <f t="shared" si="417"/>
        <v>[Price]</v>
      </c>
      <c r="BL297" s="2299" t="str">
        <f t="shared" ref="BL297:BZ297" si="455">IF(OR(X297="",X297=0),"-",IFERROR((X297/W297-1)*(W299/W$13),"-"))</f>
        <v>-</v>
      </c>
      <c r="BM297" s="1053" t="str">
        <f t="shared" si="455"/>
        <v>-</v>
      </c>
      <c r="BN297" s="1053" t="str">
        <f t="shared" si="455"/>
        <v>-</v>
      </c>
      <c r="BO297" s="2302" t="str">
        <f t="shared" si="455"/>
        <v>-</v>
      </c>
      <c r="BP297" s="1053" t="str">
        <f t="shared" si="455"/>
        <v>-</v>
      </c>
      <c r="BQ297" s="2303" t="str">
        <f t="shared" si="455"/>
        <v>-</v>
      </c>
      <c r="BR297" s="1053" t="str">
        <f t="shared" si="455"/>
        <v>-</v>
      </c>
      <c r="BS297" s="1053" t="str">
        <f t="shared" si="455"/>
        <v>-</v>
      </c>
      <c r="BT297" s="1053" t="str">
        <f t="shared" si="455"/>
        <v>-</v>
      </c>
      <c r="BU297" s="1054" t="str">
        <f t="shared" si="455"/>
        <v>-</v>
      </c>
      <c r="BV297" s="1053" t="str">
        <f t="shared" si="455"/>
        <v>-</v>
      </c>
      <c r="BW297" s="1053" t="str">
        <f t="shared" si="455"/>
        <v>-</v>
      </c>
      <c r="BX297" s="1053" t="str">
        <f t="shared" si="455"/>
        <v>-</v>
      </c>
      <c r="BY297" s="1053" t="str">
        <f t="shared" si="455"/>
        <v>-</v>
      </c>
      <c r="BZ297" s="1054" t="str">
        <f t="shared" si="455"/>
        <v>-</v>
      </c>
      <c r="CA297" s="1048"/>
    </row>
    <row r="298" spans="3:79" x14ac:dyDescent="0.3">
      <c r="C298" s="126"/>
      <c r="D298" s="126"/>
      <c r="E298" s="558" t="s">
        <v>46</v>
      </c>
      <c r="F298" s="2161" t="str">
        <f t="shared" si="434"/>
        <v>[Service]</v>
      </c>
      <c r="G298" s="2163">
        <f t="shared" si="434"/>
        <v>0</v>
      </c>
      <c r="H298" s="2163">
        <f t="shared" si="434"/>
        <v>0</v>
      </c>
      <c r="I298" s="2164" t="str">
        <f t="shared" si="434"/>
        <v>[Price]</v>
      </c>
      <c r="J298" s="574" t="s">
        <v>323</v>
      </c>
      <c r="K298" s="1973"/>
      <c r="L298" s="1974"/>
      <c r="M298" s="1974"/>
      <c r="N298" s="1975"/>
      <c r="O298" s="1974"/>
      <c r="P298" s="1974"/>
      <c r="Q298" s="1974"/>
      <c r="R298" s="1976"/>
      <c r="S298" s="1975"/>
      <c r="T298" s="1974"/>
      <c r="U298" s="1974"/>
      <c r="V298" s="1974"/>
      <c r="W298" s="578"/>
      <c r="X298" s="1239"/>
      <c r="Y298" s="578"/>
      <c r="Z298" s="578"/>
      <c r="AA298" s="578"/>
      <c r="AB298" s="1143"/>
      <c r="AC298" s="578"/>
      <c r="AD298" s="578"/>
      <c r="AE298" s="578"/>
      <c r="AF298" s="578"/>
      <c r="AG298" s="580"/>
      <c r="AH298" s="578"/>
      <c r="AI298" s="578"/>
      <c r="AJ298" s="578"/>
      <c r="AK298" s="578"/>
      <c r="AL298" s="580"/>
      <c r="AM298" s="560"/>
      <c r="AN298" s="991"/>
      <c r="AO298" s="992"/>
      <c r="AP298" s="2285" t="str">
        <f t="shared" si="388"/>
        <v>Qty</v>
      </c>
      <c r="AQ298" s="2286" t="str">
        <f t="shared" si="388"/>
        <v>[Service]</v>
      </c>
      <c r="AR298" s="2287" t="str">
        <f t="shared" si="389"/>
        <v>[Price]</v>
      </c>
      <c r="AS298" s="2288" t="str">
        <f t="shared" si="443"/>
        <v>-</v>
      </c>
      <c r="AT298" s="1720" t="str">
        <f t="shared" si="443"/>
        <v>-</v>
      </c>
      <c r="AU298" s="1720" t="str">
        <f t="shared" si="443"/>
        <v>-</v>
      </c>
      <c r="AV298" s="2289" t="str">
        <f t="shared" si="443"/>
        <v>-</v>
      </c>
      <c r="AW298" s="1720" t="str">
        <f t="shared" si="443"/>
        <v>-</v>
      </c>
      <c r="AX298" s="2290" t="str">
        <f t="shared" si="443"/>
        <v>-</v>
      </c>
      <c r="AY298" s="1720" t="str">
        <f t="shared" si="443"/>
        <v>-</v>
      </c>
      <c r="AZ298" s="1720" t="str">
        <f t="shared" si="443"/>
        <v>-</v>
      </c>
      <c r="BA298" s="1720" t="str">
        <f t="shared" si="443"/>
        <v>-</v>
      </c>
      <c r="BB298" s="1721" t="str">
        <f t="shared" si="443"/>
        <v>-</v>
      </c>
      <c r="BC298" s="1720" t="str">
        <f t="shared" si="443"/>
        <v>-</v>
      </c>
      <c r="BD298" s="1720" t="str">
        <f t="shared" si="443"/>
        <v>-</v>
      </c>
      <c r="BE298" s="1720" t="str">
        <f t="shared" si="443"/>
        <v>-</v>
      </c>
      <c r="BF298" s="1720" t="str">
        <f t="shared" si="443"/>
        <v>-</v>
      </c>
      <c r="BG298" s="1721" t="str">
        <f t="shared" si="443"/>
        <v>-</v>
      </c>
      <c r="BH298" s="1048"/>
      <c r="BI298" s="2285" t="str">
        <f t="shared" si="417"/>
        <v>Qty</v>
      </c>
      <c r="BJ298" s="2286" t="str">
        <f t="shared" si="417"/>
        <v>[Service]</v>
      </c>
      <c r="BK298" s="2287" t="str">
        <f t="shared" si="417"/>
        <v>[Price]</v>
      </c>
      <c r="BL298" s="2288" t="str">
        <f t="shared" ref="BL298:BZ298" si="456">IF(OR(X298="",X298=0),"-",IFERROR((X298/W298-1)*(W299/W$13),"-"))</f>
        <v>-</v>
      </c>
      <c r="BM298" s="1720" t="str">
        <f t="shared" si="456"/>
        <v>-</v>
      </c>
      <c r="BN298" s="1720" t="str">
        <f t="shared" si="456"/>
        <v>-</v>
      </c>
      <c r="BO298" s="2289" t="str">
        <f t="shared" si="456"/>
        <v>-</v>
      </c>
      <c r="BP298" s="1720" t="str">
        <f t="shared" si="456"/>
        <v>-</v>
      </c>
      <c r="BQ298" s="2290" t="str">
        <f t="shared" si="456"/>
        <v>-</v>
      </c>
      <c r="BR298" s="1720" t="str">
        <f t="shared" si="456"/>
        <v>-</v>
      </c>
      <c r="BS298" s="1720" t="str">
        <f t="shared" si="456"/>
        <v>-</v>
      </c>
      <c r="BT298" s="1720" t="str">
        <f t="shared" si="456"/>
        <v>-</v>
      </c>
      <c r="BU298" s="1721" t="str">
        <f t="shared" si="456"/>
        <v>-</v>
      </c>
      <c r="BV298" s="1720" t="str">
        <f t="shared" si="456"/>
        <v>-</v>
      </c>
      <c r="BW298" s="1720" t="str">
        <f t="shared" si="456"/>
        <v>-</v>
      </c>
      <c r="BX298" s="1720" t="str">
        <f t="shared" si="456"/>
        <v>-</v>
      </c>
      <c r="BY298" s="1720" t="str">
        <f t="shared" si="456"/>
        <v>-</v>
      </c>
      <c r="BZ298" s="1721" t="str">
        <f t="shared" si="456"/>
        <v>-</v>
      </c>
      <c r="CA298" s="1048"/>
    </row>
    <row r="299" spans="3:79" ht="12.5" thickBot="1" x14ac:dyDescent="0.35">
      <c r="C299" s="126"/>
      <c r="D299" s="126"/>
      <c r="E299" s="559" t="s">
        <v>47</v>
      </c>
      <c r="F299" s="2162" t="str">
        <f t="shared" ref="F299:I299" si="457">+F297</f>
        <v>[Service]</v>
      </c>
      <c r="G299" s="2165">
        <f t="shared" si="457"/>
        <v>0</v>
      </c>
      <c r="H299" s="2165">
        <f t="shared" si="457"/>
        <v>0</v>
      </c>
      <c r="I299" s="2166" t="str">
        <f t="shared" si="457"/>
        <v>[Price]</v>
      </c>
      <c r="J299" s="2106" t="s">
        <v>347</v>
      </c>
      <c r="K299" s="1977"/>
      <c r="L299" s="1206"/>
      <c r="M299" s="1206"/>
      <c r="N299" s="1978"/>
      <c r="O299" s="1206"/>
      <c r="P299" s="1206"/>
      <c r="Q299" s="1206"/>
      <c r="R299" s="1206"/>
      <c r="S299" s="1978"/>
      <c r="T299" s="1206"/>
      <c r="U299" s="1206"/>
      <c r="V299" s="1206"/>
      <c r="W299" s="1731">
        <f t="shared" ref="W299:AG299" si="458">W297*W298/10^6</f>
        <v>0</v>
      </c>
      <c r="X299" s="1730">
        <f t="shared" si="458"/>
        <v>0</v>
      </c>
      <c r="Y299" s="1731">
        <f t="shared" si="458"/>
        <v>0</v>
      </c>
      <c r="Z299" s="1731">
        <f t="shared" si="458"/>
        <v>0</v>
      </c>
      <c r="AA299" s="1731">
        <f t="shared" si="458"/>
        <v>0</v>
      </c>
      <c r="AB299" s="1733">
        <f t="shared" si="458"/>
        <v>0</v>
      </c>
      <c r="AC299" s="1731">
        <f t="shared" si="458"/>
        <v>0</v>
      </c>
      <c r="AD299" s="1731">
        <f t="shared" si="458"/>
        <v>0</v>
      </c>
      <c r="AE299" s="1731">
        <f t="shared" si="458"/>
        <v>0</v>
      </c>
      <c r="AF299" s="1731">
        <f t="shared" si="458"/>
        <v>0</v>
      </c>
      <c r="AG299" s="1733">
        <f t="shared" si="458"/>
        <v>0</v>
      </c>
      <c r="AH299" s="1731">
        <f>AH297*AH298/10^6</f>
        <v>0</v>
      </c>
      <c r="AI299" s="1731">
        <f>AI297*AI298/10^6</f>
        <v>0</v>
      </c>
      <c r="AJ299" s="1731">
        <f>AJ297*AJ298/10^6</f>
        <v>0</v>
      </c>
      <c r="AK299" s="1731">
        <f>AK297*AK298/10^6</f>
        <v>0</v>
      </c>
      <c r="AL299" s="1733">
        <f>AL297*AL298/10^6</f>
        <v>0</v>
      </c>
      <c r="AM299" s="560"/>
      <c r="AN299" s="991"/>
      <c r="AO299" s="992"/>
      <c r="AP299" s="2304" t="str">
        <f t="shared" si="388"/>
        <v>Rev</v>
      </c>
      <c r="AQ299" s="2305" t="str">
        <f t="shared" si="388"/>
        <v>[Service]</v>
      </c>
      <c r="AR299" s="2306" t="str">
        <f t="shared" si="389"/>
        <v>[Price]</v>
      </c>
      <c r="AS299" s="2307" t="str">
        <f t="shared" si="443"/>
        <v>-</v>
      </c>
      <c r="AT299" s="1055" t="str">
        <f t="shared" si="443"/>
        <v>-</v>
      </c>
      <c r="AU299" s="1055" t="str">
        <f t="shared" si="443"/>
        <v>-</v>
      </c>
      <c r="AV299" s="2308" t="str">
        <f t="shared" si="443"/>
        <v>-</v>
      </c>
      <c r="AW299" s="1055" t="str">
        <f t="shared" si="443"/>
        <v>-</v>
      </c>
      <c r="AX299" s="2309" t="str">
        <f t="shared" si="443"/>
        <v>-</v>
      </c>
      <c r="AY299" s="1055" t="str">
        <f t="shared" si="443"/>
        <v>-</v>
      </c>
      <c r="AZ299" s="1055" t="str">
        <f t="shared" si="443"/>
        <v>-</v>
      </c>
      <c r="BA299" s="1055" t="str">
        <f t="shared" si="443"/>
        <v>-</v>
      </c>
      <c r="BB299" s="1056" t="str">
        <f t="shared" si="443"/>
        <v>-</v>
      </c>
      <c r="BC299" s="1055" t="str">
        <f t="shared" si="443"/>
        <v>-</v>
      </c>
      <c r="BD299" s="1055" t="str">
        <f t="shared" si="443"/>
        <v>-</v>
      </c>
      <c r="BE299" s="1055" t="str">
        <f t="shared" si="443"/>
        <v>-</v>
      </c>
      <c r="BF299" s="1055" t="str">
        <f t="shared" si="443"/>
        <v>-</v>
      </c>
      <c r="BG299" s="1056" t="str">
        <f t="shared" si="443"/>
        <v>-</v>
      </c>
      <c r="BH299" s="1048"/>
      <c r="BI299" s="2304" t="str">
        <f t="shared" si="417"/>
        <v>Rev</v>
      </c>
      <c r="BJ299" s="2305" t="str">
        <f t="shared" si="417"/>
        <v>[Service]</v>
      </c>
      <c r="BK299" s="2306" t="str">
        <f t="shared" si="417"/>
        <v>[Price]</v>
      </c>
      <c r="BL299" s="2307" t="str">
        <f t="shared" ref="BL299:BZ299" si="459">IF(OR(X299="",X299=0),"-",IFERROR((X299/W299-1)*(W299/W$13),"-"))</f>
        <v>-</v>
      </c>
      <c r="BM299" s="1055" t="str">
        <f t="shared" si="459"/>
        <v>-</v>
      </c>
      <c r="BN299" s="1055" t="str">
        <f t="shared" si="459"/>
        <v>-</v>
      </c>
      <c r="BO299" s="2308" t="str">
        <f t="shared" si="459"/>
        <v>-</v>
      </c>
      <c r="BP299" s="1055" t="str">
        <f t="shared" si="459"/>
        <v>-</v>
      </c>
      <c r="BQ299" s="2309" t="str">
        <f t="shared" si="459"/>
        <v>-</v>
      </c>
      <c r="BR299" s="1055" t="str">
        <f t="shared" si="459"/>
        <v>-</v>
      </c>
      <c r="BS299" s="1055" t="str">
        <f t="shared" si="459"/>
        <v>-</v>
      </c>
      <c r="BT299" s="1055" t="str">
        <f t="shared" si="459"/>
        <v>-</v>
      </c>
      <c r="BU299" s="1056" t="str">
        <f t="shared" si="459"/>
        <v>-</v>
      </c>
      <c r="BV299" s="1055" t="str">
        <f t="shared" si="459"/>
        <v>-</v>
      </c>
      <c r="BW299" s="1055" t="str">
        <f t="shared" si="459"/>
        <v>-</v>
      </c>
      <c r="BX299" s="1055" t="str">
        <f t="shared" si="459"/>
        <v>-</v>
      </c>
      <c r="BY299" s="1055" t="str">
        <f t="shared" si="459"/>
        <v>-</v>
      </c>
      <c r="BZ299" s="1056" t="str">
        <f t="shared" si="459"/>
        <v>-</v>
      </c>
      <c r="CA299" s="1048"/>
    </row>
    <row r="300" spans="3:79" x14ac:dyDescent="0.3">
      <c r="C300" s="126"/>
      <c r="D300" s="126">
        <f>D297+1</f>
        <v>78</v>
      </c>
      <c r="E300" s="553" t="s">
        <v>45</v>
      </c>
      <c r="F300" s="2105" t="s">
        <v>28</v>
      </c>
      <c r="G300" s="2105"/>
      <c r="H300" s="2105"/>
      <c r="I300" s="573" t="s">
        <v>319</v>
      </c>
      <c r="J300" s="573" t="s">
        <v>348</v>
      </c>
      <c r="K300" s="1969"/>
      <c r="L300" s="1970"/>
      <c r="M300" s="1970"/>
      <c r="N300" s="1971"/>
      <c r="O300" s="1970"/>
      <c r="P300" s="1970"/>
      <c r="Q300" s="1970"/>
      <c r="R300" s="1972"/>
      <c r="S300" s="1971"/>
      <c r="T300" s="1970"/>
      <c r="U300" s="1970"/>
      <c r="V300" s="1970"/>
      <c r="W300" s="575"/>
      <c r="X300" s="1238"/>
      <c r="Y300" s="575"/>
      <c r="Z300" s="575"/>
      <c r="AA300" s="575"/>
      <c r="AB300" s="1142"/>
      <c r="AC300" s="575"/>
      <c r="AD300" s="575"/>
      <c r="AE300" s="575"/>
      <c r="AF300" s="575"/>
      <c r="AG300" s="577"/>
      <c r="AH300" s="575"/>
      <c r="AI300" s="575"/>
      <c r="AJ300" s="575"/>
      <c r="AK300" s="575"/>
      <c r="AL300" s="577"/>
      <c r="AM300" s="560"/>
      <c r="AN300" s="1052"/>
      <c r="AO300" s="992"/>
      <c r="AP300" s="2297" t="str">
        <f t="shared" si="388"/>
        <v>Price</v>
      </c>
      <c r="AQ300" s="2298" t="str">
        <f t="shared" si="388"/>
        <v>[Service]</v>
      </c>
      <c r="AR300" s="1719" t="str">
        <f t="shared" si="389"/>
        <v>[Price]</v>
      </c>
      <c r="AS300" s="2299" t="str">
        <f t="shared" si="443"/>
        <v>-</v>
      </c>
      <c r="AT300" s="1728" t="str">
        <f t="shared" si="443"/>
        <v>-</v>
      </c>
      <c r="AU300" s="1728" t="str">
        <f t="shared" si="443"/>
        <v>-</v>
      </c>
      <c r="AV300" s="2300" t="str">
        <f t="shared" si="443"/>
        <v>-</v>
      </c>
      <c r="AW300" s="1728" t="str">
        <f t="shared" si="443"/>
        <v>-</v>
      </c>
      <c r="AX300" s="2301" t="str">
        <f t="shared" si="443"/>
        <v>-</v>
      </c>
      <c r="AY300" s="1728" t="str">
        <f t="shared" si="443"/>
        <v>-</v>
      </c>
      <c r="AZ300" s="1728" t="str">
        <f t="shared" si="443"/>
        <v>-</v>
      </c>
      <c r="BA300" s="1728" t="str">
        <f t="shared" si="443"/>
        <v>-</v>
      </c>
      <c r="BB300" s="1729" t="str">
        <f t="shared" si="443"/>
        <v>-</v>
      </c>
      <c r="BC300" s="1728" t="str">
        <f t="shared" si="443"/>
        <v>-</v>
      </c>
      <c r="BD300" s="1728" t="str">
        <f t="shared" si="443"/>
        <v>-</v>
      </c>
      <c r="BE300" s="1728" t="str">
        <f t="shared" si="443"/>
        <v>-</v>
      </c>
      <c r="BF300" s="1728" t="str">
        <f t="shared" si="443"/>
        <v>-</v>
      </c>
      <c r="BG300" s="1729" t="str">
        <f t="shared" si="443"/>
        <v>-</v>
      </c>
      <c r="BH300" s="1048"/>
      <c r="BI300" s="2297" t="str">
        <f t="shared" si="417"/>
        <v>Price</v>
      </c>
      <c r="BJ300" s="2298" t="str">
        <f t="shared" si="417"/>
        <v>[Service]</v>
      </c>
      <c r="BK300" s="1719" t="str">
        <f t="shared" si="417"/>
        <v>[Price]</v>
      </c>
      <c r="BL300" s="2299" t="str">
        <f t="shared" ref="BL300:BZ300" si="460">IF(OR(X300="",X300=0),"-",IFERROR((X300/W300-1)*(W302/W$13),"-"))</f>
        <v>-</v>
      </c>
      <c r="BM300" s="1053" t="str">
        <f t="shared" si="460"/>
        <v>-</v>
      </c>
      <c r="BN300" s="1053" t="str">
        <f t="shared" si="460"/>
        <v>-</v>
      </c>
      <c r="BO300" s="2302" t="str">
        <f t="shared" si="460"/>
        <v>-</v>
      </c>
      <c r="BP300" s="1053" t="str">
        <f t="shared" si="460"/>
        <v>-</v>
      </c>
      <c r="BQ300" s="2303" t="str">
        <f t="shared" si="460"/>
        <v>-</v>
      </c>
      <c r="BR300" s="1053" t="str">
        <f t="shared" si="460"/>
        <v>-</v>
      </c>
      <c r="BS300" s="1053" t="str">
        <f t="shared" si="460"/>
        <v>-</v>
      </c>
      <c r="BT300" s="1053" t="str">
        <f t="shared" si="460"/>
        <v>-</v>
      </c>
      <c r="BU300" s="1054" t="str">
        <f t="shared" si="460"/>
        <v>-</v>
      </c>
      <c r="BV300" s="1053" t="str">
        <f t="shared" si="460"/>
        <v>-</v>
      </c>
      <c r="BW300" s="1053" t="str">
        <f t="shared" si="460"/>
        <v>-</v>
      </c>
      <c r="BX300" s="1053" t="str">
        <f t="shared" si="460"/>
        <v>-</v>
      </c>
      <c r="BY300" s="1053" t="str">
        <f t="shared" si="460"/>
        <v>-</v>
      </c>
      <c r="BZ300" s="1054" t="str">
        <f t="shared" si="460"/>
        <v>-</v>
      </c>
      <c r="CA300" s="1048"/>
    </row>
    <row r="301" spans="3:79" x14ac:dyDescent="0.3">
      <c r="C301" s="126"/>
      <c r="D301" s="126"/>
      <c r="E301" s="558" t="s">
        <v>46</v>
      </c>
      <c r="F301" s="2161" t="str">
        <f t="shared" si="434"/>
        <v>[Service]</v>
      </c>
      <c r="G301" s="2163">
        <f t="shared" si="434"/>
        <v>0</v>
      </c>
      <c r="H301" s="2163">
        <f t="shared" si="434"/>
        <v>0</v>
      </c>
      <c r="I301" s="2164" t="str">
        <f t="shared" si="434"/>
        <v>[Price]</v>
      </c>
      <c r="J301" s="574" t="s">
        <v>323</v>
      </c>
      <c r="K301" s="1973"/>
      <c r="L301" s="1974"/>
      <c r="M301" s="1974"/>
      <c r="N301" s="1975"/>
      <c r="O301" s="1974"/>
      <c r="P301" s="1974"/>
      <c r="Q301" s="1974"/>
      <c r="R301" s="1976"/>
      <c r="S301" s="1975"/>
      <c r="T301" s="1974"/>
      <c r="U301" s="1974"/>
      <c r="V301" s="1974"/>
      <c r="W301" s="578"/>
      <c r="X301" s="1239"/>
      <c r="Y301" s="578"/>
      <c r="Z301" s="578"/>
      <c r="AA301" s="578"/>
      <c r="AB301" s="1143"/>
      <c r="AC301" s="578"/>
      <c r="AD301" s="578"/>
      <c r="AE301" s="578"/>
      <c r="AF301" s="578"/>
      <c r="AG301" s="580"/>
      <c r="AH301" s="578"/>
      <c r="AI301" s="578"/>
      <c r="AJ301" s="578"/>
      <c r="AK301" s="578"/>
      <c r="AL301" s="580"/>
      <c r="AM301" s="560"/>
      <c r="AN301" s="991"/>
      <c r="AO301" s="992"/>
      <c r="AP301" s="2285" t="str">
        <f t="shared" si="388"/>
        <v>Qty</v>
      </c>
      <c r="AQ301" s="2286" t="str">
        <f t="shared" si="388"/>
        <v>[Service]</v>
      </c>
      <c r="AR301" s="2287" t="str">
        <f t="shared" si="389"/>
        <v>[Price]</v>
      </c>
      <c r="AS301" s="2288" t="str">
        <f t="shared" si="443"/>
        <v>-</v>
      </c>
      <c r="AT301" s="1720" t="str">
        <f t="shared" si="443"/>
        <v>-</v>
      </c>
      <c r="AU301" s="1720" t="str">
        <f t="shared" si="443"/>
        <v>-</v>
      </c>
      <c r="AV301" s="2289" t="str">
        <f t="shared" si="443"/>
        <v>-</v>
      </c>
      <c r="AW301" s="1720" t="str">
        <f t="shared" si="443"/>
        <v>-</v>
      </c>
      <c r="AX301" s="2290" t="str">
        <f t="shared" si="443"/>
        <v>-</v>
      </c>
      <c r="AY301" s="1720" t="str">
        <f t="shared" si="443"/>
        <v>-</v>
      </c>
      <c r="AZ301" s="1720" t="str">
        <f t="shared" si="443"/>
        <v>-</v>
      </c>
      <c r="BA301" s="1720" t="str">
        <f t="shared" si="443"/>
        <v>-</v>
      </c>
      <c r="BB301" s="1721" t="str">
        <f t="shared" si="443"/>
        <v>-</v>
      </c>
      <c r="BC301" s="1720" t="str">
        <f t="shared" si="443"/>
        <v>-</v>
      </c>
      <c r="BD301" s="1720" t="str">
        <f t="shared" si="443"/>
        <v>-</v>
      </c>
      <c r="BE301" s="1720" t="str">
        <f t="shared" si="443"/>
        <v>-</v>
      </c>
      <c r="BF301" s="1720" t="str">
        <f t="shared" si="443"/>
        <v>-</v>
      </c>
      <c r="BG301" s="1721" t="str">
        <f t="shared" si="443"/>
        <v>-</v>
      </c>
      <c r="BH301" s="1048"/>
      <c r="BI301" s="2285" t="str">
        <f t="shared" si="417"/>
        <v>Qty</v>
      </c>
      <c r="BJ301" s="2286" t="str">
        <f t="shared" si="417"/>
        <v>[Service]</v>
      </c>
      <c r="BK301" s="2287" t="str">
        <f t="shared" si="417"/>
        <v>[Price]</v>
      </c>
      <c r="BL301" s="2288" t="str">
        <f t="shared" ref="BL301:BZ301" si="461">IF(OR(X301="",X301=0),"-",IFERROR((X301/W301-1)*(W302/W$13),"-"))</f>
        <v>-</v>
      </c>
      <c r="BM301" s="1720" t="str">
        <f t="shared" si="461"/>
        <v>-</v>
      </c>
      <c r="BN301" s="1720" t="str">
        <f t="shared" si="461"/>
        <v>-</v>
      </c>
      <c r="BO301" s="2289" t="str">
        <f t="shared" si="461"/>
        <v>-</v>
      </c>
      <c r="BP301" s="1720" t="str">
        <f t="shared" si="461"/>
        <v>-</v>
      </c>
      <c r="BQ301" s="2290" t="str">
        <f t="shared" si="461"/>
        <v>-</v>
      </c>
      <c r="BR301" s="1720" t="str">
        <f t="shared" si="461"/>
        <v>-</v>
      </c>
      <c r="BS301" s="1720" t="str">
        <f t="shared" si="461"/>
        <v>-</v>
      </c>
      <c r="BT301" s="1720" t="str">
        <f t="shared" si="461"/>
        <v>-</v>
      </c>
      <c r="BU301" s="1721" t="str">
        <f t="shared" si="461"/>
        <v>-</v>
      </c>
      <c r="BV301" s="1720" t="str">
        <f t="shared" si="461"/>
        <v>-</v>
      </c>
      <c r="BW301" s="1720" t="str">
        <f t="shared" si="461"/>
        <v>-</v>
      </c>
      <c r="BX301" s="1720" t="str">
        <f t="shared" si="461"/>
        <v>-</v>
      </c>
      <c r="BY301" s="1720" t="str">
        <f t="shared" si="461"/>
        <v>-</v>
      </c>
      <c r="BZ301" s="1721" t="str">
        <f t="shared" si="461"/>
        <v>-</v>
      </c>
      <c r="CA301" s="1048"/>
    </row>
    <row r="302" spans="3:79" ht="12.5" thickBot="1" x14ac:dyDescent="0.35">
      <c r="C302" s="126"/>
      <c r="D302" s="126"/>
      <c r="E302" s="559" t="s">
        <v>47</v>
      </c>
      <c r="F302" s="2162" t="str">
        <f t="shared" ref="F302:I302" si="462">+F300</f>
        <v>[Service]</v>
      </c>
      <c r="G302" s="2165">
        <f t="shared" si="462"/>
        <v>0</v>
      </c>
      <c r="H302" s="2165">
        <f t="shared" si="462"/>
        <v>0</v>
      </c>
      <c r="I302" s="2166" t="str">
        <f t="shared" si="462"/>
        <v>[Price]</v>
      </c>
      <c r="J302" s="2106" t="s">
        <v>347</v>
      </c>
      <c r="K302" s="1977"/>
      <c r="L302" s="1206"/>
      <c r="M302" s="1206"/>
      <c r="N302" s="1978"/>
      <c r="O302" s="1206"/>
      <c r="P302" s="1206"/>
      <c r="Q302" s="1206"/>
      <c r="R302" s="1206"/>
      <c r="S302" s="1978"/>
      <c r="T302" s="1206"/>
      <c r="U302" s="1206"/>
      <c r="V302" s="1206"/>
      <c r="W302" s="1731">
        <f t="shared" ref="W302:AG302" si="463">W300*W301/10^6</f>
        <v>0</v>
      </c>
      <c r="X302" s="1730">
        <f t="shared" si="463"/>
        <v>0</v>
      </c>
      <c r="Y302" s="1731">
        <f t="shared" si="463"/>
        <v>0</v>
      </c>
      <c r="Z302" s="1731">
        <f t="shared" si="463"/>
        <v>0</v>
      </c>
      <c r="AA302" s="1731">
        <f t="shared" si="463"/>
        <v>0</v>
      </c>
      <c r="AB302" s="1733">
        <f t="shared" si="463"/>
        <v>0</v>
      </c>
      <c r="AC302" s="1731">
        <f t="shared" si="463"/>
        <v>0</v>
      </c>
      <c r="AD302" s="1731">
        <f t="shared" si="463"/>
        <v>0</v>
      </c>
      <c r="AE302" s="1731">
        <f t="shared" si="463"/>
        <v>0</v>
      </c>
      <c r="AF302" s="1731">
        <f t="shared" si="463"/>
        <v>0</v>
      </c>
      <c r="AG302" s="1733">
        <f t="shared" si="463"/>
        <v>0</v>
      </c>
      <c r="AH302" s="1731">
        <f>AH300*AH301/10^6</f>
        <v>0</v>
      </c>
      <c r="AI302" s="1731">
        <f>AI300*AI301/10^6</f>
        <v>0</v>
      </c>
      <c r="AJ302" s="1731">
        <f>AJ300*AJ301/10^6</f>
        <v>0</v>
      </c>
      <c r="AK302" s="1731">
        <f>AK300*AK301/10^6</f>
        <v>0</v>
      </c>
      <c r="AL302" s="1733">
        <f>AL300*AL301/10^6</f>
        <v>0</v>
      </c>
      <c r="AM302" s="560"/>
      <c r="AN302" s="991"/>
      <c r="AO302" s="992"/>
      <c r="AP302" s="2304" t="str">
        <f t="shared" si="388"/>
        <v>Rev</v>
      </c>
      <c r="AQ302" s="2305" t="str">
        <f t="shared" si="388"/>
        <v>[Service]</v>
      </c>
      <c r="AR302" s="2306" t="str">
        <f t="shared" si="389"/>
        <v>[Price]</v>
      </c>
      <c r="AS302" s="2307" t="str">
        <f t="shared" si="443"/>
        <v>-</v>
      </c>
      <c r="AT302" s="1055" t="str">
        <f t="shared" si="443"/>
        <v>-</v>
      </c>
      <c r="AU302" s="1055" t="str">
        <f t="shared" si="443"/>
        <v>-</v>
      </c>
      <c r="AV302" s="2308" t="str">
        <f t="shared" si="443"/>
        <v>-</v>
      </c>
      <c r="AW302" s="1055" t="str">
        <f t="shared" si="443"/>
        <v>-</v>
      </c>
      <c r="AX302" s="2309" t="str">
        <f t="shared" si="443"/>
        <v>-</v>
      </c>
      <c r="AY302" s="1055" t="str">
        <f t="shared" si="443"/>
        <v>-</v>
      </c>
      <c r="AZ302" s="1055" t="str">
        <f t="shared" si="443"/>
        <v>-</v>
      </c>
      <c r="BA302" s="1055" t="str">
        <f t="shared" si="443"/>
        <v>-</v>
      </c>
      <c r="BB302" s="1056" t="str">
        <f t="shared" si="443"/>
        <v>-</v>
      </c>
      <c r="BC302" s="1055" t="str">
        <f t="shared" si="443"/>
        <v>-</v>
      </c>
      <c r="BD302" s="1055" t="str">
        <f t="shared" si="443"/>
        <v>-</v>
      </c>
      <c r="BE302" s="1055" t="str">
        <f t="shared" si="443"/>
        <v>-</v>
      </c>
      <c r="BF302" s="1055" t="str">
        <f t="shared" si="443"/>
        <v>-</v>
      </c>
      <c r="BG302" s="1056" t="str">
        <f t="shared" si="443"/>
        <v>-</v>
      </c>
      <c r="BH302" s="1048"/>
      <c r="BI302" s="2304" t="str">
        <f t="shared" si="417"/>
        <v>Rev</v>
      </c>
      <c r="BJ302" s="2305" t="str">
        <f t="shared" si="417"/>
        <v>[Service]</v>
      </c>
      <c r="BK302" s="2306" t="str">
        <f t="shared" si="417"/>
        <v>[Price]</v>
      </c>
      <c r="BL302" s="2307" t="str">
        <f t="shared" ref="BL302:BZ302" si="464">IF(OR(X302="",X302=0),"-",IFERROR((X302/W302-1)*(W302/W$13),"-"))</f>
        <v>-</v>
      </c>
      <c r="BM302" s="1055" t="str">
        <f t="shared" si="464"/>
        <v>-</v>
      </c>
      <c r="BN302" s="1055" t="str">
        <f t="shared" si="464"/>
        <v>-</v>
      </c>
      <c r="BO302" s="2308" t="str">
        <f t="shared" si="464"/>
        <v>-</v>
      </c>
      <c r="BP302" s="1055" t="str">
        <f t="shared" si="464"/>
        <v>-</v>
      </c>
      <c r="BQ302" s="2309" t="str">
        <f t="shared" si="464"/>
        <v>-</v>
      </c>
      <c r="BR302" s="1055" t="str">
        <f t="shared" si="464"/>
        <v>-</v>
      </c>
      <c r="BS302" s="1055" t="str">
        <f t="shared" si="464"/>
        <v>-</v>
      </c>
      <c r="BT302" s="1055" t="str">
        <f t="shared" si="464"/>
        <v>-</v>
      </c>
      <c r="BU302" s="1056" t="str">
        <f t="shared" si="464"/>
        <v>-</v>
      </c>
      <c r="BV302" s="1055" t="str">
        <f t="shared" si="464"/>
        <v>-</v>
      </c>
      <c r="BW302" s="1055" t="str">
        <f t="shared" si="464"/>
        <v>-</v>
      </c>
      <c r="BX302" s="1055" t="str">
        <f t="shared" si="464"/>
        <v>-</v>
      </c>
      <c r="BY302" s="1055" t="str">
        <f t="shared" si="464"/>
        <v>-</v>
      </c>
      <c r="BZ302" s="1056" t="str">
        <f t="shared" si="464"/>
        <v>-</v>
      </c>
      <c r="CA302" s="1048"/>
    </row>
    <row r="303" spans="3:79" x14ac:dyDescent="0.3">
      <c r="C303" s="126"/>
      <c r="D303" s="126">
        <f>D300+1</f>
        <v>79</v>
      </c>
      <c r="E303" s="553" t="s">
        <v>45</v>
      </c>
      <c r="F303" s="2105" t="s">
        <v>28</v>
      </c>
      <c r="G303" s="2105"/>
      <c r="H303" s="2105"/>
      <c r="I303" s="573" t="s">
        <v>319</v>
      </c>
      <c r="J303" s="573" t="s">
        <v>348</v>
      </c>
      <c r="K303" s="1969"/>
      <c r="L303" s="1970"/>
      <c r="M303" s="1970"/>
      <c r="N303" s="1971"/>
      <c r="O303" s="1970"/>
      <c r="P303" s="1970"/>
      <c r="Q303" s="1970"/>
      <c r="R303" s="1972"/>
      <c r="S303" s="1971"/>
      <c r="T303" s="1970"/>
      <c r="U303" s="1970"/>
      <c r="V303" s="1970"/>
      <c r="W303" s="575"/>
      <c r="X303" s="1238"/>
      <c r="Y303" s="575"/>
      <c r="Z303" s="575"/>
      <c r="AA303" s="575"/>
      <c r="AB303" s="1142"/>
      <c r="AC303" s="575"/>
      <c r="AD303" s="575"/>
      <c r="AE303" s="575"/>
      <c r="AF303" s="575"/>
      <c r="AG303" s="577"/>
      <c r="AH303" s="575"/>
      <c r="AI303" s="575"/>
      <c r="AJ303" s="575"/>
      <c r="AK303" s="575"/>
      <c r="AL303" s="577"/>
      <c r="AM303" s="560"/>
      <c r="AN303" s="1052"/>
      <c r="AO303" s="992"/>
      <c r="AP303" s="2297" t="str">
        <f t="shared" si="388"/>
        <v>Price</v>
      </c>
      <c r="AQ303" s="2298" t="str">
        <f t="shared" si="388"/>
        <v>[Service]</v>
      </c>
      <c r="AR303" s="1719" t="str">
        <f t="shared" si="389"/>
        <v>[Price]</v>
      </c>
      <c r="AS303" s="2299" t="str">
        <f t="shared" si="443"/>
        <v>-</v>
      </c>
      <c r="AT303" s="1728" t="str">
        <f t="shared" si="443"/>
        <v>-</v>
      </c>
      <c r="AU303" s="1728" t="str">
        <f t="shared" si="443"/>
        <v>-</v>
      </c>
      <c r="AV303" s="2300" t="str">
        <f t="shared" si="443"/>
        <v>-</v>
      </c>
      <c r="AW303" s="1728" t="str">
        <f t="shared" si="443"/>
        <v>-</v>
      </c>
      <c r="AX303" s="2301" t="str">
        <f t="shared" si="443"/>
        <v>-</v>
      </c>
      <c r="AY303" s="1728" t="str">
        <f t="shared" si="443"/>
        <v>-</v>
      </c>
      <c r="AZ303" s="1728" t="str">
        <f t="shared" si="443"/>
        <v>-</v>
      </c>
      <c r="BA303" s="1728" t="str">
        <f t="shared" si="443"/>
        <v>-</v>
      </c>
      <c r="BB303" s="1729" t="str">
        <f t="shared" si="443"/>
        <v>-</v>
      </c>
      <c r="BC303" s="1728" t="str">
        <f t="shared" si="443"/>
        <v>-</v>
      </c>
      <c r="BD303" s="1728" t="str">
        <f t="shared" si="443"/>
        <v>-</v>
      </c>
      <c r="BE303" s="1728" t="str">
        <f t="shared" si="443"/>
        <v>-</v>
      </c>
      <c r="BF303" s="1728" t="str">
        <f t="shared" si="443"/>
        <v>-</v>
      </c>
      <c r="BG303" s="1729" t="str">
        <f t="shared" si="443"/>
        <v>-</v>
      </c>
      <c r="BH303" s="1048"/>
      <c r="BI303" s="2297" t="str">
        <f t="shared" si="417"/>
        <v>Price</v>
      </c>
      <c r="BJ303" s="2298" t="str">
        <f t="shared" si="417"/>
        <v>[Service]</v>
      </c>
      <c r="BK303" s="1719" t="str">
        <f t="shared" si="417"/>
        <v>[Price]</v>
      </c>
      <c r="BL303" s="2299" t="str">
        <f t="shared" ref="BL303:BZ303" si="465">IF(OR(X303="",X303=0),"-",IFERROR((X303/W303-1)*(W305/W$13),"-"))</f>
        <v>-</v>
      </c>
      <c r="BM303" s="1053" t="str">
        <f t="shared" si="465"/>
        <v>-</v>
      </c>
      <c r="BN303" s="1053" t="str">
        <f t="shared" si="465"/>
        <v>-</v>
      </c>
      <c r="BO303" s="2302" t="str">
        <f t="shared" si="465"/>
        <v>-</v>
      </c>
      <c r="BP303" s="1053" t="str">
        <f t="shared" si="465"/>
        <v>-</v>
      </c>
      <c r="BQ303" s="2303" t="str">
        <f t="shared" si="465"/>
        <v>-</v>
      </c>
      <c r="BR303" s="1053" t="str">
        <f t="shared" si="465"/>
        <v>-</v>
      </c>
      <c r="BS303" s="1053" t="str">
        <f t="shared" si="465"/>
        <v>-</v>
      </c>
      <c r="BT303" s="1053" t="str">
        <f t="shared" si="465"/>
        <v>-</v>
      </c>
      <c r="BU303" s="1054" t="str">
        <f t="shared" si="465"/>
        <v>-</v>
      </c>
      <c r="BV303" s="1053" t="str">
        <f t="shared" si="465"/>
        <v>-</v>
      </c>
      <c r="BW303" s="1053" t="str">
        <f t="shared" si="465"/>
        <v>-</v>
      </c>
      <c r="BX303" s="1053" t="str">
        <f t="shared" si="465"/>
        <v>-</v>
      </c>
      <c r="BY303" s="1053" t="str">
        <f t="shared" si="465"/>
        <v>-</v>
      </c>
      <c r="BZ303" s="1054" t="str">
        <f t="shared" si="465"/>
        <v>-</v>
      </c>
      <c r="CA303" s="1048"/>
    </row>
    <row r="304" spans="3:79" x14ac:dyDescent="0.3">
      <c r="C304" s="126"/>
      <c r="D304" s="126"/>
      <c r="E304" s="558" t="s">
        <v>46</v>
      </c>
      <c r="F304" s="2161" t="str">
        <f t="shared" ref="F304:I319" si="466">+F303</f>
        <v>[Service]</v>
      </c>
      <c r="G304" s="2163">
        <f t="shared" si="466"/>
        <v>0</v>
      </c>
      <c r="H304" s="2163">
        <f t="shared" si="466"/>
        <v>0</v>
      </c>
      <c r="I304" s="2164" t="str">
        <f t="shared" si="466"/>
        <v>[Price]</v>
      </c>
      <c r="J304" s="574" t="s">
        <v>323</v>
      </c>
      <c r="K304" s="1973"/>
      <c r="L304" s="1974"/>
      <c r="M304" s="1974"/>
      <c r="N304" s="1975"/>
      <c r="O304" s="1974"/>
      <c r="P304" s="1974"/>
      <c r="Q304" s="1974"/>
      <c r="R304" s="1976"/>
      <c r="S304" s="1975"/>
      <c r="T304" s="1974"/>
      <c r="U304" s="1974"/>
      <c r="V304" s="1974"/>
      <c r="W304" s="578"/>
      <c r="X304" s="1239"/>
      <c r="Y304" s="578"/>
      <c r="Z304" s="578"/>
      <c r="AA304" s="578"/>
      <c r="AB304" s="1143"/>
      <c r="AC304" s="578"/>
      <c r="AD304" s="578"/>
      <c r="AE304" s="578"/>
      <c r="AF304" s="578"/>
      <c r="AG304" s="580"/>
      <c r="AH304" s="578"/>
      <c r="AI304" s="578"/>
      <c r="AJ304" s="578"/>
      <c r="AK304" s="578"/>
      <c r="AL304" s="580"/>
      <c r="AM304" s="560"/>
      <c r="AN304" s="991"/>
      <c r="AO304" s="992"/>
      <c r="AP304" s="2285" t="str">
        <f t="shared" si="388"/>
        <v>Qty</v>
      </c>
      <c r="AQ304" s="2286" t="str">
        <f t="shared" si="388"/>
        <v>[Service]</v>
      </c>
      <c r="AR304" s="2287" t="str">
        <f t="shared" si="389"/>
        <v>[Price]</v>
      </c>
      <c r="AS304" s="2288" t="str">
        <f t="shared" si="443"/>
        <v>-</v>
      </c>
      <c r="AT304" s="1720" t="str">
        <f t="shared" si="443"/>
        <v>-</v>
      </c>
      <c r="AU304" s="1720" t="str">
        <f t="shared" si="443"/>
        <v>-</v>
      </c>
      <c r="AV304" s="2289" t="str">
        <f t="shared" si="443"/>
        <v>-</v>
      </c>
      <c r="AW304" s="1720" t="str">
        <f t="shared" si="443"/>
        <v>-</v>
      </c>
      <c r="AX304" s="2290" t="str">
        <f t="shared" si="443"/>
        <v>-</v>
      </c>
      <c r="AY304" s="1720" t="str">
        <f t="shared" si="443"/>
        <v>-</v>
      </c>
      <c r="AZ304" s="1720" t="str">
        <f t="shared" si="443"/>
        <v>-</v>
      </c>
      <c r="BA304" s="1720" t="str">
        <f t="shared" si="443"/>
        <v>-</v>
      </c>
      <c r="BB304" s="1721" t="str">
        <f t="shared" si="443"/>
        <v>-</v>
      </c>
      <c r="BC304" s="1720" t="str">
        <f t="shared" si="443"/>
        <v>-</v>
      </c>
      <c r="BD304" s="1720" t="str">
        <f t="shared" si="443"/>
        <v>-</v>
      </c>
      <c r="BE304" s="1720" t="str">
        <f t="shared" si="443"/>
        <v>-</v>
      </c>
      <c r="BF304" s="1720" t="str">
        <f t="shared" si="443"/>
        <v>-</v>
      </c>
      <c r="BG304" s="1721" t="str">
        <f t="shared" si="443"/>
        <v>-</v>
      </c>
      <c r="BH304" s="1048"/>
      <c r="BI304" s="2285" t="str">
        <f t="shared" si="417"/>
        <v>Qty</v>
      </c>
      <c r="BJ304" s="2286" t="str">
        <f t="shared" si="417"/>
        <v>[Service]</v>
      </c>
      <c r="BK304" s="2287" t="str">
        <f t="shared" si="417"/>
        <v>[Price]</v>
      </c>
      <c r="BL304" s="2288" t="str">
        <f t="shared" ref="BL304:BZ304" si="467">IF(OR(X304="",X304=0),"-",IFERROR((X304/W304-1)*(W305/W$13),"-"))</f>
        <v>-</v>
      </c>
      <c r="BM304" s="1720" t="str">
        <f t="shared" si="467"/>
        <v>-</v>
      </c>
      <c r="BN304" s="1720" t="str">
        <f t="shared" si="467"/>
        <v>-</v>
      </c>
      <c r="BO304" s="2289" t="str">
        <f t="shared" si="467"/>
        <v>-</v>
      </c>
      <c r="BP304" s="1720" t="str">
        <f t="shared" si="467"/>
        <v>-</v>
      </c>
      <c r="BQ304" s="2290" t="str">
        <f t="shared" si="467"/>
        <v>-</v>
      </c>
      <c r="BR304" s="1720" t="str">
        <f t="shared" si="467"/>
        <v>-</v>
      </c>
      <c r="BS304" s="1720" t="str">
        <f t="shared" si="467"/>
        <v>-</v>
      </c>
      <c r="BT304" s="1720" t="str">
        <f t="shared" si="467"/>
        <v>-</v>
      </c>
      <c r="BU304" s="1721" t="str">
        <f t="shared" si="467"/>
        <v>-</v>
      </c>
      <c r="BV304" s="1720" t="str">
        <f t="shared" si="467"/>
        <v>-</v>
      </c>
      <c r="BW304" s="1720" t="str">
        <f t="shared" si="467"/>
        <v>-</v>
      </c>
      <c r="BX304" s="1720" t="str">
        <f t="shared" si="467"/>
        <v>-</v>
      </c>
      <c r="BY304" s="1720" t="str">
        <f t="shared" si="467"/>
        <v>-</v>
      </c>
      <c r="BZ304" s="1721" t="str">
        <f t="shared" si="467"/>
        <v>-</v>
      </c>
      <c r="CA304" s="1048"/>
    </row>
    <row r="305" spans="3:79" ht="12.5" thickBot="1" x14ac:dyDescent="0.35">
      <c r="C305" s="126"/>
      <c r="D305" s="126"/>
      <c r="E305" s="559" t="s">
        <v>47</v>
      </c>
      <c r="F305" s="2162" t="str">
        <f t="shared" ref="F305:I305" si="468">+F303</f>
        <v>[Service]</v>
      </c>
      <c r="G305" s="2165">
        <f t="shared" si="468"/>
        <v>0</v>
      </c>
      <c r="H305" s="2165">
        <f t="shared" si="468"/>
        <v>0</v>
      </c>
      <c r="I305" s="2166" t="str">
        <f t="shared" si="468"/>
        <v>[Price]</v>
      </c>
      <c r="J305" s="2106" t="s">
        <v>347</v>
      </c>
      <c r="K305" s="1977"/>
      <c r="L305" s="1206"/>
      <c r="M305" s="1206"/>
      <c r="N305" s="1978"/>
      <c r="O305" s="1206"/>
      <c r="P305" s="1206"/>
      <c r="Q305" s="1206"/>
      <c r="R305" s="1206"/>
      <c r="S305" s="1978"/>
      <c r="T305" s="1206"/>
      <c r="U305" s="1206"/>
      <c r="V305" s="1206"/>
      <c r="W305" s="1731">
        <f t="shared" ref="W305:AG305" si="469">W303*W304/10^6</f>
        <v>0</v>
      </c>
      <c r="X305" s="1730">
        <f t="shared" si="469"/>
        <v>0</v>
      </c>
      <c r="Y305" s="1731">
        <f t="shared" si="469"/>
        <v>0</v>
      </c>
      <c r="Z305" s="1731">
        <f t="shared" si="469"/>
        <v>0</v>
      </c>
      <c r="AA305" s="1731">
        <f t="shared" si="469"/>
        <v>0</v>
      </c>
      <c r="AB305" s="1733">
        <f t="shared" si="469"/>
        <v>0</v>
      </c>
      <c r="AC305" s="1731">
        <f t="shared" si="469"/>
        <v>0</v>
      </c>
      <c r="AD305" s="1731">
        <f t="shared" si="469"/>
        <v>0</v>
      </c>
      <c r="AE305" s="1731">
        <f t="shared" si="469"/>
        <v>0</v>
      </c>
      <c r="AF305" s="1731">
        <f t="shared" si="469"/>
        <v>0</v>
      </c>
      <c r="AG305" s="1733">
        <f t="shared" si="469"/>
        <v>0</v>
      </c>
      <c r="AH305" s="1731">
        <f>AH303*AH304/10^6</f>
        <v>0</v>
      </c>
      <c r="AI305" s="1731">
        <f>AI303*AI304/10^6</f>
        <v>0</v>
      </c>
      <c r="AJ305" s="1731">
        <f>AJ303*AJ304/10^6</f>
        <v>0</v>
      </c>
      <c r="AK305" s="1731">
        <f>AK303*AK304/10^6</f>
        <v>0</v>
      </c>
      <c r="AL305" s="1733">
        <f>AL303*AL304/10^6</f>
        <v>0</v>
      </c>
      <c r="AM305" s="560"/>
      <c r="AN305" s="991"/>
      <c r="AO305" s="992"/>
      <c r="AP305" s="2304" t="str">
        <f t="shared" si="388"/>
        <v>Rev</v>
      </c>
      <c r="AQ305" s="2305" t="str">
        <f t="shared" si="388"/>
        <v>[Service]</v>
      </c>
      <c r="AR305" s="2306" t="str">
        <f t="shared" si="389"/>
        <v>[Price]</v>
      </c>
      <c r="AS305" s="2307" t="str">
        <f t="shared" si="443"/>
        <v>-</v>
      </c>
      <c r="AT305" s="1055" t="str">
        <f t="shared" si="443"/>
        <v>-</v>
      </c>
      <c r="AU305" s="1055" t="str">
        <f t="shared" si="443"/>
        <v>-</v>
      </c>
      <c r="AV305" s="2308" t="str">
        <f t="shared" si="443"/>
        <v>-</v>
      </c>
      <c r="AW305" s="1055" t="str">
        <f t="shared" si="443"/>
        <v>-</v>
      </c>
      <c r="AX305" s="2309" t="str">
        <f t="shared" si="443"/>
        <v>-</v>
      </c>
      <c r="AY305" s="1055" t="str">
        <f t="shared" si="443"/>
        <v>-</v>
      </c>
      <c r="AZ305" s="1055" t="str">
        <f t="shared" si="443"/>
        <v>-</v>
      </c>
      <c r="BA305" s="1055" t="str">
        <f t="shared" si="443"/>
        <v>-</v>
      </c>
      <c r="BB305" s="1056" t="str">
        <f t="shared" si="443"/>
        <v>-</v>
      </c>
      <c r="BC305" s="1055" t="str">
        <f t="shared" si="443"/>
        <v>-</v>
      </c>
      <c r="BD305" s="1055" t="str">
        <f t="shared" si="443"/>
        <v>-</v>
      </c>
      <c r="BE305" s="1055" t="str">
        <f t="shared" si="443"/>
        <v>-</v>
      </c>
      <c r="BF305" s="1055" t="str">
        <f t="shared" si="443"/>
        <v>-</v>
      </c>
      <c r="BG305" s="1056" t="str">
        <f t="shared" si="443"/>
        <v>-</v>
      </c>
      <c r="BH305" s="1048"/>
      <c r="BI305" s="2304" t="str">
        <f t="shared" si="417"/>
        <v>Rev</v>
      </c>
      <c r="BJ305" s="2305" t="str">
        <f t="shared" si="417"/>
        <v>[Service]</v>
      </c>
      <c r="BK305" s="2306" t="str">
        <f t="shared" si="417"/>
        <v>[Price]</v>
      </c>
      <c r="BL305" s="2307" t="str">
        <f t="shared" ref="BL305:BZ305" si="470">IF(OR(X305="",X305=0),"-",IFERROR((X305/W305-1)*(W305/W$13),"-"))</f>
        <v>-</v>
      </c>
      <c r="BM305" s="1055" t="str">
        <f t="shared" si="470"/>
        <v>-</v>
      </c>
      <c r="BN305" s="1055" t="str">
        <f t="shared" si="470"/>
        <v>-</v>
      </c>
      <c r="BO305" s="2308" t="str">
        <f t="shared" si="470"/>
        <v>-</v>
      </c>
      <c r="BP305" s="1055" t="str">
        <f t="shared" si="470"/>
        <v>-</v>
      </c>
      <c r="BQ305" s="2309" t="str">
        <f t="shared" si="470"/>
        <v>-</v>
      </c>
      <c r="BR305" s="1055" t="str">
        <f t="shared" si="470"/>
        <v>-</v>
      </c>
      <c r="BS305" s="1055" t="str">
        <f t="shared" si="470"/>
        <v>-</v>
      </c>
      <c r="BT305" s="1055" t="str">
        <f t="shared" si="470"/>
        <v>-</v>
      </c>
      <c r="BU305" s="1056" t="str">
        <f t="shared" si="470"/>
        <v>-</v>
      </c>
      <c r="BV305" s="1055" t="str">
        <f t="shared" si="470"/>
        <v>-</v>
      </c>
      <c r="BW305" s="1055" t="str">
        <f t="shared" si="470"/>
        <v>-</v>
      </c>
      <c r="BX305" s="1055" t="str">
        <f t="shared" si="470"/>
        <v>-</v>
      </c>
      <c r="BY305" s="1055" t="str">
        <f t="shared" si="470"/>
        <v>-</v>
      </c>
      <c r="BZ305" s="1056" t="str">
        <f t="shared" si="470"/>
        <v>-</v>
      </c>
      <c r="CA305" s="1048"/>
    </row>
    <row r="306" spans="3:79" x14ac:dyDescent="0.3">
      <c r="C306" s="126"/>
      <c r="D306" s="126">
        <f>D303+1</f>
        <v>80</v>
      </c>
      <c r="E306" s="553" t="s">
        <v>45</v>
      </c>
      <c r="F306" s="2105" t="s">
        <v>28</v>
      </c>
      <c r="G306" s="2105"/>
      <c r="H306" s="2105"/>
      <c r="I306" s="573" t="s">
        <v>319</v>
      </c>
      <c r="J306" s="573" t="s">
        <v>348</v>
      </c>
      <c r="K306" s="1969"/>
      <c r="L306" s="1970"/>
      <c r="M306" s="1970"/>
      <c r="N306" s="1971"/>
      <c r="O306" s="1970"/>
      <c r="P306" s="1970"/>
      <c r="Q306" s="1970"/>
      <c r="R306" s="1972"/>
      <c r="S306" s="1971"/>
      <c r="T306" s="1970"/>
      <c r="U306" s="1970"/>
      <c r="V306" s="1970"/>
      <c r="W306" s="575"/>
      <c r="X306" s="1238"/>
      <c r="Y306" s="575"/>
      <c r="Z306" s="575"/>
      <c r="AA306" s="575"/>
      <c r="AB306" s="1142"/>
      <c r="AC306" s="575"/>
      <c r="AD306" s="575"/>
      <c r="AE306" s="575"/>
      <c r="AF306" s="575"/>
      <c r="AG306" s="577"/>
      <c r="AH306" s="575"/>
      <c r="AI306" s="575"/>
      <c r="AJ306" s="575"/>
      <c r="AK306" s="575"/>
      <c r="AL306" s="577"/>
      <c r="AM306" s="560"/>
      <c r="AN306" s="1052"/>
      <c r="AO306" s="992"/>
      <c r="AP306" s="2297" t="str">
        <f t="shared" si="388"/>
        <v>Price</v>
      </c>
      <c r="AQ306" s="2298" t="str">
        <f t="shared" si="388"/>
        <v>[Service]</v>
      </c>
      <c r="AR306" s="1719" t="str">
        <f t="shared" si="389"/>
        <v>[Price]</v>
      </c>
      <c r="AS306" s="2299" t="str">
        <f t="shared" si="443"/>
        <v>-</v>
      </c>
      <c r="AT306" s="1728" t="str">
        <f t="shared" si="443"/>
        <v>-</v>
      </c>
      <c r="AU306" s="1728" t="str">
        <f t="shared" si="443"/>
        <v>-</v>
      </c>
      <c r="AV306" s="2300" t="str">
        <f t="shared" si="443"/>
        <v>-</v>
      </c>
      <c r="AW306" s="1728" t="str">
        <f t="shared" si="443"/>
        <v>-</v>
      </c>
      <c r="AX306" s="2301" t="str">
        <f t="shared" si="443"/>
        <v>-</v>
      </c>
      <c r="AY306" s="1728" t="str">
        <f t="shared" si="443"/>
        <v>-</v>
      </c>
      <c r="AZ306" s="1728" t="str">
        <f t="shared" si="443"/>
        <v>-</v>
      </c>
      <c r="BA306" s="1728" t="str">
        <f t="shared" si="443"/>
        <v>-</v>
      </c>
      <c r="BB306" s="1729" t="str">
        <f t="shared" si="443"/>
        <v>-</v>
      </c>
      <c r="BC306" s="1728" t="str">
        <f t="shared" si="443"/>
        <v>-</v>
      </c>
      <c r="BD306" s="1728" t="str">
        <f t="shared" si="443"/>
        <v>-</v>
      </c>
      <c r="BE306" s="1728" t="str">
        <f t="shared" si="443"/>
        <v>-</v>
      </c>
      <c r="BF306" s="1728" t="str">
        <f t="shared" si="443"/>
        <v>-</v>
      </c>
      <c r="BG306" s="1729" t="str">
        <f t="shared" si="443"/>
        <v>-</v>
      </c>
      <c r="BH306" s="1048"/>
      <c r="BI306" s="2297" t="str">
        <f t="shared" si="417"/>
        <v>Price</v>
      </c>
      <c r="BJ306" s="2298" t="str">
        <f t="shared" si="417"/>
        <v>[Service]</v>
      </c>
      <c r="BK306" s="1719" t="str">
        <f t="shared" si="417"/>
        <v>[Price]</v>
      </c>
      <c r="BL306" s="2299" t="str">
        <f t="shared" ref="BL306:BZ306" si="471">IF(OR(X306="",X306=0),"-",IFERROR((X306/W306-1)*(W308/W$13),"-"))</f>
        <v>-</v>
      </c>
      <c r="BM306" s="1053" t="str">
        <f t="shared" si="471"/>
        <v>-</v>
      </c>
      <c r="BN306" s="1053" t="str">
        <f t="shared" si="471"/>
        <v>-</v>
      </c>
      <c r="BO306" s="2302" t="str">
        <f t="shared" si="471"/>
        <v>-</v>
      </c>
      <c r="BP306" s="1053" t="str">
        <f t="shared" si="471"/>
        <v>-</v>
      </c>
      <c r="BQ306" s="2303" t="str">
        <f t="shared" si="471"/>
        <v>-</v>
      </c>
      <c r="BR306" s="1053" t="str">
        <f t="shared" si="471"/>
        <v>-</v>
      </c>
      <c r="BS306" s="1053" t="str">
        <f t="shared" si="471"/>
        <v>-</v>
      </c>
      <c r="BT306" s="1053" t="str">
        <f t="shared" si="471"/>
        <v>-</v>
      </c>
      <c r="BU306" s="1054" t="str">
        <f t="shared" si="471"/>
        <v>-</v>
      </c>
      <c r="BV306" s="1053" t="str">
        <f t="shared" si="471"/>
        <v>-</v>
      </c>
      <c r="BW306" s="1053" t="str">
        <f t="shared" si="471"/>
        <v>-</v>
      </c>
      <c r="BX306" s="1053" t="str">
        <f t="shared" si="471"/>
        <v>-</v>
      </c>
      <c r="BY306" s="1053" t="str">
        <f t="shared" si="471"/>
        <v>-</v>
      </c>
      <c r="BZ306" s="1054" t="str">
        <f t="shared" si="471"/>
        <v>-</v>
      </c>
      <c r="CA306" s="1048"/>
    </row>
    <row r="307" spans="3:79" x14ac:dyDescent="0.3">
      <c r="C307" s="126"/>
      <c r="D307" s="126"/>
      <c r="E307" s="558" t="s">
        <v>46</v>
      </c>
      <c r="F307" s="2161" t="str">
        <f t="shared" si="466"/>
        <v>[Service]</v>
      </c>
      <c r="G307" s="2163">
        <f t="shared" si="466"/>
        <v>0</v>
      </c>
      <c r="H307" s="2163">
        <f t="shared" si="466"/>
        <v>0</v>
      </c>
      <c r="I307" s="2164" t="str">
        <f t="shared" si="466"/>
        <v>[Price]</v>
      </c>
      <c r="J307" s="574" t="s">
        <v>323</v>
      </c>
      <c r="K307" s="1973"/>
      <c r="L307" s="1974"/>
      <c r="M307" s="1974"/>
      <c r="N307" s="1975"/>
      <c r="O307" s="1974"/>
      <c r="P307" s="1974"/>
      <c r="Q307" s="1974"/>
      <c r="R307" s="1976"/>
      <c r="S307" s="1975"/>
      <c r="T307" s="1974"/>
      <c r="U307" s="1974"/>
      <c r="V307" s="1974"/>
      <c r="W307" s="578"/>
      <c r="X307" s="1239"/>
      <c r="Y307" s="578"/>
      <c r="Z307" s="578"/>
      <c r="AA307" s="578"/>
      <c r="AB307" s="1143"/>
      <c r="AC307" s="578"/>
      <c r="AD307" s="578"/>
      <c r="AE307" s="578"/>
      <c r="AF307" s="578"/>
      <c r="AG307" s="580"/>
      <c r="AH307" s="578"/>
      <c r="AI307" s="578"/>
      <c r="AJ307" s="578"/>
      <c r="AK307" s="578"/>
      <c r="AL307" s="580"/>
      <c r="AM307" s="560"/>
      <c r="AN307" s="991"/>
      <c r="AO307" s="992"/>
      <c r="AP307" s="2285" t="str">
        <f t="shared" si="388"/>
        <v>Qty</v>
      </c>
      <c r="AQ307" s="2286" t="str">
        <f t="shared" si="388"/>
        <v>[Service]</v>
      </c>
      <c r="AR307" s="2287" t="str">
        <f t="shared" si="389"/>
        <v>[Price]</v>
      </c>
      <c r="AS307" s="2288" t="str">
        <f t="shared" ref="AS307:BG323" si="472">IF(OR(X307="",X307=0),"-",IFERROR(X307/W307-1,"-"))</f>
        <v>-</v>
      </c>
      <c r="AT307" s="1720" t="str">
        <f t="shared" si="472"/>
        <v>-</v>
      </c>
      <c r="AU307" s="1720" t="str">
        <f t="shared" si="472"/>
        <v>-</v>
      </c>
      <c r="AV307" s="2289" t="str">
        <f t="shared" si="472"/>
        <v>-</v>
      </c>
      <c r="AW307" s="1720" t="str">
        <f t="shared" si="472"/>
        <v>-</v>
      </c>
      <c r="AX307" s="2290" t="str">
        <f t="shared" si="472"/>
        <v>-</v>
      </c>
      <c r="AY307" s="1720" t="str">
        <f t="shared" si="472"/>
        <v>-</v>
      </c>
      <c r="AZ307" s="1720" t="str">
        <f t="shared" si="472"/>
        <v>-</v>
      </c>
      <c r="BA307" s="1720" t="str">
        <f t="shared" si="472"/>
        <v>-</v>
      </c>
      <c r="BB307" s="1721" t="str">
        <f t="shared" si="472"/>
        <v>-</v>
      </c>
      <c r="BC307" s="1720" t="str">
        <f t="shared" si="472"/>
        <v>-</v>
      </c>
      <c r="BD307" s="1720" t="str">
        <f t="shared" si="472"/>
        <v>-</v>
      </c>
      <c r="BE307" s="1720" t="str">
        <f t="shared" si="472"/>
        <v>-</v>
      </c>
      <c r="BF307" s="1720" t="str">
        <f t="shared" si="472"/>
        <v>-</v>
      </c>
      <c r="BG307" s="1721" t="str">
        <f t="shared" si="472"/>
        <v>-</v>
      </c>
      <c r="BH307" s="1048"/>
      <c r="BI307" s="2285" t="str">
        <f t="shared" si="417"/>
        <v>Qty</v>
      </c>
      <c r="BJ307" s="2286" t="str">
        <f t="shared" si="417"/>
        <v>[Service]</v>
      </c>
      <c r="BK307" s="2287" t="str">
        <f t="shared" si="417"/>
        <v>[Price]</v>
      </c>
      <c r="BL307" s="2288" t="str">
        <f t="shared" ref="BL307:BZ307" si="473">IF(OR(X307="",X307=0),"-",IFERROR((X307/W307-1)*(W308/W$13),"-"))</f>
        <v>-</v>
      </c>
      <c r="BM307" s="1720" t="str">
        <f t="shared" si="473"/>
        <v>-</v>
      </c>
      <c r="BN307" s="1720" t="str">
        <f t="shared" si="473"/>
        <v>-</v>
      </c>
      <c r="BO307" s="2289" t="str">
        <f t="shared" si="473"/>
        <v>-</v>
      </c>
      <c r="BP307" s="1720" t="str">
        <f t="shared" si="473"/>
        <v>-</v>
      </c>
      <c r="BQ307" s="2290" t="str">
        <f t="shared" si="473"/>
        <v>-</v>
      </c>
      <c r="BR307" s="1720" t="str">
        <f t="shared" si="473"/>
        <v>-</v>
      </c>
      <c r="BS307" s="1720" t="str">
        <f t="shared" si="473"/>
        <v>-</v>
      </c>
      <c r="BT307" s="1720" t="str">
        <f t="shared" si="473"/>
        <v>-</v>
      </c>
      <c r="BU307" s="1721" t="str">
        <f t="shared" si="473"/>
        <v>-</v>
      </c>
      <c r="BV307" s="1720" t="str">
        <f t="shared" si="473"/>
        <v>-</v>
      </c>
      <c r="BW307" s="1720" t="str">
        <f t="shared" si="473"/>
        <v>-</v>
      </c>
      <c r="BX307" s="1720" t="str">
        <f t="shared" si="473"/>
        <v>-</v>
      </c>
      <c r="BY307" s="1720" t="str">
        <f t="shared" si="473"/>
        <v>-</v>
      </c>
      <c r="BZ307" s="1721" t="str">
        <f t="shared" si="473"/>
        <v>-</v>
      </c>
      <c r="CA307" s="1048"/>
    </row>
    <row r="308" spans="3:79" ht="12.5" thickBot="1" x14ac:dyDescent="0.35">
      <c r="C308" s="126"/>
      <c r="D308" s="126"/>
      <c r="E308" s="559" t="s">
        <v>47</v>
      </c>
      <c r="F308" s="2162" t="str">
        <f t="shared" ref="F308:I308" si="474">+F306</f>
        <v>[Service]</v>
      </c>
      <c r="G308" s="2165">
        <f t="shared" si="474"/>
        <v>0</v>
      </c>
      <c r="H308" s="2165">
        <f t="shared" si="474"/>
        <v>0</v>
      </c>
      <c r="I308" s="2166" t="str">
        <f t="shared" si="474"/>
        <v>[Price]</v>
      </c>
      <c r="J308" s="2106" t="s">
        <v>347</v>
      </c>
      <c r="K308" s="1977"/>
      <c r="L308" s="1206"/>
      <c r="M308" s="1206"/>
      <c r="N308" s="1978"/>
      <c r="O308" s="1206"/>
      <c r="P308" s="1206"/>
      <c r="Q308" s="1206"/>
      <c r="R308" s="1206"/>
      <c r="S308" s="1978"/>
      <c r="T308" s="1206"/>
      <c r="U308" s="1206"/>
      <c r="V308" s="1206"/>
      <c r="W308" s="1731">
        <f t="shared" ref="W308:AG308" si="475">W306*W307/10^6</f>
        <v>0</v>
      </c>
      <c r="X308" s="1730">
        <f t="shared" si="475"/>
        <v>0</v>
      </c>
      <c r="Y308" s="1731">
        <f t="shared" si="475"/>
        <v>0</v>
      </c>
      <c r="Z308" s="1731">
        <f t="shared" si="475"/>
        <v>0</v>
      </c>
      <c r="AA308" s="1731">
        <f t="shared" si="475"/>
        <v>0</v>
      </c>
      <c r="AB308" s="1733">
        <f t="shared" si="475"/>
        <v>0</v>
      </c>
      <c r="AC308" s="1731">
        <f t="shared" si="475"/>
        <v>0</v>
      </c>
      <c r="AD308" s="1731">
        <f t="shared" si="475"/>
        <v>0</v>
      </c>
      <c r="AE308" s="1731">
        <f t="shared" si="475"/>
        <v>0</v>
      </c>
      <c r="AF308" s="1731">
        <f t="shared" si="475"/>
        <v>0</v>
      </c>
      <c r="AG308" s="1733">
        <f t="shared" si="475"/>
        <v>0</v>
      </c>
      <c r="AH308" s="1731">
        <f>AH306*AH307/10^6</f>
        <v>0</v>
      </c>
      <c r="AI308" s="1731">
        <f>AI306*AI307/10^6</f>
        <v>0</v>
      </c>
      <c r="AJ308" s="1731">
        <f>AJ306*AJ307/10^6</f>
        <v>0</v>
      </c>
      <c r="AK308" s="1731">
        <f>AK306*AK307/10^6</f>
        <v>0</v>
      </c>
      <c r="AL308" s="1733">
        <f>AL306*AL307/10^6</f>
        <v>0</v>
      </c>
      <c r="AM308" s="560"/>
      <c r="AN308" s="991"/>
      <c r="AO308" s="992"/>
      <c r="AP308" s="2304" t="str">
        <f t="shared" si="388"/>
        <v>Rev</v>
      </c>
      <c r="AQ308" s="2305" t="str">
        <f t="shared" si="388"/>
        <v>[Service]</v>
      </c>
      <c r="AR308" s="2306" t="str">
        <f t="shared" si="389"/>
        <v>[Price]</v>
      </c>
      <c r="AS308" s="2307" t="str">
        <f t="shared" si="472"/>
        <v>-</v>
      </c>
      <c r="AT308" s="1055" t="str">
        <f t="shared" si="472"/>
        <v>-</v>
      </c>
      <c r="AU308" s="1055" t="str">
        <f t="shared" si="472"/>
        <v>-</v>
      </c>
      <c r="AV308" s="2308" t="str">
        <f t="shared" si="472"/>
        <v>-</v>
      </c>
      <c r="AW308" s="1055" t="str">
        <f t="shared" si="472"/>
        <v>-</v>
      </c>
      <c r="AX308" s="2309" t="str">
        <f t="shared" si="472"/>
        <v>-</v>
      </c>
      <c r="AY308" s="1055" t="str">
        <f t="shared" si="472"/>
        <v>-</v>
      </c>
      <c r="AZ308" s="1055" t="str">
        <f t="shared" si="472"/>
        <v>-</v>
      </c>
      <c r="BA308" s="1055" t="str">
        <f t="shared" si="472"/>
        <v>-</v>
      </c>
      <c r="BB308" s="1056" t="str">
        <f t="shared" si="472"/>
        <v>-</v>
      </c>
      <c r="BC308" s="1055" t="str">
        <f t="shared" si="472"/>
        <v>-</v>
      </c>
      <c r="BD308" s="1055" t="str">
        <f t="shared" si="472"/>
        <v>-</v>
      </c>
      <c r="BE308" s="1055" t="str">
        <f t="shared" si="472"/>
        <v>-</v>
      </c>
      <c r="BF308" s="1055" t="str">
        <f t="shared" si="472"/>
        <v>-</v>
      </c>
      <c r="BG308" s="1056" t="str">
        <f t="shared" si="472"/>
        <v>-</v>
      </c>
      <c r="BH308" s="1048"/>
      <c r="BI308" s="2304" t="str">
        <f t="shared" si="417"/>
        <v>Rev</v>
      </c>
      <c r="BJ308" s="2305" t="str">
        <f t="shared" si="417"/>
        <v>[Service]</v>
      </c>
      <c r="BK308" s="2306" t="str">
        <f t="shared" si="417"/>
        <v>[Price]</v>
      </c>
      <c r="BL308" s="2307" t="str">
        <f t="shared" ref="BL308:BZ308" si="476">IF(OR(X308="",X308=0),"-",IFERROR((X308/W308-1)*(W308/W$13),"-"))</f>
        <v>-</v>
      </c>
      <c r="BM308" s="1055" t="str">
        <f t="shared" si="476"/>
        <v>-</v>
      </c>
      <c r="BN308" s="1055" t="str">
        <f t="shared" si="476"/>
        <v>-</v>
      </c>
      <c r="BO308" s="2308" t="str">
        <f t="shared" si="476"/>
        <v>-</v>
      </c>
      <c r="BP308" s="1055" t="str">
        <f t="shared" si="476"/>
        <v>-</v>
      </c>
      <c r="BQ308" s="2309" t="str">
        <f t="shared" si="476"/>
        <v>-</v>
      </c>
      <c r="BR308" s="1055" t="str">
        <f t="shared" si="476"/>
        <v>-</v>
      </c>
      <c r="BS308" s="1055" t="str">
        <f t="shared" si="476"/>
        <v>-</v>
      </c>
      <c r="BT308" s="1055" t="str">
        <f t="shared" si="476"/>
        <v>-</v>
      </c>
      <c r="BU308" s="1056" t="str">
        <f t="shared" si="476"/>
        <v>-</v>
      </c>
      <c r="BV308" s="1055" t="str">
        <f t="shared" si="476"/>
        <v>-</v>
      </c>
      <c r="BW308" s="1055" t="str">
        <f t="shared" si="476"/>
        <v>-</v>
      </c>
      <c r="BX308" s="1055" t="str">
        <f t="shared" si="476"/>
        <v>-</v>
      </c>
      <c r="BY308" s="1055" t="str">
        <f t="shared" si="476"/>
        <v>-</v>
      </c>
      <c r="BZ308" s="1056" t="str">
        <f t="shared" si="476"/>
        <v>-</v>
      </c>
      <c r="CA308" s="1048"/>
    </row>
    <row r="309" spans="3:79" x14ac:dyDescent="0.3">
      <c r="C309" s="126"/>
      <c r="D309" s="126">
        <f>D306+1</f>
        <v>81</v>
      </c>
      <c r="E309" s="553" t="s">
        <v>45</v>
      </c>
      <c r="F309" s="2105" t="s">
        <v>28</v>
      </c>
      <c r="G309" s="2105"/>
      <c r="H309" s="2105"/>
      <c r="I309" s="573" t="s">
        <v>319</v>
      </c>
      <c r="J309" s="573" t="s">
        <v>348</v>
      </c>
      <c r="K309" s="1969"/>
      <c r="L309" s="1970"/>
      <c r="M309" s="1970"/>
      <c r="N309" s="1971"/>
      <c r="O309" s="1970"/>
      <c r="P309" s="1970"/>
      <c r="Q309" s="1970"/>
      <c r="R309" s="1972"/>
      <c r="S309" s="1971"/>
      <c r="T309" s="1970"/>
      <c r="U309" s="1970"/>
      <c r="V309" s="1970"/>
      <c r="W309" s="575"/>
      <c r="X309" s="1238"/>
      <c r="Y309" s="575"/>
      <c r="Z309" s="575"/>
      <c r="AA309" s="575"/>
      <c r="AB309" s="1142"/>
      <c r="AC309" s="575"/>
      <c r="AD309" s="575"/>
      <c r="AE309" s="575"/>
      <c r="AF309" s="575"/>
      <c r="AG309" s="577"/>
      <c r="AH309" s="575"/>
      <c r="AI309" s="575"/>
      <c r="AJ309" s="575"/>
      <c r="AK309" s="575"/>
      <c r="AL309" s="577"/>
      <c r="AM309" s="560"/>
      <c r="AN309" s="1052"/>
      <c r="AO309" s="992"/>
      <c r="AP309" s="2297" t="str">
        <f t="shared" si="388"/>
        <v>Price</v>
      </c>
      <c r="AQ309" s="2298" t="str">
        <f t="shared" si="388"/>
        <v>[Service]</v>
      </c>
      <c r="AR309" s="1719" t="str">
        <f t="shared" si="389"/>
        <v>[Price]</v>
      </c>
      <c r="AS309" s="2299" t="str">
        <f t="shared" si="472"/>
        <v>-</v>
      </c>
      <c r="AT309" s="1728" t="str">
        <f t="shared" si="472"/>
        <v>-</v>
      </c>
      <c r="AU309" s="1728" t="str">
        <f t="shared" si="472"/>
        <v>-</v>
      </c>
      <c r="AV309" s="2300" t="str">
        <f t="shared" si="472"/>
        <v>-</v>
      </c>
      <c r="AW309" s="1728" t="str">
        <f t="shared" si="472"/>
        <v>-</v>
      </c>
      <c r="AX309" s="2301" t="str">
        <f t="shared" si="472"/>
        <v>-</v>
      </c>
      <c r="AY309" s="1728" t="str">
        <f t="shared" si="472"/>
        <v>-</v>
      </c>
      <c r="AZ309" s="1728" t="str">
        <f t="shared" si="472"/>
        <v>-</v>
      </c>
      <c r="BA309" s="1728" t="str">
        <f t="shared" si="472"/>
        <v>-</v>
      </c>
      <c r="BB309" s="1729" t="str">
        <f t="shared" si="472"/>
        <v>-</v>
      </c>
      <c r="BC309" s="1728" t="str">
        <f t="shared" si="472"/>
        <v>-</v>
      </c>
      <c r="BD309" s="1728" t="str">
        <f t="shared" si="472"/>
        <v>-</v>
      </c>
      <c r="BE309" s="1728" t="str">
        <f t="shared" si="472"/>
        <v>-</v>
      </c>
      <c r="BF309" s="1728" t="str">
        <f t="shared" si="472"/>
        <v>-</v>
      </c>
      <c r="BG309" s="1729" t="str">
        <f t="shared" si="472"/>
        <v>-</v>
      </c>
      <c r="BH309" s="1048"/>
      <c r="BI309" s="2297" t="str">
        <f t="shared" si="417"/>
        <v>Price</v>
      </c>
      <c r="BJ309" s="2298" t="str">
        <f t="shared" si="417"/>
        <v>[Service]</v>
      </c>
      <c r="BK309" s="1719" t="str">
        <f t="shared" si="417"/>
        <v>[Price]</v>
      </c>
      <c r="BL309" s="2299" t="str">
        <f t="shared" ref="BL309:BZ309" si="477">IF(OR(X309="",X309=0),"-",IFERROR((X309/W309-1)*(W311/W$13),"-"))</f>
        <v>-</v>
      </c>
      <c r="BM309" s="1053" t="str">
        <f t="shared" si="477"/>
        <v>-</v>
      </c>
      <c r="BN309" s="1053" t="str">
        <f t="shared" si="477"/>
        <v>-</v>
      </c>
      <c r="BO309" s="2302" t="str">
        <f t="shared" si="477"/>
        <v>-</v>
      </c>
      <c r="BP309" s="1053" t="str">
        <f t="shared" si="477"/>
        <v>-</v>
      </c>
      <c r="BQ309" s="2303" t="str">
        <f t="shared" si="477"/>
        <v>-</v>
      </c>
      <c r="BR309" s="1053" t="str">
        <f t="shared" si="477"/>
        <v>-</v>
      </c>
      <c r="BS309" s="1053" t="str">
        <f t="shared" si="477"/>
        <v>-</v>
      </c>
      <c r="BT309" s="1053" t="str">
        <f t="shared" si="477"/>
        <v>-</v>
      </c>
      <c r="BU309" s="1054" t="str">
        <f t="shared" si="477"/>
        <v>-</v>
      </c>
      <c r="BV309" s="1053" t="str">
        <f t="shared" si="477"/>
        <v>-</v>
      </c>
      <c r="BW309" s="1053" t="str">
        <f t="shared" si="477"/>
        <v>-</v>
      </c>
      <c r="BX309" s="1053" t="str">
        <f t="shared" si="477"/>
        <v>-</v>
      </c>
      <c r="BY309" s="1053" t="str">
        <f t="shared" si="477"/>
        <v>-</v>
      </c>
      <c r="BZ309" s="1054" t="str">
        <f t="shared" si="477"/>
        <v>-</v>
      </c>
      <c r="CA309" s="1048"/>
    </row>
    <row r="310" spans="3:79" x14ac:dyDescent="0.3">
      <c r="C310" s="126"/>
      <c r="D310" s="126"/>
      <c r="E310" s="558" t="s">
        <v>46</v>
      </c>
      <c r="F310" s="2161" t="str">
        <f t="shared" si="466"/>
        <v>[Service]</v>
      </c>
      <c r="G310" s="2163">
        <f t="shared" si="466"/>
        <v>0</v>
      </c>
      <c r="H310" s="2163">
        <f t="shared" si="466"/>
        <v>0</v>
      </c>
      <c r="I310" s="2164" t="str">
        <f t="shared" si="466"/>
        <v>[Price]</v>
      </c>
      <c r="J310" s="574" t="s">
        <v>323</v>
      </c>
      <c r="K310" s="1973"/>
      <c r="L310" s="1974"/>
      <c r="M310" s="1974"/>
      <c r="N310" s="1975"/>
      <c r="O310" s="1974"/>
      <c r="P310" s="1974"/>
      <c r="Q310" s="1974"/>
      <c r="R310" s="1976"/>
      <c r="S310" s="1975"/>
      <c r="T310" s="1974"/>
      <c r="U310" s="1974"/>
      <c r="V310" s="1974"/>
      <c r="W310" s="578"/>
      <c r="X310" s="1239"/>
      <c r="Y310" s="578"/>
      <c r="Z310" s="578"/>
      <c r="AA310" s="578"/>
      <c r="AB310" s="1143"/>
      <c r="AC310" s="578"/>
      <c r="AD310" s="578"/>
      <c r="AE310" s="578"/>
      <c r="AF310" s="578"/>
      <c r="AG310" s="580"/>
      <c r="AH310" s="578"/>
      <c r="AI310" s="578"/>
      <c r="AJ310" s="578"/>
      <c r="AK310" s="578"/>
      <c r="AL310" s="580"/>
      <c r="AM310" s="560"/>
      <c r="AN310" s="991"/>
      <c r="AO310" s="992"/>
      <c r="AP310" s="2285" t="str">
        <f t="shared" si="388"/>
        <v>Qty</v>
      </c>
      <c r="AQ310" s="2286" t="str">
        <f t="shared" si="388"/>
        <v>[Service]</v>
      </c>
      <c r="AR310" s="2287" t="str">
        <f t="shared" si="389"/>
        <v>[Price]</v>
      </c>
      <c r="AS310" s="2288" t="str">
        <f t="shared" si="472"/>
        <v>-</v>
      </c>
      <c r="AT310" s="1720" t="str">
        <f t="shared" si="472"/>
        <v>-</v>
      </c>
      <c r="AU310" s="1720" t="str">
        <f t="shared" si="472"/>
        <v>-</v>
      </c>
      <c r="AV310" s="2289" t="str">
        <f t="shared" si="472"/>
        <v>-</v>
      </c>
      <c r="AW310" s="1720" t="str">
        <f t="shared" si="472"/>
        <v>-</v>
      </c>
      <c r="AX310" s="2290" t="str">
        <f t="shared" si="472"/>
        <v>-</v>
      </c>
      <c r="AY310" s="1720" t="str">
        <f t="shared" si="472"/>
        <v>-</v>
      </c>
      <c r="AZ310" s="1720" t="str">
        <f t="shared" si="472"/>
        <v>-</v>
      </c>
      <c r="BA310" s="1720" t="str">
        <f t="shared" si="472"/>
        <v>-</v>
      </c>
      <c r="BB310" s="1721" t="str">
        <f t="shared" si="472"/>
        <v>-</v>
      </c>
      <c r="BC310" s="1720" t="str">
        <f t="shared" si="472"/>
        <v>-</v>
      </c>
      <c r="BD310" s="1720" t="str">
        <f t="shared" si="472"/>
        <v>-</v>
      </c>
      <c r="BE310" s="1720" t="str">
        <f t="shared" si="472"/>
        <v>-</v>
      </c>
      <c r="BF310" s="1720" t="str">
        <f t="shared" si="472"/>
        <v>-</v>
      </c>
      <c r="BG310" s="1721" t="str">
        <f t="shared" si="472"/>
        <v>-</v>
      </c>
      <c r="BH310" s="1048"/>
      <c r="BI310" s="2285" t="str">
        <f t="shared" si="417"/>
        <v>Qty</v>
      </c>
      <c r="BJ310" s="2286" t="str">
        <f t="shared" si="417"/>
        <v>[Service]</v>
      </c>
      <c r="BK310" s="2287" t="str">
        <f t="shared" si="417"/>
        <v>[Price]</v>
      </c>
      <c r="BL310" s="2288" t="str">
        <f t="shared" ref="BL310:BZ310" si="478">IF(OR(X310="",X310=0),"-",IFERROR((X310/W310-1)*(W311/W$13),"-"))</f>
        <v>-</v>
      </c>
      <c r="BM310" s="1720" t="str">
        <f t="shared" si="478"/>
        <v>-</v>
      </c>
      <c r="BN310" s="1720" t="str">
        <f t="shared" si="478"/>
        <v>-</v>
      </c>
      <c r="BO310" s="2289" t="str">
        <f t="shared" si="478"/>
        <v>-</v>
      </c>
      <c r="BP310" s="1720" t="str">
        <f t="shared" si="478"/>
        <v>-</v>
      </c>
      <c r="BQ310" s="2290" t="str">
        <f t="shared" si="478"/>
        <v>-</v>
      </c>
      <c r="BR310" s="1720" t="str">
        <f t="shared" si="478"/>
        <v>-</v>
      </c>
      <c r="BS310" s="1720" t="str">
        <f t="shared" si="478"/>
        <v>-</v>
      </c>
      <c r="BT310" s="1720" t="str">
        <f t="shared" si="478"/>
        <v>-</v>
      </c>
      <c r="BU310" s="1721" t="str">
        <f t="shared" si="478"/>
        <v>-</v>
      </c>
      <c r="BV310" s="1720" t="str">
        <f t="shared" si="478"/>
        <v>-</v>
      </c>
      <c r="BW310" s="1720" t="str">
        <f t="shared" si="478"/>
        <v>-</v>
      </c>
      <c r="BX310" s="1720" t="str">
        <f t="shared" si="478"/>
        <v>-</v>
      </c>
      <c r="BY310" s="1720" t="str">
        <f t="shared" si="478"/>
        <v>-</v>
      </c>
      <c r="BZ310" s="1721" t="str">
        <f t="shared" si="478"/>
        <v>-</v>
      </c>
      <c r="CA310" s="1048"/>
    </row>
    <row r="311" spans="3:79" ht="12.5" thickBot="1" x14ac:dyDescent="0.35">
      <c r="C311" s="126"/>
      <c r="D311" s="126"/>
      <c r="E311" s="559" t="s">
        <v>47</v>
      </c>
      <c r="F311" s="2162" t="str">
        <f t="shared" ref="F311:I311" si="479">+F309</f>
        <v>[Service]</v>
      </c>
      <c r="G311" s="2165">
        <f t="shared" si="479"/>
        <v>0</v>
      </c>
      <c r="H311" s="2165">
        <f t="shared" si="479"/>
        <v>0</v>
      </c>
      <c r="I311" s="2166" t="str">
        <f t="shared" si="479"/>
        <v>[Price]</v>
      </c>
      <c r="J311" s="2106" t="s">
        <v>347</v>
      </c>
      <c r="K311" s="1977"/>
      <c r="L311" s="1206"/>
      <c r="M311" s="1206"/>
      <c r="N311" s="1978"/>
      <c r="O311" s="1206"/>
      <c r="P311" s="1206"/>
      <c r="Q311" s="1206"/>
      <c r="R311" s="1206"/>
      <c r="S311" s="1978"/>
      <c r="T311" s="1206"/>
      <c r="U311" s="1206"/>
      <c r="V311" s="1206"/>
      <c r="W311" s="1731">
        <f t="shared" ref="W311:AG311" si="480">W309*W310/10^6</f>
        <v>0</v>
      </c>
      <c r="X311" s="1730">
        <f t="shared" si="480"/>
        <v>0</v>
      </c>
      <c r="Y311" s="1731">
        <f t="shared" si="480"/>
        <v>0</v>
      </c>
      <c r="Z311" s="1612">
        <f t="shared" si="480"/>
        <v>0</v>
      </c>
      <c r="AA311" s="1731">
        <f t="shared" si="480"/>
        <v>0</v>
      </c>
      <c r="AB311" s="1733">
        <f t="shared" si="480"/>
        <v>0</v>
      </c>
      <c r="AC311" s="1731">
        <f t="shared" si="480"/>
        <v>0</v>
      </c>
      <c r="AD311" s="1731">
        <f t="shared" si="480"/>
        <v>0</v>
      </c>
      <c r="AE311" s="1731">
        <f t="shared" si="480"/>
        <v>0</v>
      </c>
      <c r="AF311" s="1731">
        <f t="shared" si="480"/>
        <v>0</v>
      </c>
      <c r="AG311" s="1733">
        <f t="shared" si="480"/>
        <v>0</v>
      </c>
      <c r="AH311" s="1731">
        <f>AH309*AH310/10^6</f>
        <v>0</v>
      </c>
      <c r="AI311" s="1731">
        <f>AI309*AI310/10^6</f>
        <v>0</v>
      </c>
      <c r="AJ311" s="1731">
        <f>AJ309*AJ310/10^6</f>
        <v>0</v>
      </c>
      <c r="AK311" s="1731">
        <f>AK309*AK310/10^6</f>
        <v>0</v>
      </c>
      <c r="AL311" s="1733">
        <f>AL309*AL310/10^6</f>
        <v>0</v>
      </c>
      <c r="AM311" s="560"/>
      <c r="AN311" s="991"/>
      <c r="AO311" s="992"/>
      <c r="AP311" s="2304" t="str">
        <f t="shared" si="388"/>
        <v>Rev</v>
      </c>
      <c r="AQ311" s="2305" t="str">
        <f t="shared" si="388"/>
        <v>[Service]</v>
      </c>
      <c r="AR311" s="2306" t="str">
        <f t="shared" si="389"/>
        <v>[Price]</v>
      </c>
      <c r="AS311" s="2307" t="str">
        <f t="shared" si="472"/>
        <v>-</v>
      </c>
      <c r="AT311" s="1055" t="str">
        <f t="shared" si="472"/>
        <v>-</v>
      </c>
      <c r="AU311" s="1055" t="str">
        <f t="shared" si="472"/>
        <v>-</v>
      </c>
      <c r="AV311" s="2308" t="str">
        <f t="shared" si="472"/>
        <v>-</v>
      </c>
      <c r="AW311" s="1055" t="str">
        <f t="shared" si="472"/>
        <v>-</v>
      </c>
      <c r="AX311" s="2309" t="str">
        <f t="shared" si="472"/>
        <v>-</v>
      </c>
      <c r="AY311" s="1055" t="str">
        <f t="shared" si="472"/>
        <v>-</v>
      </c>
      <c r="AZ311" s="1055" t="str">
        <f t="shared" si="472"/>
        <v>-</v>
      </c>
      <c r="BA311" s="1055" t="str">
        <f t="shared" si="472"/>
        <v>-</v>
      </c>
      <c r="BB311" s="1056" t="str">
        <f t="shared" si="472"/>
        <v>-</v>
      </c>
      <c r="BC311" s="1055" t="str">
        <f t="shared" si="472"/>
        <v>-</v>
      </c>
      <c r="BD311" s="1055" t="str">
        <f t="shared" si="472"/>
        <v>-</v>
      </c>
      <c r="BE311" s="1055" t="str">
        <f t="shared" si="472"/>
        <v>-</v>
      </c>
      <c r="BF311" s="1055" t="str">
        <f t="shared" si="472"/>
        <v>-</v>
      </c>
      <c r="BG311" s="1056" t="str">
        <f t="shared" si="472"/>
        <v>-</v>
      </c>
      <c r="BH311" s="1048"/>
      <c r="BI311" s="2304" t="str">
        <f t="shared" si="417"/>
        <v>Rev</v>
      </c>
      <c r="BJ311" s="2305" t="str">
        <f t="shared" si="417"/>
        <v>[Service]</v>
      </c>
      <c r="BK311" s="2306" t="str">
        <f t="shared" si="417"/>
        <v>[Price]</v>
      </c>
      <c r="BL311" s="2307" t="str">
        <f t="shared" ref="BL311:BZ311" si="481">IF(OR(X311="",X311=0),"-",IFERROR((X311/W311-1)*(W311/W$13),"-"))</f>
        <v>-</v>
      </c>
      <c r="BM311" s="1055" t="str">
        <f t="shared" si="481"/>
        <v>-</v>
      </c>
      <c r="BN311" s="1055" t="str">
        <f t="shared" si="481"/>
        <v>-</v>
      </c>
      <c r="BO311" s="2308" t="str">
        <f t="shared" si="481"/>
        <v>-</v>
      </c>
      <c r="BP311" s="1055" t="str">
        <f t="shared" si="481"/>
        <v>-</v>
      </c>
      <c r="BQ311" s="2309" t="str">
        <f t="shared" si="481"/>
        <v>-</v>
      </c>
      <c r="BR311" s="1055" t="str">
        <f t="shared" si="481"/>
        <v>-</v>
      </c>
      <c r="BS311" s="1055" t="str">
        <f t="shared" si="481"/>
        <v>-</v>
      </c>
      <c r="BT311" s="1055" t="str">
        <f t="shared" si="481"/>
        <v>-</v>
      </c>
      <c r="BU311" s="1056" t="str">
        <f t="shared" si="481"/>
        <v>-</v>
      </c>
      <c r="BV311" s="1055" t="str">
        <f t="shared" si="481"/>
        <v>-</v>
      </c>
      <c r="BW311" s="1055" t="str">
        <f t="shared" si="481"/>
        <v>-</v>
      </c>
      <c r="BX311" s="1055" t="str">
        <f t="shared" si="481"/>
        <v>-</v>
      </c>
      <c r="BY311" s="1055" t="str">
        <f t="shared" si="481"/>
        <v>-</v>
      </c>
      <c r="BZ311" s="1056" t="str">
        <f t="shared" si="481"/>
        <v>-</v>
      </c>
      <c r="CA311" s="1048"/>
    </row>
    <row r="312" spans="3:79" x14ac:dyDescent="0.3">
      <c r="C312" s="126"/>
      <c r="D312" s="126">
        <f>D309+1</f>
        <v>82</v>
      </c>
      <c r="E312" s="553" t="s">
        <v>45</v>
      </c>
      <c r="F312" s="2105" t="s">
        <v>28</v>
      </c>
      <c r="G312" s="2105"/>
      <c r="H312" s="2105"/>
      <c r="I312" s="573" t="s">
        <v>319</v>
      </c>
      <c r="J312" s="573" t="s">
        <v>348</v>
      </c>
      <c r="K312" s="1969"/>
      <c r="L312" s="1970"/>
      <c r="M312" s="1970"/>
      <c r="N312" s="1971"/>
      <c r="O312" s="1970"/>
      <c r="P312" s="1970"/>
      <c r="Q312" s="1970"/>
      <c r="R312" s="1972"/>
      <c r="S312" s="1971"/>
      <c r="T312" s="1970"/>
      <c r="U312" s="1970"/>
      <c r="V312" s="1970"/>
      <c r="W312" s="575"/>
      <c r="X312" s="1238"/>
      <c r="Y312" s="575"/>
      <c r="Z312" s="575"/>
      <c r="AA312" s="575"/>
      <c r="AB312" s="1142"/>
      <c r="AC312" s="575"/>
      <c r="AD312" s="575"/>
      <c r="AE312" s="575"/>
      <c r="AF312" s="575"/>
      <c r="AG312" s="577"/>
      <c r="AH312" s="575"/>
      <c r="AI312" s="575"/>
      <c r="AJ312" s="575"/>
      <c r="AK312" s="575"/>
      <c r="AL312" s="577"/>
      <c r="AM312" s="560"/>
      <c r="AN312" s="1052"/>
      <c r="AO312" s="992"/>
      <c r="AP312" s="2297" t="str">
        <f t="shared" si="388"/>
        <v>Price</v>
      </c>
      <c r="AQ312" s="2298" t="str">
        <f t="shared" si="388"/>
        <v>[Service]</v>
      </c>
      <c r="AR312" s="1719" t="str">
        <f t="shared" si="389"/>
        <v>[Price]</v>
      </c>
      <c r="AS312" s="2299" t="str">
        <f t="shared" si="472"/>
        <v>-</v>
      </c>
      <c r="AT312" s="1728" t="str">
        <f t="shared" si="472"/>
        <v>-</v>
      </c>
      <c r="AU312" s="1728" t="str">
        <f t="shared" si="472"/>
        <v>-</v>
      </c>
      <c r="AV312" s="2300" t="str">
        <f t="shared" si="472"/>
        <v>-</v>
      </c>
      <c r="AW312" s="1728" t="str">
        <f t="shared" si="472"/>
        <v>-</v>
      </c>
      <c r="AX312" s="2301" t="str">
        <f t="shared" si="472"/>
        <v>-</v>
      </c>
      <c r="AY312" s="1728" t="str">
        <f t="shared" si="472"/>
        <v>-</v>
      </c>
      <c r="AZ312" s="1728" t="str">
        <f t="shared" si="472"/>
        <v>-</v>
      </c>
      <c r="BA312" s="1728" t="str">
        <f t="shared" si="472"/>
        <v>-</v>
      </c>
      <c r="BB312" s="1729" t="str">
        <f t="shared" si="472"/>
        <v>-</v>
      </c>
      <c r="BC312" s="1728" t="str">
        <f t="shared" si="472"/>
        <v>-</v>
      </c>
      <c r="BD312" s="1728" t="str">
        <f t="shared" si="472"/>
        <v>-</v>
      </c>
      <c r="BE312" s="1728" t="str">
        <f t="shared" si="472"/>
        <v>-</v>
      </c>
      <c r="BF312" s="1728" t="str">
        <f t="shared" si="472"/>
        <v>-</v>
      </c>
      <c r="BG312" s="1729" t="str">
        <f t="shared" si="472"/>
        <v>-</v>
      </c>
      <c r="BH312" s="1048"/>
      <c r="BI312" s="2297" t="str">
        <f t="shared" si="417"/>
        <v>Price</v>
      </c>
      <c r="BJ312" s="2298" t="str">
        <f t="shared" si="417"/>
        <v>[Service]</v>
      </c>
      <c r="BK312" s="1719" t="str">
        <f t="shared" si="417"/>
        <v>[Price]</v>
      </c>
      <c r="BL312" s="2299" t="str">
        <f t="shared" ref="BL312:BZ312" si="482">IF(OR(X312="",X312=0),"-",IFERROR((X312/W312-1)*(W314/W$13),"-"))</f>
        <v>-</v>
      </c>
      <c r="BM312" s="1053" t="str">
        <f t="shared" si="482"/>
        <v>-</v>
      </c>
      <c r="BN312" s="1053" t="str">
        <f t="shared" si="482"/>
        <v>-</v>
      </c>
      <c r="BO312" s="2302" t="str">
        <f t="shared" si="482"/>
        <v>-</v>
      </c>
      <c r="BP312" s="1053" t="str">
        <f t="shared" si="482"/>
        <v>-</v>
      </c>
      <c r="BQ312" s="2303" t="str">
        <f t="shared" si="482"/>
        <v>-</v>
      </c>
      <c r="BR312" s="1053" t="str">
        <f t="shared" si="482"/>
        <v>-</v>
      </c>
      <c r="BS312" s="1053" t="str">
        <f t="shared" si="482"/>
        <v>-</v>
      </c>
      <c r="BT312" s="1053" t="str">
        <f t="shared" si="482"/>
        <v>-</v>
      </c>
      <c r="BU312" s="1054" t="str">
        <f t="shared" si="482"/>
        <v>-</v>
      </c>
      <c r="BV312" s="1053" t="str">
        <f t="shared" si="482"/>
        <v>-</v>
      </c>
      <c r="BW312" s="1053" t="str">
        <f t="shared" si="482"/>
        <v>-</v>
      </c>
      <c r="BX312" s="1053" t="str">
        <f t="shared" si="482"/>
        <v>-</v>
      </c>
      <c r="BY312" s="1053" t="str">
        <f t="shared" si="482"/>
        <v>-</v>
      </c>
      <c r="BZ312" s="1054" t="str">
        <f t="shared" si="482"/>
        <v>-</v>
      </c>
      <c r="CA312" s="1048"/>
    </row>
    <row r="313" spans="3:79" x14ac:dyDescent="0.3">
      <c r="C313" s="126"/>
      <c r="D313" s="126"/>
      <c r="E313" s="558" t="s">
        <v>46</v>
      </c>
      <c r="F313" s="2161" t="str">
        <f t="shared" si="466"/>
        <v>[Service]</v>
      </c>
      <c r="G313" s="2163">
        <f t="shared" si="466"/>
        <v>0</v>
      </c>
      <c r="H313" s="2163">
        <f t="shared" si="466"/>
        <v>0</v>
      </c>
      <c r="I313" s="2164" t="str">
        <f t="shared" si="466"/>
        <v>[Price]</v>
      </c>
      <c r="J313" s="574" t="s">
        <v>323</v>
      </c>
      <c r="K313" s="1973"/>
      <c r="L313" s="1974"/>
      <c r="M313" s="1974"/>
      <c r="N313" s="1975"/>
      <c r="O313" s="1974"/>
      <c r="P313" s="1974"/>
      <c r="Q313" s="1974"/>
      <c r="R313" s="1976"/>
      <c r="S313" s="1975"/>
      <c r="T313" s="1974"/>
      <c r="U313" s="1974"/>
      <c r="V313" s="1974"/>
      <c r="W313" s="578"/>
      <c r="X313" s="1239"/>
      <c r="Y313" s="578"/>
      <c r="Z313" s="578"/>
      <c r="AA313" s="578"/>
      <c r="AB313" s="1143"/>
      <c r="AC313" s="578"/>
      <c r="AD313" s="578"/>
      <c r="AE313" s="578"/>
      <c r="AF313" s="578"/>
      <c r="AG313" s="580"/>
      <c r="AH313" s="578"/>
      <c r="AI313" s="578"/>
      <c r="AJ313" s="578"/>
      <c r="AK313" s="578"/>
      <c r="AL313" s="580"/>
      <c r="AM313" s="560"/>
      <c r="AN313" s="991"/>
      <c r="AO313" s="992"/>
      <c r="AP313" s="2285" t="str">
        <f t="shared" si="388"/>
        <v>Qty</v>
      </c>
      <c r="AQ313" s="2286" t="str">
        <f t="shared" si="388"/>
        <v>[Service]</v>
      </c>
      <c r="AR313" s="2287" t="str">
        <f t="shared" si="389"/>
        <v>[Price]</v>
      </c>
      <c r="AS313" s="2288" t="str">
        <f t="shared" si="472"/>
        <v>-</v>
      </c>
      <c r="AT313" s="1720" t="str">
        <f t="shared" si="472"/>
        <v>-</v>
      </c>
      <c r="AU313" s="1720" t="str">
        <f t="shared" si="472"/>
        <v>-</v>
      </c>
      <c r="AV313" s="2289" t="str">
        <f t="shared" si="472"/>
        <v>-</v>
      </c>
      <c r="AW313" s="1720" t="str">
        <f t="shared" si="472"/>
        <v>-</v>
      </c>
      <c r="AX313" s="2290" t="str">
        <f t="shared" si="472"/>
        <v>-</v>
      </c>
      <c r="AY313" s="1720" t="str">
        <f t="shared" si="472"/>
        <v>-</v>
      </c>
      <c r="AZ313" s="1720" t="str">
        <f t="shared" si="472"/>
        <v>-</v>
      </c>
      <c r="BA313" s="1720" t="str">
        <f t="shared" si="472"/>
        <v>-</v>
      </c>
      <c r="BB313" s="1721" t="str">
        <f t="shared" si="472"/>
        <v>-</v>
      </c>
      <c r="BC313" s="1720" t="str">
        <f t="shared" si="472"/>
        <v>-</v>
      </c>
      <c r="BD313" s="1720" t="str">
        <f t="shared" si="472"/>
        <v>-</v>
      </c>
      <c r="BE313" s="1720" t="str">
        <f t="shared" si="472"/>
        <v>-</v>
      </c>
      <c r="BF313" s="1720" t="str">
        <f t="shared" si="472"/>
        <v>-</v>
      </c>
      <c r="BG313" s="1721" t="str">
        <f t="shared" si="472"/>
        <v>-</v>
      </c>
      <c r="BH313" s="1048"/>
      <c r="BI313" s="2285" t="str">
        <f t="shared" si="417"/>
        <v>Qty</v>
      </c>
      <c r="BJ313" s="2286" t="str">
        <f t="shared" si="417"/>
        <v>[Service]</v>
      </c>
      <c r="BK313" s="2287" t="str">
        <f t="shared" si="417"/>
        <v>[Price]</v>
      </c>
      <c r="BL313" s="2288" t="str">
        <f t="shared" ref="BL313:BZ313" si="483">IF(OR(X313="",X313=0),"-",IFERROR((X313/W313-1)*(W314/W$13),"-"))</f>
        <v>-</v>
      </c>
      <c r="BM313" s="1720" t="str">
        <f t="shared" si="483"/>
        <v>-</v>
      </c>
      <c r="BN313" s="1720" t="str">
        <f t="shared" si="483"/>
        <v>-</v>
      </c>
      <c r="BO313" s="2289" t="str">
        <f t="shared" si="483"/>
        <v>-</v>
      </c>
      <c r="BP313" s="1720" t="str">
        <f t="shared" si="483"/>
        <v>-</v>
      </c>
      <c r="BQ313" s="2290" t="str">
        <f t="shared" si="483"/>
        <v>-</v>
      </c>
      <c r="BR313" s="1720" t="str">
        <f t="shared" si="483"/>
        <v>-</v>
      </c>
      <c r="BS313" s="1720" t="str">
        <f t="shared" si="483"/>
        <v>-</v>
      </c>
      <c r="BT313" s="1720" t="str">
        <f t="shared" si="483"/>
        <v>-</v>
      </c>
      <c r="BU313" s="1721" t="str">
        <f t="shared" si="483"/>
        <v>-</v>
      </c>
      <c r="BV313" s="1720" t="str">
        <f t="shared" si="483"/>
        <v>-</v>
      </c>
      <c r="BW313" s="1720" t="str">
        <f t="shared" si="483"/>
        <v>-</v>
      </c>
      <c r="BX313" s="1720" t="str">
        <f t="shared" si="483"/>
        <v>-</v>
      </c>
      <c r="BY313" s="1720" t="str">
        <f t="shared" si="483"/>
        <v>-</v>
      </c>
      <c r="BZ313" s="1721" t="str">
        <f t="shared" si="483"/>
        <v>-</v>
      </c>
      <c r="CA313" s="1048"/>
    </row>
    <row r="314" spans="3:79" ht="12.5" thickBot="1" x14ac:dyDescent="0.35">
      <c r="C314" s="126"/>
      <c r="D314" s="126"/>
      <c r="E314" s="559" t="s">
        <v>47</v>
      </c>
      <c r="F314" s="2162" t="str">
        <f t="shared" ref="F314:I314" si="484">+F312</f>
        <v>[Service]</v>
      </c>
      <c r="G314" s="2165">
        <f t="shared" si="484"/>
        <v>0</v>
      </c>
      <c r="H314" s="2165">
        <f t="shared" si="484"/>
        <v>0</v>
      </c>
      <c r="I314" s="2166" t="str">
        <f t="shared" si="484"/>
        <v>[Price]</v>
      </c>
      <c r="J314" s="2106" t="s">
        <v>347</v>
      </c>
      <c r="K314" s="1977"/>
      <c r="L314" s="1206"/>
      <c r="M314" s="1206"/>
      <c r="N314" s="1978"/>
      <c r="O314" s="1206"/>
      <c r="P314" s="1206"/>
      <c r="Q314" s="1206"/>
      <c r="R314" s="1206"/>
      <c r="S314" s="1978"/>
      <c r="T314" s="1206"/>
      <c r="U314" s="1206"/>
      <c r="V314" s="1206"/>
      <c r="W314" s="1731">
        <f t="shared" ref="W314:AG314" si="485">W312*W313/10^6</f>
        <v>0</v>
      </c>
      <c r="X314" s="1730">
        <f t="shared" si="485"/>
        <v>0</v>
      </c>
      <c r="Y314" s="1731">
        <f t="shared" si="485"/>
        <v>0</v>
      </c>
      <c r="Z314" s="1731">
        <f t="shared" si="485"/>
        <v>0</v>
      </c>
      <c r="AA314" s="1731">
        <f t="shared" si="485"/>
        <v>0</v>
      </c>
      <c r="AB314" s="1733">
        <f t="shared" si="485"/>
        <v>0</v>
      </c>
      <c r="AC314" s="1731">
        <f t="shared" si="485"/>
        <v>0</v>
      </c>
      <c r="AD314" s="1731">
        <f t="shared" si="485"/>
        <v>0</v>
      </c>
      <c r="AE314" s="1731">
        <f t="shared" si="485"/>
        <v>0</v>
      </c>
      <c r="AF314" s="1731">
        <f t="shared" si="485"/>
        <v>0</v>
      </c>
      <c r="AG314" s="1733">
        <f t="shared" si="485"/>
        <v>0</v>
      </c>
      <c r="AH314" s="1731">
        <f>AH312*AH313/10^6</f>
        <v>0</v>
      </c>
      <c r="AI314" s="1731">
        <f>AI312*AI313/10^6</f>
        <v>0</v>
      </c>
      <c r="AJ314" s="1731">
        <f>AJ312*AJ313/10^6</f>
        <v>0</v>
      </c>
      <c r="AK314" s="1731">
        <f>AK312*AK313/10^6</f>
        <v>0</v>
      </c>
      <c r="AL314" s="1733">
        <f>AL312*AL313/10^6</f>
        <v>0</v>
      </c>
      <c r="AM314" s="560"/>
      <c r="AN314" s="991"/>
      <c r="AO314" s="992"/>
      <c r="AP314" s="2304" t="str">
        <f t="shared" si="388"/>
        <v>Rev</v>
      </c>
      <c r="AQ314" s="2305" t="str">
        <f t="shared" si="388"/>
        <v>[Service]</v>
      </c>
      <c r="AR314" s="2306" t="str">
        <f t="shared" si="389"/>
        <v>[Price]</v>
      </c>
      <c r="AS314" s="2307" t="str">
        <f t="shared" si="472"/>
        <v>-</v>
      </c>
      <c r="AT314" s="1055" t="str">
        <f t="shared" si="472"/>
        <v>-</v>
      </c>
      <c r="AU314" s="1055" t="str">
        <f t="shared" si="472"/>
        <v>-</v>
      </c>
      <c r="AV314" s="2308" t="str">
        <f t="shared" si="472"/>
        <v>-</v>
      </c>
      <c r="AW314" s="1055" t="str">
        <f t="shared" si="472"/>
        <v>-</v>
      </c>
      <c r="AX314" s="2309" t="str">
        <f t="shared" si="472"/>
        <v>-</v>
      </c>
      <c r="AY314" s="1055" t="str">
        <f t="shared" si="472"/>
        <v>-</v>
      </c>
      <c r="AZ314" s="1055" t="str">
        <f t="shared" si="472"/>
        <v>-</v>
      </c>
      <c r="BA314" s="1055" t="str">
        <f t="shared" si="472"/>
        <v>-</v>
      </c>
      <c r="BB314" s="1056" t="str">
        <f t="shared" si="472"/>
        <v>-</v>
      </c>
      <c r="BC314" s="1055" t="str">
        <f t="shared" si="472"/>
        <v>-</v>
      </c>
      <c r="BD314" s="1055" t="str">
        <f t="shared" si="472"/>
        <v>-</v>
      </c>
      <c r="BE314" s="1055" t="str">
        <f t="shared" si="472"/>
        <v>-</v>
      </c>
      <c r="BF314" s="1055" t="str">
        <f t="shared" si="472"/>
        <v>-</v>
      </c>
      <c r="BG314" s="1056" t="str">
        <f t="shared" si="472"/>
        <v>-</v>
      </c>
      <c r="BH314" s="1048"/>
      <c r="BI314" s="2304" t="str">
        <f t="shared" si="417"/>
        <v>Rev</v>
      </c>
      <c r="BJ314" s="2305" t="str">
        <f t="shared" si="417"/>
        <v>[Service]</v>
      </c>
      <c r="BK314" s="2306" t="str">
        <f t="shared" si="417"/>
        <v>[Price]</v>
      </c>
      <c r="BL314" s="2307" t="str">
        <f t="shared" ref="BL314:BZ314" si="486">IF(OR(X314="",X314=0),"-",IFERROR((X314/W314-1)*(W314/W$13),"-"))</f>
        <v>-</v>
      </c>
      <c r="BM314" s="1055" t="str">
        <f t="shared" si="486"/>
        <v>-</v>
      </c>
      <c r="BN314" s="1055" t="str">
        <f t="shared" si="486"/>
        <v>-</v>
      </c>
      <c r="BO314" s="2308" t="str">
        <f t="shared" si="486"/>
        <v>-</v>
      </c>
      <c r="BP314" s="1055" t="str">
        <f t="shared" si="486"/>
        <v>-</v>
      </c>
      <c r="BQ314" s="2309" t="str">
        <f t="shared" si="486"/>
        <v>-</v>
      </c>
      <c r="BR314" s="1055" t="str">
        <f t="shared" si="486"/>
        <v>-</v>
      </c>
      <c r="BS314" s="1055" t="str">
        <f t="shared" si="486"/>
        <v>-</v>
      </c>
      <c r="BT314" s="1055" t="str">
        <f t="shared" si="486"/>
        <v>-</v>
      </c>
      <c r="BU314" s="1056" t="str">
        <f t="shared" si="486"/>
        <v>-</v>
      </c>
      <c r="BV314" s="1055" t="str">
        <f t="shared" si="486"/>
        <v>-</v>
      </c>
      <c r="BW314" s="1055" t="str">
        <f t="shared" si="486"/>
        <v>-</v>
      </c>
      <c r="BX314" s="1055" t="str">
        <f t="shared" si="486"/>
        <v>-</v>
      </c>
      <c r="BY314" s="1055" t="str">
        <f t="shared" si="486"/>
        <v>-</v>
      </c>
      <c r="BZ314" s="1056" t="str">
        <f t="shared" si="486"/>
        <v>-</v>
      </c>
      <c r="CA314" s="1048"/>
    </row>
    <row r="315" spans="3:79" x14ac:dyDescent="0.3">
      <c r="C315" s="126"/>
      <c r="D315" s="126">
        <f>D312+1</f>
        <v>83</v>
      </c>
      <c r="E315" s="553" t="s">
        <v>45</v>
      </c>
      <c r="F315" s="2105" t="s">
        <v>28</v>
      </c>
      <c r="G315" s="2105"/>
      <c r="H315" s="2105"/>
      <c r="I315" s="573" t="s">
        <v>319</v>
      </c>
      <c r="J315" s="573" t="s">
        <v>348</v>
      </c>
      <c r="K315" s="1969"/>
      <c r="L315" s="1970"/>
      <c r="M315" s="1970"/>
      <c r="N315" s="1971"/>
      <c r="O315" s="1970"/>
      <c r="P315" s="1970"/>
      <c r="Q315" s="1970"/>
      <c r="R315" s="1972"/>
      <c r="S315" s="1971"/>
      <c r="T315" s="1970"/>
      <c r="U315" s="1970"/>
      <c r="V315" s="1970"/>
      <c r="W315" s="575"/>
      <c r="X315" s="1238"/>
      <c r="Y315" s="575"/>
      <c r="Z315" s="575"/>
      <c r="AA315" s="575"/>
      <c r="AB315" s="1142"/>
      <c r="AC315" s="575"/>
      <c r="AD315" s="575"/>
      <c r="AE315" s="575"/>
      <c r="AF315" s="575"/>
      <c r="AG315" s="577"/>
      <c r="AH315" s="575"/>
      <c r="AI315" s="575"/>
      <c r="AJ315" s="575"/>
      <c r="AK315" s="575"/>
      <c r="AL315" s="577"/>
      <c r="AM315" s="560"/>
      <c r="AN315" s="1052"/>
      <c r="AO315" s="992"/>
      <c r="AP315" s="2297" t="str">
        <f t="shared" si="388"/>
        <v>Price</v>
      </c>
      <c r="AQ315" s="2298" t="str">
        <f t="shared" si="388"/>
        <v>[Service]</v>
      </c>
      <c r="AR315" s="1719" t="str">
        <f t="shared" si="389"/>
        <v>[Price]</v>
      </c>
      <c r="AS315" s="2299" t="str">
        <f t="shared" si="472"/>
        <v>-</v>
      </c>
      <c r="AT315" s="1728" t="str">
        <f t="shared" si="472"/>
        <v>-</v>
      </c>
      <c r="AU315" s="1728" t="str">
        <f t="shared" si="472"/>
        <v>-</v>
      </c>
      <c r="AV315" s="2300" t="str">
        <f t="shared" si="472"/>
        <v>-</v>
      </c>
      <c r="AW315" s="1728" t="str">
        <f t="shared" si="472"/>
        <v>-</v>
      </c>
      <c r="AX315" s="2301" t="str">
        <f t="shared" si="472"/>
        <v>-</v>
      </c>
      <c r="AY315" s="1728" t="str">
        <f t="shared" si="472"/>
        <v>-</v>
      </c>
      <c r="AZ315" s="1728" t="str">
        <f t="shared" si="472"/>
        <v>-</v>
      </c>
      <c r="BA315" s="1728" t="str">
        <f t="shared" si="472"/>
        <v>-</v>
      </c>
      <c r="BB315" s="1729" t="str">
        <f t="shared" si="472"/>
        <v>-</v>
      </c>
      <c r="BC315" s="1728" t="str">
        <f t="shared" si="472"/>
        <v>-</v>
      </c>
      <c r="BD315" s="1728" t="str">
        <f t="shared" si="472"/>
        <v>-</v>
      </c>
      <c r="BE315" s="1728" t="str">
        <f t="shared" si="472"/>
        <v>-</v>
      </c>
      <c r="BF315" s="1728" t="str">
        <f t="shared" si="472"/>
        <v>-</v>
      </c>
      <c r="BG315" s="1729" t="str">
        <f t="shared" si="472"/>
        <v>-</v>
      </c>
      <c r="BH315" s="1048"/>
      <c r="BI315" s="2297" t="str">
        <f t="shared" si="417"/>
        <v>Price</v>
      </c>
      <c r="BJ315" s="2298" t="str">
        <f t="shared" si="417"/>
        <v>[Service]</v>
      </c>
      <c r="BK315" s="1719" t="str">
        <f t="shared" si="417"/>
        <v>[Price]</v>
      </c>
      <c r="BL315" s="2299" t="str">
        <f t="shared" ref="BL315:BZ315" si="487">IF(OR(X315="",X315=0),"-",IFERROR((X315/W315-1)*(W317/W$13),"-"))</f>
        <v>-</v>
      </c>
      <c r="BM315" s="1053" t="str">
        <f t="shared" si="487"/>
        <v>-</v>
      </c>
      <c r="BN315" s="1053" t="str">
        <f t="shared" si="487"/>
        <v>-</v>
      </c>
      <c r="BO315" s="2302" t="str">
        <f t="shared" si="487"/>
        <v>-</v>
      </c>
      <c r="BP315" s="1053" t="str">
        <f t="shared" si="487"/>
        <v>-</v>
      </c>
      <c r="BQ315" s="2303" t="str">
        <f t="shared" si="487"/>
        <v>-</v>
      </c>
      <c r="BR315" s="1053" t="str">
        <f t="shared" si="487"/>
        <v>-</v>
      </c>
      <c r="BS315" s="1053" t="str">
        <f t="shared" si="487"/>
        <v>-</v>
      </c>
      <c r="BT315" s="1053" t="str">
        <f t="shared" si="487"/>
        <v>-</v>
      </c>
      <c r="BU315" s="1054" t="str">
        <f t="shared" si="487"/>
        <v>-</v>
      </c>
      <c r="BV315" s="1053" t="str">
        <f t="shared" si="487"/>
        <v>-</v>
      </c>
      <c r="BW315" s="1053" t="str">
        <f t="shared" si="487"/>
        <v>-</v>
      </c>
      <c r="BX315" s="1053" t="str">
        <f t="shared" si="487"/>
        <v>-</v>
      </c>
      <c r="BY315" s="1053" t="str">
        <f t="shared" si="487"/>
        <v>-</v>
      </c>
      <c r="BZ315" s="1054" t="str">
        <f t="shared" si="487"/>
        <v>-</v>
      </c>
      <c r="CA315" s="1048"/>
    </row>
    <row r="316" spans="3:79" x14ac:dyDescent="0.3">
      <c r="C316" s="126"/>
      <c r="D316" s="126"/>
      <c r="E316" s="558" t="s">
        <v>46</v>
      </c>
      <c r="F316" s="2161" t="str">
        <f t="shared" si="466"/>
        <v>[Service]</v>
      </c>
      <c r="G316" s="2163">
        <f t="shared" si="466"/>
        <v>0</v>
      </c>
      <c r="H316" s="2163">
        <f t="shared" si="466"/>
        <v>0</v>
      </c>
      <c r="I316" s="2164" t="str">
        <f t="shared" si="466"/>
        <v>[Price]</v>
      </c>
      <c r="J316" s="574" t="s">
        <v>323</v>
      </c>
      <c r="K316" s="1973"/>
      <c r="L316" s="1974"/>
      <c r="M316" s="1974"/>
      <c r="N316" s="1975"/>
      <c r="O316" s="1974"/>
      <c r="P316" s="1974"/>
      <c r="Q316" s="1974"/>
      <c r="R316" s="1976"/>
      <c r="S316" s="1975"/>
      <c r="T316" s="1974"/>
      <c r="U316" s="1974"/>
      <c r="V316" s="1974"/>
      <c r="W316" s="578"/>
      <c r="X316" s="1239"/>
      <c r="Y316" s="578"/>
      <c r="Z316" s="578"/>
      <c r="AA316" s="578"/>
      <c r="AB316" s="1143"/>
      <c r="AC316" s="578"/>
      <c r="AD316" s="578"/>
      <c r="AE316" s="578"/>
      <c r="AF316" s="578"/>
      <c r="AG316" s="580"/>
      <c r="AH316" s="578"/>
      <c r="AI316" s="578"/>
      <c r="AJ316" s="578"/>
      <c r="AK316" s="578"/>
      <c r="AL316" s="580"/>
      <c r="AM316" s="560"/>
      <c r="AN316" s="991"/>
      <c r="AO316" s="992"/>
      <c r="AP316" s="2285" t="str">
        <f t="shared" si="388"/>
        <v>Qty</v>
      </c>
      <c r="AQ316" s="2286" t="str">
        <f t="shared" si="388"/>
        <v>[Service]</v>
      </c>
      <c r="AR316" s="2287" t="str">
        <f t="shared" si="389"/>
        <v>[Price]</v>
      </c>
      <c r="AS316" s="2288" t="str">
        <f t="shared" si="472"/>
        <v>-</v>
      </c>
      <c r="AT316" s="1720" t="str">
        <f t="shared" si="472"/>
        <v>-</v>
      </c>
      <c r="AU316" s="1720" t="str">
        <f t="shared" si="472"/>
        <v>-</v>
      </c>
      <c r="AV316" s="2289" t="str">
        <f t="shared" si="472"/>
        <v>-</v>
      </c>
      <c r="AW316" s="1720" t="str">
        <f t="shared" si="472"/>
        <v>-</v>
      </c>
      <c r="AX316" s="2290" t="str">
        <f t="shared" si="472"/>
        <v>-</v>
      </c>
      <c r="AY316" s="1720" t="str">
        <f t="shared" si="472"/>
        <v>-</v>
      </c>
      <c r="AZ316" s="1720" t="str">
        <f t="shared" si="472"/>
        <v>-</v>
      </c>
      <c r="BA316" s="1720" t="str">
        <f t="shared" si="472"/>
        <v>-</v>
      </c>
      <c r="BB316" s="1721" t="str">
        <f t="shared" si="472"/>
        <v>-</v>
      </c>
      <c r="BC316" s="1720" t="str">
        <f t="shared" si="472"/>
        <v>-</v>
      </c>
      <c r="BD316" s="1720" t="str">
        <f t="shared" si="472"/>
        <v>-</v>
      </c>
      <c r="BE316" s="1720" t="str">
        <f t="shared" si="472"/>
        <v>-</v>
      </c>
      <c r="BF316" s="1720" t="str">
        <f t="shared" si="472"/>
        <v>-</v>
      </c>
      <c r="BG316" s="1721" t="str">
        <f t="shared" si="472"/>
        <v>-</v>
      </c>
      <c r="BH316" s="1048"/>
      <c r="BI316" s="2285" t="str">
        <f t="shared" si="417"/>
        <v>Qty</v>
      </c>
      <c r="BJ316" s="2286" t="str">
        <f t="shared" si="417"/>
        <v>[Service]</v>
      </c>
      <c r="BK316" s="2287" t="str">
        <f t="shared" si="417"/>
        <v>[Price]</v>
      </c>
      <c r="BL316" s="2288" t="str">
        <f t="shared" ref="BL316:BZ316" si="488">IF(OR(X316="",X316=0),"-",IFERROR((X316/W316-1)*(W317/W$13),"-"))</f>
        <v>-</v>
      </c>
      <c r="BM316" s="1720" t="str">
        <f t="shared" si="488"/>
        <v>-</v>
      </c>
      <c r="BN316" s="1720" t="str">
        <f t="shared" si="488"/>
        <v>-</v>
      </c>
      <c r="BO316" s="2289" t="str">
        <f t="shared" si="488"/>
        <v>-</v>
      </c>
      <c r="BP316" s="1720" t="str">
        <f t="shared" si="488"/>
        <v>-</v>
      </c>
      <c r="BQ316" s="2290" t="str">
        <f t="shared" si="488"/>
        <v>-</v>
      </c>
      <c r="BR316" s="1720" t="str">
        <f t="shared" si="488"/>
        <v>-</v>
      </c>
      <c r="BS316" s="1720" t="str">
        <f t="shared" si="488"/>
        <v>-</v>
      </c>
      <c r="BT316" s="1720" t="str">
        <f t="shared" si="488"/>
        <v>-</v>
      </c>
      <c r="BU316" s="1721" t="str">
        <f t="shared" si="488"/>
        <v>-</v>
      </c>
      <c r="BV316" s="1720" t="str">
        <f t="shared" si="488"/>
        <v>-</v>
      </c>
      <c r="BW316" s="1720" t="str">
        <f t="shared" si="488"/>
        <v>-</v>
      </c>
      <c r="BX316" s="1720" t="str">
        <f t="shared" si="488"/>
        <v>-</v>
      </c>
      <c r="BY316" s="1720" t="str">
        <f t="shared" si="488"/>
        <v>-</v>
      </c>
      <c r="BZ316" s="1721" t="str">
        <f t="shared" si="488"/>
        <v>-</v>
      </c>
      <c r="CA316" s="1048"/>
    </row>
    <row r="317" spans="3:79" ht="12.5" thickBot="1" x14ac:dyDescent="0.35">
      <c r="C317" s="126"/>
      <c r="D317" s="126"/>
      <c r="E317" s="559" t="s">
        <v>47</v>
      </c>
      <c r="F317" s="2162" t="str">
        <f t="shared" ref="F317:I317" si="489">+F315</f>
        <v>[Service]</v>
      </c>
      <c r="G317" s="2165">
        <f t="shared" si="489"/>
        <v>0</v>
      </c>
      <c r="H317" s="2165">
        <f t="shared" si="489"/>
        <v>0</v>
      </c>
      <c r="I317" s="2166" t="str">
        <f t="shared" si="489"/>
        <v>[Price]</v>
      </c>
      <c r="J317" s="2106" t="s">
        <v>347</v>
      </c>
      <c r="K317" s="1977"/>
      <c r="L317" s="1206"/>
      <c r="M317" s="1206"/>
      <c r="N317" s="1978"/>
      <c r="O317" s="1206"/>
      <c r="P317" s="1206"/>
      <c r="Q317" s="1206"/>
      <c r="R317" s="1206"/>
      <c r="S317" s="1978"/>
      <c r="T317" s="1206"/>
      <c r="U317" s="1206"/>
      <c r="V317" s="1206"/>
      <c r="W317" s="1731">
        <f t="shared" ref="W317:AG317" si="490">W315*W316/10^6</f>
        <v>0</v>
      </c>
      <c r="X317" s="1730">
        <f t="shared" si="490"/>
        <v>0</v>
      </c>
      <c r="Y317" s="1731">
        <f t="shared" si="490"/>
        <v>0</v>
      </c>
      <c r="Z317" s="1731">
        <f t="shared" si="490"/>
        <v>0</v>
      </c>
      <c r="AA317" s="1731">
        <f t="shared" si="490"/>
        <v>0</v>
      </c>
      <c r="AB317" s="1733">
        <f t="shared" si="490"/>
        <v>0</v>
      </c>
      <c r="AC317" s="1731">
        <f t="shared" si="490"/>
        <v>0</v>
      </c>
      <c r="AD317" s="1731">
        <f t="shared" si="490"/>
        <v>0</v>
      </c>
      <c r="AE317" s="1731">
        <f t="shared" si="490"/>
        <v>0</v>
      </c>
      <c r="AF317" s="1731">
        <f t="shared" si="490"/>
        <v>0</v>
      </c>
      <c r="AG317" s="1733">
        <f t="shared" si="490"/>
        <v>0</v>
      </c>
      <c r="AH317" s="1731">
        <f>AH315*AH316/10^6</f>
        <v>0</v>
      </c>
      <c r="AI317" s="1731">
        <f>AI315*AI316/10^6</f>
        <v>0</v>
      </c>
      <c r="AJ317" s="1731">
        <f>AJ315*AJ316/10^6</f>
        <v>0</v>
      </c>
      <c r="AK317" s="1731">
        <f>AK315*AK316/10^6</f>
        <v>0</v>
      </c>
      <c r="AL317" s="1733">
        <f>AL315*AL316/10^6</f>
        <v>0</v>
      </c>
      <c r="AM317" s="560"/>
      <c r="AN317" s="991"/>
      <c r="AO317" s="992"/>
      <c r="AP317" s="2304" t="str">
        <f t="shared" si="388"/>
        <v>Rev</v>
      </c>
      <c r="AQ317" s="2305" t="str">
        <f t="shared" si="388"/>
        <v>[Service]</v>
      </c>
      <c r="AR317" s="2306" t="str">
        <f t="shared" si="389"/>
        <v>[Price]</v>
      </c>
      <c r="AS317" s="2307" t="str">
        <f t="shared" si="472"/>
        <v>-</v>
      </c>
      <c r="AT317" s="1055" t="str">
        <f t="shared" si="472"/>
        <v>-</v>
      </c>
      <c r="AU317" s="1055" t="str">
        <f t="shared" si="472"/>
        <v>-</v>
      </c>
      <c r="AV317" s="2308" t="str">
        <f t="shared" si="472"/>
        <v>-</v>
      </c>
      <c r="AW317" s="1055" t="str">
        <f t="shared" si="472"/>
        <v>-</v>
      </c>
      <c r="AX317" s="2309" t="str">
        <f t="shared" si="472"/>
        <v>-</v>
      </c>
      <c r="AY317" s="1055" t="str">
        <f t="shared" si="472"/>
        <v>-</v>
      </c>
      <c r="AZ317" s="1055" t="str">
        <f t="shared" si="472"/>
        <v>-</v>
      </c>
      <c r="BA317" s="1055" t="str">
        <f t="shared" si="472"/>
        <v>-</v>
      </c>
      <c r="BB317" s="1056" t="str">
        <f t="shared" si="472"/>
        <v>-</v>
      </c>
      <c r="BC317" s="1055" t="str">
        <f t="shared" si="472"/>
        <v>-</v>
      </c>
      <c r="BD317" s="1055" t="str">
        <f t="shared" si="472"/>
        <v>-</v>
      </c>
      <c r="BE317" s="1055" t="str">
        <f t="shared" si="472"/>
        <v>-</v>
      </c>
      <c r="BF317" s="1055" t="str">
        <f t="shared" si="472"/>
        <v>-</v>
      </c>
      <c r="BG317" s="1056" t="str">
        <f t="shared" si="472"/>
        <v>-</v>
      </c>
      <c r="BH317" s="1048"/>
      <c r="BI317" s="2304" t="str">
        <f t="shared" si="417"/>
        <v>Rev</v>
      </c>
      <c r="BJ317" s="2305" t="str">
        <f t="shared" si="417"/>
        <v>[Service]</v>
      </c>
      <c r="BK317" s="2306" t="str">
        <f t="shared" si="417"/>
        <v>[Price]</v>
      </c>
      <c r="BL317" s="2307" t="str">
        <f t="shared" ref="BL317:BZ317" si="491">IF(OR(X317="",X317=0),"-",IFERROR((X317/W317-1)*(W317/W$13),"-"))</f>
        <v>-</v>
      </c>
      <c r="BM317" s="1055" t="str">
        <f t="shared" si="491"/>
        <v>-</v>
      </c>
      <c r="BN317" s="1055" t="str">
        <f t="shared" si="491"/>
        <v>-</v>
      </c>
      <c r="BO317" s="2308" t="str">
        <f t="shared" si="491"/>
        <v>-</v>
      </c>
      <c r="BP317" s="1055" t="str">
        <f t="shared" si="491"/>
        <v>-</v>
      </c>
      <c r="BQ317" s="2309" t="str">
        <f t="shared" si="491"/>
        <v>-</v>
      </c>
      <c r="BR317" s="1055" t="str">
        <f t="shared" si="491"/>
        <v>-</v>
      </c>
      <c r="BS317" s="1055" t="str">
        <f t="shared" si="491"/>
        <v>-</v>
      </c>
      <c r="BT317" s="1055" t="str">
        <f t="shared" si="491"/>
        <v>-</v>
      </c>
      <c r="BU317" s="1056" t="str">
        <f t="shared" si="491"/>
        <v>-</v>
      </c>
      <c r="BV317" s="1055" t="str">
        <f t="shared" si="491"/>
        <v>-</v>
      </c>
      <c r="BW317" s="1055" t="str">
        <f t="shared" si="491"/>
        <v>-</v>
      </c>
      <c r="BX317" s="1055" t="str">
        <f t="shared" si="491"/>
        <v>-</v>
      </c>
      <c r="BY317" s="1055" t="str">
        <f t="shared" si="491"/>
        <v>-</v>
      </c>
      <c r="BZ317" s="1056" t="str">
        <f t="shared" si="491"/>
        <v>-</v>
      </c>
      <c r="CA317" s="1048"/>
    </row>
    <row r="318" spans="3:79" x14ac:dyDescent="0.3">
      <c r="C318" s="126"/>
      <c r="D318" s="126">
        <f>D315+1</f>
        <v>84</v>
      </c>
      <c r="E318" s="553" t="s">
        <v>45</v>
      </c>
      <c r="F318" s="2105" t="s">
        <v>28</v>
      </c>
      <c r="G318" s="2105"/>
      <c r="H318" s="2105"/>
      <c r="I318" s="573" t="s">
        <v>319</v>
      </c>
      <c r="J318" s="573" t="s">
        <v>348</v>
      </c>
      <c r="K318" s="1969"/>
      <c r="L318" s="1970"/>
      <c r="M318" s="1970"/>
      <c r="N318" s="1971"/>
      <c r="O318" s="1970"/>
      <c r="P318" s="1970"/>
      <c r="Q318" s="1970"/>
      <c r="R318" s="1972"/>
      <c r="S318" s="1971"/>
      <c r="T318" s="1970"/>
      <c r="U318" s="1970"/>
      <c r="V318" s="1970"/>
      <c r="W318" s="575"/>
      <c r="X318" s="1238"/>
      <c r="Y318" s="575"/>
      <c r="Z318" s="575"/>
      <c r="AA318" s="575"/>
      <c r="AB318" s="1142"/>
      <c r="AC318" s="575"/>
      <c r="AD318" s="575"/>
      <c r="AE318" s="575"/>
      <c r="AF318" s="575"/>
      <c r="AG318" s="577"/>
      <c r="AH318" s="575"/>
      <c r="AI318" s="575"/>
      <c r="AJ318" s="575"/>
      <c r="AK318" s="575"/>
      <c r="AL318" s="577"/>
      <c r="AM318" s="560"/>
      <c r="AN318" s="1052"/>
      <c r="AO318" s="992"/>
      <c r="AP318" s="2297" t="str">
        <f t="shared" si="388"/>
        <v>Price</v>
      </c>
      <c r="AQ318" s="2298" t="str">
        <f t="shared" si="388"/>
        <v>[Service]</v>
      </c>
      <c r="AR318" s="1719" t="str">
        <f t="shared" si="389"/>
        <v>[Price]</v>
      </c>
      <c r="AS318" s="2299" t="str">
        <f t="shared" si="472"/>
        <v>-</v>
      </c>
      <c r="AT318" s="1728" t="str">
        <f t="shared" si="472"/>
        <v>-</v>
      </c>
      <c r="AU318" s="1728" t="str">
        <f t="shared" si="472"/>
        <v>-</v>
      </c>
      <c r="AV318" s="2300" t="str">
        <f t="shared" si="472"/>
        <v>-</v>
      </c>
      <c r="AW318" s="1728" t="str">
        <f t="shared" si="472"/>
        <v>-</v>
      </c>
      <c r="AX318" s="2301" t="str">
        <f t="shared" si="472"/>
        <v>-</v>
      </c>
      <c r="AY318" s="1728" t="str">
        <f t="shared" si="472"/>
        <v>-</v>
      </c>
      <c r="AZ318" s="1728" t="str">
        <f t="shared" si="472"/>
        <v>-</v>
      </c>
      <c r="BA318" s="1728" t="str">
        <f t="shared" si="472"/>
        <v>-</v>
      </c>
      <c r="BB318" s="1729" t="str">
        <f t="shared" si="472"/>
        <v>-</v>
      </c>
      <c r="BC318" s="1728" t="str">
        <f t="shared" si="472"/>
        <v>-</v>
      </c>
      <c r="BD318" s="1728" t="str">
        <f t="shared" si="472"/>
        <v>-</v>
      </c>
      <c r="BE318" s="1728" t="str">
        <f t="shared" si="472"/>
        <v>-</v>
      </c>
      <c r="BF318" s="1728" t="str">
        <f t="shared" si="472"/>
        <v>-</v>
      </c>
      <c r="BG318" s="1729" t="str">
        <f t="shared" si="472"/>
        <v>-</v>
      </c>
      <c r="BH318" s="1048"/>
      <c r="BI318" s="2297" t="str">
        <f t="shared" si="417"/>
        <v>Price</v>
      </c>
      <c r="BJ318" s="2298" t="str">
        <f t="shared" si="417"/>
        <v>[Service]</v>
      </c>
      <c r="BK318" s="1719" t="str">
        <f t="shared" si="417"/>
        <v>[Price]</v>
      </c>
      <c r="BL318" s="2299" t="str">
        <f t="shared" ref="BL318:BZ318" si="492">IF(OR(X318="",X318=0),"-",IFERROR((X318/W318-1)*(W320/W$13),"-"))</f>
        <v>-</v>
      </c>
      <c r="BM318" s="1053" t="str">
        <f t="shared" si="492"/>
        <v>-</v>
      </c>
      <c r="BN318" s="1053" t="str">
        <f t="shared" si="492"/>
        <v>-</v>
      </c>
      <c r="BO318" s="2302" t="str">
        <f t="shared" si="492"/>
        <v>-</v>
      </c>
      <c r="BP318" s="1053" t="str">
        <f t="shared" si="492"/>
        <v>-</v>
      </c>
      <c r="BQ318" s="2303" t="str">
        <f t="shared" si="492"/>
        <v>-</v>
      </c>
      <c r="BR318" s="1053" t="str">
        <f t="shared" si="492"/>
        <v>-</v>
      </c>
      <c r="BS318" s="1053" t="str">
        <f t="shared" si="492"/>
        <v>-</v>
      </c>
      <c r="BT318" s="1053" t="str">
        <f t="shared" si="492"/>
        <v>-</v>
      </c>
      <c r="BU318" s="1054" t="str">
        <f t="shared" si="492"/>
        <v>-</v>
      </c>
      <c r="BV318" s="1053" t="str">
        <f t="shared" si="492"/>
        <v>-</v>
      </c>
      <c r="BW318" s="1053" t="str">
        <f t="shared" si="492"/>
        <v>-</v>
      </c>
      <c r="BX318" s="1053" t="str">
        <f t="shared" si="492"/>
        <v>-</v>
      </c>
      <c r="BY318" s="1053" t="str">
        <f t="shared" si="492"/>
        <v>-</v>
      </c>
      <c r="BZ318" s="1054" t="str">
        <f t="shared" si="492"/>
        <v>-</v>
      </c>
      <c r="CA318" s="1048"/>
    </row>
    <row r="319" spans="3:79" x14ac:dyDescent="0.3">
      <c r="C319" s="126"/>
      <c r="D319" s="126"/>
      <c r="E319" s="558" t="s">
        <v>46</v>
      </c>
      <c r="F319" s="2161" t="str">
        <f t="shared" si="466"/>
        <v>[Service]</v>
      </c>
      <c r="G319" s="2163">
        <f t="shared" si="466"/>
        <v>0</v>
      </c>
      <c r="H319" s="2163">
        <f t="shared" si="466"/>
        <v>0</v>
      </c>
      <c r="I319" s="2164" t="str">
        <f t="shared" si="466"/>
        <v>[Price]</v>
      </c>
      <c r="J319" s="574" t="s">
        <v>323</v>
      </c>
      <c r="K319" s="1973"/>
      <c r="L319" s="1974"/>
      <c r="M319" s="1974"/>
      <c r="N319" s="1975"/>
      <c r="O319" s="1974"/>
      <c r="P319" s="1974"/>
      <c r="Q319" s="1974"/>
      <c r="R319" s="1976"/>
      <c r="S319" s="1975"/>
      <c r="T319" s="1974"/>
      <c r="U319" s="1974"/>
      <c r="V319" s="1974"/>
      <c r="W319" s="578"/>
      <c r="X319" s="1239"/>
      <c r="Y319" s="578"/>
      <c r="Z319" s="578"/>
      <c r="AA319" s="578"/>
      <c r="AB319" s="1143"/>
      <c r="AC319" s="578"/>
      <c r="AD319" s="578"/>
      <c r="AE319" s="578"/>
      <c r="AF319" s="578"/>
      <c r="AG319" s="580"/>
      <c r="AH319" s="578"/>
      <c r="AI319" s="578"/>
      <c r="AJ319" s="578"/>
      <c r="AK319" s="578"/>
      <c r="AL319" s="580"/>
      <c r="AM319" s="560"/>
      <c r="AN319" s="991"/>
      <c r="AO319" s="992"/>
      <c r="AP319" s="2285" t="str">
        <f t="shared" si="388"/>
        <v>Qty</v>
      </c>
      <c r="AQ319" s="2286" t="str">
        <f t="shared" si="388"/>
        <v>[Service]</v>
      </c>
      <c r="AR319" s="2287" t="str">
        <f t="shared" si="389"/>
        <v>[Price]</v>
      </c>
      <c r="AS319" s="2288" t="str">
        <f t="shared" si="472"/>
        <v>-</v>
      </c>
      <c r="AT319" s="1720" t="str">
        <f t="shared" si="472"/>
        <v>-</v>
      </c>
      <c r="AU319" s="1720" t="str">
        <f t="shared" si="472"/>
        <v>-</v>
      </c>
      <c r="AV319" s="2289" t="str">
        <f t="shared" si="472"/>
        <v>-</v>
      </c>
      <c r="AW319" s="1720" t="str">
        <f t="shared" si="472"/>
        <v>-</v>
      </c>
      <c r="AX319" s="2290" t="str">
        <f t="shared" si="472"/>
        <v>-</v>
      </c>
      <c r="AY319" s="1720" t="str">
        <f t="shared" si="472"/>
        <v>-</v>
      </c>
      <c r="AZ319" s="1720" t="str">
        <f t="shared" si="472"/>
        <v>-</v>
      </c>
      <c r="BA319" s="1720" t="str">
        <f t="shared" si="472"/>
        <v>-</v>
      </c>
      <c r="BB319" s="1721" t="str">
        <f t="shared" si="472"/>
        <v>-</v>
      </c>
      <c r="BC319" s="1720" t="str">
        <f t="shared" si="472"/>
        <v>-</v>
      </c>
      <c r="BD319" s="1720" t="str">
        <f t="shared" si="472"/>
        <v>-</v>
      </c>
      <c r="BE319" s="1720" t="str">
        <f t="shared" si="472"/>
        <v>-</v>
      </c>
      <c r="BF319" s="1720" t="str">
        <f t="shared" si="472"/>
        <v>-</v>
      </c>
      <c r="BG319" s="1721" t="str">
        <f t="shared" si="472"/>
        <v>-</v>
      </c>
      <c r="BH319" s="1048"/>
      <c r="BI319" s="2285" t="str">
        <f t="shared" si="417"/>
        <v>Qty</v>
      </c>
      <c r="BJ319" s="2286" t="str">
        <f t="shared" si="417"/>
        <v>[Service]</v>
      </c>
      <c r="BK319" s="2287" t="str">
        <f t="shared" si="417"/>
        <v>[Price]</v>
      </c>
      <c r="BL319" s="2288" t="str">
        <f t="shared" ref="BL319:BZ319" si="493">IF(OR(X319="",X319=0),"-",IFERROR((X319/W319-1)*(W320/W$13),"-"))</f>
        <v>-</v>
      </c>
      <c r="BM319" s="1720" t="str">
        <f t="shared" si="493"/>
        <v>-</v>
      </c>
      <c r="BN319" s="1720" t="str">
        <f t="shared" si="493"/>
        <v>-</v>
      </c>
      <c r="BO319" s="2289" t="str">
        <f t="shared" si="493"/>
        <v>-</v>
      </c>
      <c r="BP319" s="1720" t="str">
        <f t="shared" si="493"/>
        <v>-</v>
      </c>
      <c r="BQ319" s="2290" t="str">
        <f t="shared" si="493"/>
        <v>-</v>
      </c>
      <c r="BR319" s="1720" t="str">
        <f t="shared" si="493"/>
        <v>-</v>
      </c>
      <c r="BS319" s="1720" t="str">
        <f t="shared" si="493"/>
        <v>-</v>
      </c>
      <c r="BT319" s="1720" t="str">
        <f t="shared" si="493"/>
        <v>-</v>
      </c>
      <c r="BU319" s="1721" t="str">
        <f t="shared" si="493"/>
        <v>-</v>
      </c>
      <c r="BV319" s="1720" t="str">
        <f t="shared" si="493"/>
        <v>-</v>
      </c>
      <c r="BW319" s="1720" t="str">
        <f t="shared" si="493"/>
        <v>-</v>
      </c>
      <c r="BX319" s="1720" t="str">
        <f t="shared" si="493"/>
        <v>-</v>
      </c>
      <c r="BY319" s="1720" t="str">
        <f t="shared" si="493"/>
        <v>-</v>
      </c>
      <c r="BZ319" s="1721" t="str">
        <f t="shared" si="493"/>
        <v>-</v>
      </c>
      <c r="CA319" s="1048"/>
    </row>
    <row r="320" spans="3:79" ht="12.5" thickBot="1" x14ac:dyDescent="0.35">
      <c r="C320" s="126"/>
      <c r="D320" s="126"/>
      <c r="E320" s="559" t="s">
        <v>47</v>
      </c>
      <c r="F320" s="2162" t="str">
        <f t="shared" ref="F320:I320" si="494">+F318</f>
        <v>[Service]</v>
      </c>
      <c r="G320" s="2165">
        <f t="shared" si="494"/>
        <v>0</v>
      </c>
      <c r="H320" s="2165">
        <f t="shared" si="494"/>
        <v>0</v>
      </c>
      <c r="I320" s="2166" t="str">
        <f t="shared" si="494"/>
        <v>[Price]</v>
      </c>
      <c r="J320" s="2106" t="s">
        <v>347</v>
      </c>
      <c r="K320" s="1977"/>
      <c r="L320" s="1206"/>
      <c r="M320" s="1206"/>
      <c r="N320" s="1978"/>
      <c r="O320" s="1206"/>
      <c r="P320" s="1206"/>
      <c r="Q320" s="1206"/>
      <c r="R320" s="1206"/>
      <c r="S320" s="1978"/>
      <c r="T320" s="1206"/>
      <c r="U320" s="1206"/>
      <c r="V320" s="1206"/>
      <c r="W320" s="1731">
        <f t="shared" ref="W320:AG320" si="495">W318*W319/10^6</f>
        <v>0</v>
      </c>
      <c r="X320" s="1730">
        <f t="shared" si="495"/>
        <v>0</v>
      </c>
      <c r="Y320" s="1731">
        <f t="shared" si="495"/>
        <v>0</v>
      </c>
      <c r="Z320" s="1731">
        <f t="shared" si="495"/>
        <v>0</v>
      </c>
      <c r="AA320" s="1731">
        <f t="shared" si="495"/>
        <v>0</v>
      </c>
      <c r="AB320" s="1733">
        <f t="shared" si="495"/>
        <v>0</v>
      </c>
      <c r="AC320" s="1731">
        <f t="shared" si="495"/>
        <v>0</v>
      </c>
      <c r="AD320" s="1731">
        <f t="shared" si="495"/>
        <v>0</v>
      </c>
      <c r="AE320" s="1731">
        <f t="shared" si="495"/>
        <v>0</v>
      </c>
      <c r="AF320" s="1731">
        <f t="shared" si="495"/>
        <v>0</v>
      </c>
      <c r="AG320" s="1733">
        <f t="shared" si="495"/>
        <v>0</v>
      </c>
      <c r="AH320" s="1731">
        <f>AH318*AH319/10^6</f>
        <v>0</v>
      </c>
      <c r="AI320" s="1731">
        <f>AI318*AI319/10^6</f>
        <v>0</v>
      </c>
      <c r="AJ320" s="1731">
        <f>AJ318*AJ319/10^6</f>
        <v>0</v>
      </c>
      <c r="AK320" s="1731">
        <f>AK318*AK319/10^6</f>
        <v>0</v>
      </c>
      <c r="AL320" s="1733">
        <f>AL318*AL319/10^6</f>
        <v>0</v>
      </c>
      <c r="AM320" s="560"/>
      <c r="AN320" s="991"/>
      <c r="AO320" s="992"/>
      <c r="AP320" s="2304" t="str">
        <f t="shared" si="388"/>
        <v>Rev</v>
      </c>
      <c r="AQ320" s="2305" t="str">
        <f t="shared" si="388"/>
        <v>[Service]</v>
      </c>
      <c r="AR320" s="2306" t="str">
        <f t="shared" si="389"/>
        <v>[Price]</v>
      </c>
      <c r="AS320" s="2307" t="str">
        <f t="shared" si="472"/>
        <v>-</v>
      </c>
      <c r="AT320" s="1055" t="str">
        <f t="shared" si="472"/>
        <v>-</v>
      </c>
      <c r="AU320" s="1055" t="str">
        <f t="shared" si="472"/>
        <v>-</v>
      </c>
      <c r="AV320" s="2308" t="str">
        <f t="shared" si="472"/>
        <v>-</v>
      </c>
      <c r="AW320" s="1055" t="str">
        <f t="shared" si="472"/>
        <v>-</v>
      </c>
      <c r="AX320" s="2309" t="str">
        <f t="shared" si="472"/>
        <v>-</v>
      </c>
      <c r="AY320" s="1055" t="str">
        <f t="shared" si="472"/>
        <v>-</v>
      </c>
      <c r="AZ320" s="1055" t="str">
        <f t="shared" si="472"/>
        <v>-</v>
      </c>
      <c r="BA320" s="1055" t="str">
        <f t="shared" si="472"/>
        <v>-</v>
      </c>
      <c r="BB320" s="1056" t="str">
        <f t="shared" si="472"/>
        <v>-</v>
      </c>
      <c r="BC320" s="1055" t="str">
        <f t="shared" si="472"/>
        <v>-</v>
      </c>
      <c r="BD320" s="1055" t="str">
        <f t="shared" si="472"/>
        <v>-</v>
      </c>
      <c r="BE320" s="1055" t="str">
        <f t="shared" si="472"/>
        <v>-</v>
      </c>
      <c r="BF320" s="1055" t="str">
        <f t="shared" si="472"/>
        <v>-</v>
      </c>
      <c r="BG320" s="1056" t="str">
        <f t="shared" si="472"/>
        <v>-</v>
      </c>
      <c r="BH320" s="1048"/>
      <c r="BI320" s="2304" t="str">
        <f t="shared" si="417"/>
        <v>Rev</v>
      </c>
      <c r="BJ320" s="2305" t="str">
        <f t="shared" si="417"/>
        <v>[Service]</v>
      </c>
      <c r="BK320" s="2306" t="str">
        <f t="shared" si="417"/>
        <v>[Price]</v>
      </c>
      <c r="BL320" s="2307" t="str">
        <f t="shared" ref="BL320:BZ320" si="496">IF(OR(X320="",X320=0),"-",IFERROR((X320/W320-1)*(W320/W$13),"-"))</f>
        <v>-</v>
      </c>
      <c r="BM320" s="1055" t="str">
        <f t="shared" si="496"/>
        <v>-</v>
      </c>
      <c r="BN320" s="1055" t="str">
        <f t="shared" si="496"/>
        <v>-</v>
      </c>
      <c r="BO320" s="2308" t="str">
        <f t="shared" si="496"/>
        <v>-</v>
      </c>
      <c r="BP320" s="1055" t="str">
        <f t="shared" si="496"/>
        <v>-</v>
      </c>
      <c r="BQ320" s="2309" t="str">
        <f t="shared" si="496"/>
        <v>-</v>
      </c>
      <c r="BR320" s="1055" t="str">
        <f t="shared" si="496"/>
        <v>-</v>
      </c>
      <c r="BS320" s="1055" t="str">
        <f t="shared" si="496"/>
        <v>-</v>
      </c>
      <c r="BT320" s="1055" t="str">
        <f t="shared" si="496"/>
        <v>-</v>
      </c>
      <c r="BU320" s="1056" t="str">
        <f t="shared" si="496"/>
        <v>-</v>
      </c>
      <c r="BV320" s="1055" t="str">
        <f t="shared" si="496"/>
        <v>-</v>
      </c>
      <c r="BW320" s="1055" t="str">
        <f t="shared" si="496"/>
        <v>-</v>
      </c>
      <c r="BX320" s="1055" t="str">
        <f t="shared" si="496"/>
        <v>-</v>
      </c>
      <c r="BY320" s="1055" t="str">
        <f t="shared" si="496"/>
        <v>-</v>
      </c>
      <c r="BZ320" s="1056" t="str">
        <f t="shared" si="496"/>
        <v>-</v>
      </c>
      <c r="CA320" s="1048"/>
    </row>
    <row r="321" spans="3:79" x14ac:dyDescent="0.3">
      <c r="C321" s="126"/>
      <c r="D321" s="126">
        <f>D318+1</f>
        <v>85</v>
      </c>
      <c r="E321" s="553" t="s">
        <v>45</v>
      </c>
      <c r="F321" s="2105" t="s">
        <v>28</v>
      </c>
      <c r="G321" s="2105"/>
      <c r="H321" s="2105"/>
      <c r="I321" s="573" t="s">
        <v>319</v>
      </c>
      <c r="J321" s="573" t="s">
        <v>348</v>
      </c>
      <c r="K321" s="1969"/>
      <c r="L321" s="1970"/>
      <c r="M321" s="1970"/>
      <c r="N321" s="1971"/>
      <c r="O321" s="1970"/>
      <c r="P321" s="1970"/>
      <c r="Q321" s="1970"/>
      <c r="R321" s="1972"/>
      <c r="S321" s="1971"/>
      <c r="T321" s="1970"/>
      <c r="U321" s="1970"/>
      <c r="V321" s="1970"/>
      <c r="W321" s="575"/>
      <c r="X321" s="1238"/>
      <c r="Y321" s="575"/>
      <c r="Z321" s="575"/>
      <c r="AA321" s="575"/>
      <c r="AB321" s="1142"/>
      <c r="AC321" s="575"/>
      <c r="AD321" s="575"/>
      <c r="AE321" s="575"/>
      <c r="AF321" s="575"/>
      <c r="AG321" s="577"/>
      <c r="AH321" s="575"/>
      <c r="AI321" s="575"/>
      <c r="AJ321" s="575"/>
      <c r="AK321" s="575"/>
      <c r="AL321" s="577"/>
      <c r="AM321" s="560"/>
      <c r="AN321" s="1052"/>
      <c r="AO321" s="992"/>
      <c r="AP321" s="2297" t="str">
        <f t="shared" si="388"/>
        <v>Price</v>
      </c>
      <c r="AQ321" s="2298" t="str">
        <f t="shared" si="388"/>
        <v>[Service]</v>
      </c>
      <c r="AR321" s="1719" t="str">
        <f t="shared" si="389"/>
        <v>[Price]</v>
      </c>
      <c r="AS321" s="2299" t="str">
        <f t="shared" si="472"/>
        <v>-</v>
      </c>
      <c r="AT321" s="1728" t="str">
        <f t="shared" si="472"/>
        <v>-</v>
      </c>
      <c r="AU321" s="1728" t="str">
        <f t="shared" si="472"/>
        <v>-</v>
      </c>
      <c r="AV321" s="2300" t="str">
        <f t="shared" si="472"/>
        <v>-</v>
      </c>
      <c r="AW321" s="1728" t="str">
        <f t="shared" si="472"/>
        <v>-</v>
      </c>
      <c r="AX321" s="2301" t="str">
        <f t="shared" si="472"/>
        <v>-</v>
      </c>
      <c r="AY321" s="1728" t="str">
        <f t="shared" si="472"/>
        <v>-</v>
      </c>
      <c r="AZ321" s="1728" t="str">
        <f t="shared" si="472"/>
        <v>-</v>
      </c>
      <c r="BA321" s="1728" t="str">
        <f t="shared" si="472"/>
        <v>-</v>
      </c>
      <c r="BB321" s="1729" t="str">
        <f t="shared" si="472"/>
        <v>-</v>
      </c>
      <c r="BC321" s="1728" t="str">
        <f t="shared" si="472"/>
        <v>-</v>
      </c>
      <c r="BD321" s="1728" t="str">
        <f t="shared" si="472"/>
        <v>-</v>
      </c>
      <c r="BE321" s="1728" t="str">
        <f t="shared" si="472"/>
        <v>-</v>
      </c>
      <c r="BF321" s="1728" t="str">
        <f t="shared" si="472"/>
        <v>-</v>
      </c>
      <c r="BG321" s="1729" t="str">
        <f t="shared" si="472"/>
        <v>-</v>
      </c>
      <c r="BH321" s="1048"/>
      <c r="BI321" s="2297" t="str">
        <f t="shared" si="417"/>
        <v>Price</v>
      </c>
      <c r="BJ321" s="2298" t="str">
        <f t="shared" si="417"/>
        <v>[Service]</v>
      </c>
      <c r="BK321" s="1719" t="str">
        <f t="shared" si="417"/>
        <v>[Price]</v>
      </c>
      <c r="BL321" s="2299" t="str">
        <f t="shared" ref="BL321:BZ321" si="497">IF(OR(X321="",X321=0),"-",IFERROR((X321/W321-1)*(W323/W$13),"-"))</f>
        <v>-</v>
      </c>
      <c r="BM321" s="1053" t="str">
        <f t="shared" si="497"/>
        <v>-</v>
      </c>
      <c r="BN321" s="1053" t="str">
        <f t="shared" si="497"/>
        <v>-</v>
      </c>
      <c r="BO321" s="2302" t="str">
        <f t="shared" si="497"/>
        <v>-</v>
      </c>
      <c r="BP321" s="1053" t="str">
        <f t="shared" si="497"/>
        <v>-</v>
      </c>
      <c r="BQ321" s="2303" t="str">
        <f t="shared" si="497"/>
        <v>-</v>
      </c>
      <c r="BR321" s="1053" t="str">
        <f t="shared" si="497"/>
        <v>-</v>
      </c>
      <c r="BS321" s="1053" t="str">
        <f t="shared" si="497"/>
        <v>-</v>
      </c>
      <c r="BT321" s="1053" t="str">
        <f t="shared" si="497"/>
        <v>-</v>
      </c>
      <c r="BU321" s="1054" t="str">
        <f t="shared" si="497"/>
        <v>-</v>
      </c>
      <c r="BV321" s="1053" t="str">
        <f t="shared" si="497"/>
        <v>-</v>
      </c>
      <c r="BW321" s="1053" t="str">
        <f t="shared" si="497"/>
        <v>-</v>
      </c>
      <c r="BX321" s="1053" t="str">
        <f t="shared" si="497"/>
        <v>-</v>
      </c>
      <c r="BY321" s="1053" t="str">
        <f t="shared" si="497"/>
        <v>-</v>
      </c>
      <c r="BZ321" s="1054" t="str">
        <f t="shared" si="497"/>
        <v>-</v>
      </c>
      <c r="CA321" s="1048"/>
    </row>
    <row r="322" spans="3:79" x14ac:dyDescent="0.3">
      <c r="C322" s="126"/>
      <c r="D322" s="126"/>
      <c r="E322" s="558" t="s">
        <v>46</v>
      </c>
      <c r="F322" s="2161" t="str">
        <f t="shared" ref="F322:I337" si="498">+F321</f>
        <v>[Service]</v>
      </c>
      <c r="G322" s="2163">
        <f t="shared" si="498"/>
        <v>0</v>
      </c>
      <c r="H322" s="2163">
        <f t="shared" si="498"/>
        <v>0</v>
      </c>
      <c r="I322" s="2164" t="str">
        <f t="shared" si="498"/>
        <v>[Price]</v>
      </c>
      <c r="J322" s="574" t="s">
        <v>323</v>
      </c>
      <c r="K322" s="1973"/>
      <c r="L322" s="1974"/>
      <c r="M322" s="1974"/>
      <c r="N322" s="1975"/>
      <c r="O322" s="1974"/>
      <c r="P322" s="1974"/>
      <c r="Q322" s="1974"/>
      <c r="R322" s="1976"/>
      <c r="S322" s="1975"/>
      <c r="T322" s="1974"/>
      <c r="U322" s="1974"/>
      <c r="V322" s="1974"/>
      <c r="W322" s="578"/>
      <c r="X322" s="1239"/>
      <c r="Y322" s="578"/>
      <c r="Z322" s="578"/>
      <c r="AA322" s="578"/>
      <c r="AB322" s="1143"/>
      <c r="AC322" s="578"/>
      <c r="AD322" s="578"/>
      <c r="AE322" s="578"/>
      <c r="AF322" s="578"/>
      <c r="AG322" s="580"/>
      <c r="AH322" s="578"/>
      <c r="AI322" s="578"/>
      <c r="AJ322" s="578"/>
      <c r="AK322" s="578"/>
      <c r="AL322" s="580"/>
      <c r="AM322" s="560"/>
      <c r="AN322" s="991"/>
      <c r="AO322" s="992"/>
      <c r="AP322" s="2285" t="str">
        <f t="shared" si="388"/>
        <v>Qty</v>
      </c>
      <c r="AQ322" s="2286" t="str">
        <f t="shared" si="388"/>
        <v>[Service]</v>
      </c>
      <c r="AR322" s="2287" t="str">
        <f t="shared" si="389"/>
        <v>[Price]</v>
      </c>
      <c r="AS322" s="2288" t="str">
        <f t="shared" si="472"/>
        <v>-</v>
      </c>
      <c r="AT322" s="1720" t="str">
        <f t="shared" si="472"/>
        <v>-</v>
      </c>
      <c r="AU322" s="1720" t="str">
        <f t="shared" si="472"/>
        <v>-</v>
      </c>
      <c r="AV322" s="2289" t="str">
        <f t="shared" si="472"/>
        <v>-</v>
      </c>
      <c r="AW322" s="1720" t="str">
        <f t="shared" si="472"/>
        <v>-</v>
      </c>
      <c r="AX322" s="2290" t="str">
        <f t="shared" si="472"/>
        <v>-</v>
      </c>
      <c r="AY322" s="1720" t="str">
        <f t="shared" si="472"/>
        <v>-</v>
      </c>
      <c r="AZ322" s="1720" t="str">
        <f t="shared" si="472"/>
        <v>-</v>
      </c>
      <c r="BA322" s="1720" t="str">
        <f t="shared" si="472"/>
        <v>-</v>
      </c>
      <c r="BB322" s="1721" t="str">
        <f t="shared" si="472"/>
        <v>-</v>
      </c>
      <c r="BC322" s="1720" t="str">
        <f t="shared" si="472"/>
        <v>-</v>
      </c>
      <c r="BD322" s="1720" t="str">
        <f t="shared" si="472"/>
        <v>-</v>
      </c>
      <c r="BE322" s="1720" t="str">
        <f t="shared" si="472"/>
        <v>-</v>
      </c>
      <c r="BF322" s="1720" t="str">
        <f t="shared" si="472"/>
        <v>-</v>
      </c>
      <c r="BG322" s="1721" t="str">
        <f t="shared" si="472"/>
        <v>-</v>
      </c>
      <c r="BH322" s="1048"/>
      <c r="BI322" s="2285" t="str">
        <f t="shared" si="417"/>
        <v>Qty</v>
      </c>
      <c r="BJ322" s="2286" t="str">
        <f t="shared" si="417"/>
        <v>[Service]</v>
      </c>
      <c r="BK322" s="2287" t="str">
        <f t="shared" si="417"/>
        <v>[Price]</v>
      </c>
      <c r="BL322" s="2288" t="str">
        <f t="shared" ref="BL322:BZ322" si="499">IF(OR(X322="",X322=0),"-",IFERROR((X322/W322-1)*(W323/W$13),"-"))</f>
        <v>-</v>
      </c>
      <c r="BM322" s="1720" t="str">
        <f t="shared" si="499"/>
        <v>-</v>
      </c>
      <c r="BN322" s="1720" t="str">
        <f t="shared" si="499"/>
        <v>-</v>
      </c>
      <c r="BO322" s="2289" t="str">
        <f t="shared" si="499"/>
        <v>-</v>
      </c>
      <c r="BP322" s="1720" t="str">
        <f t="shared" si="499"/>
        <v>-</v>
      </c>
      <c r="BQ322" s="2290" t="str">
        <f t="shared" si="499"/>
        <v>-</v>
      </c>
      <c r="BR322" s="1720" t="str">
        <f t="shared" si="499"/>
        <v>-</v>
      </c>
      <c r="BS322" s="1720" t="str">
        <f t="shared" si="499"/>
        <v>-</v>
      </c>
      <c r="BT322" s="1720" t="str">
        <f t="shared" si="499"/>
        <v>-</v>
      </c>
      <c r="BU322" s="1721" t="str">
        <f t="shared" si="499"/>
        <v>-</v>
      </c>
      <c r="BV322" s="1720" t="str">
        <f t="shared" si="499"/>
        <v>-</v>
      </c>
      <c r="BW322" s="1720" t="str">
        <f t="shared" si="499"/>
        <v>-</v>
      </c>
      <c r="BX322" s="1720" t="str">
        <f t="shared" si="499"/>
        <v>-</v>
      </c>
      <c r="BY322" s="1720" t="str">
        <f t="shared" si="499"/>
        <v>-</v>
      </c>
      <c r="BZ322" s="1721" t="str">
        <f t="shared" si="499"/>
        <v>-</v>
      </c>
      <c r="CA322" s="1048"/>
    </row>
    <row r="323" spans="3:79" ht="12.5" thickBot="1" x14ac:dyDescent="0.35">
      <c r="C323" s="126"/>
      <c r="D323" s="126"/>
      <c r="E323" s="559" t="s">
        <v>47</v>
      </c>
      <c r="F323" s="2162" t="str">
        <f t="shared" ref="F323:I323" si="500">+F321</f>
        <v>[Service]</v>
      </c>
      <c r="G323" s="2165">
        <f t="shared" si="500"/>
        <v>0</v>
      </c>
      <c r="H323" s="2165">
        <f t="shared" si="500"/>
        <v>0</v>
      </c>
      <c r="I323" s="2166" t="str">
        <f t="shared" si="500"/>
        <v>[Price]</v>
      </c>
      <c r="J323" s="2106" t="s">
        <v>347</v>
      </c>
      <c r="K323" s="1977"/>
      <c r="L323" s="1206"/>
      <c r="M323" s="1206"/>
      <c r="N323" s="1978"/>
      <c r="O323" s="1206"/>
      <c r="P323" s="1206"/>
      <c r="Q323" s="1206"/>
      <c r="R323" s="1206"/>
      <c r="S323" s="1978"/>
      <c r="T323" s="1206"/>
      <c r="U323" s="1206"/>
      <c r="V323" s="1206"/>
      <c r="W323" s="1731">
        <f t="shared" ref="W323:AG323" si="501">W321*W322/10^6</f>
        <v>0</v>
      </c>
      <c r="X323" s="1730">
        <f t="shared" si="501"/>
        <v>0</v>
      </c>
      <c r="Y323" s="1731">
        <f t="shared" si="501"/>
        <v>0</v>
      </c>
      <c r="Z323" s="1731">
        <f t="shared" si="501"/>
        <v>0</v>
      </c>
      <c r="AA323" s="1731">
        <f t="shared" si="501"/>
        <v>0</v>
      </c>
      <c r="AB323" s="1733">
        <f t="shared" si="501"/>
        <v>0</v>
      </c>
      <c r="AC323" s="1731">
        <f t="shared" si="501"/>
        <v>0</v>
      </c>
      <c r="AD323" s="1731">
        <f t="shared" si="501"/>
        <v>0</v>
      </c>
      <c r="AE323" s="1731">
        <f t="shared" si="501"/>
        <v>0</v>
      </c>
      <c r="AF323" s="1731">
        <f t="shared" si="501"/>
        <v>0</v>
      </c>
      <c r="AG323" s="1733">
        <f t="shared" si="501"/>
        <v>0</v>
      </c>
      <c r="AH323" s="1731">
        <f>AH321*AH322/10^6</f>
        <v>0</v>
      </c>
      <c r="AI323" s="1731">
        <f>AI321*AI322/10^6</f>
        <v>0</v>
      </c>
      <c r="AJ323" s="1731">
        <f>AJ321*AJ322/10^6</f>
        <v>0</v>
      </c>
      <c r="AK323" s="1731">
        <f>AK321*AK322/10^6</f>
        <v>0</v>
      </c>
      <c r="AL323" s="1733">
        <f>AL321*AL322/10^6</f>
        <v>0</v>
      </c>
      <c r="AM323" s="560"/>
      <c r="AN323" s="991"/>
      <c r="AO323" s="992"/>
      <c r="AP323" s="2304" t="str">
        <f t="shared" si="388"/>
        <v>Rev</v>
      </c>
      <c r="AQ323" s="2305" t="str">
        <f t="shared" si="388"/>
        <v>[Service]</v>
      </c>
      <c r="AR323" s="2306" t="str">
        <f t="shared" si="389"/>
        <v>[Price]</v>
      </c>
      <c r="AS323" s="2307" t="str">
        <f t="shared" si="472"/>
        <v>-</v>
      </c>
      <c r="AT323" s="1055" t="str">
        <f t="shared" si="472"/>
        <v>-</v>
      </c>
      <c r="AU323" s="1055" t="str">
        <f t="shared" si="472"/>
        <v>-</v>
      </c>
      <c r="AV323" s="2308" t="str">
        <f t="shared" si="472"/>
        <v>-</v>
      </c>
      <c r="AW323" s="1055" t="str">
        <f t="shared" si="472"/>
        <v>-</v>
      </c>
      <c r="AX323" s="2309" t="str">
        <f t="shared" si="472"/>
        <v>-</v>
      </c>
      <c r="AY323" s="1055" t="str">
        <f t="shared" si="472"/>
        <v>-</v>
      </c>
      <c r="AZ323" s="1055" t="str">
        <f t="shared" si="472"/>
        <v>-</v>
      </c>
      <c r="BA323" s="1055" t="str">
        <f t="shared" si="472"/>
        <v>-</v>
      </c>
      <c r="BB323" s="1056" t="str">
        <f t="shared" si="472"/>
        <v>-</v>
      </c>
      <c r="BC323" s="1055" t="str">
        <f t="shared" si="472"/>
        <v>-</v>
      </c>
      <c r="BD323" s="1055" t="str">
        <f t="shared" si="472"/>
        <v>-</v>
      </c>
      <c r="BE323" s="1055" t="str">
        <f t="shared" si="472"/>
        <v>-</v>
      </c>
      <c r="BF323" s="1055" t="str">
        <f t="shared" si="472"/>
        <v>-</v>
      </c>
      <c r="BG323" s="1056" t="str">
        <f t="shared" si="472"/>
        <v>-</v>
      </c>
      <c r="BH323" s="1048"/>
      <c r="BI323" s="2304" t="str">
        <f t="shared" si="417"/>
        <v>Rev</v>
      </c>
      <c r="BJ323" s="2305" t="str">
        <f t="shared" si="417"/>
        <v>[Service]</v>
      </c>
      <c r="BK323" s="2306" t="str">
        <f t="shared" si="417"/>
        <v>[Price]</v>
      </c>
      <c r="BL323" s="2307" t="str">
        <f t="shared" ref="BL323:BZ323" si="502">IF(OR(X323="",X323=0),"-",IFERROR((X323/W323-1)*(W323/W$13),"-"))</f>
        <v>-</v>
      </c>
      <c r="BM323" s="1055" t="str">
        <f t="shared" si="502"/>
        <v>-</v>
      </c>
      <c r="BN323" s="1055" t="str">
        <f t="shared" si="502"/>
        <v>-</v>
      </c>
      <c r="BO323" s="2308" t="str">
        <f t="shared" si="502"/>
        <v>-</v>
      </c>
      <c r="BP323" s="1055" t="str">
        <f t="shared" si="502"/>
        <v>-</v>
      </c>
      <c r="BQ323" s="2309" t="str">
        <f t="shared" si="502"/>
        <v>-</v>
      </c>
      <c r="BR323" s="1055" t="str">
        <f t="shared" si="502"/>
        <v>-</v>
      </c>
      <c r="BS323" s="1055" t="str">
        <f t="shared" si="502"/>
        <v>-</v>
      </c>
      <c r="BT323" s="1055" t="str">
        <f t="shared" si="502"/>
        <v>-</v>
      </c>
      <c r="BU323" s="1056" t="str">
        <f t="shared" si="502"/>
        <v>-</v>
      </c>
      <c r="BV323" s="1055" t="str">
        <f t="shared" si="502"/>
        <v>-</v>
      </c>
      <c r="BW323" s="1055" t="str">
        <f t="shared" si="502"/>
        <v>-</v>
      </c>
      <c r="BX323" s="1055" t="str">
        <f t="shared" si="502"/>
        <v>-</v>
      </c>
      <c r="BY323" s="1055" t="str">
        <f t="shared" si="502"/>
        <v>-</v>
      </c>
      <c r="BZ323" s="1056" t="str">
        <f t="shared" si="502"/>
        <v>-</v>
      </c>
      <c r="CA323" s="1048"/>
    </row>
    <row r="324" spans="3:79" x14ac:dyDescent="0.3">
      <c r="C324" s="126"/>
      <c r="D324" s="126">
        <f>D321+1</f>
        <v>86</v>
      </c>
      <c r="E324" s="553" t="s">
        <v>45</v>
      </c>
      <c r="F324" s="2105" t="s">
        <v>28</v>
      </c>
      <c r="G324" s="2105"/>
      <c r="H324" s="2105"/>
      <c r="I324" s="573" t="s">
        <v>319</v>
      </c>
      <c r="J324" s="573" t="s">
        <v>348</v>
      </c>
      <c r="K324" s="1969"/>
      <c r="L324" s="1970"/>
      <c r="M324" s="1970"/>
      <c r="N324" s="1971"/>
      <c r="O324" s="1970"/>
      <c r="P324" s="1970"/>
      <c r="Q324" s="1970"/>
      <c r="R324" s="1972"/>
      <c r="S324" s="1971"/>
      <c r="T324" s="1970"/>
      <c r="U324" s="1970"/>
      <c r="V324" s="1970"/>
      <c r="W324" s="575"/>
      <c r="X324" s="1238"/>
      <c r="Y324" s="575"/>
      <c r="Z324" s="575"/>
      <c r="AA324" s="575"/>
      <c r="AB324" s="1142"/>
      <c r="AC324" s="575"/>
      <c r="AD324" s="575"/>
      <c r="AE324" s="575"/>
      <c r="AF324" s="575"/>
      <c r="AG324" s="577"/>
      <c r="AH324" s="575"/>
      <c r="AI324" s="575"/>
      <c r="AJ324" s="575"/>
      <c r="AK324" s="575"/>
      <c r="AL324" s="577"/>
      <c r="AM324" s="560"/>
      <c r="AN324" s="1052"/>
      <c r="AO324" s="992"/>
      <c r="AP324" s="2297" t="str">
        <f t="shared" si="388"/>
        <v>Price</v>
      </c>
      <c r="AQ324" s="2298" t="str">
        <f t="shared" si="388"/>
        <v>[Service]</v>
      </c>
      <c r="AR324" s="1719" t="str">
        <f t="shared" si="389"/>
        <v>[Price]</v>
      </c>
      <c r="AS324" s="2299" t="str">
        <f t="shared" ref="AS324:BG340" si="503">IF(OR(X324="",X324=0),"-",IFERROR(X324/W324-1,"-"))</f>
        <v>-</v>
      </c>
      <c r="AT324" s="1728" t="str">
        <f t="shared" si="503"/>
        <v>-</v>
      </c>
      <c r="AU324" s="1728" t="str">
        <f t="shared" si="503"/>
        <v>-</v>
      </c>
      <c r="AV324" s="2300" t="str">
        <f t="shared" si="503"/>
        <v>-</v>
      </c>
      <c r="AW324" s="1728" t="str">
        <f t="shared" si="503"/>
        <v>-</v>
      </c>
      <c r="AX324" s="2301" t="str">
        <f t="shared" si="503"/>
        <v>-</v>
      </c>
      <c r="AY324" s="1728" t="str">
        <f t="shared" si="503"/>
        <v>-</v>
      </c>
      <c r="AZ324" s="1728" t="str">
        <f t="shared" si="503"/>
        <v>-</v>
      </c>
      <c r="BA324" s="1728" t="str">
        <f t="shared" si="503"/>
        <v>-</v>
      </c>
      <c r="BB324" s="1729" t="str">
        <f t="shared" si="503"/>
        <v>-</v>
      </c>
      <c r="BC324" s="1728" t="str">
        <f t="shared" si="503"/>
        <v>-</v>
      </c>
      <c r="BD324" s="1728" t="str">
        <f t="shared" si="503"/>
        <v>-</v>
      </c>
      <c r="BE324" s="1728" t="str">
        <f t="shared" si="503"/>
        <v>-</v>
      </c>
      <c r="BF324" s="1728" t="str">
        <f t="shared" si="503"/>
        <v>-</v>
      </c>
      <c r="BG324" s="1729" t="str">
        <f t="shared" si="503"/>
        <v>-</v>
      </c>
      <c r="BH324" s="1048"/>
      <c r="BI324" s="2297" t="str">
        <f t="shared" si="417"/>
        <v>Price</v>
      </c>
      <c r="BJ324" s="2298" t="str">
        <f t="shared" si="417"/>
        <v>[Service]</v>
      </c>
      <c r="BK324" s="1719" t="str">
        <f t="shared" si="417"/>
        <v>[Price]</v>
      </c>
      <c r="BL324" s="2299" t="str">
        <f t="shared" ref="BL324:BZ324" si="504">IF(OR(X324="",X324=0),"-",IFERROR((X324/W324-1)*(W326/W$13),"-"))</f>
        <v>-</v>
      </c>
      <c r="BM324" s="1053" t="str">
        <f t="shared" si="504"/>
        <v>-</v>
      </c>
      <c r="BN324" s="1053" t="str">
        <f t="shared" si="504"/>
        <v>-</v>
      </c>
      <c r="BO324" s="2302" t="str">
        <f t="shared" si="504"/>
        <v>-</v>
      </c>
      <c r="BP324" s="1053" t="str">
        <f t="shared" si="504"/>
        <v>-</v>
      </c>
      <c r="BQ324" s="2303" t="str">
        <f t="shared" si="504"/>
        <v>-</v>
      </c>
      <c r="BR324" s="1053" t="str">
        <f t="shared" si="504"/>
        <v>-</v>
      </c>
      <c r="BS324" s="1053" t="str">
        <f t="shared" si="504"/>
        <v>-</v>
      </c>
      <c r="BT324" s="1053" t="str">
        <f t="shared" si="504"/>
        <v>-</v>
      </c>
      <c r="BU324" s="1054" t="str">
        <f t="shared" si="504"/>
        <v>-</v>
      </c>
      <c r="BV324" s="1053" t="str">
        <f t="shared" si="504"/>
        <v>-</v>
      </c>
      <c r="BW324" s="1053" t="str">
        <f t="shared" si="504"/>
        <v>-</v>
      </c>
      <c r="BX324" s="1053" t="str">
        <f t="shared" si="504"/>
        <v>-</v>
      </c>
      <c r="BY324" s="1053" t="str">
        <f t="shared" si="504"/>
        <v>-</v>
      </c>
      <c r="BZ324" s="1054" t="str">
        <f t="shared" si="504"/>
        <v>-</v>
      </c>
      <c r="CA324" s="1048"/>
    </row>
    <row r="325" spans="3:79" x14ac:dyDescent="0.3">
      <c r="C325" s="126"/>
      <c r="D325" s="126"/>
      <c r="E325" s="558" t="s">
        <v>46</v>
      </c>
      <c r="F325" s="2161" t="str">
        <f t="shared" si="498"/>
        <v>[Service]</v>
      </c>
      <c r="G325" s="2163">
        <f t="shared" si="498"/>
        <v>0</v>
      </c>
      <c r="H325" s="2163">
        <f t="shared" si="498"/>
        <v>0</v>
      </c>
      <c r="I325" s="2164" t="str">
        <f t="shared" si="498"/>
        <v>[Price]</v>
      </c>
      <c r="J325" s="574" t="s">
        <v>323</v>
      </c>
      <c r="K325" s="1973"/>
      <c r="L325" s="1974"/>
      <c r="M325" s="1974"/>
      <c r="N325" s="1975"/>
      <c r="O325" s="1974"/>
      <c r="P325" s="1974"/>
      <c r="Q325" s="1974"/>
      <c r="R325" s="1976"/>
      <c r="S325" s="1975"/>
      <c r="T325" s="1974"/>
      <c r="U325" s="1974"/>
      <c r="V325" s="1974"/>
      <c r="W325" s="578"/>
      <c r="X325" s="1239"/>
      <c r="Y325" s="578"/>
      <c r="Z325" s="578"/>
      <c r="AA325" s="578"/>
      <c r="AB325" s="1143"/>
      <c r="AC325" s="578"/>
      <c r="AD325" s="578"/>
      <c r="AE325" s="578"/>
      <c r="AF325" s="578"/>
      <c r="AG325" s="580"/>
      <c r="AH325" s="578"/>
      <c r="AI325" s="578"/>
      <c r="AJ325" s="578"/>
      <c r="AK325" s="578"/>
      <c r="AL325" s="580"/>
      <c r="AM325" s="560"/>
      <c r="AN325" s="991"/>
      <c r="AO325" s="992"/>
      <c r="AP325" s="2285" t="str">
        <f t="shared" ref="AP325:AQ388" si="505">E325</f>
        <v>Qty</v>
      </c>
      <c r="AQ325" s="2286" t="str">
        <f t="shared" si="505"/>
        <v>[Service]</v>
      </c>
      <c r="AR325" s="2287" t="str">
        <f t="shared" ref="AR325:AR388" si="506">I325</f>
        <v>[Price]</v>
      </c>
      <c r="AS325" s="2288" t="str">
        <f t="shared" si="503"/>
        <v>-</v>
      </c>
      <c r="AT325" s="1720" t="str">
        <f t="shared" si="503"/>
        <v>-</v>
      </c>
      <c r="AU325" s="1720" t="str">
        <f t="shared" si="503"/>
        <v>-</v>
      </c>
      <c r="AV325" s="2289" t="str">
        <f t="shared" si="503"/>
        <v>-</v>
      </c>
      <c r="AW325" s="1720" t="str">
        <f t="shared" si="503"/>
        <v>-</v>
      </c>
      <c r="AX325" s="2290" t="str">
        <f t="shared" si="503"/>
        <v>-</v>
      </c>
      <c r="AY325" s="1720" t="str">
        <f t="shared" si="503"/>
        <v>-</v>
      </c>
      <c r="AZ325" s="1720" t="str">
        <f t="shared" si="503"/>
        <v>-</v>
      </c>
      <c r="BA325" s="1720" t="str">
        <f t="shared" si="503"/>
        <v>-</v>
      </c>
      <c r="BB325" s="1721" t="str">
        <f t="shared" si="503"/>
        <v>-</v>
      </c>
      <c r="BC325" s="1720" t="str">
        <f t="shared" si="503"/>
        <v>-</v>
      </c>
      <c r="BD325" s="1720" t="str">
        <f t="shared" si="503"/>
        <v>-</v>
      </c>
      <c r="BE325" s="1720" t="str">
        <f t="shared" si="503"/>
        <v>-</v>
      </c>
      <c r="BF325" s="1720" t="str">
        <f t="shared" si="503"/>
        <v>-</v>
      </c>
      <c r="BG325" s="1721" t="str">
        <f t="shared" si="503"/>
        <v>-</v>
      </c>
      <c r="BH325" s="1048"/>
      <c r="BI325" s="2285" t="str">
        <f t="shared" si="417"/>
        <v>Qty</v>
      </c>
      <c r="BJ325" s="2286" t="str">
        <f t="shared" si="417"/>
        <v>[Service]</v>
      </c>
      <c r="BK325" s="2287" t="str">
        <f t="shared" si="417"/>
        <v>[Price]</v>
      </c>
      <c r="BL325" s="2288" t="str">
        <f t="shared" ref="BL325:BZ325" si="507">IF(OR(X325="",X325=0),"-",IFERROR((X325/W325-1)*(W326/W$13),"-"))</f>
        <v>-</v>
      </c>
      <c r="BM325" s="1720" t="str">
        <f t="shared" si="507"/>
        <v>-</v>
      </c>
      <c r="BN325" s="1720" t="str">
        <f t="shared" si="507"/>
        <v>-</v>
      </c>
      <c r="BO325" s="2289" t="str">
        <f t="shared" si="507"/>
        <v>-</v>
      </c>
      <c r="BP325" s="1720" t="str">
        <f t="shared" si="507"/>
        <v>-</v>
      </c>
      <c r="BQ325" s="2290" t="str">
        <f t="shared" si="507"/>
        <v>-</v>
      </c>
      <c r="BR325" s="1720" t="str">
        <f t="shared" si="507"/>
        <v>-</v>
      </c>
      <c r="BS325" s="1720" t="str">
        <f t="shared" si="507"/>
        <v>-</v>
      </c>
      <c r="BT325" s="1720" t="str">
        <f t="shared" si="507"/>
        <v>-</v>
      </c>
      <c r="BU325" s="1721" t="str">
        <f t="shared" si="507"/>
        <v>-</v>
      </c>
      <c r="BV325" s="1720" t="str">
        <f t="shared" si="507"/>
        <v>-</v>
      </c>
      <c r="BW325" s="1720" t="str">
        <f t="shared" si="507"/>
        <v>-</v>
      </c>
      <c r="BX325" s="1720" t="str">
        <f t="shared" si="507"/>
        <v>-</v>
      </c>
      <c r="BY325" s="1720" t="str">
        <f t="shared" si="507"/>
        <v>-</v>
      </c>
      <c r="BZ325" s="1721" t="str">
        <f t="shared" si="507"/>
        <v>-</v>
      </c>
      <c r="CA325" s="1048"/>
    </row>
    <row r="326" spans="3:79" ht="12.5" thickBot="1" x14ac:dyDescent="0.35">
      <c r="C326" s="126"/>
      <c r="D326" s="126"/>
      <c r="E326" s="559" t="s">
        <v>47</v>
      </c>
      <c r="F326" s="2162" t="str">
        <f t="shared" ref="F326:I326" si="508">+F324</f>
        <v>[Service]</v>
      </c>
      <c r="G326" s="2165">
        <f t="shared" si="508"/>
        <v>0</v>
      </c>
      <c r="H326" s="2165">
        <f t="shared" si="508"/>
        <v>0</v>
      </c>
      <c r="I326" s="2166" t="str">
        <f t="shared" si="508"/>
        <v>[Price]</v>
      </c>
      <c r="J326" s="2106" t="s">
        <v>347</v>
      </c>
      <c r="K326" s="1977"/>
      <c r="L326" s="1206"/>
      <c r="M326" s="1206"/>
      <c r="N326" s="1978"/>
      <c r="O326" s="1206"/>
      <c r="P326" s="1206"/>
      <c r="Q326" s="1206"/>
      <c r="R326" s="1206"/>
      <c r="S326" s="1978"/>
      <c r="T326" s="1206"/>
      <c r="U326" s="1206"/>
      <c r="V326" s="1206"/>
      <c r="W326" s="1731">
        <f t="shared" ref="W326:AG326" si="509">W324*W325/10^6</f>
        <v>0</v>
      </c>
      <c r="X326" s="1730">
        <f t="shared" si="509"/>
        <v>0</v>
      </c>
      <c r="Y326" s="1731">
        <f t="shared" si="509"/>
        <v>0</v>
      </c>
      <c r="Z326" s="1731">
        <f t="shared" si="509"/>
        <v>0</v>
      </c>
      <c r="AA326" s="1731">
        <f t="shared" si="509"/>
        <v>0</v>
      </c>
      <c r="AB326" s="1733">
        <f t="shared" si="509"/>
        <v>0</v>
      </c>
      <c r="AC326" s="1731">
        <f t="shared" si="509"/>
        <v>0</v>
      </c>
      <c r="AD326" s="1731">
        <f t="shared" si="509"/>
        <v>0</v>
      </c>
      <c r="AE326" s="1731">
        <f t="shared" si="509"/>
        <v>0</v>
      </c>
      <c r="AF326" s="1731">
        <f t="shared" si="509"/>
        <v>0</v>
      </c>
      <c r="AG326" s="1733">
        <f t="shared" si="509"/>
        <v>0</v>
      </c>
      <c r="AH326" s="1731">
        <f>AH324*AH325/10^6</f>
        <v>0</v>
      </c>
      <c r="AI326" s="1731">
        <f>AI324*AI325/10^6</f>
        <v>0</v>
      </c>
      <c r="AJ326" s="1731">
        <f>AJ324*AJ325/10^6</f>
        <v>0</v>
      </c>
      <c r="AK326" s="1731">
        <f>AK324*AK325/10^6</f>
        <v>0</v>
      </c>
      <c r="AL326" s="1733">
        <f>AL324*AL325/10^6</f>
        <v>0</v>
      </c>
      <c r="AM326" s="560"/>
      <c r="AN326" s="991"/>
      <c r="AO326" s="992"/>
      <c r="AP326" s="2304" t="str">
        <f t="shared" si="505"/>
        <v>Rev</v>
      </c>
      <c r="AQ326" s="2305" t="str">
        <f t="shared" si="505"/>
        <v>[Service]</v>
      </c>
      <c r="AR326" s="2306" t="str">
        <f t="shared" si="506"/>
        <v>[Price]</v>
      </c>
      <c r="AS326" s="2307" t="str">
        <f t="shared" si="503"/>
        <v>-</v>
      </c>
      <c r="AT326" s="1055" t="str">
        <f t="shared" si="503"/>
        <v>-</v>
      </c>
      <c r="AU326" s="1055" t="str">
        <f t="shared" si="503"/>
        <v>-</v>
      </c>
      <c r="AV326" s="2308" t="str">
        <f t="shared" si="503"/>
        <v>-</v>
      </c>
      <c r="AW326" s="1055" t="str">
        <f t="shared" si="503"/>
        <v>-</v>
      </c>
      <c r="AX326" s="2309" t="str">
        <f t="shared" si="503"/>
        <v>-</v>
      </c>
      <c r="AY326" s="1055" t="str">
        <f t="shared" si="503"/>
        <v>-</v>
      </c>
      <c r="AZ326" s="1055" t="str">
        <f t="shared" si="503"/>
        <v>-</v>
      </c>
      <c r="BA326" s="1055" t="str">
        <f t="shared" si="503"/>
        <v>-</v>
      </c>
      <c r="BB326" s="1056" t="str">
        <f t="shared" si="503"/>
        <v>-</v>
      </c>
      <c r="BC326" s="1055" t="str">
        <f t="shared" si="503"/>
        <v>-</v>
      </c>
      <c r="BD326" s="1055" t="str">
        <f t="shared" si="503"/>
        <v>-</v>
      </c>
      <c r="BE326" s="1055" t="str">
        <f t="shared" si="503"/>
        <v>-</v>
      </c>
      <c r="BF326" s="1055" t="str">
        <f t="shared" si="503"/>
        <v>-</v>
      </c>
      <c r="BG326" s="1056" t="str">
        <f t="shared" si="503"/>
        <v>-</v>
      </c>
      <c r="BH326" s="1048"/>
      <c r="BI326" s="2304" t="str">
        <f t="shared" si="417"/>
        <v>Rev</v>
      </c>
      <c r="BJ326" s="2305" t="str">
        <f t="shared" si="417"/>
        <v>[Service]</v>
      </c>
      <c r="BK326" s="2306" t="str">
        <f t="shared" si="417"/>
        <v>[Price]</v>
      </c>
      <c r="BL326" s="2307" t="str">
        <f t="shared" ref="BL326:BZ326" si="510">IF(OR(X326="",X326=0),"-",IFERROR((X326/W326-1)*(W326/W$13),"-"))</f>
        <v>-</v>
      </c>
      <c r="BM326" s="1055" t="str">
        <f t="shared" si="510"/>
        <v>-</v>
      </c>
      <c r="BN326" s="1055" t="str">
        <f t="shared" si="510"/>
        <v>-</v>
      </c>
      <c r="BO326" s="2308" t="str">
        <f t="shared" si="510"/>
        <v>-</v>
      </c>
      <c r="BP326" s="1055" t="str">
        <f t="shared" si="510"/>
        <v>-</v>
      </c>
      <c r="BQ326" s="2309" t="str">
        <f t="shared" si="510"/>
        <v>-</v>
      </c>
      <c r="BR326" s="1055" t="str">
        <f t="shared" si="510"/>
        <v>-</v>
      </c>
      <c r="BS326" s="1055" t="str">
        <f t="shared" si="510"/>
        <v>-</v>
      </c>
      <c r="BT326" s="1055" t="str">
        <f t="shared" si="510"/>
        <v>-</v>
      </c>
      <c r="BU326" s="1056" t="str">
        <f t="shared" si="510"/>
        <v>-</v>
      </c>
      <c r="BV326" s="1055" t="str">
        <f t="shared" si="510"/>
        <v>-</v>
      </c>
      <c r="BW326" s="1055" t="str">
        <f t="shared" si="510"/>
        <v>-</v>
      </c>
      <c r="BX326" s="1055" t="str">
        <f t="shared" si="510"/>
        <v>-</v>
      </c>
      <c r="BY326" s="1055" t="str">
        <f t="shared" si="510"/>
        <v>-</v>
      </c>
      <c r="BZ326" s="1056" t="str">
        <f t="shared" si="510"/>
        <v>-</v>
      </c>
      <c r="CA326" s="1048"/>
    </row>
    <row r="327" spans="3:79" x14ac:dyDescent="0.3">
      <c r="C327" s="126"/>
      <c r="D327" s="126">
        <f>D324+1</f>
        <v>87</v>
      </c>
      <c r="E327" s="553" t="s">
        <v>45</v>
      </c>
      <c r="F327" s="2105" t="s">
        <v>28</v>
      </c>
      <c r="G327" s="2105"/>
      <c r="H327" s="2105"/>
      <c r="I327" s="573" t="s">
        <v>319</v>
      </c>
      <c r="J327" s="573" t="s">
        <v>348</v>
      </c>
      <c r="K327" s="1969"/>
      <c r="L327" s="1970"/>
      <c r="M327" s="1970"/>
      <c r="N327" s="1971"/>
      <c r="O327" s="1970"/>
      <c r="P327" s="1970"/>
      <c r="Q327" s="1970"/>
      <c r="R327" s="1972"/>
      <c r="S327" s="1971"/>
      <c r="T327" s="1970"/>
      <c r="U327" s="1970"/>
      <c r="V327" s="1970"/>
      <c r="W327" s="575"/>
      <c r="X327" s="1238"/>
      <c r="Y327" s="575"/>
      <c r="Z327" s="575"/>
      <c r="AA327" s="575"/>
      <c r="AB327" s="1142"/>
      <c r="AC327" s="575"/>
      <c r="AD327" s="575"/>
      <c r="AE327" s="575"/>
      <c r="AF327" s="575"/>
      <c r="AG327" s="577"/>
      <c r="AH327" s="575"/>
      <c r="AI327" s="575"/>
      <c r="AJ327" s="575"/>
      <c r="AK327" s="575"/>
      <c r="AL327" s="577"/>
      <c r="AM327" s="560"/>
      <c r="AN327" s="1052"/>
      <c r="AO327" s="992"/>
      <c r="AP327" s="2297" t="str">
        <f t="shared" si="505"/>
        <v>Price</v>
      </c>
      <c r="AQ327" s="2298" t="str">
        <f t="shared" si="505"/>
        <v>[Service]</v>
      </c>
      <c r="AR327" s="1719" t="str">
        <f t="shared" si="506"/>
        <v>[Price]</v>
      </c>
      <c r="AS327" s="2299" t="str">
        <f t="shared" si="503"/>
        <v>-</v>
      </c>
      <c r="AT327" s="1728" t="str">
        <f t="shared" si="503"/>
        <v>-</v>
      </c>
      <c r="AU327" s="1728" t="str">
        <f t="shared" si="503"/>
        <v>-</v>
      </c>
      <c r="AV327" s="2300" t="str">
        <f t="shared" si="503"/>
        <v>-</v>
      </c>
      <c r="AW327" s="1728" t="str">
        <f t="shared" si="503"/>
        <v>-</v>
      </c>
      <c r="AX327" s="2301" t="str">
        <f t="shared" si="503"/>
        <v>-</v>
      </c>
      <c r="AY327" s="1728" t="str">
        <f t="shared" si="503"/>
        <v>-</v>
      </c>
      <c r="AZ327" s="1728" t="str">
        <f t="shared" si="503"/>
        <v>-</v>
      </c>
      <c r="BA327" s="1728" t="str">
        <f t="shared" si="503"/>
        <v>-</v>
      </c>
      <c r="BB327" s="1729" t="str">
        <f t="shared" si="503"/>
        <v>-</v>
      </c>
      <c r="BC327" s="1728" t="str">
        <f t="shared" si="503"/>
        <v>-</v>
      </c>
      <c r="BD327" s="1728" t="str">
        <f t="shared" si="503"/>
        <v>-</v>
      </c>
      <c r="BE327" s="1728" t="str">
        <f t="shared" si="503"/>
        <v>-</v>
      </c>
      <c r="BF327" s="1728" t="str">
        <f t="shared" si="503"/>
        <v>-</v>
      </c>
      <c r="BG327" s="1729" t="str">
        <f t="shared" si="503"/>
        <v>-</v>
      </c>
      <c r="BH327" s="1048"/>
      <c r="BI327" s="2297" t="str">
        <f t="shared" si="417"/>
        <v>Price</v>
      </c>
      <c r="BJ327" s="2298" t="str">
        <f t="shared" si="417"/>
        <v>[Service]</v>
      </c>
      <c r="BK327" s="1719" t="str">
        <f t="shared" si="417"/>
        <v>[Price]</v>
      </c>
      <c r="BL327" s="2299" t="str">
        <f t="shared" ref="BL327:BZ327" si="511">IF(OR(X327="",X327=0),"-",IFERROR((X327/W327-1)*(W329/W$13),"-"))</f>
        <v>-</v>
      </c>
      <c r="BM327" s="1053" t="str">
        <f t="shared" si="511"/>
        <v>-</v>
      </c>
      <c r="BN327" s="1053" t="str">
        <f t="shared" si="511"/>
        <v>-</v>
      </c>
      <c r="BO327" s="2302" t="str">
        <f t="shared" si="511"/>
        <v>-</v>
      </c>
      <c r="BP327" s="1053" t="str">
        <f t="shared" si="511"/>
        <v>-</v>
      </c>
      <c r="BQ327" s="2303" t="str">
        <f t="shared" si="511"/>
        <v>-</v>
      </c>
      <c r="BR327" s="1053" t="str">
        <f t="shared" si="511"/>
        <v>-</v>
      </c>
      <c r="BS327" s="1053" t="str">
        <f t="shared" si="511"/>
        <v>-</v>
      </c>
      <c r="BT327" s="1053" t="str">
        <f t="shared" si="511"/>
        <v>-</v>
      </c>
      <c r="BU327" s="1054" t="str">
        <f t="shared" si="511"/>
        <v>-</v>
      </c>
      <c r="BV327" s="1053" t="str">
        <f t="shared" si="511"/>
        <v>-</v>
      </c>
      <c r="BW327" s="1053" t="str">
        <f t="shared" si="511"/>
        <v>-</v>
      </c>
      <c r="BX327" s="1053" t="str">
        <f t="shared" si="511"/>
        <v>-</v>
      </c>
      <c r="BY327" s="1053" t="str">
        <f t="shared" si="511"/>
        <v>-</v>
      </c>
      <c r="BZ327" s="1054" t="str">
        <f t="shared" si="511"/>
        <v>-</v>
      </c>
      <c r="CA327" s="1048"/>
    </row>
    <row r="328" spans="3:79" x14ac:dyDescent="0.3">
      <c r="C328" s="126"/>
      <c r="D328" s="126"/>
      <c r="E328" s="558" t="s">
        <v>46</v>
      </c>
      <c r="F328" s="2161" t="str">
        <f t="shared" si="498"/>
        <v>[Service]</v>
      </c>
      <c r="G328" s="2163">
        <f t="shared" si="498"/>
        <v>0</v>
      </c>
      <c r="H328" s="2163">
        <f t="shared" si="498"/>
        <v>0</v>
      </c>
      <c r="I328" s="2164" t="str">
        <f t="shared" si="498"/>
        <v>[Price]</v>
      </c>
      <c r="J328" s="574" t="s">
        <v>323</v>
      </c>
      <c r="K328" s="1973"/>
      <c r="L328" s="1974"/>
      <c r="M328" s="1974"/>
      <c r="N328" s="1975"/>
      <c r="O328" s="1974"/>
      <c r="P328" s="1974"/>
      <c r="Q328" s="1974"/>
      <c r="R328" s="1976"/>
      <c r="S328" s="1975"/>
      <c r="T328" s="1974"/>
      <c r="U328" s="1974"/>
      <c r="V328" s="1974"/>
      <c r="W328" s="578"/>
      <c r="X328" s="1239"/>
      <c r="Y328" s="578"/>
      <c r="Z328" s="578"/>
      <c r="AA328" s="578"/>
      <c r="AB328" s="1143"/>
      <c r="AC328" s="578"/>
      <c r="AD328" s="578"/>
      <c r="AE328" s="578"/>
      <c r="AF328" s="578"/>
      <c r="AG328" s="580"/>
      <c r="AH328" s="578"/>
      <c r="AI328" s="578"/>
      <c r="AJ328" s="578"/>
      <c r="AK328" s="578"/>
      <c r="AL328" s="580"/>
      <c r="AM328" s="560"/>
      <c r="AN328" s="991"/>
      <c r="AO328" s="992"/>
      <c r="AP328" s="2285" t="str">
        <f t="shared" si="505"/>
        <v>Qty</v>
      </c>
      <c r="AQ328" s="2286" t="str">
        <f t="shared" si="505"/>
        <v>[Service]</v>
      </c>
      <c r="AR328" s="2287" t="str">
        <f t="shared" si="506"/>
        <v>[Price]</v>
      </c>
      <c r="AS328" s="2288" t="str">
        <f t="shared" si="503"/>
        <v>-</v>
      </c>
      <c r="AT328" s="1720" t="str">
        <f t="shared" si="503"/>
        <v>-</v>
      </c>
      <c r="AU328" s="1720" t="str">
        <f t="shared" si="503"/>
        <v>-</v>
      </c>
      <c r="AV328" s="2289" t="str">
        <f t="shared" si="503"/>
        <v>-</v>
      </c>
      <c r="AW328" s="1720" t="str">
        <f t="shared" si="503"/>
        <v>-</v>
      </c>
      <c r="AX328" s="2290" t="str">
        <f t="shared" si="503"/>
        <v>-</v>
      </c>
      <c r="AY328" s="1720" t="str">
        <f t="shared" si="503"/>
        <v>-</v>
      </c>
      <c r="AZ328" s="1720" t="str">
        <f t="shared" si="503"/>
        <v>-</v>
      </c>
      <c r="BA328" s="1720" t="str">
        <f t="shared" si="503"/>
        <v>-</v>
      </c>
      <c r="BB328" s="1721" t="str">
        <f t="shared" si="503"/>
        <v>-</v>
      </c>
      <c r="BC328" s="1720" t="str">
        <f t="shared" si="503"/>
        <v>-</v>
      </c>
      <c r="BD328" s="1720" t="str">
        <f t="shared" si="503"/>
        <v>-</v>
      </c>
      <c r="BE328" s="1720" t="str">
        <f t="shared" si="503"/>
        <v>-</v>
      </c>
      <c r="BF328" s="1720" t="str">
        <f t="shared" si="503"/>
        <v>-</v>
      </c>
      <c r="BG328" s="1721" t="str">
        <f t="shared" si="503"/>
        <v>-</v>
      </c>
      <c r="BH328" s="1048"/>
      <c r="BI328" s="2285" t="str">
        <f t="shared" si="417"/>
        <v>Qty</v>
      </c>
      <c r="BJ328" s="2286" t="str">
        <f t="shared" si="417"/>
        <v>[Service]</v>
      </c>
      <c r="BK328" s="2287" t="str">
        <f t="shared" si="417"/>
        <v>[Price]</v>
      </c>
      <c r="BL328" s="2288" t="str">
        <f t="shared" ref="BL328:BZ328" si="512">IF(OR(X328="",X328=0),"-",IFERROR((X328/W328-1)*(W329/W$13),"-"))</f>
        <v>-</v>
      </c>
      <c r="BM328" s="1720" t="str">
        <f t="shared" si="512"/>
        <v>-</v>
      </c>
      <c r="BN328" s="1720" t="str">
        <f t="shared" si="512"/>
        <v>-</v>
      </c>
      <c r="BO328" s="2289" t="str">
        <f t="shared" si="512"/>
        <v>-</v>
      </c>
      <c r="BP328" s="1720" t="str">
        <f t="shared" si="512"/>
        <v>-</v>
      </c>
      <c r="BQ328" s="2290" t="str">
        <f t="shared" si="512"/>
        <v>-</v>
      </c>
      <c r="BR328" s="1720" t="str">
        <f t="shared" si="512"/>
        <v>-</v>
      </c>
      <c r="BS328" s="1720" t="str">
        <f t="shared" si="512"/>
        <v>-</v>
      </c>
      <c r="BT328" s="1720" t="str">
        <f t="shared" si="512"/>
        <v>-</v>
      </c>
      <c r="BU328" s="1721" t="str">
        <f t="shared" si="512"/>
        <v>-</v>
      </c>
      <c r="BV328" s="1720" t="str">
        <f t="shared" si="512"/>
        <v>-</v>
      </c>
      <c r="BW328" s="1720" t="str">
        <f t="shared" si="512"/>
        <v>-</v>
      </c>
      <c r="BX328" s="1720" t="str">
        <f t="shared" si="512"/>
        <v>-</v>
      </c>
      <c r="BY328" s="1720" t="str">
        <f t="shared" si="512"/>
        <v>-</v>
      </c>
      <c r="BZ328" s="1721" t="str">
        <f t="shared" si="512"/>
        <v>-</v>
      </c>
      <c r="CA328" s="1048"/>
    </row>
    <row r="329" spans="3:79" ht="12.5" thickBot="1" x14ac:dyDescent="0.35">
      <c r="C329" s="126"/>
      <c r="D329" s="126"/>
      <c r="E329" s="559" t="s">
        <v>47</v>
      </c>
      <c r="F329" s="2162" t="str">
        <f t="shared" ref="F329:I329" si="513">+F327</f>
        <v>[Service]</v>
      </c>
      <c r="G329" s="2165">
        <f t="shared" si="513"/>
        <v>0</v>
      </c>
      <c r="H329" s="2165">
        <f t="shared" si="513"/>
        <v>0</v>
      </c>
      <c r="I329" s="2166" t="str">
        <f t="shared" si="513"/>
        <v>[Price]</v>
      </c>
      <c r="J329" s="2106" t="s">
        <v>347</v>
      </c>
      <c r="K329" s="1977"/>
      <c r="L329" s="1206"/>
      <c r="M329" s="1206"/>
      <c r="N329" s="1978"/>
      <c r="O329" s="1206"/>
      <c r="P329" s="1206"/>
      <c r="Q329" s="1206"/>
      <c r="R329" s="1206"/>
      <c r="S329" s="1978"/>
      <c r="T329" s="1206"/>
      <c r="U329" s="1206"/>
      <c r="V329" s="1206"/>
      <c r="W329" s="1731">
        <f t="shared" ref="W329:AG329" si="514">W327*W328/10^6</f>
        <v>0</v>
      </c>
      <c r="X329" s="1730">
        <f t="shared" si="514"/>
        <v>0</v>
      </c>
      <c r="Y329" s="1731">
        <f t="shared" si="514"/>
        <v>0</v>
      </c>
      <c r="Z329" s="1731">
        <f t="shared" si="514"/>
        <v>0</v>
      </c>
      <c r="AA329" s="1731">
        <f t="shared" si="514"/>
        <v>0</v>
      </c>
      <c r="AB329" s="1733">
        <f t="shared" si="514"/>
        <v>0</v>
      </c>
      <c r="AC329" s="1731">
        <f t="shared" si="514"/>
        <v>0</v>
      </c>
      <c r="AD329" s="1731">
        <f t="shared" si="514"/>
        <v>0</v>
      </c>
      <c r="AE329" s="1731">
        <f t="shared" si="514"/>
        <v>0</v>
      </c>
      <c r="AF329" s="1731">
        <f t="shared" si="514"/>
        <v>0</v>
      </c>
      <c r="AG329" s="1733">
        <f t="shared" si="514"/>
        <v>0</v>
      </c>
      <c r="AH329" s="1731">
        <f>AH327*AH328/10^6</f>
        <v>0</v>
      </c>
      <c r="AI329" s="1731">
        <f>AI327*AI328/10^6</f>
        <v>0</v>
      </c>
      <c r="AJ329" s="1731">
        <f>AJ327*AJ328/10^6</f>
        <v>0</v>
      </c>
      <c r="AK329" s="1731">
        <f>AK327*AK328/10^6</f>
        <v>0</v>
      </c>
      <c r="AL329" s="1733">
        <f>AL327*AL328/10^6</f>
        <v>0</v>
      </c>
      <c r="AM329" s="560"/>
      <c r="AN329" s="991"/>
      <c r="AO329" s="992"/>
      <c r="AP329" s="2304" t="str">
        <f t="shared" si="505"/>
        <v>Rev</v>
      </c>
      <c r="AQ329" s="2305" t="str">
        <f t="shared" si="505"/>
        <v>[Service]</v>
      </c>
      <c r="AR329" s="2306" t="str">
        <f t="shared" si="506"/>
        <v>[Price]</v>
      </c>
      <c r="AS329" s="2307" t="str">
        <f t="shared" si="503"/>
        <v>-</v>
      </c>
      <c r="AT329" s="1055" t="str">
        <f t="shared" si="503"/>
        <v>-</v>
      </c>
      <c r="AU329" s="1055" t="str">
        <f t="shared" si="503"/>
        <v>-</v>
      </c>
      <c r="AV329" s="2308" t="str">
        <f t="shared" si="503"/>
        <v>-</v>
      </c>
      <c r="AW329" s="1055" t="str">
        <f t="shared" si="503"/>
        <v>-</v>
      </c>
      <c r="AX329" s="2309" t="str">
        <f t="shared" si="503"/>
        <v>-</v>
      </c>
      <c r="AY329" s="1055" t="str">
        <f t="shared" si="503"/>
        <v>-</v>
      </c>
      <c r="AZ329" s="1055" t="str">
        <f t="shared" si="503"/>
        <v>-</v>
      </c>
      <c r="BA329" s="1055" t="str">
        <f t="shared" si="503"/>
        <v>-</v>
      </c>
      <c r="BB329" s="1056" t="str">
        <f t="shared" si="503"/>
        <v>-</v>
      </c>
      <c r="BC329" s="1055" t="str">
        <f t="shared" si="503"/>
        <v>-</v>
      </c>
      <c r="BD329" s="1055" t="str">
        <f t="shared" si="503"/>
        <v>-</v>
      </c>
      <c r="BE329" s="1055" t="str">
        <f t="shared" si="503"/>
        <v>-</v>
      </c>
      <c r="BF329" s="1055" t="str">
        <f t="shared" si="503"/>
        <v>-</v>
      </c>
      <c r="BG329" s="1056" t="str">
        <f t="shared" si="503"/>
        <v>-</v>
      </c>
      <c r="BH329" s="1048"/>
      <c r="BI329" s="2304" t="str">
        <f t="shared" si="417"/>
        <v>Rev</v>
      </c>
      <c r="BJ329" s="2305" t="str">
        <f t="shared" si="417"/>
        <v>[Service]</v>
      </c>
      <c r="BK329" s="2306" t="str">
        <f t="shared" si="417"/>
        <v>[Price]</v>
      </c>
      <c r="BL329" s="2307" t="str">
        <f t="shared" ref="BL329:BZ329" si="515">IF(OR(X329="",X329=0),"-",IFERROR((X329/W329-1)*(W329/W$13),"-"))</f>
        <v>-</v>
      </c>
      <c r="BM329" s="1055" t="str">
        <f t="shared" si="515"/>
        <v>-</v>
      </c>
      <c r="BN329" s="1055" t="str">
        <f t="shared" si="515"/>
        <v>-</v>
      </c>
      <c r="BO329" s="2308" t="str">
        <f t="shared" si="515"/>
        <v>-</v>
      </c>
      <c r="BP329" s="1055" t="str">
        <f t="shared" si="515"/>
        <v>-</v>
      </c>
      <c r="BQ329" s="2309" t="str">
        <f t="shared" si="515"/>
        <v>-</v>
      </c>
      <c r="BR329" s="1055" t="str">
        <f t="shared" si="515"/>
        <v>-</v>
      </c>
      <c r="BS329" s="1055" t="str">
        <f t="shared" si="515"/>
        <v>-</v>
      </c>
      <c r="BT329" s="1055" t="str">
        <f t="shared" si="515"/>
        <v>-</v>
      </c>
      <c r="BU329" s="1056" t="str">
        <f t="shared" si="515"/>
        <v>-</v>
      </c>
      <c r="BV329" s="1055" t="str">
        <f t="shared" si="515"/>
        <v>-</v>
      </c>
      <c r="BW329" s="1055" t="str">
        <f t="shared" si="515"/>
        <v>-</v>
      </c>
      <c r="BX329" s="1055" t="str">
        <f t="shared" si="515"/>
        <v>-</v>
      </c>
      <c r="BY329" s="1055" t="str">
        <f t="shared" si="515"/>
        <v>-</v>
      </c>
      <c r="BZ329" s="1056" t="str">
        <f t="shared" si="515"/>
        <v>-</v>
      </c>
      <c r="CA329" s="1048"/>
    </row>
    <row r="330" spans="3:79" x14ac:dyDescent="0.3">
      <c r="C330" s="126"/>
      <c r="D330" s="126">
        <f>D327+1</f>
        <v>88</v>
      </c>
      <c r="E330" s="553" t="s">
        <v>45</v>
      </c>
      <c r="F330" s="2105" t="s">
        <v>28</v>
      </c>
      <c r="G330" s="2105"/>
      <c r="H330" s="2105"/>
      <c r="I330" s="573" t="s">
        <v>319</v>
      </c>
      <c r="J330" s="573" t="s">
        <v>348</v>
      </c>
      <c r="K330" s="1969"/>
      <c r="L330" s="1970"/>
      <c r="M330" s="1970"/>
      <c r="N330" s="1971"/>
      <c r="O330" s="1970"/>
      <c r="P330" s="1970"/>
      <c r="Q330" s="1970"/>
      <c r="R330" s="1972"/>
      <c r="S330" s="1971"/>
      <c r="T330" s="1970"/>
      <c r="U330" s="1970"/>
      <c r="V330" s="1970"/>
      <c r="W330" s="575"/>
      <c r="X330" s="1238"/>
      <c r="Y330" s="575"/>
      <c r="Z330" s="575"/>
      <c r="AA330" s="575"/>
      <c r="AB330" s="1142"/>
      <c r="AC330" s="575"/>
      <c r="AD330" s="575"/>
      <c r="AE330" s="575"/>
      <c r="AF330" s="575"/>
      <c r="AG330" s="577"/>
      <c r="AH330" s="575"/>
      <c r="AI330" s="575"/>
      <c r="AJ330" s="575"/>
      <c r="AK330" s="575"/>
      <c r="AL330" s="577"/>
      <c r="AM330" s="560"/>
      <c r="AN330" s="1052"/>
      <c r="AO330" s="992"/>
      <c r="AP330" s="2297" t="str">
        <f t="shared" si="505"/>
        <v>Price</v>
      </c>
      <c r="AQ330" s="2298" t="str">
        <f t="shared" si="505"/>
        <v>[Service]</v>
      </c>
      <c r="AR330" s="1719" t="str">
        <f t="shared" si="506"/>
        <v>[Price]</v>
      </c>
      <c r="AS330" s="2299" t="str">
        <f t="shared" si="503"/>
        <v>-</v>
      </c>
      <c r="AT330" s="1728" t="str">
        <f t="shared" si="503"/>
        <v>-</v>
      </c>
      <c r="AU330" s="1728" t="str">
        <f t="shared" si="503"/>
        <v>-</v>
      </c>
      <c r="AV330" s="2300" t="str">
        <f t="shared" si="503"/>
        <v>-</v>
      </c>
      <c r="AW330" s="1728" t="str">
        <f t="shared" si="503"/>
        <v>-</v>
      </c>
      <c r="AX330" s="2301" t="str">
        <f t="shared" si="503"/>
        <v>-</v>
      </c>
      <c r="AY330" s="1728" t="str">
        <f t="shared" si="503"/>
        <v>-</v>
      </c>
      <c r="AZ330" s="1728" t="str">
        <f t="shared" si="503"/>
        <v>-</v>
      </c>
      <c r="BA330" s="1728" t="str">
        <f t="shared" si="503"/>
        <v>-</v>
      </c>
      <c r="BB330" s="1729" t="str">
        <f t="shared" si="503"/>
        <v>-</v>
      </c>
      <c r="BC330" s="1728" t="str">
        <f t="shared" si="503"/>
        <v>-</v>
      </c>
      <c r="BD330" s="1728" t="str">
        <f t="shared" si="503"/>
        <v>-</v>
      </c>
      <c r="BE330" s="1728" t="str">
        <f t="shared" si="503"/>
        <v>-</v>
      </c>
      <c r="BF330" s="1728" t="str">
        <f t="shared" si="503"/>
        <v>-</v>
      </c>
      <c r="BG330" s="1729" t="str">
        <f t="shared" si="503"/>
        <v>-</v>
      </c>
      <c r="BH330" s="1048"/>
      <c r="BI330" s="2297" t="str">
        <f t="shared" si="417"/>
        <v>Price</v>
      </c>
      <c r="BJ330" s="2298" t="str">
        <f t="shared" si="417"/>
        <v>[Service]</v>
      </c>
      <c r="BK330" s="1719" t="str">
        <f t="shared" si="417"/>
        <v>[Price]</v>
      </c>
      <c r="BL330" s="2299" t="str">
        <f t="shared" ref="BL330:BZ330" si="516">IF(OR(X330="",X330=0),"-",IFERROR((X330/W330-1)*(W332/W$13),"-"))</f>
        <v>-</v>
      </c>
      <c r="BM330" s="1053" t="str">
        <f t="shared" si="516"/>
        <v>-</v>
      </c>
      <c r="BN330" s="1053" t="str">
        <f t="shared" si="516"/>
        <v>-</v>
      </c>
      <c r="BO330" s="2302" t="str">
        <f t="shared" si="516"/>
        <v>-</v>
      </c>
      <c r="BP330" s="1053" t="str">
        <f t="shared" si="516"/>
        <v>-</v>
      </c>
      <c r="BQ330" s="2303" t="str">
        <f t="shared" si="516"/>
        <v>-</v>
      </c>
      <c r="BR330" s="1053" t="str">
        <f t="shared" si="516"/>
        <v>-</v>
      </c>
      <c r="BS330" s="1053" t="str">
        <f t="shared" si="516"/>
        <v>-</v>
      </c>
      <c r="BT330" s="1053" t="str">
        <f t="shared" si="516"/>
        <v>-</v>
      </c>
      <c r="BU330" s="1054" t="str">
        <f t="shared" si="516"/>
        <v>-</v>
      </c>
      <c r="BV330" s="1053" t="str">
        <f t="shared" si="516"/>
        <v>-</v>
      </c>
      <c r="BW330" s="1053" t="str">
        <f t="shared" si="516"/>
        <v>-</v>
      </c>
      <c r="BX330" s="1053" t="str">
        <f t="shared" si="516"/>
        <v>-</v>
      </c>
      <c r="BY330" s="1053" t="str">
        <f t="shared" si="516"/>
        <v>-</v>
      </c>
      <c r="BZ330" s="1054" t="str">
        <f t="shared" si="516"/>
        <v>-</v>
      </c>
      <c r="CA330" s="1048"/>
    </row>
    <row r="331" spans="3:79" x14ac:dyDescent="0.3">
      <c r="C331" s="126"/>
      <c r="D331" s="126"/>
      <c r="E331" s="558" t="s">
        <v>46</v>
      </c>
      <c r="F331" s="2161" t="str">
        <f t="shared" si="498"/>
        <v>[Service]</v>
      </c>
      <c r="G331" s="2163">
        <f t="shared" si="498"/>
        <v>0</v>
      </c>
      <c r="H331" s="2163">
        <f t="shared" si="498"/>
        <v>0</v>
      </c>
      <c r="I331" s="2164" t="str">
        <f t="shared" si="498"/>
        <v>[Price]</v>
      </c>
      <c r="J331" s="574" t="s">
        <v>323</v>
      </c>
      <c r="K331" s="1973"/>
      <c r="L331" s="1974"/>
      <c r="M331" s="1974"/>
      <c r="N331" s="1975"/>
      <c r="O331" s="1974"/>
      <c r="P331" s="1974"/>
      <c r="Q331" s="1974"/>
      <c r="R331" s="1976"/>
      <c r="S331" s="1975"/>
      <c r="T331" s="1974"/>
      <c r="U331" s="1974"/>
      <c r="V331" s="1974"/>
      <c r="W331" s="578"/>
      <c r="X331" s="1239"/>
      <c r="Y331" s="578"/>
      <c r="Z331" s="578"/>
      <c r="AA331" s="578"/>
      <c r="AB331" s="1143"/>
      <c r="AC331" s="578"/>
      <c r="AD331" s="578"/>
      <c r="AE331" s="578"/>
      <c r="AF331" s="578"/>
      <c r="AG331" s="580"/>
      <c r="AH331" s="578"/>
      <c r="AI331" s="578"/>
      <c r="AJ331" s="578"/>
      <c r="AK331" s="578"/>
      <c r="AL331" s="580"/>
      <c r="AM331" s="560"/>
      <c r="AN331" s="991"/>
      <c r="AO331" s="992"/>
      <c r="AP331" s="2285" t="str">
        <f t="shared" si="505"/>
        <v>Qty</v>
      </c>
      <c r="AQ331" s="2286" t="str">
        <f t="shared" si="505"/>
        <v>[Service]</v>
      </c>
      <c r="AR331" s="2287" t="str">
        <f t="shared" si="506"/>
        <v>[Price]</v>
      </c>
      <c r="AS331" s="2288" t="str">
        <f t="shared" si="503"/>
        <v>-</v>
      </c>
      <c r="AT331" s="1720" t="str">
        <f t="shared" si="503"/>
        <v>-</v>
      </c>
      <c r="AU331" s="1720" t="str">
        <f t="shared" si="503"/>
        <v>-</v>
      </c>
      <c r="AV331" s="2289" t="str">
        <f t="shared" si="503"/>
        <v>-</v>
      </c>
      <c r="AW331" s="1720" t="str">
        <f t="shared" si="503"/>
        <v>-</v>
      </c>
      <c r="AX331" s="2290" t="str">
        <f t="shared" si="503"/>
        <v>-</v>
      </c>
      <c r="AY331" s="1720" t="str">
        <f t="shared" si="503"/>
        <v>-</v>
      </c>
      <c r="AZ331" s="1720" t="str">
        <f t="shared" si="503"/>
        <v>-</v>
      </c>
      <c r="BA331" s="1720" t="str">
        <f t="shared" si="503"/>
        <v>-</v>
      </c>
      <c r="BB331" s="1721" t="str">
        <f t="shared" si="503"/>
        <v>-</v>
      </c>
      <c r="BC331" s="1720" t="str">
        <f t="shared" si="503"/>
        <v>-</v>
      </c>
      <c r="BD331" s="1720" t="str">
        <f t="shared" si="503"/>
        <v>-</v>
      </c>
      <c r="BE331" s="1720" t="str">
        <f t="shared" si="503"/>
        <v>-</v>
      </c>
      <c r="BF331" s="1720" t="str">
        <f t="shared" si="503"/>
        <v>-</v>
      </c>
      <c r="BG331" s="1721" t="str">
        <f t="shared" si="503"/>
        <v>-</v>
      </c>
      <c r="BH331" s="1048"/>
      <c r="BI331" s="2285" t="str">
        <f t="shared" si="417"/>
        <v>Qty</v>
      </c>
      <c r="BJ331" s="2286" t="str">
        <f t="shared" si="417"/>
        <v>[Service]</v>
      </c>
      <c r="BK331" s="2287" t="str">
        <f t="shared" si="417"/>
        <v>[Price]</v>
      </c>
      <c r="BL331" s="2288" t="str">
        <f t="shared" ref="BL331:BZ331" si="517">IF(OR(X331="",X331=0),"-",IFERROR((X331/W331-1)*(W332/W$13),"-"))</f>
        <v>-</v>
      </c>
      <c r="BM331" s="1720" t="str">
        <f t="shared" si="517"/>
        <v>-</v>
      </c>
      <c r="BN331" s="1720" t="str">
        <f t="shared" si="517"/>
        <v>-</v>
      </c>
      <c r="BO331" s="2289" t="str">
        <f t="shared" si="517"/>
        <v>-</v>
      </c>
      <c r="BP331" s="1720" t="str">
        <f t="shared" si="517"/>
        <v>-</v>
      </c>
      <c r="BQ331" s="2290" t="str">
        <f t="shared" si="517"/>
        <v>-</v>
      </c>
      <c r="BR331" s="1720" t="str">
        <f t="shared" si="517"/>
        <v>-</v>
      </c>
      <c r="BS331" s="1720" t="str">
        <f t="shared" si="517"/>
        <v>-</v>
      </c>
      <c r="BT331" s="1720" t="str">
        <f t="shared" si="517"/>
        <v>-</v>
      </c>
      <c r="BU331" s="1721" t="str">
        <f t="shared" si="517"/>
        <v>-</v>
      </c>
      <c r="BV331" s="1720" t="str">
        <f t="shared" si="517"/>
        <v>-</v>
      </c>
      <c r="BW331" s="1720" t="str">
        <f t="shared" si="517"/>
        <v>-</v>
      </c>
      <c r="BX331" s="1720" t="str">
        <f t="shared" si="517"/>
        <v>-</v>
      </c>
      <c r="BY331" s="1720" t="str">
        <f t="shared" si="517"/>
        <v>-</v>
      </c>
      <c r="BZ331" s="1721" t="str">
        <f t="shared" si="517"/>
        <v>-</v>
      </c>
      <c r="CA331" s="1048"/>
    </row>
    <row r="332" spans="3:79" ht="12.5" thickBot="1" x14ac:dyDescent="0.35">
      <c r="C332" s="126"/>
      <c r="D332" s="126"/>
      <c r="E332" s="559" t="s">
        <v>47</v>
      </c>
      <c r="F332" s="2162" t="str">
        <f t="shared" ref="F332:I332" si="518">+F330</f>
        <v>[Service]</v>
      </c>
      <c r="G332" s="2165">
        <f t="shared" si="518"/>
        <v>0</v>
      </c>
      <c r="H332" s="2165">
        <f t="shared" si="518"/>
        <v>0</v>
      </c>
      <c r="I332" s="2166" t="str">
        <f t="shared" si="518"/>
        <v>[Price]</v>
      </c>
      <c r="J332" s="2106" t="s">
        <v>347</v>
      </c>
      <c r="K332" s="1977"/>
      <c r="L332" s="1206"/>
      <c r="M332" s="1206"/>
      <c r="N332" s="1978"/>
      <c r="O332" s="1206"/>
      <c r="P332" s="1206"/>
      <c r="Q332" s="1206"/>
      <c r="R332" s="1206"/>
      <c r="S332" s="1978"/>
      <c r="T332" s="1206"/>
      <c r="U332" s="1206"/>
      <c r="V332" s="1206"/>
      <c r="W332" s="1731">
        <f t="shared" ref="W332:AG332" si="519">W330*W331/10^6</f>
        <v>0</v>
      </c>
      <c r="X332" s="1730">
        <f t="shared" si="519"/>
        <v>0</v>
      </c>
      <c r="Y332" s="1731">
        <f t="shared" si="519"/>
        <v>0</v>
      </c>
      <c r="Z332" s="1731">
        <f t="shared" si="519"/>
        <v>0</v>
      </c>
      <c r="AA332" s="1731">
        <f t="shared" si="519"/>
        <v>0</v>
      </c>
      <c r="AB332" s="1733">
        <f t="shared" si="519"/>
        <v>0</v>
      </c>
      <c r="AC332" s="1731">
        <f t="shared" si="519"/>
        <v>0</v>
      </c>
      <c r="AD332" s="1731">
        <f t="shared" si="519"/>
        <v>0</v>
      </c>
      <c r="AE332" s="1731">
        <f t="shared" si="519"/>
        <v>0</v>
      </c>
      <c r="AF332" s="1731">
        <f t="shared" si="519"/>
        <v>0</v>
      </c>
      <c r="AG332" s="1733">
        <f t="shared" si="519"/>
        <v>0</v>
      </c>
      <c r="AH332" s="1731">
        <f>AH330*AH331/10^6</f>
        <v>0</v>
      </c>
      <c r="AI332" s="1731">
        <f>AI330*AI331/10^6</f>
        <v>0</v>
      </c>
      <c r="AJ332" s="1731">
        <f>AJ330*AJ331/10^6</f>
        <v>0</v>
      </c>
      <c r="AK332" s="1731">
        <f>AK330*AK331/10^6</f>
        <v>0</v>
      </c>
      <c r="AL332" s="1733">
        <f>AL330*AL331/10^6</f>
        <v>0</v>
      </c>
      <c r="AM332" s="560"/>
      <c r="AN332" s="991"/>
      <c r="AO332" s="992"/>
      <c r="AP332" s="2304" t="str">
        <f t="shared" si="505"/>
        <v>Rev</v>
      </c>
      <c r="AQ332" s="2305" t="str">
        <f t="shared" si="505"/>
        <v>[Service]</v>
      </c>
      <c r="AR332" s="2306" t="str">
        <f t="shared" si="506"/>
        <v>[Price]</v>
      </c>
      <c r="AS332" s="2307" t="str">
        <f t="shared" si="503"/>
        <v>-</v>
      </c>
      <c r="AT332" s="1055" t="str">
        <f t="shared" si="503"/>
        <v>-</v>
      </c>
      <c r="AU332" s="1055" t="str">
        <f t="shared" si="503"/>
        <v>-</v>
      </c>
      <c r="AV332" s="2308" t="str">
        <f t="shared" si="503"/>
        <v>-</v>
      </c>
      <c r="AW332" s="1055" t="str">
        <f t="shared" si="503"/>
        <v>-</v>
      </c>
      <c r="AX332" s="2309" t="str">
        <f t="shared" si="503"/>
        <v>-</v>
      </c>
      <c r="AY332" s="1055" t="str">
        <f t="shared" si="503"/>
        <v>-</v>
      </c>
      <c r="AZ332" s="1055" t="str">
        <f t="shared" si="503"/>
        <v>-</v>
      </c>
      <c r="BA332" s="1055" t="str">
        <f t="shared" si="503"/>
        <v>-</v>
      </c>
      <c r="BB332" s="1056" t="str">
        <f t="shared" si="503"/>
        <v>-</v>
      </c>
      <c r="BC332" s="1055" t="str">
        <f t="shared" si="503"/>
        <v>-</v>
      </c>
      <c r="BD332" s="1055" t="str">
        <f t="shared" si="503"/>
        <v>-</v>
      </c>
      <c r="BE332" s="1055" t="str">
        <f t="shared" si="503"/>
        <v>-</v>
      </c>
      <c r="BF332" s="1055" t="str">
        <f t="shared" si="503"/>
        <v>-</v>
      </c>
      <c r="BG332" s="1056" t="str">
        <f t="shared" si="503"/>
        <v>-</v>
      </c>
      <c r="BH332" s="1048"/>
      <c r="BI332" s="2304" t="str">
        <f t="shared" si="417"/>
        <v>Rev</v>
      </c>
      <c r="BJ332" s="2305" t="str">
        <f t="shared" si="417"/>
        <v>[Service]</v>
      </c>
      <c r="BK332" s="2306" t="str">
        <f t="shared" si="417"/>
        <v>[Price]</v>
      </c>
      <c r="BL332" s="2307" t="str">
        <f t="shared" ref="BL332:BZ332" si="520">IF(OR(X332="",X332=0),"-",IFERROR((X332/W332-1)*(W332/W$13),"-"))</f>
        <v>-</v>
      </c>
      <c r="BM332" s="1055" t="str">
        <f t="shared" si="520"/>
        <v>-</v>
      </c>
      <c r="BN332" s="1055" t="str">
        <f t="shared" si="520"/>
        <v>-</v>
      </c>
      <c r="BO332" s="2308" t="str">
        <f t="shared" si="520"/>
        <v>-</v>
      </c>
      <c r="BP332" s="1055" t="str">
        <f t="shared" si="520"/>
        <v>-</v>
      </c>
      <c r="BQ332" s="2309" t="str">
        <f t="shared" si="520"/>
        <v>-</v>
      </c>
      <c r="BR332" s="1055" t="str">
        <f t="shared" si="520"/>
        <v>-</v>
      </c>
      <c r="BS332" s="1055" t="str">
        <f t="shared" si="520"/>
        <v>-</v>
      </c>
      <c r="BT332" s="1055" t="str">
        <f t="shared" si="520"/>
        <v>-</v>
      </c>
      <c r="BU332" s="1056" t="str">
        <f t="shared" si="520"/>
        <v>-</v>
      </c>
      <c r="BV332" s="1055" t="str">
        <f t="shared" si="520"/>
        <v>-</v>
      </c>
      <c r="BW332" s="1055" t="str">
        <f t="shared" si="520"/>
        <v>-</v>
      </c>
      <c r="BX332" s="1055" t="str">
        <f t="shared" si="520"/>
        <v>-</v>
      </c>
      <c r="BY332" s="1055" t="str">
        <f t="shared" si="520"/>
        <v>-</v>
      </c>
      <c r="BZ332" s="1056" t="str">
        <f t="shared" si="520"/>
        <v>-</v>
      </c>
      <c r="CA332" s="1048"/>
    </row>
    <row r="333" spans="3:79" x14ac:dyDescent="0.3">
      <c r="C333" s="126"/>
      <c r="D333" s="126">
        <f>D330+1</f>
        <v>89</v>
      </c>
      <c r="E333" s="553" t="s">
        <v>45</v>
      </c>
      <c r="F333" s="2105" t="s">
        <v>28</v>
      </c>
      <c r="G333" s="2105"/>
      <c r="H333" s="2105"/>
      <c r="I333" s="573" t="s">
        <v>319</v>
      </c>
      <c r="J333" s="573" t="s">
        <v>348</v>
      </c>
      <c r="K333" s="1969"/>
      <c r="L333" s="1970"/>
      <c r="M333" s="1970"/>
      <c r="N333" s="1971"/>
      <c r="O333" s="1970"/>
      <c r="P333" s="1970"/>
      <c r="Q333" s="1970"/>
      <c r="R333" s="1972"/>
      <c r="S333" s="1971"/>
      <c r="T333" s="1970"/>
      <c r="U333" s="1970"/>
      <c r="V333" s="1970"/>
      <c r="W333" s="575"/>
      <c r="X333" s="1238"/>
      <c r="Y333" s="575"/>
      <c r="Z333" s="575"/>
      <c r="AA333" s="575"/>
      <c r="AB333" s="1142"/>
      <c r="AC333" s="575"/>
      <c r="AD333" s="575"/>
      <c r="AE333" s="575"/>
      <c r="AF333" s="575"/>
      <c r="AG333" s="577"/>
      <c r="AH333" s="575"/>
      <c r="AI333" s="575"/>
      <c r="AJ333" s="575"/>
      <c r="AK333" s="575"/>
      <c r="AL333" s="577"/>
      <c r="AM333" s="560"/>
      <c r="AN333" s="1052"/>
      <c r="AO333" s="992"/>
      <c r="AP333" s="2297" t="str">
        <f t="shared" si="505"/>
        <v>Price</v>
      </c>
      <c r="AQ333" s="2298" t="str">
        <f t="shared" si="505"/>
        <v>[Service]</v>
      </c>
      <c r="AR333" s="1719" t="str">
        <f t="shared" si="506"/>
        <v>[Price]</v>
      </c>
      <c r="AS333" s="2299" t="str">
        <f t="shared" si="503"/>
        <v>-</v>
      </c>
      <c r="AT333" s="1728" t="str">
        <f t="shared" si="503"/>
        <v>-</v>
      </c>
      <c r="AU333" s="1728" t="str">
        <f t="shared" si="503"/>
        <v>-</v>
      </c>
      <c r="AV333" s="2300" t="str">
        <f t="shared" si="503"/>
        <v>-</v>
      </c>
      <c r="AW333" s="1728" t="str">
        <f t="shared" si="503"/>
        <v>-</v>
      </c>
      <c r="AX333" s="2301" t="str">
        <f t="shared" si="503"/>
        <v>-</v>
      </c>
      <c r="AY333" s="1728" t="str">
        <f t="shared" si="503"/>
        <v>-</v>
      </c>
      <c r="AZ333" s="1728" t="str">
        <f t="shared" si="503"/>
        <v>-</v>
      </c>
      <c r="BA333" s="1728" t="str">
        <f t="shared" si="503"/>
        <v>-</v>
      </c>
      <c r="BB333" s="1729" t="str">
        <f t="shared" si="503"/>
        <v>-</v>
      </c>
      <c r="BC333" s="1728" t="str">
        <f t="shared" si="503"/>
        <v>-</v>
      </c>
      <c r="BD333" s="1728" t="str">
        <f t="shared" si="503"/>
        <v>-</v>
      </c>
      <c r="BE333" s="1728" t="str">
        <f t="shared" si="503"/>
        <v>-</v>
      </c>
      <c r="BF333" s="1728" t="str">
        <f t="shared" si="503"/>
        <v>-</v>
      </c>
      <c r="BG333" s="1729" t="str">
        <f t="shared" si="503"/>
        <v>-</v>
      </c>
      <c r="BH333" s="1048"/>
      <c r="BI333" s="2297" t="str">
        <f t="shared" si="417"/>
        <v>Price</v>
      </c>
      <c r="BJ333" s="2298" t="str">
        <f t="shared" si="417"/>
        <v>[Service]</v>
      </c>
      <c r="BK333" s="1719" t="str">
        <f t="shared" si="417"/>
        <v>[Price]</v>
      </c>
      <c r="BL333" s="2299" t="str">
        <f t="shared" ref="BL333:BZ333" si="521">IF(OR(X333="",X333=0),"-",IFERROR((X333/W333-1)*(W335/W$13),"-"))</f>
        <v>-</v>
      </c>
      <c r="BM333" s="1053" t="str">
        <f t="shared" si="521"/>
        <v>-</v>
      </c>
      <c r="BN333" s="1053" t="str">
        <f t="shared" si="521"/>
        <v>-</v>
      </c>
      <c r="BO333" s="2302" t="str">
        <f t="shared" si="521"/>
        <v>-</v>
      </c>
      <c r="BP333" s="1053" t="str">
        <f t="shared" si="521"/>
        <v>-</v>
      </c>
      <c r="BQ333" s="2303" t="str">
        <f t="shared" si="521"/>
        <v>-</v>
      </c>
      <c r="BR333" s="1053" t="str">
        <f t="shared" si="521"/>
        <v>-</v>
      </c>
      <c r="BS333" s="1053" t="str">
        <f t="shared" si="521"/>
        <v>-</v>
      </c>
      <c r="BT333" s="1053" t="str">
        <f t="shared" si="521"/>
        <v>-</v>
      </c>
      <c r="BU333" s="1054" t="str">
        <f t="shared" si="521"/>
        <v>-</v>
      </c>
      <c r="BV333" s="1053" t="str">
        <f t="shared" si="521"/>
        <v>-</v>
      </c>
      <c r="BW333" s="1053" t="str">
        <f t="shared" si="521"/>
        <v>-</v>
      </c>
      <c r="BX333" s="1053" t="str">
        <f t="shared" si="521"/>
        <v>-</v>
      </c>
      <c r="BY333" s="1053" t="str">
        <f t="shared" si="521"/>
        <v>-</v>
      </c>
      <c r="BZ333" s="1054" t="str">
        <f t="shared" si="521"/>
        <v>-</v>
      </c>
      <c r="CA333" s="1048"/>
    </row>
    <row r="334" spans="3:79" x14ac:dyDescent="0.3">
      <c r="C334" s="126"/>
      <c r="D334" s="126"/>
      <c r="E334" s="558" t="s">
        <v>46</v>
      </c>
      <c r="F334" s="2161" t="str">
        <f t="shared" si="498"/>
        <v>[Service]</v>
      </c>
      <c r="G334" s="2163">
        <f t="shared" si="498"/>
        <v>0</v>
      </c>
      <c r="H334" s="2163">
        <f t="shared" si="498"/>
        <v>0</v>
      </c>
      <c r="I334" s="2164" t="str">
        <f t="shared" si="498"/>
        <v>[Price]</v>
      </c>
      <c r="J334" s="574" t="s">
        <v>323</v>
      </c>
      <c r="K334" s="1973"/>
      <c r="L334" s="1974"/>
      <c r="M334" s="1974"/>
      <c r="N334" s="1975"/>
      <c r="O334" s="1974"/>
      <c r="P334" s="1974"/>
      <c r="Q334" s="1974"/>
      <c r="R334" s="1976"/>
      <c r="S334" s="1975"/>
      <c r="T334" s="1974"/>
      <c r="U334" s="1974"/>
      <c r="V334" s="1974"/>
      <c r="W334" s="578"/>
      <c r="X334" s="1239"/>
      <c r="Y334" s="578"/>
      <c r="Z334" s="578"/>
      <c r="AA334" s="578"/>
      <c r="AB334" s="1143"/>
      <c r="AC334" s="578"/>
      <c r="AD334" s="578"/>
      <c r="AE334" s="578"/>
      <c r="AF334" s="578"/>
      <c r="AG334" s="580"/>
      <c r="AH334" s="578"/>
      <c r="AI334" s="578"/>
      <c r="AJ334" s="578"/>
      <c r="AK334" s="578"/>
      <c r="AL334" s="580"/>
      <c r="AM334" s="560"/>
      <c r="AN334" s="991"/>
      <c r="AO334" s="992"/>
      <c r="AP334" s="2285" t="str">
        <f t="shared" si="505"/>
        <v>Qty</v>
      </c>
      <c r="AQ334" s="2286" t="str">
        <f t="shared" si="505"/>
        <v>[Service]</v>
      </c>
      <c r="AR334" s="2287" t="str">
        <f t="shared" si="506"/>
        <v>[Price]</v>
      </c>
      <c r="AS334" s="2288" t="str">
        <f t="shared" si="503"/>
        <v>-</v>
      </c>
      <c r="AT334" s="1720" t="str">
        <f t="shared" si="503"/>
        <v>-</v>
      </c>
      <c r="AU334" s="1720" t="str">
        <f t="shared" si="503"/>
        <v>-</v>
      </c>
      <c r="AV334" s="2289" t="str">
        <f t="shared" si="503"/>
        <v>-</v>
      </c>
      <c r="AW334" s="1720" t="str">
        <f t="shared" si="503"/>
        <v>-</v>
      </c>
      <c r="AX334" s="2290" t="str">
        <f t="shared" si="503"/>
        <v>-</v>
      </c>
      <c r="AY334" s="1720" t="str">
        <f t="shared" si="503"/>
        <v>-</v>
      </c>
      <c r="AZ334" s="1720" t="str">
        <f t="shared" si="503"/>
        <v>-</v>
      </c>
      <c r="BA334" s="1720" t="str">
        <f t="shared" si="503"/>
        <v>-</v>
      </c>
      <c r="BB334" s="1721" t="str">
        <f t="shared" si="503"/>
        <v>-</v>
      </c>
      <c r="BC334" s="1720" t="str">
        <f t="shared" si="503"/>
        <v>-</v>
      </c>
      <c r="BD334" s="1720" t="str">
        <f t="shared" si="503"/>
        <v>-</v>
      </c>
      <c r="BE334" s="1720" t="str">
        <f t="shared" si="503"/>
        <v>-</v>
      </c>
      <c r="BF334" s="1720" t="str">
        <f t="shared" si="503"/>
        <v>-</v>
      </c>
      <c r="BG334" s="1721" t="str">
        <f t="shared" si="503"/>
        <v>-</v>
      </c>
      <c r="BH334" s="1048"/>
      <c r="BI334" s="2285" t="str">
        <f t="shared" si="417"/>
        <v>Qty</v>
      </c>
      <c r="BJ334" s="2286" t="str">
        <f t="shared" si="417"/>
        <v>[Service]</v>
      </c>
      <c r="BK334" s="2287" t="str">
        <f t="shared" si="417"/>
        <v>[Price]</v>
      </c>
      <c r="BL334" s="2288" t="str">
        <f t="shared" ref="BL334:BZ334" si="522">IF(OR(X334="",X334=0),"-",IFERROR((X334/W334-1)*(W335/W$13),"-"))</f>
        <v>-</v>
      </c>
      <c r="BM334" s="1720" t="str">
        <f t="shared" si="522"/>
        <v>-</v>
      </c>
      <c r="BN334" s="1720" t="str">
        <f t="shared" si="522"/>
        <v>-</v>
      </c>
      <c r="BO334" s="2289" t="str">
        <f t="shared" si="522"/>
        <v>-</v>
      </c>
      <c r="BP334" s="1720" t="str">
        <f t="shared" si="522"/>
        <v>-</v>
      </c>
      <c r="BQ334" s="2290" t="str">
        <f t="shared" si="522"/>
        <v>-</v>
      </c>
      <c r="BR334" s="1720" t="str">
        <f t="shared" si="522"/>
        <v>-</v>
      </c>
      <c r="BS334" s="1720" t="str">
        <f t="shared" si="522"/>
        <v>-</v>
      </c>
      <c r="BT334" s="1720" t="str">
        <f t="shared" si="522"/>
        <v>-</v>
      </c>
      <c r="BU334" s="1721" t="str">
        <f t="shared" si="522"/>
        <v>-</v>
      </c>
      <c r="BV334" s="1720" t="str">
        <f t="shared" si="522"/>
        <v>-</v>
      </c>
      <c r="BW334" s="1720" t="str">
        <f t="shared" si="522"/>
        <v>-</v>
      </c>
      <c r="BX334" s="1720" t="str">
        <f t="shared" si="522"/>
        <v>-</v>
      </c>
      <c r="BY334" s="1720" t="str">
        <f t="shared" si="522"/>
        <v>-</v>
      </c>
      <c r="BZ334" s="1721" t="str">
        <f t="shared" si="522"/>
        <v>-</v>
      </c>
      <c r="CA334" s="1048"/>
    </row>
    <row r="335" spans="3:79" ht="12.5" thickBot="1" x14ac:dyDescent="0.35">
      <c r="C335" s="126"/>
      <c r="D335" s="126"/>
      <c r="E335" s="559" t="s">
        <v>47</v>
      </c>
      <c r="F335" s="2162" t="str">
        <f t="shared" ref="F335:I335" si="523">+F333</f>
        <v>[Service]</v>
      </c>
      <c r="G335" s="2165">
        <f t="shared" si="523"/>
        <v>0</v>
      </c>
      <c r="H335" s="2165">
        <f t="shared" si="523"/>
        <v>0</v>
      </c>
      <c r="I335" s="2166" t="str">
        <f t="shared" si="523"/>
        <v>[Price]</v>
      </c>
      <c r="J335" s="2106" t="s">
        <v>347</v>
      </c>
      <c r="K335" s="1977"/>
      <c r="L335" s="1206"/>
      <c r="M335" s="1206"/>
      <c r="N335" s="1978"/>
      <c r="O335" s="1206"/>
      <c r="P335" s="1206"/>
      <c r="Q335" s="1206"/>
      <c r="R335" s="1206"/>
      <c r="S335" s="1978"/>
      <c r="T335" s="1206"/>
      <c r="U335" s="1206"/>
      <c r="V335" s="1206"/>
      <c r="W335" s="1731">
        <f t="shared" ref="W335:AG335" si="524">W333*W334/10^6</f>
        <v>0</v>
      </c>
      <c r="X335" s="1730">
        <f t="shared" si="524"/>
        <v>0</v>
      </c>
      <c r="Y335" s="1731">
        <f t="shared" si="524"/>
        <v>0</v>
      </c>
      <c r="Z335" s="1731">
        <f t="shared" si="524"/>
        <v>0</v>
      </c>
      <c r="AA335" s="1731">
        <f t="shared" si="524"/>
        <v>0</v>
      </c>
      <c r="AB335" s="1733">
        <f t="shared" si="524"/>
        <v>0</v>
      </c>
      <c r="AC335" s="1731">
        <f t="shared" si="524"/>
        <v>0</v>
      </c>
      <c r="AD335" s="1731">
        <f t="shared" si="524"/>
        <v>0</v>
      </c>
      <c r="AE335" s="1731">
        <f t="shared" si="524"/>
        <v>0</v>
      </c>
      <c r="AF335" s="1731">
        <f t="shared" si="524"/>
        <v>0</v>
      </c>
      <c r="AG335" s="1733">
        <f t="shared" si="524"/>
        <v>0</v>
      </c>
      <c r="AH335" s="1731">
        <f>AH333*AH334/10^6</f>
        <v>0</v>
      </c>
      <c r="AI335" s="1731">
        <f>AI333*AI334/10^6</f>
        <v>0</v>
      </c>
      <c r="AJ335" s="1731">
        <f>AJ333*AJ334/10^6</f>
        <v>0</v>
      </c>
      <c r="AK335" s="1731">
        <f>AK333*AK334/10^6</f>
        <v>0</v>
      </c>
      <c r="AL335" s="1733">
        <f>AL333*AL334/10^6</f>
        <v>0</v>
      </c>
      <c r="AM335" s="560"/>
      <c r="AN335" s="991"/>
      <c r="AO335" s="992"/>
      <c r="AP335" s="2304" t="str">
        <f t="shared" si="505"/>
        <v>Rev</v>
      </c>
      <c r="AQ335" s="2305" t="str">
        <f t="shared" si="505"/>
        <v>[Service]</v>
      </c>
      <c r="AR335" s="2306" t="str">
        <f t="shared" si="506"/>
        <v>[Price]</v>
      </c>
      <c r="AS335" s="2307" t="str">
        <f t="shared" si="503"/>
        <v>-</v>
      </c>
      <c r="AT335" s="1055" t="str">
        <f t="shared" si="503"/>
        <v>-</v>
      </c>
      <c r="AU335" s="1055" t="str">
        <f t="shared" si="503"/>
        <v>-</v>
      </c>
      <c r="AV335" s="2308" t="str">
        <f t="shared" si="503"/>
        <v>-</v>
      </c>
      <c r="AW335" s="1055" t="str">
        <f t="shared" si="503"/>
        <v>-</v>
      </c>
      <c r="AX335" s="2309" t="str">
        <f t="shared" si="503"/>
        <v>-</v>
      </c>
      <c r="AY335" s="1055" t="str">
        <f t="shared" si="503"/>
        <v>-</v>
      </c>
      <c r="AZ335" s="1055" t="str">
        <f t="shared" si="503"/>
        <v>-</v>
      </c>
      <c r="BA335" s="1055" t="str">
        <f t="shared" si="503"/>
        <v>-</v>
      </c>
      <c r="BB335" s="1056" t="str">
        <f t="shared" si="503"/>
        <v>-</v>
      </c>
      <c r="BC335" s="1055" t="str">
        <f t="shared" si="503"/>
        <v>-</v>
      </c>
      <c r="BD335" s="1055" t="str">
        <f t="shared" si="503"/>
        <v>-</v>
      </c>
      <c r="BE335" s="1055" t="str">
        <f t="shared" si="503"/>
        <v>-</v>
      </c>
      <c r="BF335" s="1055" t="str">
        <f t="shared" si="503"/>
        <v>-</v>
      </c>
      <c r="BG335" s="1056" t="str">
        <f t="shared" si="503"/>
        <v>-</v>
      </c>
      <c r="BH335" s="1048"/>
      <c r="BI335" s="2304" t="str">
        <f t="shared" si="417"/>
        <v>Rev</v>
      </c>
      <c r="BJ335" s="2305" t="str">
        <f t="shared" si="417"/>
        <v>[Service]</v>
      </c>
      <c r="BK335" s="2306" t="str">
        <f t="shared" si="417"/>
        <v>[Price]</v>
      </c>
      <c r="BL335" s="2307" t="str">
        <f t="shared" ref="BL335:BZ335" si="525">IF(OR(X335="",X335=0),"-",IFERROR((X335/W335-1)*(W335/W$13),"-"))</f>
        <v>-</v>
      </c>
      <c r="BM335" s="1055" t="str">
        <f t="shared" si="525"/>
        <v>-</v>
      </c>
      <c r="BN335" s="1055" t="str">
        <f t="shared" si="525"/>
        <v>-</v>
      </c>
      <c r="BO335" s="2308" t="str">
        <f t="shared" si="525"/>
        <v>-</v>
      </c>
      <c r="BP335" s="1055" t="str">
        <f t="shared" si="525"/>
        <v>-</v>
      </c>
      <c r="BQ335" s="2309" t="str">
        <f t="shared" si="525"/>
        <v>-</v>
      </c>
      <c r="BR335" s="1055" t="str">
        <f t="shared" si="525"/>
        <v>-</v>
      </c>
      <c r="BS335" s="1055" t="str">
        <f t="shared" si="525"/>
        <v>-</v>
      </c>
      <c r="BT335" s="1055" t="str">
        <f t="shared" si="525"/>
        <v>-</v>
      </c>
      <c r="BU335" s="1056" t="str">
        <f t="shared" si="525"/>
        <v>-</v>
      </c>
      <c r="BV335" s="1055" t="str">
        <f t="shared" si="525"/>
        <v>-</v>
      </c>
      <c r="BW335" s="1055" t="str">
        <f t="shared" si="525"/>
        <v>-</v>
      </c>
      <c r="BX335" s="1055" t="str">
        <f t="shared" si="525"/>
        <v>-</v>
      </c>
      <c r="BY335" s="1055" t="str">
        <f t="shared" si="525"/>
        <v>-</v>
      </c>
      <c r="BZ335" s="1056" t="str">
        <f t="shared" si="525"/>
        <v>-</v>
      </c>
      <c r="CA335" s="1048"/>
    </row>
    <row r="336" spans="3:79" x14ac:dyDescent="0.3">
      <c r="C336" s="126"/>
      <c r="D336" s="126">
        <f>D333+1</f>
        <v>90</v>
      </c>
      <c r="E336" s="553" t="s">
        <v>45</v>
      </c>
      <c r="F336" s="2105" t="s">
        <v>28</v>
      </c>
      <c r="G336" s="2105"/>
      <c r="H336" s="2105"/>
      <c r="I336" s="573" t="s">
        <v>319</v>
      </c>
      <c r="J336" s="573" t="s">
        <v>348</v>
      </c>
      <c r="K336" s="1969"/>
      <c r="L336" s="1970"/>
      <c r="M336" s="1970"/>
      <c r="N336" s="1971"/>
      <c r="O336" s="1970"/>
      <c r="P336" s="1970"/>
      <c r="Q336" s="1970"/>
      <c r="R336" s="1972"/>
      <c r="S336" s="1971"/>
      <c r="T336" s="1970"/>
      <c r="U336" s="1970"/>
      <c r="V336" s="1970"/>
      <c r="W336" s="575"/>
      <c r="X336" s="1238"/>
      <c r="Y336" s="575"/>
      <c r="Z336" s="575"/>
      <c r="AA336" s="575"/>
      <c r="AB336" s="1142"/>
      <c r="AC336" s="575"/>
      <c r="AD336" s="575"/>
      <c r="AE336" s="575"/>
      <c r="AF336" s="575"/>
      <c r="AG336" s="577"/>
      <c r="AH336" s="575"/>
      <c r="AI336" s="575"/>
      <c r="AJ336" s="575"/>
      <c r="AK336" s="575"/>
      <c r="AL336" s="577"/>
      <c r="AM336" s="560"/>
      <c r="AN336" s="1052"/>
      <c r="AO336" s="992"/>
      <c r="AP336" s="2297" t="str">
        <f t="shared" si="505"/>
        <v>Price</v>
      </c>
      <c r="AQ336" s="2298" t="str">
        <f t="shared" si="505"/>
        <v>[Service]</v>
      </c>
      <c r="AR336" s="1719" t="str">
        <f t="shared" si="506"/>
        <v>[Price]</v>
      </c>
      <c r="AS336" s="2299" t="str">
        <f t="shared" si="503"/>
        <v>-</v>
      </c>
      <c r="AT336" s="1728" t="str">
        <f t="shared" si="503"/>
        <v>-</v>
      </c>
      <c r="AU336" s="1728" t="str">
        <f t="shared" si="503"/>
        <v>-</v>
      </c>
      <c r="AV336" s="2300" t="str">
        <f t="shared" si="503"/>
        <v>-</v>
      </c>
      <c r="AW336" s="1728" t="str">
        <f t="shared" si="503"/>
        <v>-</v>
      </c>
      <c r="AX336" s="2301" t="str">
        <f t="shared" si="503"/>
        <v>-</v>
      </c>
      <c r="AY336" s="1728" t="str">
        <f t="shared" si="503"/>
        <v>-</v>
      </c>
      <c r="AZ336" s="1728" t="str">
        <f t="shared" si="503"/>
        <v>-</v>
      </c>
      <c r="BA336" s="1728" t="str">
        <f t="shared" si="503"/>
        <v>-</v>
      </c>
      <c r="BB336" s="1729" t="str">
        <f t="shared" si="503"/>
        <v>-</v>
      </c>
      <c r="BC336" s="1728" t="str">
        <f t="shared" si="503"/>
        <v>-</v>
      </c>
      <c r="BD336" s="1728" t="str">
        <f t="shared" si="503"/>
        <v>-</v>
      </c>
      <c r="BE336" s="1728" t="str">
        <f t="shared" si="503"/>
        <v>-</v>
      </c>
      <c r="BF336" s="1728" t="str">
        <f t="shared" si="503"/>
        <v>-</v>
      </c>
      <c r="BG336" s="1729" t="str">
        <f t="shared" si="503"/>
        <v>-</v>
      </c>
      <c r="BH336" s="1048"/>
      <c r="BI336" s="2297" t="str">
        <f t="shared" si="417"/>
        <v>Price</v>
      </c>
      <c r="BJ336" s="2298" t="str">
        <f t="shared" si="417"/>
        <v>[Service]</v>
      </c>
      <c r="BK336" s="1719" t="str">
        <f t="shared" si="417"/>
        <v>[Price]</v>
      </c>
      <c r="BL336" s="2299" t="str">
        <f t="shared" ref="BL336:BZ336" si="526">IF(OR(X336="",X336=0),"-",IFERROR((X336/W336-1)*(W338/W$13),"-"))</f>
        <v>-</v>
      </c>
      <c r="BM336" s="1053" t="str">
        <f t="shared" si="526"/>
        <v>-</v>
      </c>
      <c r="BN336" s="1053" t="str">
        <f t="shared" si="526"/>
        <v>-</v>
      </c>
      <c r="BO336" s="2302" t="str">
        <f t="shared" si="526"/>
        <v>-</v>
      </c>
      <c r="BP336" s="1053" t="str">
        <f t="shared" si="526"/>
        <v>-</v>
      </c>
      <c r="BQ336" s="2303" t="str">
        <f t="shared" si="526"/>
        <v>-</v>
      </c>
      <c r="BR336" s="1053" t="str">
        <f t="shared" si="526"/>
        <v>-</v>
      </c>
      <c r="BS336" s="1053" t="str">
        <f t="shared" si="526"/>
        <v>-</v>
      </c>
      <c r="BT336" s="1053" t="str">
        <f t="shared" si="526"/>
        <v>-</v>
      </c>
      <c r="BU336" s="1054" t="str">
        <f t="shared" si="526"/>
        <v>-</v>
      </c>
      <c r="BV336" s="1053" t="str">
        <f t="shared" si="526"/>
        <v>-</v>
      </c>
      <c r="BW336" s="1053" t="str">
        <f t="shared" si="526"/>
        <v>-</v>
      </c>
      <c r="BX336" s="1053" t="str">
        <f t="shared" si="526"/>
        <v>-</v>
      </c>
      <c r="BY336" s="1053" t="str">
        <f t="shared" si="526"/>
        <v>-</v>
      </c>
      <c r="BZ336" s="1054" t="str">
        <f t="shared" si="526"/>
        <v>-</v>
      </c>
      <c r="CA336" s="1048"/>
    </row>
    <row r="337" spans="3:79" x14ac:dyDescent="0.3">
      <c r="C337" s="126"/>
      <c r="D337" s="126"/>
      <c r="E337" s="558" t="s">
        <v>46</v>
      </c>
      <c r="F337" s="2161" t="str">
        <f t="shared" si="498"/>
        <v>[Service]</v>
      </c>
      <c r="G337" s="2163">
        <f t="shared" si="498"/>
        <v>0</v>
      </c>
      <c r="H337" s="2163">
        <f t="shared" si="498"/>
        <v>0</v>
      </c>
      <c r="I337" s="2164" t="str">
        <f t="shared" si="498"/>
        <v>[Price]</v>
      </c>
      <c r="J337" s="574" t="s">
        <v>323</v>
      </c>
      <c r="K337" s="1973"/>
      <c r="L337" s="1974"/>
      <c r="M337" s="1974"/>
      <c r="N337" s="1975"/>
      <c r="O337" s="1974"/>
      <c r="P337" s="1974"/>
      <c r="Q337" s="1974"/>
      <c r="R337" s="1976"/>
      <c r="S337" s="1975"/>
      <c r="T337" s="1974"/>
      <c r="U337" s="1974"/>
      <c r="V337" s="1974"/>
      <c r="W337" s="578"/>
      <c r="X337" s="1239"/>
      <c r="Y337" s="578"/>
      <c r="Z337" s="578"/>
      <c r="AA337" s="578"/>
      <c r="AB337" s="1143"/>
      <c r="AC337" s="578"/>
      <c r="AD337" s="578"/>
      <c r="AE337" s="578"/>
      <c r="AF337" s="578"/>
      <c r="AG337" s="580"/>
      <c r="AH337" s="578"/>
      <c r="AI337" s="578"/>
      <c r="AJ337" s="578"/>
      <c r="AK337" s="578"/>
      <c r="AL337" s="580"/>
      <c r="AM337" s="560"/>
      <c r="AN337" s="991"/>
      <c r="AO337" s="992"/>
      <c r="AP337" s="2285" t="str">
        <f t="shared" si="505"/>
        <v>Qty</v>
      </c>
      <c r="AQ337" s="2286" t="str">
        <f t="shared" si="505"/>
        <v>[Service]</v>
      </c>
      <c r="AR337" s="2287" t="str">
        <f t="shared" si="506"/>
        <v>[Price]</v>
      </c>
      <c r="AS337" s="2288" t="str">
        <f t="shared" si="503"/>
        <v>-</v>
      </c>
      <c r="AT337" s="1720" t="str">
        <f t="shared" si="503"/>
        <v>-</v>
      </c>
      <c r="AU337" s="1720" t="str">
        <f t="shared" si="503"/>
        <v>-</v>
      </c>
      <c r="AV337" s="2289" t="str">
        <f t="shared" si="503"/>
        <v>-</v>
      </c>
      <c r="AW337" s="1720" t="str">
        <f t="shared" si="503"/>
        <v>-</v>
      </c>
      <c r="AX337" s="2290" t="str">
        <f t="shared" si="503"/>
        <v>-</v>
      </c>
      <c r="AY337" s="1720" t="str">
        <f t="shared" si="503"/>
        <v>-</v>
      </c>
      <c r="AZ337" s="1720" t="str">
        <f t="shared" si="503"/>
        <v>-</v>
      </c>
      <c r="BA337" s="1720" t="str">
        <f t="shared" si="503"/>
        <v>-</v>
      </c>
      <c r="BB337" s="1721" t="str">
        <f t="shared" si="503"/>
        <v>-</v>
      </c>
      <c r="BC337" s="1720" t="str">
        <f t="shared" si="503"/>
        <v>-</v>
      </c>
      <c r="BD337" s="1720" t="str">
        <f t="shared" si="503"/>
        <v>-</v>
      </c>
      <c r="BE337" s="1720" t="str">
        <f t="shared" si="503"/>
        <v>-</v>
      </c>
      <c r="BF337" s="1720" t="str">
        <f t="shared" si="503"/>
        <v>-</v>
      </c>
      <c r="BG337" s="1721" t="str">
        <f t="shared" si="503"/>
        <v>-</v>
      </c>
      <c r="BH337" s="1048"/>
      <c r="BI337" s="2285" t="str">
        <f t="shared" si="417"/>
        <v>Qty</v>
      </c>
      <c r="BJ337" s="2286" t="str">
        <f t="shared" si="417"/>
        <v>[Service]</v>
      </c>
      <c r="BK337" s="2287" t="str">
        <f t="shared" si="417"/>
        <v>[Price]</v>
      </c>
      <c r="BL337" s="2288" t="str">
        <f t="shared" ref="BL337:BZ337" si="527">IF(OR(X337="",X337=0),"-",IFERROR((X337/W337-1)*(W338/W$13),"-"))</f>
        <v>-</v>
      </c>
      <c r="BM337" s="1720" t="str">
        <f t="shared" si="527"/>
        <v>-</v>
      </c>
      <c r="BN337" s="1720" t="str">
        <f t="shared" si="527"/>
        <v>-</v>
      </c>
      <c r="BO337" s="2289" t="str">
        <f t="shared" si="527"/>
        <v>-</v>
      </c>
      <c r="BP337" s="1720" t="str">
        <f t="shared" si="527"/>
        <v>-</v>
      </c>
      <c r="BQ337" s="2290" t="str">
        <f t="shared" si="527"/>
        <v>-</v>
      </c>
      <c r="BR337" s="1720" t="str">
        <f t="shared" si="527"/>
        <v>-</v>
      </c>
      <c r="BS337" s="1720" t="str">
        <f t="shared" si="527"/>
        <v>-</v>
      </c>
      <c r="BT337" s="1720" t="str">
        <f t="shared" si="527"/>
        <v>-</v>
      </c>
      <c r="BU337" s="1721" t="str">
        <f t="shared" si="527"/>
        <v>-</v>
      </c>
      <c r="BV337" s="1720" t="str">
        <f t="shared" si="527"/>
        <v>-</v>
      </c>
      <c r="BW337" s="1720" t="str">
        <f t="shared" si="527"/>
        <v>-</v>
      </c>
      <c r="BX337" s="1720" t="str">
        <f t="shared" si="527"/>
        <v>-</v>
      </c>
      <c r="BY337" s="1720" t="str">
        <f t="shared" si="527"/>
        <v>-</v>
      </c>
      <c r="BZ337" s="1721" t="str">
        <f t="shared" si="527"/>
        <v>-</v>
      </c>
      <c r="CA337" s="1048"/>
    </row>
    <row r="338" spans="3:79" ht="12.5" thickBot="1" x14ac:dyDescent="0.35">
      <c r="C338" s="126"/>
      <c r="D338" s="126"/>
      <c r="E338" s="559" t="s">
        <v>47</v>
      </c>
      <c r="F338" s="2162" t="str">
        <f t="shared" ref="F338:I338" si="528">+F336</f>
        <v>[Service]</v>
      </c>
      <c r="G338" s="2165">
        <f t="shared" si="528"/>
        <v>0</v>
      </c>
      <c r="H338" s="2165">
        <f t="shared" si="528"/>
        <v>0</v>
      </c>
      <c r="I338" s="2166" t="str">
        <f t="shared" si="528"/>
        <v>[Price]</v>
      </c>
      <c r="J338" s="2106" t="s">
        <v>347</v>
      </c>
      <c r="K338" s="1977"/>
      <c r="L338" s="1206"/>
      <c r="M338" s="1206"/>
      <c r="N338" s="1978"/>
      <c r="O338" s="1206"/>
      <c r="P338" s="1206"/>
      <c r="Q338" s="1206"/>
      <c r="R338" s="1206"/>
      <c r="S338" s="1978"/>
      <c r="T338" s="1206"/>
      <c r="U338" s="1206"/>
      <c r="V338" s="1206"/>
      <c r="W338" s="1731">
        <f t="shared" ref="W338:AG338" si="529">W336*W337/10^6</f>
        <v>0</v>
      </c>
      <c r="X338" s="1730">
        <f t="shared" si="529"/>
        <v>0</v>
      </c>
      <c r="Y338" s="1731">
        <f t="shared" si="529"/>
        <v>0</v>
      </c>
      <c r="Z338" s="1731">
        <f t="shared" si="529"/>
        <v>0</v>
      </c>
      <c r="AA338" s="1731">
        <f t="shared" si="529"/>
        <v>0</v>
      </c>
      <c r="AB338" s="1733">
        <f t="shared" si="529"/>
        <v>0</v>
      </c>
      <c r="AC338" s="1731">
        <f t="shared" si="529"/>
        <v>0</v>
      </c>
      <c r="AD338" s="1731">
        <f t="shared" si="529"/>
        <v>0</v>
      </c>
      <c r="AE338" s="1731">
        <f t="shared" si="529"/>
        <v>0</v>
      </c>
      <c r="AF338" s="1731">
        <f t="shared" si="529"/>
        <v>0</v>
      </c>
      <c r="AG338" s="1733">
        <f t="shared" si="529"/>
        <v>0</v>
      </c>
      <c r="AH338" s="1731">
        <f>AH336*AH337/10^6</f>
        <v>0</v>
      </c>
      <c r="AI338" s="1731">
        <f>AI336*AI337/10^6</f>
        <v>0</v>
      </c>
      <c r="AJ338" s="1731">
        <f>AJ336*AJ337/10^6</f>
        <v>0</v>
      </c>
      <c r="AK338" s="1731">
        <f>AK336*AK337/10^6</f>
        <v>0</v>
      </c>
      <c r="AL338" s="1733">
        <f>AL336*AL337/10^6</f>
        <v>0</v>
      </c>
      <c r="AM338" s="560"/>
      <c r="AN338" s="991"/>
      <c r="AO338" s="992"/>
      <c r="AP338" s="2304" t="str">
        <f t="shared" si="505"/>
        <v>Rev</v>
      </c>
      <c r="AQ338" s="2305" t="str">
        <f t="shared" si="505"/>
        <v>[Service]</v>
      </c>
      <c r="AR338" s="2306" t="str">
        <f t="shared" si="506"/>
        <v>[Price]</v>
      </c>
      <c r="AS338" s="2307" t="str">
        <f t="shared" si="503"/>
        <v>-</v>
      </c>
      <c r="AT338" s="1055" t="str">
        <f t="shared" si="503"/>
        <v>-</v>
      </c>
      <c r="AU338" s="1055" t="str">
        <f t="shared" si="503"/>
        <v>-</v>
      </c>
      <c r="AV338" s="2308" t="str">
        <f t="shared" si="503"/>
        <v>-</v>
      </c>
      <c r="AW338" s="1055" t="str">
        <f t="shared" si="503"/>
        <v>-</v>
      </c>
      <c r="AX338" s="2309" t="str">
        <f t="shared" si="503"/>
        <v>-</v>
      </c>
      <c r="AY338" s="1055" t="str">
        <f t="shared" si="503"/>
        <v>-</v>
      </c>
      <c r="AZ338" s="1055" t="str">
        <f t="shared" si="503"/>
        <v>-</v>
      </c>
      <c r="BA338" s="1055" t="str">
        <f t="shared" si="503"/>
        <v>-</v>
      </c>
      <c r="BB338" s="1056" t="str">
        <f t="shared" si="503"/>
        <v>-</v>
      </c>
      <c r="BC338" s="1055" t="str">
        <f t="shared" si="503"/>
        <v>-</v>
      </c>
      <c r="BD338" s="1055" t="str">
        <f t="shared" si="503"/>
        <v>-</v>
      </c>
      <c r="BE338" s="1055" t="str">
        <f t="shared" si="503"/>
        <v>-</v>
      </c>
      <c r="BF338" s="1055" t="str">
        <f t="shared" si="503"/>
        <v>-</v>
      </c>
      <c r="BG338" s="1056" t="str">
        <f t="shared" si="503"/>
        <v>-</v>
      </c>
      <c r="BH338" s="1048"/>
      <c r="BI338" s="2304" t="str">
        <f t="shared" si="417"/>
        <v>Rev</v>
      </c>
      <c r="BJ338" s="2305" t="str">
        <f t="shared" si="417"/>
        <v>[Service]</v>
      </c>
      <c r="BK338" s="2306" t="str">
        <f t="shared" si="417"/>
        <v>[Price]</v>
      </c>
      <c r="BL338" s="2307" t="str">
        <f t="shared" ref="BL338:BZ338" si="530">IF(OR(X338="",X338=0),"-",IFERROR((X338/W338-1)*(W338/W$13),"-"))</f>
        <v>-</v>
      </c>
      <c r="BM338" s="1055" t="str">
        <f t="shared" si="530"/>
        <v>-</v>
      </c>
      <c r="BN338" s="1055" t="str">
        <f t="shared" si="530"/>
        <v>-</v>
      </c>
      <c r="BO338" s="2308" t="str">
        <f t="shared" si="530"/>
        <v>-</v>
      </c>
      <c r="BP338" s="1055" t="str">
        <f t="shared" si="530"/>
        <v>-</v>
      </c>
      <c r="BQ338" s="2309" t="str">
        <f t="shared" si="530"/>
        <v>-</v>
      </c>
      <c r="BR338" s="1055" t="str">
        <f t="shared" si="530"/>
        <v>-</v>
      </c>
      <c r="BS338" s="1055" t="str">
        <f t="shared" si="530"/>
        <v>-</v>
      </c>
      <c r="BT338" s="1055" t="str">
        <f t="shared" si="530"/>
        <v>-</v>
      </c>
      <c r="BU338" s="1056" t="str">
        <f t="shared" si="530"/>
        <v>-</v>
      </c>
      <c r="BV338" s="1055" t="str">
        <f t="shared" si="530"/>
        <v>-</v>
      </c>
      <c r="BW338" s="1055" t="str">
        <f t="shared" si="530"/>
        <v>-</v>
      </c>
      <c r="BX338" s="1055" t="str">
        <f t="shared" si="530"/>
        <v>-</v>
      </c>
      <c r="BY338" s="1055" t="str">
        <f t="shared" si="530"/>
        <v>-</v>
      </c>
      <c r="BZ338" s="1056" t="str">
        <f t="shared" si="530"/>
        <v>-</v>
      </c>
      <c r="CA338" s="1048"/>
    </row>
    <row r="339" spans="3:79" x14ac:dyDescent="0.3">
      <c r="C339" s="126"/>
      <c r="D339" s="126">
        <f>D336+1</f>
        <v>91</v>
      </c>
      <c r="E339" s="553" t="s">
        <v>45</v>
      </c>
      <c r="F339" s="2105" t="s">
        <v>28</v>
      </c>
      <c r="G339" s="2105"/>
      <c r="H339" s="2105"/>
      <c r="I339" s="573" t="s">
        <v>319</v>
      </c>
      <c r="J339" s="573" t="s">
        <v>348</v>
      </c>
      <c r="K339" s="1969"/>
      <c r="L339" s="1970"/>
      <c r="M339" s="1970"/>
      <c r="N339" s="1971"/>
      <c r="O339" s="1970"/>
      <c r="P339" s="1970"/>
      <c r="Q339" s="1970"/>
      <c r="R339" s="1972"/>
      <c r="S339" s="1971"/>
      <c r="T339" s="1970"/>
      <c r="U339" s="1970"/>
      <c r="V339" s="1970"/>
      <c r="W339" s="575"/>
      <c r="X339" s="1238"/>
      <c r="Y339" s="575"/>
      <c r="Z339" s="575"/>
      <c r="AA339" s="575"/>
      <c r="AB339" s="1142"/>
      <c r="AC339" s="575"/>
      <c r="AD339" s="575"/>
      <c r="AE339" s="575"/>
      <c r="AF339" s="575"/>
      <c r="AG339" s="577"/>
      <c r="AH339" s="575"/>
      <c r="AI339" s="575"/>
      <c r="AJ339" s="575"/>
      <c r="AK339" s="575"/>
      <c r="AL339" s="577"/>
      <c r="AM339" s="560"/>
      <c r="AN339" s="1052"/>
      <c r="AO339" s="992"/>
      <c r="AP339" s="2297" t="str">
        <f t="shared" si="505"/>
        <v>Price</v>
      </c>
      <c r="AQ339" s="2298" t="str">
        <f t="shared" si="505"/>
        <v>[Service]</v>
      </c>
      <c r="AR339" s="1719" t="str">
        <f t="shared" si="506"/>
        <v>[Price]</v>
      </c>
      <c r="AS339" s="2299" t="str">
        <f t="shared" si="503"/>
        <v>-</v>
      </c>
      <c r="AT339" s="1728" t="str">
        <f t="shared" si="503"/>
        <v>-</v>
      </c>
      <c r="AU339" s="1728" t="str">
        <f t="shared" si="503"/>
        <v>-</v>
      </c>
      <c r="AV339" s="2300" t="str">
        <f t="shared" si="503"/>
        <v>-</v>
      </c>
      <c r="AW339" s="1728" t="str">
        <f t="shared" si="503"/>
        <v>-</v>
      </c>
      <c r="AX339" s="2301" t="str">
        <f t="shared" si="503"/>
        <v>-</v>
      </c>
      <c r="AY339" s="1728" t="str">
        <f t="shared" si="503"/>
        <v>-</v>
      </c>
      <c r="AZ339" s="1728" t="str">
        <f t="shared" si="503"/>
        <v>-</v>
      </c>
      <c r="BA339" s="1728" t="str">
        <f t="shared" si="503"/>
        <v>-</v>
      </c>
      <c r="BB339" s="1729" t="str">
        <f t="shared" si="503"/>
        <v>-</v>
      </c>
      <c r="BC339" s="1728" t="str">
        <f t="shared" si="503"/>
        <v>-</v>
      </c>
      <c r="BD339" s="1728" t="str">
        <f t="shared" si="503"/>
        <v>-</v>
      </c>
      <c r="BE339" s="1728" t="str">
        <f t="shared" si="503"/>
        <v>-</v>
      </c>
      <c r="BF339" s="1728" t="str">
        <f t="shared" si="503"/>
        <v>-</v>
      </c>
      <c r="BG339" s="1729" t="str">
        <f t="shared" si="503"/>
        <v>-</v>
      </c>
      <c r="BH339" s="1048"/>
      <c r="BI339" s="2297" t="str">
        <f t="shared" si="417"/>
        <v>Price</v>
      </c>
      <c r="BJ339" s="2298" t="str">
        <f t="shared" si="417"/>
        <v>[Service]</v>
      </c>
      <c r="BK339" s="1719" t="str">
        <f t="shared" si="417"/>
        <v>[Price]</v>
      </c>
      <c r="BL339" s="2299" t="str">
        <f t="shared" ref="BL339:BZ339" si="531">IF(OR(X339="",X339=0),"-",IFERROR((X339/W339-1)*(W341/W$13),"-"))</f>
        <v>-</v>
      </c>
      <c r="BM339" s="1053" t="str">
        <f t="shared" si="531"/>
        <v>-</v>
      </c>
      <c r="BN339" s="1053" t="str">
        <f t="shared" si="531"/>
        <v>-</v>
      </c>
      <c r="BO339" s="2302" t="str">
        <f t="shared" si="531"/>
        <v>-</v>
      </c>
      <c r="BP339" s="1053" t="str">
        <f t="shared" si="531"/>
        <v>-</v>
      </c>
      <c r="BQ339" s="2303" t="str">
        <f t="shared" si="531"/>
        <v>-</v>
      </c>
      <c r="BR339" s="1053" t="str">
        <f t="shared" si="531"/>
        <v>-</v>
      </c>
      <c r="BS339" s="1053" t="str">
        <f t="shared" si="531"/>
        <v>-</v>
      </c>
      <c r="BT339" s="1053" t="str">
        <f t="shared" si="531"/>
        <v>-</v>
      </c>
      <c r="BU339" s="1054" t="str">
        <f t="shared" si="531"/>
        <v>-</v>
      </c>
      <c r="BV339" s="1053" t="str">
        <f t="shared" si="531"/>
        <v>-</v>
      </c>
      <c r="BW339" s="1053" t="str">
        <f t="shared" si="531"/>
        <v>-</v>
      </c>
      <c r="BX339" s="1053" t="str">
        <f t="shared" si="531"/>
        <v>-</v>
      </c>
      <c r="BY339" s="1053" t="str">
        <f t="shared" si="531"/>
        <v>-</v>
      </c>
      <c r="BZ339" s="1054" t="str">
        <f t="shared" si="531"/>
        <v>-</v>
      </c>
      <c r="CA339" s="1048"/>
    </row>
    <row r="340" spans="3:79" x14ac:dyDescent="0.3">
      <c r="C340" s="126"/>
      <c r="D340" s="126"/>
      <c r="E340" s="558" t="s">
        <v>46</v>
      </c>
      <c r="F340" s="2161" t="str">
        <f t="shared" ref="F340:I355" si="532">+F339</f>
        <v>[Service]</v>
      </c>
      <c r="G340" s="2163">
        <f t="shared" si="532"/>
        <v>0</v>
      </c>
      <c r="H340" s="2163">
        <f t="shared" si="532"/>
        <v>0</v>
      </c>
      <c r="I340" s="2164" t="str">
        <f t="shared" si="532"/>
        <v>[Price]</v>
      </c>
      <c r="J340" s="574" t="s">
        <v>323</v>
      </c>
      <c r="K340" s="1973"/>
      <c r="L340" s="1974"/>
      <c r="M340" s="1974"/>
      <c r="N340" s="1975"/>
      <c r="O340" s="1974"/>
      <c r="P340" s="1974"/>
      <c r="Q340" s="1974"/>
      <c r="R340" s="1976"/>
      <c r="S340" s="1975"/>
      <c r="T340" s="1974"/>
      <c r="U340" s="1974"/>
      <c r="V340" s="1974"/>
      <c r="W340" s="578"/>
      <c r="X340" s="1239"/>
      <c r="Y340" s="578"/>
      <c r="Z340" s="578"/>
      <c r="AA340" s="578"/>
      <c r="AB340" s="1143"/>
      <c r="AC340" s="578"/>
      <c r="AD340" s="578"/>
      <c r="AE340" s="578"/>
      <c r="AF340" s="578"/>
      <c r="AG340" s="580"/>
      <c r="AH340" s="578"/>
      <c r="AI340" s="578"/>
      <c r="AJ340" s="578"/>
      <c r="AK340" s="578"/>
      <c r="AL340" s="580"/>
      <c r="AM340" s="560"/>
      <c r="AN340" s="991"/>
      <c r="AO340" s="992"/>
      <c r="AP340" s="2285" t="str">
        <f t="shared" si="505"/>
        <v>Qty</v>
      </c>
      <c r="AQ340" s="2286" t="str">
        <f t="shared" si="505"/>
        <v>[Service]</v>
      </c>
      <c r="AR340" s="2287" t="str">
        <f t="shared" si="506"/>
        <v>[Price]</v>
      </c>
      <c r="AS340" s="2288" t="str">
        <f t="shared" si="503"/>
        <v>-</v>
      </c>
      <c r="AT340" s="1720" t="str">
        <f t="shared" si="503"/>
        <v>-</v>
      </c>
      <c r="AU340" s="1720" t="str">
        <f t="shared" si="503"/>
        <v>-</v>
      </c>
      <c r="AV340" s="2289" t="str">
        <f t="shared" si="503"/>
        <v>-</v>
      </c>
      <c r="AW340" s="1720" t="str">
        <f t="shared" si="503"/>
        <v>-</v>
      </c>
      <c r="AX340" s="2290" t="str">
        <f t="shared" si="503"/>
        <v>-</v>
      </c>
      <c r="AY340" s="1720" t="str">
        <f t="shared" si="503"/>
        <v>-</v>
      </c>
      <c r="AZ340" s="1720" t="str">
        <f t="shared" si="503"/>
        <v>-</v>
      </c>
      <c r="BA340" s="1720" t="str">
        <f t="shared" si="503"/>
        <v>-</v>
      </c>
      <c r="BB340" s="1721" t="str">
        <f t="shared" si="503"/>
        <v>-</v>
      </c>
      <c r="BC340" s="1720" t="str">
        <f t="shared" si="503"/>
        <v>-</v>
      </c>
      <c r="BD340" s="1720" t="str">
        <f t="shared" si="503"/>
        <v>-</v>
      </c>
      <c r="BE340" s="1720" t="str">
        <f t="shared" si="503"/>
        <v>-</v>
      </c>
      <c r="BF340" s="1720" t="str">
        <f t="shared" si="503"/>
        <v>-</v>
      </c>
      <c r="BG340" s="1721" t="str">
        <f t="shared" si="503"/>
        <v>-</v>
      </c>
      <c r="BH340" s="1048"/>
      <c r="BI340" s="2285" t="str">
        <f t="shared" ref="BI340:BK403" si="533">AP340</f>
        <v>Qty</v>
      </c>
      <c r="BJ340" s="2286" t="str">
        <f t="shared" si="533"/>
        <v>[Service]</v>
      </c>
      <c r="BK340" s="2287" t="str">
        <f t="shared" si="533"/>
        <v>[Price]</v>
      </c>
      <c r="BL340" s="2288" t="str">
        <f t="shared" ref="BL340:BZ340" si="534">IF(OR(X340="",X340=0),"-",IFERROR((X340/W340-1)*(W341/W$13),"-"))</f>
        <v>-</v>
      </c>
      <c r="BM340" s="1720" t="str">
        <f t="shared" si="534"/>
        <v>-</v>
      </c>
      <c r="BN340" s="1720" t="str">
        <f t="shared" si="534"/>
        <v>-</v>
      </c>
      <c r="BO340" s="2289" t="str">
        <f t="shared" si="534"/>
        <v>-</v>
      </c>
      <c r="BP340" s="1720" t="str">
        <f t="shared" si="534"/>
        <v>-</v>
      </c>
      <c r="BQ340" s="2290" t="str">
        <f t="shared" si="534"/>
        <v>-</v>
      </c>
      <c r="BR340" s="1720" t="str">
        <f t="shared" si="534"/>
        <v>-</v>
      </c>
      <c r="BS340" s="1720" t="str">
        <f t="shared" si="534"/>
        <v>-</v>
      </c>
      <c r="BT340" s="1720" t="str">
        <f t="shared" si="534"/>
        <v>-</v>
      </c>
      <c r="BU340" s="1721" t="str">
        <f t="shared" si="534"/>
        <v>-</v>
      </c>
      <c r="BV340" s="1720" t="str">
        <f t="shared" si="534"/>
        <v>-</v>
      </c>
      <c r="BW340" s="1720" t="str">
        <f t="shared" si="534"/>
        <v>-</v>
      </c>
      <c r="BX340" s="1720" t="str">
        <f t="shared" si="534"/>
        <v>-</v>
      </c>
      <c r="BY340" s="1720" t="str">
        <f t="shared" si="534"/>
        <v>-</v>
      </c>
      <c r="BZ340" s="1721" t="str">
        <f t="shared" si="534"/>
        <v>-</v>
      </c>
      <c r="CA340" s="1048"/>
    </row>
    <row r="341" spans="3:79" ht="12.5" thickBot="1" x14ac:dyDescent="0.35">
      <c r="C341" s="126"/>
      <c r="D341" s="126"/>
      <c r="E341" s="559" t="s">
        <v>47</v>
      </c>
      <c r="F341" s="2162" t="str">
        <f t="shared" ref="F341:I341" si="535">+F339</f>
        <v>[Service]</v>
      </c>
      <c r="G341" s="2165">
        <f t="shared" si="535"/>
        <v>0</v>
      </c>
      <c r="H341" s="2165">
        <f t="shared" si="535"/>
        <v>0</v>
      </c>
      <c r="I341" s="2166" t="str">
        <f t="shared" si="535"/>
        <v>[Price]</v>
      </c>
      <c r="J341" s="2106" t="s">
        <v>347</v>
      </c>
      <c r="K341" s="1977"/>
      <c r="L341" s="1206"/>
      <c r="M341" s="1206"/>
      <c r="N341" s="1978"/>
      <c r="O341" s="1206"/>
      <c r="P341" s="1206"/>
      <c r="Q341" s="1206"/>
      <c r="R341" s="1206"/>
      <c r="S341" s="1978"/>
      <c r="T341" s="1206"/>
      <c r="U341" s="1206"/>
      <c r="V341" s="1206"/>
      <c r="W341" s="1731">
        <f t="shared" ref="W341:AG341" si="536">W339*W340/10^6</f>
        <v>0</v>
      </c>
      <c r="X341" s="1730">
        <f t="shared" si="536"/>
        <v>0</v>
      </c>
      <c r="Y341" s="1731">
        <f t="shared" si="536"/>
        <v>0</v>
      </c>
      <c r="Z341" s="1731">
        <f t="shared" si="536"/>
        <v>0</v>
      </c>
      <c r="AA341" s="1731">
        <f t="shared" si="536"/>
        <v>0</v>
      </c>
      <c r="AB341" s="1733">
        <f t="shared" si="536"/>
        <v>0</v>
      </c>
      <c r="AC341" s="1731">
        <f t="shared" si="536"/>
        <v>0</v>
      </c>
      <c r="AD341" s="1731">
        <f t="shared" si="536"/>
        <v>0</v>
      </c>
      <c r="AE341" s="1731">
        <f t="shared" si="536"/>
        <v>0</v>
      </c>
      <c r="AF341" s="1731">
        <f t="shared" si="536"/>
        <v>0</v>
      </c>
      <c r="AG341" s="1733">
        <f t="shared" si="536"/>
        <v>0</v>
      </c>
      <c r="AH341" s="1731">
        <f>AH339*AH340/10^6</f>
        <v>0</v>
      </c>
      <c r="AI341" s="1731">
        <f>AI339*AI340/10^6</f>
        <v>0</v>
      </c>
      <c r="AJ341" s="1731">
        <f>AJ339*AJ340/10^6</f>
        <v>0</v>
      </c>
      <c r="AK341" s="1731">
        <f>AK339*AK340/10^6</f>
        <v>0</v>
      </c>
      <c r="AL341" s="1733">
        <f>AL339*AL340/10^6</f>
        <v>0</v>
      </c>
      <c r="AM341" s="560"/>
      <c r="AN341" s="991"/>
      <c r="AO341" s="992"/>
      <c r="AP341" s="2304" t="str">
        <f t="shared" si="505"/>
        <v>Rev</v>
      </c>
      <c r="AQ341" s="2305" t="str">
        <f t="shared" si="505"/>
        <v>[Service]</v>
      </c>
      <c r="AR341" s="2306" t="str">
        <f t="shared" si="506"/>
        <v>[Price]</v>
      </c>
      <c r="AS341" s="2307" t="str">
        <f t="shared" ref="AS341:BG357" si="537">IF(OR(X341="",X341=0),"-",IFERROR(X341/W341-1,"-"))</f>
        <v>-</v>
      </c>
      <c r="AT341" s="1055" t="str">
        <f t="shared" si="537"/>
        <v>-</v>
      </c>
      <c r="AU341" s="1055" t="str">
        <f t="shared" si="537"/>
        <v>-</v>
      </c>
      <c r="AV341" s="2308" t="str">
        <f t="shared" si="537"/>
        <v>-</v>
      </c>
      <c r="AW341" s="1055" t="str">
        <f t="shared" si="537"/>
        <v>-</v>
      </c>
      <c r="AX341" s="2309" t="str">
        <f t="shared" si="537"/>
        <v>-</v>
      </c>
      <c r="AY341" s="1055" t="str">
        <f t="shared" si="537"/>
        <v>-</v>
      </c>
      <c r="AZ341" s="1055" t="str">
        <f t="shared" si="537"/>
        <v>-</v>
      </c>
      <c r="BA341" s="1055" t="str">
        <f t="shared" si="537"/>
        <v>-</v>
      </c>
      <c r="BB341" s="1056" t="str">
        <f t="shared" si="537"/>
        <v>-</v>
      </c>
      <c r="BC341" s="1055" t="str">
        <f t="shared" si="537"/>
        <v>-</v>
      </c>
      <c r="BD341" s="1055" t="str">
        <f t="shared" si="537"/>
        <v>-</v>
      </c>
      <c r="BE341" s="1055" t="str">
        <f t="shared" si="537"/>
        <v>-</v>
      </c>
      <c r="BF341" s="1055" t="str">
        <f t="shared" si="537"/>
        <v>-</v>
      </c>
      <c r="BG341" s="1056" t="str">
        <f t="shared" si="537"/>
        <v>-</v>
      </c>
      <c r="BH341" s="1048"/>
      <c r="BI341" s="2304" t="str">
        <f t="shared" si="533"/>
        <v>Rev</v>
      </c>
      <c r="BJ341" s="2305" t="str">
        <f t="shared" si="533"/>
        <v>[Service]</v>
      </c>
      <c r="BK341" s="2306" t="str">
        <f t="shared" si="533"/>
        <v>[Price]</v>
      </c>
      <c r="BL341" s="2307" t="str">
        <f t="shared" ref="BL341:BZ341" si="538">IF(OR(X341="",X341=0),"-",IFERROR((X341/W341-1)*(W341/W$13),"-"))</f>
        <v>-</v>
      </c>
      <c r="BM341" s="1055" t="str">
        <f t="shared" si="538"/>
        <v>-</v>
      </c>
      <c r="BN341" s="1055" t="str">
        <f t="shared" si="538"/>
        <v>-</v>
      </c>
      <c r="BO341" s="2308" t="str">
        <f t="shared" si="538"/>
        <v>-</v>
      </c>
      <c r="BP341" s="1055" t="str">
        <f t="shared" si="538"/>
        <v>-</v>
      </c>
      <c r="BQ341" s="2309" t="str">
        <f t="shared" si="538"/>
        <v>-</v>
      </c>
      <c r="BR341" s="1055" t="str">
        <f t="shared" si="538"/>
        <v>-</v>
      </c>
      <c r="BS341" s="1055" t="str">
        <f t="shared" si="538"/>
        <v>-</v>
      </c>
      <c r="BT341" s="1055" t="str">
        <f t="shared" si="538"/>
        <v>-</v>
      </c>
      <c r="BU341" s="1056" t="str">
        <f t="shared" si="538"/>
        <v>-</v>
      </c>
      <c r="BV341" s="1055" t="str">
        <f t="shared" si="538"/>
        <v>-</v>
      </c>
      <c r="BW341" s="1055" t="str">
        <f t="shared" si="538"/>
        <v>-</v>
      </c>
      <c r="BX341" s="1055" t="str">
        <f t="shared" si="538"/>
        <v>-</v>
      </c>
      <c r="BY341" s="1055" t="str">
        <f t="shared" si="538"/>
        <v>-</v>
      </c>
      <c r="BZ341" s="1056" t="str">
        <f t="shared" si="538"/>
        <v>-</v>
      </c>
      <c r="CA341" s="1048"/>
    </row>
    <row r="342" spans="3:79" x14ac:dyDescent="0.3">
      <c r="C342" s="126"/>
      <c r="D342" s="126">
        <f>D339+1</f>
        <v>92</v>
      </c>
      <c r="E342" s="553" t="s">
        <v>45</v>
      </c>
      <c r="F342" s="2105" t="s">
        <v>28</v>
      </c>
      <c r="G342" s="2105"/>
      <c r="H342" s="2105"/>
      <c r="I342" s="573" t="s">
        <v>319</v>
      </c>
      <c r="J342" s="573" t="s">
        <v>348</v>
      </c>
      <c r="K342" s="1969"/>
      <c r="L342" s="1970"/>
      <c r="M342" s="1970"/>
      <c r="N342" s="1971"/>
      <c r="O342" s="1970"/>
      <c r="P342" s="1970"/>
      <c r="Q342" s="1970"/>
      <c r="R342" s="1972"/>
      <c r="S342" s="1971"/>
      <c r="T342" s="1970"/>
      <c r="U342" s="1970"/>
      <c r="V342" s="1970"/>
      <c r="W342" s="575"/>
      <c r="X342" s="1238"/>
      <c r="Y342" s="575"/>
      <c r="Z342" s="575"/>
      <c r="AA342" s="575"/>
      <c r="AB342" s="1142"/>
      <c r="AC342" s="575"/>
      <c r="AD342" s="575"/>
      <c r="AE342" s="575"/>
      <c r="AF342" s="575"/>
      <c r="AG342" s="577"/>
      <c r="AH342" s="575"/>
      <c r="AI342" s="575"/>
      <c r="AJ342" s="575"/>
      <c r="AK342" s="575"/>
      <c r="AL342" s="577"/>
      <c r="AM342" s="560"/>
      <c r="AN342" s="1052"/>
      <c r="AO342" s="992"/>
      <c r="AP342" s="2297" t="str">
        <f t="shared" si="505"/>
        <v>Price</v>
      </c>
      <c r="AQ342" s="2298" t="str">
        <f t="shared" si="505"/>
        <v>[Service]</v>
      </c>
      <c r="AR342" s="1719" t="str">
        <f t="shared" si="506"/>
        <v>[Price]</v>
      </c>
      <c r="AS342" s="2299" t="str">
        <f t="shared" si="537"/>
        <v>-</v>
      </c>
      <c r="AT342" s="1728" t="str">
        <f t="shared" si="537"/>
        <v>-</v>
      </c>
      <c r="AU342" s="1728" t="str">
        <f t="shared" si="537"/>
        <v>-</v>
      </c>
      <c r="AV342" s="2300" t="str">
        <f t="shared" si="537"/>
        <v>-</v>
      </c>
      <c r="AW342" s="1728" t="str">
        <f t="shared" si="537"/>
        <v>-</v>
      </c>
      <c r="AX342" s="2301" t="str">
        <f t="shared" si="537"/>
        <v>-</v>
      </c>
      <c r="AY342" s="1728" t="str">
        <f t="shared" si="537"/>
        <v>-</v>
      </c>
      <c r="AZ342" s="1728" t="str">
        <f t="shared" si="537"/>
        <v>-</v>
      </c>
      <c r="BA342" s="1728" t="str">
        <f t="shared" si="537"/>
        <v>-</v>
      </c>
      <c r="BB342" s="1729" t="str">
        <f t="shared" si="537"/>
        <v>-</v>
      </c>
      <c r="BC342" s="1728" t="str">
        <f t="shared" si="537"/>
        <v>-</v>
      </c>
      <c r="BD342" s="1728" t="str">
        <f t="shared" si="537"/>
        <v>-</v>
      </c>
      <c r="BE342" s="1728" t="str">
        <f t="shared" si="537"/>
        <v>-</v>
      </c>
      <c r="BF342" s="1728" t="str">
        <f t="shared" si="537"/>
        <v>-</v>
      </c>
      <c r="BG342" s="1729" t="str">
        <f t="shared" si="537"/>
        <v>-</v>
      </c>
      <c r="BH342" s="1048"/>
      <c r="BI342" s="2297" t="str">
        <f t="shared" si="533"/>
        <v>Price</v>
      </c>
      <c r="BJ342" s="2298" t="str">
        <f t="shared" si="533"/>
        <v>[Service]</v>
      </c>
      <c r="BK342" s="1719" t="str">
        <f t="shared" si="533"/>
        <v>[Price]</v>
      </c>
      <c r="BL342" s="2299" t="str">
        <f t="shared" ref="BL342:BZ342" si="539">IF(OR(X342="",X342=0),"-",IFERROR((X342/W342-1)*(W344/W$13),"-"))</f>
        <v>-</v>
      </c>
      <c r="BM342" s="1053" t="str">
        <f t="shared" si="539"/>
        <v>-</v>
      </c>
      <c r="BN342" s="1053" t="str">
        <f t="shared" si="539"/>
        <v>-</v>
      </c>
      <c r="BO342" s="2302" t="str">
        <f t="shared" si="539"/>
        <v>-</v>
      </c>
      <c r="BP342" s="1053" t="str">
        <f t="shared" si="539"/>
        <v>-</v>
      </c>
      <c r="BQ342" s="2303" t="str">
        <f t="shared" si="539"/>
        <v>-</v>
      </c>
      <c r="BR342" s="1053" t="str">
        <f t="shared" si="539"/>
        <v>-</v>
      </c>
      <c r="BS342" s="1053" t="str">
        <f t="shared" si="539"/>
        <v>-</v>
      </c>
      <c r="BT342" s="1053" t="str">
        <f t="shared" si="539"/>
        <v>-</v>
      </c>
      <c r="BU342" s="1054" t="str">
        <f t="shared" si="539"/>
        <v>-</v>
      </c>
      <c r="BV342" s="1053" t="str">
        <f t="shared" si="539"/>
        <v>-</v>
      </c>
      <c r="BW342" s="1053" t="str">
        <f t="shared" si="539"/>
        <v>-</v>
      </c>
      <c r="BX342" s="1053" t="str">
        <f t="shared" si="539"/>
        <v>-</v>
      </c>
      <c r="BY342" s="1053" t="str">
        <f t="shared" si="539"/>
        <v>-</v>
      </c>
      <c r="BZ342" s="1054" t="str">
        <f t="shared" si="539"/>
        <v>-</v>
      </c>
      <c r="CA342" s="1048"/>
    </row>
    <row r="343" spans="3:79" x14ac:dyDescent="0.3">
      <c r="C343" s="126"/>
      <c r="D343" s="126"/>
      <c r="E343" s="558" t="s">
        <v>46</v>
      </c>
      <c r="F343" s="2161" t="str">
        <f t="shared" si="532"/>
        <v>[Service]</v>
      </c>
      <c r="G343" s="2163">
        <f t="shared" si="532"/>
        <v>0</v>
      </c>
      <c r="H343" s="2163">
        <f t="shared" si="532"/>
        <v>0</v>
      </c>
      <c r="I343" s="2164" t="str">
        <f t="shared" si="532"/>
        <v>[Price]</v>
      </c>
      <c r="J343" s="574" t="s">
        <v>323</v>
      </c>
      <c r="K343" s="1973"/>
      <c r="L343" s="1974"/>
      <c r="M343" s="1974"/>
      <c r="N343" s="1975"/>
      <c r="O343" s="1974"/>
      <c r="P343" s="1974"/>
      <c r="Q343" s="1974"/>
      <c r="R343" s="1976"/>
      <c r="S343" s="1975"/>
      <c r="T343" s="1974"/>
      <c r="U343" s="1974"/>
      <c r="V343" s="1974"/>
      <c r="W343" s="578"/>
      <c r="X343" s="1239"/>
      <c r="Y343" s="578"/>
      <c r="Z343" s="578"/>
      <c r="AA343" s="578"/>
      <c r="AB343" s="1143"/>
      <c r="AC343" s="578"/>
      <c r="AD343" s="578"/>
      <c r="AE343" s="578"/>
      <c r="AF343" s="578"/>
      <c r="AG343" s="580"/>
      <c r="AH343" s="578"/>
      <c r="AI343" s="578"/>
      <c r="AJ343" s="578"/>
      <c r="AK343" s="578"/>
      <c r="AL343" s="580"/>
      <c r="AM343" s="560"/>
      <c r="AN343" s="991"/>
      <c r="AO343" s="992"/>
      <c r="AP343" s="2285" t="str">
        <f t="shared" si="505"/>
        <v>Qty</v>
      </c>
      <c r="AQ343" s="2286" t="str">
        <f t="shared" si="505"/>
        <v>[Service]</v>
      </c>
      <c r="AR343" s="2287" t="str">
        <f t="shared" si="506"/>
        <v>[Price]</v>
      </c>
      <c r="AS343" s="2288" t="str">
        <f t="shared" si="537"/>
        <v>-</v>
      </c>
      <c r="AT343" s="1720" t="str">
        <f t="shared" si="537"/>
        <v>-</v>
      </c>
      <c r="AU343" s="1720" t="str">
        <f t="shared" si="537"/>
        <v>-</v>
      </c>
      <c r="AV343" s="2289" t="str">
        <f t="shared" si="537"/>
        <v>-</v>
      </c>
      <c r="AW343" s="1720" t="str">
        <f t="shared" si="537"/>
        <v>-</v>
      </c>
      <c r="AX343" s="2290" t="str">
        <f t="shared" si="537"/>
        <v>-</v>
      </c>
      <c r="AY343" s="1720" t="str">
        <f t="shared" si="537"/>
        <v>-</v>
      </c>
      <c r="AZ343" s="1720" t="str">
        <f t="shared" si="537"/>
        <v>-</v>
      </c>
      <c r="BA343" s="1720" t="str">
        <f t="shared" si="537"/>
        <v>-</v>
      </c>
      <c r="BB343" s="1721" t="str">
        <f t="shared" si="537"/>
        <v>-</v>
      </c>
      <c r="BC343" s="1720" t="str">
        <f t="shared" si="537"/>
        <v>-</v>
      </c>
      <c r="BD343" s="1720" t="str">
        <f t="shared" si="537"/>
        <v>-</v>
      </c>
      <c r="BE343" s="1720" t="str">
        <f t="shared" si="537"/>
        <v>-</v>
      </c>
      <c r="BF343" s="1720" t="str">
        <f t="shared" si="537"/>
        <v>-</v>
      </c>
      <c r="BG343" s="1721" t="str">
        <f t="shared" si="537"/>
        <v>-</v>
      </c>
      <c r="BH343" s="1048"/>
      <c r="BI343" s="2285" t="str">
        <f t="shared" si="533"/>
        <v>Qty</v>
      </c>
      <c r="BJ343" s="2286" t="str">
        <f t="shared" si="533"/>
        <v>[Service]</v>
      </c>
      <c r="BK343" s="2287" t="str">
        <f t="shared" si="533"/>
        <v>[Price]</v>
      </c>
      <c r="BL343" s="2288" t="str">
        <f t="shared" ref="BL343:BZ343" si="540">IF(OR(X343="",X343=0),"-",IFERROR((X343/W343-1)*(W344/W$13),"-"))</f>
        <v>-</v>
      </c>
      <c r="BM343" s="1720" t="str">
        <f t="shared" si="540"/>
        <v>-</v>
      </c>
      <c r="BN343" s="1720" t="str">
        <f t="shared" si="540"/>
        <v>-</v>
      </c>
      <c r="BO343" s="2289" t="str">
        <f t="shared" si="540"/>
        <v>-</v>
      </c>
      <c r="BP343" s="1720" t="str">
        <f t="shared" si="540"/>
        <v>-</v>
      </c>
      <c r="BQ343" s="2290" t="str">
        <f t="shared" si="540"/>
        <v>-</v>
      </c>
      <c r="BR343" s="1720" t="str">
        <f t="shared" si="540"/>
        <v>-</v>
      </c>
      <c r="BS343" s="1720" t="str">
        <f t="shared" si="540"/>
        <v>-</v>
      </c>
      <c r="BT343" s="1720" t="str">
        <f t="shared" si="540"/>
        <v>-</v>
      </c>
      <c r="BU343" s="1721" t="str">
        <f t="shared" si="540"/>
        <v>-</v>
      </c>
      <c r="BV343" s="1720" t="str">
        <f t="shared" si="540"/>
        <v>-</v>
      </c>
      <c r="BW343" s="1720" t="str">
        <f t="shared" si="540"/>
        <v>-</v>
      </c>
      <c r="BX343" s="1720" t="str">
        <f t="shared" si="540"/>
        <v>-</v>
      </c>
      <c r="BY343" s="1720" t="str">
        <f t="shared" si="540"/>
        <v>-</v>
      </c>
      <c r="BZ343" s="1721" t="str">
        <f t="shared" si="540"/>
        <v>-</v>
      </c>
      <c r="CA343" s="1048"/>
    </row>
    <row r="344" spans="3:79" ht="12.5" thickBot="1" x14ac:dyDescent="0.35">
      <c r="C344" s="126"/>
      <c r="D344" s="126"/>
      <c r="E344" s="559" t="s">
        <v>47</v>
      </c>
      <c r="F344" s="2162" t="str">
        <f t="shared" ref="F344:I344" si="541">+F342</f>
        <v>[Service]</v>
      </c>
      <c r="G344" s="2165">
        <f t="shared" si="541"/>
        <v>0</v>
      </c>
      <c r="H344" s="2165">
        <f t="shared" si="541"/>
        <v>0</v>
      </c>
      <c r="I344" s="2166" t="str">
        <f t="shared" si="541"/>
        <v>[Price]</v>
      </c>
      <c r="J344" s="2106" t="s">
        <v>347</v>
      </c>
      <c r="K344" s="1977"/>
      <c r="L344" s="1206"/>
      <c r="M344" s="1206"/>
      <c r="N344" s="1978"/>
      <c r="O344" s="1206"/>
      <c r="P344" s="1206"/>
      <c r="Q344" s="1206"/>
      <c r="R344" s="1206"/>
      <c r="S344" s="1978"/>
      <c r="T344" s="1206"/>
      <c r="U344" s="1206"/>
      <c r="V344" s="1206"/>
      <c r="W344" s="1731">
        <f t="shared" ref="W344:AG344" si="542">W342*W343/10^6</f>
        <v>0</v>
      </c>
      <c r="X344" s="1730">
        <f t="shared" si="542"/>
        <v>0</v>
      </c>
      <c r="Y344" s="1731">
        <f t="shared" si="542"/>
        <v>0</v>
      </c>
      <c r="Z344" s="1731">
        <f t="shared" si="542"/>
        <v>0</v>
      </c>
      <c r="AA344" s="1731">
        <f t="shared" si="542"/>
        <v>0</v>
      </c>
      <c r="AB344" s="1733">
        <f t="shared" si="542"/>
        <v>0</v>
      </c>
      <c r="AC344" s="1731">
        <f t="shared" si="542"/>
        <v>0</v>
      </c>
      <c r="AD344" s="1731">
        <f t="shared" si="542"/>
        <v>0</v>
      </c>
      <c r="AE344" s="1731">
        <f t="shared" si="542"/>
        <v>0</v>
      </c>
      <c r="AF344" s="1731">
        <f t="shared" si="542"/>
        <v>0</v>
      </c>
      <c r="AG344" s="1733">
        <f t="shared" si="542"/>
        <v>0</v>
      </c>
      <c r="AH344" s="1731">
        <f>AH342*AH343/10^6</f>
        <v>0</v>
      </c>
      <c r="AI344" s="1731">
        <f>AI342*AI343/10^6</f>
        <v>0</v>
      </c>
      <c r="AJ344" s="1731">
        <f>AJ342*AJ343/10^6</f>
        <v>0</v>
      </c>
      <c r="AK344" s="1731">
        <f>AK342*AK343/10^6</f>
        <v>0</v>
      </c>
      <c r="AL344" s="1733">
        <f>AL342*AL343/10^6</f>
        <v>0</v>
      </c>
      <c r="AM344" s="560"/>
      <c r="AN344" s="991"/>
      <c r="AO344" s="992"/>
      <c r="AP344" s="2304" t="str">
        <f t="shared" si="505"/>
        <v>Rev</v>
      </c>
      <c r="AQ344" s="2305" t="str">
        <f t="shared" si="505"/>
        <v>[Service]</v>
      </c>
      <c r="AR344" s="2306" t="str">
        <f t="shared" si="506"/>
        <v>[Price]</v>
      </c>
      <c r="AS344" s="2307" t="str">
        <f t="shared" si="537"/>
        <v>-</v>
      </c>
      <c r="AT344" s="1055" t="str">
        <f t="shared" si="537"/>
        <v>-</v>
      </c>
      <c r="AU344" s="1055" t="str">
        <f t="shared" si="537"/>
        <v>-</v>
      </c>
      <c r="AV344" s="2308" t="str">
        <f t="shared" si="537"/>
        <v>-</v>
      </c>
      <c r="AW344" s="1055" t="str">
        <f t="shared" si="537"/>
        <v>-</v>
      </c>
      <c r="AX344" s="2309" t="str">
        <f t="shared" si="537"/>
        <v>-</v>
      </c>
      <c r="AY344" s="1055" t="str">
        <f t="shared" si="537"/>
        <v>-</v>
      </c>
      <c r="AZ344" s="1055" t="str">
        <f t="shared" si="537"/>
        <v>-</v>
      </c>
      <c r="BA344" s="1055" t="str">
        <f t="shared" si="537"/>
        <v>-</v>
      </c>
      <c r="BB344" s="1056" t="str">
        <f t="shared" si="537"/>
        <v>-</v>
      </c>
      <c r="BC344" s="1055" t="str">
        <f t="shared" si="537"/>
        <v>-</v>
      </c>
      <c r="BD344" s="1055" t="str">
        <f t="shared" si="537"/>
        <v>-</v>
      </c>
      <c r="BE344" s="1055" t="str">
        <f t="shared" si="537"/>
        <v>-</v>
      </c>
      <c r="BF344" s="1055" t="str">
        <f t="shared" si="537"/>
        <v>-</v>
      </c>
      <c r="BG344" s="1056" t="str">
        <f t="shared" si="537"/>
        <v>-</v>
      </c>
      <c r="BH344" s="1048"/>
      <c r="BI344" s="2304" t="str">
        <f t="shared" si="533"/>
        <v>Rev</v>
      </c>
      <c r="BJ344" s="2305" t="str">
        <f t="shared" si="533"/>
        <v>[Service]</v>
      </c>
      <c r="BK344" s="2306" t="str">
        <f t="shared" si="533"/>
        <v>[Price]</v>
      </c>
      <c r="BL344" s="2307" t="str">
        <f t="shared" ref="BL344:BZ344" si="543">IF(OR(X344="",X344=0),"-",IFERROR((X344/W344-1)*(W344/W$13),"-"))</f>
        <v>-</v>
      </c>
      <c r="BM344" s="1055" t="str">
        <f t="shared" si="543"/>
        <v>-</v>
      </c>
      <c r="BN344" s="1055" t="str">
        <f t="shared" si="543"/>
        <v>-</v>
      </c>
      <c r="BO344" s="2308" t="str">
        <f t="shared" si="543"/>
        <v>-</v>
      </c>
      <c r="BP344" s="1055" t="str">
        <f t="shared" si="543"/>
        <v>-</v>
      </c>
      <c r="BQ344" s="2309" t="str">
        <f t="shared" si="543"/>
        <v>-</v>
      </c>
      <c r="BR344" s="1055" t="str">
        <f t="shared" si="543"/>
        <v>-</v>
      </c>
      <c r="BS344" s="1055" t="str">
        <f t="shared" si="543"/>
        <v>-</v>
      </c>
      <c r="BT344" s="1055" t="str">
        <f t="shared" si="543"/>
        <v>-</v>
      </c>
      <c r="BU344" s="1056" t="str">
        <f t="shared" si="543"/>
        <v>-</v>
      </c>
      <c r="BV344" s="1055" t="str">
        <f t="shared" si="543"/>
        <v>-</v>
      </c>
      <c r="BW344" s="1055" t="str">
        <f t="shared" si="543"/>
        <v>-</v>
      </c>
      <c r="BX344" s="1055" t="str">
        <f t="shared" si="543"/>
        <v>-</v>
      </c>
      <c r="BY344" s="1055" t="str">
        <f t="shared" si="543"/>
        <v>-</v>
      </c>
      <c r="BZ344" s="1056" t="str">
        <f t="shared" si="543"/>
        <v>-</v>
      </c>
      <c r="CA344" s="1048"/>
    </row>
    <row r="345" spans="3:79" x14ac:dyDescent="0.3">
      <c r="C345" s="126"/>
      <c r="D345" s="126">
        <f>D342+1</f>
        <v>93</v>
      </c>
      <c r="E345" s="553" t="s">
        <v>45</v>
      </c>
      <c r="F345" s="2105" t="s">
        <v>28</v>
      </c>
      <c r="G345" s="2105"/>
      <c r="H345" s="2105"/>
      <c r="I345" s="573" t="s">
        <v>319</v>
      </c>
      <c r="J345" s="573" t="s">
        <v>348</v>
      </c>
      <c r="K345" s="1969"/>
      <c r="L345" s="1970"/>
      <c r="M345" s="1970"/>
      <c r="N345" s="1971"/>
      <c r="O345" s="1970"/>
      <c r="P345" s="1970"/>
      <c r="Q345" s="1970"/>
      <c r="R345" s="1972"/>
      <c r="S345" s="1971"/>
      <c r="T345" s="1970"/>
      <c r="U345" s="1970"/>
      <c r="V345" s="1970"/>
      <c r="W345" s="575"/>
      <c r="X345" s="1238"/>
      <c r="Y345" s="575"/>
      <c r="Z345" s="575"/>
      <c r="AA345" s="575"/>
      <c r="AB345" s="1142"/>
      <c r="AC345" s="575"/>
      <c r="AD345" s="575"/>
      <c r="AE345" s="575"/>
      <c r="AF345" s="575"/>
      <c r="AG345" s="577"/>
      <c r="AH345" s="575"/>
      <c r="AI345" s="575"/>
      <c r="AJ345" s="575"/>
      <c r="AK345" s="575"/>
      <c r="AL345" s="577"/>
      <c r="AM345" s="560"/>
      <c r="AN345" s="1052"/>
      <c r="AO345" s="992"/>
      <c r="AP345" s="2297" t="str">
        <f t="shared" si="505"/>
        <v>Price</v>
      </c>
      <c r="AQ345" s="2298" t="str">
        <f t="shared" si="505"/>
        <v>[Service]</v>
      </c>
      <c r="AR345" s="1719" t="str">
        <f t="shared" si="506"/>
        <v>[Price]</v>
      </c>
      <c r="AS345" s="2299" t="str">
        <f t="shared" si="537"/>
        <v>-</v>
      </c>
      <c r="AT345" s="1728" t="str">
        <f t="shared" si="537"/>
        <v>-</v>
      </c>
      <c r="AU345" s="1728" t="str">
        <f t="shared" si="537"/>
        <v>-</v>
      </c>
      <c r="AV345" s="2300" t="str">
        <f t="shared" si="537"/>
        <v>-</v>
      </c>
      <c r="AW345" s="1728" t="str">
        <f t="shared" si="537"/>
        <v>-</v>
      </c>
      <c r="AX345" s="2301" t="str">
        <f t="shared" si="537"/>
        <v>-</v>
      </c>
      <c r="AY345" s="1728" t="str">
        <f t="shared" si="537"/>
        <v>-</v>
      </c>
      <c r="AZ345" s="1728" t="str">
        <f t="shared" si="537"/>
        <v>-</v>
      </c>
      <c r="BA345" s="1728" t="str">
        <f t="shared" si="537"/>
        <v>-</v>
      </c>
      <c r="BB345" s="1729" t="str">
        <f t="shared" si="537"/>
        <v>-</v>
      </c>
      <c r="BC345" s="1728" t="str">
        <f t="shared" si="537"/>
        <v>-</v>
      </c>
      <c r="BD345" s="1728" t="str">
        <f t="shared" si="537"/>
        <v>-</v>
      </c>
      <c r="BE345" s="1728" t="str">
        <f t="shared" si="537"/>
        <v>-</v>
      </c>
      <c r="BF345" s="1728" t="str">
        <f t="shared" si="537"/>
        <v>-</v>
      </c>
      <c r="BG345" s="1729" t="str">
        <f t="shared" si="537"/>
        <v>-</v>
      </c>
      <c r="BH345" s="1048"/>
      <c r="BI345" s="2297" t="str">
        <f t="shared" si="533"/>
        <v>Price</v>
      </c>
      <c r="BJ345" s="2298" t="str">
        <f t="shared" si="533"/>
        <v>[Service]</v>
      </c>
      <c r="BK345" s="1719" t="str">
        <f t="shared" si="533"/>
        <v>[Price]</v>
      </c>
      <c r="BL345" s="2299" t="str">
        <f t="shared" ref="BL345:BZ345" si="544">IF(OR(X345="",X345=0),"-",IFERROR((X345/W345-1)*(W347/W$13),"-"))</f>
        <v>-</v>
      </c>
      <c r="BM345" s="1053" t="str">
        <f t="shared" si="544"/>
        <v>-</v>
      </c>
      <c r="BN345" s="1053" t="str">
        <f t="shared" si="544"/>
        <v>-</v>
      </c>
      <c r="BO345" s="2302" t="str">
        <f t="shared" si="544"/>
        <v>-</v>
      </c>
      <c r="BP345" s="1053" t="str">
        <f t="shared" si="544"/>
        <v>-</v>
      </c>
      <c r="BQ345" s="2303" t="str">
        <f t="shared" si="544"/>
        <v>-</v>
      </c>
      <c r="BR345" s="1053" t="str">
        <f t="shared" si="544"/>
        <v>-</v>
      </c>
      <c r="BS345" s="1053" t="str">
        <f t="shared" si="544"/>
        <v>-</v>
      </c>
      <c r="BT345" s="1053" t="str">
        <f t="shared" si="544"/>
        <v>-</v>
      </c>
      <c r="BU345" s="1054" t="str">
        <f t="shared" si="544"/>
        <v>-</v>
      </c>
      <c r="BV345" s="1053" t="str">
        <f t="shared" si="544"/>
        <v>-</v>
      </c>
      <c r="BW345" s="1053" t="str">
        <f t="shared" si="544"/>
        <v>-</v>
      </c>
      <c r="BX345" s="1053" t="str">
        <f t="shared" si="544"/>
        <v>-</v>
      </c>
      <c r="BY345" s="1053" t="str">
        <f t="shared" si="544"/>
        <v>-</v>
      </c>
      <c r="BZ345" s="1054" t="str">
        <f t="shared" si="544"/>
        <v>-</v>
      </c>
      <c r="CA345" s="1048"/>
    </row>
    <row r="346" spans="3:79" x14ac:dyDescent="0.3">
      <c r="C346" s="126"/>
      <c r="D346" s="126"/>
      <c r="E346" s="558" t="s">
        <v>46</v>
      </c>
      <c r="F346" s="2161" t="str">
        <f t="shared" si="532"/>
        <v>[Service]</v>
      </c>
      <c r="G346" s="2163">
        <f t="shared" si="532"/>
        <v>0</v>
      </c>
      <c r="H346" s="2163">
        <f t="shared" si="532"/>
        <v>0</v>
      </c>
      <c r="I346" s="2164" t="str">
        <f t="shared" si="532"/>
        <v>[Price]</v>
      </c>
      <c r="J346" s="574" t="s">
        <v>323</v>
      </c>
      <c r="K346" s="1973"/>
      <c r="L346" s="1974"/>
      <c r="M346" s="1974"/>
      <c r="N346" s="1975"/>
      <c r="O346" s="1974"/>
      <c r="P346" s="1974"/>
      <c r="Q346" s="1974"/>
      <c r="R346" s="1976"/>
      <c r="S346" s="1975"/>
      <c r="T346" s="1974"/>
      <c r="U346" s="1974"/>
      <c r="V346" s="1974"/>
      <c r="W346" s="578"/>
      <c r="X346" s="1239"/>
      <c r="Y346" s="578"/>
      <c r="Z346" s="578"/>
      <c r="AA346" s="578"/>
      <c r="AB346" s="1143"/>
      <c r="AC346" s="578"/>
      <c r="AD346" s="578"/>
      <c r="AE346" s="578"/>
      <c r="AF346" s="578"/>
      <c r="AG346" s="580"/>
      <c r="AH346" s="578"/>
      <c r="AI346" s="578"/>
      <c r="AJ346" s="578"/>
      <c r="AK346" s="578"/>
      <c r="AL346" s="580"/>
      <c r="AM346" s="560"/>
      <c r="AN346" s="991"/>
      <c r="AO346" s="992"/>
      <c r="AP346" s="2285" t="str">
        <f t="shared" si="505"/>
        <v>Qty</v>
      </c>
      <c r="AQ346" s="2286" t="str">
        <f t="shared" si="505"/>
        <v>[Service]</v>
      </c>
      <c r="AR346" s="2287" t="str">
        <f t="shared" si="506"/>
        <v>[Price]</v>
      </c>
      <c r="AS346" s="2288" t="str">
        <f t="shared" si="537"/>
        <v>-</v>
      </c>
      <c r="AT346" s="1720" t="str">
        <f t="shared" si="537"/>
        <v>-</v>
      </c>
      <c r="AU346" s="1720" t="str">
        <f t="shared" si="537"/>
        <v>-</v>
      </c>
      <c r="AV346" s="2289" t="str">
        <f t="shared" si="537"/>
        <v>-</v>
      </c>
      <c r="AW346" s="1720" t="str">
        <f t="shared" si="537"/>
        <v>-</v>
      </c>
      <c r="AX346" s="2290" t="str">
        <f t="shared" si="537"/>
        <v>-</v>
      </c>
      <c r="AY346" s="1720" t="str">
        <f t="shared" si="537"/>
        <v>-</v>
      </c>
      <c r="AZ346" s="1720" t="str">
        <f t="shared" si="537"/>
        <v>-</v>
      </c>
      <c r="BA346" s="1720" t="str">
        <f t="shared" si="537"/>
        <v>-</v>
      </c>
      <c r="BB346" s="1721" t="str">
        <f t="shared" si="537"/>
        <v>-</v>
      </c>
      <c r="BC346" s="1720" t="str">
        <f t="shared" si="537"/>
        <v>-</v>
      </c>
      <c r="BD346" s="1720" t="str">
        <f t="shared" si="537"/>
        <v>-</v>
      </c>
      <c r="BE346" s="1720" t="str">
        <f t="shared" si="537"/>
        <v>-</v>
      </c>
      <c r="BF346" s="1720" t="str">
        <f t="shared" si="537"/>
        <v>-</v>
      </c>
      <c r="BG346" s="1721" t="str">
        <f t="shared" si="537"/>
        <v>-</v>
      </c>
      <c r="BH346" s="1048"/>
      <c r="BI346" s="2285" t="str">
        <f t="shared" si="533"/>
        <v>Qty</v>
      </c>
      <c r="BJ346" s="2286" t="str">
        <f t="shared" si="533"/>
        <v>[Service]</v>
      </c>
      <c r="BK346" s="2287" t="str">
        <f t="shared" si="533"/>
        <v>[Price]</v>
      </c>
      <c r="BL346" s="2288" t="str">
        <f t="shared" ref="BL346:BZ346" si="545">IF(OR(X346="",X346=0),"-",IFERROR((X346/W346-1)*(W347/W$13),"-"))</f>
        <v>-</v>
      </c>
      <c r="BM346" s="1720" t="str">
        <f t="shared" si="545"/>
        <v>-</v>
      </c>
      <c r="BN346" s="1720" t="str">
        <f t="shared" si="545"/>
        <v>-</v>
      </c>
      <c r="BO346" s="2289" t="str">
        <f t="shared" si="545"/>
        <v>-</v>
      </c>
      <c r="BP346" s="1720" t="str">
        <f t="shared" si="545"/>
        <v>-</v>
      </c>
      <c r="BQ346" s="2290" t="str">
        <f t="shared" si="545"/>
        <v>-</v>
      </c>
      <c r="BR346" s="1720" t="str">
        <f t="shared" si="545"/>
        <v>-</v>
      </c>
      <c r="BS346" s="1720" t="str">
        <f t="shared" si="545"/>
        <v>-</v>
      </c>
      <c r="BT346" s="1720" t="str">
        <f t="shared" si="545"/>
        <v>-</v>
      </c>
      <c r="BU346" s="1721" t="str">
        <f t="shared" si="545"/>
        <v>-</v>
      </c>
      <c r="BV346" s="1720" t="str">
        <f t="shared" si="545"/>
        <v>-</v>
      </c>
      <c r="BW346" s="1720" t="str">
        <f t="shared" si="545"/>
        <v>-</v>
      </c>
      <c r="BX346" s="1720" t="str">
        <f t="shared" si="545"/>
        <v>-</v>
      </c>
      <c r="BY346" s="1720" t="str">
        <f t="shared" si="545"/>
        <v>-</v>
      </c>
      <c r="BZ346" s="1721" t="str">
        <f t="shared" si="545"/>
        <v>-</v>
      </c>
      <c r="CA346" s="1048"/>
    </row>
    <row r="347" spans="3:79" ht="12.5" thickBot="1" x14ac:dyDescent="0.35">
      <c r="C347" s="126"/>
      <c r="D347" s="126"/>
      <c r="E347" s="559" t="s">
        <v>47</v>
      </c>
      <c r="F347" s="2162" t="str">
        <f t="shared" ref="F347:I347" si="546">+F345</f>
        <v>[Service]</v>
      </c>
      <c r="G347" s="2165">
        <f t="shared" si="546"/>
        <v>0</v>
      </c>
      <c r="H347" s="2165">
        <f t="shared" si="546"/>
        <v>0</v>
      </c>
      <c r="I347" s="2166" t="str">
        <f t="shared" si="546"/>
        <v>[Price]</v>
      </c>
      <c r="J347" s="2106" t="s">
        <v>347</v>
      </c>
      <c r="K347" s="1977"/>
      <c r="L347" s="1206"/>
      <c r="M347" s="1206"/>
      <c r="N347" s="1978"/>
      <c r="O347" s="1206"/>
      <c r="P347" s="1206"/>
      <c r="Q347" s="1206"/>
      <c r="R347" s="1206"/>
      <c r="S347" s="1978"/>
      <c r="T347" s="1206"/>
      <c r="U347" s="1206"/>
      <c r="V347" s="1206"/>
      <c r="W347" s="1731">
        <f t="shared" ref="W347:AG347" si="547">W345*W346/10^6</f>
        <v>0</v>
      </c>
      <c r="X347" s="1730">
        <f t="shared" si="547"/>
        <v>0</v>
      </c>
      <c r="Y347" s="1731">
        <f t="shared" si="547"/>
        <v>0</v>
      </c>
      <c r="Z347" s="1731">
        <f t="shared" si="547"/>
        <v>0</v>
      </c>
      <c r="AA347" s="1731">
        <f t="shared" si="547"/>
        <v>0</v>
      </c>
      <c r="AB347" s="1733">
        <f t="shared" si="547"/>
        <v>0</v>
      </c>
      <c r="AC347" s="1731">
        <f t="shared" si="547"/>
        <v>0</v>
      </c>
      <c r="AD347" s="1731">
        <f t="shared" si="547"/>
        <v>0</v>
      </c>
      <c r="AE347" s="1731">
        <f t="shared" si="547"/>
        <v>0</v>
      </c>
      <c r="AF347" s="1731">
        <f t="shared" si="547"/>
        <v>0</v>
      </c>
      <c r="AG347" s="1733">
        <f t="shared" si="547"/>
        <v>0</v>
      </c>
      <c r="AH347" s="1731">
        <f>AH345*AH346/10^6</f>
        <v>0</v>
      </c>
      <c r="AI347" s="1731">
        <f>AI345*AI346/10^6</f>
        <v>0</v>
      </c>
      <c r="AJ347" s="1731">
        <f>AJ345*AJ346/10^6</f>
        <v>0</v>
      </c>
      <c r="AK347" s="1731">
        <f>AK345*AK346/10^6</f>
        <v>0</v>
      </c>
      <c r="AL347" s="1733">
        <f>AL345*AL346/10^6</f>
        <v>0</v>
      </c>
      <c r="AM347" s="560"/>
      <c r="AN347" s="991"/>
      <c r="AO347" s="992"/>
      <c r="AP347" s="2304" t="str">
        <f t="shared" si="505"/>
        <v>Rev</v>
      </c>
      <c r="AQ347" s="2305" t="str">
        <f t="shared" si="505"/>
        <v>[Service]</v>
      </c>
      <c r="AR347" s="2306" t="str">
        <f t="shared" si="506"/>
        <v>[Price]</v>
      </c>
      <c r="AS347" s="2307" t="str">
        <f t="shared" si="537"/>
        <v>-</v>
      </c>
      <c r="AT347" s="1055" t="str">
        <f t="shared" si="537"/>
        <v>-</v>
      </c>
      <c r="AU347" s="1055" t="str">
        <f t="shared" si="537"/>
        <v>-</v>
      </c>
      <c r="AV347" s="2308" t="str">
        <f t="shared" si="537"/>
        <v>-</v>
      </c>
      <c r="AW347" s="1055" t="str">
        <f t="shared" si="537"/>
        <v>-</v>
      </c>
      <c r="AX347" s="2309" t="str">
        <f t="shared" si="537"/>
        <v>-</v>
      </c>
      <c r="AY347" s="1055" t="str">
        <f t="shared" si="537"/>
        <v>-</v>
      </c>
      <c r="AZ347" s="1055" t="str">
        <f t="shared" si="537"/>
        <v>-</v>
      </c>
      <c r="BA347" s="1055" t="str">
        <f t="shared" si="537"/>
        <v>-</v>
      </c>
      <c r="BB347" s="1056" t="str">
        <f t="shared" si="537"/>
        <v>-</v>
      </c>
      <c r="BC347" s="1055" t="str">
        <f t="shared" si="537"/>
        <v>-</v>
      </c>
      <c r="BD347" s="1055" t="str">
        <f t="shared" si="537"/>
        <v>-</v>
      </c>
      <c r="BE347" s="1055" t="str">
        <f t="shared" si="537"/>
        <v>-</v>
      </c>
      <c r="BF347" s="1055" t="str">
        <f t="shared" si="537"/>
        <v>-</v>
      </c>
      <c r="BG347" s="1056" t="str">
        <f t="shared" si="537"/>
        <v>-</v>
      </c>
      <c r="BH347" s="1048"/>
      <c r="BI347" s="2304" t="str">
        <f t="shared" si="533"/>
        <v>Rev</v>
      </c>
      <c r="BJ347" s="2305" t="str">
        <f t="shared" si="533"/>
        <v>[Service]</v>
      </c>
      <c r="BK347" s="2306" t="str">
        <f t="shared" si="533"/>
        <v>[Price]</v>
      </c>
      <c r="BL347" s="2307" t="str">
        <f t="shared" ref="BL347:BZ347" si="548">IF(OR(X347="",X347=0),"-",IFERROR((X347/W347-1)*(W347/W$13),"-"))</f>
        <v>-</v>
      </c>
      <c r="BM347" s="1055" t="str">
        <f t="shared" si="548"/>
        <v>-</v>
      </c>
      <c r="BN347" s="1055" t="str">
        <f t="shared" si="548"/>
        <v>-</v>
      </c>
      <c r="BO347" s="2308" t="str">
        <f t="shared" si="548"/>
        <v>-</v>
      </c>
      <c r="BP347" s="1055" t="str">
        <f t="shared" si="548"/>
        <v>-</v>
      </c>
      <c r="BQ347" s="2309" t="str">
        <f t="shared" si="548"/>
        <v>-</v>
      </c>
      <c r="BR347" s="1055" t="str">
        <f t="shared" si="548"/>
        <v>-</v>
      </c>
      <c r="BS347" s="1055" t="str">
        <f t="shared" si="548"/>
        <v>-</v>
      </c>
      <c r="BT347" s="1055" t="str">
        <f t="shared" si="548"/>
        <v>-</v>
      </c>
      <c r="BU347" s="1056" t="str">
        <f t="shared" si="548"/>
        <v>-</v>
      </c>
      <c r="BV347" s="1055" t="str">
        <f t="shared" si="548"/>
        <v>-</v>
      </c>
      <c r="BW347" s="1055" t="str">
        <f t="shared" si="548"/>
        <v>-</v>
      </c>
      <c r="BX347" s="1055" t="str">
        <f t="shared" si="548"/>
        <v>-</v>
      </c>
      <c r="BY347" s="1055" t="str">
        <f t="shared" si="548"/>
        <v>-</v>
      </c>
      <c r="BZ347" s="1056" t="str">
        <f t="shared" si="548"/>
        <v>-</v>
      </c>
      <c r="CA347" s="1048"/>
    </row>
    <row r="348" spans="3:79" x14ac:dyDescent="0.3">
      <c r="C348" s="126"/>
      <c r="D348" s="126">
        <f>D345+1</f>
        <v>94</v>
      </c>
      <c r="E348" s="553" t="s">
        <v>45</v>
      </c>
      <c r="F348" s="2105" t="s">
        <v>28</v>
      </c>
      <c r="G348" s="2105"/>
      <c r="H348" s="2105"/>
      <c r="I348" s="573" t="s">
        <v>319</v>
      </c>
      <c r="J348" s="573" t="s">
        <v>348</v>
      </c>
      <c r="K348" s="1969"/>
      <c r="L348" s="1970"/>
      <c r="M348" s="1970"/>
      <c r="N348" s="1971"/>
      <c r="O348" s="1970"/>
      <c r="P348" s="1970"/>
      <c r="Q348" s="1970"/>
      <c r="R348" s="1972"/>
      <c r="S348" s="1971"/>
      <c r="T348" s="1970"/>
      <c r="U348" s="1970"/>
      <c r="V348" s="1970"/>
      <c r="W348" s="575"/>
      <c r="X348" s="1238"/>
      <c r="Y348" s="575"/>
      <c r="Z348" s="575"/>
      <c r="AA348" s="575"/>
      <c r="AB348" s="1142"/>
      <c r="AC348" s="575"/>
      <c r="AD348" s="575"/>
      <c r="AE348" s="575"/>
      <c r="AF348" s="575"/>
      <c r="AG348" s="577"/>
      <c r="AH348" s="575"/>
      <c r="AI348" s="575"/>
      <c r="AJ348" s="575"/>
      <c r="AK348" s="575"/>
      <c r="AL348" s="577"/>
      <c r="AM348" s="560"/>
      <c r="AN348" s="1052"/>
      <c r="AO348" s="992"/>
      <c r="AP348" s="2297" t="str">
        <f t="shared" si="505"/>
        <v>Price</v>
      </c>
      <c r="AQ348" s="2298" t="str">
        <f t="shared" si="505"/>
        <v>[Service]</v>
      </c>
      <c r="AR348" s="1719" t="str">
        <f t="shared" si="506"/>
        <v>[Price]</v>
      </c>
      <c r="AS348" s="2299" t="str">
        <f t="shared" si="537"/>
        <v>-</v>
      </c>
      <c r="AT348" s="1728" t="str">
        <f t="shared" si="537"/>
        <v>-</v>
      </c>
      <c r="AU348" s="1728" t="str">
        <f t="shared" si="537"/>
        <v>-</v>
      </c>
      <c r="AV348" s="2300" t="str">
        <f t="shared" si="537"/>
        <v>-</v>
      </c>
      <c r="AW348" s="1728" t="str">
        <f t="shared" si="537"/>
        <v>-</v>
      </c>
      <c r="AX348" s="2301" t="str">
        <f t="shared" si="537"/>
        <v>-</v>
      </c>
      <c r="AY348" s="1728" t="str">
        <f t="shared" si="537"/>
        <v>-</v>
      </c>
      <c r="AZ348" s="1728" t="str">
        <f t="shared" si="537"/>
        <v>-</v>
      </c>
      <c r="BA348" s="1728" t="str">
        <f t="shared" si="537"/>
        <v>-</v>
      </c>
      <c r="BB348" s="1729" t="str">
        <f t="shared" si="537"/>
        <v>-</v>
      </c>
      <c r="BC348" s="1728" t="str">
        <f t="shared" si="537"/>
        <v>-</v>
      </c>
      <c r="BD348" s="1728" t="str">
        <f t="shared" si="537"/>
        <v>-</v>
      </c>
      <c r="BE348" s="1728" t="str">
        <f t="shared" si="537"/>
        <v>-</v>
      </c>
      <c r="BF348" s="1728" t="str">
        <f t="shared" si="537"/>
        <v>-</v>
      </c>
      <c r="BG348" s="1729" t="str">
        <f t="shared" si="537"/>
        <v>-</v>
      </c>
      <c r="BH348" s="1048"/>
      <c r="BI348" s="2297" t="str">
        <f t="shared" si="533"/>
        <v>Price</v>
      </c>
      <c r="BJ348" s="2298" t="str">
        <f t="shared" si="533"/>
        <v>[Service]</v>
      </c>
      <c r="BK348" s="1719" t="str">
        <f t="shared" si="533"/>
        <v>[Price]</v>
      </c>
      <c r="BL348" s="2299" t="str">
        <f t="shared" ref="BL348:BZ348" si="549">IF(OR(X348="",X348=0),"-",IFERROR((X348/W348-1)*(W350/W$13),"-"))</f>
        <v>-</v>
      </c>
      <c r="BM348" s="1053" t="str">
        <f t="shared" si="549"/>
        <v>-</v>
      </c>
      <c r="BN348" s="1053" t="str">
        <f t="shared" si="549"/>
        <v>-</v>
      </c>
      <c r="BO348" s="2302" t="str">
        <f t="shared" si="549"/>
        <v>-</v>
      </c>
      <c r="BP348" s="1053" t="str">
        <f t="shared" si="549"/>
        <v>-</v>
      </c>
      <c r="BQ348" s="2303" t="str">
        <f t="shared" si="549"/>
        <v>-</v>
      </c>
      <c r="BR348" s="1053" t="str">
        <f t="shared" si="549"/>
        <v>-</v>
      </c>
      <c r="BS348" s="1053" t="str">
        <f t="shared" si="549"/>
        <v>-</v>
      </c>
      <c r="BT348" s="1053" t="str">
        <f t="shared" si="549"/>
        <v>-</v>
      </c>
      <c r="BU348" s="1054" t="str">
        <f t="shared" si="549"/>
        <v>-</v>
      </c>
      <c r="BV348" s="1053" t="str">
        <f t="shared" si="549"/>
        <v>-</v>
      </c>
      <c r="BW348" s="1053" t="str">
        <f t="shared" si="549"/>
        <v>-</v>
      </c>
      <c r="BX348" s="1053" t="str">
        <f t="shared" si="549"/>
        <v>-</v>
      </c>
      <c r="BY348" s="1053" t="str">
        <f t="shared" si="549"/>
        <v>-</v>
      </c>
      <c r="BZ348" s="1054" t="str">
        <f t="shared" si="549"/>
        <v>-</v>
      </c>
      <c r="CA348" s="1048"/>
    </row>
    <row r="349" spans="3:79" x14ac:dyDescent="0.3">
      <c r="C349" s="126"/>
      <c r="D349" s="126"/>
      <c r="E349" s="558" t="s">
        <v>46</v>
      </c>
      <c r="F349" s="2161" t="str">
        <f t="shared" si="532"/>
        <v>[Service]</v>
      </c>
      <c r="G349" s="2163">
        <f t="shared" si="532"/>
        <v>0</v>
      </c>
      <c r="H349" s="2163">
        <f t="shared" si="532"/>
        <v>0</v>
      </c>
      <c r="I349" s="2164" t="str">
        <f t="shared" si="532"/>
        <v>[Price]</v>
      </c>
      <c r="J349" s="574" t="s">
        <v>323</v>
      </c>
      <c r="K349" s="1973"/>
      <c r="L349" s="1974"/>
      <c r="M349" s="1974"/>
      <c r="N349" s="1975"/>
      <c r="O349" s="1974"/>
      <c r="P349" s="1974"/>
      <c r="Q349" s="1974"/>
      <c r="R349" s="1976"/>
      <c r="S349" s="1975"/>
      <c r="T349" s="1974"/>
      <c r="U349" s="1974"/>
      <c r="V349" s="1974"/>
      <c r="W349" s="578"/>
      <c r="X349" s="1239"/>
      <c r="Y349" s="578"/>
      <c r="Z349" s="578"/>
      <c r="AA349" s="578"/>
      <c r="AB349" s="1143"/>
      <c r="AC349" s="578"/>
      <c r="AD349" s="578"/>
      <c r="AE349" s="578"/>
      <c r="AF349" s="578"/>
      <c r="AG349" s="580"/>
      <c r="AH349" s="578"/>
      <c r="AI349" s="578"/>
      <c r="AJ349" s="578"/>
      <c r="AK349" s="578"/>
      <c r="AL349" s="580"/>
      <c r="AM349" s="560"/>
      <c r="AN349" s="991"/>
      <c r="AO349" s="992"/>
      <c r="AP349" s="2285" t="str">
        <f t="shared" si="505"/>
        <v>Qty</v>
      </c>
      <c r="AQ349" s="2286" t="str">
        <f t="shared" si="505"/>
        <v>[Service]</v>
      </c>
      <c r="AR349" s="2287" t="str">
        <f t="shared" si="506"/>
        <v>[Price]</v>
      </c>
      <c r="AS349" s="2288" t="str">
        <f t="shared" si="537"/>
        <v>-</v>
      </c>
      <c r="AT349" s="1720" t="str">
        <f t="shared" si="537"/>
        <v>-</v>
      </c>
      <c r="AU349" s="1720" t="str">
        <f t="shared" si="537"/>
        <v>-</v>
      </c>
      <c r="AV349" s="2289" t="str">
        <f t="shared" si="537"/>
        <v>-</v>
      </c>
      <c r="AW349" s="1720" t="str">
        <f t="shared" si="537"/>
        <v>-</v>
      </c>
      <c r="AX349" s="2290" t="str">
        <f t="shared" si="537"/>
        <v>-</v>
      </c>
      <c r="AY349" s="1720" t="str">
        <f t="shared" si="537"/>
        <v>-</v>
      </c>
      <c r="AZ349" s="1720" t="str">
        <f t="shared" si="537"/>
        <v>-</v>
      </c>
      <c r="BA349" s="1720" t="str">
        <f t="shared" si="537"/>
        <v>-</v>
      </c>
      <c r="BB349" s="1721" t="str">
        <f t="shared" si="537"/>
        <v>-</v>
      </c>
      <c r="BC349" s="1720" t="str">
        <f t="shared" si="537"/>
        <v>-</v>
      </c>
      <c r="BD349" s="1720" t="str">
        <f t="shared" si="537"/>
        <v>-</v>
      </c>
      <c r="BE349" s="1720" t="str">
        <f t="shared" si="537"/>
        <v>-</v>
      </c>
      <c r="BF349" s="1720" t="str">
        <f t="shared" si="537"/>
        <v>-</v>
      </c>
      <c r="BG349" s="1721" t="str">
        <f t="shared" si="537"/>
        <v>-</v>
      </c>
      <c r="BH349" s="1048"/>
      <c r="BI349" s="2285" t="str">
        <f t="shared" si="533"/>
        <v>Qty</v>
      </c>
      <c r="BJ349" s="2286" t="str">
        <f t="shared" si="533"/>
        <v>[Service]</v>
      </c>
      <c r="BK349" s="2287" t="str">
        <f t="shared" si="533"/>
        <v>[Price]</v>
      </c>
      <c r="BL349" s="2288" t="str">
        <f t="shared" ref="BL349:BZ349" si="550">IF(OR(X349="",X349=0),"-",IFERROR((X349/W349-1)*(W350/W$13),"-"))</f>
        <v>-</v>
      </c>
      <c r="BM349" s="1720" t="str">
        <f t="shared" si="550"/>
        <v>-</v>
      </c>
      <c r="BN349" s="1720" t="str">
        <f t="shared" si="550"/>
        <v>-</v>
      </c>
      <c r="BO349" s="2289" t="str">
        <f t="shared" si="550"/>
        <v>-</v>
      </c>
      <c r="BP349" s="1720" t="str">
        <f t="shared" si="550"/>
        <v>-</v>
      </c>
      <c r="BQ349" s="2290" t="str">
        <f t="shared" si="550"/>
        <v>-</v>
      </c>
      <c r="BR349" s="1720" t="str">
        <f t="shared" si="550"/>
        <v>-</v>
      </c>
      <c r="BS349" s="1720" t="str">
        <f t="shared" si="550"/>
        <v>-</v>
      </c>
      <c r="BT349" s="1720" t="str">
        <f t="shared" si="550"/>
        <v>-</v>
      </c>
      <c r="BU349" s="1721" t="str">
        <f t="shared" si="550"/>
        <v>-</v>
      </c>
      <c r="BV349" s="1720" t="str">
        <f t="shared" si="550"/>
        <v>-</v>
      </c>
      <c r="BW349" s="1720" t="str">
        <f t="shared" si="550"/>
        <v>-</v>
      </c>
      <c r="BX349" s="1720" t="str">
        <f t="shared" si="550"/>
        <v>-</v>
      </c>
      <c r="BY349" s="1720" t="str">
        <f t="shared" si="550"/>
        <v>-</v>
      </c>
      <c r="BZ349" s="1721" t="str">
        <f t="shared" si="550"/>
        <v>-</v>
      </c>
      <c r="CA349" s="1048"/>
    </row>
    <row r="350" spans="3:79" ht="12.5" thickBot="1" x14ac:dyDescent="0.35">
      <c r="C350" s="126"/>
      <c r="D350" s="126"/>
      <c r="E350" s="559" t="s">
        <v>47</v>
      </c>
      <c r="F350" s="2162" t="str">
        <f t="shared" ref="F350:I350" si="551">+F348</f>
        <v>[Service]</v>
      </c>
      <c r="G350" s="2165">
        <f t="shared" si="551"/>
        <v>0</v>
      </c>
      <c r="H350" s="2165">
        <f t="shared" si="551"/>
        <v>0</v>
      </c>
      <c r="I350" s="2166" t="str">
        <f t="shared" si="551"/>
        <v>[Price]</v>
      </c>
      <c r="J350" s="2106" t="s">
        <v>347</v>
      </c>
      <c r="K350" s="1977"/>
      <c r="L350" s="1206"/>
      <c r="M350" s="1206"/>
      <c r="N350" s="1978"/>
      <c r="O350" s="1206"/>
      <c r="P350" s="1206"/>
      <c r="Q350" s="1206"/>
      <c r="R350" s="1206"/>
      <c r="S350" s="1978"/>
      <c r="T350" s="1206"/>
      <c r="U350" s="1206"/>
      <c r="V350" s="1206"/>
      <c r="W350" s="1731">
        <f t="shared" ref="W350:AG350" si="552">W348*W349/10^6</f>
        <v>0</v>
      </c>
      <c r="X350" s="1730">
        <f t="shared" si="552"/>
        <v>0</v>
      </c>
      <c r="Y350" s="1731">
        <f t="shared" si="552"/>
        <v>0</v>
      </c>
      <c r="Z350" s="1731">
        <f t="shared" si="552"/>
        <v>0</v>
      </c>
      <c r="AA350" s="1731">
        <f t="shared" si="552"/>
        <v>0</v>
      </c>
      <c r="AB350" s="1733">
        <f t="shared" si="552"/>
        <v>0</v>
      </c>
      <c r="AC350" s="1731">
        <f t="shared" si="552"/>
        <v>0</v>
      </c>
      <c r="AD350" s="1731">
        <f t="shared" si="552"/>
        <v>0</v>
      </c>
      <c r="AE350" s="1731">
        <f t="shared" si="552"/>
        <v>0</v>
      </c>
      <c r="AF350" s="1731">
        <f t="shared" si="552"/>
        <v>0</v>
      </c>
      <c r="AG350" s="1733">
        <f t="shared" si="552"/>
        <v>0</v>
      </c>
      <c r="AH350" s="1731">
        <f>AH348*AH349/10^6</f>
        <v>0</v>
      </c>
      <c r="AI350" s="1731">
        <f>AI348*AI349/10^6</f>
        <v>0</v>
      </c>
      <c r="AJ350" s="1731">
        <f>AJ348*AJ349/10^6</f>
        <v>0</v>
      </c>
      <c r="AK350" s="1731">
        <f>AK348*AK349/10^6</f>
        <v>0</v>
      </c>
      <c r="AL350" s="1733">
        <f>AL348*AL349/10^6</f>
        <v>0</v>
      </c>
      <c r="AM350" s="560"/>
      <c r="AN350" s="991"/>
      <c r="AO350" s="992"/>
      <c r="AP350" s="2304" t="str">
        <f t="shared" si="505"/>
        <v>Rev</v>
      </c>
      <c r="AQ350" s="2305" t="str">
        <f t="shared" si="505"/>
        <v>[Service]</v>
      </c>
      <c r="AR350" s="2306" t="str">
        <f t="shared" si="506"/>
        <v>[Price]</v>
      </c>
      <c r="AS350" s="2307" t="str">
        <f t="shared" si="537"/>
        <v>-</v>
      </c>
      <c r="AT350" s="1055" t="str">
        <f t="shared" si="537"/>
        <v>-</v>
      </c>
      <c r="AU350" s="1055" t="str">
        <f t="shared" si="537"/>
        <v>-</v>
      </c>
      <c r="AV350" s="2308" t="str">
        <f t="shared" si="537"/>
        <v>-</v>
      </c>
      <c r="AW350" s="1055" t="str">
        <f t="shared" si="537"/>
        <v>-</v>
      </c>
      <c r="AX350" s="2309" t="str">
        <f t="shared" si="537"/>
        <v>-</v>
      </c>
      <c r="AY350" s="1055" t="str">
        <f t="shared" si="537"/>
        <v>-</v>
      </c>
      <c r="AZ350" s="1055" t="str">
        <f t="shared" si="537"/>
        <v>-</v>
      </c>
      <c r="BA350" s="1055" t="str">
        <f t="shared" si="537"/>
        <v>-</v>
      </c>
      <c r="BB350" s="1056" t="str">
        <f t="shared" si="537"/>
        <v>-</v>
      </c>
      <c r="BC350" s="1055" t="str">
        <f t="shared" si="537"/>
        <v>-</v>
      </c>
      <c r="BD350" s="1055" t="str">
        <f t="shared" si="537"/>
        <v>-</v>
      </c>
      <c r="BE350" s="1055" t="str">
        <f t="shared" si="537"/>
        <v>-</v>
      </c>
      <c r="BF350" s="1055" t="str">
        <f t="shared" si="537"/>
        <v>-</v>
      </c>
      <c r="BG350" s="1056" t="str">
        <f t="shared" si="537"/>
        <v>-</v>
      </c>
      <c r="BH350" s="1048"/>
      <c r="BI350" s="2304" t="str">
        <f t="shared" si="533"/>
        <v>Rev</v>
      </c>
      <c r="BJ350" s="2305" t="str">
        <f t="shared" si="533"/>
        <v>[Service]</v>
      </c>
      <c r="BK350" s="2306" t="str">
        <f t="shared" si="533"/>
        <v>[Price]</v>
      </c>
      <c r="BL350" s="2307" t="str">
        <f t="shared" ref="BL350:BZ350" si="553">IF(OR(X350="",X350=0),"-",IFERROR((X350/W350-1)*(W350/W$13),"-"))</f>
        <v>-</v>
      </c>
      <c r="BM350" s="1055" t="str">
        <f t="shared" si="553"/>
        <v>-</v>
      </c>
      <c r="BN350" s="1055" t="str">
        <f t="shared" si="553"/>
        <v>-</v>
      </c>
      <c r="BO350" s="2308" t="str">
        <f t="shared" si="553"/>
        <v>-</v>
      </c>
      <c r="BP350" s="1055" t="str">
        <f t="shared" si="553"/>
        <v>-</v>
      </c>
      <c r="BQ350" s="2309" t="str">
        <f t="shared" si="553"/>
        <v>-</v>
      </c>
      <c r="BR350" s="1055" t="str">
        <f t="shared" si="553"/>
        <v>-</v>
      </c>
      <c r="BS350" s="1055" t="str">
        <f t="shared" si="553"/>
        <v>-</v>
      </c>
      <c r="BT350" s="1055" t="str">
        <f t="shared" si="553"/>
        <v>-</v>
      </c>
      <c r="BU350" s="1056" t="str">
        <f t="shared" si="553"/>
        <v>-</v>
      </c>
      <c r="BV350" s="1055" t="str">
        <f t="shared" si="553"/>
        <v>-</v>
      </c>
      <c r="BW350" s="1055" t="str">
        <f t="shared" si="553"/>
        <v>-</v>
      </c>
      <c r="BX350" s="1055" t="str">
        <f t="shared" si="553"/>
        <v>-</v>
      </c>
      <c r="BY350" s="1055" t="str">
        <f t="shared" si="553"/>
        <v>-</v>
      </c>
      <c r="BZ350" s="1056" t="str">
        <f t="shared" si="553"/>
        <v>-</v>
      </c>
      <c r="CA350" s="1048"/>
    </row>
    <row r="351" spans="3:79" x14ac:dyDescent="0.3">
      <c r="C351" s="126"/>
      <c r="D351" s="126">
        <f>D348+1</f>
        <v>95</v>
      </c>
      <c r="E351" s="553" t="s">
        <v>45</v>
      </c>
      <c r="F351" s="2105" t="s">
        <v>28</v>
      </c>
      <c r="G351" s="2105"/>
      <c r="H351" s="2105"/>
      <c r="I351" s="573" t="s">
        <v>319</v>
      </c>
      <c r="J351" s="573" t="s">
        <v>348</v>
      </c>
      <c r="K351" s="1969"/>
      <c r="L351" s="1970"/>
      <c r="M351" s="1970"/>
      <c r="N351" s="1971"/>
      <c r="O351" s="1970"/>
      <c r="P351" s="1970"/>
      <c r="Q351" s="1970"/>
      <c r="R351" s="1972"/>
      <c r="S351" s="1971"/>
      <c r="T351" s="1970"/>
      <c r="U351" s="1970"/>
      <c r="V351" s="1970"/>
      <c r="W351" s="575"/>
      <c r="X351" s="1238"/>
      <c r="Y351" s="575"/>
      <c r="Z351" s="575"/>
      <c r="AA351" s="575"/>
      <c r="AB351" s="1142"/>
      <c r="AC351" s="575"/>
      <c r="AD351" s="575"/>
      <c r="AE351" s="575"/>
      <c r="AF351" s="575"/>
      <c r="AG351" s="577"/>
      <c r="AH351" s="575"/>
      <c r="AI351" s="575"/>
      <c r="AJ351" s="575"/>
      <c r="AK351" s="575"/>
      <c r="AL351" s="577"/>
      <c r="AM351" s="560"/>
      <c r="AN351" s="1052"/>
      <c r="AO351" s="992"/>
      <c r="AP351" s="2297" t="str">
        <f t="shared" si="505"/>
        <v>Price</v>
      </c>
      <c r="AQ351" s="2298" t="str">
        <f t="shared" si="505"/>
        <v>[Service]</v>
      </c>
      <c r="AR351" s="1719" t="str">
        <f t="shared" si="506"/>
        <v>[Price]</v>
      </c>
      <c r="AS351" s="2299" t="str">
        <f t="shared" si="537"/>
        <v>-</v>
      </c>
      <c r="AT351" s="1728" t="str">
        <f t="shared" si="537"/>
        <v>-</v>
      </c>
      <c r="AU351" s="1728" t="str">
        <f t="shared" si="537"/>
        <v>-</v>
      </c>
      <c r="AV351" s="2300" t="str">
        <f t="shared" si="537"/>
        <v>-</v>
      </c>
      <c r="AW351" s="1728" t="str">
        <f t="shared" si="537"/>
        <v>-</v>
      </c>
      <c r="AX351" s="2301" t="str">
        <f t="shared" si="537"/>
        <v>-</v>
      </c>
      <c r="AY351" s="1728" t="str">
        <f t="shared" si="537"/>
        <v>-</v>
      </c>
      <c r="AZ351" s="1728" t="str">
        <f t="shared" si="537"/>
        <v>-</v>
      </c>
      <c r="BA351" s="1728" t="str">
        <f t="shared" si="537"/>
        <v>-</v>
      </c>
      <c r="BB351" s="1729" t="str">
        <f t="shared" si="537"/>
        <v>-</v>
      </c>
      <c r="BC351" s="1728" t="str">
        <f t="shared" si="537"/>
        <v>-</v>
      </c>
      <c r="BD351" s="1728" t="str">
        <f t="shared" si="537"/>
        <v>-</v>
      </c>
      <c r="BE351" s="1728" t="str">
        <f t="shared" si="537"/>
        <v>-</v>
      </c>
      <c r="BF351" s="1728" t="str">
        <f t="shared" si="537"/>
        <v>-</v>
      </c>
      <c r="BG351" s="1729" t="str">
        <f t="shared" si="537"/>
        <v>-</v>
      </c>
      <c r="BH351" s="1048"/>
      <c r="BI351" s="2297" t="str">
        <f t="shared" si="533"/>
        <v>Price</v>
      </c>
      <c r="BJ351" s="2298" t="str">
        <f t="shared" si="533"/>
        <v>[Service]</v>
      </c>
      <c r="BK351" s="1719" t="str">
        <f t="shared" si="533"/>
        <v>[Price]</v>
      </c>
      <c r="BL351" s="2299" t="str">
        <f t="shared" ref="BL351:BZ351" si="554">IF(OR(X351="",X351=0),"-",IFERROR((X351/W351-1)*(W353/W$13),"-"))</f>
        <v>-</v>
      </c>
      <c r="BM351" s="1053" t="str">
        <f t="shared" si="554"/>
        <v>-</v>
      </c>
      <c r="BN351" s="1053" t="str">
        <f t="shared" si="554"/>
        <v>-</v>
      </c>
      <c r="BO351" s="2302" t="str">
        <f t="shared" si="554"/>
        <v>-</v>
      </c>
      <c r="BP351" s="1053" t="str">
        <f t="shared" si="554"/>
        <v>-</v>
      </c>
      <c r="BQ351" s="2303" t="str">
        <f t="shared" si="554"/>
        <v>-</v>
      </c>
      <c r="BR351" s="1053" t="str">
        <f t="shared" si="554"/>
        <v>-</v>
      </c>
      <c r="BS351" s="1053" t="str">
        <f t="shared" si="554"/>
        <v>-</v>
      </c>
      <c r="BT351" s="1053" t="str">
        <f t="shared" si="554"/>
        <v>-</v>
      </c>
      <c r="BU351" s="1054" t="str">
        <f t="shared" si="554"/>
        <v>-</v>
      </c>
      <c r="BV351" s="1053" t="str">
        <f t="shared" si="554"/>
        <v>-</v>
      </c>
      <c r="BW351" s="1053" t="str">
        <f t="shared" si="554"/>
        <v>-</v>
      </c>
      <c r="BX351" s="1053" t="str">
        <f t="shared" si="554"/>
        <v>-</v>
      </c>
      <c r="BY351" s="1053" t="str">
        <f t="shared" si="554"/>
        <v>-</v>
      </c>
      <c r="BZ351" s="1054" t="str">
        <f t="shared" si="554"/>
        <v>-</v>
      </c>
      <c r="CA351" s="1048"/>
    </row>
    <row r="352" spans="3:79" x14ac:dyDescent="0.3">
      <c r="C352" s="126"/>
      <c r="D352" s="126"/>
      <c r="E352" s="558" t="s">
        <v>46</v>
      </c>
      <c r="F352" s="2161" t="str">
        <f t="shared" si="532"/>
        <v>[Service]</v>
      </c>
      <c r="G352" s="2163">
        <f t="shared" si="532"/>
        <v>0</v>
      </c>
      <c r="H352" s="2163">
        <f t="shared" si="532"/>
        <v>0</v>
      </c>
      <c r="I352" s="2164" t="str">
        <f t="shared" si="532"/>
        <v>[Price]</v>
      </c>
      <c r="J352" s="574" t="s">
        <v>323</v>
      </c>
      <c r="K352" s="1973"/>
      <c r="L352" s="1974"/>
      <c r="M352" s="1974"/>
      <c r="N352" s="1975"/>
      <c r="O352" s="1974"/>
      <c r="P352" s="1974"/>
      <c r="Q352" s="1974"/>
      <c r="R352" s="1976"/>
      <c r="S352" s="1975"/>
      <c r="T352" s="1974"/>
      <c r="U352" s="1974"/>
      <c r="V352" s="1974"/>
      <c r="W352" s="578"/>
      <c r="X352" s="1239"/>
      <c r="Y352" s="578"/>
      <c r="Z352" s="578"/>
      <c r="AA352" s="578"/>
      <c r="AB352" s="1143"/>
      <c r="AC352" s="578"/>
      <c r="AD352" s="578"/>
      <c r="AE352" s="578"/>
      <c r="AF352" s="578"/>
      <c r="AG352" s="580"/>
      <c r="AH352" s="578"/>
      <c r="AI352" s="578"/>
      <c r="AJ352" s="578"/>
      <c r="AK352" s="578"/>
      <c r="AL352" s="580"/>
      <c r="AM352" s="560"/>
      <c r="AN352" s="991"/>
      <c r="AO352" s="992"/>
      <c r="AP352" s="2285" t="str">
        <f t="shared" si="505"/>
        <v>Qty</v>
      </c>
      <c r="AQ352" s="2286" t="str">
        <f t="shared" si="505"/>
        <v>[Service]</v>
      </c>
      <c r="AR352" s="2287" t="str">
        <f t="shared" si="506"/>
        <v>[Price]</v>
      </c>
      <c r="AS352" s="2288" t="str">
        <f t="shared" si="537"/>
        <v>-</v>
      </c>
      <c r="AT352" s="1720" t="str">
        <f t="shared" si="537"/>
        <v>-</v>
      </c>
      <c r="AU352" s="1720" t="str">
        <f t="shared" si="537"/>
        <v>-</v>
      </c>
      <c r="AV352" s="2289" t="str">
        <f t="shared" si="537"/>
        <v>-</v>
      </c>
      <c r="AW352" s="1720" t="str">
        <f t="shared" si="537"/>
        <v>-</v>
      </c>
      <c r="AX352" s="2290" t="str">
        <f t="shared" si="537"/>
        <v>-</v>
      </c>
      <c r="AY352" s="1720" t="str">
        <f t="shared" si="537"/>
        <v>-</v>
      </c>
      <c r="AZ352" s="1720" t="str">
        <f t="shared" si="537"/>
        <v>-</v>
      </c>
      <c r="BA352" s="1720" t="str">
        <f t="shared" si="537"/>
        <v>-</v>
      </c>
      <c r="BB352" s="1721" t="str">
        <f t="shared" si="537"/>
        <v>-</v>
      </c>
      <c r="BC352" s="1720" t="str">
        <f t="shared" si="537"/>
        <v>-</v>
      </c>
      <c r="BD352" s="1720" t="str">
        <f t="shared" si="537"/>
        <v>-</v>
      </c>
      <c r="BE352" s="1720" t="str">
        <f t="shared" si="537"/>
        <v>-</v>
      </c>
      <c r="BF352" s="1720" t="str">
        <f t="shared" si="537"/>
        <v>-</v>
      </c>
      <c r="BG352" s="1721" t="str">
        <f t="shared" si="537"/>
        <v>-</v>
      </c>
      <c r="BH352" s="1048"/>
      <c r="BI352" s="2285" t="str">
        <f t="shared" si="533"/>
        <v>Qty</v>
      </c>
      <c r="BJ352" s="2286" t="str">
        <f t="shared" si="533"/>
        <v>[Service]</v>
      </c>
      <c r="BK352" s="2287" t="str">
        <f t="shared" si="533"/>
        <v>[Price]</v>
      </c>
      <c r="BL352" s="2288" t="str">
        <f t="shared" ref="BL352:BZ352" si="555">IF(OR(X352="",X352=0),"-",IFERROR((X352/W352-1)*(W353/W$13),"-"))</f>
        <v>-</v>
      </c>
      <c r="BM352" s="1720" t="str">
        <f t="shared" si="555"/>
        <v>-</v>
      </c>
      <c r="BN352" s="1720" t="str">
        <f t="shared" si="555"/>
        <v>-</v>
      </c>
      <c r="BO352" s="2289" t="str">
        <f t="shared" si="555"/>
        <v>-</v>
      </c>
      <c r="BP352" s="1720" t="str">
        <f t="shared" si="555"/>
        <v>-</v>
      </c>
      <c r="BQ352" s="2290" t="str">
        <f t="shared" si="555"/>
        <v>-</v>
      </c>
      <c r="BR352" s="1720" t="str">
        <f t="shared" si="555"/>
        <v>-</v>
      </c>
      <c r="BS352" s="1720" t="str">
        <f t="shared" si="555"/>
        <v>-</v>
      </c>
      <c r="BT352" s="1720" t="str">
        <f t="shared" si="555"/>
        <v>-</v>
      </c>
      <c r="BU352" s="1721" t="str">
        <f t="shared" si="555"/>
        <v>-</v>
      </c>
      <c r="BV352" s="1720" t="str">
        <f t="shared" si="555"/>
        <v>-</v>
      </c>
      <c r="BW352" s="1720" t="str">
        <f t="shared" si="555"/>
        <v>-</v>
      </c>
      <c r="BX352" s="1720" t="str">
        <f t="shared" si="555"/>
        <v>-</v>
      </c>
      <c r="BY352" s="1720" t="str">
        <f t="shared" si="555"/>
        <v>-</v>
      </c>
      <c r="BZ352" s="1721" t="str">
        <f t="shared" si="555"/>
        <v>-</v>
      </c>
      <c r="CA352" s="1048"/>
    </row>
    <row r="353" spans="3:79" ht="12.5" thickBot="1" x14ac:dyDescent="0.35">
      <c r="C353" s="126"/>
      <c r="D353" s="126"/>
      <c r="E353" s="559" t="s">
        <v>47</v>
      </c>
      <c r="F353" s="2162" t="str">
        <f t="shared" ref="F353:I353" si="556">+F351</f>
        <v>[Service]</v>
      </c>
      <c r="G353" s="2165">
        <f t="shared" si="556"/>
        <v>0</v>
      </c>
      <c r="H353" s="2165">
        <f t="shared" si="556"/>
        <v>0</v>
      </c>
      <c r="I353" s="2166" t="str">
        <f t="shared" si="556"/>
        <v>[Price]</v>
      </c>
      <c r="J353" s="2106" t="s">
        <v>347</v>
      </c>
      <c r="K353" s="1977"/>
      <c r="L353" s="1206"/>
      <c r="M353" s="1206"/>
      <c r="N353" s="1978"/>
      <c r="O353" s="1206"/>
      <c r="P353" s="1206"/>
      <c r="Q353" s="1206"/>
      <c r="R353" s="1206"/>
      <c r="S353" s="1978"/>
      <c r="T353" s="1206"/>
      <c r="U353" s="1206"/>
      <c r="V353" s="1206"/>
      <c r="W353" s="1731">
        <f t="shared" ref="W353:AG353" si="557">W351*W352/10^6</f>
        <v>0</v>
      </c>
      <c r="X353" s="1730">
        <f t="shared" si="557"/>
        <v>0</v>
      </c>
      <c r="Y353" s="1731">
        <f t="shared" si="557"/>
        <v>0</v>
      </c>
      <c r="Z353" s="1731">
        <f t="shared" si="557"/>
        <v>0</v>
      </c>
      <c r="AA353" s="1731">
        <f t="shared" si="557"/>
        <v>0</v>
      </c>
      <c r="AB353" s="1733">
        <f t="shared" si="557"/>
        <v>0</v>
      </c>
      <c r="AC353" s="1731">
        <f t="shared" si="557"/>
        <v>0</v>
      </c>
      <c r="AD353" s="1731">
        <f t="shared" si="557"/>
        <v>0</v>
      </c>
      <c r="AE353" s="1731">
        <f t="shared" si="557"/>
        <v>0</v>
      </c>
      <c r="AF353" s="1731">
        <f t="shared" si="557"/>
        <v>0</v>
      </c>
      <c r="AG353" s="1733">
        <f t="shared" si="557"/>
        <v>0</v>
      </c>
      <c r="AH353" s="1731">
        <f>AH351*AH352/10^6</f>
        <v>0</v>
      </c>
      <c r="AI353" s="1731">
        <f>AI351*AI352/10^6</f>
        <v>0</v>
      </c>
      <c r="AJ353" s="1731">
        <f>AJ351*AJ352/10^6</f>
        <v>0</v>
      </c>
      <c r="AK353" s="1731">
        <f>AK351*AK352/10^6</f>
        <v>0</v>
      </c>
      <c r="AL353" s="1733">
        <f>AL351*AL352/10^6</f>
        <v>0</v>
      </c>
      <c r="AM353" s="560"/>
      <c r="AN353" s="991"/>
      <c r="AO353" s="992"/>
      <c r="AP353" s="2304" t="str">
        <f t="shared" si="505"/>
        <v>Rev</v>
      </c>
      <c r="AQ353" s="2305" t="str">
        <f t="shared" si="505"/>
        <v>[Service]</v>
      </c>
      <c r="AR353" s="2306" t="str">
        <f t="shared" si="506"/>
        <v>[Price]</v>
      </c>
      <c r="AS353" s="2307" t="str">
        <f t="shared" si="537"/>
        <v>-</v>
      </c>
      <c r="AT353" s="1055" t="str">
        <f t="shared" si="537"/>
        <v>-</v>
      </c>
      <c r="AU353" s="1055" t="str">
        <f t="shared" si="537"/>
        <v>-</v>
      </c>
      <c r="AV353" s="2308" t="str">
        <f t="shared" si="537"/>
        <v>-</v>
      </c>
      <c r="AW353" s="1055" t="str">
        <f t="shared" si="537"/>
        <v>-</v>
      </c>
      <c r="AX353" s="2309" t="str">
        <f t="shared" si="537"/>
        <v>-</v>
      </c>
      <c r="AY353" s="1055" t="str">
        <f t="shared" si="537"/>
        <v>-</v>
      </c>
      <c r="AZ353" s="1055" t="str">
        <f t="shared" si="537"/>
        <v>-</v>
      </c>
      <c r="BA353" s="1055" t="str">
        <f t="shared" si="537"/>
        <v>-</v>
      </c>
      <c r="BB353" s="1056" t="str">
        <f t="shared" si="537"/>
        <v>-</v>
      </c>
      <c r="BC353" s="1055" t="str">
        <f t="shared" si="537"/>
        <v>-</v>
      </c>
      <c r="BD353" s="1055" t="str">
        <f t="shared" si="537"/>
        <v>-</v>
      </c>
      <c r="BE353" s="1055" t="str">
        <f t="shared" si="537"/>
        <v>-</v>
      </c>
      <c r="BF353" s="1055" t="str">
        <f t="shared" si="537"/>
        <v>-</v>
      </c>
      <c r="BG353" s="1056" t="str">
        <f t="shared" si="537"/>
        <v>-</v>
      </c>
      <c r="BH353" s="1048"/>
      <c r="BI353" s="2304" t="str">
        <f t="shared" si="533"/>
        <v>Rev</v>
      </c>
      <c r="BJ353" s="2305" t="str">
        <f t="shared" si="533"/>
        <v>[Service]</v>
      </c>
      <c r="BK353" s="2306" t="str">
        <f t="shared" si="533"/>
        <v>[Price]</v>
      </c>
      <c r="BL353" s="2307" t="str">
        <f t="shared" ref="BL353:BZ353" si="558">IF(OR(X353="",X353=0),"-",IFERROR((X353/W353-1)*(W353/W$13),"-"))</f>
        <v>-</v>
      </c>
      <c r="BM353" s="1055" t="str">
        <f t="shared" si="558"/>
        <v>-</v>
      </c>
      <c r="BN353" s="1055" t="str">
        <f t="shared" si="558"/>
        <v>-</v>
      </c>
      <c r="BO353" s="2308" t="str">
        <f t="shared" si="558"/>
        <v>-</v>
      </c>
      <c r="BP353" s="1055" t="str">
        <f t="shared" si="558"/>
        <v>-</v>
      </c>
      <c r="BQ353" s="2309" t="str">
        <f t="shared" si="558"/>
        <v>-</v>
      </c>
      <c r="BR353" s="1055" t="str">
        <f t="shared" si="558"/>
        <v>-</v>
      </c>
      <c r="BS353" s="1055" t="str">
        <f t="shared" si="558"/>
        <v>-</v>
      </c>
      <c r="BT353" s="1055" t="str">
        <f t="shared" si="558"/>
        <v>-</v>
      </c>
      <c r="BU353" s="1056" t="str">
        <f t="shared" si="558"/>
        <v>-</v>
      </c>
      <c r="BV353" s="1055" t="str">
        <f t="shared" si="558"/>
        <v>-</v>
      </c>
      <c r="BW353" s="1055" t="str">
        <f t="shared" si="558"/>
        <v>-</v>
      </c>
      <c r="BX353" s="1055" t="str">
        <f t="shared" si="558"/>
        <v>-</v>
      </c>
      <c r="BY353" s="1055" t="str">
        <f t="shared" si="558"/>
        <v>-</v>
      </c>
      <c r="BZ353" s="1056" t="str">
        <f t="shared" si="558"/>
        <v>-</v>
      </c>
      <c r="CA353" s="1048"/>
    </row>
    <row r="354" spans="3:79" x14ac:dyDescent="0.3">
      <c r="C354" s="126"/>
      <c r="D354" s="126">
        <f>D351+1</f>
        <v>96</v>
      </c>
      <c r="E354" s="553" t="s">
        <v>45</v>
      </c>
      <c r="F354" s="2105" t="s">
        <v>28</v>
      </c>
      <c r="G354" s="2105"/>
      <c r="H354" s="2105"/>
      <c r="I354" s="573" t="s">
        <v>319</v>
      </c>
      <c r="J354" s="573" t="s">
        <v>348</v>
      </c>
      <c r="K354" s="1969"/>
      <c r="L354" s="1970"/>
      <c r="M354" s="1970"/>
      <c r="N354" s="1971"/>
      <c r="O354" s="1970"/>
      <c r="P354" s="1970"/>
      <c r="Q354" s="1970"/>
      <c r="R354" s="1972"/>
      <c r="S354" s="1971"/>
      <c r="T354" s="1970"/>
      <c r="U354" s="1970"/>
      <c r="V354" s="1970"/>
      <c r="W354" s="575"/>
      <c r="X354" s="1238"/>
      <c r="Y354" s="575"/>
      <c r="Z354" s="575"/>
      <c r="AA354" s="575"/>
      <c r="AB354" s="1142"/>
      <c r="AC354" s="575"/>
      <c r="AD354" s="575"/>
      <c r="AE354" s="575"/>
      <c r="AF354" s="575"/>
      <c r="AG354" s="577"/>
      <c r="AH354" s="575"/>
      <c r="AI354" s="575"/>
      <c r="AJ354" s="575"/>
      <c r="AK354" s="575"/>
      <c r="AL354" s="577"/>
      <c r="AM354" s="560"/>
      <c r="AN354" s="1052"/>
      <c r="AO354" s="992"/>
      <c r="AP354" s="2297" t="str">
        <f t="shared" si="505"/>
        <v>Price</v>
      </c>
      <c r="AQ354" s="2298" t="str">
        <f t="shared" si="505"/>
        <v>[Service]</v>
      </c>
      <c r="AR354" s="1719" t="str">
        <f t="shared" si="506"/>
        <v>[Price]</v>
      </c>
      <c r="AS354" s="2299" t="str">
        <f t="shared" si="537"/>
        <v>-</v>
      </c>
      <c r="AT354" s="1728" t="str">
        <f t="shared" si="537"/>
        <v>-</v>
      </c>
      <c r="AU354" s="1728" t="str">
        <f t="shared" si="537"/>
        <v>-</v>
      </c>
      <c r="AV354" s="2300" t="str">
        <f t="shared" si="537"/>
        <v>-</v>
      </c>
      <c r="AW354" s="1728" t="str">
        <f t="shared" si="537"/>
        <v>-</v>
      </c>
      <c r="AX354" s="2301" t="str">
        <f t="shared" si="537"/>
        <v>-</v>
      </c>
      <c r="AY354" s="1728" t="str">
        <f t="shared" si="537"/>
        <v>-</v>
      </c>
      <c r="AZ354" s="1728" t="str">
        <f t="shared" si="537"/>
        <v>-</v>
      </c>
      <c r="BA354" s="1728" t="str">
        <f t="shared" si="537"/>
        <v>-</v>
      </c>
      <c r="BB354" s="1729" t="str">
        <f t="shared" si="537"/>
        <v>-</v>
      </c>
      <c r="BC354" s="1728" t="str">
        <f t="shared" si="537"/>
        <v>-</v>
      </c>
      <c r="BD354" s="1728" t="str">
        <f t="shared" si="537"/>
        <v>-</v>
      </c>
      <c r="BE354" s="1728" t="str">
        <f t="shared" si="537"/>
        <v>-</v>
      </c>
      <c r="BF354" s="1728" t="str">
        <f t="shared" si="537"/>
        <v>-</v>
      </c>
      <c r="BG354" s="1729" t="str">
        <f t="shared" si="537"/>
        <v>-</v>
      </c>
      <c r="BH354" s="1048"/>
      <c r="BI354" s="2297" t="str">
        <f t="shared" si="533"/>
        <v>Price</v>
      </c>
      <c r="BJ354" s="2298" t="str">
        <f t="shared" si="533"/>
        <v>[Service]</v>
      </c>
      <c r="BK354" s="1719" t="str">
        <f t="shared" si="533"/>
        <v>[Price]</v>
      </c>
      <c r="BL354" s="2299" t="str">
        <f t="shared" ref="BL354:BZ354" si="559">IF(OR(X354="",X354=0),"-",IFERROR((X354/W354-1)*(W356/W$13),"-"))</f>
        <v>-</v>
      </c>
      <c r="BM354" s="1053" t="str">
        <f t="shared" si="559"/>
        <v>-</v>
      </c>
      <c r="BN354" s="1053" t="str">
        <f t="shared" si="559"/>
        <v>-</v>
      </c>
      <c r="BO354" s="2302" t="str">
        <f t="shared" si="559"/>
        <v>-</v>
      </c>
      <c r="BP354" s="1053" t="str">
        <f t="shared" si="559"/>
        <v>-</v>
      </c>
      <c r="BQ354" s="2303" t="str">
        <f t="shared" si="559"/>
        <v>-</v>
      </c>
      <c r="BR354" s="1053" t="str">
        <f t="shared" si="559"/>
        <v>-</v>
      </c>
      <c r="BS354" s="1053" t="str">
        <f t="shared" si="559"/>
        <v>-</v>
      </c>
      <c r="BT354" s="1053" t="str">
        <f t="shared" si="559"/>
        <v>-</v>
      </c>
      <c r="BU354" s="1054" t="str">
        <f t="shared" si="559"/>
        <v>-</v>
      </c>
      <c r="BV354" s="1053" t="str">
        <f t="shared" si="559"/>
        <v>-</v>
      </c>
      <c r="BW354" s="1053" t="str">
        <f t="shared" si="559"/>
        <v>-</v>
      </c>
      <c r="BX354" s="1053" t="str">
        <f t="shared" si="559"/>
        <v>-</v>
      </c>
      <c r="BY354" s="1053" t="str">
        <f t="shared" si="559"/>
        <v>-</v>
      </c>
      <c r="BZ354" s="1054" t="str">
        <f t="shared" si="559"/>
        <v>-</v>
      </c>
      <c r="CA354" s="1048"/>
    </row>
    <row r="355" spans="3:79" x14ac:dyDescent="0.3">
      <c r="C355" s="126"/>
      <c r="D355" s="126"/>
      <c r="E355" s="558" t="s">
        <v>46</v>
      </c>
      <c r="F355" s="2161" t="str">
        <f t="shared" si="532"/>
        <v>[Service]</v>
      </c>
      <c r="G355" s="2163">
        <f t="shared" si="532"/>
        <v>0</v>
      </c>
      <c r="H355" s="2163">
        <f t="shared" si="532"/>
        <v>0</v>
      </c>
      <c r="I355" s="2164" t="str">
        <f t="shared" si="532"/>
        <v>[Price]</v>
      </c>
      <c r="J355" s="574" t="s">
        <v>323</v>
      </c>
      <c r="K355" s="1973"/>
      <c r="L355" s="1974"/>
      <c r="M355" s="1974"/>
      <c r="N355" s="1975"/>
      <c r="O355" s="1974"/>
      <c r="P355" s="1974"/>
      <c r="Q355" s="1974"/>
      <c r="R355" s="1976"/>
      <c r="S355" s="1975"/>
      <c r="T355" s="1974"/>
      <c r="U355" s="1974"/>
      <c r="V355" s="1974"/>
      <c r="W355" s="578"/>
      <c r="X355" s="1239"/>
      <c r="Y355" s="578"/>
      <c r="Z355" s="578"/>
      <c r="AA355" s="578"/>
      <c r="AB355" s="1143"/>
      <c r="AC355" s="578"/>
      <c r="AD355" s="578"/>
      <c r="AE355" s="578"/>
      <c r="AF355" s="578"/>
      <c r="AG355" s="580"/>
      <c r="AH355" s="578"/>
      <c r="AI355" s="578"/>
      <c r="AJ355" s="578"/>
      <c r="AK355" s="578"/>
      <c r="AL355" s="580"/>
      <c r="AM355" s="560"/>
      <c r="AN355" s="991"/>
      <c r="AO355" s="992"/>
      <c r="AP355" s="2285" t="str">
        <f t="shared" si="505"/>
        <v>Qty</v>
      </c>
      <c r="AQ355" s="2286" t="str">
        <f t="shared" si="505"/>
        <v>[Service]</v>
      </c>
      <c r="AR355" s="2287" t="str">
        <f t="shared" si="506"/>
        <v>[Price]</v>
      </c>
      <c r="AS355" s="2288" t="str">
        <f t="shared" si="537"/>
        <v>-</v>
      </c>
      <c r="AT355" s="1720" t="str">
        <f t="shared" si="537"/>
        <v>-</v>
      </c>
      <c r="AU355" s="1720" t="str">
        <f t="shared" si="537"/>
        <v>-</v>
      </c>
      <c r="AV355" s="2289" t="str">
        <f t="shared" si="537"/>
        <v>-</v>
      </c>
      <c r="AW355" s="1720" t="str">
        <f t="shared" si="537"/>
        <v>-</v>
      </c>
      <c r="AX355" s="2290" t="str">
        <f t="shared" si="537"/>
        <v>-</v>
      </c>
      <c r="AY355" s="1720" t="str">
        <f t="shared" si="537"/>
        <v>-</v>
      </c>
      <c r="AZ355" s="1720" t="str">
        <f t="shared" si="537"/>
        <v>-</v>
      </c>
      <c r="BA355" s="1720" t="str">
        <f t="shared" si="537"/>
        <v>-</v>
      </c>
      <c r="BB355" s="1721" t="str">
        <f t="shared" si="537"/>
        <v>-</v>
      </c>
      <c r="BC355" s="1720" t="str">
        <f t="shared" si="537"/>
        <v>-</v>
      </c>
      <c r="BD355" s="1720" t="str">
        <f t="shared" si="537"/>
        <v>-</v>
      </c>
      <c r="BE355" s="1720" t="str">
        <f t="shared" si="537"/>
        <v>-</v>
      </c>
      <c r="BF355" s="1720" t="str">
        <f t="shared" si="537"/>
        <v>-</v>
      </c>
      <c r="BG355" s="1721" t="str">
        <f t="shared" si="537"/>
        <v>-</v>
      </c>
      <c r="BH355" s="1048"/>
      <c r="BI355" s="2285" t="str">
        <f t="shared" si="533"/>
        <v>Qty</v>
      </c>
      <c r="BJ355" s="2286" t="str">
        <f t="shared" si="533"/>
        <v>[Service]</v>
      </c>
      <c r="BK355" s="2287" t="str">
        <f t="shared" si="533"/>
        <v>[Price]</v>
      </c>
      <c r="BL355" s="2288" t="str">
        <f t="shared" ref="BL355:BZ355" si="560">IF(OR(X355="",X355=0),"-",IFERROR((X355/W355-1)*(W356/W$13),"-"))</f>
        <v>-</v>
      </c>
      <c r="BM355" s="1720" t="str">
        <f t="shared" si="560"/>
        <v>-</v>
      </c>
      <c r="BN355" s="1720" t="str">
        <f t="shared" si="560"/>
        <v>-</v>
      </c>
      <c r="BO355" s="2289" t="str">
        <f t="shared" si="560"/>
        <v>-</v>
      </c>
      <c r="BP355" s="1720" t="str">
        <f t="shared" si="560"/>
        <v>-</v>
      </c>
      <c r="BQ355" s="2290" t="str">
        <f t="shared" si="560"/>
        <v>-</v>
      </c>
      <c r="BR355" s="1720" t="str">
        <f t="shared" si="560"/>
        <v>-</v>
      </c>
      <c r="BS355" s="1720" t="str">
        <f t="shared" si="560"/>
        <v>-</v>
      </c>
      <c r="BT355" s="1720" t="str">
        <f t="shared" si="560"/>
        <v>-</v>
      </c>
      <c r="BU355" s="1721" t="str">
        <f t="shared" si="560"/>
        <v>-</v>
      </c>
      <c r="BV355" s="1720" t="str">
        <f t="shared" si="560"/>
        <v>-</v>
      </c>
      <c r="BW355" s="1720" t="str">
        <f t="shared" si="560"/>
        <v>-</v>
      </c>
      <c r="BX355" s="1720" t="str">
        <f t="shared" si="560"/>
        <v>-</v>
      </c>
      <c r="BY355" s="1720" t="str">
        <f t="shared" si="560"/>
        <v>-</v>
      </c>
      <c r="BZ355" s="1721" t="str">
        <f t="shared" si="560"/>
        <v>-</v>
      </c>
      <c r="CA355" s="1048"/>
    </row>
    <row r="356" spans="3:79" ht="12.5" thickBot="1" x14ac:dyDescent="0.35">
      <c r="C356" s="126"/>
      <c r="D356" s="126"/>
      <c r="E356" s="559" t="s">
        <v>47</v>
      </c>
      <c r="F356" s="2162" t="str">
        <f t="shared" ref="F356:I356" si="561">+F354</f>
        <v>[Service]</v>
      </c>
      <c r="G356" s="2165">
        <f t="shared" si="561"/>
        <v>0</v>
      </c>
      <c r="H356" s="2165">
        <f t="shared" si="561"/>
        <v>0</v>
      </c>
      <c r="I356" s="2166" t="str">
        <f t="shared" si="561"/>
        <v>[Price]</v>
      </c>
      <c r="J356" s="2106" t="s">
        <v>347</v>
      </c>
      <c r="K356" s="1977"/>
      <c r="L356" s="1206"/>
      <c r="M356" s="1206"/>
      <c r="N356" s="1978"/>
      <c r="O356" s="1206"/>
      <c r="P356" s="1206"/>
      <c r="Q356" s="1206"/>
      <c r="R356" s="1206"/>
      <c r="S356" s="1978"/>
      <c r="T356" s="1206"/>
      <c r="U356" s="1206"/>
      <c r="V356" s="1206"/>
      <c r="W356" s="1731">
        <f t="shared" ref="W356:AG356" si="562">W354*W355/10^6</f>
        <v>0</v>
      </c>
      <c r="X356" s="1730">
        <f t="shared" si="562"/>
        <v>0</v>
      </c>
      <c r="Y356" s="1731">
        <f t="shared" si="562"/>
        <v>0</v>
      </c>
      <c r="Z356" s="1731">
        <f t="shared" si="562"/>
        <v>0</v>
      </c>
      <c r="AA356" s="1731">
        <f t="shared" si="562"/>
        <v>0</v>
      </c>
      <c r="AB356" s="1733">
        <f t="shared" si="562"/>
        <v>0</v>
      </c>
      <c r="AC356" s="1731">
        <f t="shared" si="562"/>
        <v>0</v>
      </c>
      <c r="AD356" s="1731">
        <f t="shared" si="562"/>
        <v>0</v>
      </c>
      <c r="AE356" s="1731">
        <f t="shared" si="562"/>
        <v>0</v>
      </c>
      <c r="AF356" s="1731">
        <f t="shared" si="562"/>
        <v>0</v>
      </c>
      <c r="AG356" s="1733">
        <f t="shared" si="562"/>
        <v>0</v>
      </c>
      <c r="AH356" s="1731">
        <f>AH354*AH355/10^6</f>
        <v>0</v>
      </c>
      <c r="AI356" s="1731">
        <f>AI354*AI355/10^6</f>
        <v>0</v>
      </c>
      <c r="AJ356" s="1731">
        <f>AJ354*AJ355/10^6</f>
        <v>0</v>
      </c>
      <c r="AK356" s="1731">
        <f>AK354*AK355/10^6</f>
        <v>0</v>
      </c>
      <c r="AL356" s="1733">
        <f>AL354*AL355/10^6</f>
        <v>0</v>
      </c>
      <c r="AM356" s="560"/>
      <c r="AN356" s="991"/>
      <c r="AO356" s="992"/>
      <c r="AP356" s="2304" t="str">
        <f t="shared" si="505"/>
        <v>Rev</v>
      </c>
      <c r="AQ356" s="2305" t="str">
        <f t="shared" si="505"/>
        <v>[Service]</v>
      </c>
      <c r="AR356" s="2306" t="str">
        <f t="shared" si="506"/>
        <v>[Price]</v>
      </c>
      <c r="AS356" s="2307" t="str">
        <f t="shared" si="537"/>
        <v>-</v>
      </c>
      <c r="AT356" s="1055" t="str">
        <f t="shared" si="537"/>
        <v>-</v>
      </c>
      <c r="AU356" s="1055" t="str">
        <f t="shared" si="537"/>
        <v>-</v>
      </c>
      <c r="AV356" s="2308" t="str">
        <f t="shared" si="537"/>
        <v>-</v>
      </c>
      <c r="AW356" s="1055" t="str">
        <f t="shared" si="537"/>
        <v>-</v>
      </c>
      <c r="AX356" s="2309" t="str">
        <f t="shared" si="537"/>
        <v>-</v>
      </c>
      <c r="AY356" s="1055" t="str">
        <f t="shared" si="537"/>
        <v>-</v>
      </c>
      <c r="AZ356" s="1055" t="str">
        <f t="shared" si="537"/>
        <v>-</v>
      </c>
      <c r="BA356" s="1055" t="str">
        <f t="shared" si="537"/>
        <v>-</v>
      </c>
      <c r="BB356" s="1056" t="str">
        <f t="shared" si="537"/>
        <v>-</v>
      </c>
      <c r="BC356" s="1055" t="str">
        <f t="shared" si="537"/>
        <v>-</v>
      </c>
      <c r="BD356" s="1055" t="str">
        <f t="shared" si="537"/>
        <v>-</v>
      </c>
      <c r="BE356" s="1055" t="str">
        <f t="shared" si="537"/>
        <v>-</v>
      </c>
      <c r="BF356" s="1055" t="str">
        <f t="shared" si="537"/>
        <v>-</v>
      </c>
      <c r="BG356" s="1056" t="str">
        <f t="shared" si="537"/>
        <v>-</v>
      </c>
      <c r="BH356" s="1048"/>
      <c r="BI356" s="2304" t="str">
        <f t="shared" si="533"/>
        <v>Rev</v>
      </c>
      <c r="BJ356" s="2305" t="str">
        <f t="shared" si="533"/>
        <v>[Service]</v>
      </c>
      <c r="BK356" s="2306" t="str">
        <f t="shared" si="533"/>
        <v>[Price]</v>
      </c>
      <c r="BL356" s="2307" t="str">
        <f t="shared" ref="BL356:BZ356" si="563">IF(OR(X356="",X356=0),"-",IFERROR((X356/W356-1)*(W356/W$13),"-"))</f>
        <v>-</v>
      </c>
      <c r="BM356" s="1055" t="str">
        <f t="shared" si="563"/>
        <v>-</v>
      </c>
      <c r="BN356" s="1055" t="str">
        <f t="shared" si="563"/>
        <v>-</v>
      </c>
      <c r="BO356" s="2308" t="str">
        <f t="shared" si="563"/>
        <v>-</v>
      </c>
      <c r="BP356" s="1055" t="str">
        <f t="shared" si="563"/>
        <v>-</v>
      </c>
      <c r="BQ356" s="2309" t="str">
        <f t="shared" si="563"/>
        <v>-</v>
      </c>
      <c r="BR356" s="1055" t="str">
        <f t="shared" si="563"/>
        <v>-</v>
      </c>
      <c r="BS356" s="1055" t="str">
        <f t="shared" si="563"/>
        <v>-</v>
      </c>
      <c r="BT356" s="1055" t="str">
        <f t="shared" si="563"/>
        <v>-</v>
      </c>
      <c r="BU356" s="1056" t="str">
        <f t="shared" si="563"/>
        <v>-</v>
      </c>
      <c r="BV356" s="1055" t="str">
        <f t="shared" si="563"/>
        <v>-</v>
      </c>
      <c r="BW356" s="1055" t="str">
        <f t="shared" si="563"/>
        <v>-</v>
      </c>
      <c r="BX356" s="1055" t="str">
        <f t="shared" si="563"/>
        <v>-</v>
      </c>
      <c r="BY356" s="1055" t="str">
        <f t="shared" si="563"/>
        <v>-</v>
      </c>
      <c r="BZ356" s="1056" t="str">
        <f t="shared" si="563"/>
        <v>-</v>
      </c>
      <c r="CA356" s="1048"/>
    </row>
    <row r="357" spans="3:79" x14ac:dyDescent="0.3">
      <c r="C357" s="126"/>
      <c r="D357" s="126">
        <f>D354+1</f>
        <v>97</v>
      </c>
      <c r="E357" s="553" t="s">
        <v>45</v>
      </c>
      <c r="F357" s="2105" t="s">
        <v>28</v>
      </c>
      <c r="G357" s="2105"/>
      <c r="H357" s="2105"/>
      <c r="I357" s="573" t="s">
        <v>319</v>
      </c>
      <c r="J357" s="573" t="s">
        <v>348</v>
      </c>
      <c r="K357" s="1969"/>
      <c r="L357" s="1970"/>
      <c r="M357" s="1970"/>
      <c r="N357" s="1971"/>
      <c r="O357" s="1970"/>
      <c r="P357" s="1970"/>
      <c r="Q357" s="1970"/>
      <c r="R357" s="1972"/>
      <c r="S357" s="1971"/>
      <c r="T357" s="1970"/>
      <c r="U357" s="1970"/>
      <c r="V357" s="1970"/>
      <c r="W357" s="575"/>
      <c r="X357" s="1238"/>
      <c r="Y357" s="575"/>
      <c r="Z357" s="575"/>
      <c r="AA357" s="575"/>
      <c r="AB357" s="1142"/>
      <c r="AC357" s="575"/>
      <c r="AD357" s="575"/>
      <c r="AE357" s="575"/>
      <c r="AF357" s="575"/>
      <c r="AG357" s="577"/>
      <c r="AH357" s="575"/>
      <c r="AI357" s="575"/>
      <c r="AJ357" s="575"/>
      <c r="AK357" s="575"/>
      <c r="AL357" s="577"/>
      <c r="AM357" s="560"/>
      <c r="AN357" s="1052"/>
      <c r="AO357" s="992"/>
      <c r="AP357" s="2297" t="str">
        <f t="shared" si="505"/>
        <v>Price</v>
      </c>
      <c r="AQ357" s="2298" t="str">
        <f t="shared" si="505"/>
        <v>[Service]</v>
      </c>
      <c r="AR357" s="1719" t="str">
        <f t="shared" si="506"/>
        <v>[Price]</v>
      </c>
      <c r="AS357" s="2299" t="str">
        <f t="shared" si="537"/>
        <v>-</v>
      </c>
      <c r="AT357" s="1728" t="str">
        <f t="shared" si="537"/>
        <v>-</v>
      </c>
      <c r="AU357" s="1728" t="str">
        <f t="shared" si="537"/>
        <v>-</v>
      </c>
      <c r="AV357" s="2300" t="str">
        <f t="shared" si="537"/>
        <v>-</v>
      </c>
      <c r="AW357" s="1728" t="str">
        <f t="shared" si="537"/>
        <v>-</v>
      </c>
      <c r="AX357" s="2301" t="str">
        <f t="shared" si="537"/>
        <v>-</v>
      </c>
      <c r="AY357" s="1728" t="str">
        <f t="shared" si="537"/>
        <v>-</v>
      </c>
      <c r="AZ357" s="1728" t="str">
        <f t="shared" si="537"/>
        <v>-</v>
      </c>
      <c r="BA357" s="1728" t="str">
        <f t="shared" si="537"/>
        <v>-</v>
      </c>
      <c r="BB357" s="1729" t="str">
        <f t="shared" si="537"/>
        <v>-</v>
      </c>
      <c r="BC357" s="1728" t="str">
        <f t="shared" si="537"/>
        <v>-</v>
      </c>
      <c r="BD357" s="1728" t="str">
        <f t="shared" si="537"/>
        <v>-</v>
      </c>
      <c r="BE357" s="1728" t="str">
        <f t="shared" si="537"/>
        <v>-</v>
      </c>
      <c r="BF357" s="1728" t="str">
        <f t="shared" si="537"/>
        <v>-</v>
      </c>
      <c r="BG357" s="1729" t="str">
        <f t="shared" si="537"/>
        <v>-</v>
      </c>
      <c r="BH357" s="1048"/>
      <c r="BI357" s="2297" t="str">
        <f t="shared" si="533"/>
        <v>Price</v>
      </c>
      <c r="BJ357" s="2298" t="str">
        <f t="shared" si="533"/>
        <v>[Service]</v>
      </c>
      <c r="BK357" s="1719" t="str">
        <f t="shared" si="533"/>
        <v>[Price]</v>
      </c>
      <c r="BL357" s="2299" t="str">
        <f t="shared" ref="BL357:BZ357" si="564">IF(OR(X357="",X357=0),"-",IFERROR((X357/W357-1)*(W359/W$13),"-"))</f>
        <v>-</v>
      </c>
      <c r="BM357" s="1053" t="str">
        <f t="shared" si="564"/>
        <v>-</v>
      </c>
      <c r="BN357" s="1053" t="str">
        <f t="shared" si="564"/>
        <v>-</v>
      </c>
      <c r="BO357" s="2302" t="str">
        <f t="shared" si="564"/>
        <v>-</v>
      </c>
      <c r="BP357" s="1053" t="str">
        <f t="shared" si="564"/>
        <v>-</v>
      </c>
      <c r="BQ357" s="2303" t="str">
        <f t="shared" si="564"/>
        <v>-</v>
      </c>
      <c r="BR357" s="1053" t="str">
        <f t="shared" si="564"/>
        <v>-</v>
      </c>
      <c r="BS357" s="1053" t="str">
        <f t="shared" si="564"/>
        <v>-</v>
      </c>
      <c r="BT357" s="1053" t="str">
        <f t="shared" si="564"/>
        <v>-</v>
      </c>
      <c r="BU357" s="1054" t="str">
        <f t="shared" si="564"/>
        <v>-</v>
      </c>
      <c r="BV357" s="1053" t="str">
        <f t="shared" si="564"/>
        <v>-</v>
      </c>
      <c r="BW357" s="1053" t="str">
        <f t="shared" si="564"/>
        <v>-</v>
      </c>
      <c r="BX357" s="1053" t="str">
        <f t="shared" si="564"/>
        <v>-</v>
      </c>
      <c r="BY357" s="1053" t="str">
        <f t="shared" si="564"/>
        <v>-</v>
      </c>
      <c r="BZ357" s="1054" t="str">
        <f t="shared" si="564"/>
        <v>-</v>
      </c>
      <c r="CA357" s="1048"/>
    </row>
    <row r="358" spans="3:79" x14ac:dyDescent="0.3">
      <c r="C358" s="126"/>
      <c r="D358" s="126"/>
      <c r="E358" s="558" t="s">
        <v>46</v>
      </c>
      <c r="F358" s="2161" t="str">
        <f t="shared" ref="F358:I373" si="565">+F357</f>
        <v>[Service]</v>
      </c>
      <c r="G358" s="2163">
        <f t="shared" si="565"/>
        <v>0</v>
      </c>
      <c r="H358" s="2163">
        <f t="shared" si="565"/>
        <v>0</v>
      </c>
      <c r="I358" s="2164" t="str">
        <f t="shared" si="565"/>
        <v>[Price]</v>
      </c>
      <c r="J358" s="574" t="s">
        <v>323</v>
      </c>
      <c r="K358" s="1973"/>
      <c r="L358" s="1974"/>
      <c r="M358" s="1974"/>
      <c r="N358" s="1975"/>
      <c r="O358" s="1974"/>
      <c r="P358" s="1974"/>
      <c r="Q358" s="1974"/>
      <c r="R358" s="1976"/>
      <c r="S358" s="1975"/>
      <c r="T358" s="1974"/>
      <c r="U358" s="1974"/>
      <c r="V358" s="1974"/>
      <c r="W358" s="578"/>
      <c r="X358" s="1239"/>
      <c r="Y358" s="578"/>
      <c r="Z358" s="578"/>
      <c r="AA358" s="578"/>
      <c r="AB358" s="1143"/>
      <c r="AC358" s="578"/>
      <c r="AD358" s="578"/>
      <c r="AE358" s="578"/>
      <c r="AF358" s="578"/>
      <c r="AG358" s="580"/>
      <c r="AH358" s="578"/>
      <c r="AI358" s="578"/>
      <c r="AJ358" s="578"/>
      <c r="AK358" s="578"/>
      <c r="AL358" s="580"/>
      <c r="AM358" s="560"/>
      <c r="AN358" s="991"/>
      <c r="AO358" s="992"/>
      <c r="AP358" s="2285" t="str">
        <f t="shared" si="505"/>
        <v>Qty</v>
      </c>
      <c r="AQ358" s="2286" t="str">
        <f t="shared" si="505"/>
        <v>[Service]</v>
      </c>
      <c r="AR358" s="2287" t="str">
        <f t="shared" si="506"/>
        <v>[Price]</v>
      </c>
      <c r="AS358" s="2288" t="str">
        <f t="shared" ref="AS358:BG374" si="566">IF(OR(X358="",X358=0),"-",IFERROR(X358/W358-1,"-"))</f>
        <v>-</v>
      </c>
      <c r="AT358" s="1720" t="str">
        <f t="shared" si="566"/>
        <v>-</v>
      </c>
      <c r="AU358" s="1720" t="str">
        <f t="shared" si="566"/>
        <v>-</v>
      </c>
      <c r="AV358" s="2289" t="str">
        <f t="shared" si="566"/>
        <v>-</v>
      </c>
      <c r="AW358" s="1720" t="str">
        <f t="shared" si="566"/>
        <v>-</v>
      </c>
      <c r="AX358" s="2290" t="str">
        <f t="shared" si="566"/>
        <v>-</v>
      </c>
      <c r="AY358" s="1720" t="str">
        <f t="shared" si="566"/>
        <v>-</v>
      </c>
      <c r="AZ358" s="1720" t="str">
        <f t="shared" si="566"/>
        <v>-</v>
      </c>
      <c r="BA358" s="1720" t="str">
        <f t="shared" si="566"/>
        <v>-</v>
      </c>
      <c r="BB358" s="1721" t="str">
        <f t="shared" si="566"/>
        <v>-</v>
      </c>
      <c r="BC358" s="1720" t="str">
        <f t="shared" si="566"/>
        <v>-</v>
      </c>
      <c r="BD358" s="1720" t="str">
        <f t="shared" si="566"/>
        <v>-</v>
      </c>
      <c r="BE358" s="1720" t="str">
        <f t="shared" si="566"/>
        <v>-</v>
      </c>
      <c r="BF358" s="1720" t="str">
        <f t="shared" si="566"/>
        <v>-</v>
      </c>
      <c r="BG358" s="1721" t="str">
        <f t="shared" si="566"/>
        <v>-</v>
      </c>
      <c r="BH358" s="1048"/>
      <c r="BI358" s="2285" t="str">
        <f t="shared" si="533"/>
        <v>Qty</v>
      </c>
      <c r="BJ358" s="2286" t="str">
        <f t="shared" si="533"/>
        <v>[Service]</v>
      </c>
      <c r="BK358" s="2287" t="str">
        <f t="shared" si="533"/>
        <v>[Price]</v>
      </c>
      <c r="BL358" s="2288" t="str">
        <f t="shared" ref="BL358:BZ358" si="567">IF(OR(X358="",X358=0),"-",IFERROR((X358/W358-1)*(W359/W$13),"-"))</f>
        <v>-</v>
      </c>
      <c r="BM358" s="1720" t="str">
        <f t="shared" si="567"/>
        <v>-</v>
      </c>
      <c r="BN358" s="1720" t="str">
        <f t="shared" si="567"/>
        <v>-</v>
      </c>
      <c r="BO358" s="2289" t="str">
        <f t="shared" si="567"/>
        <v>-</v>
      </c>
      <c r="BP358" s="1720" t="str">
        <f t="shared" si="567"/>
        <v>-</v>
      </c>
      <c r="BQ358" s="2290" t="str">
        <f t="shared" si="567"/>
        <v>-</v>
      </c>
      <c r="BR358" s="1720" t="str">
        <f t="shared" si="567"/>
        <v>-</v>
      </c>
      <c r="BS358" s="1720" t="str">
        <f t="shared" si="567"/>
        <v>-</v>
      </c>
      <c r="BT358" s="1720" t="str">
        <f t="shared" si="567"/>
        <v>-</v>
      </c>
      <c r="BU358" s="1721" t="str">
        <f t="shared" si="567"/>
        <v>-</v>
      </c>
      <c r="BV358" s="1720" t="str">
        <f t="shared" si="567"/>
        <v>-</v>
      </c>
      <c r="BW358" s="1720" t="str">
        <f t="shared" si="567"/>
        <v>-</v>
      </c>
      <c r="BX358" s="1720" t="str">
        <f t="shared" si="567"/>
        <v>-</v>
      </c>
      <c r="BY358" s="1720" t="str">
        <f t="shared" si="567"/>
        <v>-</v>
      </c>
      <c r="BZ358" s="1721" t="str">
        <f t="shared" si="567"/>
        <v>-</v>
      </c>
      <c r="CA358" s="1048"/>
    </row>
    <row r="359" spans="3:79" ht="12.5" thickBot="1" x14ac:dyDescent="0.35">
      <c r="C359" s="126"/>
      <c r="D359" s="126"/>
      <c r="E359" s="559" t="s">
        <v>47</v>
      </c>
      <c r="F359" s="2162" t="str">
        <f t="shared" ref="F359:I359" si="568">+F357</f>
        <v>[Service]</v>
      </c>
      <c r="G359" s="2165">
        <f t="shared" si="568"/>
        <v>0</v>
      </c>
      <c r="H359" s="2165">
        <f t="shared" si="568"/>
        <v>0</v>
      </c>
      <c r="I359" s="2166" t="str">
        <f t="shared" si="568"/>
        <v>[Price]</v>
      </c>
      <c r="J359" s="2106" t="s">
        <v>347</v>
      </c>
      <c r="K359" s="1977"/>
      <c r="L359" s="1206"/>
      <c r="M359" s="1206"/>
      <c r="N359" s="1978"/>
      <c r="O359" s="1206"/>
      <c r="P359" s="1206"/>
      <c r="Q359" s="1206"/>
      <c r="R359" s="1206"/>
      <c r="S359" s="1978"/>
      <c r="T359" s="1206"/>
      <c r="U359" s="1206"/>
      <c r="V359" s="1206"/>
      <c r="W359" s="1731">
        <f t="shared" ref="W359:AG359" si="569">W357*W358/10^6</f>
        <v>0</v>
      </c>
      <c r="X359" s="1730">
        <f t="shared" si="569"/>
        <v>0</v>
      </c>
      <c r="Y359" s="1731">
        <f t="shared" si="569"/>
        <v>0</v>
      </c>
      <c r="Z359" s="1731">
        <f t="shared" si="569"/>
        <v>0</v>
      </c>
      <c r="AA359" s="1731">
        <f t="shared" si="569"/>
        <v>0</v>
      </c>
      <c r="AB359" s="1733">
        <f t="shared" si="569"/>
        <v>0</v>
      </c>
      <c r="AC359" s="1731">
        <f t="shared" si="569"/>
        <v>0</v>
      </c>
      <c r="AD359" s="1731">
        <f t="shared" si="569"/>
        <v>0</v>
      </c>
      <c r="AE359" s="1731">
        <f t="shared" si="569"/>
        <v>0</v>
      </c>
      <c r="AF359" s="1731">
        <f t="shared" si="569"/>
        <v>0</v>
      </c>
      <c r="AG359" s="1733">
        <f t="shared" si="569"/>
        <v>0</v>
      </c>
      <c r="AH359" s="1731">
        <f>AH357*AH358/10^6</f>
        <v>0</v>
      </c>
      <c r="AI359" s="1731">
        <f>AI357*AI358/10^6</f>
        <v>0</v>
      </c>
      <c r="AJ359" s="1731">
        <f>AJ357*AJ358/10^6</f>
        <v>0</v>
      </c>
      <c r="AK359" s="1731">
        <f>AK357*AK358/10^6</f>
        <v>0</v>
      </c>
      <c r="AL359" s="1733">
        <f>AL357*AL358/10^6</f>
        <v>0</v>
      </c>
      <c r="AM359" s="560"/>
      <c r="AN359" s="991"/>
      <c r="AO359" s="992"/>
      <c r="AP359" s="2304" t="str">
        <f t="shared" si="505"/>
        <v>Rev</v>
      </c>
      <c r="AQ359" s="2305" t="str">
        <f t="shared" si="505"/>
        <v>[Service]</v>
      </c>
      <c r="AR359" s="2306" t="str">
        <f t="shared" si="506"/>
        <v>[Price]</v>
      </c>
      <c r="AS359" s="2307" t="str">
        <f t="shared" si="566"/>
        <v>-</v>
      </c>
      <c r="AT359" s="1055" t="str">
        <f t="shared" si="566"/>
        <v>-</v>
      </c>
      <c r="AU359" s="1055" t="str">
        <f t="shared" si="566"/>
        <v>-</v>
      </c>
      <c r="AV359" s="2308" t="str">
        <f t="shared" si="566"/>
        <v>-</v>
      </c>
      <c r="AW359" s="1055" t="str">
        <f t="shared" si="566"/>
        <v>-</v>
      </c>
      <c r="AX359" s="2309" t="str">
        <f t="shared" si="566"/>
        <v>-</v>
      </c>
      <c r="AY359" s="1055" t="str">
        <f t="shared" si="566"/>
        <v>-</v>
      </c>
      <c r="AZ359" s="1055" t="str">
        <f t="shared" si="566"/>
        <v>-</v>
      </c>
      <c r="BA359" s="1055" t="str">
        <f t="shared" si="566"/>
        <v>-</v>
      </c>
      <c r="BB359" s="1056" t="str">
        <f t="shared" si="566"/>
        <v>-</v>
      </c>
      <c r="BC359" s="1055" t="str">
        <f t="shared" si="566"/>
        <v>-</v>
      </c>
      <c r="BD359" s="1055" t="str">
        <f t="shared" si="566"/>
        <v>-</v>
      </c>
      <c r="BE359" s="1055" t="str">
        <f t="shared" si="566"/>
        <v>-</v>
      </c>
      <c r="BF359" s="1055" t="str">
        <f t="shared" si="566"/>
        <v>-</v>
      </c>
      <c r="BG359" s="1056" t="str">
        <f t="shared" si="566"/>
        <v>-</v>
      </c>
      <c r="BH359" s="1048"/>
      <c r="BI359" s="2304" t="str">
        <f t="shared" si="533"/>
        <v>Rev</v>
      </c>
      <c r="BJ359" s="2305" t="str">
        <f t="shared" si="533"/>
        <v>[Service]</v>
      </c>
      <c r="BK359" s="2306" t="str">
        <f t="shared" si="533"/>
        <v>[Price]</v>
      </c>
      <c r="BL359" s="2307" t="str">
        <f t="shared" ref="BL359:BZ359" si="570">IF(OR(X359="",X359=0),"-",IFERROR((X359/W359-1)*(W359/W$13),"-"))</f>
        <v>-</v>
      </c>
      <c r="BM359" s="1055" t="str">
        <f t="shared" si="570"/>
        <v>-</v>
      </c>
      <c r="BN359" s="1055" t="str">
        <f t="shared" si="570"/>
        <v>-</v>
      </c>
      <c r="BO359" s="2308" t="str">
        <f t="shared" si="570"/>
        <v>-</v>
      </c>
      <c r="BP359" s="1055" t="str">
        <f t="shared" si="570"/>
        <v>-</v>
      </c>
      <c r="BQ359" s="2309" t="str">
        <f t="shared" si="570"/>
        <v>-</v>
      </c>
      <c r="BR359" s="1055" t="str">
        <f t="shared" si="570"/>
        <v>-</v>
      </c>
      <c r="BS359" s="1055" t="str">
        <f t="shared" si="570"/>
        <v>-</v>
      </c>
      <c r="BT359" s="1055" t="str">
        <f t="shared" si="570"/>
        <v>-</v>
      </c>
      <c r="BU359" s="1056" t="str">
        <f t="shared" si="570"/>
        <v>-</v>
      </c>
      <c r="BV359" s="1055" t="str">
        <f t="shared" si="570"/>
        <v>-</v>
      </c>
      <c r="BW359" s="1055" t="str">
        <f t="shared" si="570"/>
        <v>-</v>
      </c>
      <c r="BX359" s="1055" t="str">
        <f t="shared" si="570"/>
        <v>-</v>
      </c>
      <c r="BY359" s="1055" t="str">
        <f t="shared" si="570"/>
        <v>-</v>
      </c>
      <c r="BZ359" s="1056" t="str">
        <f t="shared" si="570"/>
        <v>-</v>
      </c>
      <c r="CA359" s="1048"/>
    </row>
    <row r="360" spans="3:79" x14ac:dyDescent="0.3">
      <c r="C360" s="126"/>
      <c r="D360" s="126">
        <f>D357+1</f>
        <v>98</v>
      </c>
      <c r="E360" s="553" t="s">
        <v>45</v>
      </c>
      <c r="F360" s="2105" t="s">
        <v>28</v>
      </c>
      <c r="G360" s="2105"/>
      <c r="H360" s="2105"/>
      <c r="I360" s="573" t="s">
        <v>319</v>
      </c>
      <c r="J360" s="573" t="s">
        <v>348</v>
      </c>
      <c r="K360" s="1969"/>
      <c r="L360" s="1970"/>
      <c r="M360" s="1970"/>
      <c r="N360" s="1971"/>
      <c r="O360" s="1970"/>
      <c r="P360" s="1970"/>
      <c r="Q360" s="1970"/>
      <c r="R360" s="1972"/>
      <c r="S360" s="1971"/>
      <c r="T360" s="1970"/>
      <c r="U360" s="1970"/>
      <c r="V360" s="1970"/>
      <c r="W360" s="575"/>
      <c r="X360" s="1238"/>
      <c r="Y360" s="575"/>
      <c r="Z360" s="575"/>
      <c r="AA360" s="575"/>
      <c r="AB360" s="1142"/>
      <c r="AC360" s="575"/>
      <c r="AD360" s="575"/>
      <c r="AE360" s="575"/>
      <c r="AF360" s="575"/>
      <c r="AG360" s="577"/>
      <c r="AH360" s="575"/>
      <c r="AI360" s="575"/>
      <c r="AJ360" s="575"/>
      <c r="AK360" s="575"/>
      <c r="AL360" s="577"/>
      <c r="AM360" s="560"/>
      <c r="AN360" s="1052"/>
      <c r="AO360" s="992"/>
      <c r="AP360" s="2297" t="str">
        <f t="shared" si="505"/>
        <v>Price</v>
      </c>
      <c r="AQ360" s="2298" t="str">
        <f t="shared" si="505"/>
        <v>[Service]</v>
      </c>
      <c r="AR360" s="1719" t="str">
        <f t="shared" si="506"/>
        <v>[Price]</v>
      </c>
      <c r="AS360" s="2299" t="str">
        <f t="shared" si="566"/>
        <v>-</v>
      </c>
      <c r="AT360" s="1728" t="str">
        <f t="shared" si="566"/>
        <v>-</v>
      </c>
      <c r="AU360" s="1728" t="str">
        <f t="shared" si="566"/>
        <v>-</v>
      </c>
      <c r="AV360" s="2300" t="str">
        <f t="shared" si="566"/>
        <v>-</v>
      </c>
      <c r="AW360" s="1728" t="str">
        <f t="shared" si="566"/>
        <v>-</v>
      </c>
      <c r="AX360" s="2301" t="str">
        <f t="shared" si="566"/>
        <v>-</v>
      </c>
      <c r="AY360" s="1728" t="str">
        <f t="shared" si="566"/>
        <v>-</v>
      </c>
      <c r="AZ360" s="1728" t="str">
        <f t="shared" si="566"/>
        <v>-</v>
      </c>
      <c r="BA360" s="1728" t="str">
        <f t="shared" si="566"/>
        <v>-</v>
      </c>
      <c r="BB360" s="1729" t="str">
        <f t="shared" si="566"/>
        <v>-</v>
      </c>
      <c r="BC360" s="1728" t="str">
        <f t="shared" si="566"/>
        <v>-</v>
      </c>
      <c r="BD360" s="1728" t="str">
        <f t="shared" si="566"/>
        <v>-</v>
      </c>
      <c r="BE360" s="1728" t="str">
        <f t="shared" si="566"/>
        <v>-</v>
      </c>
      <c r="BF360" s="1728" t="str">
        <f t="shared" si="566"/>
        <v>-</v>
      </c>
      <c r="BG360" s="1729" t="str">
        <f t="shared" si="566"/>
        <v>-</v>
      </c>
      <c r="BH360" s="1048"/>
      <c r="BI360" s="2297" t="str">
        <f t="shared" si="533"/>
        <v>Price</v>
      </c>
      <c r="BJ360" s="2298" t="str">
        <f t="shared" si="533"/>
        <v>[Service]</v>
      </c>
      <c r="BK360" s="1719" t="str">
        <f t="shared" si="533"/>
        <v>[Price]</v>
      </c>
      <c r="BL360" s="2299" t="str">
        <f t="shared" ref="BL360:BZ360" si="571">IF(OR(X360="",X360=0),"-",IFERROR((X360/W360-1)*(W362/W$13),"-"))</f>
        <v>-</v>
      </c>
      <c r="BM360" s="1053" t="str">
        <f t="shared" si="571"/>
        <v>-</v>
      </c>
      <c r="BN360" s="1053" t="str">
        <f t="shared" si="571"/>
        <v>-</v>
      </c>
      <c r="BO360" s="2302" t="str">
        <f t="shared" si="571"/>
        <v>-</v>
      </c>
      <c r="BP360" s="1053" t="str">
        <f t="shared" si="571"/>
        <v>-</v>
      </c>
      <c r="BQ360" s="2303" t="str">
        <f t="shared" si="571"/>
        <v>-</v>
      </c>
      <c r="BR360" s="1053" t="str">
        <f t="shared" si="571"/>
        <v>-</v>
      </c>
      <c r="BS360" s="1053" t="str">
        <f t="shared" si="571"/>
        <v>-</v>
      </c>
      <c r="BT360" s="1053" t="str">
        <f t="shared" si="571"/>
        <v>-</v>
      </c>
      <c r="BU360" s="1054" t="str">
        <f t="shared" si="571"/>
        <v>-</v>
      </c>
      <c r="BV360" s="1053" t="str">
        <f t="shared" si="571"/>
        <v>-</v>
      </c>
      <c r="BW360" s="1053" t="str">
        <f t="shared" si="571"/>
        <v>-</v>
      </c>
      <c r="BX360" s="1053" t="str">
        <f t="shared" si="571"/>
        <v>-</v>
      </c>
      <c r="BY360" s="1053" t="str">
        <f t="shared" si="571"/>
        <v>-</v>
      </c>
      <c r="BZ360" s="1054" t="str">
        <f t="shared" si="571"/>
        <v>-</v>
      </c>
      <c r="CA360" s="1048"/>
    </row>
    <row r="361" spans="3:79" x14ac:dyDescent="0.3">
      <c r="C361" s="126"/>
      <c r="D361" s="126"/>
      <c r="E361" s="558" t="s">
        <v>46</v>
      </c>
      <c r="F361" s="2161" t="str">
        <f t="shared" si="565"/>
        <v>[Service]</v>
      </c>
      <c r="G361" s="2163">
        <f t="shared" si="565"/>
        <v>0</v>
      </c>
      <c r="H361" s="2163">
        <f t="shared" si="565"/>
        <v>0</v>
      </c>
      <c r="I361" s="2164" t="str">
        <f t="shared" si="565"/>
        <v>[Price]</v>
      </c>
      <c r="J361" s="574" t="s">
        <v>323</v>
      </c>
      <c r="K361" s="1973"/>
      <c r="L361" s="1974"/>
      <c r="M361" s="1974"/>
      <c r="N361" s="1975"/>
      <c r="O361" s="1974"/>
      <c r="P361" s="1974"/>
      <c r="Q361" s="1974"/>
      <c r="R361" s="1976"/>
      <c r="S361" s="1975"/>
      <c r="T361" s="1974"/>
      <c r="U361" s="1974"/>
      <c r="V361" s="1974"/>
      <c r="W361" s="578"/>
      <c r="X361" s="1239"/>
      <c r="Y361" s="578"/>
      <c r="Z361" s="578"/>
      <c r="AA361" s="578"/>
      <c r="AB361" s="1143"/>
      <c r="AC361" s="578"/>
      <c r="AD361" s="578"/>
      <c r="AE361" s="578"/>
      <c r="AF361" s="578"/>
      <c r="AG361" s="580"/>
      <c r="AH361" s="578"/>
      <c r="AI361" s="578"/>
      <c r="AJ361" s="578"/>
      <c r="AK361" s="578"/>
      <c r="AL361" s="580"/>
      <c r="AM361" s="560"/>
      <c r="AN361" s="991"/>
      <c r="AO361" s="992"/>
      <c r="AP361" s="2285" t="str">
        <f t="shared" si="505"/>
        <v>Qty</v>
      </c>
      <c r="AQ361" s="2286" t="str">
        <f t="shared" si="505"/>
        <v>[Service]</v>
      </c>
      <c r="AR361" s="2287" t="str">
        <f t="shared" si="506"/>
        <v>[Price]</v>
      </c>
      <c r="AS361" s="2288" t="str">
        <f t="shared" si="566"/>
        <v>-</v>
      </c>
      <c r="AT361" s="1720" t="str">
        <f t="shared" si="566"/>
        <v>-</v>
      </c>
      <c r="AU361" s="1720" t="str">
        <f t="shared" si="566"/>
        <v>-</v>
      </c>
      <c r="AV361" s="2289" t="str">
        <f t="shared" si="566"/>
        <v>-</v>
      </c>
      <c r="AW361" s="1720" t="str">
        <f t="shared" si="566"/>
        <v>-</v>
      </c>
      <c r="AX361" s="2290" t="str">
        <f t="shared" si="566"/>
        <v>-</v>
      </c>
      <c r="AY361" s="1720" t="str">
        <f t="shared" si="566"/>
        <v>-</v>
      </c>
      <c r="AZ361" s="1720" t="str">
        <f t="shared" si="566"/>
        <v>-</v>
      </c>
      <c r="BA361" s="1720" t="str">
        <f t="shared" si="566"/>
        <v>-</v>
      </c>
      <c r="BB361" s="1721" t="str">
        <f t="shared" si="566"/>
        <v>-</v>
      </c>
      <c r="BC361" s="1720" t="str">
        <f t="shared" si="566"/>
        <v>-</v>
      </c>
      <c r="BD361" s="1720" t="str">
        <f t="shared" si="566"/>
        <v>-</v>
      </c>
      <c r="BE361" s="1720" t="str">
        <f t="shared" si="566"/>
        <v>-</v>
      </c>
      <c r="BF361" s="1720" t="str">
        <f t="shared" si="566"/>
        <v>-</v>
      </c>
      <c r="BG361" s="1721" t="str">
        <f t="shared" si="566"/>
        <v>-</v>
      </c>
      <c r="BH361" s="1048"/>
      <c r="BI361" s="2285" t="str">
        <f t="shared" si="533"/>
        <v>Qty</v>
      </c>
      <c r="BJ361" s="2286" t="str">
        <f t="shared" si="533"/>
        <v>[Service]</v>
      </c>
      <c r="BK361" s="2287" t="str">
        <f t="shared" si="533"/>
        <v>[Price]</v>
      </c>
      <c r="BL361" s="2288" t="str">
        <f t="shared" ref="BL361:BZ361" si="572">IF(OR(X361="",X361=0),"-",IFERROR((X361/W361-1)*(W362/W$13),"-"))</f>
        <v>-</v>
      </c>
      <c r="BM361" s="1720" t="str">
        <f t="shared" si="572"/>
        <v>-</v>
      </c>
      <c r="BN361" s="1720" t="str">
        <f t="shared" si="572"/>
        <v>-</v>
      </c>
      <c r="BO361" s="2289" t="str">
        <f t="shared" si="572"/>
        <v>-</v>
      </c>
      <c r="BP361" s="1720" t="str">
        <f t="shared" si="572"/>
        <v>-</v>
      </c>
      <c r="BQ361" s="2290" t="str">
        <f t="shared" si="572"/>
        <v>-</v>
      </c>
      <c r="BR361" s="1720" t="str">
        <f t="shared" si="572"/>
        <v>-</v>
      </c>
      <c r="BS361" s="1720" t="str">
        <f t="shared" si="572"/>
        <v>-</v>
      </c>
      <c r="BT361" s="1720" t="str">
        <f t="shared" si="572"/>
        <v>-</v>
      </c>
      <c r="BU361" s="1721" t="str">
        <f t="shared" si="572"/>
        <v>-</v>
      </c>
      <c r="BV361" s="1720" t="str">
        <f t="shared" si="572"/>
        <v>-</v>
      </c>
      <c r="BW361" s="1720" t="str">
        <f t="shared" si="572"/>
        <v>-</v>
      </c>
      <c r="BX361" s="1720" t="str">
        <f t="shared" si="572"/>
        <v>-</v>
      </c>
      <c r="BY361" s="1720" t="str">
        <f t="shared" si="572"/>
        <v>-</v>
      </c>
      <c r="BZ361" s="1721" t="str">
        <f t="shared" si="572"/>
        <v>-</v>
      </c>
      <c r="CA361" s="1048"/>
    </row>
    <row r="362" spans="3:79" ht="12.5" thickBot="1" x14ac:dyDescent="0.35">
      <c r="C362" s="126"/>
      <c r="D362" s="126"/>
      <c r="E362" s="559" t="s">
        <v>47</v>
      </c>
      <c r="F362" s="2162" t="str">
        <f t="shared" ref="F362:I362" si="573">+F360</f>
        <v>[Service]</v>
      </c>
      <c r="G362" s="2165">
        <f t="shared" si="573"/>
        <v>0</v>
      </c>
      <c r="H362" s="2165">
        <f t="shared" si="573"/>
        <v>0</v>
      </c>
      <c r="I362" s="2166" t="str">
        <f t="shared" si="573"/>
        <v>[Price]</v>
      </c>
      <c r="J362" s="2106" t="s">
        <v>347</v>
      </c>
      <c r="K362" s="1977"/>
      <c r="L362" s="1206"/>
      <c r="M362" s="1206"/>
      <c r="N362" s="1978"/>
      <c r="O362" s="1206"/>
      <c r="P362" s="1206"/>
      <c r="Q362" s="1206"/>
      <c r="R362" s="1206"/>
      <c r="S362" s="1978"/>
      <c r="T362" s="1206"/>
      <c r="U362" s="1206"/>
      <c r="V362" s="1206"/>
      <c r="W362" s="1731">
        <f t="shared" ref="W362:AG362" si="574">W360*W361/10^6</f>
        <v>0</v>
      </c>
      <c r="X362" s="1730">
        <f t="shared" si="574"/>
        <v>0</v>
      </c>
      <c r="Y362" s="1731">
        <f t="shared" si="574"/>
        <v>0</v>
      </c>
      <c r="Z362" s="1731">
        <f t="shared" si="574"/>
        <v>0</v>
      </c>
      <c r="AA362" s="1731">
        <f t="shared" si="574"/>
        <v>0</v>
      </c>
      <c r="AB362" s="1733">
        <f t="shared" si="574"/>
        <v>0</v>
      </c>
      <c r="AC362" s="1731">
        <f t="shared" si="574"/>
        <v>0</v>
      </c>
      <c r="AD362" s="1731">
        <f t="shared" si="574"/>
        <v>0</v>
      </c>
      <c r="AE362" s="1731">
        <f t="shared" si="574"/>
        <v>0</v>
      </c>
      <c r="AF362" s="1731">
        <f t="shared" si="574"/>
        <v>0</v>
      </c>
      <c r="AG362" s="1733">
        <f t="shared" si="574"/>
        <v>0</v>
      </c>
      <c r="AH362" s="1731">
        <f>AH360*AH361/10^6</f>
        <v>0</v>
      </c>
      <c r="AI362" s="1731">
        <f>AI360*AI361/10^6</f>
        <v>0</v>
      </c>
      <c r="AJ362" s="1731">
        <f>AJ360*AJ361/10^6</f>
        <v>0</v>
      </c>
      <c r="AK362" s="1731">
        <f>AK360*AK361/10^6</f>
        <v>0</v>
      </c>
      <c r="AL362" s="1733">
        <f>AL360*AL361/10^6</f>
        <v>0</v>
      </c>
      <c r="AM362" s="560"/>
      <c r="AN362" s="991"/>
      <c r="AO362" s="992"/>
      <c r="AP362" s="2304" t="str">
        <f t="shared" si="505"/>
        <v>Rev</v>
      </c>
      <c r="AQ362" s="2305" t="str">
        <f t="shared" si="505"/>
        <v>[Service]</v>
      </c>
      <c r="AR362" s="2306" t="str">
        <f t="shared" si="506"/>
        <v>[Price]</v>
      </c>
      <c r="AS362" s="2307" t="str">
        <f t="shared" si="566"/>
        <v>-</v>
      </c>
      <c r="AT362" s="1055" t="str">
        <f t="shared" si="566"/>
        <v>-</v>
      </c>
      <c r="AU362" s="1055" t="str">
        <f t="shared" si="566"/>
        <v>-</v>
      </c>
      <c r="AV362" s="2308" t="str">
        <f t="shared" si="566"/>
        <v>-</v>
      </c>
      <c r="AW362" s="1055" t="str">
        <f t="shared" si="566"/>
        <v>-</v>
      </c>
      <c r="AX362" s="2309" t="str">
        <f t="shared" si="566"/>
        <v>-</v>
      </c>
      <c r="AY362" s="1055" t="str">
        <f t="shared" si="566"/>
        <v>-</v>
      </c>
      <c r="AZ362" s="1055" t="str">
        <f t="shared" si="566"/>
        <v>-</v>
      </c>
      <c r="BA362" s="1055" t="str">
        <f t="shared" si="566"/>
        <v>-</v>
      </c>
      <c r="BB362" s="1056" t="str">
        <f t="shared" si="566"/>
        <v>-</v>
      </c>
      <c r="BC362" s="1055" t="str">
        <f t="shared" si="566"/>
        <v>-</v>
      </c>
      <c r="BD362" s="1055" t="str">
        <f t="shared" si="566"/>
        <v>-</v>
      </c>
      <c r="BE362" s="1055" t="str">
        <f t="shared" si="566"/>
        <v>-</v>
      </c>
      <c r="BF362" s="1055" t="str">
        <f t="shared" si="566"/>
        <v>-</v>
      </c>
      <c r="BG362" s="1056" t="str">
        <f t="shared" si="566"/>
        <v>-</v>
      </c>
      <c r="BH362" s="1048"/>
      <c r="BI362" s="2304" t="str">
        <f t="shared" si="533"/>
        <v>Rev</v>
      </c>
      <c r="BJ362" s="2305" t="str">
        <f t="shared" si="533"/>
        <v>[Service]</v>
      </c>
      <c r="BK362" s="2306" t="str">
        <f t="shared" si="533"/>
        <v>[Price]</v>
      </c>
      <c r="BL362" s="2307" t="str">
        <f t="shared" ref="BL362:BZ362" si="575">IF(OR(X362="",X362=0),"-",IFERROR((X362/W362-1)*(W362/W$13),"-"))</f>
        <v>-</v>
      </c>
      <c r="BM362" s="1055" t="str">
        <f t="shared" si="575"/>
        <v>-</v>
      </c>
      <c r="BN362" s="1055" t="str">
        <f t="shared" si="575"/>
        <v>-</v>
      </c>
      <c r="BO362" s="2308" t="str">
        <f t="shared" si="575"/>
        <v>-</v>
      </c>
      <c r="BP362" s="1055" t="str">
        <f t="shared" si="575"/>
        <v>-</v>
      </c>
      <c r="BQ362" s="2309" t="str">
        <f t="shared" si="575"/>
        <v>-</v>
      </c>
      <c r="BR362" s="1055" t="str">
        <f t="shared" si="575"/>
        <v>-</v>
      </c>
      <c r="BS362" s="1055" t="str">
        <f t="shared" si="575"/>
        <v>-</v>
      </c>
      <c r="BT362" s="1055" t="str">
        <f t="shared" si="575"/>
        <v>-</v>
      </c>
      <c r="BU362" s="1056" t="str">
        <f t="shared" si="575"/>
        <v>-</v>
      </c>
      <c r="BV362" s="1055" t="str">
        <f t="shared" si="575"/>
        <v>-</v>
      </c>
      <c r="BW362" s="1055" t="str">
        <f t="shared" si="575"/>
        <v>-</v>
      </c>
      <c r="BX362" s="1055" t="str">
        <f t="shared" si="575"/>
        <v>-</v>
      </c>
      <c r="BY362" s="1055" t="str">
        <f t="shared" si="575"/>
        <v>-</v>
      </c>
      <c r="BZ362" s="1056" t="str">
        <f t="shared" si="575"/>
        <v>-</v>
      </c>
      <c r="CA362" s="1048"/>
    </row>
    <row r="363" spans="3:79" x14ac:dyDescent="0.3">
      <c r="C363" s="126"/>
      <c r="D363" s="126">
        <f>D360+1</f>
        <v>99</v>
      </c>
      <c r="E363" s="553" t="s">
        <v>45</v>
      </c>
      <c r="F363" s="2105" t="s">
        <v>28</v>
      </c>
      <c r="G363" s="2105"/>
      <c r="H363" s="2105"/>
      <c r="I363" s="573" t="s">
        <v>319</v>
      </c>
      <c r="J363" s="573" t="s">
        <v>348</v>
      </c>
      <c r="K363" s="1969"/>
      <c r="L363" s="1970"/>
      <c r="M363" s="1970"/>
      <c r="N363" s="1971"/>
      <c r="O363" s="1970"/>
      <c r="P363" s="1970"/>
      <c r="Q363" s="1970"/>
      <c r="R363" s="1972"/>
      <c r="S363" s="1971"/>
      <c r="T363" s="1970"/>
      <c r="U363" s="1970"/>
      <c r="V363" s="1970"/>
      <c r="W363" s="575"/>
      <c r="X363" s="1238"/>
      <c r="Y363" s="575"/>
      <c r="Z363" s="575"/>
      <c r="AA363" s="575"/>
      <c r="AB363" s="1142"/>
      <c r="AC363" s="575"/>
      <c r="AD363" s="575"/>
      <c r="AE363" s="575"/>
      <c r="AF363" s="575"/>
      <c r="AG363" s="577"/>
      <c r="AH363" s="575"/>
      <c r="AI363" s="575"/>
      <c r="AJ363" s="575"/>
      <c r="AK363" s="575"/>
      <c r="AL363" s="577"/>
      <c r="AM363" s="560"/>
      <c r="AN363" s="1052"/>
      <c r="AO363" s="992"/>
      <c r="AP363" s="2297" t="str">
        <f t="shared" si="505"/>
        <v>Price</v>
      </c>
      <c r="AQ363" s="2298" t="str">
        <f t="shared" si="505"/>
        <v>[Service]</v>
      </c>
      <c r="AR363" s="1719" t="str">
        <f t="shared" si="506"/>
        <v>[Price]</v>
      </c>
      <c r="AS363" s="2299" t="str">
        <f t="shared" si="566"/>
        <v>-</v>
      </c>
      <c r="AT363" s="1728" t="str">
        <f t="shared" si="566"/>
        <v>-</v>
      </c>
      <c r="AU363" s="1728" t="str">
        <f t="shared" si="566"/>
        <v>-</v>
      </c>
      <c r="AV363" s="2300" t="str">
        <f t="shared" si="566"/>
        <v>-</v>
      </c>
      <c r="AW363" s="1728" t="str">
        <f t="shared" si="566"/>
        <v>-</v>
      </c>
      <c r="AX363" s="2301" t="str">
        <f t="shared" si="566"/>
        <v>-</v>
      </c>
      <c r="AY363" s="1728" t="str">
        <f t="shared" si="566"/>
        <v>-</v>
      </c>
      <c r="AZ363" s="1728" t="str">
        <f t="shared" si="566"/>
        <v>-</v>
      </c>
      <c r="BA363" s="1728" t="str">
        <f t="shared" si="566"/>
        <v>-</v>
      </c>
      <c r="BB363" s="1729" t="str">
        <f t="shared" si="566"/>
        <v>-</v>
      </c>
      <c r="BC363" s="1728" t="str">
        <f t="shared" si="566"/>
        <v>-</v>
      </c>
      <c r="BD363" s="1728" t="str">
        <f t="shared" si="566"/>
        <v>-</v>
      </c>
      <c r="BE363" s="1728" t="str">
        <f t="shared" si="566"/>
        <v>-</v>
      </c>
      <c r="BF363" s="1728" t="str">
        <f t="shared" si="566"/>
        <v>-</v>
      </c>
      <c r="BG363" s="1729" t="str">
        <f t="shared" si="566"/>
        <v>-</v>
      </c>
      <c r="BH363" s="1048"/>
      <c r="BI363" s="2297" t="str">
        <f t="shared" si="533"/>
        <v>Price</v>
      </c>
      <c r="BJ363" s="2298" t="str">
        <f t="shared" si="533"/>
        <v>[Service]</v>
      </c>
      <c r="BK363" s="1719" t="str">
        <f t="shared" si="533"/>
        <v>[Price]</v>
      </c>
      <c r="BL363" s="2299" t="str">
        <f t="shared" ref="BL363:BZ363" si="576">IF(OR(X363="",X363=0),"-",IFERROR((X363/W363-1)*(W365/W$13),"-"))</f>
        <v>-</v>
      </c>
      <c r="BM363" s="1053" t="str">
        <f t="shared" si="576"/>
        <v>-</v>
      </c>
      <c r="BN363" s="1053" t="str">
        <f t="shared" si="576"/>
        <v>-</v>
      </c>
      <c r="BO363" s="2302" t="str">
        <f t="shared" si="576"/>
        <v>-</v>
      </c>
      <c r="BP363" s="1053" t="str">
        <f t="shared" si="576"/>
        <v>-</v>
      </c>
      <c r="BQ363" s="2303" t="str">
        <f t="shared" si="576"/>
        <v>-</v>
      </c>
      <c r="BR363" s="1053" t="str">
        <f t="shared" si="576"/>
        <v>-</v>
      </c>
      <c r="BS363" s="1053" t="str">
        <f t="shared" si="576"/>
        <v>-</v>
      </c>
      <c r="BT363" s="1053" t="str">
        <f t="shared" si="576"/>
        <v>-</v>
      </c>
      <c r="BU363" s="1054" t="str">
        <f t="shared" si="576"/>
        <v>-</v>
      </c>
      <c r="BV363" s="1053" t="str">
        <f t="shared" si="576"/>
        <v>-</v>
      </c>
      <c r="BW363" s="1053" t="str">
        <f t="shared" si="576"/>
        <v>-</v>
      </c>
      <c r="BX363" s="1053" t="str">
        <f t="shared" si="576"/>
        <v>-</v>
      </c>
      <c r="BY363" s="1053" t="str">
        <f t="shared" si="576"/>
        <v>-</v>
      </c>
      <c r="BZ363" s="1054" t="str">
        <f t="shared" si="576"/>
        <v>-</v>
      </c>
      <c r="CA363" s="1048"/>
    </row>
    <row r="364" spans="3:79" x14ac:dyDescent="0.3">
      <c r="C364" s="126"/>
      <c r="D364" s="126"/>
      <c r="E364" s="558" t="s">
        <v>46</v>
      </c>
      <c r="F364" s="2161" t="str">
        <f t="shared" si="565"/>
        <v>[Service]</v>
      </c>
      <c r="G364" s="2163">
        <f t="shared" si="565"/>
        <v>0</v>
      </c>
      <c r="H364" s="2163">
        <f t="shared" si="565"/>
        <v>0</v>
      </c>
      <c r="I364" s="2164" t="str">
        <f t="shared" si="565"/>
        <v>[Price]</v>
      </c>
      <c r="J364" s="574" t="s">
        <v>323</v>
      </c>
      <c r="K364" s="1973"/>
      <c r="L364" s="1974"/>
      <c r="M364" s="1974"/>
      <c r="N364" s="1975"/>
      <c r="O364" s="1974"/>
      <c r="P364" s="1974"/>
      <c r="Q364" s="1974"/>
      <c r="R364" s="1976"/>
      <c r="S364" s="1975"/>
      <c r="T364" s="1974"/>
      <c r="U364" s="1974"/>
      <c r="V364" s="1974"/>
      <c r="W364" s="578"/>
      <c r="X364" s="1239"/>
      <c r="Y364" s="578"/>
      <c r="Z364" s="578"/>
      <c r="AA364" s="578"/>
      <c r="AB364" s="1143"/>
      <c r="AC364" s="578"/>
      <c r="AD364" s="578"/>
      <c r="AE364" s="578"/>
      <c r="AF364" s="578"/>
      <c r="AG364" s="580"/>
      <c r="AH364" s="578"/>
      <c r="AI364" s="578"/>
      <c r="AJ364" s="578"/>
      <c r="AK364" s="578"/>
      <c r="AL364" s="580"/>
      <c r="AM364" s="560"/>
      <c r="AN364" s="991"/>
      <c r="AO364" s="992"/>
      <c r="AP364" s="2285" t="str">
        <f t="shared" si="505"/>
        <v>Qty</v>
      </c>
      <c r="AQ364" s="2286" t="str">
        <f t="shared" si="505"/>
        <v>[Service]</v>
      </c>
      <c r="AR364" s="2287" t="str">
        <f t="shared" si="506"/>
        <v>[Price]</v>
      </c>
      <c r="AS364" s="2288" t="str">
        <f t="shared" si="566"/>
        <v>-</v>
      </c>
      <c r="AT364" s="1720" t="str">
        <f t="shared" si="566"/>
        <v>-</v>
      </c>
      <c r="AU364" s="1720" t="str">
        <f t="shared" si="566"/>
        <v>-</v>
      </c>
      <c r="AV364" s="2289" t="str">
        <f t="shared" si="566"/>
        <v>-</v>
      </c>
      <c r="AW364" s="1720" t="str">
        <f t="shared" si="566"/>
        <v>-</v>
      </c>
      <c r="AX364" s="2290" t="str">
        <f t="shared" si="566"/>
        <v>-</v>
      </c>
      <c r="AY364" s="1720" t="str">
        <f t="shared" si="566"/>
        <v>-</v>
      </c>
      <c r="AZ364" s="1720" t="str">
        <f t="shared" si="566"/>
        <v>-</v>
      </c>
      <c r="BA364" s="1720" t="str">
        <f t="shared" si="566"/>
        <v>-</v>
      </c>
      <c r="BB364" s="1721" t="str">
        <f t="shared" si="566"/>
        <v>-</v>
      </c>
      <c r="BC364" s="1720" t="str">
        <f t="shared" si="566"/>
        <v>-</v>
      </c>
      <c r="BD364" s="1720" t="str">
        <f t="shared" si="566"/>
        <v>-</v>
      </c>
      <c r="BE364" s="1720" t="str">
        <f t="shared" si="566"/>
        <v>-</v>
      </c>
      <c r="BF364" s="1720" t="str">
        <f t="shared" si="566"/>
        <v>-</v>
      </c>
      <c r="BG364" s="1721" t="str">
        <f t="shared" si="566"/>
        <v>-</v>
      </c>
      <c r="BH364" s="1048"/>
      <c r="BI364" s="2285" t="str">
        <f t="shared" si="533"/>
        <v>Qty</v>
      </c>
      <c r="BJ364" s="2286" t="str">
        <f t="shared" si="533"/>
        <v>[Service]</v>
      </c>
      <c r="BK364" s="2287" t="str">
        <f t="shared" si="533"/>
        <v>[Price]</v>
      </c>
      <c r="BL364" s="2288" t="str">
        <f t="shared" ref="BL364:BZ364" si="577">IF(OR(X364="",X364=0),"-",IFERROR((X364/W364-1)*(W365/W$13),"-"))</f>
        <v>-</v>
      </c>
      <c r="BM364" s="1720" t="str">
        <f t="shared" si="577"/>
        <v>-</v>
      </c>
      <c r="BN364" s="1720" t="str">
        <f t="shared" si="577"/>
        <v>-</v>
      </c>
      <c r="BO364" s="2289" t="str">
        <f t="shared" si="577"/>
        <v>-</v>
      </c>
      <c r="BP364" s="1720" t="str">
        <f t="shared" si="577"/>
        <v>-</v>
      </c>
      <c r="BQ364" s="2290" t="str">
        <f t="shared" si="577"/>
        <v>-</v>
      </c>
      <c r="BR364" s="1720" t="str">
        <f t="shared" si="577"/>
        <v>-</v>
      </c>
      <c r="BS364" s="1720" t="str">
        <f t="shared" si="577"/>
        <v>-</v>
      </c>
      <c r="BT364" s="1720" t="str">
        <f t="shared" si="577"/>
        <v>-</v>
      </c>
      <c r="BU364" s="1721" t="str">
        <f t="shared" si="577"/>
        <v>-</v>
      </c>
      <c r="BV364" s="1720" t="str">
        <f t="shared" si="577"/>
        <v>-</v>
      </c>
      <c r="BW364" s="1720" t="str">
        <f t="shared" si="577"/>
        <v>-</v>
      </c>
      <c r="BX364" s="1720" t="str">
        <f t="shared" si="577"/>
        <v>-</v>
      </c>
      <c r="BY364" s="1720" t="str">
        <f t="shared" si="577"/>
        <v>-</v>
      </c>
      <c r="BZ364" s="1721" t="str">
        <f t="shared" si="577"/>
        <v>-</v>
      </c>
      <c r="CA364" s="1048"/>
    </row>
    <row r="365" spans="3:79" ht="12.5" thickBot="1" x14ac:dyDescent="0.35">
      <c r="C365" s="126"/>
      <c r="D365" s="126"/>
      <c r="E365" s="559" t="s">
        <v>47</v>
      </c>
      <c r="F365" s="2162" t="str">
        <f t="shared" ref="F365:I365" si="578">+F363</f>
        <v>[Service]</v>
      </c>
      <c r="G365" s="2165">
        <f t="shared" si="578"/>
        <v>0</v>
      </c>
      <c r="H365" s="2165">
        <f t="shared" si="578"/>
        <v>0</v>
      </c>
      <c r="I365" s="2166" t="str">
        <f t="shared" si="578"/>
        <v>[Price]</v>
      </c>
      <c r="J365" s="2106" t="s">
        <v>347</v>
      </c>
      <c r="K365" s="1977"/>
      <c r="L365" s="1206"/>
      <c r="M365" s="1206"/>
      <c r="N365" s="1978"/>
      <c r="O365" s="1206"/>
      <c r="P365" s="1206"/>
      <c r="Q365" s="1206"/>
      <c r="R365" s="1206"/>
      <c r="S365" s="1978"/>
      <c r="T365" s="1206"/>
      <c r="U365" s="1206"/>
      <c r="V365" s="1206"/>
      <c r="W365" s="1731">
        <f t="shared" ref="W365:AG365" si="579">W363*W364/10^6</f>
        <v>0</v>
      </c>
      <c r="X365" s="1730">
        <f t="shared" si="579"/>
        <v>0</v>
      </c>
      <c r="Y365" s="1731">
        <f t="shared" si="579"/>
        <v>0</v>
      </c>
      <c r="Z365" s="1731">
        <f t="shared" si="579"/>
        <v>0</v>
      </c>
      <c r="AA365" s="1731">
        <f t="shared" si="579"/>
        <v>0</v>
      </c>
      <c r="AB365" s="1733">
        <f t="shared" si="579"/>
        <v>0</v>
      </c>
      <c r="AC365" s="1731">
        <f t="shared" si="579"/>
        <v>0</v>
      </c>
      <c r="AD365" s="1731">
        <f t="shared" si="579"/>
        <v>0</v>
      </c>
      <c r="AE365" s="1731">
        <f t="shared" si="579"/>
        <v>0</v>
      </c>
      <c r="AF365" s="1731">
        <f t="shared" si="579"/>
        <v>0</v>
      </c>
      <c r="AG365" s="1733">
        <f t="shared" si="579"/>
        <v>0</v>
      </c>
      <c r="AH365" s="1731">
        <f>AH363*AH364/10^6</f>
        <v>0</v>
      </c>
      <c r="AI365" s="1731">
        <f>AI363*AI364/10^6</f>
        <v>0</v>
      </c>
      <c r="AJ365" s="1731">
        <f>AJ363*AJ364/10^6</f>
        <v>0</v>
      </c>
      <c r="AK365" s="1731">
        <f>AK363*AK364/10^6</f>
        <v>0</v>
      </c>
      <c r="AL365" s="1733">
        <f>AL363*AL364/10^6</f>
        <v>0</v>
      </c>
      <c r="AM365" s="560"/>
      <c r="AN365" s="991"/>
      <c r="AO365" s="992"/>
      <c r="AP365" s="2304" t="str">
        <f t="shared" si="505"/>
        <v>Rev</v>
      </c>
      <c r="AQ365" s="2305" t="str">
        <f t="shared" si="505"/>
        <v>[Service]</v>
      </c>
      <c r="AR365" s="2306" t="str">
        <f t="shared" si="506"/>
        <v>[Price]</v>
      </c>
      <c r="AS365" s="2307" t="str">
        <f t="shared" si="566"/>
        <v>-</v>
      </c>
      <c r="AT365" s="1055" t="str">
        <f t="shared" si="566"/>
        <v>-</v>
      </c>
      <c r="AU365" s="1055" t="str">
        <f t="shared" si="566"/>
        <v>-</v>
      </c>
      <c r="AV365" s="2308" t="str">
        <f t="shared" si="566"/>
        <v>-</v>
      </c>
      <c r="AW365" s="1055" t="str">
        <f t="shared" si="566"/>
        <v>-</v>
      </c>
      <c r="AX365" s="2309" t="str">
        <f t="shared" si="566"/>
        <v>-</v>
      </c>
      <c r="AY365" s="1055" t="str">
        <f t="shared" si="566"/>
        <v>-</v>
      </c>
      <c r="AZ365" s="1055" t="str">
        <f t="shared" si="566"/>
        <v>-</v>
      </c>
      <c r="BA365" s="1055" t="str">
        <f t="shared" si="566"/>
        <v>-</v>
      </c>
      <c r="BB365" s="1056" t="str">
        <f t="shared" si="566"/>
        <v>-</v>
      </c>
      <c r="BC365" s="1055" t="str">
        <f t="shared" si="566"/>
        <v>-</v>
      </c>
      <c r="BD365" s="1055" t="str">
        <f t="shared" si="566"/>
        <v>-</v>
      </c>
      <c r="BE365" s="1055" t="str">
        <f t="shared" si="566"/>
        <v>-</v>
      </c>
      <c r="BF365" s="1055" t="str">
        <f t="shared" si="566"/>
        <v>-</v>
      </c>
      <c r="BG365" s="1056" t="str">
        <f t="shared" si="566"/>
        <v>-</v>
      </c>
      <c r="BH365" s="1048"/>
      <c r="BI365" s="2304" t="str">
        <f t="shared" si="533"/>
        <v>Rev</v>
      </c>
      <c r="BJ365" s="2305" t="str">
        <f t="shared" si="533"/>
        <v>[Service]</v>
      </c>
      <c r="BK365" s="2306" t="str">
        <f t="shared" si="533"/>
        <v>[Price]</v>
      </c>
      <c r="BL365" s="2307" t="str">
        <f t="shared" ref="BL365:BZ365" si="580">IF(OR(X365="",X365=0),"-",IFERROR((X365/W365-1)*(W365/W$13),"-"))</f>
        <v>-</v>
      </c>
      <c r="BM365" s="1055" t="str">
        <f t="shared" si="580"/>
        <v>-</v>
      </c>
      <c r="BN365" s="1055" t="str">
        <f t="shared" si="580"/>
        <v>-</v>
      </c>
      <c r="BO365" s="2308" t="str">
        <f t="shared" si="580"/>
        <v>-</v>
      </c>
      <c r="BP365" s="1055" t="str">
        <f t="shared" si="580"/>
        <v>-</v>
      </c>
      <c r="BQ365" s="2309" t="str">
        <f t="shared" si="580"/>
        <v>-</v>
      </c>
      <c r="BR365" s="1055" t="str">
        <f t="shared" si="580"/>
        <v>-</v>
      </c>
      <c r="BS365" s="1055" t="str">
        <f t="shared" si="580"/>
        <v>-</v>
      </c>
      <c r="BT365" s="1055" t="str">
        <f t="shared" si="580"/>
        <v>-</v>
      </c>
      <c r="BU365" s="1056" t="str">
        <f t="shared" si="580"/>
        <v>-</v>
      </c>
      <c r="BV365" s="1055" t="str">
        <f t="shared" si="580"/>
        <v>-</v>
      </c>
      <c r="BW365" s="1055" t="str">
        <f t="shared" si="580"/>
        <v>-</v>
      </c>
      <c r="BX365" s="1055" t="str">
        <f t="shared" si="580"/>
        <v>-</v>
      </c>
      <c r="BY365" s="1055" t="str">
        <f t="shared" si="580"/>
        <v>-</v>
      </c>
      <c r="BZ365" s="1056" t="str">
        <f t="shared" si="580"/>
        <v>-</v>
      </c>
      <c r="CA365" s="1048"/>
    </row>
    <row r="366" spans="3:79" x14ac:dyDescent="0.3">
      <c r="C366" s="126"/>
      <c r="D366" s="126">
        <f>D363+1</f>
        <v>100</v>
      </c>
      <c r="E366" s="553" t="s">
        <v>45</v>
      </c>
      <c r="F366" s="2105" t="s">
        <v>28</v>
      </c>
      <c r="G366" s="2105"/>
      <c r="H366" s="2105"/>
      <c r="I366" s="573" t="s">
        <v>319</v>
      </c>
      <c r="J366" s="573" t="s">
        <v>348</v>
      </c>
      <c r="K366" s="1969"/>
      <c r="L366" s="1970"/>
      <c r="M366" s="1970"/>
      <c r="N366" s="1971"/>
      <c r="O366" s="1970"/>
      <c r="P366" s="1970"/>
      <c r="Q366" s="1970"/>
      <c r="R366" s="1972"/>
      <c r="S366" s="1971"/>
      <c r="T366" s="1970"/>
      <c r="U366" s="1970"/>
      <c r="V366" s="1970"/>
      <c r="W366" s="575"/>
      <c r="X366" s="1238"/>
      <c r="Y366" s="575"/>
      <c r="Z366" s="575"/>
      <c r="AA366" s="575"/>
      <c r="AB366" s="1142"/>
      <c r="AC366" s="575"/>
      <c r="AD366" s="575"/>
      <c r="AE366" s="575"/>
      <c r="AF366" s="575"/>
      <c r="AG366" s="577"/>
      <c r="AH366" s="575"/>
      <c r="AI366" s="575"/>
      <c r="AJ366" s="575"/>
      <c r="AK366" s="575"/>
      <c r="AL366" s="577"/>
      <c r="AM366" s="560"/>
      <c r="AN366" s="1052"/>
      <c r="AO366" s="992"/>
      <c r="AP366" s="2297" t="str">
        <f t="shared" si="505"/>
        <v>Price</v>
      </c>
      <c r="AQ366" s="2298" t="str">
        <f t="shared" si="505"/>
        <v>[Service]</v>
      </c>
      <c r="AR366" s="1719" t="str">
        <f t="shared" si="506"/>
        <v>[Price]</v>
      </c>
      <c r="AS366" s="2299" t="str">
        <f t="shared" si="566"/>
        <v>-</v>
      </c>
      <c r="AT366" s="1728" t="str">
        <f t="shared" si="566"/>
        <v>-</v>
      </c>
      <c r="AU366" s="1728" t="str">
        <f t="shared" si="566"/>
        <v>-</v>
      </c>
      <c r="AV366" s="2300" t="str">
        <f t="shared" si="566"/>
        <v>-</v>
      </c>
      <c r="AW366" s="1728" t="str">
        <f t="shared" si="566"/>
        <v>-</v>
      </c>
      <c r="AX366" s="2301" t="str">
        <f t="shared" si="566"/>
        <v>-</v>
      </c>
      <c r="AY366" s="1728" t="str">
        <f t="shared" si="566"/>
        <v>-</v>
      </c>
      <c r="AZ366" s="1728" t="str">
        <f t="shared" si="566"/>
        <v>-</v>
      </c>
      <c r="BA366" s="1728" t="str">
        <f t="shared" si="566"/>
        <v>-</v>
      </c>
      <c r="BB366" s="1729" t="str">
        <f t="shared" si="566"/>
        <v>-</v>
      </c>
      <c r="BC366" s="1728" t="str">
        <f t="shared" si="566"/>
        <v>-</v>
      </c>
      <c r="BD366" s="1728" t="str">
        <f t="shared" si="566"/>
        <v>-</v>
      </c>
      <c r="BE366" s="1728" t="str">
        <f t="shared" si="566"/>
        <v>-</v>
      </c>
      <c r="BF366" s="1728" t="str">
        <f t="shared" si="566"/>
        <v>-</v>
      </c>
      <c r="BG366" s="1729" t="str">
        <f t="shared" si="566"/>
        <v>-</v>
      </c>
      <c r="BH366" s="1048"/>
      <c r="BI366" s="2297" t="str">
        <f t="shared" si="533"/>
        <v>Price</v>
      </c>
      <c r="BJ366" s="2298" t="str">
        <f t="shared" si="533"/>
        <v>[Service]</v>
      </c>
      <c r="BK366" s="1719" t="str">
        <f t="shared" si="533"/>
        <v>[Price]</v>
      </c>
      <c r="BL366" s="2299" t="str">
        <f t="shared" ref="BL366:BZ366" si="581">IF(OR(X366="",X366=0),"-",IFERROR((X366/W366-1)*(W368/W$13),"-"))</f>
        <v>-</v>
      </c>
      <c r="BM366" s="1053" t="str">
        <f t="shared" si="581"/>
        <v>-</v>
      </c>
      <c r="BN366" s="1053" t="str">
        <f t="shared" si="581"/>
        <v>-</v>
      </c>
      <c r="BO366" s="2302" t="str">
        <f t="shared" si="581"/>
        <v>-</v>
      </c>
      <c r="BP366" s="1053" t="str">
        <f t="shared" si="581"/>
        <v>-</v>
      </c>
      <c r="BQ366" s="2303" t="str">
        <f t="shared" si="581"/>
        <v>-</v>
      </c>
      <c r="BR366" s="1053" t="str">
        <f t="shared" si="581"/>
        <v>-</v>
      </c>
      <c r="BS366" s="1053" t="str">
        <f t="shared" si="581"/>
        <v>-</v>
      </c>
      <c r="BT366" s="1053" t="str">
        <f t="shared" si="581"/>
        <v>-</v>
      </c>
      <c r="BU366" s="1054" t="str">
        <f t="shared" si="581"/>
        <v>-</v>
      </c>
      <c r="BV366" s="1053" t="str">
        <f t="shared" si="581"/>
        <v>-</v>
      </c>
      <c r="BW366" s="1053" t="str">
        <f t="shared" si="581"/>
        <v>-</v>
      </c>
      <c r="BX366" s="1053" t="str">
        <f t="shared" si="581"/>
        <v>-</v>
      </c>
      <c r="BY366" s="1053" t="str">
        <f t="shared" si="581"/>
        <v>-</v>
      </c>
      <c r="BZ366" s="1054" t="str">
        <f t="shared" si="581"/>
        <v>-</v>
      </c>
      <c r="CA366" s="1048"/>
    </row>
    <row r="367" spans="3:79" x14ac:dyDescent="0.3">
      <c r="C367" s="126"/>
      <c r="D367" s="126"/>
      <c r="E367" s="558" t="s">
        <v>46</v>
      </c>
      <c r="F367" s="2161" t="str">
        <f t="shared" si="565"/>
        <v>[Service]</v>
      </c>
      <c r="G367" s="2163">
        <f t="shared" si="565"/>
        <v>0</v>
      </c>
      <c r="H367" s="2163">
        <f t="shared" si="565"/>
        <v>0</v>
      </c>
      <c r="I367" s="2164" t="str">
        <f t="shared" si="565"/>
        <v>[Price]</v>
      </c>
      <c r="J367" s="574" t="s">
        <v>323</v>
      </c>
      <c r="K367" s="1973"/>
      <c r="L367" s="1974"/>
      <c r="M367" s="1974"/>
      <c r="N367" s="1975"/>
      <c r="O367" s="1974"/>
      <c r="P367" s="1974"/>
      <c r="Q367" s="1974"/>
      <c r="R367" s="1976"/>
      <c r="S367" s="1975"/>
      <c r="T367" s="1974"/>
      <c r="U367" s="1974"/>
      <c r="V367" s="1974"/>
      <c r="W367" s="578"/>
      <c r="X367" s="1239"/>
      <c r="Y367" s="578"/>
      <c r="Z367" s="578"/>
      <c r="AA367" s="578"/>
      <c r="AB367" s="1143"/>
      <c r="AC367" s="578"/>
      <c r="AD367" s="578"/>
      <c r="AE367" s="578"/>
      <c r="AF367" s="578"/>
      <c r="AG367" s="580"/>
      <c r="AH367" s="578"/>
      <c r="AI367" s="578"/>
      <c r="AJ367" s="578"/>
      <c r="AK367" s="578"/>
      <c r="AL367" s="580"/>
      <c r="AM367" s="560"/>
      <c r="AN367" s="991"/>
      <c r="AO367" s="992"/>
      <c r="AP367" s="2285" t="str">
        <f t="shared" si="505"/>
        <v>Qty</v>
      </c>
      <c r="AQ367" s="2286" t="str">
        <f t="shared" si="505"/>
        <v>[Service]</v>
      </c>
      <c r="AR367" s="2287" t="str">
        <f t="shared" si="506"/>
        <v>[Price]</v>
      </c>
      <c r="AS367" s="2288" t="str">
        <f t="shared" si="566"/>
        <v>-</v>
      </c>
      <c r="AT367" s="1720" t="str">
        <f t="shared" si="566"/>
        <v>-</v>
      </c>
      <c r="AU367" s="1720" t="str">
        <f t="shared" si="566"/>
        <v>-</v>
      </c>
      <c r="AV367" s="2289" t="str">
        <f t="shared" si="566"/>
        <v>-</v>
      </c>
      <c r="AW367" s="1720" t="str">
        <f t="shared" si="566"/>
        <v>-</v>
      </c>
      <c r="AX367" s="2290" t="str">
        <f t="shared" si="566"/>
        <v>-</v>
      </c>
      <c r="AY367" s="1720" t="str">
        <f t="shared" si="566"/>
        <v>-</v>
      </c>
      <c r="AZ367" s="1720" t="str">
        <f t="shared" si="566"/>
        <v>-</v>
      </c>
      <c r="BA367" s="1720" t="str">
        <f t="shared" si="566"/>
        <v>-</v>
      </c>
      <c r="BB367" s="1721" t="str">
        <f t="shared" si="566"/>
        <v>-</v>
      </c>
      <c r="BC367" s="1720" t="str">
        <f t="shared" si="566"/>
        <v>-</v>
      </c>
      <c r="BD367" s="1720" t="str">
        <f t="shared" si="566"/>
        <v>-</v>
      </c>
      <c r="BE367" s="1720" t="str">
        <f t="shared" si="566"/>
        <v>-</v>
      </c>
      <c r="BF367" s="1720" t="str">
        <f t="shared" si="566"/>
        <v>-</v>
      </c>
      <c r="BG367" s="1721" t="str">
        <f t="shared" si="566"/>
        <v>-</v>
      </c>
      <c r="BH367" s="1048"/>
      <c r="BI367" s="2285" t="str">
        <f t="shared" si="533"/>
        <v>Qty</v>
      </c>
      <c r="BJ367" s="2286" t="str">
        <f t="shared" si="533"/>
        <v>[Service]</v>
      </c>
      <c r="BK367" s="2287" t="str">
        <f t="shared" si="533"/>
        <v>[Price]</v>
      </c>
      <c r="BL367" s="2288" t="str">
        <f t="shared" ref="BL367:BZ367" si="582">IF(OR(X367="",X367=0),"-",IFERROR((X367/W367-1)*(W368/W$13),"-"))</f>
        <v>-</v>
      </c>
      <c r="BM367" s="1720" t="str">
        <f t="shared" si="582"/>
        <v>-</v>
      </c>
      <c r="BN367" s="1720" t="str">
        <f t="shared" si="582"/>
        <v>-</v>
      </c>
      <c r="BO367" s="2289" t="str">
        <f t="shared" si="582"/>
        <v>-</v>
      </c>
      <c r="BP367" s="1720" t="str">
        <f t="shared" si="582"/>
        <v>-</v>
      </c>
      <c r="BQ367" s="2290" t="str">
        <f t="shared" si="582"/>
        <v>-</v>
      </c>
      <c r="BR367" s="1720" t="str">
        <f t="shared" si="582"/>
        <v>-</v>
      </c>
      <c r="BS367" s="1720" t="str">
        <f t="shared" si="582"/>
        <v>-</v>
      </c>
      <c r="BT367" s="1720" t="str">
        <f t="shared" si="582"/>
        <v>-</v>
      </c>
      <c r="BU367" s="1721" t="str">
        <f t="shared" si="582"/>
        <v>-</v>
      </c>
      <c r="BV367" s="1720" t="str">
        <f t="shared" si="582"/>
        <v>-</v>
      </c>
      <c r="BW367" s="1720" t="str">
        <f t="shared" si="582"/>
        <v>-</v>
      </c>
      <c r="BX367" s="1720" t="str">
        <f t="shared" si="582"/>
        <v>-</v>
      </c>
      <c r="BY367" s="1720" t="str">
        <f t="shared" si="582"/>
        <v>-</v>
      </c>
      <c r="BZ367" s="1721" t="str">
        <f t="shared" si="582"/>
        <v>-</v>
      </c>
      <c r="CA367" s="1048"/>
    </row>
    <row r="368" spans="3:79" ht="12.5" thickBot="1" x14ac:dyDescent="0.35">
      <c r="C368" s="126"/>
      <c r="D368" s="126"/>
      <c r="E368" s="559" t="s">
        <v>47</v>
      </c>
      <c r="F368" s="2162" t="str">
        <f t="shared" ref="F368:I368" si="583">+F366</f>
        <v>[Service]</v>
      </c>
      <c r="G368" s="2165">
        <f t="shared" si="583"/>
        <v>0</v>
      </c>
      <c r="H368" s="2165">
        <f t="shared" si="583"/>
        <v>0</v>
      </c>
      <c r="I368" s="2166" t="str">
        <f t="shared" si="583"/>
        <v>[Price]</v>
      </c>
      <c r="J368" s="2106" t="s">
        <v>347</v>
      </c>
      <c r="K368" s="1977"/>
      <c r="L368" s="1206"/>
      <c r="M368" s="1206"/>
      <c r="N368" s="1978"/>
      <c r="O368" s="1206"/>
      <c r="P368" s="1206"/>
      <c r="Q368" s="1206"/>
      <c r="R368" s="1206"/>
      <c r="S368" s="1978"/>
      <c r="T368" s="1206"/>
      <c r="U368" s="1206"/>
      <c r="V368" s="1206"/>
      <c r="W368" s="1731">
        <f t="shared" ref="W368:AG368" si="584">W366*W367/10^6</f>
        <v>0</v>
      </c>
      <c r="X368" s="1730">
        <f t="shared" si="584"/>
        <v>0</v>
      </c>
      <c r="Y368" s="1731">
        <f t="shared" si="584"/>
        <v>0</v>
      </c>
      <c r="Z368" s="1731">
        <f t="shared" si="584"/>
        <v>0</v>
      </c>
      <c r="AA368" s="1731">
        <f t="shared" si="584"/>
        <v>0</v>
      </c>
      <c r="AB368" s="1733">
        <f t="shared" si="584"/>
        <v>0</v>
      </c>
      <c r="AC368" s="1731">
        <f t="shared" si="584"/>
        <v>0</v>
      </c>
      <c r="AD368" s="1731">
        <f t="shared" si="584"/>
        <v>0</v>
      </c>
      <c r="AE368" s="1731">
        <f t="shared" si="584"/>
        <v>0</v>
      </c>
      <c r="AF368" s="1731">
        <f t="shared" si="584"/>
        <v>0</v>
      </c>
      <c r="AG368" s="1733">
        <f t="shared" si="584"/>
        <v>0</v>
      </c>
      <c r="AH368" s="1731">
        <f>AH366*AH367/10^6</f>
        <v>0</v>
      </c>
      <c r="AI368" s="1731">
        <f>AI366*AI367/10^6</f>
        <v>0</v>
      </c>
      <c r="AJ368" s="1731">
        <f>AJ366*AJ367/10^6</f>
        <v>0</v>
      </c>
      <c r="AK368" s="1731">
        <f>AK366*AK367/10^6</f>
        <v>0</v>
      </c>
      <c r="AL368" s="1733">
        <f>AL366*AL367/10^6</f>
        <v>0</v>
      </c>
      <c r="AM368" s="560"/>
      <c r="AN368" s="991"/>
      <c r="AO368" s="992"/>
      <c r="AP368" s="2304" t="str">
        <f t="shared" si="505"/>
        <v>Rev</v>
      </c>
      <c r="AQ368" s="2305" t="str">
        <f t="shared" si="505"/>
        <v>[Service]</v>
      </c>
      <c r="AR368" s="2306" t="str">
        <f t="shared" si="506"/>
        <v>[Price]</v>
      </c>
      <c r="AS368" s="2307" t="str">
        <f t="shared" si="566"/>
        <v>-</v>
      </c>
      <c r="AT368" s="1055" t="str">
        <f t="shared" si="566"/>
        <v>-</v>
      </c>
      <c r="AU368" s="1055" t="str">
        <f t="shared" si="566"/>
        <v>-</v>
      </c>
      <c r="AV368" s="2308" t="str">
        <f t="shared" si="566"/>
        <v>-</v>
      </c>
      <c r="AW368" s="1055" t="str">
        <f t="shared" si="566"/>
        <v>-</v>
      </c>
      <c r="AX368" s="2309" t="str">
        <f t="shared" si="566"/>
        <v>-</v>
      </c>
      <c r="AY368" s="1055" t="str">
        <f t="shared" si="566"/>
        <v>-</v>
      </c>
      <c r="AZ368" s="1055" t="str">
        <f t="shared" si="566"/>
        <v>-</v>
      </c>
      <c r="BA368" s="1055" t="str">
        <f t="shared" si="566"/>
        <v>-</v>
      </c>
      <c r="BB368" s="1056" t="str">
        <f t="shared" si="566"/>
        <v>-</v>
      </c>
      <c r="BC368" s="1055" t="str">
        <f t="shared" si="566"/>
        <v>-</v>
      </c>
      <c r="BD368" s="1055" t="str">
        <f t="shared" si="566"/>
        <v>-</v>
      </c>
      <c r="BE368" s="1055" t="str">
        <f t="shared" si="566"/>
        <v>-</v>
      </c>
      <c r="BF368" s="1055" t="str">
        <f t="shared" si="566"/>
        <v>-</v>
      </c>
      <c r="BG368" s="1056" t="str">
        <f t="shared" si="566"/>
        <v>-</v>
      </c>
      <c r="BH368" s="1048"/>
      <c r="BI368" s="2304" t="str">
        <f t="shared" si="533"/>
        <v>Rev</v>
      </c>
      <c r="BJ368" s="2305" t="str">
        <f t="shared" si="533"/>
        <v>[Service]</v>
      </c>
      <c r="BK368" s="2306" t="str">
        <f t="shared" si="533"/>
        <v>[Price]</v>
      </c>
      <c r="BL368" s="2307" t="str">
        <f t="shared" ref="BL368:BZ368" si="585">IF(OR(X368="",X368=0),"-",IFERROR((X368/W368-1)*(W368/W$13),"-"))</f>
        <v>-</v>
      </c>
      <c r="BM368" s="1055" t="str">
        <f t="shared" si="585"/>
        <v>-</v>
      </c>
      <c r="BN368" s="1055" t="str">
        <f t="shared" si="585"/>
        <v>-</v>
      </c>
      <c r="BO368" s="2308" t="str">
        <f t="shared" si="585"/>
        <v>-</v>
      </c>
      <c r="BP368" s="1055" t="str">
        <f t="shared" si="585"/>
        <v>-</v>
      </c>
      <c r="BQ368" s="2309" t="str">
        <f t="shared" si="585"/>
        <v>-</v>
      </c>
      <c r="BR368" s="1055" t="str">
        <f t="shared" si="585"/>
        <v>-</v>
      </c>
      <c r="BS368" s="1055" t="str">
        <f t="shared" si="585"/>
        <v>-</v>
      </c>
      <c r="BT368" s="1055" t="str">
        <f t="shared" si="585"/>
        <v>-</v>
      </c>
      <c r="BU368" s="1056" t="str">
        <f t="shared" si="585"/>
        <v>-</v>
      </c>
      <c r="BV368" s="1055" t="str">
        <f t="shared" si="585"/>
        <v>-</v>
      </c>
      <c r="BW368" s="1055" t="str">
        <f t="shared" si="585"/>
        <v>-</v>
      </c>
      <c r="BX368" s="1055" t="str">
        <f t="shared" si="585"/>
        <v>-</v>
      </c>
      <c r="BY368" s="1055" t="str">
        <f t="shared" si="585"/>
        <v>-</v>
      </c>
      <c r="BZ368" s="1056" t="str">
        <f t="shared" si="585"/>
        <v>-</v>
      </c>
      <c r="CA368" s="1048"/>
    </row>
    <row r="369" spans="3:79" x14ac:dyDescent="0.3">
      <c r="C369" s="126"/>
      <c r="D369" s="126">
        <f>D366+1</f>
        <v>101</v>
      </c>
      <c r="E369" s="553" t="s">
        <v>45</v>
      </c>
      <c r="F369" s="2105" t="s">
        <v>28</v>
      </c>
      <c r="G369" s="2105"/>
      <c r="H369" s="2105"/>
      <c r="I369" s="573" t="s">
        <v>319</v>
      </c>
      <c r="J369" s="573" t="s">
        <v>348</v>
      </c>
      <c r="K369" s="1969"/>
      <c r="L369" s="1970"/>
      <c r="M369" s="1970"/>
      <c r="N369" s="1971"/>
      <c r="O369" s="1970"/>
      <c r="P369" s="1970"/>
      <c r="Q369" s="1970"/>
      <c r="R369" s="1972"/>
      <c r="S369" s="1971"/>
      <c r="T369" s="1970"/>
      <c r="U369" s="1970"/>
      <c r="V369" s="1970"/>
      <c r="W369" s="575"/>
      <c r="X369" s="1238"/>
      <c r="Y369" s="575"/>
      <c r="Z369" s="575"/>
      <c r="AA369" s="575"/>
      <c r="AB369" s="1142"/>
      <c r="AC369" s="575"/>
      <c r="AD369" s="575"/>
      <c r="AE369" s="575"/>
      <c r="AF369" s="575"/>
      <c r="AG369" s="577"/>
      <c r="AH369" s="575"/>
      <c r="AI369" s="575"/>
      <c r="AJ369" s="575"/>
      <c r="AK369" s="575"/>
      <c r="AL369" s="577"/>
      <c r="AM369" s="560"/>
      <c r="AN369" s="1052"/>
      <c r="AO369" s="992"/>
      <c r="AP369" s="2297" t="str">
        <f t="shared" si="505"/>
        <v>Price</v>
      </c>
      <c r="AQ369" s="2298" t="str">
        <f t="shared" si="505"/>
        <v>[Service]</v>
      </c>
      <c r="AR369" s="1719" t="str">
        <f t="shared" si="506"/>
        <v>[Price]</v>
      </c>
      <c r="AS369" s="2299" t="str">
        <f t="shared" si="566"/>
        <v>-</v>
      </c>
      <c r="AT369" s="1728" t="str">
        <f t="shared" si="566"/>
        <v>-</v>
      </c>
      <c r="AU369" s="1728" t="str">
        <f t="shared" si="566"/>
        <v>-</v>
      </c>
      <c r="AV369" s="2300" t="str">
        <f t="shared" si="566"/>
        <v>-</v>
      </c>
      <c r="AW369" s="1728" t="str">
        <f t="shared" si="566"/>
        <v>-</v>
      </c>
      <c r="AX369" s="2301" t="str">
        <f t="shared" si="566"/>
        <v>-</v>
      </c>
      <c r="AY369" s="1728" t="str">
        <f t="shared" si="566"/>
        <v>-</v>
      </c>
      <c r="AZ369" s="1728" t="str">
        <f t="shared" si="566"/>
        <v>-</v>
      </c>
      <c r="BA369" s="1728" t="str">
        <f t="shared" si="566"/>
        <v>-</v>
      </c>
      <c r="BB369" s="1729" t="str">
        <f t="shared" si="566"/>
        <v>-</v>
      </c>
      <c r="BC369" s="1728" t="str">
        <f t="shared" si="566"/>
        <v>-</v>
      </c>
      <c r="BD369" s="1728" t="str">
        <f t="shared" si="566"/>
        <v>-</v>
      </c>
      <c r="BE369" s="1728" t="str">
        <f t="shared" si="566"/>
        <v>-</v>
      </c>
      <c r="BF369" s="1728" t="str">
        <f t="shared" si="566"/>
        <v>-</v>
      </c>
      <c r="BG369" s="1729" t="str">
        <f t="shared" si="566"/>
        <v>-</v>
      </c>
      <c r="BH369" s="1048"/>
      <c r="BI369" s="2297" t="str">
        <f t="shared" si="533"/>
        <v>Price</v>
      </c>
      <c r="BJ369" s="2298" t="str">
        <f t="shared" si="533"/>
        <v>[Service]</v>
      </c>
      <c r="BK369" s="1719" t="str">
        <f t="shared" si="533"/>
        <v>[Price]</v>
      </c>
      <c r="BL369" s="2299" t="str">
        <f t="shared" ref="BL369:BZ369" si="586">IF(OR(X369="",X369=0),"-",IFERROR((X369/W369-1)*(W371/W$13),"-"))</f>
        <v>-</v>
      </c>
      <c r="BM369" s="1053" t="str">
        <f t="shared" si="586"/>
        <v>-</v>
      </c>
      <c r="BN369" s="1053" t="str">
        <f t="shared" si="586"/>
        <v>-</v>
      </c>
      <c r="BO369" s="2302" t="str">
        <f t="shared" si="586"/>
        <v>-</v>
      </c>
      <c r="BP369" s="1053" t="str">
        <f t="shared" si="586"/>
        <v>-</v>
      </c>
      <c r="BQ369" s="2303" t="str">
        <f t="shared" si="586"/>
        <v>-</v>
      </c>
      <c r="BR369" s="1053" t="str">
        <f t="shared" si="586"/>
        <v>-</v>
      </c>
      <c r="BS369" s="1053" t="str">
        <f t="shared" si="586"/>
        <v>-</v>
      </c>
      <c r="BT369" s="1053" t="str">
        <f t="shared" si="586"/>
        <v>-</v>
      </c>
      <c r="BU369" s="1054" t="str">
        <f t="shared" si="586"/>
        <v>-</v>
      </c>
      <c r="BV369" s="1053" t="str">
        <f t="shared" si="586"/>
        <v>-</v>
      </c>
      <c r="BW369" s="1053" t="str">
        <f t="shared" si="586"/>
        <v>-</v>
      </c>
      <c r="BX369" s="1053" t="str">
        <f t="shared" si="586"/>
        <v>-</v>
      </c>
      <c r="BY369" s="1053" t="str">
        <f t="shared" si="586"/>
        <v>-</v>
      </c>
      <c r="BZ369" s="1054" t="str">
        <f t="shared" si="586"/>
        <v>-</v>
      </c>
      <c r="CA369" s="1048"/>
    </row>
    <row r="370" spans="3:79" x14ac:dyDescent="0.3">
      <c r="C370" s="126"/>
      <c r="D370" s="126"/>
      <c r="E370" s="558" t="s">
        <v>46</v>
      </c>
      <c r="F370" s="2161" t="str">
        <f t="shared" si="565"/>
        <v>[Service]</v>
      </c>
      <c r="G370" s="2163">
        <f t="shared" si="565"/>
        <v>0</v>
      </c>
      <c r="H370" s="2163">
        <f t="shared" si="565"/>
        <v>0</v>
      </c>
      <c r="I370" s="2164" t="str">
        <f t="shared" si="565"/>
        <v>[Price]</v>
      </c>
      <c r="J370" s="574" t="s">
        <v>323</v>
      </c>
      <c r="K370" s="1973"/>
      <c r="L370" s="1974"/>
      <c r="M370" s="1974"/>
      <c r="N370" s="1975"/>
      <c r="O370" s="1974"/>
      <c r="P370" s="1974"/>
      <c r="Q370" s="1974"/>
      <c r="R370" s="1976"/>
      <c r="S370" s="1975"/>
      <c r="T370" s="1974"/>
      <c r="U370" s="1974"/>
      <c r="V370" s="1974"/>
      <c r="W370" s="578"/>
      <c r="X370" s="1239"/>
      <c r="Y370" s="578"/>
      <c r="Z370" s="578"/>
      <c r="AA370" s="578"/>
      <c r="AB370" s="1143"/>
      <c r="AC370" s="578"/>
      <c r="AD370" s="578"/>
      <c r="AE370" s="578"/>
      <c r="AF370" s="578"/>
      <c r="AG370" s="580"/>
      <c r="AH370" s="578"/>
      <c r="AI370" s="578"/>
      <c r="AJ370" s="578"/>
      <c r="AK370" s="578"/>
      <c r="AL370" s="580"/>
      <c r="AM370" s="560"/>
      <c r="AN370" s="991"/>
      <c r="AO370" s="992"/>
      <c r="AP370" s="2285" t="str">
        <f t="shared" si="505"/>
        <v>Qty</v>
      </c>
      <c r="AQ370" s="2286" t="str">
        <f t="shared" si="505"/>
        <v>[Service]</v>
      </c>
      <c r="AR370" s="2287" t="str">
        <f t="shared" si="506"/>
        <v>[Price]</v>
      </c>
      <c r="AS370" s="2288" t="str">
        <f t="shared" si="566"/>
        <v>-</v>
      </c>
      <c r="AT370" s="1720" t="str">
        <f t="shared" si="566"/>
        <v>-</v>
      </c>
      <c r="AU370" s="1720" t="str">
        <f t="shared" si="566"/>
        <v>-</v>
      </c>
      <c r="AV370" s="2289" t="str">
        <f t="shared" si="566"/>
        <v>-</v>
      </c>
      <c r="AW370" s="1720" t="str">
        <f t="shared" si="566"/>
        <v>-</v>
      </c>
      <c r="AX370" s="2290" t="str">
        <f t="shared" si="566"/>
        <v>-</v>
      </c>
      <c r="AY370" s="1720" t="str">
        <f t="shared" si="566"/>
        <v>-</v>
      </c>
      <c r="AZ370" s="1720" t="str">
        <f t="shared" si="566"/>
        <v>-</v>
      </c>
      <c r="BA370" s="1720" t="str">
        <f t="shared" si="566"/>
        <v>-</v>
      </c>
      <c r="BB370" s="1721" t="str">
        <f t="shared" si="566"/>
        <v>-</v>
      </c>
      <c r="BC370" s="1720" t="str">
        <f t="shared" si="566"/>
        <v>-</v>
      </c>
      <c r="BD370" s="1720" t="str">
        <f t="shared" si="566"/>
        <v>-</v>
      </c>
      <c r="BE370" s="1720" t="str">
        <f t="shared" si="566"/>
        <v>-</v>
      </c>
      <c r="BF370" s="1720" t="str">
        <f t="shared" si="566"/>
        <v>-</v>
      </c>
      <c r="BG370" s="1721" t="str">
        <f t="shared" si="566"/>
        <v>-</v>
      </c>
      <c r="BH370" s="1048"/>
      <c r="BI370" s="2285" t="str">
        <f t="shared" si="533"/>
        <v>Qty</v>
      </c>
      <c r="BJ370" s="2286" t="str">
        <f t="shared" si="533"/>
        <v>[Service]</v>
      </c>
      <c r="BK370" s="2287" t="str">
        <f t="shared" si="533"/>
        <v>[Price]</v>
      </c>
      <c r="BL370" s="2288" t="str">
        <f t="shared" ref="BL370:BZ370" si="587">IF(OR(X370="",X370=0),"-",IFERROR((X370/W370-1)*(W371/W$13),"-"))</f>
        <v>-</v>
      </c>
      <c r="BM370" s="1720" t="str">
        <f t="shared" si="587"/>
        <v>-</v>
      </c>
      <c r="BN370" s="1720" t="str">
        <f t="shared" si="587"/>
        <v>-</v>
      </c>
      <c r="BO370" s="2289" t="str">
        <f t="shared" si="587"/>
        <v>-</v>
      </c>
      <c r="BP370" s="1720" t="str">
        <f t="shared" si="587"/>
        <v>-</v>
      </c>
      <c r="BQ370" s="2290" t="str">
        <f t="shared" si="587"/>
        <v>-</v>
      </c>
      <c r="BR370" s="1720" t="str">
        <f t="shared" si="587"/>
        <v>-</v>
      </c>
      <c r="BS370" s="1720" t="str">
        <f t="shared" si="587"/>
        <v>-</v>
      </c>
      <c r="BT370" s="1720" t="str">
        <f t="shared" si="587"/>
        <v>-</v>
      </c>
      <c r="BU370" s="1721" t="str">
        <f t="shared" si="587"/>
        <v>-</v>
      </c>
      <c r="BV370" s="1720" t="str">
        <f t="shared" si="587"/>
        <v>-</v>
      </c>
      <c r="BW370" s="1720" t="str">
        <f t="shared" si="587"/>
        <v>-</v>
      </c>
      <c r="BX370" s="1720" t="str">
        <f t="shared" si="587"/>
        <v>-</v>
      </c>
      <c r="BY370" s="1720" t="str">
        <f t="shared" si="587"/>
        <v>-</v>
      </c>
      <c r="BZ370" s="1721" t="str">
        <f t="shared" si="587"/>
        <v>-</v>
      </c>
      <c r="CA370" s="1048"/>
    </row>
    <row r="371" spans="3:79" ht="12.5" thickBot="1" x14ac:dyDescent="0.35">
      <c r="C371" s="126"/>
      <c r="D371" s="126"/>
      <c r="E371" s="559" t="s">
        <v>47</v>
      </c>
      <c r="F371" s="2162" t="str">
        <f t="shared" ref="F371:I371" si="588">+F369</f>
        <v>[Service]</v>
      </c>
      <c r="G371" s="2165">
        <f t="shared" si="588"/>
        <v>0</v>
      </c>
      <c r="H371" s="2165">
        <f t="shared" si="588"/>
        <v>0</v>
      </c>
      <c r="I371" s="2166" t="str">
        <f t="shared" si="588"/>
        <v>[Price]</v>
      </c>
      <c r="J371" s="2106" t="s">
        <v>347</v>
      </c>
      <c r="K371" s="1977"/>
      <c r="L371" s="1206"/>
      <c r="M371" s="1206"/>
      <c r="N371" s="1978"/>
      <c r="O371" s="1206"/>
      <c r="P371" s="1206"/>
      <c r="Q371" s="1206"/>
      <c r="R371" s="1206"/>
      <c r="S371" s="1978"/>
      <c r="T371" s="1206"/>
      <c r="U371" s="1206"/>
      <c r="V371" s="1206"/>
      <c r="W371" s="1731">
        <f t="shared" ref="W371:AG371" si="589">W369*W370/10^6</f>
        <v>0</v>
      </c>
      <c r="X371" s="1730">
        <f t="shared" si="589"/>
        <v>0</v>
      </c>
      <c r="Y371" s="1731">
        <f t="shared" si="589"/>
        <v>0</v>
      </c>
      <c r="Z371" s="1731">
        <f t="shared" si="589"/>
        <v>0</v>
      </c>
      <c r="AA371" s="1731">
        <f t="shared" si="589"/>
        <v>0</v>
      </c>
      <c r="AB371" s="1733">
        <f t="shared" si="589"/>
        <v>0</v>
      </c>
      <c r="AC371" s="1731">
        <f t="shared" si="589"/>
        <v>0</v>
      </c>
      <c r="AD371" s="1731">
        <f t="shared" si="589"/>
        <v>0</v>
      </c>
      <c r="AE371" s="1731">
        <f t="shared" si="589"/>
        <v>0</v>
      </c>
      <c r="AF371" s="1731">
        <f t="shared" si="589"/>
        <v>0</v>
      </c>
      <c r="AG371" s="1733">
        <f t="shared" si="589"/>
        <v>0</v>
      </c>
      <c r="AH371" s="1731">
        <f>AH369*AH370/10^6</f>
        <v>0</v>
      </c>
      <c r="AI371" s="1731">
        <f>AI369*AI370/10^6</f>
        <v>0</v>
      </c>
      <c r="AJ371" s="1731">
        <f>AJ369*AJ370/10^6</f>
        <v>0</v>
      </c>
      <c r="AK371" s="1731">
        <f>AK369*AK370/10^6</f>
        <v>0</v>
      </c>
      <c r="AL371" s="1733">
        <f>AL369*AL370/10^6</f>
        <v>0</v>
      </c>
      <c r="AM371" s="560"/>
      <c r="AN371" s="991"/>
      <c r="AO371" s="992"/>
      <c r="AP371" s="2304" t="str">
        <f t="shared" si="505"/>
        <v>Rev</v>
      </c>
      <c r="AQ371" s="2305" t="str">
        <f t="shared" si="505"/>
        <v>[Service]</v>
      </c>
      <c r="AR371" s="2306" t="str">
        <f t="shared" si="506"/>
        <v>[Price]</v>
      </c>
      <c r="AS371" s="2307" t="str">
        <f t="shared" si="566"/>
        <v>-</v>
      </c>
      <c r="AT371" s="1055" t="str">
        <f t="shared" si="566"/>
        <v>-</v>
      </c>
      <c r="AU371" s="1055" t="str">
        <f t="shared" si="566"/>
        <v>-</v>
      </c>
      <c r="AV371" s="2308" t="str">
        <f t="shared" si="566"/>
        <v>-</v>
      </c>
      <c r="AW371" s="1055" t="str">
        <f t="shared" si="566"/>
        <v>-</v>
      </c>
      <c r="AX371" s="2309" t="str">
        <f t="shared" si="566"/>
        <v>-</v>
      </c>
      <c r="AY371" s="1055" t="str">
        <f t="shared" si="566"/>
        <v>-</v>
      </c>
      <c r="AZ371" s="1055" t="str">
        <f t="shared" si="566"/>
        <v>-</v>
      </c>
      <c r="BA371" s="1055" t="str">
        <f t="shared" si="566"/>
        <v>-</v>
      </c>
      <c r="BB371" s="1056" t="str">
        <f t="shared" si="566"/>
        <v>-</v>
      </c>
      <c r="BC371" s="1055" t="str">
        <f t="shared" si="566"/>
        <v>-</v>
      </c>
      <c r="BD371" s="1055" t="str">
        <f t="shared" si="566"/>
        <v>-</v>
      </c>
      <c r="BE371" s="1055" t="str">
        <f t="shared" si="566"/>
        <v>-</v>
      </c>
      <c r="BF371" s="1055" t="str">
        <f t="shared" si="566"/>
        <v>-</v>
      </c>
      <c r="BG371" s="1056" t="str">
        <f t="shared" si="566"/>
        <v>-</v>
      </c>
      <c r="BH371" s="1048"/>
      <c r="BI371" s="2304" t="str">
        <f t="shared" si="533"/>
        <v>Rev</v>
      </c>
      <c r="BJ371" s="2305" t="str">
        <f t="shared" si="533"/>
        <v>[Service]</v>
      </c>
      <c r="BK371" s="2306" t="str">
        <f t="shared" si="533"/>
        <v>[Price]</v>
      </c>
      <c r="BL371" s="2307" t="str">
        <f t="shared" ref="BL371:BZ371" si="590">IF(OR(X371="",X371=0),"-",IFERROR((X371/W371-1)*(W371/W$13),"-"))</f>
        <v>-</v>
      </c>
      <c r="BM371" s="1055" t="str">
        <f t="shared" si="590"/>
        <v>-</v>
      </c>
      <c r="BN371" s="1055" t="str">
        <f t="shared" si="590"/>
        <v>-</v>
      </c>
      <c r="BO371" s="2308" t="str">
        <f t="shared" si="590"/>
        <v>-</v>
      </c>
      <c r="BP371" s="1055" t="str">
        <f t="shared" si="590"/>
        <v>-</v>
      </c>
      <c r="BQ371" s="2309" t="str">
        <f t="shared" si="590"/>
        <v>-</v>
      </c>
      <c r="BR371" s="1055" t="str">
        <f t="shared" si="590"/>
        <v>-</v>
      </c>
      <c r="BS371" s="1055" t="str">
        <f t="shared" si="590"/>
        <v>-</v>
      </c>
      <c r="BT371" s="1055" t="str">
        <f t="shared" si="590"/>
        <v>-</v>
      </c>
      <c r="BU371" s="1056" t="str">
        <f t="shared" si="590"/>
        <v>-</v>
      </c>
      <c r="BV371" s="1055" t="str">
        <f t="shared" si="590"/>
        <v>-</v>
      </c>
      <c r="BW371" s="1055" t="str">
        <f t="shared" si="590"/>
        <v>-</v>
      </c>
      <c r="BX371" s="1055" t="str">
        <f t="shared" si="590"/>
        <v>-</v>
      </c>
      <c r="BY371" s="1055" t="str">
        <f t="shared" si="590"/>
        <v>-</v>
      </c>
      <c r="BZ371" s="1056" t="str">
        <f t="shared" si="590"/>
        <v>-</v>
      </c>
      <c r="CA371" s="1048"/>
    </row>
    <row r="372" spans="3:79" x14ac:dyDescent="0.3">
      <c r="C372" s="126"/>
      <c r="D372" s="126">
        <f>D369+1</f>
        <v>102</v>
      </c>
      <c r="E372" s="553" t="s">
        <v>45</v>
      </c>
      <c r="F372" s="2105" t="s">
        <v>28</v>
      </c>
      <c r="G372" s="2105"/>
      <c r="H372" s="2105"/>
      <c r="I372" s="573" t="s">
        <v>319</v>
      </c>
      <c r="J372" s="573" t="s">
        <v>348</v>
      </c>
      <c r="K372" s="1969"/>
      <c r="L372" s="1970"/>
      <c r="M372" s="1970"/>
      <c r="N372" s="1971"/>
      <c r="O372" s="1970"/>
      <c r="P372" s="1970"/>
      <c r="Q372" s="1970"/>
      <c r="R372" s="1972"/>
      <c r="S372" s="1971"/>
      <c r="T372" s="1970"/>
      <c r="U372" s="1970"/>
      <c r="V372" s="1970"/>
      <c r="W372" s="575"/>
      <c r="X372" s="1238"/>
      <c r="Y372" s="575"/>
      <c r="Z372" s="575"/>
      <c r="AA372" s="575"/>
      <c r="AB372" s="1142"/>
      <c r="AC372" s="575"/>
      <c r="AD372" s="575"/>
      <c r="AE372" s="575"/>
      <c r="AF372" s="575"/>
      <c r="AG372" s="577"/>
      <c r="AH372" s="575"/>
      <c r="AI372" s="575"/>
      <c r="AJ372" s="575"/>
      <c r="AK372" s="575"/>
      <c r="AL372" s="577"/>
      <c r="AM372" s="560"/>
      <c r="AN372" s="1052"/>
      <c r="AO372" s="992"/>
      <c r="AP372" s="2297" t="str">
        <f t="shared" si="505"/>
        <v>Price</v>
      </c>
      <c r="AQ372" s="2298" t="str">
        <f t="shared" si="505"/>
        <v>[Service]</v>
      </c>
      <c r="AR372" s="1719" t="str">
        <f t="shared" si="506"/>
        <v>[Price]</v>
      </c>
      <c r="AS372" s="2299" t="str">
        <f t="shared" si="566"/>
        <v>-</v>
      </c>
      <c r="AT372" s="1728" t="str">
        <f t="shared" si="566"/>
        <v>-</v>
      </c>
      <c r="AU372" s="1728" t="str">
        <f t="shared" si="566"/>
        <v>-</v>
      </c>
      <c r="AV372" s="2300" t="str">
        <f t="shared" si="566"/>
        <v>-</v>
      </c>
      <c r="AW372" s="1728" t="str">
        <f t="shared" si="566"/>
        <v>-</v>
      </c>
      <c r="AX372" s="2301" t="str">
        <f t="shared" si="566"/>
        <v>-</v>
      </c>
      <c r="AY372" s="1728" t="str">
        <f t="shared" si="566"/>
        <v>-</v>
      </c>
      <c r="AZ372" s="1728" t="str">
        <f t="shared" si="566"/>
        <v>-</v>
      </c>
      <c r="BA372" s="1728" t="str">
        <f t="shared" si="566"/>
        <v>-</v>
      </c>
      <c r="BB372" s="1729" t="str">
        <f t="shared" si="566"/>
        <v>-</v>
      </c>
      <c r="BC372" s="1728" t="str">
        <f t="shared" si="566"/>
        <v>-</v>
      </c>
      <c r="BD372" s="1728" t="str">
        <f t="shared" si="566"/>
        <v>-</v>
      </c>
      <c r="BE372" s="1728" t="str">
        <f t="shared" si="566"/>
        <v>-</v>
      </c>
      <c r="BF372" s="1728" t="str">
        <f t="shared" si="566"/>
        <v>-</v>
      </c>
      <c r="BG372" s="1729" t="str">
        <f t="shared" si="566"/>
        <v>-</v>
      </c>
      <c r="BH372" s="1048"/>
      <c r="BI372" s="2297" t="str">
        <f t="shared" si="533"/>
        <v>Price</v>
      </c>
      <c r="BJ372" s="2298" t="str">
        <f t="shared" si="533"/>
        <v>[Service]</v>
      </c>
      <c r="BK372" s="1719" t="str">
        <f t="shared" si="533"/>
        <v>[Price]</v>
      </c>
      <c r="BL372" s="2299" t="str">
        <f t="shared" ref="BL372:BZ372" si="591">IF(OR(X372="",X372=0),"-",IFERROR((X372/W372-1)*(W374/W$13),"-"))</f>
        <v>-</v>
      </c>
      <c r="BM372" s="1053" t="str">
        <f t="shared" si="591"/>
        <v>-</v>
      </c>
      <c r="BN372" s="1053" t="str">
        <f t="shared" si="591"/>
        <v>-</v>
      </c>
      <c r="BO372" s="2302" t="str">
        <f t="shared" si="591"/>
        <v>-</v>
      </c>
      <c r="BP372" s="1053" t="str">
        <f t="shared" si="591"/>
        <v>-</v>
      </c>
      <c r="BQ372" s="2303" t="str">
        <f t="shared" si="591"/>
        <v>-</v>
      </c>
      <c r="BR372" s="1053" t="str">
        <f t="shared" si="591"/>
        <v>-</v>
      </c>
      <c r="BS372" s="1053" t="str">
        <f t="shared" si="591"/>
        <v>-</v>
      </c>
      <c r="BT372" s="1053" t="str">
        <f t="shared" si="591"/>
        <v>-</v>
      </c>
      <c r="BU372" s="1054" t="str">
        <f t="shared" si="591"/>
        <v>-</v>
      </c>
      <c r="BV372" s="1053" t="str">
        <f t="shared" si="591"/>
        <v>-</v>
      </c>
      <c r="BW372" s="1053" t="str">
        <f t="shared" si="591"/>
        <v>-</v>
      </c>
      <c r="BX372" s="1053" t="str">
        <f t="shared" si="591"/>
        <v>-</v>
      </c>
      <c r="BY372" s="1053" t="str">
        <f t="shared" si="591"/>
        <v>-</v>
      </c>
      <c r="BZ372" s="1054" t="str">
        <f t="shared" si="591"/>
        <v>-</v>
      </c>
      <c r="CA372" s="1048"/>
    </row>
    <row r="373" spans="3:79" x14ac:dyDescent="0.3">
      <c r="C373" s="126"/>
      <c r="D373" s="126"/>
      <c r="E373" s="558" t="s">
        <v>46</v>
      </c>
      <c r="F373" s="2161" t="str">
        <f t="shared" si="565"/>
        <v>[Service]</v>
      </c>
      <c r="G373" s="2163">
        <f t="shared" si="565"/>
        <v>0</v>
      </c>
      <c r="H373" s="2163">
        <f t="shared" si="565"/>
        <v>0</v>
      </c>
      <c r="I373" s="2164" t="str">
        <f t="shared" si="565"/>
        <v>[Price]</v>
      </c>
      <c r="J373" s="574" t="s">
        <v>323</v>
      </c>
      <c r="K373" s="1973"/>
      <c r="L373" s="1974"/>
      <c r="M373" s="1974"/>
      <c r="N373" s="1975"/>
      <c r="O373" s="1974"/>
      <c r="P373" s="1974"/>
      <c r="Q373" s="1974"/>
      <c r="R373" s="1976"/>
      <c r="S373" s="1975"/>
      <c r="T373" s="1974"/>
      <c r="U373" s="1974"/>
      <c r="V373" s="1974"/>
      <c r="W373" s="578"/>
      <c r="X373" s="1239"/>
      <c r="Y373" s="578"/>
      <c r="Z373" s="578"/>
      <c r="AA373" s="578"/>
      <c r="AB373" s="1143"/>
      <c r="AC373" s="578"/>
      <c r="AD373" s="578"/>
      <c r="AE373" s="578"/>
      <c r="AF373" s="578"/>
      <c r="AG373" s="580"/>
      <c r="AH373" s="578"/>
      <c r="AI373" s="578"/>
      <c r="AJ373" s="578"/>
      <c r="AK373" s="578"/>
      <c r="AL373" s="580"/>
      <c r="AM373" s="560"/>
      <c r="AN373" s="991"/>
      <c r="AO373" s="992"/>
      <c r="AP373" s="2285" t="str">
        <f t="shared" si="505"/>
        <v>Qty</v>
      </c>
      <c r="AQ373" s="2286" t="str">
        <f t="shared" si="505"/>
        <v>[Service]</v>
      </c>
      <c r="AR373" s="2287" t="str">
        <f t="shared" si="506"/>
        <v>[Price]</v>
      </c>
      <c r="AS373" s="2288" t="str">
        <f t="shared" si="566"/>
        <v>-</v>
      </c>
      <c r="AT373" s="1720" t="str">
        <f t="shared" si="566"/>
        <v>-</v>
      </c>
      <c r="AU373" s="1720" t="str">
        <f t="shared" si="566"/>
        <v>-</v>
      </c>
      <c r="AV373" s="2289" t="str">
        <f t="shared" si="566"/>
        <v>-</v>
      </c>
      <c r="AW373" s="1720" t="str">
        <f t="shared" si="566"/>
        <v>-</v>
      </c>
      <c r="AX373" s="2290" t="str">
        <f t="shared" si="566"/>
        <v>-</v>
      </c>
      <c r="AY373" s="1720" t="str">
        <f t="shared" si="566"/>
        <v>-</v>
      </c>
      <c r="AZ373" s="1720" t="str">
        <f t="shared" si="566"/>
        <v>-</v>
      </c>
      <c r="BA373" s="1720" t="str">
        <f t="shared" si="566"/>
        <v>-</v>
      </c>
      <c r="BB373" s="1721" t="str">
        <f t="shared" si="566"/>
        <v>-</v>
      </c>
      <c r="BC373" s="1720" t="str">
        <f t="shared" si="566"/>
        <v>-</v>
      </c>
      <c r="BD373" s="1720" t="str">
        <f t="shared" si="566"/>
        <v>-</v>
      </c>
      <c r="BE373" s="1720" t="str">
        <f t="shared" si="566"/>
        <v>-</v>
      </c>
      <c r="BF373" s="1720" t="str">
        <f t="shared" si="566"/>
        <v>-</v>
      </c>
      <c r="BG373" s="1721" t="str">
        <f t="shared" si="566"/>
        <v>-</v>
      </c>
      <c r="BH373" s="1048"/>
      <c r="BI373" s="2285" t="str">
        <f t="shared" si="533"/>
        <v>Qty</v>
      </c>
      <c r="BJ373" s="2286" t="str">
        <f t="shared" si="533"/>
        <v>[Service]</v>
      </c>
      <c r="BK373" s="2287" t="str">
        <f t="shared" si="533"/>
        <v>[Price]</v>
      </c>
      <c r="BL373" s="2288" t="str">
        <f t="shared" ref="BL373:BZ373" si="592">IF(OR(X373="",X373=0),"-",IFERROR((X373/W373-1)*(W374/W$13),"-"))</f>
        <v>-</v>
      </c>
      <c r="BM373" s="1720" t="str">
        <f t="shared" si="592"/>
        <v>-</v>
      </c>
      <c r="BN373" s="1720" t="str">
        <f t="shared" si="592"/>
        <v>-</v>
      </c>
      <c r="BO373" s="2289" t="str">
        <f t="shared" si="592"/>
        <v>-</v>
      </c>
      <c r="BP373" s="1720" t="str">
        <f t="shared" si="592"/>
        <v>-</v>
      </c>
      <c r="BQ373" s="2290" t="str">
        <f t="shared" si="592"/>
        <v>-</v>
      </c>
      <c r="BR373" s="1720" t="str">
        <f t="shared" si="592"/>
        <v>-</v>
      </c>
      <c r="BS373" s="1720" t="str">
        <f t="shared" si="592"/>
        <v>-</v>
      </c>
      <c r="BT373" s="1720" t="str">
        <f t="shared" si="592"/>
        <v>-</v>
      </c>
      <c r="BU373" s="1721" t="str">
        <f t="shared" si="592"/>
        <v>-</v>
      </c>
      <c r="BV373" s="1720" t="str">
        <f t="shared" si="592"/>
        <v>-</v>
      </c>
      <c r="BW373" s="1720" t="str">
        <f t="shared" si="592"/>
        <v>-</v>
      </c>
      <c r="BX373" s="1720" t="str">
        <f t="shared" si="592"/>
        <v>-</v>
      </c>
      <c r="BY373" s="1720" t="str">
        <f t="shared" si="592"/>
        <v>-</v>
      </c>
      <c r="BZ373" s="1721" t="str">
        <f t="shared" si="592"/>
        <v>-</v>
      </c>
      <c r="CA373" s="1048"/>
    </row>
    <row r="374" spans="3:79" ht="12.5" thickBot="1" x14ac:dyDescent="0.35">
      <c r="C374" s="126"/>
      <c r="D374" s="126"/>
      <c r="E374" s="559" t="s">
        <v>47</v>
      </c>
      <c r="F374" s="2162" t="str">
        <f t="shared" ref="F374:I374" si="593">+F372</f>
        <v>[Service]</v>
      </c>
      <c r="G374" s="2165">
        <f t="shared" si="593"/>
        <v>0</v>
      </c>
      <c r="H374" s="2165">
        <f t="shared" si="593"/>
        <v>0</v>
      </c>
      <c r="I374" s="2166" t="str">
        <f t="shared" si="593"/>
        <v>[Price]</v>
      </c>
      <c r="J374" s="2106" t="s">
        <v>347</v>
      </c>
      <c r="K374" s="1977"/>
      <c r="L374" s="1206"/>
      <c r="M374" s="1206"/>
      <c r="N374" s="1978"/>
      <c r="O374" s="1206"/>
      <c r="P374" s="1206"/>
      <c r="Q374" s="1206"/>
      <c r="R374" s="1206"/>
      <c r="S374" s="1978"/>
      <c r="T374" s="1206"/>
      <c r="U374" s="1206"/>
      <c r="V374" s="1206"/>
      <c r="W374" s="1731">
        <f t="shared" ref="W374:AG374" si="594">W372*W373/10^6</f>
        <v>0</v>
      </c>
      <c r="X374" s="1730">
        <f t="shared" si="594"/>
        <v>0</v>
      </c>
      <c r="Y374" s="1731">
        <f t="shared" si="594"/>
        <v>0</v>
      </c>
      <c r="Z374" s="1731">
        <f t="shared" si="594"/>
        <v>0</v>
      </c>
      <c r="AA374" s="1731">
        <f t="shared" si="594"/>
        <v>0</v>
      </c>
      <c r="AB374" s="1733">
        <f t="shared" si="594"/>
        <v>0</v>
      </c>
      <c r="AC374" s="1731">
        <f t="shared" si="594"/>
        <v>0</v>
      </c>
      <c r="AD374" s="1731">
        <f t="shared" si="594"/>
        <v>0</v>
      </c>
      <c r="AE374" s="1731">
        <f t="shared" si="594"/>
        <v>0</v>
      </c>
      <c r="AF374" s="1731">
        <f t="shared" si="594"/>
        <v>0</v>
      </c>
      <c r="AG374" s="1733">
        <f t="shared" si="594"/>
        <v>0</v>
      </c>
      <c r="AH374" s="1731">
        <f>AH372*AH373/10^6</f>
        <v>0</v>
      </c>
      <c r="AI374" s="1731">
        <f>AI372*AI373/10^6</f>
        <v>0</v>
      </c>
      <c r="AJ374" s="1731">
        <f>AJ372*AJ373/10^6</f>
        <v>0</v>
      </c>
      <c r="AK374" s="1731">
        <f>AK372*AK373/10^6</f>
        <v>0</v>
      </c>
      <c r="AL374" s="1733">
        <f>AL372*AL373/10^6</f>
        <v>0</v>
      </c>
      <c r="AM374" s="560"/>
      <c r="AN374" s="991"/>
      <c r="AO374" s="992"/>
      <c r="AP374" s="2304" t="str">
        <f t="shared" si="505"/>
        <v>Rev</v>
      </c>
      <c r="AQ374" s="2305" t="str">
        <f t="shared" si="505"/>
        <v>[Service]</v>
      </c>
      <c r="AR374" s="2306" t="str">
        <f t="shared" si="506"/>
        <v>[Price]</v>
      </c>
      <c r="AS374" s="2307" t="str">
        <f t="shared" si="566"/>
        <v>-</v>
      </c>
      <c r="AT374" s="1055" t="str">
        <f t="shared" si="566"/>
        <v>-</v>
      </c>
      <c r="AU374" s="1055" t="str">
        <f t="shared" si="566"/>
        <v>-</v>
      </c>
      <c r="AV374" s="2308" t="str">
        <f t="shared" si="566"/>
        <v>-</v>
      </c>
      <c r="AW374" s="1055" t="str">
        <f t="shared" si="566"/>
        <v>-</v>
      </c>
      <c r="AX374" s="2309" t="str">
        <f t="shared" si="566"/>
        <v>-</v>
      </c>
      <c r="AY374" s="1055" t="str">
        <f t="shared" si="566"/>
        <v>-</v>
      </c>
      <c r="AZ374" s="1055" t="str">
        <f t="shared" si="566"/>
        <v>-</v>
      </c>
      <c r="BA374" s="1055" t="str">
        <f t="shared" si="566"/>
        <v>-</v>
      </c>
      <c r="BB374" s="1056" t="str">
        <f t="shared" si="566"/>
        <v>-</v>
      </c>
      <c r="BC374" s="1055" t="str">
        <f t="shared" si="566"/>
        <v>-</v>
      </c>
      <c r="BD374" s="1055" t="str">
        <f t="shared" si="566"/>
        <v>-</v>
      </c>
      <c r="BE374" s="1055" t="str">
        <f t="shared" si="566"/>
        <v>-</v>
      </c>
      <c r="BF374" s="1055" t="str">
        <f t="shared" si="566"/>
        <v>-</v>
      </c>
      <c r="BG374" s="1056" t="str">
        <f t="shared" si="566"/>
        <v>-</v>
      </c>
      <c r="BH374" s="1048"/>
      <c r="BI374" s="2304" t="str">
        <f t="shared" si="533"/>
        <v>Rev</v>
      </c>
      <c r="BJ374" s="2305" t="str">
        <f t="shared" si="533"/>
        <v>[Service]</v>
      </c>
      <c r="BK374" s="2306" t="str">
        <f t="shared" si="533"/>
        <v>[Price]</v>
      </c>
      <c r="BL374" s="2307" t="str">
        <f t="shared" ref="BL374:BZ374" si="595">IF(OR(X374="",X374=0),"-",IFERROR((X374/W374-1)*(W374/W$13),"-"))</f>
        <v>-</v>
      </c>
      <c r="BM374" s="1055" t="str">
        <f t="shared" si="595"/>
        <v>-</v>
      </c>
      <c r="BN374" s="1055" t="str">
        <f t="shared" si="595"/>
        <v>-</v>
      </c>
      <c r="BO374" s="2308" t="str">
        <f t="shared" si="595"/>
        <v>-</v>
      </c>
      <c r="BP374" s="1055" t="str">
        <f t="shared" si="595"/>
        <v>-</v>
      </c>
      <c r="BQ374" s="2309" t="str">
        <f t="shared" si="595"/>
        <v>-</v>
      </c>
      <c r="BR374" s="1055" t="str">
        <f t="shared" si="595"/>
        <v>-</v>
      </c>
      <c r="BS374" s="1055" t="str">
        <f t="shared" si="595"/>
        <v>-</v>
      </c>
      <c r="BT374" s="1055" t="str">
        <f t="shared" si="595"/>
        <v>-</v>
      </c>
      <c r="BU374" s="1056" t="str">
        <f t="shared" si="595"/>
        <v>-</v>
      </c>
      <c r="BV374" s="1055" t="str">
        <f t="shared" si="595"/>
        <v>-</v>
      </c>
      <c r="BW374" s="1055" t="str">
        <f t="shared" si="595"/>
        <v>-</v>
      </c>
      <c r="BX374" s="1055" t="str">
        <f t="shared" si="595"/>
        <v>-</v>
      </c>
      <c r="BY374" s="1055" t="str">
        <f t="shared" si="595"/>
        <v>-</v>
      </c>
      <c r="BZ374" s="1056" t="str">
        <f t="shared" si="595"/>
        <v>-</v>
      </c>
      <c r="CA374" s="1048"/>
    </row>
    <row r="375" spans="3:79" x14ac:dyDescent="0.3">
      <c r="C375" s="126"/>
      <c r="D375" s="126">
        <f>D372+1</f>
        <v>103</v>
      </c>
      <c r="E375" s="553" t="s">
        <v>45</v>
      </c>
      <c r="F375" s="2105" t="s">
        <v>28</v>
      </c>
      <c r="G375" s="2105"/>
      <c r="H375" s="2105"/>
      <c r="I375" s="573" t="s">
        <v>319</v>
      </c>
      <c r="J375" s="573" t="s">
        <v>348</v>
      </c>
      <c r="K375" s="1969"/>
      <c r="L375" s="1970"/>
      <c r="M375" s="1970"/>
      <c r="N375" s="1971"/>
      <c r="O375" s="1970"/>
      <c r="P375" s="1970"/>
      <c r="Q375" s="1970"/>
      <c r="R375" s="1972"/>
      <c r="S375" s="1971"/>
      <c r="T375" s="1970"/>
      <c r="U375" s="1970"/>
      <c r="V375" s="1970"/>
      <c r="W375" s="575"/>
      <c r="X375" s="1238"/>
      <c r="Y375" s="575"/>
      <c r="Z375" s="575"/>
      <c r="AA375" s="575"/>
      <c r="AB375" s="1142"/>
      <c r="AC375" s="575"/>
      <c r="AD375" s="575"/>
      <c r="AE375" s="575"/>
      <c r="AF375" s="575"/>
      <c r="AG375" s="577"/>
      <c r="AH375" s="575"/>
      <c r="AI375" s="575"/>
      <c r="AJ375" s="575"/>
      <c r="AK375" s="575"/>
      <c r="AL375" s="577"/>
      <c r="AM375" s="560"/>
      <c r="AN375" s="1052"/>
      <c r="AO375" s="992"/>
      <c r="AP375" s="2297" t="str">
        <f t="shared" si="505"/>
        <v>Price</v>
      </c>
      <c r="AQ375" s="2298" t="str">
        <f t="shared" si="505"/>
        <v>[Service]</v>
      </c>
      <c r="AR375" s="1719" t="str">
        <f t="shared" si="506"/>
        <v>[Price]</v>
      </c>
      <c r="AS375" s="2299" t="str">
        <f t="shared" ref="AS375:BG391" si="596">IF(OR(X375="",X375=0),"-",IFERROR(X375/W375-1,"-"))</f>
        <v>-</v>
      </c>
      <c r="AT375" s="1728" t="str">
        <f t="shared" si="596"/>
        <v>-</v>
      </c>
      <c r="AU375" s="1728" t="str">
        <f t="shared" si="596"/>
        <v>-</v>
      </c>
      <c r="AV375" s="2300" t="str">
        <f t="shared" si="596"/>
        <v>-</v>
      </c>
      <c r="AW375" s="1728" t="str">
        <f t="shared" si="596"/>
        <v>-</v>
      </c>
      <c r="AX375" s="2301" t="str">
        <f t="shared" si="596"/>
        <v>-</v>
      </c>
      <c r="AY375" s="1728" t="str">
        <f t="shared" si="596"/>
        <v>-</v>
      </c>
      <c r="AZ375" s="1728" t="str">
        <f t="shared" si="596"/>
        <v>-</v>
      </c>
      <c r="BA375" s="1728" t="str">
        <f t="shared" si="596"/>
        <v>-</v>
      </c>
      <c r="BB375" s="1729" t="str">
        <f t="shared" si="596"/>
        <v>-</v>
      </c>
      <c r="BC375" s="1728" t="str">
        <f t="shared" si="596"/>
        <v>-</v>
      </c>
      <c r="BD375" s="1728" t="str">
        <f t="shared" si="596"/>
        <v>-</v>
      </c>
      <c r="BE375" s="1728" t="str">
        <f t="shared" si="596"/>
        <v>-</v>
      </c>
      <c r="BF375" s="1728" t="str">
        <f t="shared" si="596"/>
        <v>-</v>
      </c>
      <c r="BG375" s="1729" t="str">
        <f t="shared" si="596"/>
        <v>-</v>
      </c>
      <c r="BH375" s="1048"/>
      <c r="BI375" s="2297" t="str">
        <f t="shared" si="533"/>
        <v>Price</v>
      </c>
      <c r="BJ375" s="2298" t="str">
        <f t="shared" si="533"/>
        <v>[Service]</v>
      </c>
      <c r="BK375" s="1719" t="str">
        <f t="shared" si="533"/>
        <v>[Price]</v>
      </c>
      <c r="BL375" s="2299" t="str">
        <f t="shared" ref="BL375:BZ375" si="597">IF(OR(X375="",X375=0),"-",IFERROR((X375/W375-1)*(W377/W$13),"-"))</f>
        <v>-</v>
      </c>
      <c r="BM375" s="1053" t="str">
        <f t="shared" si="597"/>
        <v>-</v>
      </c>
      <c r="BN375" s="1053" t="str">
        <f t="shared" si="597"/>
        <v>-</v>
      </c>
      <c r="BO375" s="2302" t="str">
        <f t="shared" si="597"/>
        <v>-</v>
      </c>
      <c r="BP375" s="1053" t="str">
        <f t="shared" si="597"/>
        <v>-</v>
      </c>
      <c r="BQ375" s="2303" t="str">
        <f t="shared" si="597"/>
        <v>-</v>
      </c>
      <c r="BR375" s="1053" t="str">
        <f t="shared" si="597"/>
        <v>-</v>
      </c>
      <c r="BS375" s="1053" t="str">
        <f t="shared" si="597"/>
        <v>-</v>
      </c>
      <c r="BT375" s="1053" t="str">
        <f t="shared" si="597"/>
        <v>-</v>
      </c>
      <c r="BU375" s="1054" t="str">
        <f t="shared" si="597"/>
        <v>-</v>
      </c>
      <c r="BV375" s="1053" t="str">
        <f t="shared" si="597"/>
        <v>-</v>
      </c>
      <c r="BW375" s="1053" t="str">
        <f t="shared" si="597"/>
        <v>-</v>
      </c>
      <c r="BX375" s="1053" t="str">
        <f t="shared" si="597"/>
        <v>-</v>
      </c>
      <c r="BY375" s="1053" t="str">
        <f t="shared" si="597"/>
        <v>-</v>
      </c>
      <c r="BZ375" s="1054" t="str">
        <f t="shared" si="597"/>
        <v>-</v>
      </c>
      <c r="CA375" s="1048"/>
    </row>
    <row r="376" spans="3:79" x14ac:dyDescent="0.3">
      <c r="C376" s="126"/>
      <c r="D376" s="126"/>
      <c r="E376" s="558" t="s">
        <v>46</v>
      </c>
      <c r="F376" s="2161" t="str">
        <f t="shared" ref="F376:I391" si="598">+F375</f>
        <v>[Service]</v>
      </c>
      <c r="G376" s="2163">
        <f t="shared" si="598"/>
        <v>0</v>
      </c>
      <c r="H376" s="2163">
        <f t="shared" si="598"/>
        <v>0</v>
      </c>
      <c r="I376" s="2164" t="str">
        <f t="shared" si="598"/>
        <v>[Price]</v>
      </c>
      <c r="J376" s="574" t="s">
        <v>323</v>
      </c>
      <c r="K376" s="1973"/>
      <c r="L376" s="1974"/>
      <c r="M376" s="1974"/>
      <c r="N376" s="1975"/>
      <c r="O376" s="1974"/>
      <c r="P376" s="1974"/>
      <c r="Q376" s="1974"/>
      <c r="R376" s="1976"/>
      <c r="S376" s="1975"/>
      <c r="T376" s="1974"/>
      <c r="U376" s="1974"/>
      <c r="V376" s="1974"/>
      <c r="W376" s="578"/>
      <c r="X376" s="1239"/>
      <c r="Y376" s="578"/>
      <c r="Z376" s="578"/>
      <c r="AA376" s="578"/>
      <c r="AB376" s="1143"/>
      <c r="AC376" s="578"/>
      <c r="AD376" s="578"/>
      <c r="AE376" s="578"/>
      <c r="AF376" s="578"/>
      <c r="AG376" s="580"/>
      <c r="AH376" s="578"/>
      <c r="AI376" s="578"/>
      <c r="AJ376" s="578"/>
      <c r="AK376" s="578"/>
      <c r="AL376" s="580"/>
      <c r="AM376" s="560"/>
      <c r="AN376" s="991"/>
      <c r="AO376" s="992"/>
      <c r="AP376" s="2285" t="str">
        <f t="shared" si="505"/>
        <v>Qty</v>
      </c>
      <c r="AQ376" s="2286" t="str">
        <f t="shared" si="505"/>
        <v>[Service]</v>
      </c>
      <c r="AR376" s="2287" t="str">
        <f t="shared" si="506"/>
        <v>[Price]</v>
      </c>
      <c r="AS376" s="2288" t="str">
        <f t="shared" si="596"/>
        <v>-</v>
      </c>
      <c r="AT376" s="1720" t="str">
        <f t="shared" si="596"/>
        <v>-</v>
      </c>
      <c r="AU376" s="1720" t="str">
        <f t="shared" si="596"/>
        <v>-</v>
      </c>
      <c r="AV376" s="2289" t="str">
        <f t="shared" si="596"/>
        <v>-</v>
      </c>
      <c r="AW376" s="1720" t="str">
        <f t="shared" si="596"/>
        <v>-</v>
      </c>
      <c r="AX376" s="2290" t="str">
        <f t="shared" si="596"/>
        <v>-</v>
      </c>
      <c r="AY376" s="1720" t="str">
        <f t="shared" si="596"/>
        <v>-</v>
      </c>
      <c r="AZ376" s="1720" t="str">
        <f t="shared" si="596"/>
        <v>-</v>
      </c>
      <c r="BA376" s="1720" t="str">
        <f t="shared" si="596"/>
        <v>-</v>
      </c>
      <c r="BB376" s="1721" t="str">
        <f t="shared" si="596"/>
        <v>-</v>
      </c>
      <c r="BC376" s="1720" t="str">
        <f t="shared" si="596"/>
        <v>-</v>
      </c>
      <c r="BD376" s="1720" t="str">
        <f t="shared" si="596"/>
        <v>-</v>
      </c>
      <c r="BE376" s="1720" t="str">
        <f t="shared" si="596"/>
        <v>-</v>
      </c>
      <c r="BF376" s="1720" t="str">
        <f t="shared" si="596"/>
        <v>-</v>
      </c>
      <c r="BG376" s="1721" t="str">
        <f t="shared" si="596"/>
        <v>-</v>
      </c>
      <c r="BH376" s="1048"/>
      <c r="BI376" s="2285" t="str">
        <f t="shared" si="533"/>
        <v>Qty</v>
      </c>
      <c r="BJ376" s="2286" t="str">
        <f t="shared" si="533"/>
        <v>[Service]</v>
      </c>
      <c r="BK376" s="2287" t="str">
        <f t="shared" si="533"/>
        <v>[Price]</v>
      </c>
      <c r="BL376" s="2288" t="str">
        <f t="shared" ref="BL376:BZ376" si="599">IF(OR(X376="",X376=0),"-",IFERROR((X376/W376-1)*(W377/W$13),"-"))</f>
        <v>-</v>
      </c>
      <c r="BM376" s="1720" t="str">
        <f t="shared" si="599"/>
        <v>-</v>
      </c>
      <c r="BN376" s="1720" t="str">
        <f t="shared" si="599"/>
        <v>-</v>
      </c>
      <c r="BO376" s="2289" t="str">
        <f t="shared" si="599"/>
        <v>-</v>
      </c>
      <c r="BP376" s="1720" t="str">
        <f t="shared" si="599"/>
        <v>-</v>
      </c>
      <c r="BQ376" s="2290" t="str">
        <f t="shared" si="599"/>
        <v>-</v>
      </c>
      <c r="BR376" s="1720" t="str">
        <f t="shared" si="599"/>
        <v>-</v>
      </c>
      <c r="BS376" s="1720" t="str">
        <f t="shared" si="599"/>
        <v>-</v>
      </c>
      <c r="BT376" s="1720" t="str">
        <f t="shared" si="599"/>
        <v>-</v>
      </c>
      <c r="BU376" s="1721" t="str">
        <f t="shared" si="599"/>
        <v>-</v>
      </c>
      <c r="BV376" s="1720" t="str">
        <f t="shared" si="599"/>
        <v>-</v>
      </c>
      <c r="BW376" s="1720" t="str">
        <f t="shared" si="599"/>
        <v>-</v>
      </c>
      <c r="BX376" s="1720" t="str">
        <f t="shared" si="599"/>
        <v>-</v>
      </c>
      <c r="BY376" s="1720" t="str">
        <f t="shared" si="599"/>
        <v>-</v>
      </c>
      <c r="BZ376" s="1721" t="str">
        <f t="shared" si="599"/>
        <v>-</v>
      </c>
      <c r="CA376" s="1048"/>
    </row>
    <row r="377" spans="3:79" ht="12.5" thickBot="1" x14ac:dyDescent="0.35">
      <c r="C377" s="126"/>
      <c r="D377" s="126"/>
      <c r="E377" s="559" t="s">
        <v>47</v>
      </c>
      <c r="F377" s="2162" t="str">
        <f t="shared" ref="F377:I377" si="600">+F375</f>
        <v>[Service]</v>
      </c>
      <c r="G377" s="2165">
        <f t="shared" si="600"/>
        <v>0</v>
      </c>
      <c r="H377" s="2165">
        <f t="shared" si="600"/>
        <v>0</v>
      </c>
      <c r="I377" s="2166" t="str">
        <f t="shared" si="600"/>
        <v>[Price]</v>
      </c>
      <c r="J377" s="2106" t="s">
        <v>347</v>
      </c>
      <c r="K377" s="1977"/>
      <c r="L377" s="1206"/>
      <c r="M377" s="1206"/>
      <c r="N377" s="1978"/>
      <c r="O377" s="1206"/>
      <c r="P377" s="1206"/>
      <c r="Q377" s="1206"/>
      <c r="R377" s="1206"/>
      <c r="S377" s="1978"/>
      <c r="T377" s="1206"/>
      <c r="U377" s="1206"/>
      <c r="V377" s="1206"/>
      <c r="W377" s="1731">
        <f t="shared" ref="W377:AG377" si="601">W375*W376/10^6</f>
        <v>0</v>
      </c>
      <c r="X377" s="1730">
        <f t="shared" si="601"/>
        <v>0</v>
      </c>
      <c r="Y377" s="1731">
        <f t="shared" si="601"/>
        <v>0</v>
      </c>
      <c r="Z377" s="1731">
        <f t="shared" si="601"/>
        <v>0</v>
      </c>
      <c r="AA377" s="1731">
        <f t="shared" si="601"/>
        <v>0</v>
      </c>
      <c r="AB377" s="1733">
        <f t="shared" si="601"/>
        <v>0</v>
      </c>
      <c r="AC377" s="1731">
        <f t="shared" si="601"/>
        <v>0</v>
      </c>
      <c r="AD377" s="1731">
        <f t="shared" si="601"/>
        <v>0</v>
      </c>
      <c r="AE377" s="1731">
        <f t="shared" si="601"/>
        <v>0</v>
      </c>
      <c r="AF377" s="1731">
        <f t="shared" si="601"/>
        <v>0</v>
      </c>
      <c r="AG377" s="1733">
        <f t="shared" si="601"/>
        <v>0</v>
      </c>
      <c r="AH377" s="1731">
        <f>AH375*AH376/10^6</f>
        <v>0</v>
      </c>
      <c r="AI377" s="1731">
        <f>AI375*AI376/10^6</f>
        <v>0</v>
      </c>
      <c r="AJ377" s="1731">
        <f>AJ375*AJ376/10^6</f>
        <v>0</v>
      </c>
      <c r="AK377" s="1731">
        <f>AK375*AK376/10^6</f>
        <v>0</v>
      </c>
      <c r="AL377" s="1733">
        <f>AL375*AL376/10^6</f>
        <v>0</v>
      </c>
      <c r="AM377" s="560"/>
      <c r="AN377" s="991"/>
      <c r="AO377" s="992"/>
      <c r="AP377" s="2304" t="str">
        <f t="shared" si="505"/>
        <v>Rev</v>
      </c>
      <c r="AQ377" s="2305" t="str">
        <f t="shared" si="505"/>
        <v>[Service]</v>
      </c>
      <c r="AR377" s="2306" t="str">
        <f t="shared" si="506"/>
        <v>[Price]</v>
      </c>
      <c r="AS377" s="2307" t="str">
        <f t="shared" si="596"/>
        <v>-</v>
      </c>
      <c r="AT377" s="1055" t="str">
        <f t="shared" si="596"/>
        <v>-</v>
      </c>
      <c r="AU377" s="1055" t="str">
        <f t="shared" si="596"/>
        <v>-</v>
      </c>
      <c r="AV377" s="2308" t="str">
        <f t="shared" si="596"/>
        <v>-</v>
      </c>
      <c r="AW377" s="1055" t="str">
        <f t="shared" si="596"/>
        <v>-</v>
      </c>
      <c r="AX377" s="2309" t="str">
        <f t="shared" si="596"/>
        <v>-</v>
      </c>
      <c r="AY377" s="1055" t="str">
        <f t="shared" si="596"/>
        <v>-</v>
      </c>
      <c r="AZ377" s="1055" t="str">
        <f t="shared" si="596"/>
        <v>-</v>
      </c>
      <c r="BA377" s="1055" t="str">
        <f t="shared" si="596"/>
        <v>-</v>
      </c>
      <c r="BB377" s="1056" t="str">
        <f t="shared" si="596"/>
        <v>-</v>
      </c>
      <c r="BC377" s="1055" t="str">
        <f t="shared" si="596"/>
        <v>-</v>
      </c>
      <c r="BD377" s="1055" t="str">
        <f t="shared" si="596"/>
        <v>-</v>
      </c>
      <c r="BE377" s="1055" t="str">
        <f t="shared" si="596"/>
        <v>-</v>
      </c>
      <c r="BF377" s="1055" t="str">
        <f t="shared" si="596"/>
        <v>-</v>
      </c>
      <c r="BG377" s="1056" t="str">
        <f t="shared" si="596"/>
        <v>-</v>
      </c>
      <c r="BH377" s="1048"/>
      <c r="BI377" s="2304" t="str">
        <f t="shared" si="533"/>
        <v>Rev</v>
      </c>
      <c r="BJ377" s="2305" t="str">
        <f t="shared" si="533"/>
        <v>[Service]</v>
      </c>
      <c r="BK377" s="2306" t="str">
        <f t="shared" si="533"/>
        <v>[Price]</v>
      </c>
      <c r="BL377" s="2307" t="str">
        <f t="shared" ref="BL377:BZ377" si="602">IF(OR(X377="",X377=0),"-",IFERROR((X377/W377-1)*(W377/W$13),"-"))</f>
        <v>-</v>
      </c>
      <c r="BM377" s="1055" t="str">
        <f t="shared" si="602"/>
        <v>-</v>
      </c>
      <c r="BN377" s="1055" t="str">
        <f t="shared" si="602"/>
        <v>-</v>
      </c>
      <c r="BO377" s="2308" t="str">
        <f t="shared" si="602"/>
        <v>-</v>
      </c>
      <c r="BP377" s="1055" t="str">
        <f t="shared" si="602"/>
        <v>-</v>
      </c>
      <c r="BQ377" s="2309" t="str">
        <f t="shared" si="602"/>
        <v>-</v>
      </c>
      <c r="BR377" s="1055" t="str">
        <f t="shared" si="602"/>
        <v>-</v>
      </c>
      <c r="BS377" s="1055" t="str">
        <f t="shared" si="602"/>
        <v>-</v>
      </c>
      <c r="BT377" s="1055" t="str">
        <f t="shared" si="602"/>
        <v>-</v>
      </c>
      <c r="BU377" s="1056" t="str">
        <f t="shared" si="602"/>
        <v>-</v>
      </c>
      <c r="BV377" s="1055" t="str">
        <f t="shared" si="602"/>
        <v>-</v>
      </c>
      <c r="BW377" s="1055" t="str">
        <f t="shared" si="602"/>
        <v>-</v>
      </c>
      <c r="BX377" s="1055" t="str">
        <f t="shared" si="602"/>
        <v>-</v>
      </c>
      <c r="BY377" s="1055" t="str">
        <f t="shared" si="602"/>
        <v>-</v>
      </c>
      <c r="BZ377" s="1056" t="str">
        <f t="shared" si="602"/>
        <v>-</v>
      </c>
      <c r="CA377" s="1048"/>
    </row>
    <row r="378" spans="3:79" x14ac:dyDescent="0.3">
      <c r="C378" s="126"/>
      <c r="D378" s="126">
        <f>D375+1</f>
        <v>104</v>
      </c>
      <c r="E378" s="553" t="s">
        <v>45</v>
      </c>
      <c r="F378" s="2105" t="s">
        <v>28</v>
      </c>
      <c r="G378" s="2105"/>
      <c r="H378" s="2105"/>
      <c r="I378" s="573" t="s">
        <v>319</v>
      </c>
      <c r="J378" s="573" t="s">
        <v>348</v>
      </c>
      <c r="K378" s="1969"/>
      <c r="L378" s="1970"/>
      <c r="M378" s="1970"/>
      <c r="N378" s="1971"/>
      <c r="O378" s="1970"/>
      <c r="P378" s="1970"/>
      <c r="Q378" s="1970"/>
      <c r="R378" s="1972"/>
      <c r="S378" s="1971"/>
      <c r="T378" s="1970"/>
      <c r="U378" s="1970"/>
      <c r="V378" s="1970"/>
      <c r="W378" s="575"/>
      <c r="X378" s="1238"/>
      <c r="Y378" s="575"/>
      <c r="Z378" s="575"/>
      <c r="AA378" s="575"/>
      <c r="AB378" s="1142"/>
      <c r="AC378" s="575"/>
      <c r="AD378" s="575"/>
      <c r="AE378" s="575"/>
      <c r="AF378" s="575"/>
      <c r="AG378" s="577"/>
      <c r="AH378" s="575"/>
      <c r="AI378" s="575"/>
      <c r="AJ378" s="575"/>
      <c r="AK378" s="575"/>
      <c r="AL378" s="577"/>
      <c r="AM378" s="560"/>
      <c r="AN378" s="1052"/>
      <c r="AO378" s="992"/>
      <c r="AP378" s="2297" t="str">
        <f t="shared" si="505"/>
        <v>Price</v>
      </c>
      <c r="AQ378" s="2298" t="str">
        <f t="shared" si="505"/>
        <v>[Service]</v>
      </c>
      <c r="AR378" s="1719" t="str">
        <f t="shared" si="506"/>
        <v>[Price]</v>
      </c>
      <c r="AS378" s="2299" t="str">
        <f t="shared" si="596"/>
        <v>-</v>
      </c>
      <c r="AT378" s="1728" t="str">
        <f t="shared" si="596"/>
        <v>-</v>
      </c>
      <c r="AU378" s="1728" t="str">
        <f t="shared" si="596"/>
        <v>-</v>
      </c>
      <c r="AV378" s="2300" t="str">
        <f t="shared" si="596"/>
        <v>-</v>
      </c>
      <c r="AW378" s="1728" t="str">
        <f t="shared" si="596"/>
        <v>-</v>
      </c>
      <c r="AX378" s="2301" t="str">
        <f t="shared" si="596"/>
        <v>-</v>
      </c>
      <c r="AY378" s="1728" t="str">
        <f t="shared" si="596"/>
        <v>-</v>
      </c>
      <c r="AZ378" s="1728" t="str">
        <f t="shared" si="596"/>
        <v>-</v>
      </c>
      <c r="BA378" s="1728" t="str">
        <f t="shared" si="596"/>
        <v>-</v>
      </c>
      <c r="BB378" s="1729" t="str">
        <f t="shared" si="596"/>
        <v>-</v>
      </c>
      <c r="BC378" s="1728" t="str">
        <f t="shared" si="596"/>
        <v>-</v>
      </c>
      <c r="BD378" s="1728" t="str">
        <f t="shared" si="596"/>
        <v>-</v>
      </c>
      <c r="BE378" s="1728" t="str">
        <f t="shared" si="596"/>
        <v>-</v>
      </c>
      <c r="BF378" s="1728" t="str">
        <f t="shared" si="596"/>
        <v>-</v>
      </c>
      <c r="BG378" s="1729" t="str">
        <f t="shared" si="596"/>
        <v>-</v>
      </c>
      <c r="BH378" s="1048"/>
      <c r="BI378" s="2297" t="str">
        <f t="shared" si="533"/>
        <v>Price</v>
      </c>
      <c r="BJ378" s="2298" t="str">
        <f t="shared" si="533"/>
        <v>[Service]</v>
      </c>
      <c r="BK378" s="1719" t="str">
        <f t="shared" si="533"/>
        <v>[Price]</v>
      </c>
      <c r="BL378" s="2299" t="str">
        <f t="shared" ref="BL378:BZ378" si="603">IF(OR(X378="",X378=0),"-",IFERROR((X378/W378-1)*(W380/W$13),"-"))</f>
        <v>-</v>
      </c>
      <c r="BM378" s="1053" t="str">
        <f t="shared" si="603"/>
        <v>-</v>
      </c>
      <c r="BN378" s="1053" t="str">
        <f t="shared" si="603"/>
        <v>-</v>
      </c>
      <c r="BO378" s="2302" t="str">
        <f t="shared" si="603"/>
        <v>-</v>
      </c>
      <c r="BP378" s="1053" t="str">
        <f t="shared" si="603"/>
        <v>-</v>
      </c>
      <c r="BQ378" s="2303" t="str">
        <f t="shared" si="603"/>
        <v>-</v>
      </c>
      <c r="BR378" s="1053" t="str">
        <f t="shared" si="603"/>
        <v>-</v>
      </c>
      <c r="BS378" s="1053" t="str">
        <f t="shared" si="603"/>
        <v>-</v>
      </c>
      <c r="BT378" s="1053" t="str">
        <f t="shared" si="603"/>
        <v>-</v>
      </c>
      <c r="BU378" s="1054" t="str">
        <f t="shared" si="603"/>
        <v>-</v>
      </c>
      <c r="BV378" s="1053" t="str">
        <f t="shared" si="603"/>
        <v>-</v>
      </c>
      <c r="BW378" s="1053" t="str">
        <f t="shared" si="603"/>
        <v>-</v>
      </c>
      <c r="BX378" s="1053" t="str">
        <f t="shared" si="603"/>
        <v>-</v>
      </c>
      <c r="BY378" s="1053" t="str">
        <f t="shared" si="603"/>
        <v>-</v>
      </c>
      <c r="BZ378" s="1054" t="str">
        <f t="shared" si="603"/>
        <v>-</v>
      </c>
      <c r="CA378" s="1048"/>
    </row>
    <row r="379" spans="3:79" x14ac:dyDescent="0.3">
      <c r="C379" s="126"/>
      <c r="D379" s="126"/>
      <c r="E379" s="558" t="s">
        <v>46</v>
      </c>
      <c r="F379" s="2161" t="str">
        <f t="shared" si="598"/>
        <v>[Service]</v>
      </c>
      <c r="G379" s="2163">
        <f t="shared" si="598"/>
        <v>0</v>
      </c>
      <c r="H379" s="2163">
        <f t="shared" si="598"/>
        <v>0</v>
      </c>
      <c r="I379" s="2164" t="str">
        <f t="shared" si="598"/>
        <v>[Price]</v>
      </c>
      <c r="J379" s="574" t="s">
        <v>323</v>
      </c>
      <c r="K379" s="1973"/>
      <c r="L379" s="1974"/>
      <c r="M379" s="1974"/>
      <c r="N379" s="1975"/>
      <c r="O379" s="1974"/>
      <c r="P379" s="1974"/>
      <c r="Q379" s="1974"/>
      <c r="R379" s="1976"/>
      <c r="S379" s="1975"/>
      <c r="T379" s="1974"/>
      <c r="U379" s="1974"/>
      <c r="V379" s="1974"/>
      <c r="W379" s="578"/>
      <c r="X379" s="1239"/>
      <c r="Y379" s="578"/>
      <c r="Z379" s="578"/>
      <c r="AA379" s="578"/>
      <c r="AB379" s="1143"/>
      <c r="AC379" s="578"/>
      <c r="AD379" s="578"/>
      <c r="AE379" s="578"/>
      <c r="AF379" s="578"/>
      <c r="AG379" s="580"/>
      <c r="AH379" s="578"/>
      <c r="AI379" s="578"/>
      <c r="AJ379" s="578"/>
      <c r="AK379" s="578"/>
      <c r="AL379" s="580"/>
      <c r="AM379" s="560"/>
      <c r="AN379" s="991"/>
      <c r="AO379" s="992"/>
      <c r="AP379" s="2285" t="str">
        <f t="shared" si="505"/>
        <v>Qty</v>
      </c>
      <c r="AQ379" s="2286" t="str">
        <f t="shared" si="505"/>
        <v>[Service]</v>
      </c>
      <c r="AR379" s="2287" t="str">
        <f t="shared" si="506"/>
        <v>[Price]</v>
      </c>
      <c r="AS379" s="2288" t="str">
        <f t="shared" si="596"/>
        <v>-</v>
      </c>
      <c r="AT379" s="1720" t="str">
        <f t="shared" si="596"/>
        <v>-</v>
      </c>
      <c r="AU379" s="1720" t="str">
        <f t="shared" si="596"/>
        <v>-</v>
      </c>
      <c r="AV379" s="2289" t="str">
        <f t="shared" si="596"/>
        <v>-</v>
      </c>
      <c r="AW379" s="1720" t="str">
        <f t="shared" si="596"/>
        <v>-</v>
      </c>
      <c r="AX379" s="2290" t="str">
        <f t="shared" si="596"/>
        <v>-</v>
      </c>
      <c r="AY379" s="1720" t="str">
        <f t="shared" si="596"/>
        <v>-</v>
      </c>
      <c r="AZ379" s="1720" t="str">
        <f t="shared" si="596"/>
        <v>-</v>
      </c>
      <c r="BA379" s="1720" t="str">
        <f t="shared" si="596"/>
        <v>-</v>
      </c>
      <c r="BB379" s="1721" t="str">
        <f t="shared" si="596"/>
        <v>-</v>
      </c>
      <c r="BC379" s="1720" t="str">
        <f t="shared" si="596"/>
        <v>-</v>
      </c>
      <c r="BD379" s="1720" t="str">
        <f t="shared" si="596"/>
        <v>-</v>
      </c>
      <c r="BE379" s="1720" t="str">
        <f t="shared" si="596"/>
        <v>-</v>
      </c>
      <c r="BF379" s="1720" t="str">
        <f t="shared" si="596"/>
        <v>-</v>
      </c>
      <c r="BG379" s="1721" t="str">
        <f t="shared" si="596"/>
        <v>-</v>
      </c>
      <c r="BH379" s="1048"/>
      <c r="BI379" s="2285" t="str">
        <f t="shared" si="533"/>
        <v>Qty</v>
      </c>
      <c r="BJ379" s="2286" t="str">
        <f t="shared" si="533"/>
        <v>[Service]</v>
      </c>
      <c r="BK379" s="2287" t="str">
        <f t="shared" si="533"/>
        <v>[Price]</v>
      </c>
      <c r="BL379" s="2288" t="str">
        <f t="shared" ref="BL379:BZ379" si="604">IF(OR(X379="",X379=0),"-",IFERROR((X379/W379-1)*(W380/W$13),"-"))</f>
        <v>-</v>
      </c>
      <c r="BM379" s="1720" t="str">
        <f t="shared" si="604"/>
        <v>-</v>
      </c>
      <c r="BN379" s="1720" t="str">
        <f t="shared" si="604"/>
        <v>-</v>
      </c>
      <c r="BO379" s="2289" t="str">
        <f t="shared" si="604"/>
        <v>-</v>
      </c>
      <c r="BP379" s="1720" t="str">
        <f t="shared" si="604"/>
        <v>-</v>
      </c>
      <c r="BQ379" s="2290" t="str">
        <f t="shared" si="604"/>
        <v>-</v>
      </c>
      <c r="BR379" s="1720" t="str">
        <f t="shared" si="604"/>
        <v>-</v>
      </c>
      <c r="BS379" s="1720" t="str">
        <f t="shared" si="604"/>
        <v>-</v>
      </c>
      <c r="BT379" s="1720" t="str">
        <f t="shared" si="604"/>
        <v>-</v>
      </c>
      <c r="BU379" s="1721" t="str">
        <f t="shared" si="604"/>
        <v>-</v>
      </c>
      <c r="BV379" s="1720" t="str">
        <f t="shared" si="604"/>
        <v>-</v>
      </c>
      <c r="BW379" s="1720" t="str">
        <f t="shared" si="604"/>
        <v>-</v>
      </c>
      <c r="BX379" s="1720" t="str">
        <f t="shared" si="604"/>
        <v>-</v>
      </c>
      <c r="BY379" s="1720" t="str">
        <f t="shared" si="604"/>
        <v>-</v>
      </c>
      <c r="BZ379" s="1721" t="str">
        <f t="shared" si="604"/>
        <v>-</v>
      </c>
      <c r="CA379" s="1048"/>
    </row>
    <row r="380" spans="3:79" ht="12.5" thickBot="1" x14ac:dyDescent="0.35">
      <c r="C380" s="126"/>
      <c r="D380" s="126"/>
      <c r="E380" s="559" t="s">
        <v>47</v>
      </c>
      <c r="F380" s="2162" t="str">
        <f t="shared" ref="F380:I380" si="605">+F378</f>
        <v>[Service]</v>
      </c>
      <c r="G380" s="2165">
        <f t="shared" si="605"/>
        <v>0</v>
      </c>
      <c r="H380" s="2165">
        <f t="shared" si="605"/>
        <v>0</v>
      </c>
      <c r="I380" s="2166" t="str">
        <f t="shared" si="605"/>
        <v>[Price]</v>
      </c>
      <c r="J380" s="2106" t="s">
        <v>347</v>
      </c>
      <c r="K380" s="1977"/>
      <c r="L380" s="1206"/>
      <c r="M380" s="1206"/>
      <c r="N380" s="1978"/>
      <c r="O380" s="1206"/>
      <c r="P380" s="1206"/>
      <c r="Q380" s="1206"/>
      <c r="R380" s="1206"/>
      <c r="S380" s="1978"/>
      <c r="T380" s="1206"/>
      <c r="U380" s="1206"/>
      <c r="V380" s="1206"/>
      <c r="W380" s="1731">
        <f t="shared" ref="W380:AG380" si="606">W378*W379/10^6</f>
        <v>0</v>
      </c>
      <c r="X380" s="1730">
        <f t="shared" si="606"/>
        <v>0</v>
      </c>
      <c r="Y380" s="1731">
        <f t="shared" si="606"/>
        <v>0</v>
      </c>
      <c r="Z380" s="1731">
        <f t="shared" si="606"/>
        <v>0</v>
      </c>
      <c r="AA380" s="1731">
        <f t="shared" si="606"/>
        <v>0</v>
      </c>
      <c r="AB380" s="1733">
        <f t="shared" si="606"/>
        <v>0</v>
      </c>
      <c r="AC380" s="1731">
        <f t="shared" si="606"/>
        <v>0</v>
      </c>
      <c r="AD380" s="1731">
        <f t="shared" si="606"/>
        <v>0</v>
      </c>
      <c r="AE380" s="1731">
        <f t="shared" si="606"/>
        <v>0</v>
      </c>
      <c r="AF380" s="1731">
        <f t="shared" si="606"/>
        <v>0</v>
      </c>
      <c r="AG380" s="1733">
        <f t="shared" si="606"/>
        <v>0</v>
      </c>
      <c r="AH380" s="1731">
        <f>AH378*AH379/10^6</f>
        <v>0</v>
      </c>
      <c r="AI380" s="1731">
        <f>AI378*AI379/10^6</f>
        <v>0</v>
      </c>
      <c r="AJ380" s="1731">
        <f>AJ378*AJ379/10^6</f>
        <v>0</v>
      </c>
      <c r="AK380" s="1731">
        <f>AK378*AK379/10^6</f>
        <v>0</v>
      </c>
      <c r="AL380" s="1733">
        <f>AL378*AL379/10^6</f>
        <v>0</v>
      </c>
      <c r="AM380" s="560"/>
      <c r="AN380" s="991"/>
      <c r="AO380" s="992"/>
      <c r="AP380" s="2304" t="str">
        <f t="shared" si="505"/>
        <v>Rev</v>
      </c>
      <c r="AQ380" s="2305" t="str">
        <f t="shared" si="505"/>
        <v>[Service]</v>
      </c>
      <c r="AR380" s="2306" t="str">
        <f t="shared" si="506"/>
        <v>[Price]</v>
      </c>
      <c r="AS380" s="2307" t="str">
        <f t="shared" si="596"/>
        <v>-</v>
      </c>
      <c r="AT380" s="1055" t="str">
        <f t="shared" si="596"/>
        <v>-</v>
      </c>
      <c r="AU380" s="1055" t="str">
        <f t="shared" si="596"/>
        <v>-</v>
      </c>
      <c r="AV380" s="2308" t="str">
        <f t="shared" si="596"/>
        <v>-</v>
      </c>
      <c r="AW380" s="1055" t="str">
        <f t="shared" si="596"/>
        <v>-</v>
      </c>
      <c r="AX380" s="2309" t="str">
        <f t="shared" si="596"/>
        <v>-</v>
      </c>
      <c r="AY380" s="1055" t="str">
        <f t="shared" si="596"/>
        <v>-</v>
      </c>
      <c r="AZ380" s="1055" t="str">
        <f t="shared" si="596"/>
        <v>-</v>
      </c>
      <c r="BA380" s="1055" t="str">
        <f t="shared" si="596"/>
        <v>-</v>
      </c>
      <c r="BB380" s="1056" t="str">
        <f t="shared" si="596"/>
        <v>-</v>
      </c>
      <c r="BC380" s="1055" t="str">
        <f t="shared" si="596"/>
        <v>-</v>
      </c>
      <c r="BD380" s="1055" t="str">
        <f t="shared" si="596"/>
        <v>-</v>
      </c>
      <c r="BE380" s="1055" t="str">
        <f t="shared" si="596"/>
        <v>-</v>
      </c>
      <c r="BF380" s="1055" t="str">
        <f t="shared" si="596"/>
        <v>-</v>
      </c>
      <c r="BG380" s="1056" t="str">
        <f t="shared" si="596"/>
        <v>-</v>
      </c>
      <c r="BH380" s="1048"/>
      <c r="BI380" s="2304" t="str">
        <f t="shared" si="533"/>
        <v>Rev</v>
      </c>
      <c r="BJ380" s="2305" t="str">
        <f t="shared" si="533"/>
        <v>[Service]</v>
      </c>
      <c r="BK380" s="2306" t="str">
        <f t="shared" si="533"/>
        <v>[Price]</v>
      </c>
      <c r="BL380" s="2307" t="str">
        <f t="shared" ref="BL380:BZ380" si="607">IF(OR(X380="",X380=0),"-",IFERROR((X380/W380-1)*(W380/W$13),"-"))</f>
        <v>-</v>
      </c>
      <c r="BM380" s="1055" t="str">
        <f t="shared" si="607"/>
        <v>-</v>
      </c>
      <c r="BN380" s="1055" t="str">
        <f t="shared" si="607"/>
        <v>-</v>
      </c>
      <c r="BO380" s="2308" t="str">
        <f t="shared" si="607"/>
        <v>-</v>
      </c>
      <c r="BP380" s="1055" t="str">
        <f t="shared" si="607"/>
        <v>-</v>
      </c>
      <c r="BQ380" s="2309" t="str">
        <f t="shared" si="607"/>
        <v>-</v>
      </c>
      <c r="BR380" s="1055" t="str">
        <f t="shared" si="607"/>
        <v>-</v>
      </c>
      <c r="BS380" s="1055" t="str">
        <f t="shared" si="607"/>
        <v>-</v>
      </c>
      <c r="BT380" s="1055" t="str">
        <f t="shared" si="607"/>
        <v>-</v>
      </c>
      <c r="BU380" s="1056" t="str">
        <f t="shared" si="607"/>
        <v>-</v>
      </c>
      <c r="BV380" s="1055" t="str">
        <f t="shared" si="607"/>
        <v>-</v>
      </c>
      <c r="BW380" s="1055" t="str">
        <f t="shared" si="607"/>
        <v>-</v>
      </c>
      <c r="BX380" s="1055" t="str">
        <f t="shared" si="607"/>
        <v>-</v>
      </c>
      <c r="BY380" s="1055" t="str">
        <f t="shared" si="607"/>
        <v>-</v>
      </c>
      <c r="BZ380" s="1056" t="str">
        <f t="shared" si="607"/>
        <v>-</v>
      </c>
      <c r="CA380" s="1048"/>
    </row>
    <row r="381" spans="3:79" x14ac:dyDescent="0.3">
      <c r="C381" s="126"/>
      <c r="D381" s="126">
        <f>D378+1</f>
        <v>105</v>
      </c>
      <c r="E381" s="553" t="s">
        <v>45</v>
      </c>
      <c r="F381" s="2105" t="s">
        <v>28</v>
      </c>
      <c r="G381" s="2105"/>
      <c r="H381" s="2105"/>
      <c r="I381" s="573" t="s">
        <v>319</v>
      </c>
      <c r="J381" s="573" t="s">
        <v>348</v>
      </c>
      <c r="K381" s="1969"/>
      <c r="L381" s="1970"/>
      <c r="M381" s="1970"/>
      <c r="N381" s="1971"/>
      <c r="O381" s="1970"/>
      <c r="P381" s="1970"/>
      <c r="Q381" s="1970"/>
      <c r="R381" s="1972"/>
      <c r="S381" s="1971"/>
      <c r="T381" s="1970"/>
      <c r="U381" s="1970"/>
      <c r="V381" s="1970"/>
      <c r="W381" s="575"/>
      <c r="X381" s="1238"/>
      <c r="Y381" s="575"/>
      <c r="Z381" s="575"/>
      <c r="AA381" s="575"/>
      <c r="AB381" s="1142"/>
      <c r="AC381" s="575"/>
      <c r="AD381" s="575"/>
      <c r="AE381" s="575"/>
      <c r="AF381" s="575"/>
      <c r="AG381" s="577"/>
      <c r="AH381" s="575"/>
      <c r="AI381" s="575"/>
      <c r="AJ381" s="575"/>
      <c r="AK381" s="575"/>
      <c r="AL381" s="577"/>
      <c r="AM381" s="560"/>
      <c r="AN381" s="1052"/>
      <c r="AO381" s="992"/>
      <c r="AP381" s="2297" t="str">
        <f t="shared" si="505"/>
        <v>Price</v>
      </c>
      <c r="AQ381" s="2298" t="str">
        <f t="shared" si="505"/>
        <v>[Service]</v>
      </c>
      <c r="AR381" s="1719" t="str">
        <f t="shared" si="506"/>
        <v>[Price]</v>
      </c>
      <c r="AS381" s="2299" t="str">
        <f t="shared" si="596"/>
        <v>-</v>
      </c>
      <c r="AT381" s="1728" t="str">
        <f t="shared" si="596"/>
        <v>-</v>
      </c>
      <c r="AU381" s="1728" t="str">
        <f t="shared" si="596"/>
        <v>-</v>
      </c>
      <c r="AV381" s="2300" t="str">
        <f t="shared" si="596"/>
        <v>-</v>
      </c>
      <c r="AW381" s="1728" t="str">
        <f t="shared" si="596"/>
        <v>-</v>
      </c>
      <c r="AX381" s="2301" t="str">
        <f t="shared" si="596"/>
        <v>-</v>
      </c>
      <c r="AY381" s="1728" t="str">
        <f t="shared" si="596"/>
        <v>-</v>
      </c>
      <c r="AZ381" s="1728" t="str">
        <f t="shared" si="596"/>
        <v>-</v>
      </c>
      <c r="BA381" s="1728" t="str">
        <f t="shared" si="596"/>
        <v>-</v>
      </c>
      <c r="BB381" s="1729" t="str">
        <f t="shared" si="596"/>
        <v>-</v>
      </c>
      <c r="BC381" s="1728" t="str">
        <f t="shared" si="596"/>
        <v>-</v>
      </c>
      <c r="BD381" s="1728" t="str">
        <f t="shared" si="596"/>
        <v>-</v>
      </c>
      <c r="BE381" s="1728" t="str">
        <f t="shared" si="596"/>
        <v>-</v>
      </c>
      <c r="BF381" s="1728" t="str">
        <f t="shared" si="596"/>
        <v>-</v>
      </c>
      <c r="BG381" s="1729" t="str">
        <f t="shared" si="596"/>
        <v>-</v>
      </c>
      <c r="BH381" s="1048"/>
      <c r="BI381" s="2297" t="str">
        <f t="shared" si="533"/>
        <v>Price</v>
      </c>
      <c r="BJ381" s="2298" t="str">
        <f t="shared" si="533"/>
        <v>[Service]</v>
      </c>
      <c r="BK381" s="1719" t="str">
        <f t="shared" si="533"/>
        <v>[Price]</v>
      </c>
      <c r="BL381" s="2299" t="str">
        <f t="shared" ref="BL381:BZ381" si="608">IF(OR(X381="",X381=0),"-",IFERROR((X381/W381-1)*(W383/W$13),"-"))</f>
        <v>-</v>
      </c>
      <c r="BM381" s="1053" t="str">
        <f t="shared" si="608"/>
        <v>-</v>
      </c>
      <c r="BN381" s="1053" t="str">
        <f t="shared" si="608"/>
        <v>-</v>
      </c>
      <c r="BO381" s="2302" t="str">
        <f t="shared" si="608"/>
        <v>-</v>
      </c>
      <c r="BP381" s="1053" t="str">
        <f t="shared" si="608"/>
        <v>-</v>
      </c>
      <c r="BQ381" s="2303" t="str">
        <f t="shared" si="608"/>
        <v>-</v>
      </c>
      <c r="BR381" s="1053" t="str">
        <f t="shared" si="608"/>
        <v>-</v>
      </c>
      <c r="BS381" s="1053" t="str">
        <f t="shared" si="608"/>
        <v>-</v>
      </c>
      <c r="BT381" s="1053" t="str">
        <f t="shared" si="608"/>
        <v>-</v>
      </c>
      <c r="BU381" s="1054" t="str">
        <f t="shared" si="608"/>
        <v>-</v>
      </c>
      <c r="BV381" s="1053" t="str">
        <f t="shared" si="608"/>
        <v>-</v>
      </c>
      <c r="BW381" s="1053" t="str">
        <f t="shared" si="608"/>
        <v>-</v>
      </c>
      <c r="BX381" s="1053" t="str">
        <f t="shared" si="608"/>
        <v>-</v>
      </c>
      <c r="BY381" s="1053" t="str">
        <f t="shared" si="608"/>
        <v>-</v>
      </c>
      <c r="BZ381" s="1054" t="str">
        <f t="shared" si="608"/>
        <v>-</v>
      </c>
      <c r="CA381" s="1048"/>
    </row>
    <row r="382" spans="3:79" x14ac:dyDescent="0.3">
      <c r="C382" s="126"/>
      <c r="D382" s="126"/>
      <c r="E382" s="558" t="s">
        <v>46</v>
      </c>
      <c r="F382" s="2161" t="str">
        <f t="shared" si="598"/>
        <v>[Service]</v>
      </c>
      <c r="G382" s="2163">
        <f t="shared" si="598"/>
        <v>0</v>
      </c>
      <c r="H382" s="2163">
        <f t="shared" si="598"/>
        <v>0</v>
      </c>
      <c r="I382" s="2164" t="str">
        <f t="shared" si="598"/>
        <v>[Price]</v>
      </c>
      <c r="J382" s="574" t="s">
        <v>323</v>
      </c>
      <c r="K382" s="1973"/>
      <c r="L382" s="1974"/>
      <c r="M382" s="1974"/>
      <c r="N382" s="1975"/>
      <c r="O382" s="1974"/>
      <c r="P382" s="1974"/>
      <c r="Q382" s="1974"/>
      <c r="R382" s="1976"/>
      <c r="S382" s="1975"/>
      <c r="T382" s="1974"/>
      <c r="U382" s="1974"/>
      <c r="V382" s="1974"/>
      <c r="W382" s="578"/>
      <c r="X382" s="1239"/>
      <c r="Y382" s="578"/>
      <c r="Z382" s="578"/>
      <c r="AA382" s="578"/>
      <c r="AB382" s="1143"/>
      <c r="AC382" s="578"/>
      <c r="AD382" s="578"/>
      <c r="AE382" s="578"/>
      <c r="AF382" s="578"/>
      <c r="AG382" s="580"/>
      <c r="AH382" s="578"/>
      <c r="AI382" s="578"/>
      <c r="AJ382" s="578"/>
      <c r="AK382" s="578"/>
      <c r="AL382" s="580"/>
      <c r="AM382" s="560"/>
      <c r="AN382" s="991"/>
      <c r="AO382" s="992"/>
      <c r="AP382" s="2285" t="str">
        <f t="shared" si="505"/>
        <v>Qty</v>
      </c>
      <c r="AQ382" s="2286" t="str">
        <f t="shared" si="505"/>
        <v>[Service]</v>
      </c>
      <c r="AR382" s="2287" t="str">
        <f t="shared" si="506"/>
        <v>[Price]</v>
      </c>
      <c r="AS382" s="2288" t="str">
        <f t="shared" si="596"/>
        <v>-</v>
      </c>
      <c r="AT382" s="1720" t="str">
        <f t="shared" si="596"/>
        <v>-</v>
      </c>
      <c r="AU382" s="1720" t="str">
        <f t="shared" si="596"/>
        <v>-</v>
      </c>
      <c r="AV382" s="2289" t="str">
        <f t="shared" si="596"/>
        <v>-</v>
      </c>
      <c r="AW382" s="1720" t="str">
        <f t="shared" si="596"/>
        <v>-</v>
      </c>
      <c r="AX382" s="2290" t="str">
        <f t="shared" si="596"/>
        <v>-</v>
      </c>
      <c r="AY382" s="1720" t="str">
        <f t="shared" si="596"/>
        <v>-</v>
      </c>
      <c r="AZ382" s="1720" t="str">
        <f t="shared" si="596"/>
        <v>-</v>
      </c>
      <c r="BA382" s="1720" t="str">
        <f t="shared" si="596"/>
        <v>-</v>
      </c>
      <c r="BB382" s="1721" t="str">
        <f t="shared" si="596"/>
        <v>-</v>
      </c>
      <c r="BC382" s="1720" t="str">
        <f t="shared" si="596"/>
        <v>-</v>
      </c>
      <c r="BD382" s="1720" t="str">
        <f t="shared" si="596"/>
        <v>-</v>
      </c>
      <c r="BE382" s="1720" t="str">
        <f t="shared" si="596"/>
        <v>-</v>
      </c>
      <c r="BF382" s="1720" t="str">
        <f t="shared" si="596"/>
        <v>-</v>
      </c>
      <c r="BG382" s="1721" t="str">
        <f t="shared" si="596"/>
        <v>-</v>
      </c>
      <c r="BH382" s="1048"/>
      <c r="BI382" s="2285" t="str">
        <f t="shared" si="533"/>
        <v>Qty</v>
      </c>
      <c r="BJ382" s="2286" t="str">
        <f t="shared" si="533"/>
        <v>[Service]</v>
      </c>
      <c r="BK382" s="2287" t="str">
        <f t="shared" si="533"/>
        <v>[Price]</v>
      </c>
      <c r="BL382" s="2288" t="str">
        <f t="shared" ref="BL382:BZ382" si="609">IF(OR(X382="",X382=0),"-",IFERROR((X382/W382-1)*(W383/W$13),"-"))</f>
        <v>-</v>
      </c>
      <c r="BM382" s="1720" t="str">
        <f t="shared" si="609"/>
        <v>-</v>
      </c>
      <c r="BN382" s="1720" t="str">
        <f t="shared" si="609"/>
        <v>-</v>
      </c>
      <c r="BO382" s="2289" t="str">
        <f t="shared" si="609"/>
        <v>-</v>
      </c>
      <c r="BP382" s="1720" t="str">
        <f t="shared" si="609"/>
        <v>-</v>
      </c>
      <c r="BQ382" s="2290" t="str">
        <f t="shared" si="609"/>
        <v>-</v>
      </c>
      <c r="BR382" s="1720" t="str">
        <f t="shared" si="609"/>
        <v>-</v>
      </c>
      <c r="BS382" s="1720" t="str">
        <f t="shared" si="609"/>
        <v>-</v>
      </c>
      <c r="BT382" s="1720" t="str">
        <f t="shared" si="609"/>
        <v>-</v>
      </c>
      <c r="BU382" s="1721" t="str">
        <f t="shared" si="609"/>
        <v>-</v>
      </c>
      <c r="BV382" s="1720" t="str">
        <f t="shared" si="609"/>
        <v>-</v>
      </c>
      <c r="BW382" s="1720" t="str">
        <f t="shared" si="609"/>
        <v>-</v>
      </c>
      <c r="BX382" s="1720" t="str">
        <f t="shared" si="609"/>
        <v>-</v>
      </c>
      <c r="BY382" s="1720" t="str">
        <f t="shared" si="609"/>
        <v>-</v>
      </c>
      <c r="BZ382" s="1721" t="str">
        <f t="shared" si="609"/>
        <v>-</v>
      </c>
      <c r="CA382" s="1048"/>
    </row>
    <row r="383" spans="3:79" ht="12.5" thickBot="1" x14ac:dyDescent="0.35">
      <c r="C383" s="126"/>
      <c r="D383" s="126"/>
      <c r="E383" s="559" t="s">
        <v>47</v>
      </c>
      <c r="F383" s="2162" t="str">
        <f t="shared" ref="F383:I383" si="610">+F381</f>
        <v>[Service]</v>
      </c>
      <c r="G383" s="2165">
        <f t="shared" si="610"/>
        <v>0</v>
      </c>
      <c r="H383" s="2165">
        <f t="shared" si="610"/>
        <v>0</v>
      </c>
      <c r="I383" s="2166" t="str">
        <f t="shared" si="610"/>
        <v>[Price]</v>
      </c>
      <c r="J383" s="2106" t="s">
        <v>347</v>
      </c>
      <c r="K383" s="1977"/>
      <c r="L383" s="1206"/>
      <c r="M383" s="1206"/>
      <c r="N383" s="1978"/>
      <c r="O383" s="1206"/>
      <c r="P383" s="1206"/>
      <c r="Q383" s="1206"/>
      <c r="R383" s="1206"/>
      <c r="S383" s="1978"/>
      <c r="T383" s="1206"/>
      <c r="U383" s="1206"/>
      <c r="V383" s="1206"/>
      <c r="W383" s="1731">
        <f t="shared" ref="W383:AG383" si="611">W381*W382/10^6</f>
        <v>0</v>
      </c>
      <c r="X383" s="1730">
        <f t="shared" si="611"/>
        <v>0</v>
      </c>
      <c r="Y383" s="1612">
        <f t="shared" si="611"/>
        <v>0</v>
      </c>
      <c r="Z383" s="1731">
        <f t="shared" si="611"/>
        <v>0</v>
      </c>
      <c r="AA383" s="1731">
        <f t="shared" si="611"/>
        <v>0</v>
      </c>
      <c r="AB383" s="1733">
        <f t="shared" si="611"/>
        <v>0</v>
      </c>
      <c r="AC383" s="1731">
        <f t="shared" si="611"/>
        <v>0</v>
      </c>
      <c r="AD383" s="1731">
        <f t="shared" si="611"/>
        <v>0</v>
      </c>
      <c r="AE383" s="1731">
        <f t="shared" si="611"/>
        <v>0</v>
      </c>
      <c r="AF383" s="1731">
        <f t="shared" si="611"/>
        <v>0</v>
      </c>
      <c r="AG383" s="1733">
        <f t="shared" si="611"/>
        <v>0</v>
      </c>
      <c r="AH383" s="1731">
        <f>AH381*AH382/10^6</f>
        <v>0</v>
      </c>
      <c r="AI383" s="1731">
        <f>AI381*AI382/10^6</f>
        <v>0</v>
      </c>
      <c r="AJ383" s="1731">
        <f>AJ381*AJ382/10^6</f>
        <v>0</v>
      </c>
      <c r="AK383" s="1731">
        <f>AK381*AK382/10^6</f>
        <v>0</v>
      </c>
      <c r="AL383" s="1733">
        <f>AL381*AL382/10^6</f>
        <v>0</v>
      </c>
      <c r="AM383" s="560"/>
      <c r="AN383" s="991"/>
      <c r="AO383" s="992"/>
      <c r="AP383" s="2304" t="str">
        <f t="shared" si="505"/>
        <v>Rev</v>
      </c>
      <c r="AQ383" s="2305" t="str">
        <f t="shared" si="505"/>
        <v>[Service]</v>
      </c>
      <c r="AR383" s="2306" t="str">
        <f t="shared" si="506"/>
        <v>[Price]</v>
      </c>
      <c r="AS383" s="2307" t="str">
        <f t="shared" si="596"/>
        <v>-</v>
      </c>
      <c r="AT383" s="1055" t="str">
        <f t="shared" si="596"/>
        <v>-</v>
      </c>
      <c r="AU383" s="1055" t="str">
        <f t="shared" si="596"/>
        <v>-</v>
      </c>
      <c r="AV383" s="2308" t="str">
        <f t="shared" si="596"/>
        <v>-</v>
      </c>
      <c r="AW383" s="1055" t="str">
        <f t="shared" si="596"/>
        <v>-</v>
      </c>
      <c r="AX383" s="2309" t="str">
        <f t="shared" si="596"/>
        <v>-</v>
      </c>
      <c r="AY383" s="1055" t="str">
        <f t="shared" si="596"/>
        <v>-</v>
      </c>
      <c r="AZ383" s="1055" t="str">
        <f t="shared" si="596"/>
        <v>-</v>
      </c>
      <c r="BA383" s="1055" t="str">
        <f t="shared" si="596"/>
        <v>-</v>
      </c>
      <c r="BB383" s="1056" t="str">
        <f t="shared" si="596"/>
        <v>-</v>
      </c>
      <c r="BC383" s="1055" t="str">
        <f t="shared" si="596"/>
        <v>-</v>
      </c>
      <c r="BD383" s="1055" t="str">
        <f t="shared" si="596"/>
        <v>-</v>
      </c>
      <c r="BE383" s="1055" t="str">
        <f t="shared" si="596"/>
        <v>-</v>
      </c>
      <c r="BF383" s="1055" t="str">
        <f t="shared" si="596"/>
        <v>-</v>
      </c>
      <c r="BG383" s="1056" t="str">
        <f t="shared" si="596"/>
        <v>-</v>
      </c>
      <c r="BH383" s="1048"/>
      <c r="BI383" s="2304" t="str">
        <f t="shared" si="533"/>
        <v>Rev</v>
      </c>
      <c r="BJ383" s="2305" t="str">
        <f t="shared" si="533"/>
        <v>[Service]</v>
      </c>
      <c r="BK383" s="2306" t="str">
        <f t="shared" si="533"/>
        <v>[Price]</v>
      </c>
      <c r="BL383" s="2307" t="str">
        <f t="shared" ref="BL383:BZ383" si="612">IF(OR(X383="",X383=0),"-",IFERROR((X383/W383-1)*(W383/W$13),"-"))</f>
        <v>-</v>
      </c>
      <c r="BM383" s="1055" t="str">
        <f t="shared" si="612"/>
        <v>-</v>
      </c>
      <c r="BN383" s="1055" t="str">
        <f t="shared" si="612"/>
        <v>-</v>
      </c>
      <c r="BO383" s="2308" t="str">
        <f t="shared" si="612"/>
        <v>-</v>
      </c>
      <c r="BP383" s="1055" t="str">
        <f t="shared" si="612"/>
        <v>-</v>
      </c>
      <c r="BQ383" s="2309" t="str">
        <f t="shared" si="612"/>
        <v>-</v>
      </c>
      <c r="BR383" s="1055" t="str">
        <f t="shared" si="612"/>
        <v>-</v>
      </c>
      <c r="BS383" s="1055" t="str">
        <f t="shared" si="612"/>
        <v>-</v>
      </c>
      <c r="BT383" s="1055" t="str">
        <f t="shared" si="612"/>
        <v>-</v>
      </c>
      <c r="BU383" s="1056" t="str">
        <f t="shared" si="612"/>
        <v>-</v>
      </c>
      <c r="BV383" s="1055" t="str">
        <f t="shared" si="612"/>
        <v>-</v>
      </c>
      <c r="BW383" s="1055" t="str">
        <f t="shared" si="612"/>
        <v>-</v>
      </c>
      <c r="BX383" s="1055" t="str">
        <f t="shared" si="612"/>
        <v>-</v>
      </c>
      <c r="BY383" s="1055" t="str">
        <f t="shared" si="612"/>
        <v>-</v>
      </c>
      <c r="BZ383" s="1056" t="str">
        <f t="shared" si="612"/>
        <v>-</v>
      </c>
      <c r="CA383" s="1048"/>
    </row>
    <row r="384" spans="3:79" x14ac:dyDescent="0.3">
      <c r="C384" s="126"/>
      <c r="D384" s="126">
        <f>D381+1</f>
        <v>106</v>
      </c>
      <c r="E384" s="553" t="s">
        <v>45</v>
      </c>
      <c r="F384" s="2105" t="s">
        <v>28</v>
      </c>
      <c r="G384" s="2105"/>
      <c r="H384" s="2105"/>
      <c r="I384" s="573" t="s">
        <v>319</v>
      </c>
      <c r="J384" s="573" t="s">
        <v>348</v>
      </c>
      <c r="K384" s="1969"/>
      <c r="L384" s="1970"/>
      <c r="M384" s="1970"/>
      <c r="N384" s="1971"/>
      <c r="O384" s="1970"/>
      <c r="P384" s="1970"/>
      <c r="Q384" s="1970"/>
      <c r="R384" s="1972"/>
      <c r="S384" s="1971"/>
      <c r="T384" s="1970"/>
      <c r="U384" s="1970"/>
      <c r="V384" s="1970"/>
      <c r="W384" s="575"/>
      <c r="X384" s="1238"/>
      <c r="Y384" s="575"/>
      <c r="Z384" s="575"/>
      <c r="AA384" s="575"/>
      <c r="AB384" s="1142"/>
      <c r="AC384" s="575"/>
      <c r="AD384" s="575"/>
      <c r="AE384" s="575"/>
      <c r="AF384" s="575"/>
      <c r="AG384" s="577"/>
      <c r="AH384" s="575"/>
      <c r="AI384" s="575"/>
      <c r="AJ384" s="575"/>
      <c r="AK384" s="575"/>
      <c r="AL384" s="577"/>
      <c r="AM384" s="560"/>
      <c r="AN384" s="1052"/>
      <c r="AO384" s="992"/>
      <c r="AP384" s="2297" t="str">
        <f t="shared" si="505"/>
        <v>Price</v>
      </c>
      <c r="AQ384" s="2298" t="str">
        <f t="shared" si="505"/>
        <v>[Service]</v>
      </c>
      <c r="AR384" s="1719" t="str">
        <f t="shared" si="506"/>
        <v>[Price]</v>
      </c>
      <c r="AS384" s="2299" t="str">
        <f t="shared" si="596"/>
        <v>-</v>
      </c>
      <c r="AT384" s="1728" t="str">
        <f t="shared" si="596"/>
        <v>-</v>
      </c>
      <c r="AU384" s="1728" t="str">
        <f t="shared" si="596"/>
        <v>-</v>
      </c>
      <c r="AV384" s="2300" t="str">
        <f t="shared" si="596"/>
        <v>-</v>
      </c>
      <c r="AW384" s="1728" t="str">
        <f t="shared" si="596"/>
        <v>-</v>
      </c>
      <c r="AX384" s="2301" t="str">
        <f t="shared" si="596"/>
        <v>-</v>
      </c>
      <c r="AY384" s="1728" t="str">
        <f t="shared" si="596"/>
        <v>-</v>
      </c>
      <c r="AZ384" s="1728" t="str">
        <f t="shared" si="596"/>
        <v>-</v>
      </c>
      <c r="BA384" s="1728" t="str">
        <f t="shared" si="596"/>
        <v>-</v>
      </c>
      <c r="BB384" s="1729" t="str">
        <f t="shared" si="596"/>
        <v>-</v>
      </c>
      <c r="BC384" s="1728" t="str">
        <f t="shared" si="596"/>
        <v>-</v>
      </c>
      <c r="BD384" s="1728" t="str">
        <f t="shared" si="596"/>
        <v>-</v>
      </c>
      <c r="BE384" s="1728" t="str">
        <f t="shared" si="596"/>
        <v>-</v>
      </c>
      <c r="BF384" s="1728" t="str">
        <f t="shared" si="596"/>
        <v>-</v>
      </c>
      <c r="BG384" s="1729" t="str">
        <f t="shared" si="596"/>
        <v>-</v>
      </c>
      <c r="BH384" s="1048"/>
      <c r="BI384" s="2297" t="str">
        <f t="shared" si="533"/>
        <v>Price</v>
      </c>
      <c r="BJ384" s="2298" t="str">
        <f t="shared" si="533"/>
        <v>[Service]</v>
      </c>
      <c r="BK384" s="1719" t="str">
        <f t="shared" si="533"/>
        <v>[Price]</v>
      </c>
      <c r="BL384" s="2299" t="str">
        <f t="shared" ref="BL384:BZ384" si="613">IF(OR(X384="",X384=0),"-",IFERROR((X384/W384-1)*(W386/W$13),"-"))</f>
        <v>-</v>
      </c>
      <c r="BM384" s="1053" t="str">
        <f t="shared" si="613"/>
        <v>-</v>
      </c>
      <c r="BN384" s="1053" t="str">
        <f t="shared" si="613"/>
        <v>-</v>
      </c>
      <c r="BO384" s="2302" t="str">
        <f t="shared" si="613"/>
        <v>-</v>
      </c>
      <c r="BP384" s="1053" t="str">
        <f t="shared" si="613"/>
        <v>-</v>
      </c>
      <c r="BQ384" s="2303" t="str">
        <f t="shared" si="613"/>
        <v>-</v>
      </c>
      <c r="BR384" s="1053" t="str">
        <f t="shared" si="613"/>
        <v>-</v>
      </c>
      <c r="BS384" s="1053" t="str">
        <f t="shared" si="613"/>
        <v>-</v>
      </c>
      <c r="BT384" s="1053" t="str">
        <f t="shared" si="613"/>
        <v>-</v>
      </c>
      <c r="BU384" s="1054" t="str">
        <f t="shared" si="613"/>
        <v>-</v>
      </c>
      <c r="BV384" s="1053" t="str">
        <f t="shared" si="613"/>
        <v>-</v>
      </c>
      <c r="BW384" s="1053" t="str">
        <f t="shared" si="613"/>
        <v>-</v>
      </c>
      <c r="BX384" s="1053" t="str">
        <f t="shared" si="613"/>
        <v>-</v>
      </c>
      <c r="BY384" s="1053" t="str">
        <f t="shared" si="613"/>
        <v>-</v>
      </c>
      <c r="BZ384" s="1054" t="str">
        <f t="shared" si="613"/>
        <v>-</v>
      </c>
      <c r="CA384" s="1048"/>
    </row>
    <row r="385" spans="3:79" x14ac:dyDescent="0.3">
      <c r="C385" s="126"/>
      <c r="D385" s="126"/>
      <c r="E385" s="558" t="s">
        <v>46</v>
      </c>
      <c r="F385" s="2161" t="str">
        <f t="shared" ref="F385:I385" si="614">+F384</f>
        <v>[Service]</v>
      </c>
      <c r="G385" s="2163">
        <f t="shared" si="614"/>
        <v>0</v>
      </c>
      <c r="H385" s="2163">
        <f t="shared" si="614"/>
        <v>0</v>
      </c>
      <c r="I385" s="2164" t="str">
        <f t="shared" si="614"/>
        <v>[Price]</v>
      </c>
      <c r="J385" s="574" t="s">
        <v>323</v>
      </c>
      <c r="K385" s="1973"/>
      <c r="L385" s="1974"/>
      <c r="M385" s="1974"/>
      <c r="N385" s="1975"/>
      <c r="O385" s="1974"/>
      <c r="P385" s="1974"/>
      <c r="Q385" s="1974"/>
      <c r="R385" s="1976"/>
      <c r="S385" s="1975"/>
      <c r="T385" s="1974"/>
      <c r="U385" s="1974"/>
      <c r="V385" s="1974"/>
      <c r="W385" s="578"/>
      <c r="X385" s="1239"/>
      <c r="Y385" s="578"/>
      <c r="Z385" s="578"/>
      <c r="AA385" s="578"/>
      <c r="AB385" s="1143"/>
      <c r="AC385" s="578"/>
      <c r="AD385" s="578"/>
      <c r="AE385" s="578"/>
      <c r="AF385" s="578"/>
      <c r="AG385" s="580"/>
      <c r="AH385" s="578"/>
      <c r="AI385" s="578"/>
      <c r="AJ385" s="578"/>
      <c r="AK385" s="578"/>
      <c r="AL385" s="580"/>
      <c r="AM385" s="560"/>
      <c r="AN385" s="991"/>
      <c r="AO385" s="992"/>
      <c r="AP385" s="2285" t="str">
        <f t="shared" si="505"/>
        <v>Qty</v>
      </c>
      <c r="AQ385" s="2286" t="str">
        <f t="shared" si="505"/>
        <v>[Service]</v>
      </c>
      <c r="AR385" s="2287" t="str">
        <f t="shared" si="506"/>
        <v>[Price]</v>
      </c>
      <c r="AS385" s="2288" t="str">
        <f t="shared" si="596"/>
        <v>-</v>
      </c>
      <c r="AT385" s="1720" t="str">
        <f t="shared" si="596"/>
        <v>-</v>
      </c>
      <c r="AU385" s="1720" t="str">
        <f t="shared" si="596"/>
        <v>-</v>
      </c>
      <c r="AV385" s="2289" t="str">
        <f t="shared" si="596"/>
        <v>-</v>
      </c>
      <c r="AW385" s="1720" t="str">
        <f t="shared" si="596"/>
        <v>-</v>
      </c>
      <c r="AX385" s="2290" t="str">
        <f t="shared" si="596"/>
        <v>-</v>
      </c>
      <c r="AY385" s="1720" t="str">
        <f t="shared" si="596"/>
        <v>-</v>
      </c>
      <c r="AZ385" s="1720" t="str">
        <f t="shared" si="596"/>
        <v>-</v>
      </c>
      <c r="BA385" s="1720" t="str">
        <f t="shared" si="596"/>
        <v>-</v>
      </c>
      <c r="BB385" s="1721" t="str">
        <f t="shared" si="596"/>
        <v>-</v>
      </c>
      <c r="BC385" s="1720" t="str">
        <f t="shared" si="596"/>
        <v>-</v>
      </c>
      <c r="BD385" s="1720" t="str">
        <f t="shared" si="596"/>
        <v>-</v>
      </c>
      <c r="BE385" s="1720" t="str">
        <f t="shared" si="596"/>
        <v>-</v>
      </c>
      <c r="BF385" s="1720" t="str">
        <f t="shared" si="596"/>
        <v>-</v>
      </c>
      <c r="BG385" s="1721" t="str">
        <f t="shared" si="596"/>
        <v>-</v>
      </c>
      <c r="BH385" s="1048"/>
      <c r="BI385" s="2285" t="str">
        <f t="shared" si="533"/>
        <v>Qty</v>
      </c>
      <c r="BJ385" s="2286" t="str">
        <f t="shared" si="533"/>
        <v>[Service]</v>
      </c>
      <c r="BK385" s="2287" t="str">
        <f t="shared" si="533"/>
        <v>[Price]</v>
      </c>
      <c r="BL385" s="2288" t="str">
        <f t="shared" ref="BL385:BZ385" si="615">IF(OR(X385="",X385=0),"-",IFERROR((X385/W385-1)*(W386/W$13),"-"))</f>
        <v>-</v>
      </c>
      <c r="BM385" s="1720" t="str">
        <f t="shared" si="615"/>
        <v>-</v>
      </c>
      <c r="BN385" s="1720" t="str">
        <f t="shared" si="615"/>
        <v>-</v>
      </c>
      <c r="BO385" s="2289" t="str">
        <f t="shared" si="615"/>
        <v>-</v>
      </c>
      <c r="BP385" s="1720" t="str">
        <f t="shared" si="615"/>
        <v>-</v>
      </c>
      <c r="BQ385" s="2290" t="str">
        <f t="shared" si="615"/>
        <v>-</v>
      </c>
      <c r="BR385" s="1720" t="str">
        <f t="shared" si="615"/>
        <v>-</v>
      </c>
      <c r="BS385" s="1720" t="str">
        <f t="shared" si="615"/>
        <v>-</v>
      </c>
      <c r="BT385" s="1720" t="str">
        <f t="shared" si="615"/>
        <v>-</v>
      </c>
      <c r="BU385" s="1721" t="str">
        <f t="shared" si="615"/>
        <v>-</v>
      </c>
      <c r="BV385" s="1720" t="str">
        <f t="shared" si="615"/>
        <v>-</v>
      </c>
      <c r="BW385" s="1720" t="str">
        <f t="shared" si="615"/>
        <v>-</v>
      </c>
      <c r="BX385" s="1720" t="str">
        <f t="shared" si="615"/>
        <v>-</v>
      </c>
      <c r="BY385" s="1720" t="str">
        <f t="shared" si="615"/>
        <v>-</v>
      </c>
      <c r="BZ385" s="1721" t="str">
        <f t="shared" si="615"/>
        <v>-</v>
      </c>
      <c r="CA385" s="1048"/>
    </row>
    <row r="386" spans="3:79" ht="12.5" thickBot="1" x14ac:dyDescent="0.35">
      <c r="C386" s="126"/>
      <c r="D386" s="126"/>
      <c r="E386" s="559" t="s">
        <v>47</v>
      </c>
      <c r="F386" s="2162" t="str">
        <f t="shared" ref="F386:I386" si="616">+F384</f>
        <v>[Service]</v>
      </c>
      <c r="G386" s="2165">
        <f t="shared" si="616"/>
        <v>0</v>
      </c>
      <c r="H386" s="2165">
        <f t="shared" si="616"/>
        <v>0</v>
      </c>
      <c r="I386" s="2166" t="str">
        <f t="shared" si="616"/>
        <v>[Price]</v>
      </c>
      <c r="J386" s="2106" t="s">
        <v>347</v>
      </c>
      <c r="K386" s="1977"/>
      <c r="L386" s="1206"/>
      <c r="M386" s="1206"/>
      <c r="N386" s="1978"/>
      <c r="O386" s="1206"/>
      <c r="P386" s="1206"/>
      <c r="Q386" s="1206"/>
      <c r="R386" s="1206"/>
      <c r="S386" s="1978"/>
      <c r="T386" s="1206"/>
      <c r="U386" s="1206"/>
      <c r="V386" s="1206"/>
      <c r="W386" s="1731">
        <f t="shared" ref="W386:AG386" si="617">W384*W385/10^6</f>
        <v>0</v>
      </c>
      <c r="X386" s="1730">
        <f t="shared" si="617"/>
        <v>0</v>
      </c>
      <c r="Y386" s="1731">
        <f t="shared" si="617"/>
        <v>0</v>
      </c>
      <c r="Z386" s="1731">
        <f t="shared" si="617"/>
        <v>0</v>
      </c>
      <c r="AA386" s="1731">
        <f t="shared" si="617"/>
        <v>0</v>
      </c>
      <c r="AB386" s="1733">
        <f t="shared" si="617"/>
        <v>0</v>
      </c>
      <c r="AC386" s="1731">
        <f t="shared" si="617"/>
        <v>0</v>
      </c>
      <c r="AD386" s="1731">
        <f t="shared" si="617"/>
        <v>0</v>
      </c>
      <c r="AE386" s="1731">
        <f t="shared" si="617"/>
        <v>0</v>
      </c>
      <c r="AF386" s="1731">
        <f t="shared" si="617"/>
        <v>0</v>
      </c>
      <c r="AG386" s="1733">
        <f t="shared" si="617"/>
        <v>0</v>
      </c>
      <c r="AH386" s="1731">
        <f>AH384*AH385/10^6</f>
        <v>0</v>
      </c>
      <c r="AI386" s="1731">
        <f>AI384*AI385/10^6</f>
        <v>0</v>
      </c>
      <c r="AJ386" s="1731">
        <f>AJ384*AJ385/10^6</f>
        <v>0</v>
      </c>
      <c r="AK386" s="1731">
        <f>AK384*AK385/10^6</f>
        <v>0</v>
      </c>
      <c r="AL386" s="1733">
        <f>AL384*AL385/10^6</f>
        <v>0</v>
      </c>
      <c r="AM386" s="560"/>
      <c r="AN386" s="991"/>
      <c r="AO386" s="992"/>
      <c r="AP386" s="2304" t="str">
        <f t="shared" si="505"/>
        <v>Rev</v>
      </c>
      <c r="AQ386" s="2305" t="str">
        <f t="shared" si="505"/>
        <v>[Service]</v>
      </c>
      <c r="AR386" s="2306" t="str">
        <f t="shared" si="506"/>
        <v>[Price]</v>
      </c>
      <c r="AS386" s="2307" t="str">
        <f t="shared" si="596"/>
        <v>-</v>
      </c>
      <c r="AT386" s="1055" t="str">
        <f t="shared" si="596"/>
        <v>-</v>
      </c>
      <c r="AU386" s="1055" t="str">
        <f t="shared" si="596"/>
        <v>-</v>
      </c>
      <c r="AV386" s="2308" t="str">
        <f t="shared" si="596"/>
        <v>-</v>
      </c>
      <c r="AW386" s="1055" t="str">
        <f t="shared" si="596"/>
        <v>-</v>
      </c>
      <c r="AX386" s="2309" t="str">
        <f t="shared" si="596"/>
        <v>-</v>
      </c>
      <c r="AY386" s="1055" t="str">
        <f t="shared" si="596"/>
        <v>-</v>
      </c>
      <c r="AZ386" s="1055" t="str">
        <f t="shared" si="596"/>
        <v>-</v>
      </c>
      <c r="BA386" s="1055" t="str">
        <f t="shared" si="596"/>
        <v>-</v>
      </c>
      <c r="BB386" s="1056" t="str">
        <f t="shared" si="596"/>
        <v>-</v>
      </c>
      <c r="BC386" s="1055" t="str">
        <f t="shared" si="596"/>
        <v>-</v>
      </c>
      <c r="BD386" s="1055" t="str">
        <f t="shared" si="596"/>
        <v>-</v>
      </c>
      <c r="BE386" s="1055" t="str">
        <f t="shared" si="596"/>
        <v>-</v>
      </c>
      <c r="BF386" s="1055" t="str">
        <f t="shared" si="596"/>
        <v>-</v>
      </c>
      <c r="BG386" s="1056" t="str">
        <f t="shared" si="596"/>
        <v>-</v>
      </c>
      <c r="BH386" s="1048"/>
      <c r="BI386" s="2304" t="str">
        <f t="shared" si="533"/>
        <v>Rev</v>
      </c>
      <c r="BJ386" s="2305" t="str">
        <f t="shared" si="533"/>
        <v>[Service]</v>
      </c>
      <c r="BK386" s="2306" t="str">
        <f t="shared" si="533"/>
        <v>[Price]</v>
      </c>
      <c r="BL386" s="2307" t="str">
        <f t="shared" ref="BL386:BZ386" si="618">IF(OR(X386="",X386=0),"-",IFERROR((X386/W386-1)*(W386/W$13),"-"))</f>
        <v>-</v>
      </c>
      <c r="BM386" s="1055" t="str">
        <f t="shared" si="618"/>
        <v>-</v>
      </c>
      <c r="BN386" s="1055" t="str">
        <f t="shared" si="618"/>
        <v>-</v>
      </c>
      <c r="BO386" s="2308" t="str">
        <f t="shared" si="618"/>
        <v>-</v>
      </c>
      <c r="BP386" s="1055" t="str">
        <f t="shared" si="618"/>
        <v>-</v>
      </c>
      <c r="BQ386" s="2309" t="str">
        <f t="shared" si="618"/>
        <v>-</v>
      </c>
      <c r="BR386" s="1055" t="str">
        <f t="shared" si="618"/>
        <v>-</v>
      </c>
      <c r="BS386" s="1055" t="str">
        <f t="shared" si="618"/>
        <v>-</v>
      </c>
      <c r="BT386" s="1055" t="str">
        <f t="shared" si="618"/>
        <v>-</v>
      </c>
      <c r="BU386" s="1056" t="str">
        <f t="shared" si="618"/>
        <v>-</v>
      </c>
      <c r="BV386" s="1055" t="str">
        <f t="shared" si="618"/>
        <v>-</v>
      </c>
      <c r="BW386" s="1055" t="str">
        <f t="shared" si="618"/>
        <v>-</v>
      </c>
      <c r="BX386" s="1055" t="str">
        <f t="shared" si="618"/>
        <v>-</v>
      </c>
      <c r="BY386" s="1055" t="str">
        <f t="shared" si="618"/>
        <v>-</v>
      </c>
      <c r="BZ386" s="1056" t="str">
        <f t="shared" si="618"/>
        <v>-</v>
      </c>
      <c r="CA386" s="1048"/>
    </row>
    <row r="387" spans="3:79" x14ac:dyDescent="0.3">
      <c r="C387" s="126"/>
      <c r="D387" s="126">
        <f>D384+1</f>
        <v>107</v>
      </c>
      <c r="E387" s="553" t="s">
        <v>45</v>
      </c>
      <c r="F387" s="2105" t="s">
        <v>28</v>
      </c>
      <c r="G387" s="2105"/>
      <c r="H387" s="2105"/>
      <c r="I387" s="573" t="s">
        <v>319</v>
      </c>
      <c r="J387" s="573" t="s">
        <v>348</v>
      </c>
      <c r="K387" s="1969"/>
      <c r="L387" s="1970"/>
      <c r="M387" s="1970"/>
      <c r="N387" s="1971"/>
      <c r="O387" s="1970"/>
      <c r="P387" s="1970"/>
      <c r="Q387" s="1970"/>
      <c r="R387" s="1972"/>
      <c r="S387" s="1971"/>
      <c r="T387" s="1970"/>
      <c r="U387" s="1970"/>
      <c r="V387" s="1970"/>
      <c r="W387" s="575"/>
      <c r="X387" s="1238"/>
      <c r="Y387" s="575"/>
      <c r="Z387" s="575"/>
      <c r="AA387" s="575"/>
      <c r="AB387" s="1142"/>
      <c r="AC387" s="575"/>
      <c r="AD387" s="575"/>
      <c r="AE387" s="575"/>
      <c r="AF387" s="575"/>
      <c r="AG387" s="577"/>
      <c r="AH387" s="575"/>
      <c r="AI387" s="575"/>
      <c r="AJ387" s="575"/>
      <c r="AK387" s="575"/>
      <c r="AL387" s="577"/>
      <c r="AM387" s="560"/>
      <c r="AN387" s="1052"/>
      <c r="AO387" s="992"/>
      <c r="AP387" s="2297" t="str">
        <f t="shared" si="505"/>
        <v>Price</v>
      </c>
      <c r="AQ387" s="2298" t="str">
        <f t="shared" si="505"/>
        <v>[Service]</v>
      </c>
      <c r="AR387" s="1719" t="str">
        <f t="shared" si="506"/>
        <v>[Price]</v>
      </c>
      <c r="AS387" s="2299" t="str">
        <f t="shared" si="596"/>
        <v>-</v>
      </c>
      <c r="AT387" s="1728" t="str">
        <f t="shared" si="596"/>
        <v>-</v>
      </c>
      <c r="AU387" s="1728" t="str">
        <f t="shared" si="596"/>
        <v>-</v>
      </c>
      <c r="AV387" s="2300" t="str">
        <f t="shared" si="596"/>
        <v>-</v>
      </c>
      <c r="AW387" s="1728" t="str">
        <f t="shared" si="596"/>
        <v>-</v>
      </c>
      <c r="AX387" s="2301" t="str">
        <f t="shared" si="596"/>
        <v>-</v>
      </c>
      <c r="AY387" s="1728" t="str">
        <f t="shared" si="596"/>
        <v>-</v>
      </c>
      <c r="AZ387" s="1728" t="str">
        <f t="shared" si="596"/>
        <v>-</v>
      </c>
      <c r="BA387" s="1728" t="str">
        <f t="shared" si="596"/>
        <v>-</v>
      </c>
      <c r="BB387" s="1729" t="str">
        <f t="shared" si="596"/>
        <v>-</v>
      </c>
      <c r="BC387" s="1728" t="str">
        <f t="shared" si="596"/>
        <v>-</v>
      </c>
      <c r="BD387" s="1728" t="str">
        <f t="shared" si="596"/>
        <v>-</v>
      </c>
      <c r="BE387" s="1728" t="str">
        <f t="shared" si="596"/>
        <v>-</v>
      </c>
      <c r="BF387" s="1728" t="str">
        <f t="shared" si="596"/>
        <v>-</v>
      </c>
      <c r="BG387" s="1729" t="str">
        <f t="shared" si="596"/>
        <v>-</v>
      </c>
      <c r="BH387" s="1048"/>
      <c r="BI387" s="2297" t="str">
        <f t="shared" si="533"/>
        <v>Price</v>
      </c>
      <c r="BJ387" s="2298" t="str">
        <f t="shared" si="533"/>
        <v>[Service]</v>
      </c>
      <c r="BK387" s="1719" t="str">
        <f t="shared" si="533"/>
        <v>[Price]</v>
      </c>
      <c r="BL387" s="2299" t="str">
        <f t="shared" ref="BL387:BZ387" si="619">IF(OR(X387="",X387=0),"-",IFERROR((X387/W387-1)*(W389/W$13),"-"))</f>
        <v>-</v>
      </c>
      <c r="BM387" s="1053" t="str">
        <f t="shared" si="619"/>
        <v>-</v>
      </c>
      <c r="BN387" s="1053" t="str">
        <f t="shared" si="619"/>
        <v>-</v>
      </c>
      <c r="BO387" s="2302" t="str">
        <f t="shared" si="619"/>
        <v>-</v>
      </c>
      <c r="BP387" s="1053" t="str">
        <f t="shared" si="619"/>
        <v>-</v>
      </c>
      <c r="BQ387" s="2303" t="str">
        <f t="shared" si="619"/>
        <v>-</v>
      </c>
      <c r="BR387" s="1053" t="str">
        <f t="shared" si="619"/>
        <v>-</v>
      </c>
      <c r="BS387" s="1053" t="str">
        <f t="shared" si="619"/>
        <v>-</v>
      </c>
      <c r="BT387" s="1053" t="str">
        <f t="shared" si="619"/>
        <v>-</v>
      </c>
      <c r="BU387" s="1054" t="str">
        <f t="shared" si="619"/>
        <v>-</v>
      </c>
      <c r="BV387" s="1053" t="str">
        <f t="shared" si="619"/>
        <v>-</v>
      </c>
      <c r="BW387" s="1053" t="str">
        <f t="shared" si="619"/>
        <v>-</v>
      </c>
      <c r="BX387" s="1053" t="str">
        <f t="shared" si="619"/>
        <v>-</v>
      </c>
      <c r="BY387" s="1053" t="str">
        <f t="shared" si="619"/>
        <v>-</v>
      </c>
      <c r="BZ387" s="1054" t="str">
        <f t="shared" si="619"/>
        <v>-</v>
      </c>
      <c r="CA387" s="1048"/>
    </row>
    <row r="388" spans="3:79" x14ac:dyDescent="0.3">
      <c r="C388" s="126"/>
      <c r="D388" s="126"/>
      <c r="E388" s="558" t="s">
        <v>46</v>
      </c>
      <c r="F388" s="2161" t="str">
        <f t="shared" si="598"/>
        <v>[Service]</v>
      </c>
      <c r="G388" s="2163">
        <f t="shared" si="598"/>
        <v>0</v>
      </c>
      <c r="H388" s="2163">
        <f t="shared" si="598"/>
        <v>0</v>
      </c>
      <c r="I388" s="2164" t="str">
        <f t="shared" si="598"/>
        <v>[Price]</v>
      </c>
      <c r="J388" s="574" t="s">
        <v>323</v>
      </c>
      <c r="K388" s="1973"/>
      <c r="L388" s="1974"/>
      <c r="M388" s="1974"/>
      <c r="N388" s="1975"/>
      <c r="O388" s="1974"/>
      <c r="P388" s="1974"/>
      <c r="Q388" s="1974"/>
      <c r="R388" s="1976"/>
      <c r="S388" s="1975"/>
      <c r="T388" s="1974"/>
      <c r="U388" s="1974"/>
      <c r="V388" s="1974"/>
      <c r="W388" s="578"/>
      <c r="X388" s="1239"/>
      <c r="Y388" s="578"/>
      <c r="Z388" s="578"/>
      <c r="AA388" s="578"/>
      <c r="AB388" s="1143"/>
      <c r="AC388" s="578"/>
      <c r="AD388" s="578"/>
      <c r="AE388" s="578"/>
      <c r="AF388" s="578"/>
      <c r="AG388" s="580"/>
      <c r="AH388" s="578"/>
      <c r="AI388" s="578"/>
      <c r="AJ388" s="578"/>
      <c r="AK388" s="578"/>
      <c r="AL388" s="580"/>
      <c r="AM388" s="560"/>
      <c r="AN388" s="991"/>
      <c r="AO388" s="992"/>
      <c r="AP388" s="2285" t="str">
        <f t="shared" si="505"/>
        <v>Qty</v>
      </c>
      <c r="AQ388" s="2286" t="str">
        <f t="shared" si="505"/>
        <v>[Service]</v>
      </c>
      <c r="AR388" s="2287" t="str">
        <f t="shared" si="506"/>
        <v>[Price]</v>
      </c>
      <c r="AS388" s="2288" t="str">
        <f t="shared" si="596"/>
        <v>-</v>
      </c>
      <c r="AT388" s="1720" t="str">
        <f t="shared" si="596"/>
        <v>-</v>
      </c>
      <c r="AU388" s="1720" t="str">
        <f t="shared" si="596"/>
        <v>-</v>
      </c>
      <c r="AV388" s="2289" t="str">
        <f t="shared" si="596"/>
        <v>-</v>
      </c>
      <c r="AW388" s="1720" t="str">
        <f t="shared" si="596"/>
        <v>-</v>
      </c>
      <c r="AX388" s="2290" t="str">
        <f t="shared" si="596"/>
        <v>-</v>
      </c>
      <c r="AY388" s="1720" t="str">
        <f t="shared" si="596"/>
        <v>-</v>
      </c>
      <c r="AZ388" s="1720" t="str">
        <f t="shared" si="596"/>
        <v>-</v>
      </c>
      <c r="BA388" s="1720" t="str">
        <f t="shared" si="596"/>
        <v>-</v>
      </c>
      <c r="BB388" s="1721" t="str">
        <f t="shared" si="596"/>
        <v>-</v>
      </c>
      <c r="BC388" s="1720" t="str">
        <f t="shared" si="596"/>
        <v>-</v>
      </c>
      <c r="BD388" s="1720" t="str">
        <f t="shared" si="596"/>
        <v>-</v>
      </c>
      <c r="BE388" s="1720" t="str">
        <f t="shared" si="596"/>
        <v>-</v>
      </c>
      <c r="BF388" s="1720" t="str">
        <f t="shared" si="596"/>
        <v>-</v>
      </c>
      <c r="BG388" s="1721" t="str">
        <f t="shared" si="596"/>
        <v>-</v>
      </c>
      <c r="BH388" s="1048"/>
      <c r="BI388" s="2285" t="str">
        <f t="shared" si="533"/>
        <v>Qty</v>
      </c>
      <c r="BJ388" s="2286" t="str">
        <f t="shared" si="533"/>
        <v>[Service]</v>
      </c>
      <c r="BK388" s="2287" t="str">
        <f t="shared" si="533"/>
        <v>[Price]</v>
      </c>
      <c r="BL388" s="2288" t="str">
        <f t="shared" ref="BL388:BZ388" si="620">IF(OR(X388="",X388=0),"-",IFERROR((X388/W388-1)*(W389/W$13),"-"))</f>
        <v>-</v>
      </c>
      <c r="BM388" s="1720" t="str">
        <f t="shared" si="620"/>
        <v>-</v>
      </c>
      <c r="BN388" s="1720" t="str">
        <f t="shared" si="620"/>
        <v>-</v>
      </c>
      <c r="BO388" s="2289" t="str">
        <f t="shared" si="620"/>
        <v>-</v>
      </c>
      <c r="BP388" s="1720" t="str">
        <f t="shared" si="620"/>
        <v>-</v>
      </c>
      <c r="BQ388" s="2290" t="str">
        <f t="shared" si="620"/>
        <v>-</v>
      </c>
      <c r="BR388" s="1720" t="str">
        <f t="shared" si="620"/>
        <v>-</v>
      </c>
      <c r="BS388" s="1720" t="str">
        <f t="shared" si="620"/>
        <v>-</v>
      </c>
      <c r="BT388" s="1720" t="str">
        <f t="shared" si="620"/>
        <v>-</v>
      </c>
      <c r="BU388" s="1721" t="str">
        <f t="shared" si="620"/>
        <v>-</v>
      </c>
      <c r="BV388" s="1720" t="str">
        <f t="shared" si="620"/>
        <v>-</v>
      </c>
      <c r="BW388" s="1720" t="str">
        <f t="shared" si="620"/>
        <v>-</v>
      </c>
      <c r="BX388" s="1720" t="str">
        <f t="shared" si="620"/>
        <v>-</v>
      </c>
      <c r="BY388" s="1720" t="str">
        <f t="shared" si="620"/>
        <v>-</v>
      </c>
      <c r="BZ388" s="1721" t="str">
        <f t="shared" si="620"/>
        <v>-</v>
      </c>
      <c r="CA388" s="1048"/>
    </row>
    <row r="389" spans="3:79" ht="12.5" thickBot="1" x14ac:dyDescent="0.35">
      <c r="C389" s="126"/>
      <c r="D389" s="126"/>
      <c r="E389" s="559" t="s">
        <v>47</v>
      </c>
      <c r="F389" s="2162" t="str">
        <f t="shared" ref="F389:I389" si="621">+F387</f>
        <v>[Service]</v>
      </c>
      <c r="G389" s="2165">
        <f t="shared" si="621"/>
        <v>0</v>
      </c>
      <c r="H389" s="2165">
        <f t="shared" si="621"/>
        <v>0</v>
      </c>
      <c r="I389" s="2166" t="str">
        <f t="shared" si="621"/>
        <v>[Price]</v>
      </c>
      <c r="J389" s="2106" t="s">
        <v>347</v>
      </c>
      <c r="K389" s="1977"/>
      <c r="L389" s="1206"/>
      <c r="M389" s="1206"/>
      <c r="N389" s="1978"/>
      <c r="O389" s="1206"/>
      <c r="P389" s="1206"/>
      <c r="Q389" s="1206"/>
      <c r="R389" s="1206"/>
      <c r="S389" s="1978"/>
      <c r="T389" s="1206"/>
      <c r="U389" s="1206"/>
      <c r="V389" s="1206"/>
      <c r="W389" s="1731">
        <f t="shared" ref="W389:AG389" si="622">W387*W388/10^6</f>
        <v>0</v>
      </c>
      <c r="X389" s="1730">
        <f t="shared" si="622"/>
        <v>0</v>
      </c>
      <c r="Y389" s="1731">
        <f t="shared" si="622"/>
        <v>0</v>
      </c>
      <c r="Z389" s="1731">
        <f t="shared" si="622"/>
        <v>0</v>
      </c>
      <c r="AA389" s="1731">
        <f t="shared" si="622"/>
        <v>0</v>
      </c>
      <c r="AB389" s="1733">
        <f t="shared" si="622"/>
        <v>0</v>
      </c>
      <c r="AC389" s="1731">
        <f t="shared" si="622"/>
        <v>0</v>
      </c>
      <c r="AD389" s="1731">
        <f t="shared" si="622"/>
        <v>0</v>
      </c>
      <c r="AE389" s="1731">
        <f t="shared" si="622"/>
        <v>0</v>
      </c>
      <c r="AF389" s="1731">
        <f t="shared" si="622"/>
        <v>0</v>
      </c>
      <c r="AG389" s="1733">
        <f t="shared" si="622"/>
        <v>0</v>
      </c>
      <c r="AH389" s="1731">
        <f>AH387*AH388/10^6</f>
        <v>0</v>
      </c>
      <c r="AI389" s="1731">
        <f>AI387*AI388/10^6</f>
        <v>0</v>
      </c>
      <c r="AJ389" s="1731">
        <f>AJ387*AJ388/10^6</f>
        <v>0</v>
      </c>
      <c r="AK389" s="1731">
        <f>AK387*AK388/10^6</f>
        <v>0</v>
      </c>
      <c r="AL389" s="1733">
        <f>AL387*AL388/10^6</f>
        <v>0</v>
      </c>
      <c r="AM389" s="560"/>
      <c r="AN389" s="991"/>
      <c r="AO389" s="992"/>
      <c r="AP389" s="2304" t="str">
        <f t="shared" ref="AP389:AQ443" si="623">E389</f>
        <v>Rev</v>
      </c>
      <c r="AQ389" s="2305" t="str">
        <f t="shared" si="623"/>
        <v>[Service]</v>
      </c>
      <c r="AR389" s="2306" t="str">
        <f t="shared" ref="AR389:AR443" si="624">I389</f>
        <v>[Price]</v>
      </c>
      <c r="AS389" s="2307" t="str">
        <f t="shared" si="596"/>
        <v>-</v>
      </c>
      <c r="AT389" s="1055" t="str">
        <f t="shared" si="596"/>
        <v>-</v>
      </c>
      <c r="AU389" s="1055" t="str">
        <f t="shared" si="596"/>
        <v>-</v>
      </c>
      <c r="AV389" s="2308" t="str">
        <f t="shared" si="596"/>
        <v>-</v>
      </c>
      <c r="AW389" s="1055" t="str">
        <f t="shared" si="596"/>
        <v>-</v>
      </c>
      <c r="AX389" s="2309" t="str">
        <f t="shared" si="596"/>
        <v>-</v>
      </c>
      <c r="AY389" s="1055" t="str">
        <f t="shared" si="596"/>
        <v>-</v>
      </c>
      <c r="AZ389" s="1055" t="str">
        <f t="shared" si="596"/>
        <v>-</v>
      </c>
      <c r="BA389" s="1055" t="str">
        <f t="shared" si="596"/>
        <v>-</v>
      </c>
      <c r="BB389" s="1056" t="str">
        <f t="shared" si="596"/>
        <v>-</v>
      </c>
      <c r="BC389" s="1055" t="str">
        <f t="shared" si="596"/>
        <v>-</v>
      </c>
      <c r="BD389" s="1055" t="str">
        <f t="shared" si="596"/>
        <v>-</v>
      </c>
      <c r="BE389" s="1055" t="str">
        <f t="shared" si="596"/>
        <v>-</v>
      </c>
      <c r="BF389" s="1055" t="str">
        <f t="shared" si="596"/>
        <v>-</v>
      </c>
      <c r="BG389" s="1056" t="str">
        <f t="shared" si="596"/>
        <v>-</v>
      </c>
      <c r="BH389" s="1048"/>
      <c r="BI389" s="2304" t="str">
        <f t="shared" si="533"/>
        <v>Rev</v>
      </c>
      <c r="BJ389" s="2305" t="str">
        <f t="shared" si="533"/>
        <v>[Service]</v>
      </c>
      <c r="BK389" s="2306" t="str">
        <f t="shared" si="533"/>
        <v>[Price]</v>
      </c>
      <c r="BL389" s="2307" t="str">
        <f t="shared" ref="BL389:BZ389" si="625">IF(OR(X389="",X389=0),"-",IFERROR((X389/W389-1)*(W389/W$13),"-"))</f>
        <v>-</v>
      </c>
      <c r="BM389" s="1055" t="str">
        <f t="shared" si="625"/>
        <v>-</v>
      </c>
      <c r="BN389" s="1055" t="str">
        <f t="shared" si="625"/>
        <v>-</v>
      </c>
      <c r="BO389" s="2308" t="str">
        <f t="shared" si="625"/>
        <v>-</v>
      </c>
      <c r="BP389" s="1055" t="str">
        <f t="shared" si="625"/>
        <v>-</v>
      </c>
      <c r="BQ389" s="2309" t="str">
        <f t="shared" si="625"/>
        <v>-</v>
      </c>
      <c r="BR389" s="1055" t="str">
        <f t="shared" si="625"/>
        <v>-</v>
      </c>
      <c r="BS389" s="1055" t="str">
        <f t="shared" si="625"/>
        <v>-</v>
      </c>
      <c r="BT389" s="1055" t="str">
        <f t="shared" si="625"/>
        <v>-</v>
      </c>
      <c r="BU389" s="1056" t="str">
        <f t="shared" si="625"/>
        <v>-</v>
      </c>
      <c r="BV389" s="1055" t="str">
        <f t="shared" si="625"/>
        <v>-</v>
      </c>
      <c r="BW389" s="1055" t="str">
        <f t="shared" si="625"/>
        <v>-</v>
      </c>
      <c r="BX389" s="1055" t="str">
        <f t="shared" si="625"/>
        <v>-</v>
      </c>
      <c r="BY389" s="1055" t="str">
        <f t="shared" si="625"/>
        <v>-</v>
      </c>
      <c r="BZ389" s="1056" t="str">
        <f t="shared" si="625"/>
        <v>-</v>
      </c>
      <c r="CA389" s="1048"/>
    </row>
    <row r="390" spans="3:79" x14ac:dyDescent="0.3">
      <c r="C390" s="126"/>
      <c r="D390" s="126">
        <f>D387+1</f>
        <v>108</v>
      </c>
      <c r="E390" s="553" t="s">
        <v>45</v>
      </c>
      <c r="F390" s="2105" t="s">
        <v>28</v>
      </c>
      <c r="G390" s="2105"/>
      <c r="H390" s="2105"/>
      <c r="I390" s="573" t="s">
        <v>319</v>
      </c>
      <c r="J390" s="573" t="s">
        <v>348</v>
      </c>
      <c r="K390" s="1969"/>
      <c r="L390" s="1970"/>
      <c r="M390" s="1970"/>
      <c r="N390" s="1971"/>
      <c r="O390" s="1970"/>
      <c r="P390" s="1970"/>
      <c r="Q390" s="1970"/>
      <c r="R390" s="1972"/>
      <c r="S390" s="1971"/>
      <c r="T390" s="1970"/>
      <c r="U390" s="1970"/>
      <c r="V390" s="1970"/>
      <c r="W390" s="575"/>
      <c r="X390" s="1238"/>
      <c r="Y390" s="575"/>
      <c r="Z390" s="575"/>
      <c r="AA390" s="575"/>
      <c r="AB390" s="1142"/>
      <c r="AC390" s="575"/>
      <c r="AD390" s="575"/>
      <c r="AE390" s="575"/>
      <c r="AF390" s="575"/>
      <c r="AG390" s="577"/>
      <c r="AH390" s="575"/>
      <c r="AI390" s="575"/>
      <c r="AJ390" s="575"/>
      <c r="AK390" s="575"/>
      <c r="AL390" s="577"/>
      <c r="AM390" s="560"/>
      <c r="AN390" s="1052"/>
      <c r="AO390" s="992"/>
      <c r="AP390" s="2297" t="str">
        <f t="shared" si="623"/>
        <v>Price</v>
      </c>
      <c r="AQ390" s="2298" t="str">
        <f t="shared" si="623"/>
        <v>[Service]</v>
      </c>
      <c r="AR390" s="1719" t="str">
        <f t="shared" si="624"/>
        <v>[Price]</v>
      </c>
      <c r="AS390" s="2299" t="str">
        <f t="shared" si="596"/>
        <v>-</v>
      </c>
      <c r="AT390" s="1728" t="str">
        <f t="shared" si="596"/>
        <v>-</v>
      </c>
      <c r="AU390" s="1728" t="str">
        <f t="shared" si="596"/>
        <v>-</v>
      </c>
      <c r="AV390" s="2300" t="str">
        <f t="shared" si="596"/>
        <v>-</v>
      </c>
      <c r="AW390" s="1728" t="str">
        <f t="shared" si="596"/>
        <v>-</v>
      </c>
      <c r="AX390" s="2301" t="str">
        <f t="shared" si="596"/>
        <v>-</v>
      </c>
      <c r="AY390" s="1728" t="str">
        <f t="shared" si="596"/>
        <v>-</v>
      </c>
      <c r="AZ390" s="1728" t="str">
        <f t="shared" si="596"/>
        <v>-</v>
      </c>
      <c r="BA390" s="1728" t="str">
        <f t="shared" si="596"/>
        <v>-</v>
      </c>
      <c r="BB390" s="1729" t="str">
        <f t="shared" si="596"/>
        <v>-</v>
      </c>
      <c r="BC390" s="1728" t="str">
        <f t="shared" si="596"/>
        <v>-</v>
      </c>
      <c r="BD390" s="1728" t="str">
        <f t="shared" si="596"/>
        <v>-</v>
      </c>
      <c r="BE390" s="1728" t="str">
        <f t="shared" si="596"/>
        <v>-</v>
      </c>
      <c r="BF390" s="1728" t="str">
        <f t="shared" si="596"/>
        <v>-</v>
      </c>
      <c r="BG390" s="1729" t="str">
        <f t="shared" si="596"/>
        <v>-</v>
      </c>
      <c r="BH390" s="1048"/>
      <c r="BI390" s="2297" t="str">
        <f t="shared" si="533"/>
        <v>Price</v>
      </c>
      <c r="BJ390" s="2298" t="str">
        <f t="shared" si="533"/>
        <v>[Service]</v>
      </c>
      <c r="BK390" s="1719" t="str">
        <f t="shared" si="533"/>
        <v>[Price]</v>
      </c>
      <c r="BL390" s="2299" t="str">
        <f t="shared" ref="BL390:BZ390" si="626">IF(OR(X390="",X390=0),"-",IFERROR((X390/W390-1)*(W392/W$13),"-"))</f>
        <v>-</v>
      </c>
      <c r="BM390" s="1053" t="str">
        <f t="shared" si="626"/>
        <v>-</v>
      </c>
      <c r="BN390" s="1053" t="str">
        <f t="shared" si="626"/>
        <v>-</v>
      </c>
      <c r="BO390" s="2302" t="str">
        <f t="shared" si="626"/>
        <v>-</v>
      </c>
      <c r="BP390" s="1053" t="str">
        <f t="shared" si="626"/>
        <v>-</v>
      </c>
      <c r="BQ390" s="2303" t="str">
        <f t="shared" si="626"/>
        <v>-</v>
      </c>
      <c r="BR390" s="1053" t="str">
        <f t="shared" si="626"/>
        <v>-</v>
      </c>
      <c r="BS390" s="1053" t="str">
        <f t="shared" si="626"/>
        <v>-</v>
      </c>
      <c r="BT390" s="1053" t="str">
        <f t="shared" si="626"/>
        <v>-</v>
      </c>
      <c r="BU390" s="1054" t="str">
        <f t="shared" si="626"/>
        <v>-</v>
      </c>
      <c r="BV390" s="1053" t="str">
        <f t="shared" si="626"/>
        <v>-</v>
      </c>
      <c r="BW390" s="1053" t="str">
        <f t="shared" si="626"/>
        <v>-</v>
      </c>
      <c r="BX390" s="1053" t="str">
        <f t="shared" si="626"/>
        <v>-</v>
      </c>
      <c r="BY390" s="1053" t="str">
        <f t="shared" si="626"/>
        <v>-</v>
      </c>
      <c r="BZ390" s="1054" t="str">
        <f t="shared" si="626"/>
        <v>-</v>
      </c>
      <c r="CA390" s="1048"/>
    </row>
    <row r="391" spans="3:79" x14ac:dyDescent="0.3">
      <c r="C391" s="126"/>
      <c r="D391" s="126"/>
      <c r="E391" s="558" t="s">
        <v>46</v>
      </c>
      <c r="F391" s="2161" t="str">
        <f t="shared" si="598"/>
        <v>[Service]</v>
      </c>
      <c r="G391" s="2163">
        <f t="shared" si="598"/>
        <v>0</v>
      </c>
      <c r="H391" s="2163">
        <f t="shared" si="598"/>
        <v>0</v>
      </c>
      <c r="I391" s="2164" t="str">
        <f t="shared" si="598"/>
        <v>[Price]</v>
      </c>
      <c r="J391" s="574" t="s">
        <v>323</v>
      </c>
      <c r="K391" s="1973"/>
      <c r="L391" s="1974"/>
      <c r="M391" s="1974"/>
      <c r="N391" s="1975"/>
      <c r="O391" s="1974"/>
      <c r="P391" s="1974"/>
      <c r="Q391" s="1974"/>
      <c r="R391" s="1976"/>
      <c r="S391" s="1975"/>
      <c r="T391" s="1974"/>
      <c r="U391" s="1974"/>
      <c r="V391" s="1974"/>
      <c r="W391" s="578"/>
      <c r="X391" s="1239"/>
      <c r="Y391" s="578"/>
      <c r="Z391" s="578"/>
      <c r="AA391" s="578"/>
      <c r="AB391" s="1143"/>
      <c r="AC391" s="578"/>
      <c r="AD391" s="578"/>
      <c r="AE391" s="578"/>
      <c r="AF391" s="578"/>
      <c r="AG391" s="580"/>
      <c r="AH391" s="578"/>
      <c r="AI391" s="578"/>
      <c r="AJ391" s="578"/>
      <c r="AK391" s="578"/>
      <c r="AL391" s="580"/>
      <c r="AM391" s="560"/>
      <c r="AN391" s="991"/>
      <c r="AO391" s="992"/>
      <c r="AP391" s="2285" t="str">
        <f t="shared" si="623"/>
        <v>Qty</v>
      </c>
      <c r="AQ391" s="2286" t="str">
        <f t="shared" si="623"/>
        <v>[Service]</v>
      </c>
      <c r="AR391" s="2287" t="str">
        <f t="shared" si="624"/>
        <v>[Price]</v>
      </c>
      <c r="AS391" s="2288" t="str">
        <f t="shared" si="596"/>
        <v>-</v>
      </c>
      <c r="AT391" s="1720" t="str">
        <f t="shared" si="596"/>
        <v>-</v>
      </c>
      <c r="AU391" s="1720" t="str">
        <f t="shared" si="596"/>
        <v>-</v>
      </c>
      <c r="AV391" s="2289" t="str">
        <f t="shared" si="596"/>
        <v>-</v>
      </c>
      <c r="AW391" s="1720" t="str">
        <f t="shared" si="596"/>
        <v>-</v>
      </c>
      <c r="AX391" s="2290" t="str">
        <f t="shared" si="596"/>
        <v>-</v>
      </c>
      <c r="AY391" s="1720" t="str">
        <f t="shared" si="596"/>
        <v>-</v>
      </c>
      <c r="AZ391" s="1720" t="str">
        <f t="shared" si="596"/>
        <v>-</v>
      </c>
      <c r="BA391" s="1720" t="str">
        <f t="shared" si="596"/>
        <v>-</v>
      </c>
      <c r="BB391" s="1721" t="str">
        <f t="shared" si="596"/>
        <v>-</v>
      </c>
      <c r="BC391" s="1720" t="str">
        <f t="shared" si="596"/>
        <v>-</v>
      </c>
      <c r="BD391" s="1720" t="str">
        <f t="shared" si="596"/>
        <v>-</v>
      </c>
      <c r="BE391" s="1720" t="str">
        <f t="shared" si="596"/>
        <v>-</v>
      </c>
      <c r="BF391" s="1720" t="str">
        <f t="shared" si="596"/>
        <v>-</v>
      </c>
      <c r="BG391" s="1721" t="str">
        <f t="shared" si="596"/>
        <v>-</v>
      </c>
      <c r="BH391" s="1048"/>
      <c r="BI391" s="2285" t="str">
        <f t="shared" si="533"/>
        <v>Qty</v>
      </c>
      <c r="BJ391" s="2286" t="str">
        <f t="shared" si="533"/>
        <v>[Service]</v>
      </c>
      <c r="BK391" s="2287" t="str">
        <f t="shared" si="533"/>
        <v>[Price]</v>
      </c>
      <c r="BL391" s="2288" t="str">
        <f t="shared" ref="BL391:BZ391" si="627">IF(OR(X391="",X391=0),"-",IFERROR((X391/W391-1)*(W392/W$13),"-"))</f>
        <v>-</v>
      </c>
      <c r="BM391" s="1720" t="str">
        <f t="shared" si="627"/>
        <v>-</v>
      </c>
      <c r="BN391" s="1720" t="str">
        <f t="shared" si="627"/>
        <v>-</v>
      </c>
      <c r="BO391" s="2289" t="str">
        <f t="shared" si="627"/>
        <v>-</v>
      </c>
      <c r="BP391" s="1720" t="str">
        <f t="shared" si="627"/>
        <v>-</v>
      </c>
      <c r="BQ391" s="2290" t="str">
        <f t="shared" si="627"/>
        <v>-</v>
      </c>
      <c r="BR391" s="1720" t="str">
        <f t="shared" si="627"/>
        <v>-</v>
      </c>
      <c r="BS391" s="1720" t="str">
        <f t="shared" si="627"/>
        <v>-</v>
      </c>
      <c r="BT391" s="1720" t="str">
        <f t="shared" si="627"/>
        <v>-</v>
      </c>
      <c r="BU391" s="1721" t="str">
        <f t="shared" si="627"/>
        <v>-</v>
      </c>
      <c r="BV391" s="1720" t="str">
        <f t="shared" si="627"/>
        <v>-</v>
      </c>
      <c r="BW391" s="1720" t="str">
        <f t="shared" si="627"/>
        <v>-</v>
      </c>
      <c r="BX391" s="1720" t="str">
        <f t="shared" si="627"/>
        <v>-</v>
      </c>
      <c r="BY391" s="1720" t="str">
        <f t="shared" si="627"/>
        <v>-</v>
      </c>
      <c r="BZ391" s="1721" t="str">
        <f t="shared" si="627"/>
        <v>-</v>
      </c>
      <c r="CA391" s="1048"/>
    </row>
    <row r="392" spans="3:79" ht="12.5" thickBot="1" x14ac:dyDescent="0.35">
      <c r="C392" s="126"/>
      <c r="D392" s="126"/>
      <c r="E392" s="559" t="s">
        <v>47</v>
      </c>
      <c r="F392" s="2162" t="str">
        <f t="shared" ref="F392:I392" si="628">+F390</f>
        <v>[Service]</v>
      </c>
      <c r="G392" s="2165">
        <f t="shared" si="628"/>
        <v>0</v>
      </c>
      <c r="H392" s="2165">
        <f t="shared" si="628"/>
        <v>0</v>
      </c>
      <c r="I392" s="2166" t="str">
        <f t="shared" si="628"/>
        <v>[Price]</v>
      </c>
      <c r="J392" s="2106" t="s">
        <v>347</v>
      </c>
      <c r="K392" s="1977"/>
      <c r="L392" s="1206"/>
      <c r="M392" s="1206"/>
      <c r="N392" s="1978"/>
      <c r="O392" s="1206"/>
      <c r="P392" s="1206"/>
      <c r="Q392" s="1206"/>
      <c r="R392" s="1206"/>
      <c r="S392" s="1978"/>
      <c r="T392" s="1206"/>
      <c r="U392" s="1206"/>
      <c r="V392" s="1206"/>
      <c r="W392" s="1731">
        <f t="shared" ref="W392:AG392" si="629">W390*W391/10^6</f>
        <v>0</v>
      </c>
      <c r="X392" s="1730">
        <f t="shared" si="629"/>
        <v>0</v>
      </c>
      <c r="Y392" s="1731">
        <f t="shared" si="629"/>
        <v>0</v>
      </c>
      <c r="Z392" s="1731">
        <f t="shared" si="629"/>
        <v>0</v>
      </c>
      <c r="AA392" s="1731">
        <f t="shared" si="629"/>
        <v>0</v>
      </c>
      <c r="AB392" s="1733">
        <f t="shared" si="629"/>
        <v>0</v>
      </c>
      <c r="AC392" s="1731">
        <f t="shared" si="629"/>
        <v>0</v>
      </c>
      <c r="AD392" s="1731">
        <f t="shared" si="629"/>
        <v>0</v>
      </c>
      <c r="AE392" s="1731">
        <f t="shared" si="629"/>
        <v>0</v>
      </c>
      <c r="AF392" s="1731">
        <f t="shared" si="629"/>
        <v>0</v>
      </c>
      <c r="AG392" s="1733">
        <f t="shared" si="629"/>
        <v>0</v>
      </c>
      <c r="AH392" s="1731">
        <f>AH390*AH391/10^6</f>
        <v>0</v>
      </c>
      <c r="AI392" s="1731">
        <f>AI390*AI391/10^6</f>
        <v>0</v>
      </c>
      <c r="AJ392" s="1731">
        <f>AJ390*AJ391/10^6</f>
        <v>0</v>
      </c>
      <c r="AK392" s="1731">
        <f>AK390*AK391/10^6</f>
        <v>0</v>
      </c>
      <c r="AL392" s="1733">
        <f>AL390*AL391/10^6</f>
        <v>0</v>
      </c>
      <c r="AM392" s="560"/>
      <c r="AN392" s="991"/>
      <c r="AO392" s="992"/>
      <c r="AP392" s="2304" t="str">
        <f t="shared" si="623"/>
        <v>Rev</v>
      </c>
      <c r="AQ392" s="2305" t="str">
        <f t="shared" si="623"/>
        <v>[Service]</v>
      </c>
      <c r="AR392" s="2306" t="str">
        <f t="shared" si="624"/>
        <v>[Price]</v>
      </c>
      <c r="AS392" s="2307" t="str">
        <f t="shared" ref="AS392:BG408" si="630">IF(OR(X392="",X392=0),"-",IFERROR(X392/W392-1,"-"))</f>
        <v>-</v>
      </c>
      <c r="AT392" s="1055" t="str">
        <f t="shared" si="630"/>
        <v>-</v>
      </c>
      <c r="AU392" s="1055" t="str">
        <f t="shared" si="630"/>
        <v>-</v>
      </c>
      <c r="AV392" s="2308" t="str">
        <f t="shared" si="630"/>
        <v>-</v>
      </c>
      <c r="AW392" s="1055" t="str">
        <f t="shared" si="630"/>
        <v>-</v>
      </c>
      <c r="AX392" s="2309" t="str">
        <f t="shared" si="630"/>
        <v>-</v>
      </c>
      <c r="AY392" s="1055" t="str">
        <f t="shared" si="630"/>
        <v>-</v>
      </c>
      <c r="AZ392" s="1055" t="str">
        <f t="shared" si="630"/>
        <v>-</v>
      </c>
      <c r="BA392" s="1055" t="str">
        <f t="shared" si="630"/>
        <v>-</v>
      </c>
      <c r="BB392" s="1056" t="str">
        <f t="shared" si="630"/>
        <v>-</v>
      </c>
      <c r="BC392" s="1055" t="str">
        <f t="shared" si="630"/>
        <v>-</v>
      </c>
      <c r="BD392" s="1055" t="str">
        <f t="shared" si="630"/>
        <v>-</v>
      </c>
      <c r="BE392" s="1055" t="str">
        <f t="shared" si="630"/>
        <v>-</v>
      </c>
      <c r="BF392" s="1055" t="str">
        <f t="shared" si="630"/>
        <v>-</v>
      </c>
      <c r="BG392" s="1056" t="str">
        <f t="shared" si="630"/>
        <v>-</v>
      </c>
      <c r="BH392" s="1048"/>
      <c r="BI392" s="2304" t="str">
        <f t="shared" si="533"/>
        <v>Rev</v>
      </c>
      <c r="BJ392" s="2305" t="str">
        <f t="shared" si="533"/>
        <v>[Service]</v>
      </c>
      <c r="BK392" s="2306" t="str">
        <f t="shared" si="533"/>
        <v>[Price]</v>
      </c>
      <c r="BL392" s="2307" t="str">
        <f t="shared" ref="BL392:BZ392" si="631">IF(OR(X392="",X392=0),"-",IFERROR((X392/W392-1)*(W392/W$13),"-"))</f>
        <v>-</v>
      </c>
      <c r="BM392" s="1055" t="str">
        <f t="shared" si="631"/>
        <v>-</v>
      </c>
      <c r="BN392" s="1055" t="str">
        <f t="shared" si="631"/>
        <v>-</v>
      </c>
      <c r="BO392" s="2308" t="str">
        <f t="shared" si="631"/>
        <v>-</v>
      </c>
      <c r="BP392" s="1055" t="str">
        <f t="shared" si="631"/>
        <v>-</v>
      </c>
      <c r="BQ392" s="2309" t="str">
        <f t="shared" si="631"/>
        <v>-</v>
      </c>
      <c r="BR392" s="1055" t="str">
        <f t="shared" si="631"/>
        <v>-</v>
      </c>
      <c r="BS392" s="1055" t="str">
        <f t="shared" si="631"/>
        <v>-</v>
      </c>
      <c r="BT392" s="1055" t="str">
        <f t="shared" si="631"/>
        <v>-</v>
      </c>
      <c r="BU392" s="1056" t="str">
        <f t="shared" si="631"/>
        <v>-</v>
      </c>
      <c r="BV392" s="1055" t="str">
        <f t="shared" si="631"/>
        <v>-</v>
      </c>
      <c r="BW392" s="1055" t="str">
        <f t="shared" si="631"/>
        <v>-</v>
      </c>
      <c r="BX392" s="1055" t="str">
        <f t="shared" si="631"/>
        <v>-</v>
      </c>
      <c r="BY392" s="1055" t="str">
        <f t="shared" si="631"/>
        <v>-</v>
      </c>
      <c r="BZ392" s="1056" t="str">
        <f t="shared" si="631"/>
        <v>-</v>
      </c>
      <c r="CA392" s="1048"/>
    </row>
    <row r="393" spans="3:79" x14ac:dyDescent="0.3">
      <c r="C393" s="126"/>
      <c r="D393" s="126">
        <f>D390+1</f>
        <v>109</v>
      </c>
      <c r="E393" s="553" t="s">
        <v>45</v>
      </c>
      <c r="F393" s="2105" t="s">
        <v>28</v>
      </c>
      <c r="G393" s="2105"/>
      <c r="H393" s="2105"/>
      <c r="I393" s="573" t="s">
        <v>319</v>
      </c>
      <c r="J393" s="573" t="s">
        <v>348</v>
      </c>
      <c r="K393" s="1969"/>
      <c r="L393" s="1970"/>
      <c r="M393" s="1970"/>
      <c r="N393" s="1971"/>
      <c r="O393" s="1970"/>
      <c r="P393" s="1970"/>
      <c r="Q393" s="1970"/>
      <c r="R393" s="1972"/>
      <c r="S393" s="1971"/>
      <c r="T393" s="1970"/>
      <c r="U393" s="1970"/>
      <c r="V393" s="1970"/>
      <c r="W393" s="575"/>
      <c r="X393" s="1238"/>
      <c r="Y393" s="575"/>
      <c r="Z393" s="575"/>
      <c r="AA393" s="575"/>
      <c r="AB393" s="1142"/>
      <c r="AC393" s="575"/>
      <c r="AD393" s="575"/>
      <c r="AE393" s="575"/>
      <c r="AF393" s="575"/>
      <c r="AG393" s="577"/>
      <c r="AH393" s="575"/>
      <c r="AI393" s="575"/>
      <c r="AJ393" s="575"/>
      <c r="AK393" s="575"/>
      <c r="AL393" s="577"/>
      <c r="AM393" s="560"/>
      <c r="AN393" s="1052"/>
      <c r="AO393" s="992"/>
      <c r="AP393" s="2297" t="str">
        <f t="shared" si="623"/>
        <v>Price</v>
      </c>
      <c r="AQ393" s="2298" t="str">
        <f t="shared" si="623"/>
        <v>[Service]</v>
      </c>
      <c r="AR393" s="1719" t="str">
        <f t="shared" si="624"/>
        <v>[Price]</v>
      </c>
      <c r="AS393" s="2299" t="str">
        <f t="shared" si="630"/>
        <v>-</v>
      </c>
      <c r="AT393" s="1728" t="str">
        <f t="shared" si="630"/>
        <v>-</v>
      </c>
      <c r="AU393" s="1728" t="str">
        <f t="shared" si="630"/>
        <v>-</v>
      </c>
      <c r="AV393" s="2300" t="str">
        <f t="shared" si="630"/>
        <v>-</v>
      </c>
      <c r="AW393" s="1728" t="str">
        <f t="shared" si="630"/>
        <v>-</v>
      </c>
      <c r="AX393" s="2301" t="str">
        <f t="shared" si="630"/>
        <v>-</v>
      </c>
      <c r="AY393" s="1728" t="str">
        <f t="shared" si="630"/>
        <v>-</v>
      </c>
      <c r="AZ393" s="1728" t="str">
        <f t="shared" si="630"/>
        <v>-</v>
      </c>
      <c r="BA393" s="1728" t="str">
        <f t="shared" si="630"/>
        <v>-</v>
      </c>
      <c r="BB393" s="1729" t="str">
        <f t="shared" si="630"/>
        <v>-</v>
      </c>
      <c r="BC393" s="1728" t="str">
        <f t="shared" si="630"/>
        <v>-</v>
      </c>
      <c r="BD393" s="1728" t="str">
        <f t="shared" si="630"/>
        <v>-</v>
      </c>
      <c r="BE393" s="1728" t="str">
        <f t="shared" si="630"/>
        <v>-</v>
      </c>
      <c r="BF393" s="1728" t="str">
        <f t="shared" si="630"/>
        <v>-</v>
      </c>
      <c r="BG393" s="1729" t="str">
        <f t="shared" si="630"/>
        <v>-</v>
      </c>
      <c r="BH393" s="1048"/>
      <c r="BI393" s="2297" t="str">
        <f t="shared" si="533"/>
        <v>Price</v>
      </c>
      <c r="BJ393" s="2298" t="str">
        <f t="shared" si="533"/>
        <v>[Service]</v>
      </c>
      <c r="BK393" s="1719" t="str">
        <f t="shared" si="533"/>
        <v>[Price]</v>
      </c>
      <c r="BL393" s="2299" t="str">
        <f t="shared" ref="BL393:BZ393" si="632">IF(OR(X393="",X393=0),"-",IFERROR((X393/W393-1)*(W395/W$13),"-"))</f>
        <v>-</v>
      </c>
      <c r="BM393" s="1053" t="str">
        <f t="shared" si="632"/>
        <v>-</v>
      </c>
      <c r="BN393" s="1053" t="str">
        <f t="shared" si="632"/>
        <v>-</v>
      </c>
      <c r="BO393" s="2302" t="str">
        <f t="shared" si="632"/>
        <v>-</v>
      </c>
      <c r="BP393" s="1053" t="str">
        <f t="shared" si="632"/>
        <v>-</v>
      </c>
      <c r="BQ393" s="2303" t="str">
        <f t="shared" si="632"/>
        <v>-</v>
      </c>
      <c r="BR393" s="1053" t="str">
        <f t="shared" si="632"/>
        <v>-</v>
      </c>
      <c r="BS393" s="1053" t="str">
        <f t="shared" si="632"/>
        <v>-</v>
      </c>
      <c r="BT393" s="1053" t="str">
        <f t="shared" si="632"/>
        <v>-</v>
      </c>
      <c r="BU393" s="1054" t="str">
        <f t="shared" si="632"/>
        <v>-</v>
      </c>
      <c r="BV393" s="1053" t="str">
        <f t="shared" si="632"/>
        <v>-</v>
      </c>
      <c r="BW393" s="1053" t="str">
        <f t="shared" si="632"/>
        <v>-</v>
      </c>
      <c r="BX393" s="1053" t="str">
        <f t="shared" si="632"/>
        <v>-</v>
      </c>
      <c r="BY393" s="1053" t="str">
        <f t="shared" si="632"/>
        <v>-</v>
      </c>
      <c r="BZ393" s="1054" t="str">
        <f t="shared" si="632"/>
        <v>-</v>
      </c>
      <c r="CA393" s="1048"/>
    </row>
    <row r="394" spans="3:79" x14ac:dyDescent="0.3">
      <c r="C394" s="126"/>
      <c r="D394" s="126"/>
      <c r="E394" s="558" t="s">
        <v>46</v>
      </c>
      <c r="F394" s="2161" t="str">
        <f t="shared" ref="F394:I409" si="633">+F393</f>
        <v>[Service]</v>
      </c>
      <c r="G394" s="2163">
        <f t="shared" si="633"/>
        <v>0</v>
      </c>
      <c r="H394" s="2163">
        <f t="shared" si="633"/>
        <v>0</v>
      </c>
      <c r="I394" s="2164" t="str">
        <f t="shared" si="633"/>
        <v>[Price]</v>
      </c>
      <c r="J394" s="574" t="s">
        <v>323</v>
      </c>
      <c r="K394" s="1973"/>
      <c r="L394" s="1974"/>
      <c r="M394" s="1974"/>
      <c r="N394" s="1975"/>
      <c r="O394" s="1974"/>
      <c r="P394" s="1974"/>
      <c r="Q394" s="1974"/>
      <c r="R394" s="1976"/>
      <c r="S394" s="1975"/>
      <c r="T394" s="1974"/>
      <c r="U394" s="1974"/>
      <c r="V394" s="1974"/>
      <c r="W394" s="578"/>
      <c r="X394" s="1239"/>
      <c r="Y394" s="578"/>
      <c r="Z394" s="578"/>
      <c r="AA394" s="578"/>
      <c r="AB394" s="1143"/>
      <c r="AC394" s="578"/>
      <c r="AD394" s="578"/>
      <c r="AE394" s="578"/>
      <c r="AF394" s="578"/>
      <c r="AG394" s="580"/>
      <c r="AH394" s="578"/>
      <c r="AI394" s="578"/>
      <c r="AJ394" s="578"/>
      <c r="AK394" s="578"/>
      <c r="AL394" s="580"/>
      <c r="AM394" s="560"/>
      <c r="AN394" s="991"/>
      <c r="AO394" s="992"/>
      <c r="AP394" s="2285" t="str">
        <f t="shared" si="623"/>
        <v>Qty</v>
      </c>
      <c r="AQ394" s="2286" t="str">
        <f t="shared" si="623"/>
        <v>[Service]</v>
      </c>
      <c r="AR394" s="2287" t="str">
        <f t="shared" si="624"/>
        <v>[Price]</v>
      </c>
      <c r="AS394" s="2288" t="str">
        <f t="shared" si="630"/>
        <v>-</v>
      </c>
      <c r="AT394" s="1720" t="str">
        <f t="shared" si="630"/>
        <v>-</v>
      </c>
      <c r="AU394" s="1720" t="str">
        <f t="shared" si="630"/>
        <v>-</v>
      </c>
      <c r="AV394" s="2289" t="str">
        <f t="shared" si="630"/>
        <v>-</v>
      </c>
      <c r="AW394" s="1720" t="str">
        <f t="shared" si="630"/>
        <v>-</v>
      </c>
      <c r="AX394" s="2290" t="str">
        <f t="shared" si="630"/>
        <v>-</v>
      </c>
      <c r="AY394" s="1720" t="str">
        <f t="shared" si="630"/>
        <v>-</v>
      </c>
      <c r="AZ394" s="1720" t="str">
        <f t="shared" si="630"/>
        <v>-</v>
      </c>
      <c r="BA394" s="1720" t="str">
        <f t="shared" si="630"/>
        <v>-</v>
      </c>
      <c r="BB394" s="1721" t="str">
        <f t="shared" si="630"/>
        <v>-</v>
      </c>
      <c r="BC394" s="1720" t="str">
        <f t="shared" si="630"/>
        <v>-</v>
      </c>
      <c r="BD394" s="1720" t="str">
        <f t="shared" si="630"/>
        <v>-</v>
      </c>
      <c r="BE394" s="1720" t="str">
        <f t="shared" si="630"/>
        <v>-</v>
      </c>
      <c r="BF394" s="1720" t="str">
        <f t="shared" si="630"/>
        <v>-</v>
      </c>
      <c r="BG394" s="1721" t="str">
        <f t="shared" si="630"/>
        <v>-</v>
      </c>
      <c r="BH394" s="1048"/>
      <c r="BI394" s="2285" t="str">
        <f t="shared" si="533"/>
        <v>Qty</v>
      </c>
      <c r="BJ394" s="2286" t="str">
        <f t="shared" si="533"/>
        <v>[Service]</v>
      </c>
      <c r="BK394" s="2287" t="str">
        <f t="shared" si="533"/>
        <v>[Price]</v>
      </c>
      <c r="BL394" s="2288" t="str">
        <f t="shared" ref="BL394:BZ394" si="634">IF(OR(X394="",X394=0),"-",IFERROR((X394/W394-1)*(W395/W$13),"-"))</f>
        <v>-</v>
      </c>
      <c r="BM394" s="1720" t="str">
        <f t="shared" si="634"/>
        <v>-</v>
      </c>
      <c r="BN394" s="1720" t="str">
        <f t="shared" si="634"/>
        <v>-</v>
      </c>
      <c r="BO394" s="2289" t="str">
        <f t="shared" si="634"/>
        <v>-</v>
      </c>
      <c r="BP394" s="1720" t="str">
        <f t="shared" si="634"/>
        <v>-</v>
      </c>
      <c r="BQ394" s="2290" t="str">
        <f t="shared" si="634"/>
        <v>-</v>
      </c>
      <c r="BR394" s="1720" t="str">
        <f t="shared" si="634"/>
        <v>-</v>
      </c>
      <c r="BS394" s="1720" t="str">
        <f t="shared" si="634"/>
        <v>-</v>
      </c>
      <c r="BT394" s="1720" t="str">
        <f t="shared" si="634"/>
        <v>-</v>
      </c>
      <c r="BU394" s="1721" t="str">
        <f t="shared" si="634"/>
        <v>-</v>
      </c>
      <c r="BV394" s="1720" t="str">
        <f t="shared" si="634"/>
        <v>-</v>
      </c>
      <c r="BW394" s="1720" t="str">
        <f t="shared" si="634"/>
        <v>-</v>
      </c>
      <c r="BX394" s="1720" t="str">
        <f t="shared" si="634"/>
        <v>-</v>
      </c>
      <c r="BY394" s="1720" t="str">
        <f t="shared" si="634"/>
        <v>-</v>
      </c>
      <c r="BZ394" s="1721" t="str">
        <f t="shared" si="634"/>
        <v>-</v>
      </c>
      <c r="CA394" s="1048"/>
    </row>
    <row r="395" spans="3:79" ht="12.5" thickBot="1" x14ac:dyDescent="0.35">
      <c r="C395" s="126"/>
      <c r="D395" s="126"/>
      <c r="E395" s="559" t="s">
        <v>47</v>
      </c>
      <c r="F395" s="2162" t="str">
        <f t="shared" ref="F395:I395" si="635">+F393</f>
        <v>[Service]</v>
      </c>
      <c r="G395" s="2165">
        <f t="shared" si="635"/>
        <v>0</v>
      </c>
      <c r="H395" s="2165">
        <f t="shared" si="635"/>
        <v>0</v>
      </c>
      <c r="I395" s="2166" t="str">
        <f t="shared" si="635"/>
        <v>[Price]</v>
      </c>
      <c r="J395" s="2106" t="s">
        <v>347</v>
      </c>
      <c r="K395" s="1977"/>
      <c r="L395" s="1206"/>
      <c r="M395" s="1206"/>
      <c r="N395" s="1978"/>
      <c r="O395" s="1206"/>
      <c r="P395" s="1206"/>
      <c r="Q395" s="1206"/>
      <c r="R395" s="1206"/>
      <c r="S395" s="1978"/>
      <c r="T395" s="1206"/>
      <c r="U395" s="1206"/>
      <c r="V395" s="1206"/>
      <c r="W395" s="1731">
        <f t="shared" ref="W395:AG395" si="636">W393*W394/10^6</f>
        <v>0</v>
      </c>
      <c r="X395" s="1730">
        <f t="shared" si="636"/>
        <v>0</v>
      </c>
      <c r="Y395" s="1731">
        <f t="shared" si="636"/>
        <v>0</v>
      </c>
      <c r="Z395" s="1731">
        <f t="shared" si="636"/>
        <v>0</v>
      </c>
      <c r="AA395" s="1731">
        <f t="shared" si="636"/>
        <v>0</v>
      </c>
      <c r="AB395" s="1733">
        <f t="shared" si="636"/>
        <v>0</v>
      </c>
      <c r="AC395" s="1731">
        <f t="shared" si="636"/>
        <v>0</v>
      </c>
      <c r="AD395" s="1731">
        <f t="shared" si="636"/>
        <v>0</v>
      </c>
      <c r="AE395" s="1731">
        <f t="shared" si="636"/>
        <v>0</v>
      </c>
      <c r="AF395" s="1731">
        <f t="shared" si="636"/>
        <v>0</v>
      </c>
      <c r="AG395" s="1733">
        <f t="shared" si="636"/>
        <v>0</v>
      </c>
      <c r="AH395" s="1731">
        <f>AH393*AH394/10^6</f>
        <v>0</v>
      </c>
      <c r="AI395" s="1731">
        <f>AI393*AI394/10^6</f>
        <v>0</v>
      </c>
      <c r="AJ395" s="1731">
        <f>AJ393*AJ394/10^6</f>
        <v>0</v>
      </c>
      <c r="AK395" s="1731">
        <f>AK393*AK394/10^6</f>
        <v>0</v>
      </c>
      <c r="AL395" s="1733">
        <f>AL393*AL394/10^6</f>
        <v>0</v>
      </c>
      <c r="AM395" s="560"/>
      <c r="AN395" s="991"/>
      <c r="AO395" s="992"/>
      <c r="AP395" s="2304" t="str">
        <f t="shared" si="623"/>
        <v>Rev</v>
      </c>
      <c r="AQ395" s="2305" t="str">
        <f t="shared" si="623"/>
        <v>[Service]</v>
      </c>
      <c r="AR395" s="2306" t="str">
        <f t="shared" si="624"/>
        <v>[Price]</v>
      </c>
      <c r="AS395" s="2307" t="str">
        <f t="shared" si="630"/>
        <v>-</v>
      </c>
      <c r="AT395" s="1055" t="str">
        <f t="shared" si="630"/>
        <v>-</v>
      </c>
      <c r="AU395" s="1055" t="str">
        <f t="shared" si="630"/>
        <v>-</v>
      </c>
      <c r="AV395" s="2308" t="str">
        <f t="shared" si="630"/>
        <v>-</v>
      </c>
      <c r="AW395" s="1055" t="str">
        <f t="shared" si="630"/>
        <v>-</v>
      </c>
      <c r="AX395" s="2309" t="str">
        <f t="shared" si="630"/>
        <v>-</v>
      </c>
      <c r="AY395" s="1055" t="str">
        <f t="shared" si="630"/>
        <v>-</v>
      </c>
      <c r="AZ395" s="1055" t="str">
        <f t="shared" si="630"/>
        <v>-</v>
      </c>
      <c r="BA395" s="1055" t="str">
        <f t="shared" si="630"/>
        <v>-</v>
      </c>
      <c r="BB395" s="1056" t="str">
        <f t="shared" si="630"/>
        <v>-</v>
      </c>
      <c r="BC395" s="1055" t="str">
        <f t="shared" si="630"/>
        <v>-</v>
      </c>
      <c r="BD395" s="1055" t="str">
        <f t="shared" si="630"/>
        <v>-</v>
      </c>
      <c r="BE395" s="1055" t="str">
        <f t="shared" si="630"/>
        <v>-</v>
      </c>
      <c r="BF395" s="1055" t="str">
        <f t="shared" si="630"/>
        <v>-</v>
      </c>
      <c r="BG395" s="1056" t="str">
        <f t="shared" si="630"/>
        <v>-</v>
      </c>
      <c r="BH395" s="1048"/>
      <c r="BI395" s="2304" t="str">
        <f t="shared" si="533"/>
        <v>Rev</v>
      </c>
      <c r="BJ395" s="2305" t="str">
        <f t="shared" si="533"/>
        <v>[Service]</v>
      </c>
      <c r="BK395" s="2306" t="str">
        <f t="shared" si="533"/>
        <v>[Price]</v>
      </c>
      <c r="BL395" s="2307" t="str">
        <f t="shared" ref="BL395:BZ395" si="637">IF(OR(X395="",X395=0),"-",IFERROR((X395/W395-1)*(W395/W$13),"-"))</f>
        <v>-</v>
      </c>
      <c r="BM395" s="1055" t="str">
        <f t="shared" si="637"/>
        <v>-</v>
      </c>
      <c r="BN395" s="1055" t="str">
        <f t="shared" si="637"/>
        <v>-</v>
      </c>
      <c r="BO395" s="2308" t="str">
        <f t="shared" si="637"/>
        <v>-</v>
      </c>
      <c r="BP395" s="1055" t="str">
        <f t="shared" si="637"/>
        <v>-</v>
      </c>
      <c r="BQ395" s="2309" t="str">
        <f t="shared" si="637"/>
        <v>-</v>
      </c>
      <c r="BR395" s="1055" t="str">
        <f t="shared" si="637"/>
        <v>-</v>
      </c>
      <c r="BS395" s="1055" t="str">
        <f t="shared" si="637"/>
        <v>-</v>
      </c>
      <c r="BT395" s="1055" t="str">
        <f t="shared" si="637"/>
        <v>-</v>
      </c>
      <c r="BU395" s="1056" t="str">
        <f t="shared" si="637"/>
        <v>-</v>
      </c>
      <c r="BV395" s="1055" t="str">
        <f t="shared" si="637"/>
        <v>-</v>
      </c>
      <c r="BW395" s="1055" t="str">
        <f t="shared" si="637"/>
        <v>-</v>
      </c>
      <c r="BX395" s="1055" t="str">
        <f t="shared" si="637"/>
        <v>-</v>
      </c>
      <c r="BY395" s="1055" t="str">
        <f t="shared" si="637"/>
        <v>-</v>
      </c>
      <c r="BZ395" s="1056" t="str">
        <f t="shared" si="637"/>
        <v>-</v>
      </c>
      <c r="CA395" s="1048"/>
    </row>
    <row r="396" spans="3:79" x14ac:dyDescent="0.3">
      <c r="C396" s="126"/>
      <c r="D396" s="126">
        <f>D393+1</f>
        <v>110</v>
      </c>
      <c r="E396" s="553" t="s">
        <v>45</v>
      </c>
      <c r="F396" s="2105" t="s">
        <v>28</v>
      </c>
      <c r="G396" s="2105"/>
      <c r="H396" s="2105"/>
      <c r="I396" s="573" t="s">
        <v>319</v>
      </c>
      <c r="J396" s="573" t="s">
        <v>348</v>
      </c>
      <c r="K396" s="1969"/>
      <c r="L396" s="1970"/>
      <c r="M396" s="1970"/>
      <c r="N396" s="1971"/>
      <c r="O396" s="1970"/>
      <c r="P396" s="1970"/>
      <c r="Q396" s="1970"/>
      <c r="R396" s="1972"/>
      <c r="S396" s="1971"/>
      <c r="T396" s="1970"/>
      <c r="U396" s="1970"/>
      <c r="V396" s="1970"/>
      <c r="W396" s="575"/>
      <c r="X396" s="1238"/>
      <c r="Y396" s="575"/>
      <c r="Z396" s="575"/>
      <c r="AA396" s="575"/>
      <c r="AB396" s="1142"/>
      <c r="AC396" s="575"/>
      <c r="AD396" s="575"/>
      <c r="AE396" s="575"/>
      <c r="AF396" s="575"/>
      <c r="AG396" s="577"/>
      <c r="AH396" s="575"/>
      <c r="AI396" s="575"/>
      <c r="AJ396" s="575"/>
      <c r="AK396" s="575"/>
      <c r="AL396" s="577"/>
      <c r="AM396" s="560"/>
      <c r="AN396" s="1052"/>
      <c r="AO396" s="992"/>
      <c r="AP396" s="2297" t="str">
        <f t="shared" si="623"/>
        <v>Price</v>
      </c>
      <c r="AQ396" s="2298" t="str">
        <f t="shared" si="623"/>
        <v>[Service]</v>
      </c>
      <c r="AR396" s="1719" t="str">
        <f t="shared" si="624"/>
        <v>[Price]</v>
      </c>
      <c r="AS396" s="2299" t="str">
        <f t="shared" si="630"/>
        <v>-</v>
      </c>
      <c r="AT396" s="1728" t="str">
        <f t="shared" si="630"/>
        <v>-</v>
      </c>
      <c r="AU396" s="1728" t="str">
        <f t="shared" si="630"/>
        <v>-</v>
      </c>
      <c r="AV396" s="2300" t="str">
        <f t="shared" si="630"/>
        <v>-</v>
      </c>
      <c r="AW396" s="1728" t="str">
        <f t="shared" si="630"/>
        <v>-</v>
      </c>
      <c r="AX396" s="2301" t="str">
        <f t="shared" si="630"/>
        <v>-</v>
      </c>
      <c r="AY396" s="1728" t="str">
        <f t="shared" si="630"/>
        <v>-</v>
      </c>
      <c r="AZ396" s="1728" t="str">
        <f t="shared" si="630"/>
        <v>-</v>
      </c>
      <c r="BA396" s="1728" t="str">
        <f t="shared" si="630"/>
        <v>-</v>
      </c>
      <c r="BB396" s="1729" t="str">
        <f t="shared" si="630"/>
        <v>-</v>
      </c>
      <c r="BC396" s="1728" t="str">
        <f t="shared" si="630"/>
        <v>-</v>
      </c>
      <c r="BD396" s="1728" t="str">
        <f t="shared" si="630"/>
        <v>-</v>
      </c>
      <c r="BE396" s="1728" t="str">
        <f t="shared" si="630"/>
        <v>-</v>
      </c>
      <c r="BF396" s="1728" t="str">
        <f t="shared" si="630"/>
        <v>-</v>
      </c>
      <c r="BG396" s="1729" t="str">
        <f t="shared" si="630"/>
        <v>-</v>
      </c>
      <c r="BH396" s="1048"/>
      <c r="BI396" s="2297" t="str">
        <f t="shared" si="533"/>
        <v>Price</v>
      </c>
      <c r="BJ396" s="2298" t="str">
        <f t="shared" si="533"/>
        <v>[Service]</v>
      </c>
      <c r="BK396" s="1719" t="str">
        <f t="shared" si="533"/>
        <v>[Price]</v>
      </c>
      <c r="BL396" s="2299" t="str">
        <f t="shared" ref="BL396:BZ396" si="638">IF(OR(X396="",X396=0),"-",IFERROR((X396/W396-1)*(W398/W$13),"-"))</f>
        <v>-</v>
      </c>
      <c r="BM396" s="1053" t="str">
        <f t="shared" si="638"/>
        <v>-</v>
      </c>
      <c r="BN396" s="1053" t="str">
        <f t="shared" si="638"/>
        <v>-</v>
      </c>
      <c r="BO396" s="2302" t="str">
        <f t="shared" si="638"/>
        <v>-</v>
      </c>
      <c r="BP396" s="1053" t="str">
        <f t="shared" si="638"/>
        <v>-</v>
      </c>
      <c r="BQ396" s="2303" t="str">
        <f t="shared" si="638"/>
        <v>-</v>
      </c>
      <c r="BR396" s="1053" t="str">
        <f t="shared" si="638"/>
        <v>-</v>
      </c>
      <c r="BS396" s="1053" t="str">
        <f t="shared" si="638"/>
        <v>-</v>
      </c>
      <c r="BT396" s="1053" t="str">
        <f t="shared" si="638"/>
        <v>-</v>
      </c>
      <c r="BU396" s="1054" t="str">
        <f t="shared" si="638"/>
        <v>-</v>
      </c>
      <c r="BV396" s="1053" t="str">
        <f t="shared" si="638"/>
        <v>-</v>
      </c>
      <c r="BW396" s="1053" t="str">
        <f t="shared" si="638"/>
        <v>-</v>
      </c>
      <c r="BX396" s="1053" t="str">
        <f t="shared" si="638"/>
        <v>-</v>
      </c>
      <c r="BY396" s="1053" t="str">
        <f t="shared" si="638"/>
        <v>-</v>
      </c>
      <c r="BZ396" s="1054" t="str">
        <f t="shared" si="638"/>
        <v>-</v>
      </c>
      <c r="CA396" s="1048"/>
    </row>
    <row r="397" spans="3:79" x14ac:dyDescent="0.3">
      <c r="C397" s="126"/>
      <c r="D397" s="126"/>
      <c r="E397" s="558" t="s">
        <v>46</v>
      </c>
      <c r="F397" s="2161" t="str">
        <f t="shared" si="633"/>
        <v>[Service]</v>
      </c>
      <c r="G397" s="2163">
        <f t="shared" si="633"/>
        <v>0</v>
      </c>
      <c r="H397" s="2163">
        <f t="shared" si="633"/>
        <v>0</v>
      </c>
      <c r="I397" s="2164" t="str">
        <f t="shared" si="633"/>
        <v>[Price]</v>
      </c>
      <c r="J397" s="574" t="s">
        <v>323</v>
      </c>
      <c r="K397" s="1973"/>
      <c r="L397" s="1974"/>
      <c r="M397" s="1974"/>
      <c r="N397" s="1975"/>
      <c r="O397" s="1974"/>
      <c r="P397" s="1974"/>
      <c r="Q397" s="1974"/>
      <c r="R397" s="1976"/>
      <c r="S397" s="1975"/>
      <c r="T397" s="1974"/>
      <c r="U397" s="1974"/>
      <c r="V397" s="1974"/>
      <c r="W397" s="578"/>
      <c r="X397" s="1239"/>
      <c r="Y397" s="578"/>
      <c r="Z397" s="578"/>
      <c r="AA397" s="578"/>
      <c r="AB397" s="1143"/>
      <c r="AC397" s="578"/>
      <c r="AD397" s="578"/>
      <c r="AE397" s="578"/>
      <c r="AF397" s="578"/>
      <c r="AG397" s="580"/>
      <c r="AH397" s="578"/>
      <c r="AI397" s="578"/>
      <c r="AJ397" s="578"/>
      <c r="AK397" s="578"/>
      <c r="AL397" s="580"/>
      <c r="AM397" s="560"/>
      <c r="AN397" s="991"/>
      <c r="AO397" s="992"/>
      <c r="AP397" s="2285" t="str">
        <f t="shared" si="623"/>
        <v>Qty</v>
      </c>
      <c r="AQ397" s="2286" t="str">
        <f t="shared" si="623"/>
        <v>[Service]</v>
      </c>
      <c r="AR397" s="2287" t="str">
        <f t="shared" si="624"/>
        <v>[Price]</v>
      </c>
      <c r="AS397" s="2288" t="str">
        <f t="shared" si="630"/>
        <v>-</v>
      </c>
      <c r="AT397" s="1720" t="str">
        <f t="shared" si="630"/>
        <v>-</v>
      </c>
      <c r="AU397" s="1720" t="str">
        <f t="shared" si="630"/>
        <v>-</v>
      </c>
      <c r="AV397" s="2289" t="str">
        <f t="shared" si="630"/>
        <v>-</v>
      </c>
      <c r="AW397" s="1720" t="str">
        <f t="shared" si="630"/>
        <v>-</v>
      </c>
      <c r="AX397" s="2290" t="str">
        <f t="shared" si="630"/>
        <v>-</v>
      </c>
      <c r="AY397" s="1720" t="str">
        <f t="shared" si="630"/>
        <v>-</v>
      </c>
      <c r="AZ397" s="1720" t="str">
        <f t="shared" si="630"/>
        <v>-</v>
      </c>
      <c r="BA397" s="1720" t="str">
        <f t="shared" si="630"/>
        <v>-</v>
      </c>
      <c r="BB397" s="1721" t="str">
        <f t="shared" si="630"/>
        <v>-</v>
      </c>
      <c r="BC397" s="1720" t="str">
        <f t="shared" si="630"/>
        <v>-</v>
      </c>
      <c r="BD397" s="1720" t="str">
        <f t="shared" si="630"/>
        <v>-</v>
      </c>
      <c r="BE397" s="1720" t="str">
        <f t="shared" si="630"/>
        <v>-</v>
      </c>
      <c r="BF397" s="1720" t="str">
        <f t="shared" si="630"/>
        <v>-</v>
      </c>
      <c r="BG397" s="1721" t="str">
        <f t="shared" si="630"/>
        <v>-</v>
      </c>
      <c r="BH397" s="1048"/>
      <c r="BI397" s="2285" t="str">
        <f t="shared" si="533"/>
        <v>Qty</v>
      </c>
      <c r="BJ397" s="2286" t="str">
        <f t="shared" si="533"/>
        <v>[Service]</v>
      </c>
      <c r="BK397" s="2287" t="str">
        <f t="shared" si="533"/>
        <v>[Price]</v>
      </c>
      <c r="BL397" s="2288" t="str">
        <f t="shared" ref="BL397:BZ397" si="639">IF(OR(X397="",X397=0),"-",IFERROR((X397/W397-1)*(W398/W$13),"-"))</f>
        <v>-</v>
      </c>
      <c r="BM397" s="1720" t="str">
        <f t="shared" si="639"/>
        <v>-</v>
      </c>
      <c r="BN397" s="1720" t="str">
        <f t="shared" si="639"/>
        <v>-</v>
      </c>
      <c r="BO397" s="2289" t="str">
        <f t="shared" si="639"/>
        <v>-</v>
      </c>
      <c r="BP397" s="1720" t="str">
        <f t="shared" si="639"/>
        <v>-</v>
      </c>
      <c r="BQ397" s="2290" t="str">
        <f t="shared" si="639"/>
        <v>-</v>
      </c>
      <c r="BR397" s="1720" t="str">
        <f t="shared" si="639"/>
        <v>-</v>
      </c>
      <c r="BS397" s="1720" t="str">
        <f t="shared" si="639"/>
        <v>-</v>
      </c>
      <c r="BT397" s="1720" t="str">
        <f t="shared" si="639"/>
        <v>-</v>
      </c>
      <c r="BU397" s="1721" t="str">
        <f t="shared" si="639"/>
        <v>-</v>
      </c>
      <c r="BV397" s="1720" t="str">
        <f t="shared" si="639"/>
        <v>-</v>
      </c>
      <c r="BW397" s="1720" t="str">
        <f t="shared" si="639"/>
        <v>-</v>
      </c>
      <c r="BX397" s="1720" t="str">
        <f t="shared" si="639"/>
        <v>-</v>
      </c>
      <c r="BY397" s="1720" t="str">
        <f t="shared" si="639"/>
        <v>-</v>
      </c>
      <c r="BZ397" s="1721" t="str">
        <f t="shared" si="639"/>
        <v>-</v>
      </c>
      <c r="CA397" s="1048"/>
    </row>
    <row r="398" spans="3:79" ht="12.5" thickBot="1" x14ac:dyDescent="0.35">
      <c r="C398" s="126"/>
      <c r="D398" s="126"/>
      <c r="E398" s="559" t="s">
        <v>47</v>
      </c>
      <c r="F398" s="2162" t="str">
        <f t="shared" ref="F398:I398" si="640">+F396</f>
        <v>[Service]</v>
      </c>
      <c r="G398" s="2165">
        <f t="shared" si="640"/>
        <v>0</v>
      </c>
      <c r="H398" s="2165">
        <f t="shared" si="640"/>
        <v>0</v>
      </c>
      <c r="I398" s="2166" t="str">
        <f t="shared" si="640"/>
        <v>[Price]</v>
      </c>
      <c r="J398" s="2106" t="s">
        <v>347</v>
      </c>
      <c r="K398" s="1977"/>
      <c r="L398" s="1206"/>
      <c r="M398" s="1206"/>
      <c r="N398" s="1978"/>
      <c r="O398" s="1206"/>
      <c r="P398" s="1206"/>
      <c r="Q398" s="1206"/>
      <c r="R398" s="1206"/>
      <c r="S398" s="1978"/>
      <c r="T398" s="1206"/>
      <c r="U398" s="1206"/>
      <c r="V398" s="1206"/>
      <c r="W398" s="1731">
        <f t="shared" ref="W398:AG398" si="641">W396*W397/10^6</f>
        <v>0</v>
      </c>
      <c r="X398" s="1730">
        <f t="shared" si="641"/>
        <v>0</v>
      </c>
      <c r="Y398" s="1731">
        <f t="shared" si="641"/>
        <v>0</v>
      </c>
      <c r="Z398" s="1731">
        <f t="shared" si="641"/>
        <v>0</v>
      </c>
      <c r="AA398" s="1731">
        <f t="shared" si="641"/>
        <v>0</v>
      </c>
      <c r="AB398" s="1733">
        <f t="shared" si="641"/>
        <v>0</v>
      </c>
      <c r="AC398" s="1731">
        <f t="shared" si="641"/>
        <v>0</v>
      </c>
      <c r="AD398" s="1731">
        <f t="shared" si="641"/>
        <v>0</v>
      </c>
      <c r="AE398" s="1731">
        <f t="shared" si="641"/>
        <v>0</v>
      </c>
      <c r="AF398" s="1731">
        <f t="shared" si="641"/>
        <v>0</v>
      </c>
      <c r="AG398" s="1733">
        <f t="shared" si="641"/>
        <v>0</v>
      </c>
      <c r="AH398" s="1731">
        <f>AH396*AH397/10^6</f>
        <v>0</v>
      </c>
      <c r="AI398" s="1731">
        <f>AI396*AI397/10^6</f>
        <v>0</v>
      </c>
      <c r="AJ398" s="1731">
        <f>AJ396*AJ397/10^6</f>
        <v>0</v>
      </c>
      <c r="AK398" s="1731">
        <f>AK396*AK397/10^6</f>
        <v>0</v>
      </c>
      <c r="AL398" s="1733">
        <f>AL396*AL397/10^6</f>
        <v>0</v>
      </c>
      <c r="AM398" s="560"/>
      <c r="AN398" s="991"/>
      <c r="AO398" s="992"/>
      <c r="AP398" s="2304" t="str">
        <f t="shared" si="623"/>
        <v>Rev</v>
      </c>
      <c r="AQ398" s="2305" t="str">
        <f t="shared" si="623"/>
        <v>[Service]</v>
      </c>
      <c r="AR398" s="2306" t="str">
        <f t="shared" si="624"/>
        <v>[Price]</v>
      </c>
      <c r="AS398" s="2307" t="str">
        <f t="shared" si="630"/>
        <v>-</v>
      </c>
      <c r="AT398" s="1055" t="str">
        <f t="shared" si="630"/>
        <v>-</v>
      </c>
      <c r="AU398" s="1055" t="str">
        <f t="shared" si="630"/>
        <v>-</v>
      </c>
      <c r="AV398" s="2308" t="str">
        <f t="shared" si="630"/>
        <v>-</v>
      </c>
      <c r="AW398" s="1055" t="str">
        <f t="shared" si="630"/>
        <v>-</v>
      </c>
      <c r="AX398" s="2309" t="str">
        <f t="shared" si="630"/>
        <v>-</v>
      </c>
      <c r="AY398" s="1055" t="str">
        <f t="shared" si="630"/>
        <v>-</v>
      </c>
      <c r="AZ398" s="1055" t="str">
        <f t="shared" si="630"/>
        <v>-</v>
      </c>
      <c r="BA398" s="1055" t="str">
        <f t="shared" si="630"/>
        <v>-</v>
      </c>
      <c r="BB398" s="1056" t="str">
        <f t="shared" si="630"/>
        <v>-</v>
      </c>
      <c r="BC398" s="1055" t="str">
        <f t="shared" si="630"/>
        <v>-</v>
      </c>
      <c r="BD398" s="1055" t="str">
        <f t="shared" si="630"/>
        <v>-</v>
      </c>
      <c r="BE398" s="1055" t="str">
        <f t="shared" si="630"/>
        <v>-</v>
      </c>
      <c r="BF398" s="1055" t="str">
        <f t="shared" si="630"/>
        <v>-</v>
      </c>
      <c r="BG398" s="1056" t="str">
        <f t="shared" si="630"/>
        <v>-</v>
      </c>
      <c r="BH398" s="1048"/>
      <c r="BI398" s="2304" t="str">
        <f t="shared" si="533"/>
        <v>Rev</v>
      </c>
      <c r="BJ398" s="2305" t="str">
        <f t="shared" si="533"/>
        <v>[Service]</v>
      </c>
      <c r="BK398" s="2306" t="str">
        <f t="shared" si="533"/>
        <v>[Price]</v>
      </c>
      <c r="BL398" s="2307" t="str">
        <f t="shared" ref="BL398:BZ398" si="642">IF(OR(X398="",X398=0),"-",IFERROR((X398/W398-1)*(W398/W$13),"-"))</f>
        <v>-</v>
      </c>
      <c r="BM398" s="1055" t="str">
        <f t="shared" si="642"/>
        <v>-</v>
      </c>
      <c r="BN398" s="1055" t="str">
        <f t="shared" si="642"/>
        <v>-</v>
      </c>
      <c r="BO398" s="2308" t="str">
        <f t="shared" si="642"/>
        <v>-</v>
      </c>
      <c r="BP398" s="1055" t="str">
        <f t="shared" si="642"/>
        <v>-</v>
      </c>
      <c r="BQ398" s="2309" t="str">
        <f t="shared" si="642"/>
        <v>-</v>
      </c>
      <c r="BR398" s="1055" t="str">
        <f t="shared" si="642"/>
        <v>-</v>
      </c>
      <c r="BS398" s="1055" t="str">
        <f t="shared" si="642"/>
        <v>-</v>
      </c>
      <c r="BT398" s="1055" t="str">
        <f t="shared" si="642"/>
        <v>-</v>
      </c>
      <c r="BU398" s="1056" t="str">
        <f t="shared" si="642"/>
        <v>-</v>
      </c>
      <c r="BV398" s="1055" t="str">
        <f t="shared" si="642"/>
        <v>-</v>
      </c>
      <c r="BW398" s="1055" t="str">
        <f t="shared" si="642"/>
        <v>-</v>
      </c>
      <c r="BX398" s="1055" t="str">
        <f t="shared" si="642"/>
        <v>-</v>
      </c>
      <c r="BY398" s="1055" t="str">
        <f t="shared" si="642"/>
        <v>-</v>
      </c>
      <c r="BZ398" s="1056" t="str">
        <f t="shared" si="642"/>
        <v>-</v>
      </c>
      <c r="CA398" s="1048"/>
    </row>
    <row r="399" spans="3:79" x14ac:dyDescent="0.3">
      <c r="C399" s="126"/>
      <c r="D399" s="126">
        <f>D396+1</f>
        <v>111</v>
      </c>
      <c r="E399" s="553" t="s">
        <v>45</v>
      </c>
      <c r="F399" s="2105" t="s">
        <v>28</v>
      </c>
      <c r="G399" s="2105"/>
      <c r="H399" s="2105"/>
      <c r="I399" s="573" t="s">
        <v>319</v>
      </c>
      <c r="J399" s="573" t="s">
        <v>348</v>
      </c>
      <c r="K399" s="1969"/>
      <c r="L399" s="1970"/>
      <c r="M399" s="1970"/>
      <c r="N399" s="1971"/>
      <c r="O399" s="1970"/>
      <c r="P399" s="1970"/>
      <c r="Q399" s="1970"/>
      <c r="R399" s="1972"/>
      <c r="S399" s="1971"/>
      <c r="T399" s="1970"/>
      <c r="U399" s="1970"/>
      <c r="V399" s="1970"/>
      <c r="W399" s="575"/>
      <c r="X399" s="1238"/>
      <c r="Y399" s="575"/>
      <c r="Z399" s="575"/>
      <c r="AA399" s="575"/>
      <c r="AB399" s="1142"/>
      <c r="AC399" s="575"/>
      <c r="AD399" s="575"/>
      <c r="AE399" s="575"/>
      <c r="AF399" s="575"/>
      <c r="AG399" s="577"/>
      <c r="AH399" s="575"/>
      <c r="AI399" s="575"/>
      <c r="AJ399" s="575"/>
      <c r="AK399" s="575"/>
      <c r="AL399" s="577"/>
      <c r="AM399" s="560"/>
      <c r="AN399" s="1052"/>
      <c r="AO399" s="992"/>
      <c r="AP399" s="2297" t="str">
        <f t="shared" si="623"/>
        <v>Price</v>
      </c>
      <c r="AQ399" s="2298" t="str">
        <f t="shared" si="623"/>
        <v>[Service]</v>
      </c>
      <c r="AR399" s="1719" t="str">
        <f t="shared" si="624"/>
        <v>[Price]</v>
      </c>
      <c r="AS399" s="2299" t="str">
        <f t="shared" si="630"/>
        <v>-</v>
      </c>
      <c r="AT399" s="1728" t="str">
        <f t="shared" si="630"/>
        <v>-</v>
      </c>
      <c r="AU399" s="1728" t="str">
        <f t="shared" si="630"/>
        <v>-</v>
      </c>
      <c r="AV399" s="2300" t="str">
        <f t="shared" si="630"/>
        <v>-</v>
      </c>
      <c r="AW399" s="1728" t="str">
        <f t="shared" si="630"/>
        <v>-</v>
      </c>
      <c r="AX399" s="2301" t="str">
        <f t="shared" si="630"/>
        <v>-</v>
      </c>
      <c r="AY399" s="1728" t="str">
        <f t="shared" si="630"/>
        <v>-</v>
      </c>
      <c r="AZ399" s="1728" t="str">
        <f t="shared" si="630"/>
        <v>-</v>
      </c>
      <c r="BA399" s="1728" t="str">
        <f t="shared" si="630"/>
        <v>-</v>
      </c>
      <c r="BB399" s="1729" t="str">
        <f t="shared" si="630"/>
        <v>-</v>
      </c>
      <c r="BC399" s="1728" t="str">
        <f t="shared" si="630"/>
        <v>-</v>
      </c>
      <c r="BD399" s="1728" t="str">
        <f t="shared" si="630"/>
        <v>-</v>
      </c>
      <c r="BE399" s="1728" t="str">
        <f t="shared" si="630"/>
        <v>-</v>
      </c>
      <c r="BF399" s="1728" t="str">
        <f t="shared" si="630"/>
        <v>-</v>
      </c>
      <c r="BG399" s="1729" t="str">
        <f t="shared" si="630"/>
        <v>-</v>
      </c>
      <c r="BH399" s="1048"/>
      <c r="BI399" s="2297" t="str">
        <f t="shared" si="533"/>
        <v>Price</v>
      </c>
      <c r="BJ399" s="2298" t="str">
        <f t="shared" si="533"/>
        <v>[Service]</v>
      </c>
      <c r="BK399" s="1719" t="str">
        <f t="shared" si="533"/>
        <v>[Price]</v>
      </c>
      <c r="BL399" s="2299" t="str">
        <f t="shared" ref="BL399:BZ399" si="643">IF(OR(X399="",X399=0),"-",IFERROR((X399/W399-1)*(W401/W$13),"-"))</f>
        <v>-</v>
      </c>
      <c r="BM399" s="1053" t="str">
        <f t="shared" si="643"/>
        <v>-</v>
      </c>
      <c r="BN399" s="1053" t="str">
        <f t="shared" si="643"/>
        <v>-</v>
      </c>
      <c r="BO399" s="2302" t="str">
        <f t="shared" si="643"/>
        <v>-</v>
      </c>
      <c r="BP399" s="1053" t="str">
        <f t="shared" si="643"/>
        <v>-</v>
      </c>
      <c r="BQ399" s="2303" t="str">
        <f t="shared" si="643"/>
        <v>-</v>
      </c>
      <c r="BR399" s="1053" t="str">
        <f t="shared" si="643"/>
        <v>-</v>
      </c>
      <c r="BS399" s="1053" t="str">
        <f t="shared" si="643"/>
        <v>-</v>
      </c>
      <c r="BT399" s="1053" t="str">
        <f t="shared" si="643"/>
        <v>-</v>
      </c>
      <c r="BU399" s="1054" t="str">
        <f t="shared" si="643"/>
        <v>-</v>
      </c>
      <c r="BV399" s="1053" t="str">
        <f t="shared" si="643"/>
        <v>-</v>
      </c>
      <c r="BW399" s="1053" t="str">
        <f t="shared" si="643"/>
        <v>-</v>
      </c>
      <c r="BX399" s="1053" t="str">
        <f t="shared" si="643"/>
        <v>-</v>
      </c>
      <c r="BY399" s="1053" t="str">
        <f t="shared" si="643"/>
        <v>-</v>
      </c>
      <c r="BZ399" s="1054" t="str">
        <f t="shared" si="643"/>
        <v>-</v>
      </c>
      <c r="CA399" s="1048"/>
    </row>
    <row r="400" spans="3:79" x14ac:dyDescent="0.3">
      <c r="C400" s="126"/>
      <c r="D400" s="126"/>
      <c r="E400" s="558" t="s">
        <v>46</v>
      </c>
      <c r="F400" s="2161" t="str">
        <f t="shared" si="633"/>
        <v>[Service]</v>
      </c>
      <c r="G400" s="2163">
        <f t="shared" si="633"/>
        <v>0</v>
      </c>
      <c r="H400" s="2163">
        <f t="shared" si="633"/>
        <v>0</v>
      </c>
      <c r="I400" s="2164" t="str">
        <f t="shared" si="633"/>
        <v>[Price]</v>
      </c>
      <c r="J400" s="574" t="s">
        <v>323</v>
      </c>
      <c r="K400" s="1973"/>
      <c r="L400" s="1974"/>
      <c r="M400" s="1974"/>
      <c r="N400" s="1975"/>
      <c r="O400" s="1974"/>
      <c r="P400" s="1974"/>
      <c r="Q400" s="1974"/>
      <c r="R400" s="1976"/>
      <c r="S400" s="1975"/>
      <c r="T400" s="1974"/>
      <c r="U400" s="1974"/>
      <c r="V400" s="1974"/>
      <c r="W400" s="578"/>
      <c r="X400" s="1239"/>
      <c r="Y400" s="578"/>
      <c r="Z400" s="578"/>
      <c r="AA400" s="578"/>
      <c r="AB400" s="1143"/>
      <c r="AC400" s="578"/>
      <c r="AD400" s="578"/>
      <c r="AE400" s="578"/>
      <c r="AF400" s="578"/>
      <c r="AG400" s="580"/>
      <c r="AH400" s="578"/>
      <c r="AI400" s="578"/>
      <c r="AJ400" s="578"/>
      <c r="AK400" s="578"/>
      <c r="AL400" s="580"/>
      <c r="AM400" s="560"/>
      <c r="AN400" s="991"/>
      <c r="AO400" s="992"/>
      <c r="AP400" s="2285" t="str">
        <f t="shared" si="623"/>
        <v>Qty</v>
      </c>
      <c r="AQ400" s="2286" t="str">
        <f t="shared" si="623"/>
        <v>[Service]</v>
      </c>
      <c r="AR400" s="2287" t="str">
        <f t="shared" si="624"/>
        <v>[Price]</v>
      </c>
      <c r="AS400" s="2288" t="str">
        <f t="shared" si="630"/>
        <v>-</v>
      </c>
      <c r="AT400" s="1720" t="str">
        <f t="shared" si="630"/>
        <v>-</v>
      </c>
      <c r="AU400" s="1720" t="str">
        <f t="shared" si="630"/>
        <v>-</v>
      </c>
      <c r="AV400" s="2289" t="str">
        <f t="shared" si="630"/>
        <v>-</v>
      </c>
      <c r="AW400" s="1720" t="str">
        <f t="shared" si="630"/>
        <v>-</v>
      </c>
      <c r="AX400" s="2290" t="str">
        <f t="shared" si="630"/>
        <v>-</v>
      </c>
      <c r="AY400" s="1720" t="str">
        <f t="shared" si="630"/>
        <v>-</v>
      </c>
      <c r="AZ400" s="1720" t="str">
        <f t="shared" si="630"/>
        <v>-</v>
      </c>
      <c r="BA400" s="1720" t="str">
        <f t="shared" si="630"/>
        <v>-</v>
      </c>
      <c r="BB400" s="1721" t="str">
        <f t="shared" si="630"/>
        <v>-</v>
      </c>
      <c r="BC400" s="1720" t="str">
        <f t="shared" si="630"/>
        <v>-</v>
      </c>
      <c r="BD400" s="1720" t="str">
        <f t="shared" si="630"/>
        <v>-</v>
      </c>
      <c r="BE400" s="1720" t="str">
        <f t="shared" si="630"/>
        <v>-</v>
      </c>
      <c r="BF400" s="1720" t="str">
        <f t="shared" si="630"/>
        <v>-</v>
      </c>
      <c r="BG400" s="1721" t="str">
        <f t="shared" si="630"/>
        <v>-</v>
      </c>
      <c r="BH400" s="1048"/>
      <c r="BI400" s="2285" t="str">
        <f t="shared" si="533"/>
        <v>Qty</v>
      </c>
      <c r="BJ400" s="2286" t="str">
        <f t="shared" si="533"/>
        <v>[Service]</v>
      </c>
      <c r="BK400" s="2287" t="str">
        <f t="shared" si="533"/>
        <v>[Price]</v>
      </c>
      <c r="BL400" s="2288" t="str">
        <f t="shared" ref="BL400:BZ400" si="644">IF(OR(X400="",X400=0),"-",IFERROR((X400/W400-1)*(W401/W$13),"-"))</f>
        <v>-</v>
      </c>
      <c r="BM400" s="1720" t="str">
        <f t="shared" si="644"/>
        <v>-</v>
      </c>
      <c r="BN400" s="1720" t="str">
        <f t="shared" si="644"/>
        <v>-</v>
      </c>
      <c r="BO400" s="2289" t="str">
        <f t="shared" si="644"/>
        <v>-</v>
      </c>
      <c r="BP400" s="1720" t="str">
        <f t="shared" si="644"/>
        <v>-</v>
      </c>
      <c r="BQ400" s="2290" t="str">
        <f t="shared" si="644"/>
        <v>-</v>
      </c>
      <c r="BR400" s="1720" t="str">
        <f t="shared" si="644"/>
        <v>-</v>
      </c>
      <c r="BS400" s="1720" t="str">
        <f t="shared" si="644"/>
        <v>-</v>
      </c>
      <c r="BT400" s="1720" t="str">
        <f t="shared" si="644"/>
        <v>-</v>
      </c>
      <c r="BU400" s="1721" t="str">
        <f t="shared" si="644"/>
        <v>-</v>
      </c>
      <c r="BV400" s="1720" t="str">
        <f t="shared" si="644"/>
        <v>-</v>
      </c>
      <c r="BW400" s="1720" t="str">
        <f t="shared" si="644"/>
        <v>-</v>
      </c>
      <c r="BX400" s="1720" t="str">
        <f t="shared" si="644"/>
        <v>-</v>
      </c>
      <c r="BY400" s="1720" t="str">
        <f t="shared" si="644"/>
        <v>-</v>
      </c>
      <c r="BZ400" s="1721" t="str">
        <f t="shared" si="644"/>
        <v>-</v>
      </c>
      <c r="CA400" s="1048"/>
    </row>
    <row r="401" spans="3:79" ht="12.5" thickBot="1" x14ac:dyDescent="0.35">
      <c r="C401" s="126"/>
      <c r="D401" s="126"/>
      <c r="E401" s="559" t="s">
        <v>47</v>
      </c>
      <c r="F401" s="2162" t="str">
        <f t="shared" ref="F401:I401" si="645">+F399</f>
        <v>[Service]</v>
      </c>
      <c r="G401" s="2165">
        <f t="shared" si="645"/>
        <v>0</v>
      </c>
      <c r="H401" s="2165">
        <f t="shared" si="645"/>
        <v>0</v>
      </c>
      <c r="I401" s="2166" t="str">
        <f t="shared" si="645"/>
        <v>[Price]</v>
      </c>
      <c r="J401" s="2106" t="s">
        <v>347</v>
      </c>
      <c r="K401" s="1977"/>
      <c r="L401" s="1206"/>
      <c r="M401" s="1206"/>
      <c r="N401" s="1978"/>
      <c r="O401" s="1206"/>
      <c r="P401" s="1206"/>
      <c r="Q401" s="1206"/>
      <c r="R401" s="1206"/>
      <c r="S401" s="1978"/>
      <c r="T401" s="1206"/>
      <c r="U401" s="1206"/>
      <c r="V401" s="1206"/>
      <c r="W401" s="1731">
        <f t="shared" ref="W401:AG401" si="646">W399*W400/10^6</f>
        <v>0</v>
      </c>
      <c r="X401" s="1730">
        <f t="shared" si="646"/>
        <v>0</v>
      </c>
      <c r="Y401" s="1731">
        <f t="shared" si="646"/>
        <v>0</v>
      </c>
      <c r="Z401" s="1731">
        <f t="shared" si="646"/>
        <v>0</v>
      </c>
      <c r="AA401" s="1731">
        <f t="shared" si="646"/>
        <v>0</v>
      </c>
      <c r="AB401" s="1733">
        <f t="shared" si="646"/>
        <v>0</v>
      </c>
      <c r="AC401" s="1731">
        <f t="shared" si="646"/>
        <v>0</v>
      </c>
      <c r="AD401" s="1731">
        <f t="shared" si="646"/>
        <v>0</v>
      </c>
      <c r="AE401" s="1731">
        <f t="shared" si="646"/>
        <v>0</v>
      </c>
      <c r="AF401" s="1731">
        <f t="shared" si="646"/>
        <v>0</v>
      </c>
      <c r="AG401" s="1733">
        <f t="shared" si="646"/>
        <v>0</v>
      </c>
      <c r="AH401" s="1731">
        <f>AH399*AH400/10^6</f>
        <v>0</v>
      </c>
      <c r="AI401" s="1731">
        <f>AI399*AI400/10^6</f>
        <v>0</v>
      </c>
      <c r="AJ401" s="1731">
        <f>AJ399*AJ400/10^6</f>
        <v>0</v>
      </c>
      <c r="AK401" s="1731">
        <f>AK399*AK400/10^6</f>
        <v>0</v>
      </c>
      <c r="AL401" s="1733">
        <f>AL399*AL400/10^6</f>
        <v>0</v>
      </c>
      <c r="AM401" s="560"/>
      <c r="AN401" s="991"/>
      <c r="AO401" s="992"/>
      <c r="AP401" s="2304" t="str">
        <f t="shared" si="623"/>
        <v>Rev</v>
      </c>
      <c r="AQ401" s="2305" t="str">
        <f t="shared" si="623"/>
        <v>[Service]</v>
      </c>
      <c r="AR401" s="2306" t="str">
        <f t="shared" si="624"/>
        <v>[Price]</v>
      </c>
      <c r="AS401" s="2307" t="str">
        <f t="shared" si="630"/>
        <v>-</v>
      </c>
      <c r="AT401" s="1055" t="str">
        <f t="shared" si="630"/>
        <v>-</v>
      </c>
      <c r="AU401" s="1055" t="str">
        <f t="shared" si="630"/>
        <v>-</v>
      </c>
      <c r="AV401" s="2308" t="str">
        <f t="shared" si="630"/>
        <v>-</v>
      </c>
      <c r="AW401" s="1055" t="str">
        <f t="shared" si="630"/>
        <v>-</v>
      </c>
      <c r="AX401" s="2309" t="str">
        <f t="shared" si="630"/>
        <v>-</v>
      </c>
      <c r="AY401" s="1055" t="str">
        <f t="shared" si="630"/>
        <v>-</v>
      </c>
      <c r="AZ401" s="1055" t="str">
        <f t="shared" si="630"/>
        <v>-</v>
      </c>
      <c r="BA401" s="1055" t="str">
        <f t="shared" si="630"/>
        <v>-</v>
      </c>
      <c r="BB401" s="1056" t="str">
        <f t="shared" si="630"/>
        <v>-</v>
      </c>
      <c r="BC401" s="1055" t="str">
        <f t="shared" si="630"/>
        <v>-</v>
      </c>
      <c r="BD401" s="1055" t="str">
        <f t="shared" si="630"/>
        <v>-</v>
      </c>
      <c r="BE401" s="1055" t="str">
        <f t="shared" si="630"/>
        <v>-</v>
      </c>
      <c r="BF401" s="1055" t="str">
        <f t="shared" si="630"/>
        <v>-</v>
      </c>
      <c r="BG401" s="1056" t="str">
        <f t="shared" si="630"/>
        <v>-</v>
      </c>
      <c r="BH401" s="1048"/>
      <c r="BI401" s="2304" t="str">
        <f t="shared" si="533"/>
        <v>Rev</v>
      </c>
      <c r="BJ401" s="2305" t="str">
        <f t="shared" si="533"/>
        <v>[Service]</v>
      </c>
      <c r="BK401" s="2306" t="str">
        <f t="shared" si="533"/>
        <v>[Price]</v>
      </c>
      <c r="BL401" s="2307" t="str">
        <f t="shared" ref="BL401:BZ401" si="647">IF(OR(X401="",X401=0),"-",IFERROR((X401/W401-1)*(W401/W$13),"-"))</f>
        <v>-</v>
      </c>
      <c r="BM401" s="1055" t="str">
        <f t="shared" si="647"/>
        <v>-</v>
      </c>
      <c r="BN401" s="1055" t="str">
        <f t="shared" si="647"/>
        <v>-</v>
      </c>
      <c r="BO401" s="2308" t="str">
        <f t="shared" si="647"/>
        <v>-</v>
      </c>
      <c r="BP401" s="1055" t="str">
        <f t="shared" si="647"/>
        <v>-</v>
      </c>
      <c r="BQ401" s="2309" t="str">
        <f t="shared" si="647"/>
        <v>-</v>
      </c>
      <c r="BR401" s="1055" t="str">
        <f t="shared" si="647"/>
        <v>-</v>
      </c>
      <c r="BS401" s="1055" t="str">
        <f t="shared" si="647"/>
        <v>-</v>
      </c>
      <c r="BT401" s="1055" t="str">
        <f t="shared" si="647"/>
        <v>-</v>
      </c>
      <c r="BU401" s="1056" t="str">
        <f t="shared" si="647"/>
        <v>-</v>
      </c>
      <c r="BV401" s="1055" t="str">
        <f t="shared" si="647"/>
        <v>-</v>
      </c>
      <c r="BW401" s="1055" t="str">
        <f t="shared" si="647"/>
        <v>-</v>
      </c>
      <c r="BX401" s="1055" t="str">
        <f t="shared" si="647"/>
        <v>-</v>
      </c>
      <c r="BY401" s="1055" t="str">
        <f t="shared" si="647"/>
        <v>-</v>
      </c>
      <c r="BZ401" s="1056" t="str">
        <f t="shared" si="647"/>
        <v>-</v>
      </c>
      <c r="CA401" s="1048"/>
    </row>
    <row r="402" spans="3:79" x14ac:dyDescent="0.3">
      <c r="C402" s="126"/>
      <c r="D402" s="126">
        <f>D399+1</f>
        <v>112</v>
      </c>
      <c r="E402" s="553" t="s">
        <v>45</v>
      </c>
      <c r="F402" s="2105" t="s">
        <v>28</v>
      </c>
      <c r="G402" s="2105"/>
      <c r="H402" s="2105"/>
      <c r="I402" s="573" t="s">
        <v>319</v>
      </c>
      <c r="J402" s="573" t="s">
        <v>348</v>
      </c>
      <c r="K402" s="1969"/>
      <c r="L402" s="1970"/>
      <c r="M402" s="1970"/>
      <c r="N402" s="1971"/>
      <c r="O402" s="1970"/>
      <c r="P402" s="1970"/>
      <c r="Q402" s="1970"/>
      <c r="R402" s="1972"/>
      <c r="S402" s="1971"/>
      <c r="T402" s="1970"/>
      <c r="U402" s="1970"/>
      <c r="V402" s="1970"/>
      <c r="W402" s="575"/>
      <c r="X402" s="1238"/>
      <c r="Y402" s="575"/>
      <c r="Z402" s="575"/>
      <c r="AA402" s="575"/>
      <c r="AB402" s="1142"/>
      <c r="AC402" s="575"/>
      <c r="AD402" s="575"/>
      <c r="AE402" s="575"/>
      <c r="AF402" s="575"/>
      <c r="AG402" s="577"/>
      <c r="AH402" s="575"/>
      <c r="AI402" s="575"/>
      <c r="AJ402" s="575"/>
      <c r="AK402" s="575"/>
      <c r="AL402" s="577"/>
      <c r="AM402" s="560"/>
      <c r="AN402" s="1052"/>
      <c r="AO402" s="992"/>
      <c r="AP402" s="2297" t="str">
        <f t="shared" si="623"/>
        <v>Price</v>
      </c>
      <c r="AQ402" s="2298" t="str">
        <f t="shared" si="623"/>
        <v>[Service]</v>
      </c>
      <c r="AR402" s="1719" t="str">
        <f t="shared" si="624"/>
        <v>[Price]</v>
      </c>
      <c r="AS402" s="2299" t="str">
        <f t="shared" si="630"/>
        <v>-</v>
      </c>
      <c r="AT402" s="1728" t="str">
        <f t="shared" si="630"/>
        <v>-</v>
      </c>
      <c r="AU402" s="1728" t="str">
        <f t="shared" si="630"/>
        <v>-</v>
      </c>
      <c r="AV402" s="2300" t="str">
        <f t="shared" si="630"/>
        <v>-</v>
      </c>
      <c r="AW402" s="1728" t="str">
        <f t="shared" si="630"/>
        <v>-</v>
      </c>
      <c r="AX402" s="2301" t="str">
        <f t="shared" si="630"/>
        <v>-</v>
      </c>
      <c r="AY402" s="1728" t="str">
        <f t="shared" si="630"/>
        <v>-</v>
      </c>
      <c r="AZ402" s="1728" t="str">
        <f t="shared" si="630"/>
        <v>-</v>
      </c>
      <c r="BA402" s="1728" t="str">
        <f t="shared" si="630"/>
        <v>-</v>
      </c>
      <c r="BB402" s="1729" t="str">
        <f t="shared" si="630"/>
        <v>-</v>
      </c>
      <c r="BC402" s="1728" t="str">
        <f t="shared" si="630"/>
        <v>-</v>
      </c>
      <c r="BD402" s="1728" t="str">
        <f t="shared" si="630"/>
        <v>-</v>
      </c>
      <c r="BE402" s="1728" t="str">
        <f t="shared" si="630"/>
        <v>-</v>
      </c>
      <c r="BF402" s="1728" t="str">
        <f t="shared" si="630"/>
        <v>-</v>
      </c>
      <c r="BG402" s="1729" t="str">
        <f t="shared" si="630"/>
        <v>-</v>
      </c>
      <c r="BH402" s="1048"/>
      <c r="BI402" s="2297" t="str">
        <f t="shared" si="533"/>
        <v>Price</v>
      </c>
      <c r="BJ402" s="2298" t="str">
        <f t="shared" si="533"/>
        <v>[Service]</v>
      </c>
      <c r="BK402" s="1719" t="str">
        <f t="shared" si="533"/>
        <v>[Price]</v>
      </c>
      <c r="BL402" s="2299" t="str">
        <f t="shared" ref="BL402:BZ402" si="648">IF(OR(X402="",X402=0),"-",IFERROR((X402/W402-1)*(W404/W$13),"-"))</f>
        <v>-</v>
      </c>
      <c r="BM402" s="1053" t="str">
        <f t="shared" si="648"/>
        <v>-</v>
      </c>
      <c r="BN402" s="1053" t="str">
        <f t="shared" si="648"/>
        <v>-</v>
      </c>
      <c r="BO402" s="2302" t="str">
        <f t="shared" si="648"/>
        <v>-</v>
      </c>
      <c r="BP402" s="1053" t="str">
        <f t="shared" si="648"/>
        <v>-</v>
      </c>
      <c r="BQ402" s="2303" t="str">
        <f t="shared" si="648"/>
        <v>-</v>
      </c>
      <c r="BR402" s="1053" t="str">
        <f t="shared" si="648"/>
        <v>-</v>
      </c>
      <c r="BS402" s="1053" t="str">
        <f t="shared" si="648"/>
        <v>-</v>
      </c>
      <c r="BT402" s="1053" t="str">
        <f t="shared" si="648"/>
        <v>-</v>
      </c>
      <c r="BU402" s="1054" t="str">
        <f t="shared" si="648"/>
        <v>-</v>
      </c>
      <c r="BV402" s="1053" t="str">
        <f t="shared" si="648"/>
        <v>-</v>
      </c>
      <c r="BW402" s="1053" t="str">
        <f t="shared" si="648"/>
        <v>-</v>
      </c>
      <c r="BX402" s="1053" t="str">
        <f t="shared" si="648"/>
        <v>-</v>
      </c>
      <c r="BY402" s="1053" t="str">
        <f t="shared" si="648"/>
        <v>-</v>
      </c>
      <c r="BZ402" s="1054" t="str">
        <f t="shared" si="648"/>
        <v>-</v>
      </c>
      <c r="CA402" s="1048"/>
    </row>
    <row r="403" spans="3:79" x14ac:dyDescent="0.3">
      <c r="C403" s="126"/>
      <c r="D403" s="126"/>
      <c r="E403" s="558" t="s">
        <v>46</v>
      </c>
      <c r="F403" s="2161" t="str">
        <f t="shared" si="633"/>
        <v>[Service]</v>
      </c>
      <c r="G403" s="2163">
        <f t="shared" si="633"/>
        <v>0</v>
      </c>
      <c r="H403" s="2163">
        <f t="shared" si="633"/>
        <v>0</v>
      </c>
      <c r="I403" s="2164" t="str">
        <f t="shared" si="633"/>
        <v>[Price]</v>
      </c>
      <c r="J403" s="574" t="s">
        <v>323</v>
      </c>
      <c r="K403" s="1973"/>
      <c r="L403" s="1974"/>
      <c r="M403" s="1974"/>
      <c r="N403" s="1975"/>
      <c r="O403" s="1974"/>
      <c r="P403" s="1974"/>
      <c r="Q403" s="1974"/>
      <c r="R403" s="1976"/>
      <c r="S403" s="1975"/>
      <c r="T403" s="1974"/>
      <c r="U403" s="1974"/>
      <c r="V403" s="1974"/>
      <c r="W403" s="578"/>
      <c r="X403" s="1239"/>
      <c r="Y403" s="578"/>
      <c r="Z403" s="578"/>
      <c r="AA403" s="578"/>
      <c r="AB403" s="1143"/>
      <c r="AC403" s="578"/>
      <c r="AD403" s="578"/>
      <c r="AE403" s="578"/>
      <c r="AF403" s="578"/>
      <c r="AG403" s="580"/>
      <c r="AH403" s="578"/>
      <c r="AI403" s="578"/>
      <c r="AJ403" s="578"/>
      <c r="AK403" s="578"/>
      <c r="AL403" s="580"/>
      <c r="AM403" s="560"/>
      <c r="AN403" s="991"/>
      <c r="AO403" s="992"/>
      <c r="AP403" s="2285" t="str">
        <f t="shared" si="623"/>
        <v>Qty</v>
      </c>
      <c r="AQ403" s="2286" t="str">
        <f t="shared" si="623"/>
        <v>[Service]</v>
      </c>
      <c r="AR403" s="2287" t="str">
        <f t="shared" si="624"/>
        <v>[Price]</v>
      </c>
      <c r="AS403" s="2288" t="str">
        <f t="shared" si="630"/>
        <v>-</v>
      </c>
      <c r="AT403" s="1720" t="str">
        <f t="shared" si="630"/>
        <v>-</v>
      </c>
      <c r="AU403" s="1720" t="str">
        <f t="shared" si="630"/>
        <v>-</v>
      </c>
      <c r="AV403" s="2289" t="str">
        <f t="shared" si="630"/>
        <v>-</v>
      </c>
      <c r="AW403" s="1720" t="str">
        <f t="shared" si="630"/>
        <v>-</v>
      </c>
      <c r="AX403" s="2290" t="str">
        <f t="shared" si="630"/>
        <v>-</v>
      </c>
      <c r="AY403" s="1720" t="str">
        <f t="shared" si="630"/>
        <v>-</v>
      </c>
      <c r="AZ403" s="1720" t="str">
        <f t="shared" si="630"/>
        <v>-</v>
      </c>
      <c r="BA403" s="1720" t="str">
        <f t="shared" si="630"/>
        <v>-</v>
      </c>
      <c r="BB403" s="1721" t="str">
        <f t="shared" si="630"/>
        <v>-</v>
      </c>
      <c r="BC403" s="1720" t="str">
        <f t="shared" si="630"/>
        <v>-</v>
      </c>
      <c r="BD403" s="1720" t="str">
        <f t="shared" si="630"/>
        <v>-</v>
      </c>
      <c r="BE403" s="1720" t="str">
        <f t="shared" si="630"/>
        <v>-</v>
      </c>
      <c r="BF403" s="1720" t="str">
        <f t="shared" si="630"/>
        <v>-</v>
      </c>
      <c r="BG403" s="1721" t="str">
        <f t="shared" si="630"/>
        <v>-</v>
      </c>
      <c r="BH403" s="1048"/>
      <c r="BI403" s="2285" t="str">
        <f t="shared" si="533"/>
        <v>Qty</v>
      </c>
      <c r="BJ403" s="2286" t="str">
        <f t="shared" si="533"/>
        <v>[Service]</v>
      </c>
      <c r="BK403" s="2287" t="str">
        <f t="shared" si="533"/>
        <v>[Price]</v>
      </c>
      <c r="BL403" s="2288" t="str">
        <f t="shared" ref="BL403:BZ403" si="649">IF(OR(X403="",X403=0),"-",IFERROR((X403/W403-1)*(W404/W$13),"-"))</f>
        <v>-</v>
      </c>
      <c r="BM403" s="1720" t="str">
        <f t="shared" si="649"/>
        <v>-</v>
      </c>
      <c r="BN403" s="1720" t="str">
        <f t="shared" si="649"/>
        <v>-</v>
      </c>
      <c r="BO403" s="2289" t="str">
        <f t="shared" si="649"/>
        <v>-</v>
      </c>
      <c r="BP403" s="1720" t="str">
        <f t="shared" si="649"/>
        <v>-</v>
      </c>
      <c r="BQ403" s="2290" t="str">
        <f t="shared" si="649"/>
        <v>-</v>
      </c>
      <c r="BR403" s="1720" t="str">
        <f t="shared" si="649"/>
        <v>-</v>
      </c>
      <c r="BS403" s="1720" t="str">
        <f t="shared" si="649"/>
        <v>-</v>
      </c>
      <c r="BT403" s="1720" t="str">
        <f t="shared" si="649"/>
        <v>-</v>
      </c>
      <c r="BU403" s="1721" t="str">
        <f t="shared" si="649"/>
        <v>-</v>
      </c>
      <c r="BV403" s="1720" t="str">
        <f t="shared" si="649"/>
        <v>-</v>
      </c>
      <c r="BW403" s="1720" t="str">
        <f t="shared" si="649"/>
        <v>-</v>
      </c>
      <c r="BX403" s="1720" t="str">
        <f t="shared" si="649"/>
        <v>-</v>
      </c>
      <c r="BY403" s="1720" t="str">
        <f t="shared" si="649"/>
        <v>-</v>
      </c>
      <c r="BZ403" s="1721" t="str">
        <f t="shared" si="649"/>
        <v>-</v>
      </c>
      <c r="CA403" s="1048"/>
    </row>
    <row r="404" spans="3:79" ht="12.5" thickBot="1" x14ac:dyDescent="0.35">
      <c r="C404" s="126"/>
      <c r="D404" s="126"/>
      <c r="E404" s="559" t="s">
        <v>47</v>
      </c>
      <c r="F404" s="2162" t="str">
        <f t="shared" ref="F404:I404" si="650">+F402</f>
        <v>[Service]</v>
      </c>
      <c r="G404" s="2165">
        <f t="shared" si="650"/>
        <v>0</v>
      </c>
      <c r="H404" s="2165">
        <f t="shared" si="650"/>
        <v>0</v>
      </c>
      <c r="I404" s="2166" t="str">
        <f t="shared" si="650"/>
        <v>[Price]</v>
      </c>
      <c r="J404" s="2106" t="s">
        <v>347</v>
      </c>
      <c r="K404" s="1977"/>
      <c r="L404" s="1206"/>
      <c r="M404" s="1206"/>
      <c r="N404" s="1978"/>
      <c r="O404" s="1206"/>
      <c r="P404" s="1206"/>
      <c r="Q404" s="1206"/>
      <c r="R404" s="1206"/>
      <c r="S404" s="1978"/>
      <c r="T404" s="1206"/>
      <c r="U404" s="1206"/>
      <c r="V404" s="1206"/>
      <c r="W404" s="1731">
        <f t="shared" ref="W404:AG404" si="651">W402*W403/10^6</f>
        <v>0</v>
      </c>
      <c r="X404" s="1730">
        <f t="shared" si="651"/>
        <v>0</v>
      </c>
      <c r="Y404" s="1731">
        <f t="shared" si="651"/>
        <v>0</v>
      </c>
      <c r="Z404" s="1731">
        <f t="shared" si="651"/>
        <v>0</v>
      </c>
      <c r="AA404" s="1731">
        <f t="shared" si="651"/>
        <v>0</v>
      </c>
      <c r="AB404" s="1733">
        <f t="shared" si="651"/>
        <v>0</v>
      </c>
      <c r="AC404" s="1731">
        <f t="shared" si="651"/>
        <v>0</v>
      </c>
      <c r="AD404" s="1731">
        <f t="shared" si="651"/>
        <v>0</v>
      </c>
      <c r="AE404" s="1731">
        <f t="shared" si="651"/>
        <v>0</v>
      </c>
      <c r="AF404" s="1731">
        <f t="shared" si="651"/>
        <v>0</v>
      </c>
      <c r="AG404" s="1733">
        <f t="shared" si="651"/>
        <v>0</v>
      </c>
      <c r="AH404" s="1731">
        <f>AH402*AH403/10^6</f>
        <v>0</v>
      </c>
      <c r="AI404" s="1731">
        <f>AI402*AI403/10^6</f>
        <v>0</v>
      </c>
      <c r="AJ404" s="1731">
        <f>AJ402*AJ403/10^6</f>
        <v>0</v>
      </c>
      <c r="AK404" s="1731">
        <f>AK402*AK403/10^6</f>
        <v>0</v>
      </c>
      <c r="AL404" s="1733">
        <f>AL402*AL403/10^6</f>
        <v>0</v>
      </c>
      <c r="AM404" s="560"/>
      <c r="AN404" s="991"/>
      <c r="AO404" s="992"/>
      <c r="AP404" s="2304" t="str">
        <f t="shared" si="623"/>
        <v>Rev</v>
      </c>
      <c r="AQ404" s="2305" t="str">
        <f t="shared" si="623"/>
        <v>[Service]</v>
      </c>
      <c r="AR404" s="2306" t="str">
        <f t="shared" si="624"/>
        <v>[Price]</v>
      </c>
      <c r="AS404" s="2307" t="str">
        <f t="shared" si="630"/>
        <v>-</v>
      </c>
      <c r="AT404" s="1055" t="str">
        <f t="shared" si="630"/>
        <v>-</v>
      </c>
      <c r="AU404" s="1055" t="str">
        <f t="shared" si="630"/>
        <v>-</v>
      </c>
      <c r="AV404" s="2308" t="str">
        <f t="shared" si="630"/>
        <v>-</v>
      </c>
      <c r="AW404" s="1055" t="str">
        <f t="shared" si="630"/>
        <v>-</v>
      </c>
      <c r="AX404" s="2309" t="str">
        <f t="shared" si="630"/>
        <v>-</v>
      </c>
      <c r="AY404" s="1055" t="str">
        <f t="shared" si="630"/>
        <v>-</v>
      </c>
      <c r="AZ404" s="1055" t="str">
        <f t="shared" si="630"/>
        <v>-</v>
      </c>
      <c r="BA404" s="1055" t="str">
        <f t="shared" si="630"/>
        <v>-</v>
      </c>
      <c r="BB404" s="1056" t="str">
        <f t="shared" si="630"/>
        <v>-</v>
      </c>
      <c r="BC404" s="1055" t="str">
        <f t="shared" si="630"/>
        <v>-</v>
      </c>
      <c r="BD404" s="1055" t="str">
        <f t="shared" si="630"/>
        <v>-</v>
      </c>
      <c r="BE404" s="1055" t="str">
        <f t="shared" si="630"/>
        <v>-</v>
      </c>
      <c r="BF404" s="1055" t="str">
        <f t="shared" si="630"/>
        <v>-</v>
      </c>
      <c r="BG404" s="1056" t="str">
        <f t="shared" si="630"/>
        <v>-</v>
      </c>
      <c r="BH404" s="1048"/>
      <c r="BI404" s="2304" t="str">
        <f t="shared" ref="BI404:BK443" si="652">AP404</f>
        <v>Rev</v>
      </c>
      <c r="BJ404" s="2305" t="str">
        <f t="shared" si="652"/>
        <v>[Service]</v>
      </c>
      <c r="BK404" s="2306" t="str">
        <f t="shared" si="652"/>
        <v>[Price]</v>
      </c>
      <c r="BL404" s="2307" t="str">
        <f t="shared" ref="BL404:BZ404" si="653">IF(OR(X404="",X404=0),"-",IFERROR((X404/W404-1)*(W404/W$13),"-"))</f>
        <v>-</v>
      </c>
      <c r="BM404" s="1055" t="str">
        <f t="shared" si="653"/>
        <v>-</v>
      </c>
      <c r="BN404" s="1055" t="str">
        <f t="shared" si="653"/>
        <v>-</v>
      </c>
      <c r="BO404" s="2308" t="str">
        <f t="shared" si="653"/>
        <v>-</v>
      </c>
      <c r="BP404" s="1055" t="str">
        <f t="shared" si="653"/>
        <v>-</v>
      </c>
      <c r="BQ404" s="2309" t="str">
        <f t="shared" si="653"/>
        <v>-</v>
      </c>
      <c r="BR404" s="1055" t="str">
        <f t="shared" si="653"/>
        <v>-</v>
      </c>
      <c r="BS404" s="1055" t="str">
        <f t="shared" si="653"/>
        <v>-</v>
      </c>
      <c r="BT404" s="1055" t="str">
        <f t="shared" si="653"/>
        <v>-</v>
      </c>
      <c r="BU404" s="1056" t="str">
        <f t="shared" si="653"/>
        <v>-</v>
      </c>
      <c r="BV404" s="1055" t="str">
        <f t="shared" si="653"/>
        <v>-</v>
      </c>
      <c r="BW404" s="1055" t="str">
        <f t="shared" si="653"/>
        <v>-</v>
      </c>
      <c r="BX404" s="1055" t="str">
        <f t="shared" si="653"/>
        <v>-</v>
      </c>
      <c r="BY404" s="1055" t="str">
        <f t="shared" si="653"/>
        <v>-</v>
      </c>
      <c r="BZ404" s="1056" t="str">
        <f t="shared" si="653"/>
        <v>-</v>
      </c>
      <c r="CA404" s="1048"/>
    </row>
    <row r="405" spans="3:79" x14ac:dyDescent="0.3">
      <c r="C405" s="126"/>
      <c r="D405" s="126">
        <f>D402+1</f>
        <v>113</v>
      </c>
      <c r="E405" s="553" t="s">
        <v>45</v>
      </c>
      <c r="F405" s="2105" t="s">
        <v>28</v>
      </c>
      <c r="G405" s="2105"/>
      <c r="H405" s="2105"/>
      <c r="I405" s="573" t="s">
        <v>319</v>
      </c>
      <c r="J405" s="573" t="s">
        <v>348</v>
      </c>
      <c r="K405" s="1969"/>
      <c r="L405" s="1970"/>
      <c r="M405" s="1970"/>
      <c r="N405" s="1971"/>
      <c r="O405" s="1970"/>
      <c r="P405" s="1970"/>
      <c r="Q405" s="1970"/>
      <c r="R405" s="1972"/>
      <c r="S405" s="1971"/>
      <c r="T405" s="1970"/>
      <c r="U405" s="1970"/>
      <c r="V405" s="1970"/>
      <c r="W405" s="575"/>
      <c r="X405" s="1238"/>
      <c r="Y405" s="575"/>
      <c r="Z405" s="575"/>
      <c r="AA405" s="575"/>
      <c r="AB405" s="1142"/>
      <c r="AC405" s="575"/>
      <c r="AD405" s="575"/>
      <c r="AE405" s="575"/>
      <c r="AF405" s="575"/>
      <c r="AG405" s="577"/>
      <c r="AH405" s="575"/>
      <c r="AI405" s="575"/>
      <c r="AJ405" s="575"/>
      <c r="AK405" s="575"/>
      <c r="AL405" s="577"/>
      <c r="AM405" s="560"/>
      <c r="AN405" s="1052"/>
      <c r="AO405" s="992"/>
      <c r="AP405" s="2297" t="str">
        <f t="shared" si="623"/>
        <v>Price</v>
      </c>
      <c r="AQ405" s="2298" t="str">
        <f t="shared" si="623"/>
        <v>[Service]</v>
      </c>
      <c r="AR405" s="1719" t="str">
        <f t="shared" si="624"/>
        <v>[Price]</v>
      </c>
      <c r="AS405" s="2299" t="str">
        <f t="shared" si="630"/>
        <v>-</v>
      </c>
      <c r="AT405" s="1728" t="str">
        <f t="shared" si="630"/>
        <v>-</v>
      </c>
      <c r="AU405" s="1728" t="str">
        <f t="shared" si="630"/>
        <v>-</v>
      </c>
      <c r="AV405" s="2300" t="str">
        <f t="shared" si="630"/>
        <v>-</v>
      </c>
      <c r="AW405" s="1728" t="str">
        <f t="shared" si="630"/>
        <v>-</v>
      </c>
      <c r="AX405" s="2301" t="str">
        <f t="shared" si="630"/>
        <v>-</v>
      </c>
      <c r="AY405" s="1728" t="str">
        <f t="shared" si="630"/>
        <v>-</v>
      </c>
      <c r="AZ405" s="1728" t="str">
        <f t="shared" si="630"/>
        <v>-</v>
      </c>
      <c r="BA405" s="1728" t="str">
        <f t="shared" si="630"/>
        <v>-</v>
      </c>
      <c r="BB405" s="1729" t="str">
        <f t="shared" si="630"/>
        <v>-</v>
      </c>
      <c r="BC405" s="1728" t="str">
        <f t="shared" si="630"/>
        <v>-</v>
      </c>
      <c r="BD405" s="1728" t="str">
        <f t="shared" si="630"/>
        <v>-</v>
      </c>
      <c r="BE405" s="1728" t="str">
        <f t="shared" si="630"/>
        <v>-</v>
      </c>
      <c r="BF405" s="1728" t="str">
        <f t="shared" si="630"/>
        <v>-</v>
      </c>
      <c r="BG405" s="1729" t="str">
        <f t="shared" si="630"/>
        <v>-</v>
      </c>
      <c r="BH405" s="1048"/>
      <c r="BI405" s="2297" t="str">
        <f t="shared" si="652"/>
        <v>Price</v>
      </c>
      <c r="BJ405" s="2298" t="str">
        <f t="shared" si="652"/>
        <v>[Service]</v>
      </c>
      <c r="BK405" s="1719" t="str">
        <f t="shared" si="652"/>
        <v>[Price]</v>
      </c>
      <c r="BL405" s="2299" t="str">
        <f t="shared" ref="BL405:BZ405" si="654">IF(OR(X405="",X405=0),"-",IFERROR((X405/W405-1)*(W407/W$13),"-"))</f>
        <v>-</v>
      </c>
      <c r="BM405" s="1053" t="str">
        <f t="shared" si="654"/>
        <v>-</v>
      </c>
      <c r="BN405" s="1053" t="str">
        <f t="shared" si="654"/>
        <v>-</v>
      </c>
      <c r="BO405" s="2302" t="str">
        <f t="shared" si="654"/>
        <v>-</v>
      </c>
      <c r="BP405" s="1053" t="str">
        <f t="shared" si="654"/>
        <v>-</v>
      </c>
      <c r="BQ405" s="2303" t="str">
        <f t="shared" si="654"/>
        <v>-</v>
      </c>
      <c r="BR405" s="1053" t="str">
        <f t="shared" si="654"/>
        <v>-</v>
      </c>
      <c r="BS405" s="1053" t="str">
        <f t="shared" si="654"/>
        <v>-</v>
      </c>
      <c r="BT405" s="1053" t="str">
        <f t="shared" si="654"/>
        <v>-</v>
      </c>
      <c r="BU405" s="1054" t="str">
        <f t="shared" si="654"/>
        <v>-</v>
      </c>
      <c r="BV405" s="1053" t="str">
        <f t="shared" si="654"/>
        <v>-</v>
      </c>
      <c r="BW405" s="1053" t="str">
        <f t="shared" si="654"/>
        <v>-</v>
      </c>
      <c r="BX405" s="1053" t="str">
        <f t="shared" si="654"/>
        <v>-</v>
      </c>
      <c r="BY405" s="1053" t="str">
        <f t="shared" si="654"/>
        <v>-</v>
      </c>
      <c r="BZ405" s="1054" t="str">
        <f t="shared" si="654"/>
        <v>-</v>
      </c>
      <c r="CA405" s="1048"/>
    </row>
    <row r="406" spans="3:79" x14ac:dyDescent="0.3">
      <c r="C406" s="126"/>
      <c r="D406" s="126"/>
      <c r="E406" s="558" t="s">
        <v>46</v>
      </c>
      <c r="F406" s="2161" t="str">
        <f t="shared" si="633"/>
        <v>[Service]</v>
      </c>
      <c r="G406" s="2163">
        <f t="shared" si="633"/>
        <v>0</v>
      </c>
      <c r="H406" s="2163">
        <f t="shared" si="633"/>
        <v>0</v>
      </c>
      <c r="I406" s="2164" t="str">
        <f t="shared" si="633"/>
        <v>[Price]</v>
      </c>
      <c r="J406" s="574" t="s">
        <v>323</v>
      </c>
      <c r="K406" s="1973"/>
      <c r="L406" s="1974"/>
      <c r="M406" s="1974"/>
      <c r="N406" s="1975"/>
      <c r="O406" s="1974"/>
      <c r="P406" s="1974"/>
      <c r="Q406" s="1974"/>
      <c r="R406" s="1976"/>
      <c r="S406" s="1975"/>
      <c r="T406" s="1974"/>
      <c r="U406" s="1974"/>
      <c r="V406" s="1974"/>
      <c r="W406" s="578"/>
      <c r="X406" s="1239"/>
      <c r="Y406" s="578"/>
      <c r="Z406" s="578"/>
      <c r="AA406" s="578"/>
      <c r="AB406" s="1143"/>
      <c r="AC406" s="578"/>
      <c r="AD406" s="578"/>
      <c r="AE406" s="578"/>
      <c r="AF406" s="578"/>
      <c r="AG406" s="580"/>
      <c r="AH406" s="578"/>
      <c r="AI406" s="578"/>
      <c r="AJ406" s="578"/>
      <c r="AK406" s="578"/>
      <c r="AL406" s="580"/>
      <c r="AM406" s="560"/>
      <c r="AN406" s="991"/>
      <c r="AO406" s="992"/>
      <c r="AP406" s="2285" t="str">
        <f t="shared" si="623"/>
        <v>Qty</v>
      </c>
      <c r="AQ406" s="2286" t="str">
        <f t="shared" si="623"/>
        <v>[Service]</v>
      </c>
      <c r="AR406" s="2287" t="str">
        <f t="shared" si="624"/>
        <v>[Price]</v>
      </c>
      <c r="AS406" s="2288" t="str">
        <f t="shared" si="630"/>
        <v>-</v>
      </c>
      <c r="AT406" s="1720" t="str">
        <f t="shared" si="630"/>
        <v>-</v>
      </c>
      <c r="AU406" s="1720" t="str">
        <f t="shared" si="630"/>
        <v>-</v>
      </c>
      <c r="AV406" s="2289" t="str">
        <f t="shared" si="630"/>
        <v>-</v>
      </c>
      <c r="AW406" s="1720" t="str">
        <f t="shared" si="630"/>
        <v>-</v>
      </c>
      <c r="AX406" s="2290" t="str">
        <f t="shared" si="630"/>
        <v>-</v>
      </c>
      <c r="AY406" s="1720" t="str">
        <f t="shared" si="630"/>
        <v>-</v>
      </c>
      <c r="AZ406" s="1720" t="str">
        <f t="shared" si="630"/>
        <v>-</v>
      </c>
      <c r="BA406" s="1720" t="str">
        <f t="shared" si="630"/>
        <v>-</v>
      </c>
      <c r="BB406" s="1721" t="str">
        <f t="shared" si="630"/>
        <v>-</v>
      </c>
      <c r="BC406" s="1720" t="str">
        <f t="shared" si="630"/>
        <v>-</v>
      </c>
      <c r="BD406" s="1720" t="str">
        <f t="shared" si="630"/>
        <v>-</v>
      </c>
      <c r="BE406" s="1720" t="str">
        <f t="shared" si="630"/>
        <v>-</v>
      </c>
      <c r="BF406" s="1720" t="str">
        <f t="shared" si="630"/>
        <v>-</v>
      </c>
      <c r="BG406" s="1721" t="str">
        <f t="shared" si="630"/>
        <v>-</v>
      </c>
      <c r="BH406" s="1048"/>
      <c r="BI406" s="2285" t="str">
        <f t="shared" si="652"/>
        <v>Qty</v>
      </c>
      <c r="BJ406" s="2286" t="str">
        <f t="shared" si="652"/>
        <v>[Service]</v>
      </c>
      <c r="BK406" s="2287" t="str">
        <f t="shared" si="652"/>
        <v>[Price]</v>
      </c>
      <c r="BL406" s="2288" t="str">
        <f t="shared" ref="BL406:BZ406" si="655">IF(OR(X406="",X406=0),"-",IFERROR((X406/W406-1)*(W407/W$13),"-"))</f>
        <v>-</v>
      </c>
      <c r="BM406" s="1720" t="str">
        <f t="shared" si="655"/>
        <v>-</v>
      </c>
      <c r="BN406" s="1720" t="str">
        <f t="shared" si="655"/>
        <v>-</v>
      </c>
      <c r="BO406" s="2289" t="str">
        <f t="shared" si="655"/>
        <v>-</v>
      </c>
      <c r="BP406" s="1720" t="str">
        <f t="shared" si="655"/>
        <v>-</v>
      </c>
      <c r="BQ406" s="2290" t="str">
        <f t="shared" si="655"/>
        <v>-</v>
      </c>
      <c r="BR406" s="1720" t="str">
        <f t="shared" si="655"/>
        <v>-</v>
      </c>
      <c r="BS406" s="1720" t="str">
        <f t="shared" si="655"/>
        <v>-</v>
      </c>
      <c r="BT406" s="1720" t="str">
        <f t="shared" si="655"/>
        <v>-</v>
      </c>
      <c r="BU406" s="1721" t="str">
        <f t="shared" si="655"/>
        <v>-</v>
      </c>
      <c r="BV406" s="1720" t="str">
        <f t="shared" si="655"/>
        <v>-</v>
      </c>
      <c r="BW406" s="1720" t="str">
        <f t="shared" si="655"/>
        <v>-</v>
      </c>
      <c r="BX406" s="1720" t="str">
        <f t="shared" si="655"/>
        <v>-</v>
      </c>
      <c r="BY406" s="1720" t="str">
        <f t="shared" si="655"/>
        <v>-</v>
      </c>
      <c r="BZ406" s="1721" t="str">
        <f t="shared" si="655"/>
        <v>-</v>
      </c>
      <c r="CA406" s="1048"/>
    </row>
    <row r="407" spans="3:79" ht="12.5" thickBot="1" x14ac:dyDescent="0.35">
      <c r="C407" s="126"/>
      <c r="D407" s="126"/>
      <c r="E407" s="559" t="s">
        <v>47</v>
      </c>
      <c r="F407" s="2162" t="str">
        <f t="shared" ref="F407:I407" si="656">+F405</f>
        <v>[Service]</v>
      </c>
      <c r="G407" s="2165">
        <f t="shared" si="656"/>
        <v>0</v>
      </c>
      <c r="H407" s="2165">
        <f t="shared" si="656"/>
        <v>0</v>
      </c>
      <c r="I407" s="2166" t="str">
        <f t="shared" si="656"/>
        <v>[Price]</v>
      </c>
      <c r="J407" s="2106" t="s">
        <v>347</v>
      </c>
      <c r="K407" s="1977"/>
      <c r="L407" s="1206"/>
      <c r="M407" s="1206"/>
      <c r="N407" s="1978"/>
      <c r="O407" s="1206"/>
      <c r="P407" s="1206"/>
      <c r="Q407" s="1206"/>
      <c r="R407" s="1206"/>
      <c r="S407" s="1978"/>
      <c r="T407" s="1206"/>
      <c r="U407" s="1206"/>
      <c r="V407" s="1206"/>
      <c r="W407" s="1731">
        <f t="shared" ref="W407:AG407" si="657">W405*W406/10^6</f>
        <v>0</v>
      </c>
      <c r="X407" s="1730">
        <f t="shared" si="657"/>
        <v>0</v>
      </c>
      <c r="Y407" s="1731">
        <f t="shared" si="657"/>
        <v>0</v>
      </c>
      <c r="Z407" s="1731">
        <f t="shared" si="657"/>
        <v>0</v>
      </c>
      <c r="AA407" s="1731">
        <f t="shared" si="657"/>
        <v>0</v>
      </c>
      <c r="AB407" s="1733">
        <f t="shared" si="657"/>
        <v>0</v>
      </c>
      <c r="AC407" s="1731">
        <f t="shared" si="657"/>
        <v>0</v>
      </c>
      <c r="AD407" s="1731">
        <f t="shared" si="657"/>
        <v>0</v>
      </c>
      <c r="AE407" s="1731">
        <f t="shared" si="657"/>
        <v>0</v>
      </c>
      <c r="AF407" s="1731">
        <f t="shared" si="657"/>
        <v>0</v>
      </c>
      <c r="AG407" s="1733">
        <f t="shared" si="657"/>
        <v>0</v>
      </c>
      <c r="AH407" s="1731">
        <f>AH405*AH406/10^6</f>
        <v>0</v>
      </c>
      <c r="AI407" s="1731">
        <f>AI405*AI406/10^6</f>
        <v>0</v>
      </c>
      <c r="AJ407" s="1731">
        <f>AJ405*AJ406/10^6</f>
        <v>0</v>
      </c>
      <c r="AK407" s="1731">
        <f>AK405*AK406/10^6</f>
        <v>0</v>
      </c>
      <c r="AL407" s="1733">
        <f>AL405*AL406/10^6</f>
        <v>0</v>
      </c>
      <c r="AM407" s="560"/>
      <c r="AN407" s="991"/>
      <c r="AO407" s="992"/>
      <c r="AP407" s="2304" t="str">
        <f t="shared" si="623"/>
        <v>Rev</v>
      </c>
      <c r="AQ407" s="2305" t="str">
        <f t="shared" si="623"/>
        <v>[Service]</v>
      </c>
      <c r="AR407" s="2306" t="str">
        <f t="shared" si="624"/>
        <v>[Price]</v>
      </c>
      <c r="AS407" s="2307" t="str">
        <f t="shared" si="630"/>
        <v>-</v>
      </c>
      <c r="AT407" s="1055" t="str">
        <f t="shared" si="630"/>
        <v>-</v>
      </c>
      <c r="AU407" s="1055" t="str">
        <f t="shared" si="630"/>
        <v>-</v>
      </c>
      <c r="AV407" s="2308" t="str">
        <f t="shared" si="630"/>
        <v>-</v>
      </c>
      <c r="AW407" s="1055" t="str">
        <f t="shared" si="630"/>
        <v>-</v>
      </c>
      <c r="AX407" s="2309" t="str">
        <f t="shared" si="630"/>
        <v>-</v>
      </c>
      <c r="AY407" s="1055" t="str">
        <f t="shared" si="630"/>
        <v>-</v>
      </c>
      <c r="AZ407" s="1055" t="str">
        <f t="shared" si="630"/>
        <v>-</v>
      </c>
      <c r="BA407" s="1055" t="str">
        <f t="shared" si="630"/>
        <v>-</v>
      </c>
      <c r="BB407" s="1056" t="str">
        <f t="shared" si="630"/>
        <v>-</v>
      </c>
      <c r="BC407" s="1055" t="str">
        <f t="shared" si="630"/>
        <v>-</v>
      </c>
      <c r="BD407" s="1055" t="str">
        <f t="shared" si="630"/>
        <v>-</v>
      </c>
      <c r="BE407" s="1055" t="str">
        <f t="shared" si="630"/>
        <v>-</v>
      </c>
      <c r="BF407" s="1055" t="str">
        <f t="shared" si="630"/>
        <v>-</v>
      </c>
      <c r="BG407" s="1056" t="str">
        <f t="shared" si="630"/>
        <v>-</v>
      </c>
      <c r="BH407" s="1048"/>
      <c r="BI407" s="2304" t="str">
        <f t="shared" si="652"/>
        <v>Rev</v>
      </c>
      <c r="BJ407" s="2305" t="str">
        <f t="shared" si="652"/>
        <v>[Service]</v>
      </c>
      <c r="BK407" s="2306" t="str">
        <f t="shared" si="652"/>
        <v>[Price]</v>
      </c>
      <c r="BL407" s="2307" t="str">
        <f t="shared" ref="BL407:BZ407" si="658">IF(OR(X407="",X407=0),"-",IFERROR((X407/W407-1)*(W407/W$13),"-"))</f>
        <v>-</v>
      </c>
      <c r="BM407" s="1055" t="str">
        <f t="shared" si="658"/>
        <v>-</v>
      </c>
      <c r="BN407" s="1055" t="str">
        <f t="shared" si="658"/>
        <v>-</v>
      </c>
      <c r="BO407" s="2308" t="str">
        <f t="shared" si="658"/>
        <v>-</v>
      </c>
      <c r="BP407" s="1055" t="str">
        <f t="shared" si="658"/>
        <v>-</v>
      </c>
      <c r="BQ407" s="2309" t="str">
        <f t="shared" si="658"/>
        <v>-</v>
      </c>
      <c r="BR407" s="1055" t="str">
        <f t="shared" si="658"/>
        <v>-</v>
      </c>
      <c r="BS407" s="1055" t="str">
        <f t="shared" si="658"/>
        <v>-</v>
      </c>
      <c r="BT407" s="1055" t="str">
        <f t="shared" si="658"/>
        <v>-</v>
      </c>
      <c r="BU407" s="1056" t="str">
        <f t="shared" si="658"/>
        <v>-</v>
      </c>
      <c r="BV407" s="1055" t="str">
        <f t="shared" si="658"/>
        <v>-</v>
      </c>
      <c r="BW407" s="1055" t="str">
        <f t="shared" si="658"/>
        <v>-</v>
      </c>
      <c r="BX407" s="1055" t="str">
        <f t="shared" si="658"/>
        <v>-</v>
      </c>
      <c r="BY407" s="1055" t="str">
        <f t="shared" si="658"/>
        <v>-</v>
      </c>
      <c r="BZ407" s="1056" t="str">
        <f t="shared" si="658"/>
        <v>-</v>
      </c>
      <c r="CA407" s="1048"/>
    </row>
    <row r="408" spans="3:79" x14ac:dyDescent="0.3">
      <c r="C408" s="126"/>
      <c r="D408" s="126">
        <f>D405+1</f>
        <v>114</v>
      </c>
      <c r="E408" s="553" t="s">
        <v>45</v>
      </c>
      <c r="F408" s="2105" t="s">
        <v>28</v>
      </c>
      <c r="G408" s="2105"/>
      <c r="H408" s="2105"/>
      <c r="I408" s="573" t="s">
        <v>319</v>
      </c>
      <c r="J408" s="573" t="s">
        <v>348</v>
      </c>
      <c r="K408" s="1969"/>
      <c r="L408" s="1970"/>
      <c r="M408" s="1970"/>
      <c r="N408" s="1971"/>
      <c r="O408" s="1970"/>
      <c r="P408" s="1970"/>
      <c r="Q408" s="1970"/>
      <c r="R408" s="1972"/>
      <c r="S408" s="1971"/>
      <c r="T408" s="1970"/>
      <c r="U408" s="1970"/>
      <c r="V408" s="1970"/>
      <c r="W408" s="575"/>
      <c r="X408" s="1238"/>
      <c r="Y408" s="575"/>
      <c r="Z408" s="575"/>
      <c r="AA408" s="575"/>
      <c r="AB408" s="1142"/>
      <c r="AC408" s="575"/>
      <c r="AD408" s="575"/>
      <c r="AE408" s="575"/>
      <c r="AF408" s="575"/>
      <c r="AG408" s="577"/>
      <c r="AH408" s="575"/>
      <c r="AI408" s="575"/>
      <c r="AJ408" s="575"/>
      <c r="AK408" s="575"/>
      <c r="AL408" s="577"/>
      <c r="AM408" s="560"/>
      <c r="AN408" s="1052"/>
      <c r="AO408" s="992"/>
      <c r="AP408" s="2297" t="str">
        <f t="shared" si="623"/>
        <v>Price</v>
      </c>
      <c r="AQ408" s="2298" t="str">
        <f t="shared" si="623"/>
        <v>[Service]</v>
      </c>
      <c r="AR408" s="1719" t="str">
        <f t="shared" si="624"/>
        <v>[Price]</v>
      </c>
      <c r="AS408" s="2299" t="str">
        <f t="shared" si="630"/>
        <v>-</v>
      </c>
      <c r="AT408" s="1728" t="str">
        <f t="shared" si="630"/>
        <v>-</v>
      </c>
      <c r="AU408" s="1728" t="str">
        <f t="shared" si="630"/>
        <v>-</v>
      </c>
      <c r="AV408" s="2300" t="str">
        <f t="shared" si="630"/>
        <v>-</v>
      </c>
      <c r="AW408" s="1728" t="str">
        <f t="shared" si="630"/>
        <v>-</v>
      </c>
      <c r="AX408" s="2301" t="str">
        <f t="shared" si="630"/>
        <v>-</v>
      </c>
      <c r="AY408" s="1728" t="str">
        <f t="shared" si="630"/>
        <v>-</v>
      </c>
      <c r="AZ408" s="1728" t="str">
        <f t="shared" si="630"/>
        <v>-</v>
      </c>
      <c r="BA408" s="1728" t="str">
        <f t="shared" si="630"/>
        <v>-</v>
      </c>
      <c r="BB408" s="1729" t="str">
        <f t="shared" si="630"/>
        <v>-</v>
      </c>
      <c r="BC408" s="1728" t="str">
        <f t="shared" si="630"/>
        <v>-</v>
      </c>
      <c r="BD408" s="1728" t="str">
        <f t="shared" si="630"/>
        <v>-</v>
      </c>
      <c r="BE408" s="1728" t="str">
        <f t="shared" si="630"/>
        <v>-</v>
      </c>
      <c r="BF408" s="1728" t="str">
        <f t="shared" si="630"/>
        <v>-</v>
      </c>
      <c r="BG408" s="1729" t="str">
        <f t="shared" si="630"/>
        <v>-</v>
      </c>
      <c r="BH408" s="1048"/>
      <c r="BI408" s="2297" t="str">
        <f t="shared" si="652"/>
        <v>Price</v>
      </c>
      <c r="BJ408" s="2298" t="str">
        <f t="shared" si="652"/>
        <v>[Service]</v>
      </c>
      <c r="BK408" s="1719" t="str">
        <f t="shared" si="652"/>
        <v>[Price]</v>
      </c>
      <c r="BL408" s="2299" t="str">
        <f t="shared" ref="BL408:BZ408" si="659">IF(OR(X408="",X408=0),"-",IFERROR((X408/W408-1)*(W410/W$13),"-"))</f>
        <v>-</v>
      </c>
      <c r="BM408" s="1053" t="str">
        <f t="shared" si="659"/>
        <v>-</v>
      </c>
      <c r="BN408" s="1053" t="str">
        <f t="shared" si="659"/>
        <v>-</v>
      </c>
      <c r="BO408" s="2302" t="str">
        <f t="shared" si="659"/>
        <v>-</v>
      </c>
      <c r="BP408" s="1053" t="str">
        <f t="shared" si="659"/>
        <v>-</v>
      </c>
      <c r="BQ408" s="2303" t="str">
        <f t="shared" si="659"/>
        <v>-</v>
      </c>
      <c r="BR408" s="1053" t="str">
        <f t="shared" si="659"/>
        <v>-</v>
      </c>
      <c r="BS408" s="1053" t="str">
        <f t="shared" si="659"/>
        <v>-</v>
      </c>
      <c r="BT408" s="1053" t="str">
        <f t="shared" si="659"/>
        <v>-</v>
      </c>
      <c r="BU408" s="1054" t="str">
        <f t="shared" si="659"/>
        <v>-</v>
      </c>
      <c r="BV408" s="1053" t="str">
        <f t="shared" si="659"/>
        <v>-</v>
      </c>
      <c r="BW408" s="1053" t="str">
        <f t="shared" si="659"/>
        <v>-</v>
      </c>
      <c r="BX408" s="1053" t="str">
        <f t="shared" si="659"/>
        <v>-</v>
      </c>
      <c r="BY408" s="1053" t="str">
        <f t="shared" si="659"/>
        <v>-</v>
      </c>
      <c r="BZ408" s="1054" t="str">
        <f t="shared" si="659"/>
        <v>-</v>
      </c>
      <c r="CA408" s="1048"/>
    </row>
    <row r="409" spans="3:79" x14ac:dyDescent="0.3">
      <c r="C409" s="126"/>
      <c r="D409" s="126"/>
      <c r="E409" s="558" t="s">
        <v>46</v>
      </c>
      <c r="F409" s="2161" t="str">
        <f t="shared" si="633"/>
        <v>[Service]</v>
      </c>
      <c r="G409" s="2163">
        <f t="shared" si="633"/>
        <v>0</v>
      </c>
      <c r="H409" s="2163">
        <f t="shared" si="633"/>
        <v>0</v>
      </c>
      <c r="I409" s="2164" t="str">
        <f t="shared" si="633"/>
        <v>[Price]</v>
      </c>
      <c r="J409" s="574" t="s">
        <v>323</v>
      </c>
      <c r="K409" s="1973"/>
      <c r="L409" s="1974"/>
      <c r="M409" s="1974"/>
      <c r="N409" s="1975"/>
      <c r="O409" s="1974"/>
      <c r="P409" s="1974"/>
      <c r="Q409" s="1974"/>
      <c r="R409" s="1976"/>
      <c r="S409" s="1975"/>
      <c r="T409" s="1974"/>
      <c r="U409" s="1974"/>
      <c r="V409" s="1974"/>
      <c r="W409" s="578"/>
      <c r="X409" s="1239"/>
      <c r="Y409" s="578"/>
      <c r="Z409" s="578"/>
      <c r="AA409" s="578"/>
      <c r="AB409" s="1143"/>
      <c r="AC409" s="578"/>
      <c r="AD409" s="578"/>
      <c r="AE409" s="578"/>
      <c r="AF409" s="578"/>
      <c r="AG409" s="580"/>
      <c r="AH409" s="578"/>
      <c r="AI409" s="578"/>
      <c r="AJ409" s="578"/>
      <c r="AK409" s="578"/>
      <c r="AL409" s="580"/>
      <c r="AM409" s="560"/>
      <c r="AN409" s="991"/>
      <c r="AO409" s="992"/>
      <c r="AP409" s="2285" t="str">
        <f t="shared" si="623"/>
        <v>Qty</v>
      </c>
      <c r="AQ409" s="2286" t="str">
        <f t="shared" si="623"/>
        <v>[Service]</v>
      </c>
      <c r="AR409" s="2287" t="str">
        <f t="shared" si="624"/>
        <v>[Price]</v>
      </c>
      <c r="AS409" s="2288" t="str">
        <f t="shared" ref="AS409:BG425" si="660">IF(OR(X409="",X409=0),"-",IFERROR(X409/W409-1,"-"))</f>
        <v>-</v>
      </c>
      <c r="AT409" s="1720" t="str">
        <f t="shared" si="660"/>
        <v>-</v>
      </c>
      <c r="AU409" s="1720" t="str">
        <f t="shared" si="660"/>
        <v>-</v>
      </c>
      <c r="AV409" s="2289" t="str">
        <f t="shared" si="660"/>
        <v>-</v>
      </c>
      <c r="AW409" s="1720" t="str">
        <f t="shared" si="660"/>
        <v>-</v>
      </c>
      <c r="AX409" s="2290" t="str">
        <f t="shared" si="660"/>
        <v>-</v>
      </c>
      <c r="AY409" s="1720" t="str">
        <f t="shared" si="660"/>
        <v>-</v>
      </c>
      <c r="AZ409" s="1720" t="str">
        <f t="shared" si="660"/>
        <v>-</v>
      </c>
      <c r="BA409" s="1720" t="str">
        <f t="shared" si="660"/>
        <v>-</v>
      </c>
      <c r="BB409" s="1721" t="str">
        <f t="shared" si="660"/>
        <v>-</v>
      </c>
      <c r="BC409" s="1720" t="str">
        <f t="shared" si="660"/>
        <v>-</v>
      </c>
      <c r="BD409" s="1720" t="str">
        <f t="shared" si="660"/>
        <v>-</v>
      </c>
      <c r="BE409" s="1720" t="str">
        <f t="shared" si="660"/>
        <v>-</v>
      </c>
      <c r="BF409" s="1720" t="str">
        <f t="shared" si="660"/>
        <v>-</v>
      </c>
      <c r="BG409" s="1721" t="str">
        <f t="shared" si="660"/>
        <v>-</v>
      </c>
      <c r="BH409" s="1048"/>
      <c r="BI409" s="2285" t="str">
        <f t="shared" si="652"/>
        <v>Qty</v>
      </c>
      <c r="BJ409" s="2286" t="str">
        <f t="shared" si="652"/>
        <v>[Service]</v>
      </c>
      <c r="BK409" s="2287" t="str">
        <f t="shared" si="652"/>
        <v>[Price]</v>
      </c>
      <c r="BL409" s="2288" t="str">
        <f t="shared" ref="BL409:BZ409" si="661">IF(OR(X409="",X409=0),"-",IFERROR((X409/W409-1)*(W410/W$13),"-"))</f>
        <v>-</v>
      </c>
      <c r="BM409" s="1720" t="str">
        <f t="shared" si="661"/>
        <v>-</v>
      </c>
      <c r="BN409" s="1720" t="str">
        <f t="shared" si="661"/>
        <v>-</v>
      </c>
      <c r="BO409" s="2289" t="str">
        <f t="shared" si="661"/>
        <v>-</v>
      </c>
      <c r="BP409" s="1720" t="str">
        <f t="shared" si="661"/>
        <v>-</v>
      </c>
      <c r="BQ409" s="2290" t="str">
        <f t="shared" si="661"/>
        <v>-</v>
      </c>
      <c r="BR409" s="1720" t="str">
        <f t="shared" si="661"/>
        <v>-</v>
      </c>
      <c r="BS409" s="1720" t="str">
        <f t="shared" si="661"/>
        <v>-</v>
      </c>
      <c r="BT409" s="1720" t="str">
        <f t="shared" si="661"/>
        <v>-</v>
      </c>
      <c r="BU409" s="1721" t="str">
        <f t="shared" si="661"/>
        <v>-</v>
      </c>
      <c r="BV409" s="1720" t="str">
        <f t="shared" si="661"/>
        <v>-</v>
      </c>
      <c r="BW409" s="1720" t="str">
        <f t="shared" si="661"/>
        <v>-</v>
      </c>
      <c r="BX409" s="1720" t="str">
        <f t="shared" si="661"/>
        <v>-</v>
      </c>
      <c r="BY409" s="1720" t="str">
        <f t="shared" si="661"/>
        <v>-</v>
      </c>
      <c r="BZ409" s="1721" t="str">
        <f t="shared" si="661"/>
        <v>-</v>
      </c>
      <c r="CA409" s="1048"/>
    </row>
    <row r="410" spans="3:79" ht="12.5" thickBot="1" x14ac:dyDescent="0.35">
      <c r="C410" s="126"/>
      <c r="D410" s="126"/>
      <c r="E410" s="559" t="s">
        <v>47</v>
      </c>
      <c r="F410" s="2162" t="str">
        <f t="shared" ref="F410:I410" si="662">+F408</f>
        <v>[Service]</v>
      </c>
      <c r="G410" s="2165">
        <f t="shared" si="662"/>
        <v>0</v>
      </c>
      <c r="H410" s="2165">
        <f t="shared" si="662"/>
        <v>0</v>
      </c>
      <c r="I410" s="2166" t="str">
        <f t="shared" si="662"/>
        <v>[Price]</v>
      </c>
      <c r="J410" s="2106" t="s">
        <v>347</v>
      </c>
      <c r="K410" s="1977"/>
      <c r="L410" s="1206"/>
      <c r="M410" s="1206"/>
      <c r="N410" s="1978"/>
      <c r="O410" s="1206"/>
      <c r="P410" s="1206"/>
      <c r="Q410" s="1206"/>
      <c r="R410" s="1206"/>
      <c r="S410" s="1978"/>
      <c r="T410" s="1206"/>
      <c r="U410" s="1206"/>
      <c r="V410" s="1206"/>
      <c r="W410" s="1731">
        <f t="shared" ref="W410:AG410" si="663">W408*W409/10^6</f>
        <v>0</v>
      </c>
      <c r="X410" s="1730">
        <f t="shared" si="663"/>
        <v>0</v>
      </c>
      <c r="Y410" s="1731">
        <f t="shared" si="663"/>
        <v>0</v>
      </c>
      <c r="Z410" s="1731">
        <f t="shared" si="663"/>
        <v>0</v>
      </c>
      <c r="AA410" s="1731">
        <f t="shared" si="663"/>
        <v>0</v>
      </c>
      <c r="AB410" s="1733">
        <f t="shared" si="663"/>
        <v>0</v>
      </c>
      <c r="AC410" s="1731">
        <f t="shared" si="663"/>
        <v>0</v>
      </c>
      <c r="AD410" s="1731">
        <f t="shared" si="663"/>
        <v>0</v>
      </c>
      <c r="AE410" s="1731">
        <f t="shared" si="663"/>
        <v>0</v>
      </c>
      <c r="AF410" s="1731">
        <f t="shared" si="663"/>
        <v>0</v>
      </c>
      <c r="AG410" s="1733">
        <f t="shared" si="663"/>
        <v>0</v>
      </c>
      <c r="AH410" s="1731">
        <f>AH408*AH409/10^6</f>
        <v>0</v>
      </c>
      <c r="AI410" s="1731">
        <f>AI408*AI409/10^6</f>
        <v>0</v>
      </c>
      <c r="AJ410" s="1731">
        <f>AJ408*AJ409/10^6</f>
        <v>0</v>
      </c>
      <c r="AK410" s="1731">
        <f>AK408*AK409/10^6</f>
        <v>0</v>
      </c>
      <c r="AL410" s="1733">
        <f>AL408*AL409/10^6</f>
        <v>0</v>
      </c>
      <c r="AM410" s="560"/>
      <c r="AN410" s="991"/>
      <c r="AO410" s="992"/>
      <c r="AP410" s="2304" t="str">
        <f t="shared" si="623"/>
        <v>Rev</v>
      </c>
      <c r="AQ410" s="2305" t="str">
        <f t="shared" si="623"/>
        <v>[Service]</v>
      </c>
      <c r="AR410" s="2306" t="str">
        <f t="shared" si="624"/>
        <v>[Price]</v>
      </c>
      <c r="AS410" s="2307" t="str">
        <f t="shared" si="660"/>
        <v>-</v>
      </c>
      <c r="AT410" s="1055" t="str">
        <f t="shared" si="660"/>
        <v>-</v>
      </c>
      <c r="AU410" s="1055" t="str">
        <f t="shared" si="660"/>
        <v>-</v>
      </c>
      <c r="AV410" s="2308" t="str">
        <f t="shared" si="660"/>
        <v>-</v>
      </c>
      <c r="AW410" s="1055" t="str">
        <f t="shared" si="660"/>
        <v>-</v>
      </c>
      <c r="AX410" s="2309" t="str">
        <f t="shared" si="660"/>
        <v>-</v>
      </c>
      <c r="AY410" s="1055" t="str">
        <f t="shared" si="660"/>
        <v>-</v>
      </c>
      <c r="AZ410" s="1055" t="str">
        <f t="shared" si="660"/>
        <v>-</v>
      </c>
      <c r="BA410" s="1055" t="str">
        <f t="shared" si="660"/>
        <v>-</v>
      </c>
      <c r="BB410" s="1056" t="str">
        <f t="shared" si="660"/>
        <v>-</v>
      </c>
      <c r="BC410" s="1055" t="str">
        <f t="shared" si="660"/>
        <v>-</v>
      </c>
      <c r="BD410" s="1055" t="str">
        <f t="shared" si="660"/>
        <v>-</v>
      </c>
      <c r="BE410" s="1055" t="str">
        <f t="shared" si="660"/>
        <v>-</v>
      </c>
      <c r="BF410" s="1055" t="str">
        <f t="shared" si="660"/>
        <v>-</v>
      </c>
      <c r="BG410" s="1056" t="str">
        <f t="shared" si="660"/>
        <v>-</v>
      </c>
      <c r="BH410" s="1048"/>
      <c r="BI410" s="2304" t="str">
        <f t="shared" si="652"/>
        <v>Rev</v>
      </c>
      <c r="BJ410" s="2305" t="str">
        <f t="shared" si="652"/>
        <v>[Service]</v>
      </c>
      <c r="BK410" s="2306" t="str">
        <f t="shared" si="652"/>
        <v>[Price]</v>
      </c>
      <c r="BL410" s="2307" t="str">
        <f t="shared" ref="BL410:BZ410" si="664">IF(OR(X410="",X410=0),"-",IFERROR((X410/W410-1)*(W410/W$13),"-"))</f>
        <v>-</v>
      </c>
      <c r="BM410" s="1055" t="str">
        <f t="shared" si="664"/>
        <v>-</v>
      </c>
      <c r="BN410" s="1055" t="str">
        <f t="shared" si="664"/>
        <v>-</v>
      </c>
      <c r="BO410" s="2308" t="str">
        <f t="shared" si="664"/>
        <v>-</v>
      </c>
      <c r="BP410" s="1055" t="str">
        <f t="shared" si="664"/>
        <v>-</v>
      </c>
      <c r="BQ410" s="2309" t="str">
        <f t="shared" si="664"/>
        <v>-</v>
      </c>
      <c r="BR410" s="1055" t="str">
        <f t="shared" si="664"/>
        <v>-</v>
      </c>
      <c r="BS410" s="1055" t="str">
        <f t="shared" si="664"/>
        <v>-</v>
      </c>
      <c r="BT410" s="1055" t="str">
        <f t="shared" si="664"/>
        <v>-</v>
      </c>
      <c r="BU410" s="1056" t="str">
        <f t="shared" si="664"/>
        <v>-</v>
      </c>
      <c r="BV410" s="1055" t="str">
        <f t="shared" si="664"/>
        <v>-</v>
      </c>
      <c r="BW410" s="1055" t="str">
        <f t="shared" si="664"/>
        <v>-</v>
      </c>
      <c r="BX410" s="1055" t="str">
        <f t="shared" si="664"/>
        <v>-</v>
      </c>
      <c r="BY410" s="1055" t="str">
        <f t="shared" si="664"/>
        <v>-</v>
      </c>
      <c r="BZ410" s="1056" t="str">
        <f t="shared" si="664"/>
        <v>-</v>
      </c>
      <c r="CA410" s="1048"/>
    </row>
    <row r="411" spans="3:79" x14ac:dyDescent="0.3">
      <c r="C411" s="126"/>
      <c r="D411" s="126">
        <f>D408+1</f>
        <v>115</v>
      </c>
      <c r="E411" s="553" t="s">
        <v>45</v>
      </c>
      <c r="F411" s="2105" t="s">
        <v>28</v>
      </c>
      <c r="G411" s="2105"/>
      <c r="H411" s="2105"/>
      <c r="I411" s="573" t="s">
        <v>319</v>
      </c>
      <c r="J411" s="573" t="s">
        <v>348</v>
      </c>
      <c r="K411" s="1969"/>
      <c r="L411" s="1970"/>
      <c r="M411" s="1970"/>
      <c r="N411" s="1971"/>
      <c r="O411" s="1970"/>
      <c r="P411" s="1970"/>
      <c r="Q411" s="1970"/>
      <c r="R411" s="1972"/>
      <c r="S411" s="1971"/>
      <c r="T411" s="1970"/>
      <c r="U411" s="1970"/>
      <c r="V411" s="1970"/>
      <c r="W411" s="575"/>
      <c r="X411" s="1238"/>
      <c r="Y411" s="575"/>
      <c r="Z411" s="575"/>
      <c r="AA411" s="575"/>
      <c r="AB411" s="1142"/>
      <c r="AC411" s="575"/>
      <c r="AD411" s="575"/>
      <c r="AE411" s="575"/>
      <c r="AF411" s="575"/>
      <c r="AG411" s="577"/>
      <c r="AH411" s="575"/>
      <c r="AI411" s="575"/>
      <c r="AJ411" s="575"/>
      <c r="AK411" s="575"/>
      <c r="AL411" s="577"/>
      <c r="AM411" s="560"/>
      <c r="AN411" s="1052"/>
      <c r="AO411" s="992"/>
      <c r="AP411" s="2297" t="str">
        <f t="shared" si="623"/>
        <v>Price</v>
      </c>
      <c r="AQ411" s="2298" t="str">
        <f t="shared" si="623"/>
        <v>[Service]</v>
      </c>
      <c r="AR411" s="1719" t="str">
        <f t="shared" si="624"/>
        <v>[Price]</v>
      </c>
      <c r="AS411" s="2299" t="str">
        <f t="shared" si="660"/>
        <v>-</v>
      </c>
      <c r="AT411" s="1728" t="str">
        <f t="shared" si="660"/>
        <v>-</v>
      </c>
      <c r="AU411" s="1728" t="str">
        <f t="shared" si="660"/>
        <v>-</v>
      </c>
      <c r="AV411" s="2300" t="str">
        <f t="shared" si="660"/>
        <v>-</v>
      </c>
      <c r="AW411" s="1728" t="str">
        <f t="shared" si="660"/>
        <v>-</v>
      </c>
      <c r="AX411" s="2301" t="str">
        <f t="shared" si="660"/>
        <v>-</v>
      </c>
      <c r="AY411" s="1728" t="str">
        <f t="shared" si="660"/>
        <v>-</v>
      </c>
      <c r="AZ411" s="1728" t="str">
        <f t="shared" si="660"/>
        <v>-</v>
      </c>
      <c r="BA411" s="1728" t="str">
        <f t="shared" si="660"/>
        <v>-</v>
      </c>
      <c r="BB411" s="1729" t="str">
        <f t="shared" si="660"/>
        <v>-</v>
      </c>
      <c r="BC411" s="1728" t="str">
        <f t="shared" si="660"/>
        <v>-</v>
      </c>
      <c r="BD411" s="1728" t="str">
        <f t="shared" si="660"/>
        <v>-</v>
      </c>
      <c r="BE411" s="1728" t="str">
        <f t="shared" si="660"/>
        <v>-</v>
      </c>
      <c r="BF411" s="1728" t="str">
        <f t="shared" si="660"/>
        <v>-</v>
      </c>
      <c r="BG411" s="1729" t="str">
        <f t="shared" si="660"/>
        <v>-</v>
      </c>
      <c r="BH411" s="1048"/>
      <c r="BI411" s="2297" t="str">
        <f t="shared" si="652"/>
        <v>Price</v>
      </c>
      <c r="BJ411" s="2298" t="str">
        <f t="shared" si="652"/>
        <v>[Service]</v>
      </c>
      <c r="BK411" s="1719" t="str">
        <f t="shared" si="652"/>
        <v>[Price]</v>
      </c>
      <c r="BL411" s="2299" t="str">
        <f t="shared" ref="BL411:BZ411" si="665">IF(OR(X411="",X411=0),"-",IFERROR((X411/W411-1)*(W413/W$13),"-"))</f>
        <v>-</v>
      </c>
      <c r="BM411" s="1053" t="str">
        <f t="shared" si="665"/>
        <v>-</v>
      </c>
      <c r="BN411" s="1053" t="str">
        <f t="shared" si="665"/>
        <v>-</v>
      </c>
      <c r="BO411" s="2302" t="str">
        <f t="shared" si="665"/>
        <v>-</v>
      </c>
      <c r="BP411" s="1053" t="str">
        <f t="shared" si="665"/>
        <v>-</v>
      </c>
      <c r="BQ411" s="2303" t="str">
        <f t="shared" si="665"/>
        <v>-</v>
      </c>
      <c r="BR411" s="1053" t="str">
        <f t="shared" si="665"/>
        <v>-</v>
      </c>
      <c r="BS411" s="1053" t="str">
        <f t="shared" si="665"/>
        <v>-</v>
      </c>
      <c r="BT411" s="1053" t="str">
        <f t="shared" si="665"/>
        <v>-</v>
      </c>
      <c r="BU411" s="1054" t="str">
        <f t="shared" si="665"/>
        <v>-</v>
      </c>
      <c r="BV411" s="1053" t="str">
        <f t="shared" si="665"/>
        <v>-</v>
      </c>
      <c r="BW411" s="1053" t="str">
        <f t="shared" si="665"/>
        <v>-</v>
      </c>
      <c r="BX411" s="1053" t="str">
        <f t="shared" si="665"/>
        <v>-</v>
      </c>
      <c r="BY411" s="1053" t="str">
        <f t="shared" si="665"/>
        <v>-</v>
      </c>
      <c r="BZ411" s="1054" t="str">
        <f t="shared" si="665"/>
        <v>-</v>
      </c>
      <c r="CA411" s="1048"/>
    </row>
    <row r="412" spans="3:79" x14ac:dyDescent="0.3">
      <c r="C412" s="126"/>
      <c r="D412" s="126"/>
      <c r="E412" s="558" t="s">
        <v>46</v>
      </c>
      <c r="F412" s="2161" t="str">
        <f t="shared" ref="F412:I427" si="666">+F411</f>
        <v>[Service]</v>
      </c>
      <c r="G412" s="2163">
        <f t="shared" si="666"/>
        <v>0</v>
      </c>
      <c r="H412" s="2163">
        <f t="shared" si="666"/>
        <v>0</v>
      </c>
      <c r="I412" s="2164" t="str">
        <f t="shared" si="666"/>
        <v>[Price]</v>
      </c>
      <c r="J412" s="574" t="s">
        <v>323</v>
      </c>
      <c r="K412" s="1973"/>
      <c r="L412" s="1974"/>
      <c r="M412" s="1974"/>
      <c r="N412" s="1975"/>
      <c r="O412" s="1974"/>
      <c r="P412" s="1974"/>
      <c r="Q412" s="1974"/>
      <c r="R412" s="1976"/>
      <c r="S412" s="1975"/>
      <c r="T412" s="1974"/>
      <c r="U412" s="1974"/>
      <c r="V412" s="1974"/>
      <c r="W412" s="578"/>
      <c r="X412" s="1239"/>
      <c r="Y412" s="578"/>
      <c r="Z412" s="578"/>
      <c r="AA412" s="578"/>
      <c r="AB412" s="1143"/>
      <c r="AC412" s="578"/>
      <c r="AD412" s="578"/>
      <c r="AE412" s="578"/>
      <c r="AF412" s="578"/>
      <c r="AG412" s="580"/>
      <c r="AH412" s="578"/>
      <c r="AI412" s="578"/>
      <c r="AJ412" s="578"/>
      <c r="AK412" s="578"/>
      <c r="AL412" s="580"/>
      <c r="AM412" s="560"/>
      <c r="AN412" s="991"/>
      <c r="AO412" s="992"/>
      <c r="AP412" s="2285" t="str">
        <f t="shared" si="623"/>
        <v>Qty</v>
      </c>
      <c r="AQ412" s="2286" t="str">
        <f t="shared" si="623"/>
        <v>[Service]</v>
      </c>
      <c r="AR412" s="2287" t="str">
        <f t="shared" si="624"/>
        <v>[Price]</v>
      </c>
      <c r="AS412" s="2288" t="str">
        <f t="shared" si="660"/>
        <v>-</v>
      </c>
      <c r="AT412" s="1720" t="str">
        <f t="shared" si="660"/>
        <v>-</v>
      </c>
      <c r="AU412" s="1720" t="str">
        <f t="shared" si="660"/>
        <v>-</v>
      </c>
      <c r="AV412" s="2289" t="str">
        <f t="shared" si="660"/>
        <v>-</v>
      </c>
      <c r="AW412" s="1720" t="str">
        <f t="shared" si="660"/>
        <v>-</v>
      </c>
      <c r="AX412" s="2290" t="str">
        <f t="shared" si="660"/>
        <v>-</v>
      </c>
      <c r="AY412" s="1720" t="str">
        <f t="shared" si="660"/>
        <v>-</v>
      </c>
      <c r="AZ412" s="1720" t="str">
        <f t="shared" si="660"/>
        <v>-</v>
      </c>
      <c r="BA412" s="1720" t="str">
        <f t="shared" si="660"/>
        <v>-</v>
      </c>
      <c r="BB412" s="1721" t="str">
        <f t="shared" si="660"/>
        <v>-</v>
      </c>
      <c r="BC412" s="1720" t="str">
        <f t="shared" si="660"/>
        <v>-</v>
      </c>
      <c r="BD412" s="1720" t="str">
        <f t="shared" si="660"/>
        <v>-</v>
      </c>
      <c r="BE412" s="1720" t="str">
        <f t="shared" si="660"/>
        <v>-</v>
      </c>
      <c r="BF412" s="1720" t="str">
        <f t="shared" si="660"/>
        <v>-</v>
      </c>
      <c r="BG412" s="1721" t="str">
        <f t="shared" si="660"/>
        <v>-</v>
      </c>
      <c r="BH412" s="1048"/>
      <c r="BI412" s="2285" t="str">
        <f t="shared" si="652"/>
        <v>Qty</v>
      </c>
      <c r="BJ412" s="2286" t="str">
        <f t="shared" si="652"/>
        <v>[Service]</v>
      </c>
      <c r="BK412" s="2287" t="str">
        <f t="shared" si="652"/>
        <v>[Price]</v>
      </c>
      <c r="BL412" s="2288" t="str">
        <f t="shared" ref="BL412:BZ412" si="667">IF(OR(X412="",X412=0),"-",IFERROR((X412/W412-1)*(W413/W$13),"-"))</f>
        <v>-</v>
      </c>
      <c r="BM412" s="1720" t="str">
        <f t="shared" si="667"/>
        <v>-</v>
      </c>
      <c r="BN412" s="1720" t="str">
        <f t="shared" si="667"/>
        <v>-</v>
      </c>
      <c r="BO412" s="2289" t="str">
        <f t="shared" si="667"/>
        <v>-</v>
      </c>
      <c r="BP412" s="1720" t="str">
        <f t="shared" si="667"/>
        <v>-</v>
      </c>
      <c r="BQ412" s="2290" t="str">
        <f t="shared" si="667"/>
        <v>-</v>
      </c>
      <c r="BR412" s="1720" t="str">
        <f t="shared" si="667"/>
        <v>-</v>
      </c>
      <c r="BS412" s="1720" t="str">
        <f t="shared" si="667"/>
        <v>-</v>
      </c>
      <c r="BT412" s="1720" t="str">
        <f t="shared" si="667"/>
        <v>-</v>
      </c>
      <c r="BU412" s="1721" t="str">
        <f t="shared" si="667"/>
        <v>-</v>
      </c>
      <c r="BV412" s="1720" t="str">
        <f t="shared" si="667"/>
        <v>-</v>
      </c>
      <c r="BW412" s="1720" t="str">
        <f t="shared" si="667"/>
        <v>-</v>
      </c>
      <c r="BX412" s="1720" t="str">
        <f t="shared" si="667"/>
        <v>-</v>
      </c>
      <c r="BY412" s="1720" t="str">
        <f t="shared" si="667"/>
        <v>-</v>
      </c>
      <c r="BZ412" s="1721" t="str">
        <f t="shared" si="667"/>
        <v>-</v>
      </c>
      <c r="CA412" s="1048"/>
    </row>
    <row r="413" spans="3:79" ht="12.5" thickBot="1" x14ac:dyDescent="0.35">
      <c r="C413" s="126"/>
      <c r="D413" s="126"/>
      <c r="E413" s="559" t="s">
        <v>47</v>
      </c>
      <c r="F413" s="2162" t="str">
        <f t="shared" ref="F413:I413" si="668">+F411</f>
        <v>[Service]</v>
      </c>
      <c r="G413" s="2165">
        <f t="shared" si="668"/>
        <v>0</v>
      </c>
      <c r="H413" s="2165">
        <f t="shared" si="668"/>
        <v>0</v>
      </c>
      <c r="I413" s="2166" t="str">
        <f t="shared" si="668"/>
        <v>[Price]</v>
      </c>
      <c r="J413" s="2106" t="s">
        <v>347</v>
      </c>
      <c r="K413" s="1977"/>
      <c r="L413" s="1206"/>
      <c r="M413" s="1206"/>
      <c r="N413" s="1978"/>
      <c r="O413" s="1206"/>
      <c r="P413" s="1206"/>
      <c r="Q413" s="1206"/>
      <c r="R413" s="1206"/>
      <c r="S413" s="1978"/>
      <c r="T413" s="1206"/>
      <c r="U413" s="1206"/>
      <c r="V413" s="1206"/>
      <c r="W413" s="1731">
        <f t="shared" ref="W413:AG413" si="669">W411*W412/10^6</f>
        <v>0</v>
      </c>
      <c r="X413" s="1730">
        <f t="shared" si="669"/>
        <v>0</v>
      </c>
      <c r="Y413" s="1731">
        <f t="shared" si="669"/>
        <v>0</v>
      </c>
      <c r="Z413" s="1731">
        <f t="shared" si="669"/>
        <v>0</v>
      </c>
      <c r="AA413" s="1731">
        <f t="shared" si="669"/>
        <v>0</v>
      </c>
      <c r="AB413" s="1733">
        <f t="shared" si="669"/>
        <v>0</v>
      </c>
      <c r="AC413" s="1731">
        <f t="shared" si="669"/>
        <v>0</v>
      </c>
      <c r="AD413" s="1731">
        <f t="shared" si="669"/>
        <v>0</v>
      </c>
      <c r="AE413" s="1731">
        <f t="shared" si="669"/>
        <v>0</v>
      </c>
      <c r="AF413" s="1731">
        <f t="shared" si="669"/>
        <v>0</v>
      </c>
      <c r="AG413" s="1733">
        <f t="shared" si="669"/>
        <v>0</v>
      </c>
      <c r="AH413" s="1731">
        <f>AH411*AH412/10^6</f>
        <v>0</v>
      </c>
      <c r="AI413" s="1731">
        <f>AI411*AI412/10^6</f>
        <v>0</v>
      </c>
      <c r="AJ413" s="1731">
        <f>AJ411*AJ412/10^6</f>
        <v>0</v>
      </c>
      <c r="AK413" s="1731">
        <f>AK411*AK412/10^6</f>
        <v>0</v>
      </c>
      <c r="AL413" s="1733">
        <f>AL411*AL412/10^6</f>
        <v>0</v>
      </c>
      <c r="AM413" s="560"/>
      <c r="AN413" s="991"/>
      <c r="AO413" s="992"/>
      <c r="AP413" s="2304" t="str">
        <f t="shared" si="623"/>
        <v>Rev</v>
      </c>
      <c r="AQ413" s="2305" t="str">
        <f t="shared" si="623"/>
        <v>[Service]</v>
      </c>
      <c r="AR413" s="2306" t="str">
        <f t="shared" si="624"/>
        <v>[Price]</v>
      </c>
      <c r="AS413" s="2307" t="str">
        <f t="shared" si="660"/>
        <v>-</v>
      </c>
      <c r="AT413" s="1055" t="str">
        <f t="shared" si="660"/>
        <v>-</v>
      </c>
      <c r="AU413" s="1055" t="str">
        <f t="shared" si="660"/>
        <v>-</v>
      </c>
      <c r="AV413" s="2308" t="str">
        <f t="shared" si="660"/>
        <v>-</v>
      </c>
      <c r="AW413" s="1055" t="str">
        <f t="shared" si="660"/>
        <v>-</v>
      </c>
      <c r="AX413" s="2309" t="str">
        <f t="shared" si="660"/>
        <v>-</v>
      </c>
      <c r="AY413" s="1055" t="str">
        <f t="shared" si="660"/>
        <v>-</v>
      </c>
      <c r="AZ413" s="1055" t="str">
        <f t="shared" si="660"/>
        <v>-</v>
      </c>
      <c r="BA413" s="1055" t="str">
        <f t="shared" si="660"/>
        <v>-</v>
      </c>
      <c r="BB413" s="1056" t="str">
        <f t="shared" si="660"/>
        <v>-</v>
      </c>
      <c r="BC413" s="1055" t="str">
        <f t="shared" si="660"/>
        <v>-</v>
      </c>
      <c r="BD413" s="1055" t="str">
        <f t="shared" si="660"/>
        <v>-</v>
      </c>
      <c r="BE413" s="1055" t="str">
        <f t="shared" si="660"/>
        <v>-</v>
      </c>
      <c r="BF413" s="1055" t="str">
        <f t="shared" si="660"/>
        <v>-</v>
      </c>
      <c r="BG413" s="1056" t="str">
        <f t="shared" si="660"/>
        <v>-</v>
      </c>
      <c r="BH413" s="1048"/>
      <c r="BI413" s="2304" t="str">
        <f t="shared" si="652"/>
        <v>Rev</v>
      </c>
      <c r="BJ413" s="2305" t="str">
        <f t="shared" si="652"/>
        <v>[Service]</v>
      </c>
      <c r="BK413" s="2306" t="str">
        <f t="shared" si="652"/>
        <v>[Price]</v>
      </c>
      <c r="BL413" s="2307" t="str">
        <f t="shared" ref="BL413:BZ413" si="670">IF(OR(X413="",X413=0),"-",IFERROR((X413/W413-1)*(W413/W$13),"-"))</f>
        <v>-</v>
      </c>
      <c r="BM413" s="1055" t="str">
        <f t="shared" si="670"/>
        <v>-</v>
      </c>
      <c r="BN413" s="1055" t="str">
        <f t="shared" si="670"/>
        <v>-</v>
      </c>
      <c r="BO413" s="2308" t="str">
        <f t="shared" si="670"/>
        <v>-</v>
      </c>
      <c r="BP413" s="1055" t="str">
        <f t="shared" si="670"/>
        <v>-</v>
      </c>
      <c r="BQ413" s="2309" t="str">
        <f t="shared" si="670"/>
        <v>-</v>
      </c>
      <c r="BR413" s="1055" t="str">
        <f t="shared" si="670"/>
        <v>-</v>
      </c>
      <c r="BS413" s="1055" t="str">
        <f t="shared" si="670"/>
        <v>-</v>
      </c>
      <c r="BT413" s="1055" t="str">
        <f t="shared" si="670"/>
        <v>-</v>
      </c>
      <c r="BU413" s="1056" t="str">
        <f t="shared" si="670"/>
        <v>-</v>
      </c>
      <c r="BV413" s="1055" t="str">
        <f t="shared" si="670"/>
        <v>-</v>
      </c>
      <c r="BW413" s="1055" t="str">
        <f t="shared" si="670"/>
        <v>-</v>
      </c>
      <c r="BX413" s="1055" t="str">
        <f t="shared" si="670"/>
        <v>-</v>
      </c>
      <c r="BY413" s="1055" t="str">
        <f t="shared" si="670"/>
        <v>-</v>
      </c>
      <c r="BZ413" s="1056" t="str">
        <f t="shared" si="670"/>
        <v>-</v>
      </c>
      <c r="CA413" s="1048"/>
    </row>
    <row r="414" spans="3:79" x14ac:dyDescent="0.3">
      <c r="C414" s="126"/>
      <c r="D414" s="126">
        <f>D411+1</f>
        <v>116</v>
      </c>
      <c r="E414" s="553" t="s">
        <v>45</v>
      </c>
      <c r="F414" s="2105" t="s">
        <v>28</v>
      </c>
      <c r="G414" s="2105"/>
      <c r="H414" s="2105"/>
      <c r="I414" s="573" t="s">
        <v>319</v>
      </c>
      <c r="J414" s="573" t="s">
        <v>348</v>
      </c>
      <c r="K414" s="1969"/>
      <c r="L414" s="1970"/>
      <c r="M414" s="1970"/>
      <c r="N414" s="1971"/>
      <c r="O414" s="1970"/>
      <c r="P414" s="1970"/>
      <c r="Q414" s="1970"/>
      <c r="R414" s="1972"/>
      <c r="S414" s="1971"/>
      <c r="T414" s="1970"/>
      <c r="U414" s="1970"/>
      <c r="V414" s="1970"/>
      <c r="W414" s="575"/>
      <c r="X414" s="1238"/>
      <c r="Y414" s="575"/>
      <c r="Z414" s="575"/>
      <c r="AA414" s="575"/>
      <c r="AB414" s="1142"/>
      <c r="AC414" s="575"/>
      <c r="AD414" s="575"/>
      <c r="AE414" s="575"/>
      <c r="AF414" s="575"/>
      <c r="AG414" s="577"/>
      <c r="AH414" s="575"/>
      <c r="AI414" s="575"/>
      <c r="AJ414" s="575"/>
      <c r="AK414" s="575"/>
      <c r="AL414" s="577"/>
      <c r="AM414" s="560"/>
      <c r="AN414" s="1052"/>
      <c r="AO414" s="992"/>
      <c r="AP414" s="2297" t="str">
        <f t="shared" si="623"/>
        <v>Price</v>
      </c>
      <c r="AQ414" s="2298" t="str">
        <f t="shared" si="623"/>
        <v>[Service]</v>
      </c>
      <c r="AR414" s="1719" t="str">
        <f t="shared" si="624"/>
        <v>[Price]</v>
      </c>
      <c r="AS414" s="2299" t="str">
        <f t="shared" si="660"/>
        <v>-</v>
      </c>
      <c r="AT414" s="1728" t="str">
        <f t="shared" si="660"/>
        <v>-</v>
      </c>
      <c r="AU414" s="1728" t="str">
        <f t="shared" si="660"/>
        <v>-</v>
      </c>
      <c r="AV414" s="2300" t="str">
        <f t="shared" si="660"/>
        <v>-</v>
      </c>
      <c r="AW414" s="1728" t="str">
        <f t="shared" si="660"/>
        <v>-</v>
      </c>
      <c r="AX414" s="2301" t="str">
        <f t="shared" si="660"/>
        <v>-</v>
      </c>
      <c r="AY414" s="1728" t="str">
        <f t="shared" si="660"/>
        <v>-</v>
      </c>
      <c r="AZ414" s="1728" t="str">
        <f t="shared" si="660"/>
        <v>-</v>
      </c>
      <c r="BA414" s="1728" t="str">
        <f t="shared" si="660"/>
        <v>-</v>
      </c>
      <c r="BB414" s="1729" t="str">
        <f t="shared" si="660"/>
        <v>-</v>
      </c>
      <c r="BC414" s="1728" t="str">
        <f t="shared" si="660"/>
        <v>-</v>
      </c>
      <c r="BD414" s="1728" t="str">
        <f t="shared" si="660"/>
        <v>-</v>
      </c>
      <c r="BE414" s="1728" t="str">
        <f t="shared" si="660"/>
        <v>-</v>
      </c>
      <c r="BF414" s="1728" t="str">
        <f t="shared" si="660"/>
        <v>-</v>
      </c>
      <c r="BG414" s="1729" t="str">
        <f t="shared" si="660"/>
        <v>-</v>
      </c>
      <c r="BH414" s="1048"/>
      <c r="BI414" s="2297" t="str">
        <f t="shared" si="652"/>
        <v>Price</v>
      </c>
      <c r="BJ414" s="2298" t="str">
        <f t="shared" si="652"/>
        <v>[Service]</v>
      </c>
      <c r="BK414" s="1719" t="str">
        <f t="shared" si="652"/>
        <v>[Price]</v>
      </c>
      <c r="BL414" s="2299" t="str">
        <f t="shared" ref="BL414:BZ414" si="671">IF(OR(X414="",X414=0),"-",IFERROR((X414/W414-1)*(W416/W$13),"-"))</f>
        <v>-</v>
      </c>
      <c r="BM414" s="1053" t="str">
        <f t="shared" si="671"/>
        <v>-</v>
      </c>
      <c r="BN414" s="1053" t="str">
        <f t="shared" si="671"/>
        <v>-</v>
      </c>
      <c r="BO414" s="2302" t="str">
        <f t="shared" si="671"/>
        <v>-</v>
      </c>
      <c r="BP414" s="1053" t="str">
        <f t="shared" si="671"/>
        <v>-</v>
      </c>
      <c r="BQ414" s="2303" t="str">
        <f t="shared" si="671"/>
        <v>-</v>
      </c>
      <c r="BR414" s="1053" t="str">
        <f t="shared" si="671"/>
        <v>-</v>
      </c>
      <c r="BS414" s="1053" t="str">
        <f t="shared" si="671"/>
        <v>-</v>
      </c>
      <c r="BT414" s="1053" t="str">
        <f t="shared" si="671"/>
        <v>-</v>
      </c>
      <c r="BU414" s="1054" t="str">
        <f t="shared" si="671"/>
        <v>-</v>
      </c>
      <c r="BV414" s="1053" t="str">
        <f t="shared" si="671"/>
        <v>-</v>
      </c>
      <c r="BW414" s="1053" t="str">
        <f t="shared" si="671"/>
        <v>-</v>
      </c>
      <c r="BX414" s="1053" t="str">
        <f t="shared" si="671"/>
        <v>-</v>
      </c>
      <c r="BY414" s="1053" t="str">
        <f t="shared" si="671"/>
        <v>-</v>
      </c>
      <c r="BZ414" s="1054" t="str">
        <f t="shared" si="671"/>
        <v>-</v>
      </c>
      <c r="CA414" s="1048"/>
    </row>
    <row r="415" spans="3:79" x14ac:dyDescent="0.3">
      <c r="C415" s="126"/>
      <c r="D415" s="126"/>
      <c r="E415" s="558" t="s">
        <v>46</v>
      </c>
      <c r="F415" s="2161" t="str">
        <f t="shared" si="666"/>
        <v>[Service]</v>
      </c>
      <c r="G415" s="2163">
        <f t="shared" si="666"/>
        <v>0</v>
      </c>
      <c r="H415" s="2163">
        <f t="shared" si="666"/>
        <v>0</v>
      </c>
      <c r="I415" s="2164" t="str">
        <f t="shared" si="666"/>
        <v>[Price]</v>
      </c>
      <c r="J415" s="574" t="s">
        <v>323</v>
      </c>
      <c r="K415" s="1973"/>
      <c r="L415" s="1974"/>
      <c r="M415" s="1974"/>
      <c r="N415" s="1975"/>
      <c r="O415" s="1974"/>
      <c r="P415" s="1974"/>
      <c r="Q415" s="1974"/>
      <c r="R415" s="1976"/>
      <c r="S415" s="1975"/>
      <c r="T415" s="1974"/>
      <c r="U415" s="1974"/>
      <c r="V415" s="1974"/>
      <c r="W415" s="578"/>
      <c r="X415" s="1239"/>
      <c r="Y415" s="578"/>
      <c r="Z415" s="578"/>
      <c r="AA415" s="578"/>
      <c r="AB415" s="1143"/>
      <c r="AC415" s="578"/>
      <c r="AD415" s="578"/>
      <c r="AE415" s="578"/>
      <c r="AF415" s="578"/>
      <c r="AG415" s="580"/>
      <c r="AH415" s="578"/>
      <c r="AI415" s="578"/>
      <c r="AJ415" s="578"/>
      <c r="AK415" s="578"/>
      <c r="AL415" s="580"/>
      <c r="AM415" s="560"/>
      <c r="AN415" s="991"/>
      <c r="AO415" s="992"/>
      <c r="AP415" s="2285" t="str">
        <f t="shared" si="623"/>
        <v>Qty</v>
      </c>
      <c r="AQ415" s="2286" t="str">
        <f t="shared" si="623"/>
        <v>[Service]</v>
      </c>
      <c r="AR415" s="2287" t="str">
        <f t="shared" si="624"/>
        <v>[Price]</v>
      </c>
      <c r="AS415" s="2288" t="str">
        <f t="shared" si="660"/>
        <v>-</v>
      </c>
      <c r="AT415" s="1720" t="str">
        <f t="shared" si="660"/>
        <v>-</v>
      </c>
      <c r="AU415" s="1720" t="str">
        <f t="shared" si="660"/>
        <v>-</v>
      </c>
      <c r="AV415" s="2289" t="str">
        <f t="shared" si="660"/>
        <v>-</v>
      </c>
      <c r="AW415" s="1720" t="str">
        <f t="shared" si="660"/>
        <v>-</v>
      </c>
      <c r="AX415" s="2290" t="str">
        <f t="shared" si="660"/>
        <v>-</v>
      </c>
      <c r="AY415" s="1720" t="str">
        <f t="shared" si="660"/>
        <v>-</v>
      </c>
      <c r="AZ415" s="1720" t="str">
        <f t="shared" si="660"/>
        <v>-</v>
      </c>
      <c r="BA415" s="1720" t="str">
        <f t="shared" si="660"/>
        <v>-</v>
      </c>
      <c r="BB415" s="1721" t="str">
        <f t="shared" si="660"/>
        <v>-</v>
      </c>
      <c r="BC415" s="1720" t="str">
        <f t="shared" si="660"/>
        <v>-</v>
      </c>
      <c r="BD415" s="1720" t="str">
        <f t="shared" si="660"/>
        <v>-</v>
      </c>
      <c r="BE415" s="1720" t="str">
        <f t="shared" si="660"/>
        <v>-</v>
      </c>
      <c r="BF415" s="1720" t="str">
        <f t="shared" si="660"/>
        <v>-</v>
      </c>
      <c r="BG415" s="1721" t="str">
        <f t="shared" si="660"/>
        <v>-</v>
      </c>
      <c r="BH415" s="1048"/>
      <c r="BI415" s="2285" t="str">
        <f t="shared" si="652"/>
        <v>Qty</v>
      </c>
      <c r="BJ415" s="2286" t="str">
        <f t="shared" si="652"/>
        <v>[Service]</v>
      </c>
      <c r="BK415" s="2287" t="str">
        <f t="shared" si="652"/>
        <v>[Price]</v>
      </c>
      <c r="BL415" s="2288" t="str">
        <f t="shared" ref="BL415:BZ415" si="672">IF(OR(X415="",X415=0),"-",IFERROR((X415/W415-1)*(W416/W$13),"-"))</f>
        <v>-</v>
      </c>
      <c r="BM415" s="1720" t="str">
        <f t="shared" si="672"/>
        <v>-</v>
      </c>
      <c r="BN415" s="1720" t="str">
        <f t="shared" si="672"/>
        <v>-</v>
      </c>
      <c r="BO415" s="2289" t="str">
        <f t="shared" si="672"/>
        <v>-</v>
      </c>
      <c r="BP415" s="1720" t="str">
        <f t="shared" si="672"/>
        <v>-</v>
      </c>
      <c r="BQ415" s="2290" t="str">
        <f t="shared" si="672"/>
        <v>-</v>
      </c>
      <c r="BR415" s="1720" t="str">
        <f t="shared" si="672"/>
        <v>-</v>
      </c>
      <c r="BS415" s="1720" t="str">
        <f t="shared" si="672"/>
        <v>-</v>
      </c>
      <c r="BT415" s="1720" t="str">
        <f t="shared" si="672"/>
        <v>-</v>
      </c>
      <c r="BU415" s="1721" t="str">
        <f t="shared" si="672"/>
        <v>-</v>
      </c>
      <c r="BV415" s="1720" t="str">
        <f t="shared" si="672"/>
        <v>-</v>
      </c>
      <c r="BW415" s="1720" t="str">
        <f t="shared" si="672"/>
        <v>-</v>
      </c>
      <c r="BX415" s="1720" t="str">
        <f t="shared" si="672"/>
        <v>-</v>
      </c>
      <c r="BY415" s="1720" t="str">
        <f t="shared" si="672"/>
        <v>-</v>
      </c>
      <c r="BZ415" s="1721" t="str">
        <f t="shared" si="672"/>
        <v>-</v>
      </c>
      <c r="CA415" s="1048"/>
    </row>
    <row r="416" spans="3:79" ht="12.5" thickBot="1" x14ac:dyDescent="0.35">
      <c r="C416" s="126"/>
      <c r="D416" s="126"/>
      <c r="E416" s="559" t="s">
        <v>47</v>
      </c>
      <c r="F416" s="2162" t="str">
        <f t="shared" ref="F416:I416" si="673">+F414</f>
        <v>[Service]</v>
      </c>
      <c r="G416" s="2165">
        <f t="shared" si="673"/>
        <v>0</v>
      </c>
      <c r="H416" s="2165">
        <f t="shared" si="673"/>
        <v>0</v>
      </c>
      <c r="I416" s="2166" t="str">
        <f t="shared" si="673"/>
        <v>[Price]</v>
      </c>
      <c r="J416" s="2106" t="s">
        <v>347</v>
      </c>
      <c r="K416" s="1977"/>
      <c r="L416" s="1206"/>
      <c r="M416" s="1206"/>
      <c r="N416" s="1978"/>
      <c r="O416" s="1206"/>
      <c r="P416" s="1206"/>
      <c r="Q416" s="1206"/>
      <c r="R416" s="1206"/>
      <c r="S416" s="1978"/>
      <c r="T416" s="1206"/>
      <c r="U416" s="1206"/>
      <c r="V416" s="1206"/>
      <c r="W416" s="1731">
        <f t="shared" ref="W416:AG416" si="674">W414*W415/10^6</f>
        <v>0</v>
      </c>
      <c r="X416" s="1730">
        <f t="shared" si="674"/>
        <v>0</v>
      </c>
      <c r="Y416" s="1731">
        <f t="shared" si="674"/>
        <v>0</v>
      </c>
      <c r="Z416" s="1731">
        <f t="shared" si="674"/>
        <v>0</v>
      </c>
      <c r="AA416" s="1731">
        <f t="shared" si="674"/>
        <v>0</v>
      </c>
      <c r="AB416" s="1733">
        <f t="shared" si="674"/>
        <v>0</v>
      </c>
      <c r="AC416" s="1731">
        <f t="shared" si="674"/>
        <v>0</v>
      </c>
      <c r="AD416" s="1731">
        <f t="shared" si="674"/>
        <v>0</v>
      </c>
      <c r="AE416" s="1731">
        <f t="shared" si="674"/>
        <v>0</v>
      </c>
      <c r="AF416" s="1731">
        <f t="shared" si="674"/>
        <v>0</v>
      </c>
      <c r="AG416" s="1733">
        <f t="shared" si="674"/>
        <v>0</v>
      </c>
      <c r="AH416" s="1731">
        <f>AH414*AH415/10^6</f>
        <v>0</v>
      </c>
      <c r="AI416" s="1731">
        <f>AI414*AI415/10^6</f>
        <v>0</v>
      </c>
      <c r="AJ416" s="1731">
        <f>AJ414*AJ415/10^6</f>
        <v>0</v>
      </c>
      <c r="AK416" s="1731">
        <f>AK414*AK415/10^6</f>
        <v>0</v>
      </c>
      <c r="AL416" s="1733">
        <f>AL414*AL415/10^6</f>
        <v>0</v>
      </c>
      <c r="AM416" s="560"/>
      <c r="AN416" s="991"/>
      <c r="AO416" s="992"/>
      <c r="AP416" s="2304" t="str">
        <f t="shared" si="623"/>
        <v>Rev</v>
      </c>
      <c r="AQ416" s="2305" t="str">
        <f t="shared" si="623"/>
        <v>[Service]</v>
      </c>
      <c r="AR416" s="2306" t="str">
        <f t="shared" si="624"/>
        <v>[Price]</v>
      </c>
      <c r="AS416" s="2307" t="str">
        <f t="shared" si="660"/>
        <v>-</v>
      </c>
      <c r="AT416" s="1055" t="str">
        <f t="shared" si="660"/>
        <v>-</v>
      </c>
      <c r="AU416" s="1055" t="str">
        <f t="shared" si="660"/>
        <v>-</v>
      </c>
      <c r="AV416" s="2308" t="str">
        <f t="shared" si="660"/>
        <v>-</v>
      </c>
      <c r="AW416" s="1055" t="str">
        <f t="shared" si="660"/>
        <v>-</v>
      </c>
      <c r="AX416" s="2309" t="str">
        <f t="shared" si="660"/>
        <v>-</v>
      </c>
      <c r="AY416" s="1055" t="str">
        <f t="shared" si="660"/>
        <v>-</v>
      </c>
      <c r="AZ416" s="1055" t="str">
        <f t="shared" si="660"/>
        <v>-</v>
      </c>
      <c r="BA416" s="1055" t="str">
        <f t="shared" si="660"/>
        <v>-</v>
      </c>
      <c r="BB416" s="1056" t="str">
        <f t="shared" si="660"/>
        <v>-</v>
      </c>
      <c r="BC416" s="1055" t="str">
        <f t="shared" si="660"/>
        <v>-</v>
      </c>
      <c r="BD416" s="1055" t="str">
        <f t="shared" si="660"/>
        <v>-</v>
      </c>
      <c r="BE416" s="1055" t="str">
        <f t="shared" si="660"/>
        <v>-</v>
      </c>
      <c r="BF416" s="1055" t="str">
        <f t="shared" si="660"/>
        <v>-</v>
      </c>
      <c r="BG416" s="1056" t="str">
        <f t="shared" si="660"/>
        <v>-</v>
      </c>
      <c r="BH416" s="1048"/>
      <c r="BI416" s="2304" t="str">
        <f t="shared" si="652"/>
        <v>Rev</v>
      </c>
      <c r="BJ416" s="2305" t="str">
        <f t="shared" si="652"/>
        <v>[Service]</v>
      </c>
      <c r="BK416" s="2306" t="str">
        <f t="shared" si="652"/>
        <v>[Price]</v>
      </c>
      <c r="BL416" s="2307" t="str">
        <f t="shared" ref="BL416:BZ416" si="675">IF(OR(X416="",X416=0),"-",IFERROR((X416/W416-1)*(W416/W$13),"-"))</f>
        <v>-</v>
      </c>
      <c r="BM416" s="1055" t="str">
        <f t="shared" si="675"/>
        <v>-</v>
      </c>
      <c r="BN416" s="1055" t="str">
        <f t="shared" si="675"/>
        <v>-</v>
      </c>
      <c r="BO416" s="2308" t="str">
        <f t="shared" si="675"/>
        <v>-</v>
      </c>
      <c r="BP416" s="1055" t="str">
        <f t="shared" si="675"/>
        <v>-</v>
      </c>
      <c r="BQ416" s="2309" t="str">
        <f t="shared" si="675"/>
        <v>-</v>
      </c>
      <c r="BR416" s="1055" t="str">
        <f t="shared" si="675"/>
        <v>-</v>
      </c>
      <c r="BS416" s="1055" t="str">
        <f t="shared" si="675"/>
        <v>-</v>
      </c>
      <c r="BT416" s="1055" t="str">
        <f t="shared" si="675"/>
        <v>-</v>
      </c>
      <c r="BU416" s="1056" t="str">
        <f t="shared" si="675"/>
        <v>-</v>
      </c>
      <c r="BV416" s="1055" t="str">
        <f t="shared" si="675"/>
        <v>-</v>
      </c>
      <c r="BW416" s="1055" t="str">
        <f t="shared" si="675"/>
        <v>-</v>
      </c>
      <c r="BX416" s="1055" t="str">
        <f t="shared" si="675"/>
        <v>-</v>
      </c>
      <c r="BY416" s="1055" t="str">
        <f t="shared" si="675"/>
        <v>-</v>
      </c>
      <c r="BZ416" s="1056" t="str">
        <f t="shared" si="675"/>
        <v>-</v>
      </c>
      <c r="CA416" s="1048"/>
    </row>
    <row r="417" spans="3:79" x14ac:dyDescent="0.3">
      <c r="C417" s="126"/>
      <c r="D417" s="126">
        <f>D414+1</f>
        <v>117</v>
      </c>
      <c r="E417" s="553" t="s">
        <v>45</v>
      </c>
      <c r="F417" s="2105" t="s">
        <v>28</v>
      </c>
      <c r="G417" s="2105"/>
      <c r="H417" s="2105"/>
      <c r="I417" s="573" t="s">
        <v>319</v>
      </c>
      <c r="J417" s="573" t="s">
        <v>348</v>
      </c>
      <c r="K417" s="1969"/>
      <c r="L417" s="1970"/>
      <c r="M417" s="1970"/>
      <c r="N417" s="1971"/>
      <c r="O417" s="1970"/>
      <c r="P417" s="1970"/>
      <c r="Q417" s="1970"/>
      <c r="R417" s="1972"/>
      <c r="S417" s="1971"/>
      <c r="T417" s="1970"/>
      <c r="U417" s="1970"/>
      <c r="V417" s="1970"/>
      <c r="W417" s="575"/>
      <c r="X417" s="1238"/>
      <c r="Y417" s="575"/>
      <c r="Z417" s="575"/>
      <c r="AA417" s="575"/>
      <c r="AB417" s="1142"/>
      <c r="AC417" s="575"/>
      <c r="AD417" s="575"/>
      <c r="AE417" s="575"/>
      <c r="AF417" s="575"/>
      <c r="AG417" s="577"/>
      <c r="AH417" s="575"/>
      <c r="AI417" s="575"/>
      <c r="AJ417" s="575"/>
      <c r="AK417" s="575"/>
      <c r="AL417" s="577"/>
      <c r="AM417" s="560"/>
      <c r="AN417" s="1052"/>
      <c r="AO417" s="992"/>
      <c r="AP417" s="2297" t="str">
        <f t="shared" si="623"/>
        <v>Price</v>
      </c>
      <c r="AQ417" s="2298" t="str">
        <f t="shared" si="623"/>
        <v>[Service]</v>
      </c>
      <c r="AR417" s="1719" t="str">
        <f t="shared" si="624"/>
        <v>[Price]</v>
      </c>
      <c r="AS417" s="2299" t="str">
        <f t="shared" si="660"/>
        <v>-</v>
      </c>
      <c r="AT417" s="1728" t="str">
        <f t="shared" si="660"/>
        <v>-</v>
      </c>
      <c r="AU417" s="1728" t="str">
        <f t="shared" si="660"/>
        <v>-</v>
      </c>
      <c r="AV417" s="2300" t="str">
        <f t="shared" si="660"/>
        <v>-</v>
      </c>
      <c r="AW417" s="1728" t="str">
        <f t="shared" si="660"/>
        <v>-</v>
      </c>
      <c r="AX417" s="2301" t="str">
        <f t="shared" si="660"/>
        <v>-</v>
      </c>
      <c r="AY417" s="1728" t="str">
        <f t="shared" si="660"/>
        <v>-</v>
      </c>
      <c r="AZ417" s="1728" t="str">
        <f t="shared" si="660"/>
        <v>-</v>
      </c>
      <c r="BA417" s="1728" t="str">
        <f t="shared" si="660"/>
        <v>-</v>
      </c>
      <c r="BB417" s="1729" t="str">
        <f t="shared" si="660"/>
        <v>-</v>
      </c>
      <c r="BC417" s="1728" t="str">
        <f t="shared" si="660"/>
        <v>-</v>
      </c>
      <c r="BD417" s="1728" t="str">
        <f t="shared" si="660"/>
        <v>-</v>
      </c>
      <c r="BE417" s="1728" t="str">
        <f t="shared" si="660"/>
        <v>-</v>
      </c>
      <c r="BF417" s="1728" t="str">
        <f t="shared" si="660"/>
        <v>-</v>
      </c>
      <c r="BG417" s="1729" t="str">
        <f t="shared" si="660"/>
        <v>-</v>
      </c>
      <c r="BH417" s="1048"/>
      <c r="BI417" s="2297" t="str">
        <f t="shared" si="652"/>
        <v>Price</v>
      </c>
      <c r="BJ417" s="2298" t="str">
        <f t="shared" si="652"/>
        <v>[Service]</v>
      </c>
      <c r="BK417" s="1719" t="str">
        <f t="shared" si="652"/>
        <v>[Price]</v>
      </c>
      <c r="BL417" s="2299" t="str">
        <f t="shared" ref="BL417:BZ417" si="676">IF(OR(X417="",X417=0),"-",IFERROR((X417/W417-1)*(W419/W$13),"-"))</f>
        <v>-</v>
      </c>
      <c r="BM417" s="1053" t="str">
        <f t="shared" si="676"/>
        <v>-</v>
      </c>
      <c r="BN417" s="1053" t="str">
        <f t="shared" si="676"/>
        <v>-</v>
      </c>
      <c r="BO417" s="2302" t="str">
        <f t="shared" si="676"/>
        <v>-</v>
      </c>
      <c r="BP417" s="1053" t="str">
        <f t="shared" si="676"/>
        <v>-</v>
      </c>
      <c r="BQ417" s="2303" t="str">
        <f t="shared" si="676"/>
        <v>-</v>
      </c>
      <c r="BR417" s="1053" t="str">
        <f t="shared" si="676"/>
        <v>-</v>
      </c>
      <c r="BS417" s="1053" t="str">
        <f t="shared" si="676"/>
        <v>-</v>
      </c>
      <c r="BT417" s="1053" t="str">
        <f t="shared" si="676"/>
        <v>-</v>
      </c>
      <c r="BU417" s="1054" t="str">
        <f t="shared" si="676"/>
        <v>-</v>
      </c>
      <c r="BV417" s="1053" t="str">
        <f t="shared" si="676"/>
        <v>-</v>
      </c>
      <c r="BW417" s="1053" t="str">
        <f t="shared" si="676"/>
        <v>-</v>
      </c>
      <c r="BX417" s="1053" t="str">
        <f t="shared" si="676"/>
        <v>-</v>
      </c>
      <c r="BY417" s="1053" t="str">
        <f t="shared" si="676"/>
        <v>-</v>
      </c>
      <c r="BZ417" s="1054" t="str">
        <f t="shared" si="676"/>
        <v>-</v>
      </c>
      <c r="CA417" s="1048"/>
    </row>
    <row r="418" spans="3:79" x14ac:dyDescent="0.3">
      <c r="C418" s="126"/>
      <c r="D418" s="126"/>
      <c r="E418" s="558" t="s">
        <v>46</v>
      </c>
      <c r="F418" s="2161" t="str">
        <f t="shared" si="666"/>
        <v>[Service]</v>
      </c>
      <c r="G418" s="2163">
        <f t="shared" si="666"/>
        <v>0</v>
      </c>
      <c r="H418" s="2163">
        <f t="shared" si="666"/>
        <v>0</v>
      </c>
      <c r="I418" s="2164" t="str">
        <f t="shared" si="666"/>
        <v>[Price]</v>
      </c>
      <c r="J418" s="574" t="s">
        <v>323</v>
      </c>
      <c r="K418" s="1973"/>
      <c r="L418" s="1974"/>
      <c r="M418" s="1974"/>
      <c r="N418" s="1975"/>
      <c r="O418" s="1974"/>
      <c r="P418" s="1974"/>
      <c r="Q418" s="1974"/>
      <c r="R418" s="1976"/>
      <c r="S418" s="1975"/>
      <c r="T418" s="1974"/>
      <c r="U418" s="1974"/>
      <c r="V418" s="1974"/>
      <c r="W418" s="578"/>
      <c r="X418" s="1239"/>
      <c r="Y418" s="578"/>
      <c r="Z418" s="578"/>
      <c r="AA418" s="578"/>
      <c r="AB418" s="1143"/>
      <c r="AC418" s="578"/>
      <c r="AD418" s="578"/>
      <c r="AE418" s="578"/>
      <c r="AF418" s="578"/>
      <c r="AG418" s="580"/>
      <c r="AH418" s="578"/>
      <c r="AI418" s="578"/>
      <c r="AJ418" s="578"/>
      <c r="AK418" s="578"/>
      <c r="AL418" s="580"/>
      <c r="AM418" s="560"/>
      <c r="AN418" s="991"/>
      <c r="AO418" s="992"/>
      <c r="AP418" s="2285" t="str">
        <f t="shared" si="623"/>
        <v>Qty</v>
      </c>
      <c r="AQ418" s="2286" t="str">
        <f t="shared" si="623"/>
        <v>[Service]</v>
      </c>
      <c r="AR418" s="2287" t="str">
        <f t="shared" si="624"/>
        <v>[Price]</v>
      </c>
      <c r="AS418" s="2288" t="str">
        <f t="shared" si="660"/>
        <v>-</v>
      </c>
      <c r="AT418" s="1720" t="str">
        <f t="shared" si="660"/>
        <v>-</v>
      </c>
      <c r="AU418" s="1720" t="str">
        <f t="shared" si="660"/>
        <v>-</v>
      </c>
      <c r="AV418" s="2289" t="str">
        <f t="shared" si="660"/>
        <v>-</v>
      </c>
      <c r="AW418" s="1720" t="str">
        <f t="shared" si="660"/>
        <v>-</v>
      </c>
      <c r="AX418" s="2290" t="str">
        <f t="shared" si="660"/>
        <v>-</v>
      </c>
      <c r="AY418" s="1720" t="str">
        <f t="shared" si="660"/>
        <v>-</v>
      </c>
      <c r="AZ418" s="1720" t="str">
        <f t="shared" si="660"/>
        <v>-</v>
      </c>
      <c r="BA418" s="1720" t="str">
        <f t="shared" si="660"/>
        <v>-</v>
      </c>
      <c r="BB418" s="1721" t="str">
        <f t="shared" si="660"/>
        <v>-</v>
      </c>
      <c r="BC418" s="1720" t="str">
        <f t="shared" si="660"/>
        <v>-</v>
      </c>
      <c r="BD418" s="1720" t="str">
        <f t="shared" si="660"/>
        <v>-</v>
      </c>
      <c r="BE418" s="1720" t="str">
        <f t="shared" si="660"/>
        <v>-</v>
      </c>
      <c r="BF418" s="1720" t="str">
        <f t="shared" si="660"/>
        <v>-</v>
      </c>
      <c r="BG418" s="1721" t="str">
        <f t="shared" si="660"/>
        <v>-</v>
      </c>
      <c r="BH418" s="1048"/>
      <c r="BI418" s="2285" t="str">
        <f t="shared" si="652"/>
        <v>Qty</v>
      </c>
      <c r="BJ418" s="2286" t="str">
        <f t="shared" si="652"/>
        <v>[Service]</v>
      </c>
      <c r="BK418" s="2287" t="str">
        <f t="shared" si="652"/>
        <v>[Price]</v>
      </c>
      <c r="BL418" s="2288" t="str">
        <f t="shared" ref="BL418:BZ418" si="677">IF(OR(X418="",X418=0),"-",IFERROR((X418/W418-1)*(W419/W$13),"-"))</f>
        <v>-</v>
      </c>
      <c r="BM418" s="1720" t="str">
        <f t="shared" si="677"/>
        <v>-</v>
      </c>
      <c r="BN418" s="1720" t="str">
        <f t="shared" si="677"/>
        <v>-</v>
      </c>
      <c r="BO418" s="2289" t="str">
        <f t="shared" si="677"/>
        <v>-</v>
      </c>
      <c r="BP418" s="1720" t="str">
        <f t="shared" si="677"/>
        <v>-</v>
      </c>
      <c r="BQ418" s="2290" t="str">
        <f t="shared" si="677"/>
        <v>-</v>
      </c>
      <c r="BR418" s="1720" t="str">
        <f t="shared" si="677"/>
        <v>-</v>
      </c>
      <c r="BS418" s="1720" t="str">
        <f t="shared" si="677"/>
        <v>-</v>
      </c>
      <c r="BT418" s="1720" t="str">
        <f t="shared" si="677"/>
        <v>-</v>
      </c>
      <c r="BU418" s="1721" t="str">
        <f t="shared" si="677"/>
        <v>-</v>
      </c>
      <c r="BV418" s="1720" t="str">
        <f t="shared" si="677"/>
        <v>-</v>
      </c>
      <c r="BW418" s="1720" t="str">
        <f t="shared" si="677"/>
        <v>-</v>
      </c>
      <c r="BX418" s="1720" t="str">
        <f t="shared" si="677"/>
        <v>-</v>
      </c>
      <c r="BY418" s="1720" t="str">
        <f t="shared" si="677"/>
        <v>-</v>
      </c>
      <c r="BZ418" s="1721" t="str">
        <f t="shared" si="677"/>
        <v>-</v>
      </c>
      <c r="CA418" s="1048"/>
    </row>
    <row r="419" spans="3:79" ht="12.5" thickBot="1" x14ac:dyDescent="0.35">
      <c r="C419" s="126"/>
      <c r="D419" s="126"/>
      <c r="E419" s="559" t="s">
        <v>47</v>
      </c>
      <c r="F419" s="2162" t="str">
        <f t="shared" ref="F419:I419" si="678">+F417</f>
        <v>[Service]</v>
      </c>
      <c r="G419" s="2165">
        <f t="shared" si="678"/>
        <v>0</v>
      </c>
      <c r="H419" s="2165">
        <f t="shared" si="678"/>
        <v>0</v>
      </c>
      <c r="I419" s="2166" t="str">
        <f t="shared" si="678"/>
        <v>[Price]</v>
      </c>
      <c r="J419" s="2106" t="s">
        <v>347</v>
      </c>
      <c r="K419" s="1977"/>
      <c r="L419" s="1206"/>
      <c r="M419" s="1206"/>
      <c r="N419" s="1978"/>
      <c r="O419" s="1206"/>
      <c r="P419" s="1206"/>
      <c r="Q419" s="1206"/>
      <c r="R419" s="1206"/>
      <c r="S419" s="1978"/>
      <c r="T419" s="1206"/>
      <c r="U419" s="1206"/>
      <c r="V419" s="1206"/>
      <c r="W419" s="1731">
        <f t="shared" ref="W419:AG419" si="679">W417*W418/10^6</f>
        <v>0</v>
      </c>
      <c r="X419" s="1730">
        <f t="shared" si="679"/>
        <v>0</v>
      </c>
      <c r="Y419" s="1731">
        <f t="shared" si="679"/>
        <v>0</v>
      </c>
      <c r="Z419" s="1731">
        <f t="shared" si="679"/>
        <v>0</v>
      </c>
      <c r="AA419" s="1731">
        <f t="shared" si="679"/>
        <v>0</v>
      </c>
      <c r="AB419" s="1733">
        <f t="shared" si="679"/>
        <v>0</v>
      </c>
      <c r="AC419" s="1731">
        <f t="shared" si="679"/>
        <v>0</v>
      </c>
      <c r="AD419" s="1731">
        <f t="shared" si="679"/>
        <v>0</v>
      </c>
      <c r="AE419" s="1731">
        <f t="shared" si="679"/>
        <v>0</v>
      </c>
      <c r="AF419" s="1731">
        <f t="shared" si="679"/>
        <v>0</v>
      </c>
      <c r="AG419" s="1733">
        <f t="shared" si="679"/>
        <v>0</v>
      </c>
      <c r="AH419" s="1731">
        <f>AH417*AH418/10^6</f>
        <v>0</v>
      </c>
      <c r="AI419" s="1731">
        <f>AI417*AI418/10^6</f>
        <v>0</v>
      </c>
      <c r="AJ419" s="1731">
        <f>AJ417*AJ418/10^6</f>
        <v>0</v>
      </c>
      <c r="AK419" s="1731">
        <f>AK417*AK418/10^6</f>
        <v>0</v>
      </c>
      <c r="AL419" s="1733">
        <f>AL417*AL418/10^6</f>
        <v>0</v>
      </c>
      <c r="AM419" s="560"/>
      <c r="AN419" s="991"/>
      <c r="AO419" s="992"/>
      <c r="AP419" s="2304" t="str">
        <f t="shared" si="623"/>
        <v>Rev</v>
      </c>
      <c r="AQ419" s="2305" t="str">
        <f t="shared" si="623"/>
        <v>[Service]</v>
      </c>
      <c r="AR419" s="2306" t="str">
        <f t="shared" si="624"/>
        <v>[Price]</v>
      </c>
      <c r="AS419" s="2307" t="str">
        <f t="shared" si="660"/>
        <v>-</v>
      </c>
      <c r="AT419" s="1055" t="str">
        <f t="shared" si="660"/>
        <v>-</v>
      </c>
      <c r="AU419" s="1055" t="str">
        <f t="shared" si="660"/>
        <v>-</v>
      </c>
      <c r="AV419" s="2308" t="str">
        <f t="shared" si="660"/>
        <v>-</v>
      </c>
      <c r="AW419" s="1055" t="str">
        <f t="shared" si="660"/>
        <v>-</v>
      </c>
      <c r="AX419" s="2309" t="str">
        <f t="shared" si="660"/>
        <v>-</v>
      </c>
      <c r="AY419" s="1055" t="str">
        <f t="shared" si="660"/>
        <v>-</v>
      </c>
      <c r="AZ419" s="1055" t="str">
        <f t="shared" si="660"/>
        <v>-</v>
      </c>
      <c r="BA419" s="1055" t="str">
        <f t="shared" si="660"/>
        <v>-</v>
      </c>
      <c r="BB419" s="1056" t="str">
        <f t="shared" si="660"/>
        <v>-</v>
      </c>
      <c r="BC419" s="1055" t="str">
        <f t="shared" si="660"/>
        <v>-</v>
      </c>
      <c r="BD419" s="1055" t="str">
        <f t="shared" si="660"/>
        <v>-</v>
      </c>
      <c r="BE419" s="1055" t="str">
        <f t="shared" si="660"/>
        <v>-</v>
      </c>
      <c r="BF419" s="1055" t="str">
        <f t="shared" si="660"/>
        <v>-</v>
      </c>
      <c r="BG419" s="1056" t="str">
        <f t="shared" si="660"/>
        <v>-</v>
      </c>
      <c r="BH419" s="1048"/>
      <c r="BI419" s="2304" t="str">
        <f t="shared" si="652"/>
        <v>Rev</v>
      </c>
      <c r="BJ419" s="2305" t="str">
        <f t="shared" si="652"/>
        <v>[Service]</v>
      </c>
      <c r="BK419" s="2306" t="str">
        <f t="shared" si="652"/>
        <v>[Price]</v>
      </c>
      <c r="BL419" s="2307" t="str">
        <f t="shared" ref="BL419:BZ419" si="680">IF(OR(X419="",X419=0),"-",IFERROR((X419/W419-1)*(W419/W$13),"-"))</f>
        <v>-</v>
      </c>
      <c r="BM419" s="1055" t="str">
        <f t="shared" si="680"/>
        <v>-</v>
      </c>
      <c r="BN419" s="1055" t="str">
        <f t="shared" si="680"/>
        <v>-</v>
      </c>
      <c r="BO419" s="2308" t="str">
        <f t="shared" si="680"/>
        <v>-</v>
      </c>
      <c r="BP419" s="1055" t="str">
        <f t="shared" si="680"/>
        <v>-</v>
      </c>
      <c r="BQ419" s="2309" t="str">
        <f t="shared" si="680"/>
        <v>-</v>
      </c>
      <c r="BR419" s="1055" t="str">
        <f t="shared" si="680"/>
        <v>-</v>
      </c>
      <c r="BS419" s="1055" t="str">
        <f t="shared" si="680"/>
        <v>-</v>
      </c>
      <c r="BT419" s="1055" t="str">
        <f t="shared" si="680"/>
        <v>-</v>
      </c>
      <c r="BU419" s="1056" t="str">
        <f t="shared" si="680"/>
        <v>-</v>
      </c>
      <c r="BV419" s="1055" t="str">
        <f t="shared" si="680"/>
        <v>-</v>
      </c>
      <c r="BW419" s="1055" t="str">
        <f t="shared" si="680"/>
        <v>-</v>
      </c>
      <c r="BX419" s="1055" t="str">
        <f t="shared" si="680"/>
        <v>-</v>
      </c>
      <c r="BY419" s="1055" t="str">
        <f t="shared" si="680"/>
        <v>-</v>
      </c>
      <c r="BZ419" s="1056" t="str">
        <f t="shared" si="680"/>
        <v>-</v>
      </c>
      <c r="CA419" s="1048"/>
    </row>
    <row r="420" spans="3:79" x14ac:dyDescent="0.3">
      <c r="C420" s="126"/>
      <c r="D420" s="126">
        <f>D417+1</f>
        <v>118</v>
      </c>
      <c r="E420" s="553" t="s">
        <v>45</v>
      </c>
      <c r="F420" s="2105" t="s">
        <v>28</v>
      </c>
      <c r="G420" s="2105"/>
      <c r="H420" s="2105"/>
      <c r="I420" s="573" t="s">
        <v>319</v>
      </c>
      <c r="J420" s="573" t="s">
        <v>348</v>
      </c>
      <c r="K420" s="1969"/>
      <c r="L420" s="1970"/>
      <c r="M420" s="1970"/>
      <c r="N420" s="1971"/>
      <c r="O420" s="1970"/>
      <c r="P420" s="1970"/>
      <c r="Q420" s="1970"/>
      <c r="R420" s="1972"/>
      <c r="S420" s="1971"/>
      <c r="T420" s="1970"/>
      <c r="U420" s="1970"/>
      <c r="V420" s="1970"/>
      <c r="W420" s="575"/>
      <c r="X420" s="1238"/>
      <c r="Y420" s="575"/>
      <c r="Z420" s="575"/>
      <c r="AA420" s="575"/>
      <c r="AB420" s="1142"/>
      <c r="AC420" s="575"/>
      <c r="AD420" s="575"/>
      <c r="AE420" s="575"/>
      <c r="AF420" s="575"/>
      <c r="AG420" s="577"/>
      <c r="AH420" s="575"/>
      <c r="AI420" s="575"/>
      <c r="AJ420" s="575"/>
      <c r="AK420" s="575"/>
      <c r="AL420" s="577"/>
      <c r="AM420" s="560"/>
      <c r="AN420" s="1052"/>
      <c r="AO420" s="992"/>
      <c r="AP420" s="2297" t="str">
        <f t="shared" si="623"/>
        <v>Price</v>
      </c>
      <c r="AQ420" s="2298" t="str">
        <f t="shared" si="623"/>
        <v>[Service]</v>
      </c>
      <c r="AR420" s="1719" t="str">
        <f t="shared" si="624"/>
        <v>[Price]</v>
      </c>
      <c r="AS420" s="2299" t="str">
        <f t="shared" si="660"/>
        <v>-</v>
      </c>
      <c r="AT420" s="1728" t="str">
        <f t="shared" si="660"/>
        <v>-</v>
      </c>
      <c r="AU420" s="1728" t="str">
        <f t="shared" si="660"/>
        <v>-</v>
      </c>
      <c r="AV420" s="2300" t="str">
        <f t="shared" si="660"/>
        <v>-</v>
      </c>
      <c r="AW420" s="1728" t="str">
        <f t="shared" si="660"/>
        <v>-</v>
      </c>
      <c r="AX420" s="2301" t="str">
        <f t="shared" si="660"/>
        <v>-</v>
      </c>
      <c r="AY420" s="1728" t="str">
        <f t="shared" si="660"/>
        <v>-</v>
      </c>
      <c r="AZ420" s="1728" t="str">
        <f t="shared" si="660"/>
        <v>-</v>
      </c>
      <c r="BA420" s="1728" t="str">
        <f t="shared" si="660"/>
        <v>-</v>
      </c>
      <c r="BB420" s="1729" t="str">
        <f t="shared" si="660"/>
        <v>-</v>
      </c>
      <c r="BC420" s="1728" t="str">
        <f t="shared" si="660"/>
        <v>-</v>
      </c>
      <c r="BD420" s="1728" t="str">
        <f t="shared" si="660"/>
        <v>-</v>
      </c>
      <c r="BE420" s="1728" t="str">
        <f t="shared" si="660"/>
        <v>-</v>
      </c>
      <c r="BF420" s="1728" t="str">
        <f t="shared" si="660"/>
        <v>-</v>
      </c>
      <c r="BG420" s="1729" t="str">
        <f t="shared" si="660"/>
        <v>-</v>
      </c>
      <c r="BH420" s="1048"/>
      <c r="BI420" s="2297" t="str">
        <f t="shared" si="652"/>
        <v>Price</v>
      </c>
      <c r="BJ420" s="2298" t="str">
        <f t="shared" si="652"/>
        <v>[Service]</v>
      </c>
      <c r="BK420" s="1719" t="str">
        <f t="shared" si="652"/>
        <v>[Price]</v>
      </c>
      <c r="BL420" s="2299" t="str">
        <f t="shared" ref="BL420:BZ420" si="681">IF(OR(X420="",X420=0),"-",IFERROR((X420/W420-1)*(W422/W$13),"-"))</f>
        <v>-</v>
      </c>
      <c r="BM420" s="1053" t="str">
        <f t="shared" si="681"/>
        <v>-</v>
      </c>
      <c r="BN420" s="1053" t="str">
        <f t="shared" si="681"/>
        <v>-</v>
      </c>
      <c r="BO420" s="2302" t="str">
        <f t="shared" si="681"/>
        <v>-</v>
      </c>
      <c r="BP420" s="1053" t="str">
        <f t="shared" si="681"/>
        <v>-</v>
      </c>
      <c r="BQ420" s="2303" t="str">
        <f t="shared" si="681"/>
        <v>-</v>
      </c>
      <c r="BR420" s="1053" t="str">
        <f t="shared" si="681"/>
        <v>-</v>
      </c>
      <c r="BS420" s="1053" t="str">
        <f t="shared" si="681"/>
        <v>-</v>
      </c>
      <c r="BT420" s="1053" t="str">
        <f t="shared" si="681"/>
        <v>-</v>
      </c>
      <c r="BU420" s="1054" t="str">
        <f t="shared" si="681"/>
        <v>-</v>
      </c>
      <c r="BV420" s="1053" t="str">
        <f t="shared" si="681"/>
        <v>-</v>
      </c>
      <c r="BW420" s="1053" t="str">
        <f t="shared" si="681"/>
        <v>-</v>
      </c>
      <c r="BX420" s="1053" t="str">
        <f t="shared" si="681"/>
        <v>-</v>
      </c>
      <c r="BY420" s="1053" t="str">
        <f t="shared" si="681"/>
        <v>-</v>
      </c>
      <c r="BZ420" s="1054" t="str">
        <f t="shared" si="681"/>
        <v>-</v>
      </c>
      <c r="CA420" s="1048"/>
    </row>
    <row r="421" spans="3:79" x14ac:dyDescent="0.3">
      <c r="C421" s="126"/>
      <c r="D421" s="126"/>
      <c r="E421" s="558" t="s">
        <v>46</v>
      </c>
      <c r="F421" s="2161" t="str">
        <f t="shared" si="666"/>
        <v>[Service]</v>
      </c>
      <c r="G421" s="2163">
        <f t="shared" si="666"/>
        <v>0</v>
      </c>
      <c r="H421" s="2163">
        <f t="shared" si="666"/>
        <v>0</v>
      </c>
      <c r="I421" s="2164" t="str">
        <f t="shared" si="666"/>
        <v>[Price]</v>
      </c>
      <c r="J421" s="574" t="s">
        <v>323</v>
      </c>
      <c r="K421" s="1973"/>
      <c r="L421" s="1974"/>
      <c r="M421" s="1974"/>
      <c r="N421" s="1975"/>
      <c r="O421" s="1974"/>
      <c r="P421" s="1974"/>
      <c r="Q421" s="1974"/>
      <c r="R421" s="1976"/>
      <c r="S421" s="1975"/>
      <c r="T421" s="1974"/>
      <c r="U421" s="1974"/>
      <c r="V421" s="1974"/>
      <c r="W421" s="578"/>
      <c r="X421" s="1239"/>
      <c r="Y421" s="578"/>
      <c r="Z421" s="578"/>
      <c r="AA421" s="578"/>
      <c r="AB421" s="1143"/>
      <c r="AC421" s="578"/>
      <c r="AD421" s="578"/>
      <c r="AE421" s="578"/>
      <c r="AF421" s="578"/>
      <c r="AG421" s="580"/>
      <c r="AH421" s="578"/>
      <c r="AI421" s="578"/>
      <c r="AJ421" s="578"/>
      <c r="AK421" s="578"/>
      <c r="AL421" s="580"/>
      <c r="AM421" s="560"/>
      <c r="AN421" s="991"/>
      <c r="AO421" s="992"/>
      <c r="AP421" s="2285" t="str">
        <f t="shared" si="623"/>
        <v>Qty</v>
      </c>
      <c r="AQ421" s="2286" t="str">
        <f t="shared" si="623"/>
        <v>[Service]</v>
      </c>
      <c r="AR421" s="2287" t="str">
        <f t="shared" si="624"/>
        <v>[Price]</v>
      </c>
      <c r="AS421" s="2288" t="str">
        <f t="shared" si="660"/>
        <v>-</v>
      </c>
      <c r="AT421" s="1720" t="str">
        <f t="shared" si="660"/>
        <v>-</v>
      </c>
      <c r="AU421" s="1720" t="str">
        <f t="shared" si="660"/>
        <v>-</v>
      </c>
      <c r="AV421" s="2289" t="str">
        <f t="shared" si="660"/>
        <v>-</v>
      </c>
      <c r="AW421" s="1720" t="str">
        <f t="shared" si="660"/>
        <v>-</v>
      </c>
      <c r="AX421" s="2290" t="str">
        <f t="shared" si="660"/>
        <v>-</v>
      </c>
      <c r="AY421" s="1720" t="str">
        <f t="shared" si="660"/>
        <v>-</v>
      </c>
      <c r="AZ421" s="1720" t="str">
        <f t="shared" si="660"/>
        <v>-</v>
      </c>
      <c r="BA421" s="1720" t="str">
        <f t="shared" si="660"/>
        <v>-</v>
      </c>
      <c r="BB421" s="1721" t="str">
        <f t="shared" si="660"/>
        <v>-</v>
      </c>
      <c r="BC421" s="1720" t="str">
        <f t="shared" si="660"/>
        <v>-</v>
      </c>
      <c r="BD421" s="1720" t="str">
        <f t="shared" si="660"/>
        <v>-</v>
      </c>
      <c r="BE421" s="1720" t="str">
        <f t="shared" si="660"/>
        <v>-</v>
      </c>
      <c r="BF421" s="1720" t="str">
        <f t="shared" si="660"/>
        <v>-</v>
      </c>
      <c r="BG421" s="1721" t="str">
        <f t="shared" si="660"/>
        <v>-</v>
      </c>
      <c r="BH421" s="1048"/>
      <c r="BI421" s="2285" t="str">
        <f t="shared" si="652"/>
        <v>Qty</v>
      </c>
      <c r="BJ421" s="2286" t="str">
        <f t="shared" si="652"/>
        <v>[Service]</v>
      </c>
      <c r="BK421" s="2287" t="str">
        <f t="shared" si="652"/>
        <v>[Price]</v>
      </c>
      <c r="BL421" s="2288" t="str">
        <f t="shared" ref="BL421:BZ421" si="682">IF(OR(X421="",X421=0),"-",IFERROR((X421/W421-1)*(W422/W$13),"-"))</f>
        <v>-</v>
      </c>
      <c r="BM421" s="1720" t="str">
        <f t="shared" si="682"/>
        <v>-</v>
      </c>
      <c r="BN421" s="1720" t="str">
        <f t="shared" si="682"/>
        <v>-</v>
      </c>
      <c r="BO421" s="2289" t="str">
        <f t="shared" si="682"/>
        <v>-</v>
      </c>
      <c r="BP421" s="1720" t="str">
        <f t="shared" si="682"/>
        <v>-</v>
      </c>
      <c r="BQ421" s="2290" t="str">
        <f t="shared" si="682"/>
        <v>-</v>
      </c>
      <c r="BR421" s="1720" t="str">
        <f t="shared" si="682"/>
        <v>-</v>
      </c>
      <c r="BS421" s="1720" t="str">
        <f t="shared" si="682"/>
        <v>-</v>
      </c>
      <c r="BT421" s="1720" t="str">
        <f t="shared" si="682"/>
        <v>-</v>
      </c>
      <c r="BU421" s="1721" t="str">
        <f t="shared" si="682"/>
        <v>-</v>
      </c>
      <c r="BV421" s="1720" t="str">
        <f t="shared" si="682"/>
        <v>-</v>
      </c>
      <c r="BW421" s="1720" t="str">
        <f t="shared" si="682"/>
        <v>-</v>
      </c>
      <c r="BX421" s="1720" t="str">
        <f t="shared" si="682"/>
        <v>-</v>
      </c>
      <c r="BY421" s="1720" t="str">
        <f t="shared" si="682"/>
        <v>-</v>
      </c>
      <c r="BZ421" s="1721" t="str">
        <f t="shared" si="682"/>
        <v>-</v>
      </c>
      <c r="CA421" s="1048"/>
    </row>
    <row r="422" spans="3:79" ht="12.5" thickBot="1" x14ac:dyDescent="0.35">
      <c r="C422" s="126"/>
      <c r="D422" s="126"/>
      <c r="E422" s="559" t="s">
        <v>47</v>
      </c>
      <c r="F422" s="2162" t="str">
        <f t="shared" ref="F422:I422" si="683">+F420</f>
        <v>[Service]</v>
      </c>
      <c r="G422" s="2165">
        <f t="shared" si="683"/>
        <v>0</v>
      </c>
      <c r="H422" s="2165">
        <f t="shared" si="683"/>
        <v>0</v>
      </c>
      <c r="I422" s="2166" t="str">
        <f t="shared" si="683"/>
        <v>[Price]</v>
      </c>
      <c r="J422" s="2106" t="s">
        <v>347</v>
      </c>
      <c r="K422" s="1977"/>
      <c r="L422" s="1206"/>
      <c r="M422" s="1206"/>
      <c r="N422" s="1978"/>
      <c r="O422" s="1206"/>
      <c r="P422" s="1206"/>
      <c r="Q422" s="1206"/>
      <c r="R422" s="1206"/>
      <c r="S422" s="1978"/>
      <c r="T422" s="1206"/>
      <c r="U422" s="1206"/>
      <c r="V422" s="1206"/>
      <c r="W422" s="1731">
        <f t="shared" ref="W422:AG422" si="684">W420*W421/10^6</f>
        <v>0</v>
      </c>
      <c r="X422" s="1730">
        <f t="shared" si="684"/>
        <v>0</v>
      </c>
      <c r="Y422" s="1612">
        <f t="shared" si="684"/>
        <v>0</v>
      </c>
      <c r="Z422" s="1731">
        <f t="shared" si="684"/>
        <v>0</v>
      </c>
      <c r="AA422" s="1731">
        <f t="shared" si="684"/>
        <v>0</v>
      </c>
      <c r="AB422" s="1733">
        <f t="shared" si="684"/>
        <v>0</v>
      </c>
      <c r="AC422" s="1731">
        <f t="shared" si="684"/>
        <v>0</v>
      </c>
      <c r="AD422" s="1731">
        <f t="shared" si="684"/>
        <v>0</v>
      </c>
      <c r="AE422" s="1731">
        <f t="shared" si="684"/>
        <v>0</v>
      </c>
      <c r="AF422" s="1731">
        <f t="shared" si="684"/>
        <v>0</v>
      </c>
      <c r="AG422" s="1733">
        <f t="shared" si="684"/>
        <v>0</v>
      </c>
      <c r="AH422" s="1731">
        <f>AH420*AH421/10^6</f>
        <v>0</v>
      </c>
      <c r="AI422" s="1731">
        <f>AI420*AI421/10^6</f>
        <v>0</v>
      </c>
      <c r="AJ422" s="1731">
        <f>AJ420*AJ421/10^6</f>
        <v>0</v>
      </c>
      <c r="AK422" s="1731">
        <f>AK420*AK421/10^6</f>
        <v>0</v>
      </c>
      <c r="AL422" s="1733">
        <f>AL420*AL421/10^6</f>
        <v>0</v>
      </c>
      <c r="AM422" s="560"/>
      <c r="AN422" s="991"/>
      <c r="AO422" s="992"/>
      <c r="AP422" s="2304" t="str">
        <f t="shared" si="623"/>
        <v>Rev</v>
      </c>
      <c r="AQ422" s="2305" t="str">
        <f t="shared" si="623"/>
        <v>[Service]</v>
      </c>
      <c r="AR422" s="2306" t="str">
        <f t="shared" si="624"/>
        <v>[Price]</v>
      </c>
      <c r="AS422" s="2307" t="str">
        <f t="shared" si="660"/>
        <v>-</v>
      </c>
      <c r="AT422" s="1055" t="str">
        <f t="shared" si="660"/>
        <v>-</v>
      </c>
      <c r="AU422" s="1055" t="str">
        <f t="shared" si="660"/>
        <v>-</v>
      </c>
      <c r="AV422" s="2308" t="str">
        <f t="shared" si="660"/>
        <v>-</v>
      </c>
      <c r="AW422" s="1055" t="str">
        <f t="shared" si="660"/>
        <v>-</v>
      </c>
      <c r="AX422" s="2309" t="str">
        <f t="shared" si="660"/>
        <v>-</v>
      </c>
      <c r="AY422" s="1055" t="str">
        <f t="shared" si="660"/>
        <v>-</v>
      </c>
      <c r="AZ422" s="1055" t="str">
        <f t="shared" si="660"/>
        <v>-</v>
      </c>
      <c r="BA422" s="1055" t="str">
        <f t="shared" si="660"/>
        <v>-</v>
      </c>
      <c r="BB422" s="1056" t="str">
        <f t="shared" si="660"/>
        <v>-</v>
      </c>
      <c r="BC422" s="1055" t="str">
        <f t="shared" si="660"/>
        <v>-</v>
      </c>
      <c r="BD422" s="1055" t="str">
        <f t="shared" si="660"/>
        <v>-</v>
      </c>
      <c r="BE422" s="1055" t="str">
        <f t="shared" si="660"/>
        <v>-</v>
      </c>
      <c r="BF422" s="1055" t="str">
        <f t="shared" si="660"/>
        <v>-</v>
      </c>
      <c r="BG422" s="1056" t="str">
        <f t="shared" si="660"/>
        <v>-</v>
      </c>
      <c r="BH422" s="1048"/>
      <c r="BI422" s="2304" t="str">
        <f t="shared" si="652"/>
        <v>Rev</v>
      </c>
      <c r="BJ422" s="2305" t="str">
        <f t="shared" si="652"/>
        <v>[Service]</v>
      </c>
      <c r="BK422" s="2306" t="str">
        <f t="shared" si="652"/>
        <v>[Price]</v>
      </c>
      <c r="BL422" s="2307" t="str">
        <f t="shared" ref="BL422:BZ422" si="685">IF(OR(X422="",X422=0),"-",IFERROR((X422/W422-1)*(W422/W$13),"-"))</f>
        <v>-</v>
      </c>
      <c r="BM422" s="1055" t="str">
        <f t="shared" si="685"/>
        <v>-</v>
      </c>
      <c r="BN422" s="1055" t="str">
        <f t="shared" si="685"/>
        <v>-</v>
      </c>
      <c r="BO422" s="2308" t="str">
        <f t="shared" si="685"/>
        <v>-</v>
      </c>
      <c r="BP422" s="1055" t="str">
        <f t="shared" si="685"/>
        <v>-</v>
      </c>
      <c r="BQ422" s="2309" t="str">
        <f t="shared" si="685"/>
        <v>-</v>
      </c>
      <c r="BR422" s="1055" t="str">
        <f t="shared" si="685"/>
        <v>-</v>
      </c>
      <c r="BS422" s="1055" t="str">
        <f t="shared" si="685"/>
        <v>-</v>
      </c>
      <c r="BT422" s="1055" t="str">
        <f t="shared" si="685"/>
        <v>-</v>
      </c>
      <c r="BU422" s="1056" t="str">
        <f t="shared" si="685"/>
        <v>-</v>
      </c>
      <c r="BV422" s="1055" t="str">
        <f t="shared" si="685"/>
        <v>-</v>
      </c>
      <c r="BW422" s="1055" t="str">
        <f t="shared" si="685"/>
        <v>-</v>
      </c>
      <c r="BX422" s="1055" t="str">
        <f t="shared" si="685"/>
        <v>-</v>
      </c>
      <c r="BY422" s="1055" t="str">
        <f t="shared" si="685"/>
        <v>-</v>
      </c>
      <c r="BZ422" s="1056" t="str">
        <f t="shared" si="685"/>
        <v>-</v>
      </c>
      <c r="CA422" s="1048"/>
    </row>
    <row r="423" spans="3:79" x14ac:dyDescent="0.3">
      <c r="C423" s="126"/>
      <c r="D423" s="126">
        <f>D420+1</f>
        <v>119</v>
      </c>
      <c r="E423" s="553" t="s">
        <v>45</v>
      </c>
      <c r="F423" s="2105" t="s">
        <v>28</v>
      </c>
      <c r="G423" s="2105"/>
      <c r="H423" s="2105"/>
      <c r="I423" s="573" t="s">
        <v>319</v>
      </c>
      <c r="J423" s="573" t="s">
        <v>348</v>
      </c>
      <c r="K423" s="1969"/>
      <c r="L423" s="1970"/>
      <c r="M423" s="1970"/>
      <c r="N423" s="1971"/>
      <c r="O423" s="1970"/>
      <c r="P423" s="1970"/>
      <c r="Q423" s="1970"/>
      <c r="R423" s="1972"/>
      <c r="S423" s="1971"/>
      <c r="T423" s="1970"/>
      <c r="U423" s="1970"/>
      <c r="V423" s="1970"/>
      <c r="W423" s="575"/>
      <c r="X423" s="1238"/>
      <c r="Y423" s="575"/>
      <c r="Z423" s="575"/>
      <c r="AA423" s="575"/>
      <c r="AB423" s="1142"/>
      <c r="AC423" s="575"/>
      <c r="AD423" s="575"/>
      <c r="AE423" s="575"/>
      <c r="AF423" s="575"/>
      <c r="AG423" s="577"/>
      <c r="AH423" s="575"/>
      <c r="AI423" s="575"/>
      <c r="AJ423" s="575"/>
      <c r="AK423" s="575"/>
      <c r="AL423" s="577"/>
      <c r="AM423" s="560"/>
      <c r="AN423" s="1052"/>
      <c r="AO423" s="992"/>
      <c r="AP423" s="2297" t="str">
        <f t="shared" si="623"/>
        <v>Price</v>
      </c>
      <c r="AQ423" s="2298" t="str">
        <f t="shared" si="623"/>
        <v>[Service]</v>
      </c>
      <c r="AR423" s="1719" t="str">
        <f t="shared" si="624"/>
        <v>[Price]</v>
      </c>
      <c r="AS423" s="2299" t="str">
        <f t="shared" si="660"/>
        <v>-</v>
      </c>
      <c r="AT423" s="1728" t="str">
        <f t="shared" si="660"/>
        <v>-</v>
      </c>
      <c r="AU423" s="1728" t="str">
        <f t="shared" si="660"/>
        <v>-</v>
      </c>
      <c r="AV423" s="2300" t="str">
        <f t="shared" si="660"/>
        <v>-</v>
      </c>
      <c r="AW423" s="1728" t="str">
        <f t="shared" si="660"/>
        <v>-</v>
      </c>
      <c r="AX423" s="2301" t="str">
        <f t="shared" si="660"/>
        <v>-</v>
      </c>
      <c r="AY423" s="1728" t="str">
        <f t="shared" si="660"/>
        <v>-</v>
      </c>
      <c r="AZ423" s="1728" t="str">
        <f t="shared" si="660"/>
        <v>-</v>
      </c>
      <c r="BA423" s="1728" t="str">
        <f t="shared" si="660"/>
        <v>-</v>
      </c>
      <c r="BB423" s="1729" t="str">
        <f t="shared" si="660"/>
        <v>-</v>
      </c>
      <c r="BC423" s="1728" t="str">
        <f t="shared" si="660"/>
        <v>-</v>
      </c>
      <c r="BD423" s="1728" t="str">
        <f t="shared" si="660"/>
        <v>-</v>
      </c>
      <c r="BE423" s="1728" t="str">
        <f t="shared" si="660"/>
        <v>-</v>
      </c>
      <c r="BF423" s="1728" t="str">
        <f t="shared" si="660"/>
        <v>-</v>
      </c>
      <c r="BG423" s="1729" t="str">
        <f t="shared" si="660"/>
        <v>-</v>
      </c>
      <c r="BH423" s="1048"/>
      <c r="BI423" s="2297" t="str">
        <f t="shared" si="652"/>
        <v>Price</v>
      </c>
      <c r="BJ423" s="2298" t="str">
        <f t="shared" si="652"/>
        <v>[Service]</v>
      </c>
      <c r="BK423" s="1719" t="str">
        <f t="shared" si="652"/>
        <v>[Price]</v>
      </c>
      <c r="BL423" s="2299" t="str">
        <f t="shared" ref="BL423:BZ423" si="686">IF(OR(X423="",X423=0),"-",IFERROR((X423/W423-1)*(W425/W$13),"-"))</f>
        <v>-</v>
      </c>
      <c r="BM423" s="1053" t="str">
        <f t="shared" si="686"/>
        <v>-</v>
      </c>
      <c r="BN423" s="1053" t="str">
        <f t="shared" si="686"/>
        <v>-</v>
      </c>
      <c r="BO423" s="2302" t="str">
        <f t="shared" si="686"/>
        <v>-</v>
      </c>
      <c r="BP423" s="1053" t="str">
        <f t="shared" si="686"/>
        <v>-</v>
      </c>
      <c r="BQ423" s="2303" t="str">
        <f t="shared" si="686"/>
        <v>-</v>
      </c>
      <c r="BR423" s="1053" t="str">
        <f t="shared" si="686"/>
        <v>-</v>
      </c>
      <c r="BS423" s="1053" t="str">
        <f t="shared" si="686"/>
        <v>-</v>
      </c>
      <c r="BT423" s="1053" t="str">
        <f t="shared" si="686"/>
        <v>-</v>
      </c>
      <c r="BU423" s="1054" t="str">
        <f t="shared" si="686"/>
        <v>-</v>
      </c>
      <c r="BV423" s="1053" t="str">
        <f t="shared" si="686"/>
        <v>-</v>
      </c>
      <c r="BW423" s="1053" t="str">
        <f t="shared" si="686"/>
        <v>-</v>
      </c>
      <c r="BX423" s="1053" t="str">
        <f t="shared" si="686"/>
        <v>-</v>
      </c>
      <c r="BY423" s="1053" t="str">
        <f t="shared" si="686"/>
        <v>-</v>
      </c>
      <c r="BZ423" s="1054" t="str">
        <f t="shared" si="686"/>
        <v>-</v>
      </c>
      <c r="CA423" s="1048"/>
    </row>
    <row r="424" spans="3:79" x14ac:dyDescent="0.3">
      <c r="C424" s="126"/>
      <c r="D424" s="126"/>
      <c r="E424" s="558" t="s">
        <v>46</v>
      </c>
      <c r="F424" s="2161" t="str">
        <f t="shared" si="666"/>
        <v>[Service]</v>
      </c>
      <c r="G424" s="2163">
        <f t="shared" si="666"/>
        <v>0</v>
      </c>
      <c r="H424" s="2163">
        <f t="shared" si="666"/>
        <v>0</v>
      </c>
      <c r="I424" s="2164" t="str">
        <f t="shared" si="666"/>
        <v>[Price]</v>
      </c>
      <c r="J424" s="574" t="s">
        <v>323</v>
      </c>
      <c r="K424" s="1973"/>
      <c r="L424" s="1974"/>
      <c r="M424" s="1974"/>
      <c r="N424" s="1975"/>
      <c r="O424" s="1974"/>
      <c r="P424" s="1974"/>
      <c r="Q424" s="1974"/>
      <c r="R424" s="1976"/>
      <c r="S424" s="1975"/>
      <c r="T424" s="1974"/>
      <c r="U424" s="1974"/>
      <c r="V424" s="1974"/>
      <c r="W424" s="578"/>
      <c r="X424" s="1239"/>
      <c r="Y424" s="578"/>
      <c r="Z424" s="578"/>
      <c r="AA424" s="578"/>
      <c r="AB424" s="1143"/>
      <c r="AC424" s="578"/>
      <c r="AD424" s="578"/>
      <c r="AE424" s="578"/>
      <c r="AF424" s="578"/>
      <c r="AG424" s="580"/>
      <c r="AH424" s="578"/>
      <c r="AI424" s="578"/>
      <c r="AJ424" s="578"/>
      <c r="AK424" s="578"/>
      <c r="AL424" s="580"/>
      <c r="AM424" s="560"/>
      <c r="AN424" s="991"/>
      <c r="AO424" s="992"/>
      <c r="AP424" s="2285" t="str">
        <f t="shared" si="623"/>
        <v>Qty</v>
      </c>
      <c r="AQ424" s="2286" t="str">
        <f t="shared" si="623"/>
        <v>[Service]</v>
      </c>
      <c r="AR424" s="2287" t="str">
        <f t="shared" si="624"/>
        <v>[Price]</v>
      </c>
      <c r="AS424" s="2288" t="str">
        <f t="shared" si="660"/>
        <v>-</v>
      </c>
      <c r="AT424" s="1720" t="str">
        <f t="shared" si="660"/>
        <v>-</v>
      </c>
      <c r="AU424" s="1720" t="str">
        <f t="shared" si="660"/>
        <v>-</v>
      </c>
      <c r="AV424" s="2289" t="str">
        <f t="shared" si="660"/>
        <v>-</v>
      </c>
      <c r="AW424" s="1720" t="str">
        <f t="shared" si="660"/>
        <v>-</v>
      </c>
      <c r="AX424" s="2290" t="str">
        <f t="shared" si="660"/>
        <v>-</v>
      </c>
      <c r="AY424" s="1720" t="str">
        <f t="shared" si="660"/>
        <v>-</v>
      </c>
      <c r="AZ424" s="1720" t="str">
        <f t="shared" si="660"/>
        <v>-</v>
      </c>
      <c r="BA424" s="1720" t="str">
        <f t="shared" si="660"/>
        <v>-</v>
      </c>
      <c r="BB424" s="1721" t="str">
        <f t="shared" si="660"/>
        <v>-</v>
      </c>
      <c r="BC424" s="1720" t="str">
        <f t="shared" si="660"/>
        <v>-</v>
      </c>
      <c r="BD424" s="1720" t="str">
        <f t="shared" si="660"/>
        <v>-</v>
      </c>
      <c r="BE424" s="1720" t="str">
        <f t="shared" si="660"/>
        <v>-</v>
      </c>
      <c r="BF424" s="1720" t="str">
        <f t="shared" si="660"/>
        <v>-</v>
      </c>
      <c r="BG424" s="1721" t="str">
        <f t="shared" si="660"/>
        <v>-</v>
      </c>
      <c r="BH424" s="1048"/>
      <c r="BI424" s="2285" t="str">
        <f t="shared" si="652"/>
        <v>Qty</v>
      </c>
      <c r="BJ424" s="2286" t="str">
        <f t="shared" si="652"/>
        <v>[Service]</v>
      </c>
      <c r="BK424" s="2287" t="str">
        <f t="shared" si="652"/>
        <v>[Price]</v>
      </c>
      <c r="BL424" s="2288" t="str">
        <f t="shared" ref="BL424:BZ424" si="687">IF(OR(X424="",X424=0),"-",IFERROR((X424/W424-1)*(W425/W$13),"-"))</f>
        <v>-</v>
      </c>
      <c r="BM424" s="1720" t="str">
        <f t="shared" si="687"/>
        <v>-</v>
      </c>
      <c r="BN424" s="1720" t="str">
        <f t="shared" si="687"/>
        <v>-</v>
      </c>
      <c r="BO424" s="2289" t="str">
        <f t="shared" si="687"/>
        <v>-</v>
      </c>
      <c r="BP424" s="1720" t="str">
        <f t="shared" si="687"/>
        <v>-</v>
      </c>
      <c r="BQ424" s="2290" t="str">
        <f t="shared" si="687"/>
        <v>-</v>
      </c>
      <c r="BR424" s="1720" t="str">
        <f t="shared" si="687"/>
        <v>-</v>
      </c>
      <c r="BS424" s="1720" t="str">
        <f t="shared" si="687"/>
        <v>-</v>
      </c>
      <c r="BT424" s="1720" t="str">
        <f t="shared" si="687"/>
        <v>-</v>
      </c>
      <c r="BU424" s="1721" t="str">
        <f t="shared" si="687"/>
        <v>-</v>
      </c>
      <c r="BV424" s="1720" t="str">
        <f t="shared" si="687"/>
        <v>-</v>
      </c>
      <c r="BW424" s="1720" t="str">
        <f t="shared" si="687"/>
        <v>-</v>
      </c>
      <c r="BX424" s="1720" t="str">
        <f t="shared" si="687"/>
        <v>-</v>
      </c>
      <c r="BY424" s="1720" t="str">
        <f t="shared" si="687"/>
        <v>-</v>
      </c>
      <c r="BZ424" s="1721" t="str">
        <f t="shared" si="687"/>
        <v>-</v>
      </c>
      <c r="CA424" s="1048"/>
    </row>
    <row r="425" spans="3:79" ht="12.5" thickBot="1" x14ac:dyDescent="0.35">
      <c r="C425" s="126"/>
      <c r="D425" s="126"/>
      <c r="E425" s="559" t="s">
        <v>47</v>
      </c>
      <c r="F425" s="2162" t="str">
        <f t="shared" ref="F425:I425" si="688">+F423</f>
        <v>[Service]</v>
      </c>
      <c r="G425" s="2165">
        <f t="shared" si="688"/>
        <v>0</v>
      </c>
      <c r="H425" s="2165">
        <f t="shared" si="688"/>
        <v>0</v>
      </c>
      <c r="I425" s="2166" t="str">
        <f t="shared" si="688"/>
        <v>[Price]</v>
      </c>
      <c r="J425" s="2106" t="s">
        <v>347</v>
      </c>
      <c r="K425" s="1977"/>
      <c r="L425" s="1206"/>
      <c r="M425" s="1206"/>
      <c r="N425" s="1978"/>
      <c r="O425" s="1206"/>
      <c r="P425" s="1206"/>
      <c r="Q425" s="1206"/>
      <c r="R425" s="1206"/>
      <c r="S425" s="1978"/>
      <c r="T425" s="1206"/>
      <c r="U425" s="1206"/>
      <c r="V425" s="1206"/>
      <c r="W425" s="1731">
        <f t="shared" ref="W425:AG425" si="689">W423*W424/10^6</f>
        <v>0</v>
      </c>
      <c r="X425" s="1730">
        <f t="shared" si="689"/>
        <v>0</v>
      </c>
      <c r="Y425" s="1731">
        <f t="shared" si="689"/>
        <v>0</v>
      </c>
      <c r="Z425" s="1731">
        <f t="shared" si="689"/>
        <v>0</v>
      </c>
      <c r="AA425" s="1731">
        <f t="shared" si="689"/>
        <v>0</v>
      </c>
      <c r="AB425" s="1733">
        <f t="shared" si="689"/>
        <v>0</v>
      </c>
      <c r="AC425" s="1731">
        <f t="shared" si="689"/>
        <v>0</v>
      </c>
      <c r="AD425" s="1731">
        <f t="shared" si="689"/>
        <v>0</v>
      </c>
      <c r="AE425" s="1731">
        <f t="shared" si="689"/>
        <v>0</v>
      </c>
      <c r="AF425" s="1731">
        <f t="shared" si="689"/>
        <v>0</v>
      </c>
      <c r="AG425" s="1733">
        <f t="shared" si="689"/>
        <v>0</v>
      </c>
      <c r="AH425" s="1731">
        <f>AH423*AH424/10^6</f>
        <v>0</v>
      </c>
      <c r="AI425" s="1731">
        <f>AI423*AI424/10^6</f>
        <v>0</v>
      </c>
      <c r="AJ425" s="1731">
        <f>AJ423*AJ424/10^6</f>
        <v>0</v>
      </c>
      <c r="AK425" s="1731">
        <f>AK423*AK424/10^6</f>
        <v>0</v>
      </c>
      <c r="AL425" s="1733">
        <f>AL423*AL424/10^6</f>
        <v>0</v>
      </c>
      <c r="AM425" s="560"/>
      <c r="AN425" s="991"/>
      <c r="AO425" s="992"/>
      <c r="AP425" s="2304" t="str">
        <f t="shared" si="623"/>
        <v>Rev</v>
      </c>
      <c r="AQ425" s="2305" t="str">
        <f t="shared" si="623"/>
        <v>[Service]</v>
      </c>
      <c r="AR425" s="2306" t="str">
        <f t="shared" si="624"/>
        <v>[Price]</v>
      </c>
      <c r="AS425" s="2307" t="str">
        <f t="shared" si="660"/>
        <v>-</v>
      </c>
      <c r="AT425" s="1055" t="str">
        <f t="shared" si="660"/>
        <v>-</v>
      </c>
      <c r="AU425" s="1055" t="str">
        <f t="shared" si="660"/>
        <v>-</v>
      </c>
      <c r="AV425" s="2308" t="str">
        <f t="shared" si="660"/>
        <v>-</v>
      </c>
      <c r="AW425" s="1055" t="str">
        <f t="shared" si="660"/>
        <v>-</v>
      </c>
      <c r="AX425" s="2309" t="str">
        <f t="shared" si="660"/>
        <v>-</v>
      </c>
      <c r="AY425" s="1055" t="str">
        <f t="shared" si="660"/>
        <v>-</v>
      </c>
      <c r="AZ425" s="1055" t="str">
        <f t="shared" si="660"/>
        <v>-</v>
      </c>
      <c r="BA425" s="1055" t="str">
        <f t="shared" si="660"/>
        <v>-</v>
      </c>
      <c r="BB425" s="1056" t="str">
        <f t="shared" si="660"/>
        <v>-</v>
      </c>
      <c r="BC425" s="1055" t="str">
        <f t="shared" si="660"/>
        <v>-</v>
      </c>
      <c r="BD425" s="1055" t="str">
        <f t="shared" si="660"/>
        <v>-</v>
      </c>
      <c r="BE425" s="1055" t="str">
        <f t="shared" si="660"/>
        <v>-</v>
      </c>
      <c r="BF425" s="1055" t="str">
        <f t="shared" si="660"/>
        <v>-</v>
      </c>
      <c r="BG425" s="1056" t="str">
        <f t="shared" si="660"/>
        <v>-</v>
      </c>
      <c r="BH425" s="1048"/>
      <c r="BI425" s="2304" t="str">
        <f t="shared" si="652"/>
        <v>Rev</v>
      </c>
      <c r="BJ425" s="2305" t="str">
        <f t="shared" si="652"/>
        <v>[Service]</v>
      </c>
      <c r="BK425" s="2306" t="str">
        <f t="shared" si="652"/>
        <v>[Price]</v>
      </c>
      <c r="BL425" s="2307" t="str">
        <f t="shared" ref="BL425:BZ425" si="690">IF(OR(X425="",X425=0),"-",IFERROR((X425/W425-1)*(W425/W$13),"-"))</f>
        <v>-</v>
      </c>
      <c r="BM425" s="1055" t="str">
        <f t="shared" si="690"/>
        <v>-</v>
      </c>
      <c r="BN425" s="1055" t="str">
        <f t="shared" si="690"/>
        <v>-</v>
      </c>
      <c r="BO425" s="2308" t="str">
        <f t="shared" si="690"/>
        <v>-</v>
      </c>
      <c r="BP425" s="1055" t="str">
        <f t="shared" si="690"/>
        <v>-</v>
      </c>
      <c r="BQ425" s="2309" t="str">
        <f t="shared" si="690"/>
        <v>-</v>
      </c>
      <c r="BR425" s="1055" t="str">
        <f t="shared" si="690"/>
        <v>-</v>
      </c>
      <c r="BS425" s="1055" t="str">
        <f t="shared" si="690"/>
        <v>-</v>
      </c>
      <c r="BT425" s="1055" t="str">
        <f t="shared" si="690"/>
        <v>-</v>
      </c>
      <c r="BU425" s="1056" t="str">
        <f t="shared" si="690"/>
        <v>-</v>
      </c>
      <c r="BV425" s="1055" t="str">
        <f t="shared" si="690"/>
        <v>-</v>
      </c>
      <c r="BW425" s="1055" t="str">
        <f t="shared" si="690"/>
        <v>-</v>
      </c>
      <c r="BX425" s="1055" t="str">
        <f t="shared" si="690"/>
        <v>-</v>
      </c>
      <c r="BY425" s="1055" t="str">
        <f t="shared" si="690"/>
        <v>-</v>
      </c>
      <c r="BZ425" s="1056" t="str">
        <f t="shared" si="690"/>
        <v>-</v>
      </c>
      <c r="CA425" s="1048"/>
    </row>
    <row r="426" spans="3:79" x14ac:dyDescent="0.3">
      <c r="C426" s="126"/>
      <c r="D426" s="126">
        <f>D423+1</f>
        <v>120</v>
      </c>
      <c r="E426" s="553" t="s">
        <v>45</v>
      </c>
      <c r="F426" s="2105" t="s">
        <v>28</v>
      </c>
      <c r="G426" s="2105"/>
      <c r="H426" s="2105"/>
      <c r="I426" s="573" t="s">
        <v>319</v>
      </c>
      <c r="J426" s="573" t="s">
        <v>348</v>
      </c>
      <c r="K426" s="1969"/>
      <c r="L426" s="1970"/>
      <c r="M426" s="1970"/>
      <c r="N426" s="1971"/>
      <c r="O426" s="1970"/>
      <c r="P426" s="1970"/>
      <c r="Q426" s="1970"/>
      <c r="R426" s="1972"/>
      <c r="S426" s="1971"/>
      <c r="T426" s="1970"/>
      <c r="U426" s="1970"/>
      <c r="V426" s="1970"/>
      <c r="W426" s="575"/>
      <c r="X426" s="1238"/>
      <c r="Y426" s="575"/>
      <c r="Z426" s="575"/>
      <c r="AA426" s="575"/>
      <c r="AB426" s="1142"/>
      <c r="AC426" s="575"/>
      <c r="AD426" s="575"/>
      <c r="AE426" s="575"/>
      <c r="AF426" s="575"/>
      <c r="AG426" s="577"/>
      <c r="AH426" s="575"/>
      <c r="AI426" s="575"/>
      <c r="AJ426" s="575"/>
      <c r="AK426" s="575"/>
      <c r="AL426" s="577"/>
      <c r="AM426" s="560"/>
      <c r="AN426" s="1052"/>
      <c r="AO426" s="992"/>
      <c r="AP426" s="2297" t="str">
        <f t="shared" si="623"/>
        <v>Price</v>
      </c>
      <c r="AQ426" s="2298" t="str">
        <f t="shared" si="623"/>
        <v>[Service]</v>
      </c>
      <c r="AR426" s="1719" t="str">
        <f t="shared" si="624"/>
        <v>[Price]</v>
      </c>
      <c r="AS426" s="2299" t="str">
        <f t="shared" ref="AS426:BG442" si="691">IF(OR(X426="",X426=0),"-",IFERROR(X426/W426-1,"-"))</f>
        <v>-</v>
      </c>
      <c r="AT426" s="1728" t="str">
        <f t="shared" si="691"/>
        <v>-</v>
      </c>
      <c r="AU426" s="1728" t="str">
        <f t="shared" si="691"/>
        <v>-</v>
      </c>
      <c r="AV426" s="2300" t="str">
        <f t="shared" si="691"/>
        <v>-</v>
      </c>
      <c r="AW426" s="1728" t="str">
        <f t="shared" si="691"/>
        <v>-</v>
      </c>
      <c r="AX426" s="2301" t="str">
        <f t="shared" si="691"/>
        <v>-</v>
      </c>
      <c r="AY426" s="1728" t="str">
        <f t="shared" si="691"/>
        <v>-</v>
      </c>
      <c r="AZ426" s="1728" t="str">
        <f t="shared" si="691"/>
        <v>-</v>
      </c>
      <c r="BA426" s="1728" t="str">
        <f t="shared" si="691"/>
        <v>-</v>
      </c>
      <c r="BB426" s="1729" t="str">
        <f t="shared" si="691"/>
        <v>-</v>
      </c>
      <c r="BC426" s="1728" t="str">
        <f t="shared" si="691"/>
        <v>-</v>
      </c>
      <c r="BD426" s="1728" t="str">
        <f t="shared" si="691"/>
        <v>-</v>
      </c>
      <c r="BE426" s="1728" t="str">
        <f t="shared" si="691"/>
        <v>-</v>
      </c>
      <c r="BF426" s="1728" t="str">
        <f t="shared" si="691"/>
        <v>-</v>
      </c>
      <c r="BG426" s="1729" t="str">
        <f t="shared" si="691"/>
        <v>-</v>
      </c>
      <c r="BH426" s="1048"/>
      <c r="BI426" s="2297" t="str">
        <f t="shared" si="652"/>
        <v>Price</v>
      </c>
      <c r="BJ426" s="2298" t="str">
        <f t="shared" si="652"/>
        <v>[Service]</v>
      </c>
      <c r="BK426" s="1719" t="str">
        <f t="shared" si="652"/>
        <v>[Price]</v>
      </c>
      <c r="BL426" s="2299" t="str">
        <f t="shared" ref="BL426:BZ426" si="692">IF(OR(X426="",X426=0),"-",IFERROR((X426/W426-1)*(W428/W$13),"-"))</f>
        <v>-</v>
      </c>
      <c r="BM426" s="1053" t="str">
        <f t="shared" si="692"/>
        <v>-</v>
      </c>
      <c r="BN426" s="1053" t="str">
        <f t="shared" si="692"/>
        <v>-</v>
      </c>
      <c r="BO426" s="2302" t="str">
        <f t="shared" si="692"/>
        <v>-</v>
      </c>
      <c r="BP426" s="1053" t="str">
        <f t="shared" si="692"/>
        <v>-</v>
      </c>
      <c r="BQ426" s="2303" t="str">
        <f t="shared" si="692"/>
        <v>-</v>
      </c>
      <c r="BR426" s="1053" t="str">
        <f t="shared" si="692"/>
        <v>-</v>
      </c>
      <c r="BS426" s="1053" t="str">
        <f t="shared" si="692"/>
        <v>-</v>
      </c>
      <c r="BT426" s="1053" t="str">
        <f t="shared" si="692"/>
        <v>-</v>
      </c>
      <c r="BU426" s="1054" t="str">
        <f t="shared" si="692"/>
        <v>-</v>
      </c>
      <c r="BV426" s="1053" t="str">
        <f t="shared" si="692"/>
        <v>-</v>
      </c>
      <c r="BW426" s="1053" t="str">
        <f t="shared" si="692"/>
        <v>-</v>
      </c>
      <c r="BX426" s="1053" t="str">
        <f t="shared" si="692"/>
        <v>-</v>
      </c>
      <c r="BY426" s="1053" t="str">
        <f t="shared" si="692"/>
        <v>-</v>
      </c>
      <c r="BZ426" s="1054" t="str">
        <f t="shared" si="692"/>
        <v>-</v>
      </c>
      <c r="CA426" s="1048"/>
    </row>
    <row r="427" spans="3:79" x14ac:dyDescent="0.3">
      <c r="C427" s="126"/>
      <c r="D427" s="126"/>
      <c r="E427" s="558" t="s">
        <v>46</v>
      </c>
      <c r="F427" s="2161" t="str">
        <f t="shared" si="666"/>
        <v>[Service]</v>
      </c>
      <c r="G427" s="2163">
        <f t="shared" si="666"/>
        <v>0</v>
      </c>
      <c r="H427" s="2163">
        <f t="shared" si="666"/>
        <v>0</v>
      </c>
      <c r="I427" s="2164" t="str">
        <f t="shared" si="666"/>
        <v>[Price]</v>
      </c>
      <c r="J427" s="574" t="s">
        <v>323</v>
      </c>
      <c r="K427" s="1973"/>
      <c r="L427" s="1974"/>
      <c r="M427" s="1974"/>
      <c r="N427" s="1975"/>
      <c r="O427" s="1974"/>
      <c r="P427" s="1974"/>
      <c r="Q427" s="1974"/>
      <c r="R427" s="1976"/>
      <c r="S427" s="1975"/>
      <c r="T427" s="1974"/>
      <c r="U427" s="1974"/>
      <c r="V427" s="1974"/>
      <c r="W427" s="578"/>
      <c r="X427" s="1239"/>
      <c r="Y427" s="578"/>
      <c r="Z427" s="578"/>
      <c r="AA427" s="578"/>
      <c r="AB427" s="1143"/>
      <c r="AC427" s="578"/>
      <c r="AD427" s="578"/>
      <c r="AE427" s="578"/>
      <c r="AF427" s="578"/>
      <c r="AG427" s="580"/>
      <c r="AH427" s="578"/>
      <c r="AI427" s="578"/>
      <c r="AJ427" s="578"/>
      <c r="AK427" s="578"/>
      <c r="AL427" s="580"/>
      <c r="AM427" s="560"/>
      <c r="AN427" s="991"/>
      <c r="AO427" s="992"/>
      <c r="AP427" s="2285" t="str">
        <f t="shared" si="623"/>
        <v>Qty</v>
      </c>
      <c r="AQ427" s="2286" t="str">
        <f t="shared" si="623"/>
        <v>[Service]</v>
      </c>
      <c r="AR427" s="2287" t="str">
        <f t="shared" si="624"/>
        <v>[Price]</v>
      </c>
      <c r="AS427" s="2288" t="str">
        <f t="shared" si="691"/>
        <v>-</v>
      </c>
      <c r="AT427" s="1720" t="str">
        <f t="shared" si="691"/>
        <v>-</v>
      </c>
      <c r="AU427" s="1720" t="str">
        <f t="shared" si="691"/>
        <v>-</v>
      </c>
      <c r="AV427" s="2289" t="str">
        <f t="shared" si="691"/>
        <v>-</v>
      </c>
      <c r="AW427" s="1720" t="str">
        <f t="shared" si="691"/>
        <v>-</v>
      </c>
      <c r="AX427" s="2290" t="str">
        <f t="shared" si="691"/>
        <v>-</v>
      </c>
      <c r="AY427" s="1720" t="str">
        <f t="shared" si="691"/>
        <v>-</v>
      </c>
      <c r="AZ427" s="1720" t="str">
        <f t="shared" si="691"/>
        <v>-</v>
      </c>
      <c r="BA427" s="1720" t="str">
        <f t="shared" si="691"/>
        <v>-</v>
      </c>
      <c r="BB427" s="1721" t="str">
        <f t="shared" si="691"/>
        <v>-</v>
      </c>
      <c r="BC427" s="1720" t="str">
        <f t="shared" si="691"/>
        <v>-</v>
      </c>
      <c r="BD427" s="1720" t="str">
        <f t="shared" si="691"/>
        <v>-</v>
      </c>
      <c r="BE427" s="1720" t="str">
        <f t="shared" si="691"/>
        <v>-</v>
      </c>
      <c r="BF427" s="1720" t="str">
        <f t="shared" si="691"/>
        <v>-</v>
      </c>
      <c r="BG427" s="1721" t="str">
        <f t="shared" si="691"/>
        <v>-</v>
      </c>
      <c r="BH427" s="1048"/>
      <c r="BI427" s="2285" t="str">
        <f t="shared" si="652"/>
        <v>Qty</v>
      </c>
      <c r="BJ427" s="2286" t="str">
        <f t="shared" si="652"/>
        <v>[Service]</v>
      </c>
      <c r="BK427" s="2287" t="str">
        <f t="shared" si="652"/>
        <v>[Price]</v>
      </c>
      <c r="BL427" s="2288" t="str">
        <f t="shared" ref="BL427:BZ427" si="693">IF(OR(X427="",X427=0),"-",IFERROR((X427/W427-1)*(W428/W$13),"-"))</f>
        <v>-</v>
      </c>
      <c r="BM427" s="1720" t="str">
        <f t="shared" si="693"/>
        <v>-</v>
      </c>
      <c r="BN427" s="1720" t="str">
        <f t="shared" si="693"/>
        <v>-</v>
      </c>
      <c r="BO427" s="2289" t="str">
        <f t="shared" si="693"/>
        <v>-</v>
      </c>
      <c r="BP427" s="1720" t="str">
        <f t="shared" si="693"/>
        <v>-</v>
      </c>
      <c r="BQ427" s="2290" t="str">
        <f t="shared" si="693"/>
        <v>-</v>
      </c>
      <c r="BR427" s="1720" t="str">
        <f t="shared" si="693"/>
        <v>-</v>
      </c>
      <c r="BS427" s="1720" t="str">
        <f t="shared" si="693"/>
        <v>-</v>
      </c>
      <c r="BT427" s="1720" t="str">
        <f t="shared" si="693"/>
        <v>-</v>
      </c>
      <c r="BU427" s="1721" t="str">
        <f t="shared" si="693"/>
        <v>-</v>
      </c>
      <c r="BV427" s="1720" t="str">
        <f t="shared" si="693"/>
        <v>-</v>
      </c>
      <c r="BW427" s="1720" t="str">
        <f t="shared" si="693"/>
        <v>-</v>
      </c>
      <c r="BX427" s="1720" t="str">
        <f t="shared" si="693"/>
        <v>-</v>
      </c>
      <c r="BY427" s="1720" t="str">
        <f t="shared" si="693"/>
        <v>-</v>
      </c>
      <c r="BZ427" s="1721" t="str">
        <f t="shared" si="693"/>
        <v>-</v>
      </c>
      <c r="CA427" s="1048"/>
    </row>
    <row r="428" spans="3:79" ht="12.5" thickBot="1" x14ac:dyDescent="0.35">
      <c r="C428" s="126"/>
      <c r="D428" s="126"/>
      <c r="E428" s="559" t="s">
        <v>47</v>
      </c>
      <c r="F428" s="2162" t="str">
        <f t="shared" ref="F428:I428" si="694">+F426</f>
        <v>[Service]</v>
      </c>
      <c r="G428" s="2165">
        <f t="shared" si="694"/>
        <v>0</v>
      </c>
      <c r="H428" s="2165">
        <f t="shared" si="694"/>
        <v>0</v>
      </c>
      <c r="I428" s="2166" t="str">
        <f t="shared" si="694"/>
        <v>[Price]</v>
      </c>
      <c r="J428" s="2106" t="s">
        <v>347</v>
      </c>
      <c r="K428" s="1977"/>
      <c r="L428" s="1206"/>
      <c r="M428" s="1206"/>
      <c r="N428" s="1978"/>
      <c r="O428" s="1206"/>
      <c r="P428" s="1206"/>
      <c r="Q428" s="1206"/>
      <c r="R428" s="1206"/>
      <c r="S428" s="1978"/>
      <c r="T428" s="1206"/>
      <c r="U428" s="1206"/>
      <c r="V428" s="1206"/>
      <c r="W428" s="1731">
        <f t="shared" ref="W428:AG428" si="695">W426*W427/10^6</f>
        <v>0</v>
      </c>
      <c r="X428" s="1730">
        <f t="shared" si="695"/>
        <v>0</v>
      </c>
      <c r="Y428" s="1731">
        <f t="shared" si="695"/>
        <v>0</v>
      </c>
      <c r="Z428" s="1731">
        <f t="shared" si="695"/>
        <v>0</v>
      </c>
      <c r="AA428" s="1731">
        <f t="shared" si="695"/>
        <v>0</v>
      </c>
      <c r="AB428" s="1733">
        <f t="shared" si="695"/>
        <v>0</v>
      </c>
      <c r="AC428" s="1731">
        <f t="shared" si="695"/>
        <v>0</v>
      </c>
      <c r="AD428" s="1731">
        <f t="shared" si="695"/>
        <v>0</v>
      </c>
      <c r="AE428" s="1731">
        <f t="shared" si="695"/>
        <v>0</v>
      </c>
      <c r="AF428" s="1731">
        <f t="shared" si="695"/>
        <v>0</v>
      </c>
      <c r="AG428" s="1733">
        <f t="shared" si="695"/>
        <v>0</v>
      </c>
      <c r="AH428" s="1731">
        <f>AH426*AH427/10^6</f>
        <v>0</v>
      </c>
      <c r="AI428" s="1731">
        <f>AI426*AI427/10^6</f>
        <v>0</v>
      </c>
      <c r="AJ428" s="1731">
        <f>AJ426*AJ427/10^6</f>
        <v>0</v>
      </c>
      <c r="AK428" s="1731">
        <f>AK426*AK427/10^6</f>
        <v>0</v>
      </c>
      <c r="AL428" s="1733">
        <f>AL426*AL427/10^6</f>
        <v>0</v>
      </c>
      <c r="AM428" s="560"/>
      <c r="AN428" s="991"/>
      <c r="AO428" s="992"/>
      <c r="AP428" s="2304" t="str">
        <f t="shared" si="623"/>
        <v>Rev</v>
      </c>
      <c r="AQ428" s="2305" t="str">
        <f t="shared" si="623"/>
        <v>[Service]</v>
      </c>
      <c r="AR428" s="2306" t="str">
        <f t="shared" si="624"/>
        <v>[Price]</v>
      </c>
      <c r="AS428" s="2307" t="str">
        <f t="shared" si="691"/>
        <v>-</v>
      </c>
      <c r="AT428" s="1055" t="str">
        <f t="shared" si="691"/>
        <v>-</v>
      </c>
      <c r="AU428" s="1055" t="str">
        <f t="shared" si="691"/>
        <v>-</v>
      </c>
      <c r="AV428" s="2308" t="str">
        <f t="shared" si="691"/>
        <v>-</v>
      </c>
      <c r="AW428" s="1055" t="str">
        <f t="shared" si="691"/>
        <v>-</v>
      </c>
      <c r="AX428" s="2309" t="str">
        <f t="shared" si="691"/>
        <v>-</v>
      </c>
      <c r="AY428" s="1055" t="str">
        <f t="shared" si="691"/>
        <v>-</v>
      </c>
      <c r="AZ428" s="1055" t="str">
        <f t="shared" si="691"/>
        <v>-</v>
      </c>
      <c r="BA428" s="1055" t="str">
        <f t="shared" si="691"/>
        <v>-</v>
      </c>
      <c r="BB428" s="1056" t="str">
        <f t="shared" si="691"/>
        <v>-</v>
      </c>
      <c r="BC428" s="1055" t="str">
        <f t="shared" si="691"/>
        <v>-</v>
      </c>
      <c r="BD428" s="1055" t="str">
        <f t="shared" si="691"/>
        <v>-</v>
      </c>
      <c r="BE428" s="1055" t="str">
        <f t="shared" si="691"/>
        <v>-</v>
      </c>
      <c r="BF428" s="1055" t="str">
        <f t="shared" si="691"/>
        <v>-</v>
      </c>
      <c r="BG428" s="1056" t="str">
        <f t="shared" si="691"/>
        <v>-</v>
      </c>
      <c r="BH428" s="1048"/>
      <c r="BI428" s="2304" t="str">
        <f t="shared" si="652"/>
        <v>Rev</v>
      </c>
      <c r="BJ428" s="2305" t="str">
        <f t="shared" si="652"/>
        <v>[Service]</v>
      </c>
      <c r="BK428" s="2306" t="str">
        <f t="shared" si="652"/>
        <v>[Price]</v>
      </c>
      <c r="BL428" s="2307" t="str">
        <f t="shared" ref="BL428:BZ428" si="696">IF(OR(X428="",X428=0),"-",IFERROR((X428/W428-1)*(W428/W$13),"-"))</f>
        <v>-</v>
      </c>
      <c r="BM428" s="1055" t="str">
        <f t="shared" si="696"/>
        <v>-</v>
      </c>
      <c r="BN428" s="1055" t="str">
        <f t="shared" si="696"/>
        <v>-</v>
      </c>
      <c r="BO428" s="2308" t="str">
        <f t="shared" si="696"/>
        <v>-</v>
      </c>
      <c r="BP428" s="1055" t="str">
        <f t="shared" si="696"/>
        <v>-</v>
      </c>
      <c r="BQ428" s="2309" t="str">
        <f t="shared" si="696"/>
        <v>-</v>
      </c>
      <c r="BR428" s="1055" t="str">
        <f t="shared" si="696"/>
        <v>-</v>
      </c>
      <c r="BS428" s="1055" t="str">
        <f t="shared" si="696"/>
        <v>-</v>
      </c>
      <c r="BT428" s="1055" t="str">
        <f t="shared" si="696"/>
        <v>-</v>
      </c>
      <c r="BU428" s="1056" t="str">
        <f t="shared" si="696"/>
        <v>-</v>
      </c>
      <c r="BV428" s="1055" t="str">
        <f t="shared" si="696"/>
        <v>-</v>
      </c>
      <c r="BW428" s="1055" t="str">
        <f t="shared" si="696"/>
        <v>-</v>
      </c>
      <c r="BX428" s="1055" t="str">
        <f t="shared" si="696"/>
        <v>-</v>
      </c>
      <c r="BY428" s="1055" t="str">
        <f t="shared" si="696"/>
        <v>-</v>
      </c>
      <c r="BZ428" s="1056" t="str">
        <f t="shared" si="696"/>
        <v>-</v>
      </c>
      <c r="CA428" s="1048"/>
    </row>
    <row r="429" spans="3:79" x14ac:dyDescent="0.3">
      <c r="C429" s="126"/>
      <c r="D429" s="126">
        <f>D426+1</f>
        <v>121</v>
      </c>
      <c r="E429" s="553" t="s">
        <v>45</v>
      </c>
      <c r="F429" s="2105" t="s">
        <v>28</v>
      </c>
      <c r="G429" s="2105"/>
      <c r="H429" s="2105"/>
      <c r="I429" s="573" t="s">
        <v>319</v>
      </c>
      <c r="J429" s="573" t="s">
        <v>348</v>
      </c>
      <c r="K429" s="1969"/>
      <c r="L429" s="1970"/>
      <c r="M429" s="1970"/>
      <c r="N429" s="1971"/>
      <c r="O429" s="1970"/>
      <c r="P429" s="1970"/>
      <c r="Q429" s="1970"/>
      <c r="R429" s="1972"/>
      <c r="S429" s="1971"/>
      <c r="T429" s="1970"/>
      <c r="U429" s="1970"/>
      <c r="V429" s="1970"/>
      <c r="W429" s="575"/>
      <c r="X429" s="1238"/>
      <c r="Y429" s="575"/>
      <c r="Z429" s="575"/>
      <c r="AA429" s="575"/>
      <c r="AB429" s="1142"/>
      <c r="AC429" s="575"/>
      <c r="AD429" s="575"/>
      <c r="AE429" s="575"/>
      <c r="AF429" s="575"/>
      <c r="AG429" s="577"/>
      <c r="AH429" s="575"/>
      <c r="AI429" s="575"/>
      <c r="AJ429" s="575"/>
      <c r="AK429" s="575"/>
      <c r="AL429" s="577"/>
      <c r="AM429" s="560"/>
      <c r="AN429" s="1052"/>
      <c r="AO429" s="992"/>
      <c r="AP429" s="2297" t="str">
        <f t="shared" si="623"/>
        <v>Price</v>
      </c>
      <c r="AQ429" s="2298" t="str">
        <f t="shared" si="623"/>
        <v>[Service]</v>
      </c>
      <c r="AR429" s="1719" t="str">
        <f t="shared" si="624"/>
        <v>[Price]</v>
      </c>
      <c r="AS429" s="2299" t="str">
        <f t="shared" si="691"/>
        <v>-</v>
      </c>
      <c r="AT429" s="1728" t="str">
        <f t="shared" si="691"/>
        <v>-</v>
      </c>
      <c r="AU429" s="1728" t="str">
        <f t="shared" si="691"/>
        <v>-</v>
      </c>
      <c r="AV429" s="2300" t="str">
        <f t="shared" si="691"/>
        <v>-</v>
      </c>
      <c r="AW429" s="1728" t="str">
        <f t="shared" si="691"/>
        <v>-</v>
      </c>
      <c r="AX429" s="2301" t="str">
        <f t="shared" si="691"/>
        <v>-</v>
      </c>
      <c r="AY429" s="1728" t="str">
        <f t="shared" si="691"/>
        <v>-</v>
      </c>
      <c r="AZ429" s="1728" t="str">
        <f t="shared" si="691"/>
        <v>-</v>
      </c>
      <c r="BA429" s="1728" t="str">
        <f t="shared" si="691"/>
        <v>-</v>
      </c>
      <c r="BB429" s="1729" t="str">
        <f t="shared" si="691"/>
        <v>-</v>
      </c>
      <c r="BC429" s="1728" t="str">
        <f t="shared" si="691"/>
        <v>-</v>
      </c>
      <c r="BD429" s="1728" t="str">
        <f t="shared" si="691"/>
        <v>-</v>
      </c>
      <c r="BE429" s="1728" t="str">
        <f t="shared" si="691"/>
        <v>-</v>
      </c>
      <c r="BF429" s="1728" t="str">
        <f t="shared" si="691"/>
        <v>-</v>
      </c>
      <c r="BG429" s="1729" t="str">
        <f t="shared" si="691"/>
        <v>-</v>
      </c>
      <c r="BH429" s="1048"/>
      <c r="BI429" s="2297" t="str">
        <f t="shared" si="652"/>
        <v>Price</v>
      </c>
      <c r="BJ429" s="2298" t="str">
        <f t="shared" si="652"/>
        <v>[Service]</v>
      </c>
      <c r="BK429" s="1719" t="str">
        <f t="shared" si="652"/>
        <v>[Price]</v>
      </c>
      <c r="BL429" s="2299" t="str">
        <f t="shared" ref="BL429:BZ429" si="697">IF(OR(X429="",X429=0),"-",IFERROR((X429/W429-1)*(W431/W$13),"-"))</f>
        <v>-</v>
      </c>
      <c r="BM429" s="1053" t="str">
        <f t="shared" si="697"/>
        <v>-</v>
      </c>
      <c r="BN429" s="1053" t="str">
        <f t="shared" si="697"/>
        <v>-</v>
      </c>
      <c r="BO429" s="2302" t="str">
        <f t="shared" si="697"/>
        <v>-</v>
      </c>
      <c r="BP429" s="1053" t="str">
        <f t="shared" si="697"/>
        <v>-</v>
      </c>
      <c r="BQ429" s="2303" t="str">
        <f t="shared" si="697"/>
        <v>-</v>
      </c>
      <c r="BR429" s="1053" t="str">
        <f t="shared" si="697"/>
        <v>-</v>
      </c>
      <c r="BS429" s="1053" t="str">
        <f t="shared" si="697"/>
        <v>-</v>
      </c>
      <c r="BT429" s="1053" t="str">
        <f t="shared" si="697"/>
        <v>-</v>
      </c>
      <c r="BU429" s="1054" t="str">
        <f t="shared" si="697"/>
        <v>-</v>
      </c>
      <c r="BV429" s="1053" t="str">
        <f t="shared" si="697"/>
        <v>-</v>
      </c>
      <c r="BW429" s="1053" t="str">
        <f t="shared" si="697"/>
        <v>-</v>
      </c>
      <c r="BX429" s="1053" t="str">
        <f t="shared" si="697"/>
        <v>-</v>
      </c>
      <c r="BY429" s="1053" t="str">
        <f t="shared" si="697"/>
        <v>-</v>
      </c>
      <c r="BZ429" s="1054" t="str">
        <f t="shared" si="697"/>
        <v>-</v>
      </c>
      <c r="CA429" s="1048"/>
    </row>
    <row r="430" spans="3:79" x14ac:dyDescent="0.3">
      <c r="C430" s="126"/>
      <c r="D430" s="126"/>
      <c r="E430" s="558" t="s">
        <v>46</v>
      </c>
      <c r="F430" s="2161" t="str">
        <f t="shared" ref="F430:I442" si="698">+F429</f>
        <v>[Service]</v>
      </c>
      <c r="G430" s="2163">
        <f t="shared" si="698"/>
        <v>0</v>
      </c>
      <c r="H430" s="2163">
        <f t="shared" si="698"/>
        <v>0</v>
      </c>
      <c r="I430" s="2164" t="str">
        <f t="shared" si="698"/>
        <v>[Price]</v>
      </c>
      <c r="J430" s="574" t="s">
        <v>323</v>
      </c>
      <c r="K430" s="1973"/>
      <c r="L430" s="1974"/>
      <c r="M430" s="1974"/>
      <c r="N430" s="1975"/>
      <c r="O430" s="1974"/>
      <c r="P430" s="1974"/>
      <c r="Q430" s="1974"/>
      <c r="R430" s="1976"/>
      <c r="S430" s="1975"/>
      <c r="T430" s="1974"/>
      <c r="U430" s="1974"/>
      <c r="V430" s="1974"/>
      <c r="W430" s="578"/>
      <c r="X430" s="1239"/>
      <c r="Y430" s="578"/>
      <c r="Z430" s="578"/>
      <c r="AA430" s="578"/>
      <c r="AB430" s="1143"/>
      <c r="AC430" s="578"/>
      <c r="AD430" s="578"/>
      <c r="AE430" s="578"/>
      <c r="AF430" s="578"/>
      <c r="AG430" s="580"/>
      <c r="AH430" s="578"/>
      <c r="AI430" s="578"/>
      <c r="AJ430" s="578"/>
      <c r="AK430" s="578"/>
      <c r="AL430" s="580"/>
      <c r="AM430" s="560"/>
      <c r="AN430" s="991"/>
      <c r="AO430" s="992"/>
      <c r="AP430" s="2285" t="str">
        <f t="shared" si="623"/>
        <v>Qty</v>
      </c>
      <c r="AQ430" s="2286" t="str">
        <f t="shared" si="623"/>
        <v>[Service]</v>
      </c>
      <c r="AR430" s="2287" t="str">
        <f t="shared" si="624"/>
        <v>[Price]</v>
      </c>
      <c r="AS430" s="2288" t="str">
        <f t="shared" si="691"/>
        <v>-</v>
      </c>
      <c r="AT430" s="1720" t="str">
        <f t="shared" si="691"/>
        <v>-</v>
      </c>
      <c r="AU430" s="1720" t="str">
        <f t="shared" si="691"/>
        <v>-</v>
      </c>
      <c r="AV430" s="2289" t="str">
        <f t="shared" si="691"/>
        <v>-</v>
      </c>
      <c r="AW430" s="1720" t="str">
        <f t="shared" si="691"/>
        <v>-</v>
      </c>
      <c r="AX430" s="2290" t="str">
        <f t="shared" si="691"/>
        <v>-</v>
      </c>
      <c r="AY430" s="1720" t="str">
        <f t="shared" si="691"/>
        <v>-</v>
      </c>
      <c r="AZ430" s="1720" t="str">
        <f t="shared" si="691"/>
        <v>-</v>
      </c>
      <c r="BA430" s="1720" t="str">
        <f t="shared" si="691"/>
        <v>-</v>
      </c>
      <c r="BB430" s="1721" t="str">
        <f t="shared" si="691"/>
        <v>-</v>
      </c>
      <c r="BC430" s="1720" t="str">
        <f t="shared" si="691"/>
        <v>-</v>
      </c>
      <c r="BD430" s="1720" t="str">
        <f t="shared" si="691"/>
        <v>-</v>
      </c>
      <c r="BE430" s="1720" t="str">
        <f t="shared" si="691"/>
        <v>-</v>
      </c>
      <c r="BF430" s="1720" t="str">
        <f t="shared" si="691"/>
        <v>-</v>
      </c>
      <c r="BG430" s="1721" t="str">
        <f t="shared" si="691"/>
        <v>-</v>
      </c>
      <c r="BH430" s="1048"/>
      <c r="BI430" s="2285" t="str">
        <f t="shared" si="652"/>
        <v>Qty</v>
      </c>
      <c r="BJ430" s="2286" t="str">
        <f t="shared" si="652"/>
        <v>[Service]</v>
      </c>
      <c r="BK430" s="2287" t="str">
        <f t="shared" si="652"/>
        <v>[Price]</v>
      </c>
      <c r="BL430" s="2288" t="str">
        <f t="shared" ref="BL430:BZ430" si="699">IF(OR(X430="",X430=0),"-",IFERROR((X430/W430-1)*(W431/W$13),"-"))</f>
        <v>-</v>
      </c>
      <c r="BM430" s="1720" t="str">
        <f t="shared" si="699"/>
        <v>-</v>
      </c>
      <c r="BN430" s="1720" t="str">
        <f t="shared" si="699"/>
        <v>-</v>
      </c>
      <c r="BO430" s="2289" t="str">
        <f t="shared" si="699"/>
        <v>-</v>
      </c>
      <c r="BP430" s="1720" t="str">
        <f t="shared" si="699"/>
        <v>-</v>
      </c>
      <c r="BQ430" s="2290" t="str">
        <f t="shared" si="699"/>
        <v>-</v>
      </c>
      <c r="BR430" s="1720" t="str">
        <f t="shared" si="699"/>
        <v>-</v>
      </c>
      <c r="BS430" s="1720" t="str">
        <f t="shared" si="699"/>
        <v>-</v>
      </c>
      <c r="BT430" s="1720" t="str">
        <f t="shared" si="699"/>
        <v>-</v>
      </c>
      <c r="BU430" s="1721" t="str">
        <f t="shared" si="699"/>
        <v>-</v>
      </c>
      <c r="BV430" s="1720" t="str">
        <f t="shared" si="699"/>
        <v>-</v>
      </c>
      <c r="BW430" s="1720" t="str">
        <f t="shared" si="699"/>
        <v>-</v>
      </c>
      <c r="BX430" s="1720" t="str">
        <f t="shared" si="699"/>
        <v>-</v>
      </c>
      <c r="BY430" s="1720" t="str">
        <f t="shared" si="699"/>
        <v>-</v>
      </c>
      <c r="BZ430" s="1721" t="str">
        <f t="shared" si="699"/>
        <v>-</v>
      </c>
      <c r="CA430" s="1048"/>
    </row>
    <row r="431" spans="3:79" ht="12.5" thickBot="1" x14ac:dyDescent="0.35">
      <c r="C431" s="126"/>
      <c r="D431" s="126"/>
      <c r="E431" s="559" t="s">
        <v>47</v>
      </c>
      <c r="F431" s="2162" t="str">
        <f t="shared" ref="F431:I431" si="700">+F429</f>
        <v>[Service]</v>
      </c>
      <c r="G431" s="2165">
        <f t="shared" si="700"/>
        <v>0</v>
      </c>
      <c r="H431" s="2165">
        <f t="shared" si="700"/>
        <v>0</v>
      </c>
      <c r="I431" s="2166" t="str">
        <f t="shared" si="700"/>
        <v>[Price]</v>
      </c>
      <c r="J431" s="2106" t="s">
        <v>347</v>
      </c>
      <c r="K431" s="1977"/>
      <c r="L431" s="1206"/>
      <c r="M431" s="1206"/>
      <c r="N431" s="1978"/>
      <c r="O431" s="1206"/>
      <c r="P431" s="1206"/>
      <c r="Q431" s="1206"/>
      <c r="R431" s="1206"/>
      <c r="S431" s="1978"/>
      <c r="T431" s="1206"/>
      <c r="U431" s="1206"/>
      <c r="V431" s="1206"/>
      <c r="W431" s="1731">
        <f t="shared" ref="W431:AG431" si="701">W429*W430/10^6</f>
        <v>0</v>
      </c>
      <c r="X431" s="1730">
        <f t="shared" si="701"/>
        <v>0</v>
      </c>
      <c r="Y431" s="1731">
        <f t="shared" si="701"/>
        <v>0</v>
      </c>
      <c r="Z431" s="1731">
        <f t="shared" si="701"/>
        <v>0</v>
      </c>
      <c r="AA431" s="1731">
        <f t="shared" si="701"/>
        <v>0</v>
      </c>
      <c r="AB431" s="1733">
        <f t="shared" si="701"/>
        <v>0</v>
      </c>
      <c r="AC431" s="1731">
        <f t="shared" si="701"/>
        <v>0</v>
      </c>
      <c r="AD431" s="1731">
        <f t="shared" si="701"/>
        <v>0</v>
      </c>
      <c r="AE431" s="1731">
        <f t="shared" si="701"/>
        <v>0</v>
      </c>
      <c r="AF431" s="1731">
        <f t="shared" si="701"/>
        <v>0</v>
      </c>
      <c r="AG431" s="1733">
        <f t="shared" si="701"/>
        <v>0</v>
      </c>
      <c r="AH431" s="1731">
        <f>AH429*AH430/10^6</f>
        <v>0</v>
      </c>
      <c r="AI431" s="1731">
        <f>AI429*AI430/10^6</f>
        <v>0</v>
      </c>
      <c r="AJ431" s="1731">
        <f>AJ429*AJ430/10^6</f>
        <v>0</v>
      </c>
      <c r="AK431" s="1731">
        <f>AK429*AK430/10^6</f>
        <v>0</v>
      </c>
      <c r="AL431" s="1733">
        <f>AL429*AL430/10^6</f>
        <v>0</v>
      </c>
      <c r="AM431" s="560"/>
      <c r="AN431" s="991"/>
      <c r="AO431" s="992"/>
      <c r="AP431" s="2304" t="str">
        <f t="shared" si="623"/>
        <v>Rev</v>
      </c>
      <c r="AQ431" s="2305" t="str">
        <f t="shared" si="623"/>
        <v>[Service]</v>
      </c>
      <c r="AR431" s="2306" t="str">
        <f t="shared" si="624"/>
        <v>[Price]</v>
      </c>
      <c r="AS431" s="2307" t="str">
        <f t="shared" si="691"/>
        <v>-</v>
      </c>
      <c r="AT431" s="1055" t="str">
        <f t="shared" si="691"/>
        <v>-</v>
      </c>
      <c r="AU431" s="1055" t="str">
        <f t="shared" si="691"/>
        <v>-</v>
      </c>
      <c r="AV431" s="2308" t="str">
        <f t="shared" si="691"/>
        <v>-</v>
      </c>
      <c r="AW431" s="1055" t="str">
        <f t="shared" si="691"/>
        <v>-</v>
      </c>
      <c r="AX431" s="2309" t="str">
        <f t="shared" si="691"/>
        <v>-</v>
      </c>
      <c r="AY431" s="1055" t="str">
        <f t="shared" si="691"/>
        <v>-</v>
      </c>
      <c r="AZ431" s="1055" t="str">
        <f t="shared" si="691"/>
        <v>-</v>
      </c>
      <c r="BA431" s="1055" t="str">
        <f t="shared" si="691"/>
        <v>-</v>
      </c>
      <c r="BB431" s="1056" t="str">
        <f t="shared" si="691"/>
        <v>-</v>
      </c>
      <c r="BC431" s="1055" t="str">
        <f t="shared" si="691"/>
        <v>-</v>
      </c>
      <c r="BD431" s="1055" t="str">
        <f t="shared" si="691"/>
        <v>-</v>
      </c>
      <c r="BE431" s="1055" t="str">
        <f t="shared" si="691"/>
        <v>-</v>
      </c>
      <c r="BF431" s="1055" t="str">
        <f t="shared" si="691"/>
        <v>-</v>
      </c>
      <c r="BG431" s="1056" t="str">
        <f t="shared" si="691"/>
        <v>-</v>
      </c>
      <c r="BH431" s="1048"/>
      <c r="BI431" s="2304" t="str">
        <f t="shared" si="652"/>
        <v>Rev</v>
      </c>
      <c r="BJ431" s="2305" t="str">
        <f t="shared" si="652"/>
        <v>[Service]</v>
      </c>
      <c r="BK431" s="2306" t="str">
        <f t="shared" si="652"/>
        <v>[Price]</v>
      </c>
      <c r="BL431" s="2307" t="str">
        <f t="shared" ref="BL431:BZ431" si="702">IF(OR(X431="",X431=0),"-",IFERROR((X431/W431-1)*(W431/W$13),"-"))</f>
        <v>-</v>
      </c>
      <c r="BM431" s="1055" t="str">
        <f t="shared" si="702"/>
        <v>-</v>
      </c>
      <c r="BN431" s="1055" t="str">
        <f t="shared" si="702"/>
        <v>-</v>
      </c>
      <c r="BO431" s="2308" t="str">
        <f t="shared" si="702"/>
        <v>-</v>
      </c>
      <c r="BP431" s="1055" t="str">
        <f t="shared" si="702"/>
        <v>-</v>
      </c>
      <c r="BQ431" s="2309" t="str">
        <f t="shared" si="702"/>
        <v>-</v>
      </c>
      <c r="BR431" s="1055" t="str">
        <f t="shared" si="702"/>
        <v>-</v>
      </c>
      <c r="BS431" s="1055" t="str">
        <f t="shared" si="702"/>
        <v>-</v>
      </c>
      <c r="BT431" s="1055" t="str">
        <f t="shared" si="702"/>
        <v>-</v>
      </c>
      <c r="BU431" s="1056" t="str">
        <f t="shared" si="702"/>
        <v>-</v>
      </c>
      <c r="BV431" s="1055" t="str">
        <f t="shared" si="702"/>
        <v>-</v>
      </c>
      <c r="BW431" s="1055" t="str">
        <f t="shared" si="702"/>
        <v>-</v>
      </c>
      <c r="BX431" s="1055" t="str">
        <f t="shared" si="702"/>
        <v>-</v>
      </c>
      <c r="BY431" s="1055" t="str">
        <f t="shared" si="702"/>
        <v>-</v>
      </c>
      <c r="BZ431" s="1056" t="str">
        <f t="shared" si="702"/>
        <v>-</v>
      </c>
      <c r="CA431" s="1048"/>
    </row>
    <row r="432" spans="3:79" x14ac:dyDescent="0.3">
      <c r="C432" s="126"/>
      <c r="D432" s="126">
        <f>D429+1</f>
        <v>122</v>
      </c>
      <c r="E432" s="553" t="s">
        <v>45</v>
      </c>
      <c r="F432" s="2105" t="s">
        <v>28</v>
      </c>
      <c r="G432" s="2105"/>
      <c r="H432" s="2105"/>
      <c r="I432" s="573" t="s">
        <v>319</v>
      </c>
      <c r="J432" s="573" t="s">
        <v>348</v>
      </c>
      <c r="K432" s="1969"/>
      <c r="L432" s="1970"/>
      <c r="M432" s="1970"/>
      <c r="N432" s="1971"/>
      <c r="O432" s="1970"/>
      <c r="P432" s="1970"/>
      <c r="Q432" s="1970"/>
      <c r="R432" s="1972"/>
      <c r="S432" s="1971"/>
      <c r="T432" s="1970"/>
      <c r="U432" s="1970"/>
      <c r="V432" s="1970"/>
      <c r="W432" s="575"/>
      <c r="X432" s="1238"/>
      <c r="Y432" s="575"/>
      <c r="Z432" s="575"/>
      <c r="AA432" s="575"/>
      <c r="AB432" s="1142"/>
      <c r="AC432" s="575"/>
      <c r="AD432" s="575"/>
      <c r="AE432" s="575"/>
      <c r="AF432" s="575"/>
      <c r="AG432" s="577"/>
      <c r="AH432" s="575"/>
      <c r="AI432" s="575"/>
      <c r="AJ432" s="575"/>
      <c r="AK432" s="575"/>
      <c r="AL432" s="577"/>
      <c r="AM432" s="560"/>
      <c r="AN432" s="1052"/>
      <c r="AO432" s="992"/>
      <c r="AP432" s="2297" t="str">
        <f t="shared" si="623"/>
        <v>Price</v>
      </c>
      <c r="AQ432" s="2298" t="str">
        <f t="shared" si="623"/>
        <v>[Service]</v>
      </c>
      <c r="AR432" s="1719" t="str">
        <f t="shared" si="624"/>
        <v>[Price]</v>
      </c>
      <c r="AS432" s="2299" t="str">
        <f t="shared" si="691"/>
        <v>-</v>
      </c>
      <c r="AT432" s="1728" t="str">
        <f t="shared" si="691"/>
        <v>-</v>
      </c>
      <c r="AU432" s="1728" t="str">
        <f t="shared" si="691"/>
        <v>-</v>
      </c>
      <c r="AV432" s="2300" t="str">
        <f t="shared" si="691"/>
        <v>-</v>
      </c>
      <c r="AW432" s="1728" t="str">
        <f t="shared" si="691"/>
        <v>-</v>
      </c>
      <c r="AX432" s="2301" t="str">
        <f t="shared" si="691"/>
        <v>-</v>
      </c>
      <c r="AY432" s="1728" t="str">
        <f t="shared" si="691"/>
        <v>-</v>
      </c>
      <c r="AZ432" s="1728" t="str">
        <f t="shared" si="691"/>
        <v>-</v>
      </c>
      <c r="BA432" s="1728" t="str">
        <f t="shared" si="691"/>
        <v>-</v>
      </c>
      <c r="BB432" s="1729" t="str">
        <f t="shared" si="691"/>
        <v>-</v>
      </c>
      <c r="BC432" s="1728" t="str">
        <f t="shared" si="691"/>
        <v>-</v>
      </c>
      <c r="BD432" s="1728" t="str">
        <f t="shared" si="691"/>
        <v>-</v>
      </c>
      <c r="BE432" s="1728" t="str">
        <f t="shared" si="691"/>
        <v>-</v>
      </c>
      <c r="BF432" s="1728" t="str">
        <f t="shared" si="691"/>
        <v>-</v>
      </c>
      <c r="BG432" s="1729" t="str">
        <f t="shared" si="691"/>
        <v>-</v>
      </c>
      <c r="BH432" s="1048"/>
      <c r="BI432" s="2297" t="str">
        <f t="shared" si="652"/>
        <v>Price</v>
      </c>
      <c r="BJ432" s="2298" t="str">
        <f t="shared" si="652"/>
        <v>[Service]</v>
      </c>
      <c r="BK432" s="1719" t="str">
        <f t="shared" si="652"/>
        <v>[Price]</v>
      </c>
      <c r="BL432" s="2299" t="str">
        <f t="shared" ref="BL432:BZ432" si="703">IF(OR(X432="",X432=0),"-",IFERROR((X432/W432-1)*(W434/W$13),"-"))</f>
        <v>-</v>
      </c>
      <c r="BM432" s="1053" t="str">
        <f t="shared" si="703"/>
        <v>-</v>
      </c>
      <c r="BN432" s="1053" t="str">
        <f t="shared" si="703"/>
        <v>-</v>
      </c>
      <c r="BO432" s="2302" t="str">
        <f t="shared" si="703"/>
        <v>-</v>
      </c>
      <c r="BP432" s="1053" t="str">
        <f t="shared" si="703"/>
        <v>-</v>
      </c>
      <c r="BQ432" s="2303" t="str">
        <f t="shared" si="703"/>
        <v>-</v>
      </c>
      <c r="BR432" s="1053" t="str">
        <f t="shared" si="703"/>
        <v>-</v>
      </c>
      <c r="BS432" s="1053" t="str">
        <f t="shared" si="703"/>
        <v>-</v>
      </c>
      <c r="BT432" s="1053" t="str">
        <f t="shared" si="703"/>
        <v>-</v>
      </c>
      <c r="BU432" s="1054" t="str">
        <f t="shared" si="703"/>
        <v>-</v>
      </c>
      <c r="BV432" s="1053" t="str">
        <f t="shared" si="703"/>
        <v>-</v>
      </c>
      <c r="BW432" s="1053" t="str">
        <f t="shared" si="703"/>
        <v>-</v>
      </c>
      <c r="BX432" s="1053" t="str">
        <f t="shared" si="703"/>
        <v>-</v>
      </c>
      <c r="BY432" s="1053" t="str">
        <f t="shared" si="703"/>
        <v>-</v>
      </c>
      <c r="BZ432" s="1054" t="str">
        <f t="shared" si="703"/>
        <v>-</v>
      </c>
      <c r="CA432" s="1048"/>
    </row>
    <row r="433" spans="3:79" x14ac:dyDescent="0.3">
      <c r="C433" s="126"/>
      <c r="D433" s="126"/>
      <c r="E433" s="558" t="s">
        <v>46</v>
      </c>
      <c r="F433" s="2161" t="str">
        <f t="shared" si="698"/>
        <v>[Service]</v>
      </c>
      <c r="G433" s="2163">
        <f t="shared" si="698"/>
        <v>0</v>
      </c>
      <c r="H433" s="2163">
        <f t="shared" si="698"/>
        <v>0</v>
      </c>
      <c r="I433" s="2164" t="str">
        <f t="shared" si="698"/>
        <v>[Price]</v>
      </c>
      <c r="J433" s="574" t="s">
        <v>323</v>
      </c>
      <c r="K433" s="1973"/>
      <c r="L433" s="1974"/>
      <c r="M433" s="1974"/>
      <c r="N433" s="1975"/>
      <c r="O433" s="1974"/>
      <c r="P433" s="1974"/>
      <c r="Q433" s="1974"/>
      <c r="R433" s="1976"/>
      <c r="S433" s="1975"/>
      <c r="T433" s="1974"/>
      <c r="U433" s="1974"/>
      <c r="V433" s="1974"/>
      <c r="W433" s="578"/>
      <c r="X433" s="1239"/>
      <c r="Y433" s="578"/>
      <c r="Z433" s="578"/>
      <c r="AA433" s="578"/>
      <c r="AB433" s="1143"/>
      <c r="AC433" s="578"/>
      <c r="AD433" s="578"/>
      <c r="AE433" s="578"/>
      <c r="AF433" s="578"/>
      <c r="AG433" s="580"/>
      <c r="AH433" s="578"/>
      <c r="AI433" s="578"/>
      <c r="AJ433" s="578"/>
      <c r="AK433" s="578"/>
      <c r="AL433" s="580"/>
      <c r="AM433" s="560"/>
      <c r="AN433" s="991"/>
      <c r="AO433" s="992"/>
      <c r="AP433" s="2285" t="str">
        <f t="shared" si="623"/>
        <v>Qty</v>
      </c>
      <c r="AQ433" s="2286" t="str">
        <f t="shared" si="623"/>
        <v>[Service]</v>
      </c>
      <c r="AR433" s="2287" t="str">
        <f t="shared" si="624"/>
        <v>[Price]</v>
      </c>
      <c r="AS433" s="2288" t="str">
        <f t="shared" si="691"/>
        <v>-</v>
      </c>
      <c r="AT433" s="1720" t="str">
        <f t="shared" si="691"/>
        <v>-</v>
      </c>
      <c r="AU433" s="1720" t="str">
        <f t="shared" si="691"/>
        <v>-</v>
      </c>
      <c r="AV433" s="2289" t="str">
        <f t="shared" si="691"/>
        <v>-</v>
      </c>
      <c r="AW433" s="1720" t="str">
        <f t="shared" si="691"/>
        <v>-</v>
      </c>
      <c r="AX433" s="2290" t="str">
        <f t="shared" si="691"/>
        <v>-</v>
      </c>
      <c r="AY433" s="1720" t="str">
        <f t="shared" si="691"/>
        <v>-</v>
      </c>
      <c r="AZ433" s="1720" t="str">
        <f t="shared" si="691"/>
        <v>-</v>
      </c>
      <c r="BA433" s="1720" t="str">
        <f t="shared" si="691"/>
        <v>-</v>
      </c>
      <c r="BB433" s="1721" t="str">
        <f t="shared" si="691"/>
        <v>-</v>
      </c>
      <c r="BC433" s="1720" t="str">
        <f t="shared" si="691"/>
        <v>-</v>
      </c>
      <c r="BD433" s="1720" t="str">
        <f t="shared" si="691"/>
        <v>-</v>
      </c>
      <c r="BE433" s="1720" t="str">
        <f t="shared" si="691"/>
        <v>-</v>
      </c>
      <c r="BF433" s="1720" t="str">
        <f t="shared" si="691"/>
        <v>-</v>
      </c>
      <c r="BG433" s="1721" t="str">
        <f t="shared" si="691"/>
        <v>-</v>
      </c>
      <c r="BH433" s="1048"/>
      <c r="BI433" s="2285" t="str">
        <f t="shared" si="652"/>
        <v>Qty</v>
      </c>
      <c r="BJ433" s="2286" t="str">
        <f t="shared" si="652"/>
        <v>[Service]</v>
      </c>
      <c r="BK433" s="2287" t="str">
        <f t="shared" si="652"/>
        <v>[Price]</v>
      </c>
      <c r="BL433" s="2288" t="str">
        <f t="shared" ref="BL433:BZ433" si="704">IF(OR(X433="",X433=0),"-",IFERROR((X433/W433-1)*(W434/W$13),"-"))</f>
        <v>-</v>
      </c>
      <c r="BM433" s="1720" t="str">
        <f t="shared" si="704"/>
        <v>-</v>
      </c>
      <c r="BN433" s="1720" t="str">
        <f t="shared" si="704"/>
        <v>-</v>
      </c>
      <c r="BO433" s="2289" t="str">
        <f t="shared" si="704"/>
        <v>-</v>
      </c>
      <c r="BP433" s="1720" t="str">
        <f t="shared" si="704"/>
        <v>-</v>
      </c>
      <c r="BQ433" s="2290" t="str">
        <f t="shared" si="704"/>
        <v>-</v>
      </c>
      <c r="BR433" s="1720" t="str">
        <f t="shared" si="704"/>
        <v>-</v>
      </c>
      <c r="BS433" s="1720" t="str">
        <f t="shared" si="704"/>
        <v>-</v>
      </c>
      <c r="BT433" s="1720" t="str">
        <f t="shared" si="704"/>
        <v>-</v>
      </c>
      <c r="BU433" s="1721" t="str">
        <f t="shared" si="704"/>
        <v>-</v>
      </c>
      <c r="BV433" s="1720" t="str">
        <f t="shared" si="704"/>
        <v>-</v>
      </c>
      <c r="BW433" s="1720" t="str">
        <f t="shared" si="704"/>
        <v>-</v>
      </c>
      <c r="BX433" s="1720" t="str">
        <f t="shared" si="704"/>
        <v>-</v>
      </c>
      <c r="BY433" s="1720" t="str">
        <f t="shared" si="704"/>
        <v>-</v>
      </c>
      <c r="BZ433" s="1721" t="str">
        <f t="shared" si="704"/>
        <v>-</v>
      </c>
      <c r="CA433" s="1048"/>
    </row>
    <row r="434" spans="3:79" ht="12.5" thickBot="1" x14ac:dyDescent="0.35">
      <c r="C434" s="126"/>
      <c r="D434" s="126"/>
      <c r="E434" s="559" t="s">
        <v>47</v>
      </c>
      <c r="F434" s="2162" t="str">
        <f t="shared" ref="F434:I434" si="705">+F432</f>
        <v>[Service]</v>
      </c>
      <c r="G434" s="2165">
        <f t="shared" si="705"/>
        <v>0</v>
      </c>
      <c r="H434" s="2165">
        <f t="shared" si="705"/>
        <v>0</v>
      </c>
      <c r="I434" s="2166" t="str">
        <f t="shared" si="705"/>
        <v>[Price]</v>
      </c>
      <c r="J434" s="2106" t="s">
        <v>347</v>
      </c>
      <c r="K434" s="1977"/>
      <c r="L434" s="1206"/>
      <c r="M434" s="1206"/>
      <c r="N434" s="1978"/>
      <c r="O434" s="1206"/>
      <c r="P434" s="1206"/>
      <c r="Q434" s="1206"/>
      <c r="R434" s="1206"/>
      <c r="S434" s="1978"/>
      <c r="T434" s="1206"/>
      <c r="U434" s="1206"/>
      <c r="V434" s="1206"/>
      <c r="W434" s="1731">
        <f t="shared" ref="W434:AG434" si="706">W432*W433/10^6</f>
        <v>0</v>
      </c>
      <c r="X434" s="1730">
        <f t="shared" si="706"/>
        <v>0</v>
      </c>
      <c r="Y434" s="1731">
        <f t="shared" si="706"/>
        <v>0</v>
      </c>
      <c r="Z434" s="1731">
        <f t="shared" si="706"/>
        <v>0</v>
      </c>
      <c r="AA434" s="1731">
        <f t="shared" si="706"/>
        <v>0</v>
      </c>
      <c r="AB434" s="1733">
        <f t="shared" si="706"/>
        <v>0</v>
      </c>
      <c r="AC434" s="1731">
        <f t="shared" si="706"/>
        <v>0</v>
      </c>
      <c r="AD434" s="1731">
        <f t="shared" si="706"/>
        <v>0</v>
      </c>
      <c r="AE434" s="1731">
        <f t="shared" si="706"/>
        <v>0</v>
      </c>
      <c r="AF434" s="1731">
        <f t="shared" si="706"/>
        <v>0</v>
      </c>
      <c r="AG434" s="1733">
        <f t="shared" si="706"/>
        <v>0</v>
      </c>
      <c r="AH434" s="1731">
        <f>AH432*AH433/10^6</f>
        <v>0</v>
      </c>
      <c r="AI434" s="1731">
        <f>AI432*AI433/10^6</f>
        <v>0</v>
      </c>
      <c r="AJ434" s="1731">
        <f>AJ432*AJ433/10^6</f>
        <v>0</v>
      </c>
      <c r="AK434" s="1731">
        <f>AK432*AK433/10^6</f>
        <v>0</v>
      </c>
      <c r="AL434" s="1733">
        <f>AL432*AL433/10^6</f>
        <v>0</v>
      </c>
      <c r="AM434" s="560"/>
      <c r="AN434" s="991"/>
      <c r="AO434" s="992"/>
      <c r="AP434" s="2304" t="str">
        <f t="shared" si="623"/>
        <v>Rev</v>
      </c>
      <c r="AQ434" s="2305" t="str">
        <f t="shared" si="623"/>
        <v>[Service]</v>
      </c>
      <c r="AR434" s="2306" t="str">
        <f t="shared" si="624"/>
        <v>[Price]</v>
      </c>
      <c r="AS434" s="2307" t="str">
        <f t="shared" si="691"/>
        <v>-</v>
      </c>
      <c r="AT434" s="1055" t="str">
        <f t="shared" si="691"/>
        <v>-</v>
      </c>
      <c r="AU434" s="1055" t="str">
        <f t="shared" si="691"/>
        <v>-</v>
      </c>
      <c r="AV434" s="2308" t="str">
        <f t="shared" si="691"/>
        <v>-</v>
      </c>
      <c r="AW434" s="1055" t="str">
        <f t="shared" si="691"/>
        <v>-</v>
      </c>
      <c r="AX434" s="2309" t="str">
        <f t="shared" si="691"/>
        <v>-</v>
      </c>
      <c r="AY434" s="1055" t="str">
        <f t="shared" si="691"/>
        <v>-</v>
      </c>
      <c r="AZ434" s="1055" t="str">
        <f t="shared" si="691"/>
        <v>-</v>
      </c>
      <c r="BA434" s="1055" t="str">
        <f t="shared" si="691"/>
        <v>-</v>
      </c>
      <c r="BB434" s="1056" t="str">
        <f t="shared" si="691"/>
        <v>-</v>
      </c>
      <c r="BC434" s="1055" t="str">
        <f t="shared" si="691"/>
        <v>-</v>
      </c>
      <c r="BD434" s="1055" t="str">
        <f t="shared" si="691"/>
        <v>-</v>
      </c>
      <c r="BE434" s="1055" t="str">
        <f t="shared" si="691"/>
        <v>-</v>
      </c>
      <c r="BF434" s="1055" t="str">
        <f t="shared" si="691"/>
        <v>-</v>
      </c>
      <c r="BG434" s="1056" t="str">
        <f t="shared" si="691"/>
        <v>-</v>
      </c>
      <c r="BH434" s="1048"/>
      <c r="BI434" s="2304" t="str">
        <f t="shared" si="652"/>
        <v>Rev</v>
      </c>
      <c r="BJ434" s="2305" t="str">
        <f t="shared" si="652"/>
        <v>[Service]</v>
      </c>
      <c r="BK434" s="2306" t="str">
        <f t="shared" si="652"/>
        <v>[Price]</v>
      </c>
      <c r="BL434" s="2307" t="str">
        <f t="shared" ref="BL434:BZ434" si="707">IF(OR(X434="",X434=0),"-",IFERROR((X434/W434-1)*(W434/W$13),"-"))</f>
        <v>-</v>
      </c>
      <c r="BM434" s="1055" t="str">
        <f t="shared" si="707"/>
        <v>-</v>
      </c>
      <c r="BN434" s="1055" t="str">
        <f t="shared" si="707"/>
        <v>-</v>
      </c>
      <c r="BO434" s="2308" t="str">
        <f t="shared" si="707"/>
        <v>-</v>
      </c>
      <c r="BP434" s="1055" t="str">
        <f t="shared" si="707"/>
        <v>-</v>
      </c>
      <c r="BQ434" s="2309" t="str">
        <f t="shared" si="707"/>
        <v>-</v>
      </c>
      <c r="BR434" s="1055" t="str">
        <f t="shared" si="707"/>
        <v>-</v>
      </c>
      <c r="BS434" s="1055" t="str">
        <f t="shared" si="707"/>
        <v>-</v>
      </c>
      <c r="BT434" s="1055" t="str">
        <f t="shared" si="707"/>
        <v>-</v>
      </c>
      <c r="BU434" s="1056" t="str">
        <f t="shared" si="707"/>
        <v>-</v>
      </c>
      <c r="BV434" s="1055" t="str">
        <f t="shared" si="707"/>
        <v>-</v>
      </c>
      <c r="BW434" s="1055" t="str">
        <f t="shared" si="707"/>
        <v>-</v>
      </c>
      <c r="BX434" s="1055" t="str">
        <f t="shared" si="707"/>
        <v>-</v>
      </c>
      <c r="BY434" s="1055" t="str">
        <f t="shared" si="707"/>
        <v>-</v>
      </c>
      <c r="BZ434" s="1056" t="str">
        <f t="shared" si="707"/>
        <v>-</v>
      </c>
      <c r="CA434" s="1048"/>
    </row>
    <row r="435" spans="3:79" x14ac:dyDescent="0.3">
      <c r="C435" s="126"/>
      <c r="D435" s="126">
        <f>D432+1</f>
        <v>123</v>
      </c>
      <c r="E435" s="553" t="s">
        <v>45</v>
      </c>
      <c r="F435" s="2105" t="s">
        <v>28</v>
      </c>
      <c r="G435" s="2105"/>
      <c r="H435" s="2105"/>
      <c r="I435" s="573" t="s">
        <v>319</v>
      </c>
      <c r="J435" s="573" t="s">
        <v>348</v>
      </c>
      <c r="K435" s="1969"/>
      <c r="L435" s="1970"/>
      <c r="M435" s="1970"/>
      <c r="N435" s="1971"/>
      <c r="O435" s="1970"/>
      <c r="P435" s="1970"/>
      <c r="Q435" s="1970"/>
      <c r="R435" s="1972"/>
      <c r="S435" s="1971"/>
      <c r="T435" s="1970"/>
      <c r="U435" s="1970"/>
      <c r="V435" s="1970"/>
      <c r="W435" s="575"/>
      <c r="X435" s="1238"/>
      <c r="Y435" s="575"/>
      <c r="Z435" s="575"/>
      <c r="AA435" s="575"/>
      <c r="AB435" s="1142"/>
      <c r="AC435" s="575"/>
      <c r="AD435" s="575"/>
      <c r="AE435" s="575"/>
      <c r="AF435" s="575"/>
      <c r="AG435" s="577"/>
      <c r="AH435" s="575"/>
      <c r="AI435" s="575"/>
      <c r="AJ435" s="575"/>
      <c r="AK435" s="575"/>
      <c r="AL435" s="577"/>
      <c r="AM435" s="560"/>
      <c r="AN435" s="1052"/>
      <c r="AO435" s="992"/>
      <c r="AP435" s="2297" t="str">
        <f t="shared" si="623"/>
        <v>Price</v>
      </c>
      <c r="AQ435" s="2298" t="str">
        <f t="shared" si="623"/>
        <v>[Service]</v>
      </c>
      <c r="AR435" s="1719" t="str">
        <f t="shared" si="624"/>
        <v>[Price]</v>
      </c>
      <c r="AS435" s="2299" t="str">
        <f t="shared" si="691"/>
        <v>-</v>
      </c>
      <c r="AT435" s="1728" t="str">
        <f t="shared" si="691"/>
        <v>-</v>
      </c>
      <c r="AU435" s="1728" t="str">
        <f t="shared" si="691"/>
        <v>-</v>
      </c>
      <c r="AV435" s="2300" t="str">
        <f t="shared" si="691"/>
        <v>-</v>
      </c>
      <c r="AW435" s="1728" t="str">
        <f t="shared" si="691"/>
        <v>-</v>
      </c>
      <c r="AX435" s="2301" t="str">
        <f t="shared" si="691"/>
        <v>-</v>
      </c>
      <c r="AY435" s="1728" t="str">
        <f t="shared" si="691"/>
        <v>-</v>
      </c>
      <c r="AZ435" s="1728" t="str">
        <f t="shared" si="691"/>
        <v>-</v>
      </c>
      <c r="BA435" s="1728" t="str">
        <f t="shared" si="691"/>
        <v>-</v>
      </c>
      <c r="BB435" s="1729" t="str">
        <f t="shared" si="691"/>
        <v>-</v>
      </c>
      <c r="BC435" s="1728" t="str">
        <f t="shared" si="691"/>
        <v>-</v>
      </c>
      <c r="BD435" s="1728" t="str">
        <f t="shared" si="691"/>
        <v>-</v>
      </c>
      <c r="BE435" s="1728" t="str">
        <f t="shared" si="691"/>
        <v>-</v>
      </c>
      <c r="BF435" s="1728" t="str">
        <f t="shared" si="691"/>
        <v>-</v>
      </c>
      <c r="BG435" s="1729" t="str">
        <f t="shared" si="691"/>
        <v>-</v>
      </c>
      <c r="BH435" s="1048"/>
      <c r="BI435" s="2297" t="str">
        <f t="shared" si="652"/>
        <v>Price</v>
      </c>
      <c r="BJ435" s="2298" t="str">
        <f t="shared" si="652"/>
        <v>[Service]</v>
      </c>
      <c r="BK435" s="1719" t="str">
        <f t="shared" si="652"/>
        <v>[Price]</v>
      </c>
      <c r="BL435" s="2299" t="str">
        <f t="shared" ref="BL435:BZ435" si="708">IF(OR(X435="",X435=0),"-",IFERROR((X435/W435-1)*(W437/W$13),"-"))</f>
        <v>-</v>
      </c>
      <c r="BM435" s="1053" t="str">
        <f t="shared" si="708"/>
        <v>-</v>
      </c>
      <c r="BN435" s="1053" t="str">
        <f t="shared" si="708"/>
        <v>-</v>
      </c>
      <c r="BO435" s="2302" t="str">
        <f t="shared" si="708"/>
        <v>-</v>
      </c>
      <c r="BP435" s="1053" t="str">
        <f t="shared" si="708"/>
        <v>-</v>
      </c>
      <c r="BQ435" s="2303" t="str">
        <f t="shared" si="708"/>
        <v>-</v>
      </c>
      <c r="BR435" s="1053" t="str">
        <f t="shared" si="708"/>
        <v>-</v>
      </c>
      <c r="BS435" s="1053" t="str">
        <f t="shared" si="708"/>
        <v>-</v>
      </c>
      <c r="BT435" s="1053" t="str">
        <f t="shared" si="708"/>
        <v>-</v>
      </c>
      <c r="BU435" s="1054" t="str">
        <f t="shared" si="708"/>
        <v>-</v>
      </c>
      <c r="BV435" s="1053" t="str">
        <f t="shared" si="708"/>
        <v>-</v>
      </c>
      <c r="BW435" s="1053" t="str">
        <f t="shared" si="708"/>
        <v>-</v>
      </c>
      <c r="BX435" s="1053" t="str">
        <f t="shared" si="708"/>
        <v>-</v>
      </c>
      <c r="BY435" s="1053" t="str">
        <f t="shared" si="708"/>
        <v>-</v>
      </c>
      <c r="BZ435" s="1054" t="str">
        <f t="shared" si="708"/>
        <v>-</v>
      </c>
      <c r="CA435" s="1048"/>
    </row>
    <row r="436" spans="3:79" x14ac:dyDescent="0.3">
      <c r="C436" s="126"/>
      <c r="D436" s="126"/>
      <c r="E436" s="558" t="s">
        <v>46</v>
      </c>
      <c r="F436" s="2161" t="str">
        <f t="shared" si="698"/>
        <v>[Service]</v>
      </c>
      <c r="G436" s="2163">
        <f t="shared" si="698"/>
        <v>0</v>
      </c>
      <c r="H436" s="2163">
        <f t="shared" si="698"/>
        <v>0</v>
      </c>
      <c r="I436" s="2164" t="str">
        <f t="shared" si="698"/>
        <v>[Price]</v>
      </c>
      <c r="J436" s="574" t="s">
        <v>323</v>
      </c>
      <c r="K436" s="1973"/>
      <c r="L436" s="1974"/>
      <c r="M436" s="1974"/>
      <c r="N436" s="1975"/>
      <c r="O436" s="1974"/>
      <c r="P436" s="1974"/>
      <c r="Q436" s="1974"/>
      <c r="R436" s="1976"/>
      <c r="S436" s="1975"/>
      <c r="T436" s="1974"/>
      <c r="U436" s="1974"/>
      <c r="V436" s="1974"/>
      <c r="W436" s="578"/>
      <c r="X436" s="1239"/>
      <c r="Y436" s="578"/>
      <c r="Z436" s="578"/>
      <c r="AA436" s="578"/>
      <c r="AB436" s="1143"/>
      <c r="AC436" s="578"/>
      <c r="AD436" s="578"/>
      <c r="AE436" s="578"/>
      <c r="AF436" s="578"/>
      <c r="AG436" s="580"/>
      <c r="AH436" s="578"/>
      <c r="AI436" s="578"/>
      <c r="AJ436" s="578"/>
      <c r="AK436" s="578"/>
      <c r="AL436" s="580"/>
      <c r="AM436" s="560"/>
      <c r="AN436" s="991"/>
      <c r="AO436" s="992"/>
      <c r="AP436" s="2285" t="str">
        <f t="shared" si="623"/>
        <v>Qty</v>
      </c>
      <c r="AQ436" s="2286" t="str">
        <f t="shared" si="623"/>
        <v>[Service]</v>
      </c>
      <c r="AR436" s="2287" t="str">
        <f t="shared" si="624"/>
        <v>[Price]</v>
      </c>
      <c r="AS436" s="2288" t="str">
        <f t="shared" si="691"/>
        <v>-</v>
      </c>
      <c r="AT436" s="1720" t="str">
        <f t="shared" si="691"/>
        <v>-</v>
      </c>
      <c r="AU436" s="1720" t="str">
        <f t="shared" si="691"/>
        <v>-</v>
      </c>
      <c r="AV436" s="2289" t="str">
        <f t="shared" si="691"/>
        <v>-</v>
      </c>
      <c r="AW436" s="1720" t="str">
        <f t="shared" si="691"/>
        <v>-</v>
      </c>
      <c r="AX436" s="2290" t="str">
        <f t="shared" si="691"/>
        <v>-</v>
      </c>
      <c r="AY436" s="1720" t="str">
        <f t="shared" si="691"/>
        <v>-</v>
      </c>
      <c r="AZ436" s="1720" t="str">
        <f t="shared" si="691"/>
        <v>-</v>
      </c>
      <c r="BA436" s="1720" t="str">
        <f t="shared" si="691"/>
        <v>-</v>
      </c>
      <c r="BB436" s="1721" t="str">
        <f t="shared" si="691"/>
        <v>-</v>
      </c>
      <c r="BC436" s="1720" t="str">
        <f t="shared" si="691"/>
        <v>-</v>
      </c>
      <c r="BD436" s="1720" t="str">
        <f t="shared" si="691"/>
        <v>-</v>
      </c>
      <c r="BE436" s="1720" t="str">
        <f t="shared" si="691"/>
        <v>-</v>
      </c>
      <c r="BF436" s="1720" t="str">
        <f t="shared" si="691"/>
        <v>-</v>
      </c>
      <c r="BG436" s="1721" t="str">
        <f t="shared" si="691"/>
        <v>-</v>
      </c>
      <c r="BH436" s="1048"/>
      <c r="BI436" s="2285" t="str">
        <f t="shared" si="652"/>
        <v>Qty</v>
      </c>
      <c r="BJ436" s="2286" t="str">
        <f t="shared" si="652"/>
        <v>[Service]</v>
      </c>
      <c r="BK436" s="2287" t="str">
        <f t="shared" si="652"/>
        <v>[Price]</v>
      </c>
      <c r="BL436" s="2288" t="str">
        <f t="shared" ref="BL436:BZ436" si="709">IF(OR(X436="",X436=0),"-",IFERROR((X436/W436-1)*(W437/W$13),"-"))</f>
        <v>-</v>
      </c>
      <c r="BM436" s="1720" t="str">
        <f t="shared" si="709"/>
        <v>-</v>
      </c>
      <c r="BN436" s="1720" t="str">
        <f t="shared" si="709"/>
        <v>-</v>
      </c>
      <c r="BO436" s="2289" t="str">
        <f t="shared" si="709"/>
        <v>-</v>
      </c>
      <c r="BP436" s="1720" t="str">
        <f t="shared" si="709"/>
        <v>-</v>
      </c>
      <c r="BQ436" s="2290" t="str">
        <f t="shared" si="709"/>
        <v>-</v>
      </c>
      <c r="BR436" s="1720" t="str">
        <f t="shared" si="709"/>
        <v>-</v>
      </c>
      <c r="BS436" s="1720" t="str">
        <f t="shared" si="709"/>
        <v>-</v>
      </c>
      <c r="BT436" s="1720" t="str">
        <f t="shared" si="709"/>
        <v>-</v>
      </c>
      <c r="BU436" s="1721" t="str">
        <f t="shared" si="709"/>
        <v>-</v>
      </c>
      <c r="BV436" s="1720" t="str">
        <f t="shared" si="709"/>
        <v>-</v>
      </c>
      <c r="BW436" s="1720" t="str">
        <f t="shared" si="709"/>
        <v>-</v>
      </c>
      <c r="BX436" s="1720" t="str">
        <f t="shared" si="709"/>
        <v>-</v>
      </c>
      <c r="BY436" s="1720" t="str">
        <f t="shared" si="709"/>
        <v>-</v>
      </c>
      <c r="BZ436" s="1721" t="str">
        <f t="shared" si="709"/>
        <v>-</v>
      </c>
      <c r="CA436" s="1048"/>
    </row>
    <row r="437" spans="3:79" ht="12.5" thickBot="1" x14ac:dyDescent="0.35">
      <c r="C437" s="126"/>
      <c r="D437" s="126"/>
      <c r="E437" s="559" t="s">
        <v>47</v>
      </c>
      <c r="F437" s="2162" t="str">
        <f t="shared" ref="F437:I437" si="710">+F435</f>
        <v>[Service]</v>
      </c>
      <c r="G437" s="2165">
        <f t="shared" si="710"/>
        <v>0</v>
      </c>
      <c r="H437" s="2165">
        <f t="shared" si="710"/>
        <v>0</v>
      </c>
      <c r="I437" s="2166" t="str">
        <f t="shared" si="710"/>
        <v>[Price]</v>
      </c>
      <c r="J437" s="2106" t="s">
        <v>347</v>
      </c>
      <c r="K437" s="1977"/>
      <c r="L437" s="1206"/>
      <c r="M437" s="1206"/>
      <c r="N437" s="1978"/>
      <c r="O437" s="1206"/>
      <c r="P437" s="1206"/>
      <c r="Q437" s="1206"/>
      <c r="R437" s="1206"/>
      <c r="S437" s="1978"/>
      <c r="T437" s="1206"/>
      <c r="U437" s="1206"/>
      <c r="V437" s="1206"/>
      <c r="W437" s="1731">
        <f t="shared" ref="W437:AG437" si="711">W435*W436/10^6</f>
        <v>0</v>
      </c>
      <c r="X437" s="1730">
        <f t="shared" si="711"/>
        <v>0</v>
      </c>
      <c r="Y437" s="1731">
        <f t="shared" si="711"/>
        <v>0</v>
      </c>
      <c r="Z437" s="1731">
        <f t="shared" si="711"/>
        <v>0</v>
      </c>
      <c r="AA437" s="1731">
        <f t="shared" si="711"/>
        <v>0</v>
      </c>
      <c r="AB437" s="1733">
        <f t="shared" si="711"/>
        <v>0</v>
      </c>
      <c r="AC437" s="1731">
        <f t="shared" si="711"/>
        <v>0</v>
      </c>
      <c r="AD437" s="1731">
        <f t="shared" si="711"/>
        <v>0</v>
      </c>
      <c r="AE437" s="1731">
        <f t="shared" si="711"/>
        <v>0</v>
      </c>
      <c r="AF437" s="1731">
        <f t="shared" si="711"/>
        <v>0</v>
      </c>
      <c r="AG437" s="1733">
        <f t="shared" si="711"/>
        <v>0</v>
      </c>
      <c r="AH437" s="1731">
        <f>AH435*AH436/10^6</f>
        <v>0</v>
      </c>
      <c r="AI437" s="1731">
        <f>AI435*AI436/10^6</f>
        <v>0</v>
      </c>
      <c r="AJ437" s="1731">
        <f>AJ435*AJ436/10^6</f>
        <v>0</v>
      </c>
      <c r="AK437" s="1731">
        <f>AK435*AK436/10^6</f>
        <v>0</v>
      </c>
      <c r="AL437" s="1733">
        <f>AL435*AL436/10^6</f>
        <v>0</v>
      </c>
      <c r="AM437" s="560"/>
      <c r="AN437" s="991"/>
      <c r="AO437" s="992"/>
      <c r="AP437" s="2304" t="str">
        <f t="shared" si="623"/>
        <v>Rev</v>
      </c>
      <c r="AQ437" s="2305" t="str">
        <f t="shared" si="623"/>
        <v>[Service]</v>
      </c>
      <c r="AR437" s="2306" t="str">
        <f t="shared" si="624"/>
        <v>[Price]</v>
      </c>
      <c r="AS437" s="2307" t="str">
        <f t="shared" si="691"/>
        <v>-</v>
      </c>
      <c r="AT437" s="1055" t="str">
        <f t="shared" si="691"/>
        <v>-</v>
      </c>
      <c r="AU437" s="1055" t="str">
        <f t="shared" si="691"/>
        <v>-</v>
      </c>
      <c r="AV437" s="2308" t="str">
        <f t="shared" si="691"/>
        <v>-</v>
      </c>
      <c r="AW437" s="1055" t="str">
        <f t="shared" si="691"/>
        <v>-</v>
      </c>
      <c r="AX437" s="2309" t="str">
        <f t="shared" si="691"/>
        <v>-</v>
      </c>
      <c r="AY437" s="1055" t="str">
        <f t="shared" si="691"/>
        <v>-</v>
      </c>
      <c r="AZ437" s="1055" t="str">
        <f t="shared" si="691"/>
        <v>-</v>
      </c>
      <c r="BA437" s="1055" t="str">
        <f t="shared" si="691"/>
        <v>-</v>
      </c>
      <c r="BB437" s="1056" t="str">
        <f t="shared" si="691"/>
        <v>-</v>
      </c>
      <c r="BC437" s="1055" t="str">
        <f t="shared" si="691"/>
        <v>-</v>
      </c>
      <c r="BD437" s="1055" t="str">
        <f t="shared" si="691"/>
        <v>-</v>
      </c>
      <c r="BE437" s="1055" t="str">
        <f t="shared" si="691"/>
        <v>-</v>
      </c>
      <c r="BF437" s="1055" t="str">
        <f t="shared" si="691"/>
        <v>-</v>
      </c>
      <c r="BG437" s="1056" t="str">
        <f t="shared" si="691"/>
        <v>-</v>
      </c>
      <c r="BH437" s="1048"/>
      <c r="BI437" s="2304" t="str">
        <f t="shared" si="652"/>
        <v>Rev</v>
      </c>
      <c r="BJ437" s="2305" t="str">
        <f t="shared" si="652"/>
        <v>[Service]</v>
      </c>
      <c r="BK437" s="2306" t="str">
        <f t="shared" si="652"/>
        <v>[Price]</v>
      </c>
      <c r="BL437" s="2307" t="str">
        <f t="shared" ref="BL437:BZ437" si="712">IF(OR(X437="",X437=0),"-",IFERROR((X437/W437-1)*(W437/W$13),"-"))</f>
        <v>-</v>
      </c>
      <c r="BM437" s="1055" t="str">
        <f t="shared" si="712"/>
        <v>-</v>
      </c>
      <c r="BN437" s="1055" t="str">
        <f t="shared" si="712"/>
        <v>-</v>
      </c>
      <c r="BO437" s="2308" t="str">
        <f t="shared" si="712"/>
        <v>-</v>
      </c>
      <c r="BP437" s="1055" t="str">
        <f t="shared" si="712"/>
        <v>-</v>
      </c>
      <c r="BQ437" s="2309" t="str">
        <f t="shared" si="712"/>
        <v>-</v>
      </c>
      <c r="BR437" s="1055" t="str">
        <f t="shared" si="712"/>
        <v>-</v>
      </c>
      <c r="BS437" s="1055" t="str">
        <f t="shared" si="712"/>
        <v>-</v>
      </c>
      <c r="BT437" s="1055" t="str">
        <f t="shared" si="712"/>
        <v>-</v>
      </c>
      <c r="BU437" s="1056" t="str">
        <f t="shared" si="712"/>
        <v>-</v>
      </c>
      <c r="BV437" s="1055" t="str">
        <f t="shared" si="712"/>
        <v>-</v>
      </c>
      <c r="BW437" s="1055" t="str">
        <f t="shared" si="712"/>
        <v>-</v>
      </c>
      <c r="BX437" s="1055" t="str">
        <f t="shared" si="712"/>
        <v>-</v>
      </c>
      <c r="BY437" s="1055" t="str">
        <f t="shared" si="712"/>
        <v>-</v>
      </c>
      <c r="BZ437" s="1056" t="str">
        <f t="shared" si="712"/>
        <v>-</v>
      </c>
      <c r="CA437" s="1048"/>
    </row>
    <row r="438" spans="3:79" x14ac:dyDescent="0.3">
      <c r="C438" s="126"/>
      <c r="D438" s="126">
        <f>D435+1</f>
        <v>124</v>
      </c>
      <c r="E438" s="553" t="s">
        <v>45</v>
      </c>
      <c r="F438" s="2105" t="s">
        <v>28</v>
      </c>
      <c r="G438" s="2105"/>
      <c r="H438" s="2105"/>
      <c r="I438" s="573" t="s">
        <v>319</v>
      </c>
      <c r="J438" s="573" t="s">
        <v>348</v>
      </c>
      <c r="K438" s="1969"/>
      <c r="L438" s="1970"/>
      <c r="M438" s="1970"/>
      <c r="N438" s="1971"/>
      <c r="O438" s="1970"/>
      <c r="P438" s="1970"/>
      <c r="Q438" s="1970"/>
      <c r="R438" s="1972"/>
      <c r="S438" s="1971"/>
      <c r="T438" s="1970"/>
      <c r="U438" s="1970"/>
      <c r="V438" s="1970"/>
      <c r="W438" s="575"/>
      <c r="X438" s="1238"/>
      <c r="Y438" s="575"/>
      <c r="Z438" s="575"/>
      <c r="AA438" s="575"/>
      <c r="AB438" s="1142"/>
      <c r="AC438" s="575"/>
      <c r="AD438" s="575"/>
      <c r="AE438" s="575"/>
      <c r="AF438" s="575"/>
      <c r="AG438" s="577"/>
      <c r="AH438" s="575"/>
      <c r="AI438" s="575"/>
      <c r="AJ438" s="575"/>
      <c r="AK438" s="575"/>
      <c r="AL438" s="577"/>
      <c r="AM438" s="560"/>
      <c r="AN438" s="1052"/>
      <c r="AO438" s="992"/>
      <c r="AP438" s="2297" t="str">
        <f t="shared" si="623"/>
        <v>Price</v>
      </c>
      <c r="AQ438" s="2298" t="str">
        <f t="shared" si="623"/>
        <v>[Service]</v>
      </c>
      <c r="AR438" s="1719" t="str">
        <f t="shared" si="624"/>
        <v>[Price]</v>
      </c>
      <c r="AS438" s="2299" t="str">
        <f t="shared" si="691"/>
        <v>-</v>
      </c>
      <c r="AT438" s="1728" t="str">
        <f t="shared" si="691"/>
        <v>-</v>
      </c>
      <c r="AU438" s="1728" t="str">
        <f t="shared" si="691"/>
        <v>-</v>
      </c>
      <c r="AV438" s="2300" t="str">
        <f t="shared" si="691"/>
        <v>-</v>
      </c>
      <c r="AW438" s="1728" t="str">
        <f t="shared" si="691"/>
        <v>-</v>
      </c>
      <c r="AX438" s="2301" t="str">
        <f t="shared" si="691"/>
        <v>-</v>
      </c>
      <c r="AY438" s="1728" t="str">
        <f t="shared" si="691"/>
        <v>-</v>
      </c>
      <c r="AZ438" s="1728" t="str">
        <f t="shared" si="691"/>
        <v>-</v>
      </c>
      <c r="BA438" s="1728" t="str">
        <f t="shared" si="691"/>
        <v>-</v>
      </c>
      <c r="BB438" s="1729" t="str">
        <f t="shared" si="691"/>
        <v>-</v>
      </c>
      <c r="BC438" s="1728" t="str">
        <f t="shared" si="691"/>
        <v>-</v>
      </c>
      <c r="BD438" s="1728" t="str">
        <f t="shared" si="691"/>
        <v>-</v>
      </c>
      <c r="BE438" s="1728" t="str">
        <f t="shared" si="691"/>
        <v>-</v>
      </c>
      <c r="BF438" s="1728" t="str">
        <f t="shared" si="691"/>
        <v>-</v>
      </c>
      <c r="BG438" s="1729" t="str">
        <f t="shared" si="691"/>
        <v>-</v>
      </c>
      <c r="BH438" s="1048"/>
      <c r="BI438" s="2297" t="str">
        <f t="shared" si="652"/>
        <v>Price</v>
      </c>
      <c r="BJ438" s="2298" t="str">
        <f t="shared" si="652"/>
        <v>[Service]</v>
      </c>
      <c r="BK438" s="1719" t="str">
        <f t="shared" si="652"/>
        <v>[Price]</v>
      </c>
      <c r="BL438" s="2299" t="str">
        <f t="shared" ref="BL438:BZ438" si="713">IF(OR(X438="",X438=0),"-",IFERROR((X438/W438-1)*(W440/W$13),"-"))</f>
        <v>-</v>
      </c>
      <c r="BM438" s="1053" t="str">
        <f t="shared" si="713"/>
        <v>-</v>
      </c>
      <c r="BN438" s="1053" t="str">
        <f t="shared" si="713"/>
        <v>-</v>
      </c>
      <c r="BO438" s="2302" t="str">
        <f t="shared" si="713"/>
        <v>-</v>
      </c>
      <c r="BP438" s="1053" t="str">
        <f t="shared" si="713"/>
        <v>-</v>
      </c>
      <c r="BQ438" s="2303" t="str">
        <f t="shared" si="713"/>
        <v>-</v>
      </c>
      <c r="BR438" s="1053" t="str">
        <f t="shared" si="713"/>
        <v>-</v>
      </c>
      <c r="BS438" s="1053" t="str">
        <f t="shared" si="713"/>
        <v>-</v>
      </c>
      <c r="BT438" s="1053" t="str">
        <f t="shared" si="713"/>
        <v>-</v>
      </c>
      <c r="BU438" s="1054" t="str">
        <f t="shared" si="713"/>
        <v>-</v>
      </c>
      <c r="BV438" s="1053" t="str">
        <f t="shared" si="713"/>
        <v>-</v>
      </c>
      <c r="BW438" s="1053" t="str">
        <f t="shared" si="713"/>
        <v>-</v>
      </c>
      <c r="BX438" s="1053" t="str">
        <f t="shared" si="713"/>
        <v>-</v>
      </c>
      <c r="BY438" s="1053" t="str">
        <f t="shared" si="713"/>
        <v>-</v>
      </c>
      <c r="BZ438" s="1054" t="str">
        <f t="shared" si="713"/>
        <v>-</v>
      </c>
      <c r="CA438" s="1048"/>
    </row>
    <row r="439" spans="3:79" x14ac:dyDescent="0.3">
      <c r="C439" s="126"/>
      <c r="D439" s="126"/>
      <c r="E439" s="558" t="s">
        <v>46</v>
      </c>
      <c r="F439" s="2161" t="str">
        <f t="shared" si="698"/>
        <v>[Service]</v>
      </c>
      <c r="G439" s="2163">
        <f t="shared" si="698"/>
        <v>0</v>
      </c>
      <c r="H439" s="2163">
        <f t="shared" si="698"/>
        <v>0</v>
      </c>
      <c r="I439" s="2164" t="str">
        <f t="shared" si="698"/>
        <v>[Price]</v>
      </c>
      <c r="J439" s="574" t="s">
        <v>323</v>
      </c>
      <c r="K439" s="1973"/>
      <c r="L439" s="1974"/>
      <c r="M439" s="1974"/>
      <c r="N439" s="1975"/>
      <c r="O439" s="1974"/>
      <c r="P439" s="1974"/>
      <c r="Q439" s="1974"/>
      <c r="R439" s="1976"/>
      <c r="S439" s="1975"/>
      <c r="T439" s="1974"/>
      <c r="U439" s="1974"/>
      <c r="V439" s="1974"/>
      <c r="W439" s="578"/>
      <c r="X439" s="1239"/>
      <c r="Y439" s="578"/>
      <c r="Z439" s="578"/>
      <c r="AA439" s="578"/>
      <c r="AB439" s="1143"/>
      <c r="AC439" s="578"/>
      <c r="AD439" s="578"/>
      <c r="AE439" s="578"/>
      <c r="AF439" s="578"/>
      <c r="AG439" s="580"/>
      <c r="AH439" s="578"/>
      <c r="AI439" s="578"/>
      <c r="AJ439" s="578"/>
      <c r="AK439" s="578"/>
      <c r="AL439" s="580"/>
      <c r="AM439" s="560"/>
      <c r="AN439" s="991"/>
      <c r="AO439" s="992"/>
      <c r="AP439" s="2285" t="str">
        <f t="shared" si="623"/>
        <v>Qty</v>
      </c>
      <c r="AQ439" s="2286" t="str">
        <f t="shared" si="623"/>
        <v>[Service]</v>
      </c>
      <c r="AR439" s="2287" t="str">
        <f t="shared" si="624"/>
        <v>[Price]</v>
      </c>
      <c r="AS439" s="2288" t="str">
        <f t="shared" si="691"/>
        <v>-</v>
      </c>
      <c r="AT439" s="1720" t="str">
        <f t="shared" si="691"/>
        <v>-</v>
      </c>
      <c r="AU439" s="1720" t="str">
        <f t="shared" si="691"/>
        <v>-</v>
      </c>
      <c r="AV439" s="2289" t="str">
        <f t="shared" si="691"/>
        <v>-</v>
      </c>
      <c r="AW439" s="1720" t="str">
        <f t="shared" si="691"/>
        <v>-</v>
      </c>
      <c r="AX439" s="2290" t="str">
        <f t="shared" si="691"/>
        <v>-</v>
      </c>
      <c r="AY439" s="1720" t="str">
        <f t="shared" si="691"/>
        <v>-</v>
      </c>
      <c r="AZ439" s="1720" t="str">
        <f t="shared" si="691"/>
        <v>-</v>
      </c>
      <c r="BA439" s="1720" t="str">
        <f t="shared" si="691"/>
        <v>-</v>
      </c>
      <c r="BB439" s="1721" t="str">
        <f t="shared" si="691"/>
        <v>-</v>
      </c>
      <c r="BC439" s="1720" t="str">
        <f t="shared" si="691"/>
        <v>-</v>
      </c>
      <c r="BD439" s="1720" t="str">
        <f t="shared" si="691"/>
        <v>-</v>
      </c>
      <c r="BE439" s="1720" t="str">
        <f t="shared" si="691"/>
        <v>-</v>
      </c>
      <c r="BF439" s="1720" t="str">
        <f t="shared" si="691"/>
        <v>-</v>
      </c>
      <c r="BG439" s="1721" t="str">
        <f t="shared" si="691"/>
        <v>-</v>
      </c>
      <c r="BH439" s="1048"/>
      <c r="BI439" s="2285" t="str">
        <f t="shared" si="652"/>
        <v>Qty</v>
      </c>
      <c r="BJ439" s="2286" t="str">
        <f t="shared" si="652"/>
        <v>[Service]</v>
      </c>
      <c r="BK439" s="2287" t="str">
        <f t="shared" si="652"/>
        <v>[Price]</v>
      </c>
      <c r="BL439" s="2288" t="str">
        <f t="shared" ref="BL439:BZ439" si="714">IF(OR(X439="",X439=0),"-",IFERROR((X439/W439-1)*(W440/W$13),"-"))</f>
        <v>-</v>
      </c>
      <c r="BM439" s="1720" t="str">
        <f t="shared" si="714"/>
        <v>-</v>
      </c>
      <c r="BN439" s="1720" t="str">
        <f t="shared" si="714"/>
        <v>-</v>
      </c>
      <c r="BO439" s="2289" t="str">
        <f t="shared" si="714"/>
        <v>-</v>
      </c>
      <c r="BP439" s="1720" t="str">
        <f t="shared" si="714"/>
        <v>-</v>
      </c>
      <c r="BQ439" s="2290" t="str">
        <f t="shared" si="714"/>
        <v>-</v>
      </c>
      <c r="BR439" s="1720" t="str">
        <f t="shared" si="714"/>
        <v>-</v>
      </c>
      <c r="BS439" s="1720" t="str">
        <f t="shared" si="714"/>
        <v>-</v>
      </c>
      <c r="BT439" s="1720" t="str">
        <f t="shared" si="714"/>
        <v>-</v>
      </c>
      <c r="BU439" s="1721" t="str">
        <f t="shared" si="714"/>
        <v>-</v>
      </c>
      <c r="BV439" s="1720" t="str">
        <f t="shared" si="714"/>
        <v>-</v>
      </c>
      <c r="BW439" s="1720" t="str">
        <f t="shared" si="714"/>
        <v>-</v>
      </c>
      <c r="BX439" s="1720" t="str">
        <f t="shared" si="714"/>
        <v>-</v>
      </c>
      <c r="BY439" s="1720" t="str">
        <f t="shared" si="714"/>
        <v>-</v>
      </c>
      <c r="BZ439" s="1721" t="str">
        <f t="shared" si="714"/>
        <v>-</v>
      </c>
      <c r="CA439" s="1048"/>
    </row>
    <row r="440" spans="3:79" ht="12.5" thickBot="1" x14ac:dyDescent="0.35">
      <c r="C440" s="126"/>
      <c r="D440" s="126"/>
      <c r="E440" s="559" t="s">
        <v>47</v>
      </c>
      <c r="F440" s="2162" t="str">
        <f t="shared" ref="F440:I440" si="715">+F438</f>
        <v>[Service]</v>
      </c>
      <c r="G440" s="2165">
        <f t="shared" si="715"/>
        <v>0</v>
      </c>
      <c r="H440" s="2165">
        <f t="shared" si="715"/>
        <v>0</v>
      </c>
      <c r="I440" s="2166" t="str">
        <f t="shared" si="715"/>
        <v>[Price]</v>
      </c>
      <c r="J440" s="2106" t="s">
        <v>347</v>
      </c>
      <c r="K440" s="1977"/>
      <c r="L440" s="1206"/>
      <c r="M440" s="1206"/>
      <c r="N440" s="1978"/>
      <c r="O440" s="1206"/>
      <c r="P440" s="1206"/>
      <c r="Q440" s="1206"/>
      <c r="R440" s="1206"/>
      <c r="S440" s="1978"/>
      <c r="T440" s="1206"/>
      <c r="U440" s="1206"/>
      <c r="V440" s="1206"/>
      <c r="W440" s="1731">
        <f t="shared" ref="W440:AG440" si="716">W438*W439/10^6</f>
        <v>0</v>
      </c>
      <c r="X440" s="1730">
        <f t="shared" si="716"/>
        <v>0</v>
      </c>
      <c r="Y440" s="1731">
        <f t="shared" si="716"/>
        <v>0</v>
      </c>
      <c r="Z440" s="1731">
        <f t="shared" si="716"/>
        <v>0</v>
      </c>
      <c r="AA440" s="1731">
        <f t="shared" si="716"/>
        <v>0</v>
      </c>
      <c r="AB440" s="1733">
        <f t="shared" si="716"/>
        <v>0</v>
      </c>
      <c r="AC440" s="1731">
        <f t="shared" si="716"/>
        <v>0</v>
      </c>
      <c r="AD440" s="1731">
        <f t="shared" si="716"/>
        <v>0</v>
      </c>
      <c r="AE440" s="1731">
        <f t="shared" si="716"/>
        <v>0</v>
      </c>
      <c r="AF440" s="1731">
        <f t="shared" si="716"/>
        <v>0</v>
      </c>
      <c r="AG440" s="1733">
        <f t="shared" si="716"/>
        <v>0</v>
      </c>
      <c r="AH440" s="1731">
        <f>AH438*AH439/10^6</f>
        <v>0</v>
      </c>
      <c r="AI440" s="1731">
        <f>AI438*AI439/10^6</f>
        <v>0</v>
      </c>
      <c r="AJ440" s="1731">
        <f>AJ438*AJ439/10^6</f>
        <v>0</v>
      </c>
      <c r="AK440" s="1731">
        <f>AK438*AK439/10^6</f>
        <v>0</v>
      </c>
      <c r="AL440" s="1733">
        <f>AL438*AL439/10^6</f>
        <v>0</v>
      </c>
      <c r="AM440" s="560"/>
      <c r="AN440" s="991"/>
      <c r="AO440" s="992"/>
      <c r="AP440" s="2304" t="str">
        <f t="shared" si="623"/>
        <v>Rev</v>
      </c>
      <c r="AQ440" s="2305" t="str">
        <f t="shared" si="623"/>
        <v>[Service]</v>
      </c>
      <c r="AR440" s="2306" t="str">
        <f t="shared" si="624"/>
        <v>[Price]</v>
      </c>
      <c r="AS440" s="2307" t="str">
        <f t="shared" si="691"/>
        <v>-</v>
      </c>
      <c r="AT440" s="1055" t="str">
        <f t="shared" si="691"/>
        <v>-</v>
      </c>
      <c r="AU440" s="1055" t="str">
        <f t="shared" si="691"/>
        <v>-</v>
      </c>
      <c r="AV440" s="2308" t="str">
        <f t="shared" si="691"/>
        <v>-</v>
      </c>
      <c r="AW440" s="1055" t="str">
        <f t="shared" si="691"/>
        <v>-</v>
      </c>
      <c r="AX440" s="2309" t="str">
        <f t="shared" si="691"/>
        <v>-</v>
      </c>
      <c r="AY440" s="1055" t="str">
        <f t="shared" si="691"/>
        <v>-</v>
      </c>
      <c r="AZ440" s="1055" t="str">
        <f t="shared" si="691"/>
        <v>-</v>
      </c>
      <c r="BA440" s="1055" t="str">
        <f t="shared" si="691"/>
        <v>-</v>
      </c>
      <c r="BB440" s="1056" t="str">
        <f t="shared" si="691"/>
        <v>-</v>
      </c>
      <c r="BC440" s="1055" t="str">
        <f t="shared" si="691"/>
        <v>-</v>
      </c>
      <c r="BD440" s="1055" t="str">
        <f t="shared" si="691"/>
        <v>-</v>
      </c>
      <c r="BE440" s="1055" t="str">
        <f t="shared" si="691"/>
        <v>-</v>
      </c>
      <c r="BF440" s="1055" t="str">
        <f t="shared" si="691"/>
        <v>-</v>
      </c>
      <c r="BG440" s="1056" t="str">
        <f t="shared" si="691"/>
        <v>-</v>
      </c>
      <c r="BH440" s="1048"/>
      <c r="BI440" s="2304" t="str">
        <f t="shared" si="652"/>
        <v>Rev</v>
      </c>
      <c r="BJ440" s="2305" t="str">
        <f t="shared" si="652"/>
        <v>[Service]</v>
      </c>
      <c r="BK440" s="2306" t="str">
        <f t="shared" si="652"/>
        <v>[Price]</v>
      </c>
      <c r="BL440" s="2307" t="str">
        <f t="shared" ref="BL440:BZ440" si="717">IF(OR(X440="",X440=0),"-",IFERROR((X440/W440-1)*(W440/W$13),"-"))</f>
        <v>-</v>
      </c>
      <c r="BM440" s="1055" t="str">
        <f t="shared" si="717"/>
        <v>-</v>
      </c>
      <c r="BN440" s="1055" t="str">
        <f t="shared" si="717"/>
        <v>-</v>
      </c>
      <c r="BO440" s="2308" t="str">
        <f t="shared" si="717"/>
        <v>-</v>
      </c>
      <c r="BP440" s="1055" t="str">
        <f t="shared" si="717"/>
        <v>-</v>
      </c>
      <c r="BQ440" s="2309" t="str">
        <f t="shared" si="717"/>
        <v>-</v>
      </c>
      <c r="BR440" s="1055" t="str">
        <f t="shared" si="717"/>
        <v>-</v>
      </c>
      <c r="BS440" s="1055" t="str">
        <f t="shared" si="717"/>
        <v>-</v>
      </c>
      <c r="BT440" s="1055" t="str">
        <f t="shared" si="717"/>
        <v>-</v>
      </c>
      <c r="BU440" s="1056" t="str">
        <f t="shared" si="717"/>
        <v>-</v>
      </c>
      <c r="BV440" s="1055" t="str">
        <f t="shared" si="717"/>
        <v>-</v>
      </c>
      <c r="BW440" s="1055" t="str">
        <f t="shared" si="717"/>
        <v>-</v>
      </c>
      <c r="BX440" s="1055" t="str">
        <f t="shared" si="717"/>
        <v>-</v>
      </c>
      <c r="BY440" s="1055" t="str">
        <f t="shared" si="717"/>
        <v>-</v>
      </c>
      <c r="BZ440" s="1056" t="str">
        <f t="shared" si="717"/>
        <v>-</v>
      </c>
      <c r="CA440" s="1048"/>
    </row>
    <row r="441" spans="3:79" x14ac:dyDescent="0.3">
      <c r="C441" s="126"/>
      <c r="D441" s="126">
        <f>D438+1</f>
        <v>125</v>
      </c>
      <c r="E441" s="553" t="s">
        <v>45</v>
      </c>
      <c r="F441" s="2105" t="s">
        <v>28</v>
      </c>
      <c r="G441" s="2105"/>
      <c r="H441" s="2105"/>
      <c r="I441" s="573" t="s">
        <v>319</v>
      </c>
      <c r="J441" s="573" t="s">
        <v>348</v>
      </c>
      <c r="K441" s="1969"/>
      <c r="L441" s="1970"/>
      <c r="M441" s="1970"/>
      <c r="N441" s="1971"/>
      <c r="O441" s="1970"/>
      <c r="P441" s="1970"/>
      <c r="Q441" s="1970"/>
      <c r="R441" s="1972"/>
      <c r="S441" s="1971"/>
      <c r="T441" s="1970"/>
      <c r="U441" s="1970"/>
      <c r="V441" s="1970"/>
      <c r="W441" s="575"/>
      <c r="X441" s="1238"/>
      <c r="Y441" s="575"/>
      <c r="Z441" s="575"/>
      <c r="AA441" s="575"/>
      <c r="AB441" s="1142"/>
      <c r="AC441" s="575"/>
      <c r="AD441" s="575"/>
      <c r="AE441" s="575"/>
      <c r="AF441" s="575"/>
      <c r="AG441" s="577"/>
      <c r="AH441" s="575"/>
      <c r="AI441" s="575"/>
      <c r="AJ441" s="575"/>
      <c r="AK441" s="575"/>
      <c r="AL441" s="577"/>
      <c r="AM441" s="560"/>
      <c r="AN441" s="1052"/>
      <c r="AO441" s="992"/>
      <c r="AP441" s="2297" t="str">
        <f t="shared" si="623"/>
        <v>Price</v>
      </c>
      <c r="AQ441" s="2298" t="str">
        <f t="shared" si="623"/>
        <v>[Service]</v>
      </c>
      <c r="AR441" s="1719" t="str">
        <f t="shared" si="624"/>
        <v>[Price]</v>
      </c>
      <c r="AS441" s="2299" t="str">
        <f t="shared" si="691"/>
        <v>-</v>
      </c>
      <c r="AT441" s="1728" t="str">
        <f t="shared" si="691"/>
        <v>-</v>
      </c>
      <c r="AU441" s="1728" t="str">
        <f t="shared" si="691"/>
        <v>-</v>
      </c>
      <c r="AV441" s="2300" t="str">
        <f t="shared" si="691"/>
        <v>-</v>
      </c>
      <c r="AW441" s="1728" t="str">
        <f t="shared" si="691"/>
        <v>-</v>
      </c>
      <c r="AX441" s="2301" t="str">
        <f t="shared" si="691"/>
        <v>-</v>
      </c>
      <c r="AY441" s="1728" t="str">
        <f t="shared" si="691"/>
        <v>-</v>
      </c>
      <c r="AZ441" s="1728" t="str">
        <f t="shared" si="691"/>
        <v>-</v>
      </c>
      <c r="BA441" s="1728" t="str">
        <f t="shared" si="691"/>
        <v>-</v>
      </c>
      <c r="BB441" s="1729" t="str">
        <f t="shared" si="691"/>
        <v>-</v>
      </c>
      <c r="BC441" s="1728" t="str">
        <f t="shared" si="691"/>
        <v>-</v>
      </c>
      <c r="BD441" s="1728" t="str">
        <f t="shared" si="691"/>
        <v>-</v>
      </c>
      <c r="BE441" s="1728" t="str">
        <f t="shared" si="691"/>
        <v>-</v>
      </c>
      <c r="BF441" s="1728" t="str">
        <f t="shared" si="691"/>
        <v>-</v>
      </c>
      <c r="BG441" s="1729" t="str">
        <f t="shared" si="691"/>
        <v>-</v>
      </c>
      <c r="BH441" s="1048"/>
      <c r="BI441" s="2297" t="str">
        <f t="shared" si="652"/>
        <v>Price</v>
      </c>
      <c r="BJ441" s="2298" t="str">
        <f t="shared" si="652"/>
        <v>[Service]</v>
      </c>
      <c r="BK441" s="1719" t="str">
        <f t="shared" si="652"/>
        <v>[Price]</v>
      </c>
      <c r="BL441" s="2299" t="str">
        <f t="shared" ref="BL441:BZ441" si="718">IF(OR(X441="",X441=0),"-",IFERROR((X441/W441-1)*(W443/W$13),"-"))</f>
        <v>-</v>
      </c>
      <c r="BM441" s="1053" t="str">
        <f t="shared" si="718"/>
        <v>-</v>
      </c>
      <c r="BN441" s="1053" t="str">
        <f t="shared" si="718"/>
        <v>-</v>
      </c>
      <c r="BO441" s="2302" t="str">
        <f t="shared" si="718"/>
        <v>-</v>
      </c>
      <c r="BP441" s="1053" t="str">
        <f t="shared" si="718"/>
        <v>-</v>
      </c>
      <c r="BQ441" s="2303" t="str">
        <f t="shared" si="718"/>
        <v>-</v>
      </c>
      <c r="BR441" s="1053" t="str">
        <f t="shared" si="718"/>
        <v>-</v>
      </c>
      <c r="BS441" s="1053" t="str">
        <f t="shared" si="718"/>
        <v>-</v>
      </c>
      <c r="BT441" s="1053" t="str">
        <f t="shared" si="718"/>
        <v>-</v>
      </c>
      <c r="BU441" s="1054" t="str">
        <f t="shared" si="718"/>
        <v>-</v>
      </c>
      <c r="BV441" s="1053" t="str">
        <f t="shared" si="718"/>
        <v>-</v>
      </c>
      <c r="BW441" s="1053" t="str">
        <f t="shared" si="718"/>
        <v>-</v>
      </c>
      <c r="BX441" s="1053" t="str">
        <f t="shared" si="718"/>
        <v>-</v>
      </c>
      <c r="BY441" s="1053" t="str">
        <f t="shared" si="718"/>
        <v>-</v>
      </c>
      <c r="BZ441" s="1054" t="str">
        <f t="shared" si="718"/>
        <v>-</v>
      </c>
      <c r="CA441" s="1048"/>
    </row>
    <row r="442" spans="3:79" x14ac:dyDescent="0.3">
      <c r="C442" s="126"/>
      <c r="D442" s="126"/>
      <c r="E442" s="558" t="s">
        <v>46</v>
      </c>
      <c r="F442" s="2161" t="str">
        <f t="shared" si="698"/>
        <v>[Service]</v>
      </c>
      <c r="G442" s="2163">
        <f t="shared" si="698"/>
        <v>0</v>
      </c>
      <c r="H442" s="2163">
        <f t="shared" si="698"/>
        <v>0</v>
      </c>
      <c r="I442" s="2164" t="str">
        <f t="shared" si="698"/>
        <v>[Price]</v>
      </c>
      <c r="J442" s="574" t="s">
        <v>323</v>
      </c>
      <c r="K442" s="1973"/>
      <c r="L442" s="1974"/>
      <c r="M442" s="1974"/>
      <c r="N442" s="1975"/>
      <c r="O442" s="1974"/>
      <c r="P442" s="1974"/>
      <c r="Q442" s="1974"/>
      <c r="R442" s="1976"/>
      <c r="S442" s="1975"/>
      <c r="T442" s="1974"/>
      <c r="U442" s="1974"/>
      <c r="V442" s="1974"/>
      <c r="W442" s="578"/>
      <c r="X442" s="1239"/>
      <c r="Y442" s="578"/>
      <c r="Z442" s="578"/>
      <c r="AA442" s="578"/>
      <c r="AB442" s="1143"/>
      <c r="AC442" s="578"/>
      <c r="AD442" s="578"/>
      <c r="AE442" s="578"/>
      <c r="AF442" s="578"/>
      <c r="AG442" s="580"/>
      <c r="AH442" s="578"/>
      <c r="AI442" s="578"/>
      <c r="AJ442" s="578"/>
      <c r="AK442" s="578"/>
      <c r="AL442" s="580"/>
      <c r="AM442" s="560"/>
      <c r="AN442" s="991"/>
      <c r="AO442" s="992"/>
      <c r="AP442" s="2285" t="str">
        <f t="shared" si="623"/>
        <v>Qty</v>
      </c>
      <c r="AQ442" s="2286" t="str">
        <f t="shared" si="623"/>
        <v>[Service]</v>
      </c>
      <c r="AR442" s="2287" t="str">
        <f t="shared" si="624"/>
        <v>[Price]</v>
      </c>
      <c r="AS442" s="2288" t="str">
        <f t="shared" si="691"/>
        <v>-</v>
      </c>
      <c r="AT442" s="1720" t="str">
        <f t="shared" si="691"/>
        <v>-</v>
      </c>
      <c r="AU442" s="1720" t="str">
        <f t="shared" si="691"/>
        <v>-</v>
      </c>
      <c r="AV442" s="2289" t="str">
        <f t="shared" si="691"/>
        <v>-</v>
      </c>
      <c r="AW442" s="1720" t="str">
        <f t="shared" si="691"/>
        <v>-</v>
      </c>
      <c r="AX442" s="2290" t="str">
        <f t="shared" si="691"/>
        <v>-</v>
      </c>
      <c r="AY442" s="1720" t="str">
        <f t="shared" si="691"/>
        <v>-</v>
      </c>
      <c r="AZ442" s="1720" t="str">
        <f t="shared" si="691"/>
        <v>-</v>
      </c>
      <c r="BA442" s="1720" t="str">
        <f t="shared" si="691"/>
        <v>-</v>
      </c>
      <c r="BB442" s="1721" t="str">
        <f t="shared" si="691"/>
        <v>-</v>
      </c>
      <c r="BC442" s="1720" t="str">
        <f t="shared" si="691"/>
        <v>-</v>
      </c>
      <c r="BD442" s="1720" t="str">
        <f t="shared" si="691"/>
        <v>-</v>
      </c>
      <c r="BE442" s="1720" t="str">
        <f t="shared" si="691"/>
        <v>-</v>
      </c>
      <c r="BF442" s="1720" t="str">
        <f t="shared" si="691"/>
        <v>-</v>
      </c>
      <c r="BG442" s="1721" t="str">
        <f t="shared" si="691"/>
        <v>-</v>
      </c>
      <c r="BH442" s="1048"/>
      <c r="BI442" s="2285" t="str">
        <f t="shared" si="652"/>
        <v>Qty</v>
      </c>
      <c r="BJ442" s="2286" t="str">
        <f t="shared" si="652"/>
        <v>[Service]</v>
      </c>
      <c r="BK442" s="2287" t="str">
        <f t="shared" si="652"/>
        <v>[Price]</v>
      </c>
      <c r="BL442" s="2288" t="str">
        <f t="shared" ref="BL442:BZ442" si="719">IF(OR(X442="",X442=0),"-",IFERROR((X442/W442-1)*(W443/W$13),"-"))</f>
        <v>-</v>
      </c>
      <c r="BM442" s="1720" t="str">
        <f t="shared" si="719"/>
        <v>-</v>
      </c>
      <c r="BN442" s="1720" t="str">
        <f t="shared" si="719"/>
        <v>-</v>
      </c>
      <c r="BO442" s="2289" t="str">
        <f t="shared" si="719"/>
        <v>-</v>
      </c>
      <c r="BP442" s="1720" t="str">
        <f t="shared" si="719"/>
        <v>-</v>
      </c>
      <c r="BQ442" s="2290" t="str">
        <f t="shared" si="719"/>
        <v>-</v>
      </c>
      <c r="BR442" s="1720" t="str">
        <f t="shared" si="719"/>
        <v>-</v>
      </c>
      <c r="BS442" s="1720" t="str">
        <f t="shared" si="719"/>
        <v>-</v>
      </c>
      <c r="BT442" s="1720" t="str">
        <f t="shared" si="719"/>
        <v>-</v>
      </c>
      <c r="BU442" s="1721" t="str">
        <f t="shared" si="719"/>
        <v>-</v>
      </c>
      <c r="BV442" s="1720" t="str">
        <f t="shared" si="719"/>
        <v>-</v>
      </c>
      <c r="BW442" s="1720" t="str">
        <f t="shared" si="719"/>
        <v>-</v>
      </c>
      <c r="BX442" s="1720" t="str">
        <f t="shared" si="719"/>
        <v>-</v>
      </c>
      <c r="BY442" s="1720" t="str">
        <f t="shared" si="719"/>
        <v>-</v>
      </c>
      <c r="BZ442" s="1721" t="str">
        <f t="shared" si="719"/>
        <v>-</v>
      </c>
      <c r="CA442" s="1048"/>
    </row>
    <row r="443" spans="3:79" ht="12.5" thickBot="1" x14ac:dyDescent="0.35">
      <c r="C443" s="126"/>
      <c r="D443" s="126"/>
      <c r="E443" s="559" t="s">
        <v>47</v>
      </c>
      <c r="F443" s="2162" t="str">
        <f t="shared" ref="F443:I443" si="720">+F441</f>
        <v>[Service]</v>
      </c>
      <c r="G443" s="2165">
        <f t="shared" si="720"/>
        <v>0</v>
      </c>
      <c r="H443" s="2165">
        <f t="shared" si="720"/>
        <v>0</v>
      </c>
      <c r="I443" s="2166" t="str">
        <f t="shared" si="720"/>
        <v>[Price]</v>
      </c>
      <c r="J443" s="2106" t="s">
        <v>347</v>
      </c>
      <c r="K443" s="1977"/>
      <c r="L443" s="1206"/>
      <c r="M443" s="1206"/>
      <c r="N443" s="1978"/>
      <c r="O443" s="1206"/>
      <c r="P443" s="1206"/>
      <c r="Q443" s="1206"/>
      <c r="R443" s="1206"/>
      <c r="S443" s="1978"/>
      <c r="T443" s="1206"/>
      <c r="U443" s="1206"/>
      <c r="V443" s="1206"/>
      <c r="W443" s="1731">
        <f t="shared" ref="W443:AG443" si="721">W441*W442/10^6</f>
        <v>0</v>
      </c>
      <c r="X443" s="1730">
        <f t="shared" si="721"/>
        <v>0</v>
      </c>
      <c r="Y443" s="1731">
        <f t="shared" si="721"/>
        <v>0</v>
      </c>
      <c r="Z443" s="1731">
        <f t="shared" si="721"/>
        <v>0</v>
      </c>
      <c r="AA443" s="1731">
        <f t="shared" si="721"/>
        <v>0</v>
      </c>
      <c r="AB443" s="1733">
        <f t="shared" si="721"/>
        <v>0</v>
      </c>
      <c r="AC443" s="1731">
        <f t="shared" si="721"/>
        <v>0</v>
      </c>
      <c r="AD443" s="1731">
        <f t="shared" si="721"/>
        <v>0</v>
      </c>
      <c r="AE443" s="1731">
        <f t="shared" si="721"/>
        <v>0</v>
      </c>
      <c r="AF443" s="1731">
        <f t="shared" si="721"/>
        <v>0</v>
      </c>
      <c r="AG443" s="1733">
        <f t="shared" si="721"/>
        <v>0</v>
      </c>
      <c r="AH443" s="1731">
        <f>AH441*AH442/10^6</f>
        <v>0</v>
      </c>
      <c r="AI443" s="1731">
        <f>AI441*AI442/10^6</f>
        <v>0</v>
      </c>
      <c r="AJ443" s="1731">
        <f>AJ441*AJ442/10^6</f>
        <v>0</v>
      </c>
      <c r="AK443" s="1731">
        <f>AK441*AK442/10^6</f>
        <v>0</v>
      </c>
      <c r="AL443" s="1733">
        <f>AL441*AL442/10^6</f>
        <v>0</v>
      </c>
      <c r="AM443" s="560"/>
      <c r="AN443" s="991"/>
      <c r="AO443" s="992"/>
      <c r="AP443" s="2316" t="str">
        <f t="shared" si="623"/>
        <v>Rev</v>
      </c>
      <c r="AQ443" s="2317" t="str">
        <f t="shared" si="623"/>
        <v>[Service]</v>
      </c>
      <c r="AR443" s="2318" t="str">
        <f t="shared" si="624"/>
        <v>[Price]</v>
      </c>
      <c r="AS443" s="2319" t="str">
        <f t="shared" ref="AS443:BG443" si="722">IF(OR(X443="",X443=0),"-",IFERROR(X443/W443-1,"-"))</f>
        <v>-</v>
      </c>
      <c r="AT443" s="1057" t="str">
        <f t="shared" si="722"/>
        <v>-</v>
      </c>
      <c r="AU443" s="1057" t="str">
        <f t="shared" si="722"/>
        <v>-</v>
      </c>
      <c r="AV443" s="2320" t="str">
        <f t="shared" si="722"/>
        <v>-</v>
      </c>
      <c r="AW443" s="1057" t="str">
        <f t="shared" si="722"/>
        <v>-</v>
      </c>
      <c r="AX443" s="2321" t="str">
        <f t="shared" si="722"/>
        <v>-</v>
      </c>
      <c r="AY443" s="1057" t="str">
        <f t="shared" si="722"/>
        <v>-</v>
      </c>
      <c r="AZ443" s="1057" t="str">
        <f t="shared" si="722"/>
        <v>-</v>
      </c>
      <c r="BA443" s="1057" t="str">
        <f t="shared" si="722"/>
        <v>-</v>
      </c>
      <c r="BB443" s="1058" t="str">
        <f t="shared" si="722"/>
        <v>-</v>
      </c>
      <c r="BC443" s="1057" t="str">
        <f t="shared" si="722"/>
        <v>-</v>
      </c>
      <c r="BD443" s="1057" t="str">
        <f t="shared" si="722"/>
        <v>-</v>
      </c>
      <c r="BE443" s="1057" t="str">
        <f t="shared" si="722"/>
        <v>-</v>
      </c>
      <c r="BF443" s="1057" t="str">
        <f t="shared" si="722"/>
        <v>-</v>
      </c>
      <c r="BG443" s="1058" t="str">
        <f t="shared" si="722"/>
        <v>-</v>
      </c>
      <c r="BH443" s="1048"/>
      <c r="BI443" s="2316" t="str">
        <f t="shared" si="652"/>
        <v>Rev</v>
      </c>
      <c r="BJ443" s="2317" t="str">
        <f t="shared" si="652"/>
        <v>[Service]</v>
      </c>
      <c r="BK443" s="2318" t="str">
        <f t="shared" si="652"/>
        <v>[Price]</v>
      </c>
      <c r="BL443" s="2319" t="str">
        <f t="shared" ref="BL443:BZ443" si="723">IF(OR(X443="",X443=0),"-",IFERROR((X443/W443-1)*(W443/W$13),"-"))</f>
        <v>-</v>
      </c>
      <c r="BM443" s="1057" t="str">
        <f t="shared" si="723"/>
        <v>-</v>
      </c>
      <c r="BN443" s="1057" t="str">
        <f t="shared" si="723"/>
        <v>-</v>
      </c>
      <c r="BO443" s="2320" t="str">
        <f t="shared" si="723"/>
        <v>-</v>
      </c>
      <c r="BP443" s="1057" t="str">
        <f t="shared" si="723"/>
        <v>-</v>
      </c>
      <c r="BQ443" s="2321" t="str">
        <f t="shared" si="723"/>
        <v>-</v>
      </c>
      <c r="BR443" s="1057" t="str">
        <f t="shared" si="723"/>
        <v>-</v>
      </c>
      <c r="BS443" s="1057" t="str">
        <f t="shared" si="723"/>
        <v>-</v>
      </c>
      <c r="BT443" s="1057" t="str">
        <f t="shared" si="723"/>
        <v>-</v>
      </c>
      <c r="BU443" s="1058" t="str">
        <f t="shared" si="723"/>
        <v>-</v>
      </c>
      <c r="BV443" s="1057" t="str">
        <f t="shared" si="723"/>
        <v>-</v>
      </c>
      <c r="BW443" s="1057" t="str">
        <f t="shared" si="723"/>
        <v>-</v>
      </c>
      <c r="BX443" s="1057" t="str">
        <f t="shared" si="723"/>
        <v>-</v>
      </c>
      <c r="BY443" s="1057" t="str">
        <f t="shared" si="723"/>
        <v>-</v>
      </c>
      <c r="BZ443" s="1058" t="str">
        <f t="shared" si="723"/>
        <v>-</v>
      </c>
      <c r="CA443" s="1048"/>
    </row>
    <row r="444" spans="3:79" x14ac:dyDescent="0.3">
      <c r="AG444" s="560"/>
      <c r="AL444" s="560"/>
      <c r="AM444" s="560"/>
      <c r="AN444" s="1052"/>
      <c r="AO444" s="992"/>
    </row>
    <row r="445" spans="3:79" x14ac:dyDescent="0.3">
      <c r="J445" s="157"/>
      <c r="AF445" s="550"/>
      <c r="AG445" s="560"/>
      <c r="AK445" s="550"/>
      <c r="AL445" s="560"/>
      <c r="AM445" s="560"/>
      <c r="AN445" s="991"/>
      <c r="AO445" s="992"/>
    </row>
    <row r="446" spans="3:79" x14ac:dyDescent="0.3">
      <c r="J446" s="157"/>
      <c r="AF446" s="550"/>
      <c r="AG446" s="560"/>
      <c r="AK446" s="550"/>
      <c r="AL446" s="560"/>
      <c r="AM446" s="560"/>
      <c r="AN446" s="991"/>
      <c r="AO446" s="992"/>
    </row>
    <row r="447" spans="3:79" x14ac:dyDescent="0.3">
      <c r="I447" s="78" t="s">
        <v>691</v>
      </c>
      <c r="J447" s="562"/>
      <c r="K447" s="78"/>
      <c r="L447" s="78"/>
      <c r="M447" s="78"/>
      <c r="N447" s="78"/>
      <c r="O447" s="78"/>
      <c r="P447" s="78"/>
      <c r="Q447" s="78"/>
      <c r="R447" s="78"/>
      <c r="S447" s="78"/>
      <c r="T447" s="78"/>
      <c r="U447" s="78"/>
      <c r="V447" s="78"/>
      <c r="W447" s="78"/>
      <c r="X447" s="78"/>
      <c r="Y447" s="78"/>
      <c r="Z447" s="78"/>
      <c r="AA447" s="78"/>
      <c r="AB447" s="78"/>
      <c r="AC447" s="78"/>
      <c r="AD447" s="78"/>
      <c r="AE447" s="78"/>
      <c r="AF447" s="563"/>
      <c r="AG447" s="564"/>
      <c r="AH447" s="78"/>
      <c r="AI447" s="78"/>
      <c r="AJ447" s="78"/>
      <c r="AK447" s="563"/>
      <c r="AL447" s="564"/>
      <c r="AM447" s="560"/>
      <c r="AO447" s="992"/>
      <c r="AR447" s="73"/>
      <c r="BK447" s="73"/>
    </row>
    <row r="448" spans="3:79" x14ac:dyDescent="0.3">
      <c r="I448" s="1240" t="s">
        <v>21</v>
      </c>
      <c r="J448" s="1241"/>
      <c r="K448" s="1734"/>
      <c r="L448" s="1734"/>
      <c r="M448" s="1735"/>
      <c r="N448" s="1736"/>
      <c r="O448" s="1734"/>
      <c r="P448" s="1734"/>
      <c r="Q448" s="1734"/>
      <c r="R448" s="1735"/>
      <c r="S448" s="1736"/>
      <c r="T448" s="1734"/>
      <c r="U448" s="1734"/>
      <c r="V448" s="1734"/>
      <c r="W448" s="1735">
        <f t="shared" ref="W448:AJ453" si="724">+SUMIFS(W$69:W$444,$E$69:$E$444,$E$71,$F$69:$F$444,$I448)</f>
        <v>42.980498005865002</v>
      </c>
      <c r="X448" s="1737">
        <f t="shared" si="724"/>
        <v>44.923657430751589</v>
      </c>
      <c r="Y448" s="1738">
        <f t="shared" si="724"/>
        <v>43.502108292612697</v>
      </c>
      <c r="Z448" s="1734">
        <f t="shared" si="724"/>
        <v>43.722101486115605</v>
      </c>
      <c r="AA448" s="1738">
        <f t="shared" si="724"/>
        <v>46.49027627445134</v>
      </c>
      <c r="AB448" s="1739">
        <f t="shared" si="724"/>
        <v>49.890746264055842</v>
      </c>
      <c r="AC448" s="1737">
        <f t="shared" si="724"/>
        <v>51.793162947149284</v>
      </c>
      <c r="AD448" s="1738">
        <f t="shared" si="724"/>
        <v>53.331403957244852</v>
      </c>
      <c r="AE448" s="1738">
        <f t="shared" si="724"/>
        <v>54.921531050653968</v>
      </c>
      <c r="AF448" s="1738">
        <f t="shared" si="724"/>
        <v>56.560509600473004</v>
      </c>
      <c r="AG448" s="1739">
        <f t="shared" si="724"/>
        <v>58.034666622290509</v>
      </c>
      <c r="AH448" s="1737">
        <f t="shared" si="724"/>
        <v>59.549920172975824</v>
      </c>
      <c r="AI448" s="1738">
        <f t="shared" si="724"/>
        <v>61.107462599887199</v>
      </c>
      <c r="AJ448" s="1738">
        <f t="shared" si="724"/>
        <v>62.708521824739208</v>
      </c>
      <c r="AK448" s="1738">
        <f t="shared" ref="AH448:AL453" si="725">+SUMIFS(AK$69:AK$444,$E$69:$E$444,$E$71,$F$69:$F$444,$I448)</f>
        <v>64.354362426477863</v>
      </c>
      <c r="AL448" s="1739">
        <f t="shared" si="725"/>
        <v>66.04628675758984</v>
      </c>
      <c r="AM448" s="560"/>
      <c r="AO448" s="992"/>
      <c r="AR448" s="73"/>
      <c r="BK448" s="73"/>
    </row>
    <row r="449" spans="8:63" x14ac:dyDescent="0.3">
      <c r="I449" s="1242" t="s">
        <v>22</v>
      </c>
      <c r="J449" s="1243"/>
      <c r="K449" s="1738"/>
      <c r="L449" s="1738"/>
      <c r="M449" s="1739"/>
      <c r="N449" s="1737"/>
      <c r="O449" s="1738"/>
      <c r="P449" s="1738"/>
      <c r="Q449" s="1738"/>
      <c r="R449" s="1739"/>
      <c r="S449" s="1737"/>
      <c r="T449" s="1738"/>
      <c r="U449" s="1738"/>
      <c r="V449" s="1738"/>
      <c r="W449" s="1739">
        <f t="shared" si="724"/>
        <v>47.388483481842002</v>
      </c>
      <c r="X449" s="1737">
        <f t="shared" si="724"/>
        <v>47.831740644028997</v>
      </c>
      <c r="Y449" s="1738">
        <f t="shared" si="724"/>
        <v>48.199092932472105</v>
      </c>
      <c r="Z449" s="1738">
        <f t="shared" si="724"/>
        <v>49.175345203953391</v>
      </c>
      <c r="AA449" s="1738">
        <f t="shared" si="724"/>
        <v>47.586663369981999</v>
      </c>
      <c r="AB449" s="1739">
        <f t="shared" si="724"/>
        <v>49.070100314237614</v>
      </c>
      <c r="AC449" s="1737">
        <f t="shared" si="724"/>
        <v>50.111142690728663</v>
      </c>
      <c r="AD449" s="1738">
        <f t="shared" si="724"/>
        <v>51.686838879497536</v>
      </c>
      <c r="AE449" s="1738">
        <f t="shared" si="724"/>
        <v>53.330766822551112</v>
      </c>
      <c r="AF449" s="1738">
        <f t="shared" si="724"/>
        <v>55.027231541616466</v>
      </c>
      <c r="AG449" s="1739">
        <f t="shared" si="724"/>
        <v>56.777917116912143</v>
      </c>
      <c r="AH449" s="1737">
        <f t="shared" si="725"/>
        <v>58.584561715761836</v>
      </c>
      <c r="AI449" s="1738">
        <f t="shared" si="725"/>
        <v>60.44895933178428</v>
      </c>
      <c r="AJ449" s="1738">
        <f t="shared" si="725"/>
        <v>62.372961580049527</v>
      </c>
      <c r="AK449" s="1738">
        <f t="shared" si="725"/>
        <v>64.358479550003622</v>
      </c>
      <c r="AL449" s="1739">
        <f t="shared" si="725"/>
        <v>66.407485718021334</v>
      </c>
      <c r="AM449" s="560"/>
      <c r="AO449" s="992"/>
      <c r="AR449" s="73"/>
      <c r="BK449" s="73"/>
    </row>
    <row r="450" spans="8:63" x14ac:dyDescent="0.3">
      <c r="I450" s="1242" t="s">
        <v>275</v>
      </c>
      <c r="J450" s="1243"/>
      <c r="K450" s="1738"/>
      <c r="L450" s="1738"/>
      <c r="M450" s="1739"/>
      <c r="N450" s="1737"/>
      <c r="O450" s="1738"/>
      <c r="P450" s="1738"/>
      <c r="Q450" s="1738"/>
      <c r="R450" s="1739"/>
      <c r="S450" s="1737"/>
      <c r="T450" s="1738"/>
      <c r="U450" s="1738"/>
      <c r="V450" s="1738"/>
      <c r="W450" s="1739">
        <f t="shared" si="724"/>
        <v>0</v>
      </c>
      <c r="X450" s="1737">
        <f t="shared" si="724"/>
        <v>0</v>
      </c>
      <c r="Y450" s="1738">
        <f t="shared" si="724"/>
        <v>0</v>
      </c>
      <c r="Z450" s="1738">
        <f t="shared" si="724"/>
        <v>0</v>
      </c>
      <c r="AA450" s="1738">
        <f t="shared" si="724"/>
        <v>0</v>
      </c>
      <c r="AB450" s="1739">
        <f t="shared" si="724"/>
        <v>0</v>
      </c>
      <c r="AC450" s="1737">
        <f t="shared" si="724"/>
        <v>0</v>
      </c>
      <c r="AD450" s="1738">
        <f t="shared" si="724"/>
        <v>0</v>
      </c>
      <c r="AE450" s="1738">
        <f t="shared" si="724"/>
        <v>0</v>
      </c>
      <c r="AF450" s="1738">
        <f t="shared" si="724"/>
        <v>0</v>
      </c>
      <c r="AG450" s="1739">
        <f t="shared" si="724"/>
        <v>0</v>
      </c>
      <c r="AH450" s="1737">
        <f t="shared" si="725"/>
        <v>0</v>
      </c>
      <c r="AI450" s="1738">
        <f t="shared" si="725"/>
        <v>0</v>
      </c>
      <c r="AJ450" s="1738">
        <f t="shared" si="725"/>
        <v>0</v>
      </c>
      <c r="AK450" s="1738">
        <f t="shared" si="725"/>
        <v>0</v>
      </c>
      <c r="AL450" s="1739">
        <f t="shared" si="725"/>
        <v>0</v>
      </c>
      <c r="AM450" s="560"/>
      <c r="AO450" s="992"/>
      <c r="AR450" s="73"/>
      <c r="BK450" s="73"/>
    </row>
    <row r="451" spans="8:63" x14ac:dyDescent="0.3">
      <c r="I451" s="1242" t="s">
        <v>317</v>
      </c>
      <c r="J451" s="1243"/>
      <c r="K451" s="1738"/>
      <c r="L451" s="1738"/>
      <c r="M451" s="1739"/>
      <c r="N451" s="1737"/>
      <c r="O451" s="1738"/>
      <c r="P451" s="1738"/>
      <c r="Q451" s="1738"/>
      <c r="R451" s="1739"/>
      <c r="S451" s="1737"/>
      <c r="T451" s="1738"/>
      <c r="U451" s="1738"/>
      <c r="V451" s="1738"/>
      <c r="W451" s="1739">
        <f t="shared" si="724"/>
        <v>1.7645465614738001</v>
      </c>
      <c r="X451" s="1737">
        <f t="shared" si="724"/>
        <v>1.749280900809</v>
      </c>
      <c r="Y451" s="1738">
        <f t="shared" si="724"/>
        <v>1.7563639354562004</v>
      </c>
      <c r="Z451" s="1738">
        <f t="shared" si="724"/>
        <v>1.6690133135661998</v>
      </c>
      <c r="AA451" s="1738">
        <f t="shared" si="724"/>
        <v>1.74774654127</v>
      </c>
      <c r="AB451" s="1739">
        <f t="shared" si="724"/>
        <v>1.8549673736242402</v>
      </c>
      <c r="AC451" s="1737">
        <f t="shared" si="724"/>
        <v>1.8549673736242402</v>
      </c>
      <c r="AD451" s="1738">
        <f t="shared" si="724"/>
        <v>1.8735170473604827</v>
      </c>
      <c r="AE451" s="1738">
        <f t="shared" si="724"/>
        <v>1.9111747400124284</v>
      </c>
      <c r="AF451" s="1738">
        <f t="shared" si="724"/>
        <v>1.9495893522866778</v>
      </c>
      <c r="AG451" s="1739">
        <f t="shared" si="724"/>
        <v>1.9887760982676401</v>
      </c>
      <c r="AH451" s="1737">
        <f t="shared" si="725"/>
        <v>2.0287504978428195</v>
      </c>
      <c r="AI451" s="1738">
        <f t="shared" si="725"/>
        <v>2.0695283828494602</v>
      </c>
      <c r="AJ451" s="1738">
        <f t="shared" si="725"/>
        <v>2.1111259033447345</v>
      </c>
      <c r="AK451" s="1738">
        <f t="shared" si="725"/>
        <v>2.1535595340019635</v>
      </c>
      <c r="AL451" s="1739">
        <f t="shared" si="725"/>
        <v>2.1968460806354031</v>
      </c>
      <c r="AM451" s="560"/>
      <c r="AO451" s="992"/>
      <c r="AR451" s="73"/>
      <c r="BK451" s="73"/>
    </row>
    <row r="452" spans="8:63" x14ac:dyDescent="0.3">
      <c r="I452" s="1242" t="s">
        <v>353</v>
      </c>
      <c r="J452" s="1243"/>
      <c r="K452" s="1738"/>
      <c r="L452" s="1738"/>
      <c r="M452" s="1739"/>
      <c r="N452" s="1737"/>
      <c r="O452" s="1738"/>
      <c r="P452" s="1738"/>
      <c r="Q452" s="1738"/>
      <c r="R452" s="1739"/>
      <c r="S452" s="1737"/>
      <c r="T452" s="1738"/>
      <c r="U452" s="1738"/>
      <c r="V452" s="1738"/>
      <c r="W452" s="1739">
        <f t="shared" si="724"/>
        <v>0</v>
      </c>
      <c r="X452" s="1737">
        <f t="shared" si="724"/>
        <v>0</v>
      </c>
      <c r="Y452" s="1738">
        <f t="shared" si="724"/>
        <v>0</v>
      </c>
      <c r="Z452" s="1738">
        <f t="shared" si="724"/>
        <v>0</v>
      </c>
      <c r="AA452" s="1738">
        <f t="shared" si="724"/>
        <v>0</v>
      </c>
      <c r="AB452" s="1739">
        <f t="shared" si="724"/>
        <v>0</v>
      </c>
      <c r="AC452" s="1737">
        <f t="shared" si="724"/>
        <v>0</v>
      </c>
      <c r="AD452" s="1738">
        <f t="shared" si="724"/>
        <v>0</v>
      </c>
      <c r="AE452" s="1738">
        <f t="shared" si="724"/>
        <v>0</v>
      </c>
      <c r="AF452" s="1738">
        <f t="shared" si="724"/>
        <v>0</v>
      </c>
      <c r="AG452" s="1739">
        <f t="shared" si="724"/>
        <v>0</v>
      </c>
      <c r="AH452" s="1737">
        <f t="shared" si="725"/>
        <v>0</v>
      </c>
      <c r="AI452" s="1738">
        <f t="shared" si="725"/>
        <v>0</v>
      </c>
      <c r="AJ452" s="1738">
        <f t="shared" si="725"/>
        <v>0</v>
      </c>
      <c r="AK452" s="1738">
        <f t="shared" si="725"/>
        <v>0</v>
      </c>
      <c r="AL452" s="1739">
        <f t="shared" si="725"/>
        <v>0</v>
      </c>
      <c r="AM452" s="560"/>
      <c r="AO452" s="992"/>
      <c r="AR452" s="73"/>
      <c r="BK452" s="73"/>
    </row>
    <row r="453" spans="8:63" x14ac:dyDescent="0.3">
      <c r="I453" s="1244" t="s">
        <v>354</v>
      </c>
      <c r="J453" s="1245"/>
      <c r="K453" s="1740"/>
      <c r="L453" s="1740"/>
      <c r="M453" s="1741"/>
      <c r="N453" s="1742"/>
      <c r="O453" s="1740"/>
      <c r="P453" s="1740"/>
      <c r="Q453" s="1740"/>
      <c r="R453" s="1741"/>
      <c r="S453" s="1742"/>
      <c r="T453" s="1740"/>
      <c r="U453" s="1740"/>
      <c r="V453" s="1740"/>
      <c r="W453" s="1741">
        <f t="shared" si="724"/>
        <v>0</v>
      </c>
      <c r="X453" s="1742">
        <f t="shared" si="724"/>
        <v>0</v>
      </c>
      <c r="Y453" s="1740">
        <f t="shared" si="724"/>
        <v>0</v>
      </c>
      <c r="Z453" s="1740">
        <f t="shared" si="724"/>
        <v>0</v>
      </c>
      <c r="AA453" s="1740">
        <f t="shared" si="724"/>
        <v>0</v>
      </c>
      <c r="AB453" s="1741">
        <f t="shared" si="724"/>
        <v>0</v>
      </c>
      <c r="AC453" s="1742">
        <f t="shared" si="724"/>
        <v>0</v>
      </c>
      <c r="AD453" s="1740">
        <f t="shared" si="724"/>
        <v>0</v>
      </c>
      <c r="AE453" s="1740">
        <f t="shared" si="724"/>
        <v>0</v>
      </c>
      <c r="AF453" s="1740">
        <f t="shared" si="724"/>
        <v>0</v>
      </c>
      <c r="AG453" s="1741">
        <f t="shared" si="724"/>
        <v>0</v>
      </c>
      <c r="AH453" s="1742">
        <f t="shared" si="725"/>
        <v>0</v>
      </c>
      <c r="AI453" s="1740">
        <f t="shared" si="725"/>
        <v>0</v>
      </c>
      <c r="AJ453" s="1740">
        <f t="shared" si="725"/>
        <v>0</v>
      </c>
      <c r="AK453" s="1740">
        <f t="shared" si="725"/>
        <v>0</v>
      </c>
      <c r="AL453" s="1741">
        <f t="shared" si="725"/>
        <v>0</v>
      </c>
      <c r="AM453" s="560"/>
      <c r="AO453" s="992"/>
      <c r="AR453" s="73"/>
      <c r="BK453" s="73"/>
    </row>
    <row r="454" spans="8:63" x14ac:dyDescent="0.3">
      <c r="I454" s="1246" t="s">
        <v>687</v>
      </c>
      <c r="J454" s="85"/>
      <c r="K454" s="1743"/>
      <c r="L454" s="1743"/>
      <c r="M454" s="1744"/>
      <c r="N454" s="1745"/>
      <c r="O454" s="1743"/>
      <c r="P454" s="1743"/>
      <c r="Q454" s="1743"/>
      <c r="R454" s="1744"/>
      <c r="S454" s="1745"/>
      <c r="T454" s="1743"/>
      <c r="U454" s="1743"/>
      <c r="V454" s="1743"/>
      <c r="W454" s="1744">
        <f t="shared" ref="W454:AG454" si="726">SUM(W448:W453)</f>
        <v>92.133528049180796</v>
      </c>
      <c r="X454" s="457">
        <f t="shared" si="726"/>
        <v>94.504678975589584</v>
      </c>
      <c r="Y454" s="457">
        <f t="shared" si="726"/>
        <v>93.457565160541009</v>
      </c>
      <c r="Z454" s="457">
        <f t="shared" si="726"/>
        <v>94.566460003635186</v>
      </c>
      <c r="AA454" s="457">
        <f t="shared" si="726"/>
        <v>95.824686185703342</v>
      </c>
      <c r="AB454" s="1744">
        <f t="shared" si="726"/>
        <v>100.81581395191769</v>
      </c>
      <c r="AC454" s="457">
        <f t="shared" si="726"/>
        <v>103.75927301150217</v>
      </c>
      <c r="AD454" s="457">
        <f t="shared" si="726"/>
        <v>106.89175988410287</v>
      </c>
      <c r="AE454" s="457">
        <f t="shared" si="726"/>
        <v>110.16347261321751</v>
      </c>
      <c r="AF454" s="457">
        <f t="shared" si="726"/>
        <v>113.53733049437615</v>
      </c>
      <c r="AG454" s="1744">
        <f t="shared" si="726"/>
        <v>116.80135983747029</v>
      </c>
      <c r="AH454" s="457">
        <f>SUM(AH448:AH453)</f>
        <v>120.16323238658049</v>
      </c>
      <c r="AI454" s="457">
        <f>SUM(AI448:AI453)</f>
        <v>123.62595031452094</v>
      </c>
      <c r="AJ454" s="457">
        <f>SUM(AJ448:AJ453)</f>
        <v>127.19260930813347</v>
      </c>
      <c r="AK454" s="457">
        <f>SUM(AK448:AK453)</f>
        <v>130.86640151048346</v>
      </c>
      <c r="AL454" s="1744">
        <f>SUM(AL448:AL453)</f>
        <v>134.65061855624657</v>
      </c>
      <c r="AM454" s="560"/>
      <c r="AO454" s="992"/>
      <c r="AR454" s="73"/>
      <c r="BK454" s="73"/>
    </row>
    <row r="455" spans="8:63" x14ac:dyDescent="0.3">
      <c r="I455" s="86" t="s">
        <v>688</v>
      </c>
      <c r="J455" s="85"/>
      <c r="K455" s="449"/>
      <c r="L455" s="449"/>
      <c r="M455" s="1150"/>
      <c r="N455" s="1149"/>
      <c r="O455" s="449"/>
      <c r="P455" s="449"/>
      <c r="Q455" s="449"/>
      <c r="R455" s="1150"/>
      <c r="S455" s="1149"/>
      <c r="T455" s="449"/>
      <c r="U455" s="449"/>
      <c r="V455" s="449"/>
      <c r="W455" s="1150">
        <f t="shared" ref="W455:X455" si="727">+W13-W65</f>
        <v>92.133528049180811</v>
      </c>
      <c r="X455" s="2145">
        <f t="shared" si="727"/>
        <v>94.504678975589613</v>
      </c>
      <c r="Y455" s="2145">
        <f>+Y13-Y65</f>
        <v>93.457565160540994</v>
      </c>
      <c r="Z455" s="2145">
        <f t="shared" ref="Z455:AB455" si="728">+Z13-Z65</f>
        <v>94.566460003635157</v>
      </c>
      <c r="AA455" s="2145">
        <f t="shared" si="728"/>
        <v>95.824686185703342</v>
      </c>
      <c r="AB455" s="2237">
        <f t="shared" si="728"/>
        <v>100.81581395191769</v>
      </c>
      <c r="AC455" s="2238">
        <f t="shared" ref="AC455" si="729">+AC13</f>
        <v>103.75927301150219</v>
      </c>
      <c r="AD455" s="632">
        <f t="shared" ref="AD455:AG455" si="730">+AD13</f>
        <v>106.89175988410285</v>
      </c>
      <c r="AE455" s="632">
        <f t="shared" si="730"/>
        <v>110.16347261321754</v>
      </c>
      <c r="AF455" s="632">
        <f t="shared" si="730"/>
        <v>113.53733049437619</v>
      </c>
      <c r="AG455" s="1150">
        <f t="shared" si="730"/>
        <v>116.80135983747027</v>
      </c>
      <c r="AH455" s="632">
        <f>+AH13</f>
        <v>120.16323238658045</v>
      </c>
      <c r="AI455" s="632">
        <f>+AI13</f>
        <v>123.62595031452092</v>
      </c>
      <c r="AJ455" s="632">
        <f>+AJ13</f>
        <v>127.19260930813344</v>
      </c>
      <c r="AK455" s="632">
        <f>+AK13</f>
        <v>130.86640151048343</v>
      </c>
      <c r="AL455" s="1150">
        <f>+AL13</f>
        <v>134.6506185562466</v>
      </c>
      <c r="AM455" s="560"/>
      <c r="AO455" s="992"/>
      <c r="AR455" s="73"/>
      <c r="BK455" s="73"/>
    </row>
    <row r="456" spans="8:63" x14ac:dyDescent="0.3">
      <c r="I456" s="92" t="s">
        <v>461</v>
      </c>
      <c r="J456" s="94"/>
      <c r="K456" s="1151"/>
      <c r="L456" s="1151"/>
      <c r="M456" s="1152"/>
      <c r="N456" s="1694"/>
      <c r="O456" s="1151"/>
      <c r="P456" s="1151"/>
      <c r="Q456" s="1151"/>
      <c r="R456" s="1152"/>
      <c r="S456" s="1694"/>
      <c r="T456" s="1151"/>
      <c r="U456" s="1151"/>
      <c r="V456" s="1151"/>
      <c r="W456" s="1152">
        <f t="shared" ref="W456:AG456" si="731">+W455-W454</f>
        <v>0</v>
      </c>
      <c r="X456" s="1151">
        <f t="shared" si="731"/>
        <v>0</v>
      </c>
      <c r="Y456" s="1151">
        <f t="shared" si="731"/>
        <v>0</v>
      </c>
      <c r="Z456" s="1151">
        <f t="shared" si="731"/>
        <v>0</v>
      </c>
      <c r="AA456" s="1151">
        <f t="shared" si="731"/>
        <v>0</v>
      </c>
      <c r="AB456" s="1152">
        <f t="shared" si="731"/>
        <v>0</v>
      </c>
      <c r="AC456" s="1151">
        <f t="shared" si="731"/>
        <v>0</v>
      </c>
      <c r="AD456" s="1151">
        <f t="shared" si="731"/>
        <v>0</v>
      </c>
      <c r="AE456" s="1151">
        <f t="shared" si="731"/>
        <v>0</v>
      </c>
      <c r="AF456" s="1151">
        <f t="shared" si="731"/>
        <v>0</v>
      </c>
      <c r="AG456" s="1152">
        <f t="shared" si="731"/>
        <v>0</v>
      </c>
      <c r="AH456" s="1151">
        <f>+AH455-AH454</f>
        <v>0</v>
      </c>
      <c r="AI456" s="1151">
        <f>+AI455-AI454</f>
        <v>0</v>
      </c>
      <c r="AJ456" s="1151">
        <f>+AJ455-AJ454</f>
        <v>0</v>
      </c>
      <c r="AK456" s="1151">
        <f>+AK455-AK454</f>
        <v>0</v>
      </c>
      <c r="AL456" s="1152">
        <f>+AL455-AL454</f>
        <v>0</v>
      </c>
      <c r="AM456" s="471"/>
      <c r="AO456" s="992"/>
      <c r="AR456" s="73"/>
      <c r="BK456" s="73"/>
    </row>
    <row r="457" spans="8:63" x14ac:dyDescent="0.3">
      <c r="Y457" s="72"/>
      <c r="AC457" s="126"/>
      <c r="AM457" s="560"/>
      <c r="AO457" s="992"/>
      <c r="AR457" s="73"/>
      <c r="BK457" s="73"/>
    </row>
    <row r="458" spans="8:63" x14ac:dyDescent="0.3">
      <c r="K458" s="1967"/>
      <c r="L458" s="1967"/>
      <c r="M458" s="1967"/>
      <c r="N458" s="1967"/>
      <c r="O458" s="1967"/>
      <c r="P458" s="1967"/>
      <c r="Q458" s="1967"/>
      <c r="R458" s="1967"/>
      <c r="S458" s="1967"/>
      <c r="T458" s="1967"/>
      <c r="U458" s="1967"/>
      <c r="V458" s="1967"/>
      <c r="W458" s="1967">
        <f t="shared" ref="W458:AL458" si="732">IF(ROUND(W454,2)=ROUND(W463,2),0,1)</f>
        <v>0</v>
      </c>
      <c r="X458" s="1967">
        <f t="shared" si="732"/>
        <v>0</v>
      </c>
      <c r="Y458" s="2158">
        <f t="shared" si="732"/>
        <v>0</v>
      </c>
      <c r="Z458" s="1967">
        <f t="shared" si="732"/>
        <v>0</v>
      </c>
      <c r="AA458" s="1967">
        <f t="shared" si="732"/>
        <v>0</v>
      </c>
      <c r="AB458" s="1967">
        <f t="shared" si="732"/>
        <v>0</v>
      </c>
      <c r="AC458" s="1967">
        <f t="shared" si="732"/>
        <v>0</v>
      </c>
      <c r="AD458" s="1967">
        <f t="shared" si="732"/>
        <v>0</v>
      </c>
      <c r="AE458" s="1967">
        <f t="shared" si="732"/>
        <v>0</v>
      </c>
      <c r="AF458" s="1967">
        <f t="shared" si="732"/>
        <v>0</v>
      </c>
      <c r="AG458" s="1967">
        <f t="shared" si="732"/>
        <v>0</v>
      </c>
      <c r="AH458" s="1967">
        <f t="shared" si="732"/>
        <v>0</v>
      </c>
      <c r="AI458" s="1967">
        <f t="shared" si="732"/>
        <v>0</v>
      </c>
      <c r="AJ458" s="1967">
        <f t="shared" si="732"/>
        <v>0</v>
      </c>
      <c r="AK458" s="1967">
        <f t="shared" si="732"/>
        <v>0</v>
      </c>
      <c r="AL458" s="1967">
        <f t="shared" si="732"/>
        <v>0</v>
      </c>
      <c r="AM458" s="560"/>
      <c r="AO458" s="992"/>
      <c r="AR458" s="73"/>
      <c r="BK458" s="73"/>
    </row>
    <row r="459" spans="8:63" x14ac:dyDescent="0.3">
      <c r="Y459" s="72"/>
      <c r="AM459" s="560"/>
      <c r="AO459" s="992"/>
      <c r="AR459" s="73"/>
      <c r="BK459" s="73"/>
    </row>
    <row r="460" spans="8:63" x14ac:dyDescent="0.3">
      <c r="I460" s="72" t="s">
        <v>690</v>
      </c>
      <c r="J460" s="564"/>
      <c r="K460" s="564"/>
      <c r="L460" s="564"/>
      <c r="M460" s="564"/>
      <c r="N460" s="564"/>
      <c r="O460" s="564"/>
      <c r="P460" s="564"/>
      <c r="Q460" s="564"/>
      <c r="R460" s="564"/>
      <c r="S460" s="564"/>
      <c r="T460" s="564"/>
      <c r="U460" s="564"/>
      <c r="V460" s="564"/>
      <c r="W460" s="564"/>
      <c r="X460" s="564"/>
      <c r="Y460" s="564"/>
      <c r="Z460" s="564"/>
      <c r="AA460" s="564"/>
      <c r="AB460" s="564"/>
      <c r="AC460" s="564"/>
      <c r="AD460" s="564"/>
      <c r="AE460" s="564"/>
      <c r="AF460" s="564"/>
      <c r="AG460" s="564"/>
      <c r="AH460" s="564"/>
      <c r="AI460" s="564"/>
      <c r="AJ460" s="564"/>
      <c r="AK460" s="564"/>
      <c r="AL460" s="564"/>
      <c r="AM460" s="560"/>
      <c r="AO460" s="992"/>
      <c r="AR460" s="73"/>
      <c r="BK460" s="73"/>
    </row>
    <row r="461" spans="8:63" x14ac:dyDescent="0.3">
      <c r="I461" s="1247" t="s">
        <v>320</v>
      </c>
      <c r="J461" s="1248"/>
      <c r="K461" s="1734"/>
      <c r="L461" s="1734"/>
      <c r="M461" s="1734"/>
      <c r="N461" s="1736"/>
      <c r="O461" s="1734"/>
      <c r="P461" s="1734"/>
      <c r="Q461" s="1734"/>
      <c r="R461" s="1734"/>
      <c r="S461" s="1736"/>
      <c r="T461" s="1734"/>
      <c r="U461" s="1734"/>
      <c r="V461" s="1734"/>
      <c r="W461" s="1734">
        <f t="shared" ref="W461:AJ462" si="733">+SUMIFS(W$69:W$444,$E$69:$E$444,$E$71,$I$69:$I$444,$I461)</f>
        <v>62.022270730000002</v>
      </c>
      <c r="X461" s="1736">
        <f t="shared" si="733"/>
        <v>62.910853079999988</v>
      </c>
      <c r="Y461" s="1734">
        <f t="shared" si="733"/>
        <v>63.226123340000008</v>
      </c>
      <c r="Z461" s="1734">
        <f t="shared" si="733"/>
        <v>64.45735028999998</v>
      </c>
      <c r="AA461" s="1734">
        <f t="shared" si="733"/>
        <v>64.78841577</v>
      </c>
      <c r="AB461" s="1735">
        <f t="shared" si="733"/>
        <v>67.518041921309973</v>
      </c>
      <c r="AC461" s="1736">
        <f t="shared" si="733"/>
        <v>68.944781915192451</v>
      </c>
      <c r="AD461" s="1734">
        <f t="shared" si="733"/>
        <v>71.086256043175055</v>
      </c>
      <c r="AE461" s="1734">
        <f t="shared" si="733"/>
        <v>73.307399200696281</v>
      </c>
      <c r="AF461" s="1734">
        <f t="shared" si="733"/>
        <v>75.599558506890119</v>
      </c>
      <c r="AG461" s="1735">
        <f t="shared" si="733"/>
        <v>77.965015280290984</v>
      </c>
      <c r="AH461" s="1736">
        <f t="shared" si="733"/>
        <v>80.406124227472972</v>
      </c>
      <c r="AI461" s="1734">
        <f t="shared" si="733"/>
        <v>82.925315805385196</v>
      </c>
      <c r="AJ461" s="1734">
        <f t="shared" si="733"/>
        <v>85.52509865975756</v>
      </c>
      <c r="AK461" s="1734">
        <f t="shared" ref="AH461:AL462" si="734">+SUMIFS(AK$69:AK$444,$E$69:$E$444,$E$71,$I$69:$I$444,$I461)</f>
        <v>88.208062142026805</v>
      </c>
      <c r="AL461" s="1735">
        <f t="shared" si="734"/>
        <v>90.9768789073119</v>
      </c>
      <c r="AM461" s="560"/>
      <c r="AO461" s="992"/>
      <c r="AR461" s="73"/>
      <c r="BK461" s="73"/>
    </row>
    <row r="462" spans="8:63" x14ac:dyDescent="0.3">
      <c r="I462" s="1249" t="s">
        <v>321</v>
      </c>
      <c r="J462" s="1250"/>
      <c r="K462" s="1740"/>
      <c r="L462" s="1740"/>
      <c r="M462" s="1740"/>
      <c r="N462" s="1742"/>
      <c r="O462" s="1740"/>
      <c r="P462" s="1740"/>
      <c r="Q462" s="1740"/>
      <c r="R462" s="1740"/>
      <c r="S462" s="1742"/>
      <c r="T462" s="1740"/>
      <c r="U462" s="1740"/>
      <c r="V462" s="1740"/>
      <c r="W462" s="1740">
        <f t="shared" si="733"/>
        <v>30.111257319180805</v>
      </c>
      <c r="X462" s="1742">
        <f t="shared" si="733"/>
        <v>31.593825895589596</v>
      </c>
      <c r="Y462" s="1740">
        <f t="shared" si="733"/>
        <v>30.231441820541004</v>
      </c>
      <c r="Z462" s="1740">
        <f t="shared" si="733"/>
        <v>30.109109713635203</v>
      </c>
      <c r="AA462" s="1740">
        <f t="shared" si="733"/>
        <v>31.036270415703338</v>
      </c>
      <c r="AB462" s="1741">
        <f t="shared" si="733"/>
        <v>33.297772030607703</v>
      </c>
      <c r="AC462" s="1742">
        <f t="shared" si="733"/>
        <v>34.814491096309716</v>
      </c>
      <c r="AD462" s="1740">
        <f t="shared" si="733"/>
        <v>35.805503840927827</v>
      </c>
      <c r="AE462" s="1740">
        <f t="shared" si="733"/>
        <v>36.856073412521233</v>
      </c>
      <c r="AF462" s="1740">
        <f t="shared" si="733"/>
        <v>37.937771987486052</v>
      </c>
      <c r="AG462" s="1741">
        <f t="shared" si="733"/>
        <v>38.836344557179324</v>
      </c>
      <c r="AH462" s="1742">
        <f t="shared" si="734"/>
        <v>39.757108159107503</v>
      </c>
      <c r="AI462" s="1740">
        <f t="shared" si="734"/>
        <v>40.700634509135732</v>
      </c>
      <c r="AJ462" s="1740">
        <f t="shared" si="734"/>
        <v>41.667510648375931</v>
      </c>
      <c r="AK462" s="1740">
        <f t="shared" si="734"/>
        <v>42.658339368456659</v>
      </c>
      <c r="AL462" s="1741">
        <f t="shared" si="734"/>
        <v>43.673739648934699</v>
      </c>
      <c r="AM462" s="560"/>
      <c r="AO462" s="992"/>
      <c r="AR462" s="73"/>
      <c r="BK462" s="73"/>
    </row>
    <row r="463" spans="8:63" x14ac:dyDescent="0.3">
      <c r="H463" s="569"/>
      <c r="I463" s="1251" t="s">
        <v>687</v>
      </c>
      <c r="J463" s="1252"/>
      <c r="K463" s="1746"/>
      <c r="L463" s="1746"/>
      <c r="M463" s="1749"/>
      <c r="N463" s="1746"/>
      <c r="O463" s="1746"/>
      <c r="P463" s="1746"/>
      <c r="Q463" s="1746"/>
      <c r="R463" s="1749"/>
      <c r="S463" s="1746"/>
      <c r="T463" s="1746"/>
      <c r="U463" s="1746"/>
      <c r="V463" s="1746"/>
      <c r="W463" s="1749">
        <f t="shared" ref="W463:AG463" si="735">SUM(W461:W462)</f>
        <v>92.133528049180811</v>
      </c>
      <c r="X463" s="1750">
        <f t="shared" si="735"/>
        <v>94.504678975589584</v>
      </c>
      <c r="Y463" s="1746">
        <f t="shared" si="735"/>
        <v>93.457565160541009</v>
      </c>
      <c r="Z463" s="1746">
        <f t="shared" si="735"/>
        <v>94.566460003635186</v>
      </c>
      <c r="AA463" s="1746">
        <f t="shared" si="735"/>
        <v>95.824686185703342</v>
      </c>
      <c r="AB463" s="1749">
        <f t="shared" si="735"/>
        <v>100.81581395191768</v>
      </c>
      <c r="AC463" s="1750">
        <f t="shared" si="735"/>
        <v>103.75927301150216</v>
      </c>
      <c r="AD463" s="1746">
        <f t="shared" si="735"/>
        <v>106.89175988410288</v>
      </c>
      <c r="AE463" s="1746">
        <f t="shared" si="735"/>
        <v>110.16347261321752</v>
      </c>
      <c r="AF463" s="1746">
        <f t="shared" si="735"/>
        <v>113.53733049437616</v>
      </c>
      <c r="AG463" s="1749">
        <f t="shared" si="735"/>
        <v>116.8013598374703</v>
      </c>
      <c r="AH463" s="1750">
        <f>SUM(AH461:AH462)</f>
        <v>120.16323238658048</v>
      </c>
      <c r="AI463" s="1746">
        <f>SUM(AI461:AI462)</f>
        <v>123.62595031452094</v>
      </c>
      <c r="AJ463" s="1746">
        <f>SUM(AJ461:AJ462)</f>
        <v>127.19260930813348</v>
      </c>
      <c r="AK463" s="1746">
        <f>SUM(AK461:AK462)</f>
        <v>130.86640151048346</v>
      </c>
      <c r="AL463" s="1749">
        <f>SUM(AL461:AL462)</f>
        <v>134.6506185562466</v>
      </c>
      <c r="AM463" s="560"/>
      <c r="AO463" s="992"/>
      <c r="AR463" s="73"/>
      <c r="BK463" s="73"/>
    </row>
    <row r="464" spans="8:63" x14ac:dyDescent="0.3">
      <c r="I464" s="1253" t="s">
        <v>686</v>
      </c>
      <c r="J464" s="1252"/>
      <c r="K464" s="1747"/>
      <c r="L464" s="1747"/>
      <c r="M464" s="1751"/>
      <c r="N464" s="1747"/>
      <c r="O464" s="1747"/>
      <c r="P464" s="1747"/>
      <c r="Q464" s="1747"/>
      <c r="R464" s="1751"/>
      <c r="S464" s="1747"/>
      <c r="T464" s="1747"/>
      <c r="U464" s="1747"/>
      <c r="V464" s="1747"/>
      <c r="W464" s="1751">
        <f t="shared" ref="W464:AG464" si="736">IFERROR(W461/W463,"")</f>
        <v>0.67317807147136011</v>
      </c>
      <c r="X464" s="1752">
        <f t="shared" si="736"/>
        <v>0.66569035270994115</v>
      </c>
      <c r="Y464" s="1747">
        <f t="shared" si="736"/>
        <v>0.67652226153538708</v>
      </c>
      <c r="Z464" s="1747">
        <f t="shared" si="736"/>
        <v>0.68160900056449403</v>
      </c>
      <c r="AA464" s="1747">
        <f t="shared" si="736"/>
        <v>0.67611404063920821</v>
      </c>
      <c r="AB464" s="1751">
        <f t="shared" si="736"/>
        <v>0.66971677631360005</v>
      </c>
      <c r="AC464" s="1752">
        <f t="shared" si="736"/>
        <v>0.66446862930072403</v>
      </c>
      <c r="AD464" s="1747">
        <f t="shared" si="736"/>
        <v>0.66503027099797163</v>
      </c>
      <c r="AE464" s="1747">
        <f t="shared" si="736"/>
        <v>0.66544197874078992</v>
      </c>
      <c r="AF464" s="1747">
        <f t="shared" si="736"/>
        <v>0.66585640315574257</v>
      </c>
      <c r="AG464" s="1751">
        <f t="shared" si="736"/>
        <v>0.66750092112608717</v>
      </c>
      <c r="AH464" s="1752">
        <f>IFERROR(AH461/AH463,"")</f>
        <v>0.66914082311631062</v>
      </c>
      <c r="AI464" s="1747">
        <f>IFERROR(AI461/AI463,"")</f>
        <v>0.67077596244487592</v>
      </c>
      <c r="AJ464" s="1747">
        <f>IFERROR(AJ461/AJ463,"")</f>
        <v>0.67240619659407019</v>
      </c>
      <c r="AK464" s="1747">
        <f>IFERROR(AK461/AK463,"")</f>
        <v>0.67403138715448385</v>
      </c>
      <c r="AL464" s="1751">
        <f>IFERROR(AL461/AL463,"")</f>
        <v>0.67565139976916488</v>
      </c>
      <c r="AM464" s="560"/>
      <c r="AO464" s="992"/>
      <c r="AR464" s="73"/>
      <c r="BK464" s="73"/>
    </row>
    <row r="465" spans="1:79" x14ac:dyDescent="0.3">
      <c r="I465" s="1254" t="s">
        <v>689</v>
      </c>
      <c r="J465" s="1255"/>
      <c r="K465" s="1748"/>
      <c r="L465" s="1748"/>
      <c r="M465" s="1753"/>
      <c r="N465" s="1748"/>
      <c r="O465" s="1748"/>
      <c r="P465" s="1748"/>
      <c r="Q465" s="1748"/>
      <c r="R465" s="1753"/>
      <c r="S465" s="1748"/>
      <c r="T465" s="1748"/>
      <c r="U465" s="1748"/>
      <c r="V465" s="1748"/>
      <c r="W465" s="1753">
        <f t="shared" ref="W465:AG465" si="737">IFERROR(W462/W463,"")</f>
        <v>0.32682192852863984</v>
      </c>
      <c r="X465" s="1754">
        <f t="shared" si="737"/>
        <v>0.33430964729005885</v>
      </c>
      <c r="Y465" s="1748">
        <f t="shared" si="737"/>
        <v>0.32347773846461292</v>
      </c>
      <c r="Z465" s="1748">
        <f t="shared" si="737"/>
        <v>0.31839099943550592</v>
      </c>
      <c r="AA465" s="1748">
        <f t="shared" si="737"/>
        <v>0.32388595936079179</v>
      </c>
      <c r="AB465" s="1753">
        <f t="shared" si="737"/>
        <v>0.3302832236863999</v>
      </c>
      <c r="AC465" s="1754">
        <f t="shared" si="737"/>
        <v>0.33553137069927602</v>
      </c>
      <c r="AD465" s="1748">
        <f t="shared" si="737"/>
        <v>0.33496972900202832</v>
      </c>
      <c r="AE465" s="1748">
        <f t="shared" si="737"/>
        <v>0.33455802125921008</v>
      </c>
      <c r="AF465" s="1748">
        <f t="shared" si="737"/>
        <v>0.33414359684425748</v>
      </c>
      <c r="AG465" s="1753">
        <f t="shared" si="737"/>
        <v>0.33249907887391295</v>
      </c>
      <c r="AH465" s="1754">
        <f>IFERROR(AH462/AH463,"")</f>
        <v>0.33085917688368938</v>
      </c>
      <c r="AI465" s="1748">
        <f>IFERROR(AI462/AI463,"")</f>
        <v>0.32922403755512397</v>
      </c>
      <c r="AJ465" s="1748">
        <f>IFERROR(AJ462/AJ463,"")</f>
        <v>0.32759380340592992</v>
      </c>
      <c r="AK465" s="1748">
        <f>IFERROR(AK462/AK463,"")</f>
        <v>0.3259686128455162</v>
      </c>
      <c r="AL465" s="1753">
        <f>IFERROR(AL462/AL463,"")</f>
        <v>0.32434860023083512</v>
      </c>
      <c r="AM465" s="560"/>
      <c r="AO465" s="992"/>
      <c r="AR465" s="73"/>
      <c r="BK465" s="73"/>
    </row>
    <row r="466" spans="1:79" x14ac:dyDescent="0.3">
      <c r="AG466" s="560"/>
      <c r="AL466" s="560"/>
      <c r="AM466" s="560"/>
      <c r="AO466" s="992"/>
      <c r="AR466" s="73"/>
      <c r="BK466" s="73"/>
    </row>
    <row r="467" spans="1:79" x14ac:dyDescent="0.3">
      <c r="A467" s="990"/>
      <c r="B467" s="990"/>
      <c r="C467" s="990"/>
      <c r="D467" s="990"/>
      <c r="E467" s="990"/>
      <c r="F467" s="990"/>
      <c r="G467" s="990"/>
      <c r="H467" s="990"/>
      <c r="I467" s="991"/>
      <c r="J467" s="990"/>
      <c r="K467" s="990"/>
      <c r="L467" s="990"/>
      <c r="M467" s="990"/>
      <c r="N467" s="990"/>
      <c r="O467" s="990"/>
      <c r="P467" s="990"/>
      <c r="Q467" s="990"/>
      <c r="R467" s="990"/>
      <c r="S467" s="990"/>
      <c r="T467" s="990"/>
      <c r="U467" s="990"/>
      <c r="V467" s="990"/>
      <c r="W467" s="990"/>
      <c r="X467" s="990"/>
      <c r="Y467" s="990"/>
      <c r="Z467" s="990"/>
      <c r="AA467" s="990"/>
      <c r="AB467" s="990"/>
      <c r="AC467" s="990"/>
      <c r="AD467" s="990"/>
      <c r="AE467" s="990"/>
      <c r="AF467" s="990"/>
      <c r="AG467" s="990"/>
      <c r="AH467" s="990"/>
      <c r="AI467" s="990"/>
      <c r="AJ467" s="990"/>
      <c r="AK467" s="990"/>
      <c r="AL467" s="990"/>
      <c r="AM467" s="990"/>
      <c r="AO467" s="992"/>
      <c r="AR467" s="73"/>
      <c r="BK467" s="73"/>
    </row>
    <row r="468" spans="1:79" x14ac:dyDescent="0.3">
      <c r="AO468" s="992"/>
    </row>
    <row r="469" spans="1:79" ht="12.5" thickBot="1" x14ac:dyDescent="0.35">
      <c r="AO469" s="992"/>
    </row>
    <row r="470" spans="1:79" ht="12.5" thickBot="1" x14ac:dyDescent="0.35">
      <c r="I470" s="2384" t="s">
        <v>1049</v>
      </c>
      <c r="J470" s="2385"/>
      <c r="K470" s="2385"/>
      <c r="L470" s="2385"/>
      <c r="M470" s="2385"/>
      <c r="N470" s="2385"/>
      <c r="O470" s="2385"/>
      <c r="P470" s="2385"/>
      <c r="Q470" s="2385"/>
      <c r="R470" s="2385"/>
      <c r="S470" s="2385"/>
      <c r="T470" s="2385"/>
      <c r="U470" s="2385"/>
      <c r="V470" s="2385"/>
      <c r="W470" s="2385"/>
      <c r="X470" s="2385"/>
      <c r="Y470" s="2385"/>
      <c r="Z470" s="2385"/>
      <c r="AA470" s="2385"/>
      <c r="AB470" s="2385"/>
      <c r="AC470" s="2385"/>
      <c r="AD470" s="2385"/>
      <c r="AE470" s="2385"/>
      <c r="AF470" s="2385"/>
      <c r="AG470" s="2386"/>
      <c r="AH470" s="1554"/>
      <c r="AI470" s="1554"/>
      <c r="AJ470" s="1554"/>
      <c r="AK470" s="1554"/>
      <c r="AL470" s="1554"/>
    </row>
    <row r="471" spans="1:79" s="103" customFormat="1" x14ac:dyDescent="0.3">
      <c r="H471" s="993"/>
      <c r="I471" s="1755" t="str">
        <f>I448</f>
        <v>Water</v>
      </c>
      <c r="J471" s="994"/>
      <c r="K471" s="1757"/>
      <c r="L471" s="1757"/>
      <c r="M471" s="1759"/>
      <c r="N471" s="1757"/>
      <c r="O471" s="1757"/>
      <c r="P471" s="1757"/>
      <c r="Q471" s="1757"/>
      <c r="R471" s="1759"/>
      <c r="S471" s="1757"/>
      <c r="T471" s="1757"/>
      <c r="U471" s="1757"/>
      <c r="V471" s="1757"/>
      <c r="W471" s="2239">
        <f t="shared" ref="W471:AG471" si="738">SUM(W472:W473)</f>
        <v>42.980498005865002</v>
      </c>
      <c r="X471" s="1757">
        <f t="shared" si="738"/>
        <v>44.923657430751597</v>
      </c>
      <c r="Y471" s="1757">
        <f t="shared" si="738"/>
        <v>43.502108292612704</v>
      </c>
      <c r="Z471" s="2159">
        <f t="shared" si="738"/>
        <v>43.722101486115598</v>
      </c>
      <c r="AA471" s="1757">
        <f t="shared" si="738"/>
        <v>46.49027627445134</v>
      </c>
      <c r="AB471" s="1759">
        <f t="shared" si="738"/>
        <v>49.890746264055835</v>
      </c>
      <c r="AC471" s="1757">
        <f t="shared" si="738"/>
        <v>51.793162947149298</v>
      </c>
      <c r="AD471" s="1757">
        <f t="shared" si="738"/>
        <v>53.331403957244859</v>
      </c>
      <c r="AE471" s="1757">
        <f t="shared" si="738"/>
        <v>54.921531050653975</v>
      </c>
      <c r="AF471" s="1757">
        <f t="shared" si="738"/>
        <v>56.560509600473004</v>
      </c>
      <c r="AG471" s="1759">
        <f t="shared" si="738"/>
        <v>58.034666622290516</v>
      </c>
      <c r="AH471" s="1757">
        <f>SUM(AH472:AH473)</f>
        <v>59.549920172975817</v>
      </c>
      <c r="AI471" s="1757">
        <f>SUM(AI472:AI473)</f>
        <v>61.107462599887185</v>
      </c>
      <c r="AJ471" s="1757">
        <f>SUM(AJ472:AJ473)</f>
        <v>62.708521824739215</v>
      </c>
      <c r="AK471" s="1757">
        <f>SUM(AK472:AK473)</f>
        <v>64.354362426477863</v>
      </c>
      <c r="AL471" s="1759">
        <f>SUM(AL472:AL473)</f>
        <v>66.046286757589854</v>
      </c>
      <c r="AN471" s="990"/>
      <c r="AP471" s="73"/>
      <c r="AQ471" s="73"/>
      <c r="AR471" s="72"/>
      <c r="AS471" s="73"/>
      <c r="AT471" s="73"/>
      <c r="AU471" s="73"/>
      <c r="AV471" s="73"/>
      <c r="AW471" s="73"/>
      <c r="AX471" s="73"/>
      <c r="AY471" s="73"/>
      <c r="AZ471" s="73"/>
      <c r="BA471" s="73"/>
      <c r="BB471" s="73"/>
      <c r="BC471" s="73"/>
      <c r="BD471" s="73"/>
      <c r="BE471" s="73"/>
      <c r="BF471" s="73"/>
      <c r="BG471" s="73"/>
      <c r="BH471" s="126"/>
      <c r="BI471" s="73"/>
      <c r="BJ471" s="73"/>
      <c r="BK471" s="72"/>
      <c r="BL471" s="73"/>
      <c r="BM471" s="73"/>
      <c r="BN471" s="73"/>
      <c r="BO471" s="73"/>
      <c r="BP471" s="73"/>
      <c r="BQ471" s="73"/>
      <c r="BR471" s="73"/>
      <c r="BS471" s="73"/>
      <c r="BT471" s="73"/>
      <c r="BU471" s="73"/>
      <c r="BV471" s="73"/>
      <c r="BW471" s="73"/>
      <c r="BX471" s="73"/>
      <c r="BY471" s="73"/>
      <c r="BZ471" s="73"/>
      <c r="CA471" s="126"/>
    </row>
    <row r="472" spans="1:79" x14ac:dyDescent="0.3">
      <c r="H472" s="996"/>
      <c r="I472" s="1756" t="str">
        <f>I461</f>
        <v>Fixed</v>
      </c>
      <c r="J472" s="998"/>
      <c r="K472" s="1758"/>
      <c r="L472" s="1758"/>
      <c r="M472" s="1760"/>
      <c r="N472" s="1758"/>
      <c r="O472" s="1758"/>
      <c r="P472" s="1758"/>
      <c r="Q472" s="1758"/>
      <c r="R472" s="1760"/>
      <c r="S472" s="1758"/>
      <c r="T472" s="1758"/>
      <c r="U472" s="1758"/>
      <c r="V472" s="1758"/>
      <c r="W472" s="2240">
        <f t="shared" ref="W472:AD473" si="739">+SUMIFS(W$69:W$445,$E$69:$E$445,$E$71,$F$69:$F$445,$I$471,$I$69:$I$445,$I472)</f>
        <v>15.52828444</v>
      </c>
      <c r="X472" s="1758">
        <f t="shared" si="739"/>
        <v>16.02435071</v>
      </c>
      <c r="Y472" s="1758">
        <f t="shared" si="739"/>
        <v>15.929614040000002</v>
      </c>
      <c r="Z472" s="1758">
        <f t="shared" si="739"/>
        <v>16.11680483</v>
      </c>
      <c r="AA472" s="1758">
        <f t="shared" si="739"/>
        <v>18.245107129999997</v>
      </c>
      <c r="AB472" s="1760">
        <f t="shared" si="739"/>
        <v>19.555276958989996</v>
      </c>
      <c r="AC472" s="1758">
        <f t="shared" si="739"/>
        <v>19.940974576381432</v>
      </c>
      <c r="AD472" s="1758">
        <f t="shared" si="739"/>
        <v>20.517825869114311</v>
      </c>
      <c r="AE472" s="1758">
        <f t="shared" ref="AE472:AL473" si="740">+SUMIFS(AE$69:AE$445,$E$69:$E$445,$E$71,$F$69:$F$445,$I$471,$I$69:$I$445,$I472)</f>
        <v>21.117521098561234</v>
      </c>
      <c r="AF472" s="1758">
        <f t="shared" si="740"/>
        <v>21.736147548970074</v>
      </c>
      <c r="AG472" s="1760">
        <f t="shared" si="740"/>
        <v>22.374311540807579</v>
      </c>
      <c r="AH472" s="1758">
        <f t="shared" si="740"/>
        <v>23.032638878026191</v>
      </c>
      <c r="AI472" s="1758">
        <f t="shared" si="740"/>
        <v>23.711775474878905</v>
      </c>
      <c r="AJ472" s="1758">
        <f t="shared" si="740"/>
        <v>24.412388002911705</v>
      </c>
      <c r="AK472" s="1758">
        <f t="shared" si="740"/>
        <v>25.135164558783227</v>
      </c>
      <c r="AL472" s="1760">
        <f t="shared" si="740"/>
        <v>25.880815353582513</v>
      </c>
    </row>
    <row r="473" spans="1:79" x14ac:dyDescent="0.3">
      <c r="H473" s="996"/>
      <c r="I473" s="1756" t="str">
        <f>I462</f>
        <v>Variable</v>
      </c>
      <c r="J473" s="998"/>
      <c r="K473" s="1758"/>
      <c r="L473" s="1758"/>
      <c r="M473" s="1760"/>
      <c r="N473" s="1758"/>
      <c r="O473" s="1758"/>
      <c r="P473" s="1758"/>
      <c r="Q473" s="1758"/>
      <c r="R473" s="1760"/>
      <c r="S473" s="1758"/>
      <c r="T473" s="1758"/>
      <c r="U473" s="1758"/>
      <c r="V473" s="1758"/>
      <c r="W473" s="2240">
        <f t="shared" si="739"/>
        <v>27.452213565865001</v>
      </c>
      <c r="X473" s="1758">
        <f t="shared" si="739"/>
        <v>28.899306720751596</v>
      </c>
      <c r="Y473" s="1758">
        <f t="shared" si="739"/>
        <v>27.572494252612699</v>
      </c>
      <c r="Z473" s="1758">
        <f t="shared" si="739"/>
        <v>27.605296656115598</v>
      </c>
      <c r="AA473" s="1758">
        <f t="shared" si="739"/>
        <v>28.245169144451342</v>
      </c>
      <c r="AB473" s="1760">
        <f t="shared" si="739"/>
        <v>30.335469305065843</v>
      </c>
      <c r="AC473" s="1758">
        <f t="shared" si="739"/>
        <v>31.852188370767863</v>
      </c>
      <c r="AD473" s="1758">
        <f t="shared" si="739"/>
        <v>32.813578088130548</v>
      </c>
      <c r="AE473" s="1758">
        <f t="shared" si="740"/>
        <v>33.804009952092741</v>
      </c>
      <c r="AF473" s="1758">
        <f t="shared" si="740"/>
        <v>34.824362051502931</v>
      </c>
      <c r="AG473" s="1760">
        <f t="shared" si="740"/>
        <v>35.660355081482933</v>
      </c>
      <c r="AH473" s="1758">
        <f t="shared" si="740"/>
        <v>36.517281294949626</v>
      </c>
      <c r="AI473" s="1758">
        <f t="shared" si="740"/>
        <v>37.39568712500828</v>
      </c>
      <c r="AJ473" s="1758">
        <f t="shared" si="740"/>
        <v>38.29613382182751</v>
      </c>
      <c r="AK473" s="1758">
        <f t="shared" si="740"/>
        <v>39.219197867694632</v>
      </c>
      <c r="AL473" s="1760">
        <f t="shared" si="740"/>
        <v>40.165471404007349</v>
      </c>
      <c r="AP473" s="103"/>
      <c r="AQ473" s="103"/>
      <c r="AR473" s="105"/>
      <c r="AS473" s="103"/>
      <c r="AT473" s="103"/>
      <c r="AU473" s="103"/>
      <c r="AV473" s="103"/>
      <c r="AW473" s="103"/>
      <c r="AX473" s="103"/>
      <c r="AY473" s="103"/>
      <c r="AZ473" s="103"/>
      <c r="BA473" s="103"/>
      <c r="BB473" s="103"/>
      <c r="BC473" s="103"/>
      <c r="BD473" s="103"/>
      <c r="BE473" s="103"/>
      <c r="BF473" s="103"/>
      <c r="BG473" s="103"/>
      <c r="BH473" s="995"/>
      <c r="BI473" s="103"/>
      <c r="BJ473" s="103"/>
      <c r="BK473" s="105"/>
      <c r="BL473" s="103"/>
      <c r="BM473" s="103"/>
      <c r="BN473" s="103"/>
      <c r="BO473" s="103"/>
      <c r="BP473" s="103"/>
      <c r="BQ473" s="103"/>
      <c r="BR473" s="103"/>
      <c r="BS473" s="103"/>
      <c r="BT473" s="103"/>
      <c r="BU473" s="103"/>
      <c r="BV473" s="103"/>
      <c r="BW473" s="103"/>
      <c r="BX473" s="103"/>
      <c r="BY473" s="103"/>
      <c r="BZ473" s="103"/>
      <c r="CA473" s="995"/>
    </row>
    <row r="474" spans="1:79" s="999" customFormat="1" x14ac:dyDescent="0.3">
      <c r="H474" s="1000"/>
      <c r="I474" s="1001" t="s">
        <v>688</v>
      </c>
      <c r="J474" s="1002"/>
      <c r="K474" s="1761"/>
      <c r="L474" s="1761"/>
      <c r="M474" s="1762"/>
      <c r="N474" s="1761"/>
      <c r="O474" s="1761"/>
      <c r="P474" s="1761"/>
      <c r="Q474" s="1761"/>
      <c r="R474" s="1762"/>
      <c r="S474" s="1761"/>
      <c r="T474" s="1761"/>
      <c r="U474" s="1761"/>
      <c r="V474" s="1761"/>
      <c r="W474" s="2241">
        <f t="shared" ref="W474:AL474" si="741">W471-W448</f>
        <v>0</v>
      </c>
      <c r="X474" s="1761">
        <f t="shared" si="741"/>
        <v>0</v>
      </c>
      <c r="Y474" s="1761">
        <f t="shared" si="741"/>
        <v>0</v>
      </c>
      <c r="Z474" s="1761">
        <f t="shared" si="741"/>
        <v>0</v>
      </c>
      <c r="AA474" s="1761">
        <f t="shared" si="741"/>
        <v>0</v>
      </c>
      <c r="AB474" s="1762">
        <f t="shared" si="741"/>
        <v>0</v>
      </c>
      <c r="AC474" s="1761">
        <f t="shared" si="741"/>
        <v>0</v>
      </c>
      <c r="AD474" s="1761">
        <f t="shared" si="741"/>
        <v>0</v>
      </c>
      <c r="AE474" s="1761">
        <f t="shared" si="741"/>
        <v>0</v>
      </c>
      <c r="AF474" s="1761">
        <f t="shared" si="741"/>
        <v>0</v>
      </c>
      <c r="AG474" s="1762">
        <f t="shared" si="741"/>
        <v>0</v>
      </c>
      <c r="AH474" s="1761">
        <f t="shared" si="741"/>
        <v>0</v>
      </c>
      <c r="AI474" s="1761">
        <f t="shared" si="741"/>
        <v>0</v>
      </c>
      <c r="AJ474" s="1761">
        <f t="shared" si="741"/>
        <v>0</v>
      </c>
      <c r="AK474" s="1761">
        <f t="shared" si="741"/>
        <v>0</v>
      </c>
      <c r="AL474" s="1762">
        <f t="shared" si="741"/>
        <v>0</v>
      </c>
      <c r="AN474" s="990"/>
      <c r="AP474" s="73"/>
      <c r="AQ474" s="73"/>
      <c r="AR474" s="72"/>
      <c r="AS474" s="73"/>
      <c r="AT474" s="73"/>
      <c r="AU474" s="73"/>
      <c r="AV474" s="73"/>
      <c r="AW474" s="73"/>
      <c r="AX474" s="73"/>
      <c r="AY474" s="73"/>
      <c r="AZ474" s="73"/>
      <c r="BA474" s="73"/>
      <c r="BB474" s="73"/>
      <c r="BC474" s="73"/>
      <c r="BD474" s="73"/>
      <c r="BE474" s="73"/>
      <c r="BF474" s="73"/>
      <c r="BG474" s="73"/>
      <c r="BH474" s="126"/>
      <c r="BI474" s="73"/>
      <c r="BJ474" s="73"/>
      <c r="BK474" s="72"/>
      <c r="BL474" s="73"/>
      <c r="BM474" s="73"/>
      <c r="BN474" s="73"/>
      <c r="BO474" s="73"/>
      <c r="BP474" s="73"/>
      <c r="BQ474" s="73"/>
      <c r="BR474" s="73"/>
      <c r="BS474" s="73"/>
      <c r="BT474" s="73"/>
      <c r="BU474" s="73"/>
      <c r="BV474" s="73"/>
      <c r="BW474" s="73"/>
      <c r="BX474" s="73"/>
      <c r="BY474" s="73"/>
      <c r="BZ474" s="73"/>
      <c r="CA474" s="126"/>
    </row>
    <row r="475" spans="1:79" s="103" customFormat="1" x14ac:dyDescent="0.3">
      <c r="H475" s="993"/>
      <c r="I475" s="1755" t="str">
        <f>I449</f>
        <v>Sewerage</v>
      </c>
      <c r="J475" s="994"/>
      <c r="K475" s="1757"/>
      <c r="L475" s="1757"/>
      <c r="M475" s="1759"/>
      <c r="N475" s="1757"/>
      <c r="O475" s="1757"/>
      <c r="P475" s="1757"/>
      <c r="Q475" s="1757"/>
      <c r="R475" s="1759"/>
      <c r="S475" s="1757"/>
      <c r="T475" s="1757"/>
      <c r="U475" s="1757"/>
      <c r="V475" s="1757"/>
      <c r="W475" s="2242">
        <f t="shared" ref="W475:AG475" si="742">SUM(W476:W477)</f>
        <v>47.388483481842002</v>
      </c>
      <c r="X475" s="1757">
        <f t="shared" si="742"/>
        <v>47.831740644028997</v>
      </c>
      <c r="Y475" s="1757">
        <f t="shared" si="742"/>
        <v>48.199092932472105</v>
      </c>
      <c r="Z475" s="1757">
        <f t="shared" si="742"/>
        <v>49.175345203953391</v>
      </c>
      <c r="AA475" s="1757">
        <f t="shared" si="742"/>
        <v>47.586663369981999</v>
      </c>
      <c r="AB475" s="1759">
        <f t="shared" si="742"/>
        <v>49.070100314237614</v>
      </c>
      <c r="AC475" s="1757">
        <f t="shared" si="742"/>
        <v>50.111142690728663</v>
      </c>
      <c r="AD475" s="1757">
        <f t="shared" si="742"/>
        <v>51.686838879497536</v>
      </c>
      <c r="AE475" s="1757">
        <f t="shared" si="742"/>
        <v>53.330766822551112</v>
      </c>
      <c r="AF475" s="1757">
        <f t="shared" si="742"/>
        <v>55.027231541616466</v>
      </c>
      <c r="AG475" s="1759">
        <f t="shared" si="742"/>
        <v>56.777917116912143</v>
      </c>
      <c r="AH475" s="1757">
        <f>SUM(AH476:AH477)</f>
        <v>58.584561715761836</v>
      </c>
      <c r="AI475" s="1757">
        <f>SUM(AI476:AI477)</f>
        <v>60.44895933178428</v>
      </c>
      <c r="AJ475" s="1757">
        <f>SUM(AJ476:AJ477)</f>
        <v>62.372961580049527</v>
      </c>
      <c r="AK475" s="1757">
        <f>SUM(AK476:AK477)</f>
        <v>64.358479550003622</v>
      </c>
      <c r="AL475" s="1759">
        <f>SUM(AL476:AL477)</f>
        <v>66.407485718021334</v>
      </c>
      <c r="AN475" s="990"/>
      <c r="AP475" s="73"/>
      <c r="AQ475" s="73"/>
      <c r="AR475" s="72"/>
      <c r="AS475" s="73"/>
      <c r="AT475" s="73"/>
      <c r="AU475" s="73"/>
      <c r="AV475" s="73"/>
      <c r="AW475" s="73"/>
      <c r="AX475" s="73"/>
      <c r="AY475" s="73"/>
      <c r="AZ475" s="73"/>
      <c r="BA475" s="73"/>
      <c r="BB475" s="73"/>
      <c r="BC475" s="73"/>
      <c r="BD475" s="73"/>
      <c r="BE475" s="73"/>
      <c r="BF475" s="73"/>
      <c r="BG475" s="73"/>
      <c r="BH475" s="126"/>
      <c r="BI475" s="73"/>
      <c r="BJ475" s="73"/>
      <c r="BK475" s="72"/>
      <c r="BL475" s="73"/>
      <c r="BM475" s="73"/>
      <c r="BN475" s="73"/>
      <c r="BO475" s="73"/>
      <c r="BP475" s="73"/>
      <c r="BQ475" s="73"/>
      <c r="BR475" s="73"/>
      <c r="BS475" s="73"/>
      <c r="BT475" s="73"/>
      <c r="BU475" s="73"/>
      <c r="BV475" s="73"/>
      <c r="BW475" s="73"/>
      <c r="BX475" s="73"/>
      <c r="BY475" s="73"/>
      <c r="BZ475" s="73"/>
      <c r="CA475" s="126"/>
    </row>
    <row r="476" spans="1:79" x14ac:dyDescent="0.3">
      <c r="H476" s="996"/>
      <c r="I476" s="1756" t="str">
        <f>I472</f>
        <v>Fixed</v>
      </c>
      <c r="J476" s="998"/>
      <c r="K476" s="1758"/>
      <c r="L476" s="1758"/>
      <c r="M476" s="1760"/>
      <c r="N476" s="1758"/>
      <c r="O476" s="1758"/>
      <c r="P476" s="1758"/>
      <c r="Q476" s="1758"/>
      <c r="R476" s="1760"/>
      <c r="S476" s="1758"/>
      <c r="T476" s="1758"/>
      <c r="U476" s="1758"/>
      <c r="V476" s="1758"/>
      <c r="W476" s="2240">
        <f t="shared" ref="W476:AD477" si="743">+SUMIFS(W$69:W$445,$E$69:$E$445,$E$71,$F$69:$F$445,$I$475,$I$69:$I$445,$I476)</f>
        <v>46.493986290000002</v>
      </c>
      <c r="X476" s="1758">
        <f t="shared" si="743"/>
        <v>46.886502369999995</v>
      </c>
      <c r="Y476" s="1758">
        <f t="shared" si="743"/>
        <v>47.296509300000004</v>
      </c>
      <c r="Z476" s="1758">
        <f t="shared" si="743"/>
        <v>48.340545459999994</v>
      </c>
      <c r="AA476" s="1758">
        <f t="shared" si="743"/>
        <v>46.543308639999999</v>
      </c>
      <c r="AB476" s="1760">
        <f t="shared" si="743"/>
        <v>47.962764962319994</v>
      </c>
      <c r="AC476" s="1758">
        <f t="shared" si="743"/>
        <v>49.003807338811043</v>
      </c>
      <c r="AD476" s="1758">
        <f t="shared" si="743"/>
        <v>50.568430174060737</v>
      </c>
      <c r="AE476" s="1758">
        <f t="shared" ref="AE476:AL477" si="744">+SUMIFS(AE$69:AE$445,$E$69:$E$445,$E$71,$F$69:$F$445,$I$475,$I$69:$I$445,$I476)</f>
        <v>52.18987810213504</v>
      </c>
      <c r="AF476" s="1758">
        <f t="shared" si="744"/>
        <v>53.863410957920024</v>
      </c>
      <c r="AG476" s="1760">
        <f t="shared" si="744"/>
        <v>55.590703739483402</v>
      </c>
      <c r="AH476" s="1758">
        <f t="shared" si="744"/>
        <v>57.373485349446781</v>
      </c>
      <c r="AI476" s="1758">
        <f t="shared" si="744"/>
        <v>59.213540330506291</v>
      </c>
      <c r="AJ476" s="1758">
        <f t="shared" si="744"/>
        <v>61.112710656845849</v>
      </c>
      <c r="AK476" s="1758">
        <f t="shared" si="744"/>
        <v>63.072897583243559</v>
      </c>
      <c r="AL476" s="1760">
        <f t="shared" si="744"/>
        <v>65.096063553729394</v>
      </c>
      <c r="AN476" s="1010"/>
    </row>
    <row r="477" spans="1:79" x14ac:dyDescent="0.3">
      <c r="H477" s="996"/>
      <c r="I477" s="1756" t="str">
        <f>I473</f>
        <v>Variable</v>
      </c>
      <c r="J477" s="998"/>
      <c r="K477" s="1758"/>
      <c r="L477" s="1758"/>
      <c r="M477" s="1760"/>
      <c r="N477" s="1758"/>
      <c r="O477" s="1758"/>
      <c r="P477" s="1758"/>
      <c r="Q477" s="1758"/>
      <c r="R477" s="1760"/>
      <c r="S477" s="1758"/>
      <c r="T477" s="1758"/>
      <c r="U477" s="1758"/>
      <c r="V477" s="1758"/>
      <c r="W477" s="2240">
        <f t="shared" si="743"/>
        <v>0.89449719184200005</v>
      </c>
      <c r="X477" s="1758">
        <f t="shared" si="743"/>
        <v>0.94523827402900007</v>
      </c>
      <c r="Y477" s="1758">
        <f t="shared" si="743"/>
        <v>0.90258363247209994</v>
      </c>
      <c r="Z477" s="1758">
        <f t="shared" si="743"/>
        <v>0.83479974395340006</v>
      </c>
      <c r="AA477" s="1758">
        <f t="shared" si="743"/>
        <v>1.0433547299819999</v>
      </c>
      <c r="AB477" s="1760">
        <f t="shared" si="743"/>
        <v>1.1073353519176199</v>
      </c>
      <c r="AC477" s="1758">
        <f t="shared" si="743"/>
        <v>1.1073353519176199</v>
      </c>
      <c r="AD477" s="1758">
        <f t="shared" si="743"/>
        <v>1.1184087054367959</v>
      </c>
      <c r="AE477" s="1758">
        <f t="shared" si="744"/>
        <v>1.1408887204160756</v>
      </c>
      <c r="AF477" s="1758">
        <f t="shared" si="744"/>
        <v>1.163820583696439</v>
      </c>
      <c r="AG477" s="1760">
        <f t="shared" si="744"/>
        <v>1.1872133774287374</v>
      </c>
      <c r="AH477" s="1758">
        <f t="shared" si="744"/>
        <v>1.211076366315055</v>
      </c>
      <c r="AI477" s="1758">
        <f t="shared" si="744"/>
        <v>1.2354190012779875</v>
      </c>
      <c r="AJ477" s="1758">
        <f t="shared" si="744"/>
        <v>1.2602509232036754</v>
      </c>
      <c r="AK477" s="1758">
        <f t="shared" si="744"/>
        <v>1.2855819667600694</v>
      </c>
      <c r="AL477" s="1760">
        <f t="shared" si="744"/>
        <v>1.311422164291947</v>
      </c>
    </row>
    <row r="478" spans="1:79" s="999" customFormat="1" x14ac:dyDescent="0.3">
      <c r="H478" s="1000"/>
      <c r="I478" s="1001" t="s">
        <v>688</v>
      </c>
      <c r="J478" s="1002"/>
      <c r="K478" s="1761"/>
      <c r="L478" s="1761"/>
      <c r="M478" s="1762"/>
      <c r="N478" s="1761"/>
      <c r="O478" s="1761"/>
      <c r="P478" s="1761"/>
      <c r="Q478" s="1761"/>
      <c r="R478" s="1762"/>
      <c r="S478" s="1761"/>
      <c r="T478" s="1761"/>
      <c r="U478" s="1761"/>
      <c r="V478" s="1761"/>
      <c r="W478" s="2241">
        <f t="shared" ref="W478:AL478" si="745">W475-W449</f>
        <v>0</v>
      </c>
      <c r="X478" s="1761">
        <f t="shared" si="745"/>
        <v>0</v>
      </c>
      <c r="Y478" s="1761">
        <f t="shared" si="745"/>
        <v>0</v>
      </c>
      <c r="Z478" s="1761">
        <f t="shared" si="745"/>
        <v>0</v>
      </c>
      <c r="AA478" s="1761">
        <f t="shared" si="745"/>
        <v>0</v>
      </c>
      <c r="AB478" s="1762">
        <f t="shared" si="745"/>
        <v>0</v>
      </c>
      <c r="AC478" s="1761">
        <f t="shared" si="745"/>
        <v>0</v>
      </c>
      <c r="AD478" s="1761">
        <f t="shared" si="745"/>
        <v>0</v>
      </c>
      <c r="AE478" s="1761">
        <f t="shared" si="745"/>
        <v>0</v>
      </c>
      <c r="AF478" s="1761">
        <f t="shared" si="745"/>
        <v>0</v>
      </c>
      <c r="AG478" s="1762">
        <f t="shared" si="745"/>
        <v>0</v>
      </c>
      <c r="AH478" s="1761">
        <f t="shared" si="745"/>
        <v>0</v>
      </c>
      <c r="AI478" s="1761">
        <f t="shared" si="745"/>
        <v>0</v>
      </c>
      <c r="AJ478" s="1761">
        <f t="shared" si="745"/>
        <v>0</v>
      </c>
      <c r="AK478" s="1761">
        <f t="shared" si="745"/>
        <v>0</v>
      </c>
      <c r="AL478" s="1762">
        <f t="shared" si="745"/>
        <v>0</v>
      </c>
      <c r="AN478" s="990"/>
      <c r="AR478" s="1008"/>
      <c r="BH478" s="1009"/>
      <c r="BK478" s="1008"/>
      <c r="CA478" s="1009"/>
    </row>
    <row r="479" spans="1:79" s="103" customFormat="1" x14ac:dyDescent="0.3">
      <c r="H479" s="993"/>
      <c r="I479" s="1763" t="str">
        <f>I450</f>
        <v>Recycled Water</v>
      </c>
      <c r="J479" s="1011"/>
      <c r="K479" s="1757"/>
      <c r="L479" s="1757"/>
      <c r="M479" s="1759"/>
      <c r="N479" s="1757"/>
      <c r="O479" s="1757"/>
      <c r="P479" s="1757"/>
      <c r="Q479" s="1757"/>
      <c r="R479" s="1759"/>
      <c r="S479" s="1757"/>
      <c r="T479" s="1757"/>
      <c r="U479" s="1757"/>
      <c r="V479" s="1757"/>
      <c r="W479" s="2242">
        <f t="shared" ref="W479:AG479" si="746">SUM(W480:W481)</f>
        <v>0</v>
      </c>
      <c r="X479" s="1757">
        <f t="shared" si="746"/>
        <v>0</v>
      </c>
      <c r="Y479" s="1757">
        <f t="shared" si="746"/>
        <v>0</v>
      </c>
      <c r="Z479" s="1757">
        <f t="shared" si="746"/>
        <v>0</v>
      </c>
      <c r="AA479" s="1757">
        <f t="shared" si="746"/>
        <v>0</v>
      </c>
      <c r="AB479" s="1759">
        <f t="shared" si="746"/>
        <v>0</v>
      </c>
      <c r="AC479" s="1757">
        <f t="shared" si="746"/>
        <v>0</v>
      </c>
      <c r="AD479" s="1757">
        <f t="shared" si="746"/>
        <v>0</v>
      </c>
      <c r="AE479" s="1757">
        <f t="shared" si="746"/>
        <v>0</v>
      </c>
      <c r="AF479" s="1757">
        <f t="shared" si="746"/>
        <v>0</v>
      </c>
      <c r="AG479" s="1759">
        <f t="shared" si="746"/>
        <v>0</v>
      </c>
      <c r="AH479" s="1757">
        <f>SUM(AH480:AH481)</f>
        <v>0</v>
      </c>
      <c r="AI479" s="1757">
        <f>SUM(AI480:AI481)</f>
        <v>0</v>
      </c>
      <c r="AJ479" s="1757">
        <f>SUM(AJ480:AJ481)</f>
        <v>0</v>
      </c>
      <c r="AK479" s="1757">
        <f>SUM(AK480:AK481)</f>
        <v>0</v>
      </c>
      <c r="AL479" s="1759">
        <f>SUM(AL480:AL481)</f>
        <v>0</v>
      </c>
      <c r="AN479" s="990"/>
      <c r="AP479" s="999"/>
      <c r="AQ479" s="999"/>
      <c r="AR479" s="1008"/>
      <c r="AS479" s="999"/>
      <c r="AT479" s="999"/>
      <c r="AU479" s="999"/>
      <c r="AV479" s="999"/>
      <c r="AW479" s="999"/>
      <c r="AX479" s="999"/>
      <c r="AY479" s="999"/>
      <c r="AZ479" s="999"/>
      <c r="BA479" s="999"/>
      <c r="BB479" s="999"/>
      <c r="BC479" s="999"/>
      <c r="BD479" s="999"/>
      <c r="BE479" s="999"/>
      <c r="BF479" s="999"/>
      <c r="BG479" s="999"/>
      <c r="BH479" s="1009"/>
      <c r="BI479" s="999"/>
      <c r="BJ479" s="999"/>
      <c r="BK479" s="1008"/>
      <c r="BL479" s="999"/>
      <c r="BM479" s="999"/>
      <c r="BN479" s="999"/>
      <c r="BO479" s="999"/>
      <c r="BP479" s="999"/>
      <c r="BQ479" s="999"/>
      <c r="BR479" s="999"/>
      <c r="BS479" s="999"/>
      <c r="BT479" s="999"/>
      <c r="BU479" s="999"/>
      <c r="BV479" s="999"/>
      <c r="BW479" s="999"/>
      <c r="BX479" s="999"/>
      <c r="BY479" s="999"/>
      <c r="BZ479" s="999"/>
      <c r="CA479" s="1009"/>
    </row>
    <row r="480" spans="1:79" x14ac:dyDescent="0.3">
      <c r="H480" s="1012"/>
      <c r="I480" s="1756" t="str">
        <f>I476</f>
        <v>Fixed</v>
      </c>
      <c r="J480" s="998"/>
      <c r="K480" s="1758"/>
      <c r="L480" s="1758"/>
      <c r="M480" s="1760"/>
      <c r="N480" s="1758"/>
      <c r="O480" s="1758"/>
      <c r="P480" s="1758"/>
      <c r="Q480" s="1758"/>
      <c r="R480" s="1760"/>
      <c r="S480" s="1758"/>
      <c r="T480" s="1758"/>
      <c r="U480" s="1758"/>
      <c r="V480" s="1758"/>
      <c r="W480" s="2240">
        <f t="shared" ref="W480:AD481" si="747">+SUMIFS(W$69:W$445,$E$69:$E$445,$E$71,$F$69:$F$445,$I$479,$I$69:$I$445,$I480)</f>
        <v>0</v>
      </c>
      <c r="X480" s="1758">
        <f t="shared" si="747"/>
        <v>0</v>
      </c>
      <c r="Y480" s="1758">
        <f t="shared" si="747"/>
        <v>0</v>
      </c>
      <c r="Z480" s="1758">
        <f t="shared" si="747"/>
        <v>0</v>
      </c>
      <c r="AA480" s="1758">
        <f t="shared" si="747"/>
        <v>0</v>
      </c>
      <c r="AB480" s="1760">
        <f t="shared" si="747"/>
        <v>0</v>
      </c>
      <c r="AC480" s="1758">
        <f t="shared" si="747"/>
        <v>0</v>
      </c>
      <c r="AD480" s="1758">
        <f t="shared" si="747"/>
        <v>0</v>
      </c>
      <c r="AE480" s="1758">
        <f t="shared" ref="AE480:AL481" si="748">+SUMIFS(AE$69:AE$445,$E$69:$E$445,$E$71,$F$69:$F$445,$I$479,$I$69:$I$445,$I480)</f>
        <v>0</v>
      </c>
      <c r="AF480" s="1758">
        <f t="shared" si="748"/>
        <v>0</v>
      </c>
      <c r="AG480" s="1760">
        <f t="shared" si="748"/>
        <v>0</v>
      </c>
      <c r="AH480" s="1758">
        <f t="shared" si="748"/>
        <v>0</v>
      </c>
      <c r="AI480" s="1758">
        <f t="shared" si="748"/>
        <v>0</v>
      </c>
      <c r="AJ480" s="1758">
        <f t="shared" si="748"/>
        <v>0</v>
      </c>
      <c r="AK480" s="1758">
        <f t="shared" si="748"/>
        <v>0</v>
      </c>
      <c r="AL480" s="1760">
        <f t="shared" si="748"/>
        <v>0</v>
      </c>
      <c r="AP480" s="999"/>
      <c r="AQ480" s="999"/>
      <c r="AR480" s="1008"/>
      <c r="AS480" s="999"/>
      <c r="AT480" s="999"/>
      <c r="AU480" s="999"/>
      <c r="AV480" s="999"/>
      <c r="AW480" s="999"/>
      <c r="AX480" s="999"/>
      <c r="AY480" s="999"/>
      <c r="AZ480" s="999"/>
      <c r="BA480" s="999"/>
      <c r="BB480" s="999"/>
      <c r="BC480" s="999"/>
      <c r="BD480" s="999"/>
      <c r="BE480" s="999"/>
      <c r="BF480" s="999"/>
      <c r="BG480" s="999"/>
      <c r="BH480" s="1009"/>
      <c r="BI480" s="999"/>
      <c r="BJ480" s="999"/>
      <c r="BK480" s="1008"/>
      <c r="BL480" s="999"/>
      <c r="BM480" s="999"/>
      <c r="BN480" s="999"/>
      <c r="BO480" s="999"/>
      <c r="BP480" s="999"/>
      <c r="BQ480" s="999"/>
      <c r="BR480" s="999"/>
      <c r="BS480" s="999"/>
      <c r="BT480" s="999"/>
      <c r="BU480" s="999"/>
      <c r="BV480" s="999"/>
      <c r="BW480" s="999"/>
      <c r="BX480" s="999"/>
      <c r="BY480" s="999"/>
      <c r="BZ480" s="999"/>
      <c r="CA480" s="1009"/>
    </row>
    <row r="481" spans="8:79" x14ac:dyDescent="0.3">
      <c r="H481" s="1012"/>
      <c r="I481" s="1756" t="str">
        <f>I477</f>
        <v>Variable</v>
      </c>
      <c r="J481" s="998"/>
      <c r="K481" s="1758"/>
      <c r="L481" s="1758"/>
      <c r="M481" s="1760"/>
      <c r="N481" s="1758"/>
      <c r="O481" s="1758"/>
      <c r="P481" s="1758"/>
      <c r="Q481" s="1758"/>
      <c r="R481" s="1760"/>
      <c r="S481" s="1758"/>
      <c r="T481" s="1758"/>
      <c r="U481" s="1758"/>
      <c r="V481" s="1758"/>
      <c r="W481" s="2240">
        <f t="shared" si="747"/>
        <v>0</v>
      </c>
      <c r="X481" s="1758">
        <f t="shared" si="747"/>
        <v>0</v>
      </c>
      <c r="Y481" s="1758">
        <f t="shared" si="747"/>
        <v>0</v>
      </c>
      <c r="Z481" s="1758">
        <f t="shared" si="747"/>
        <v>0</v>
      </c>
      <c r="AA481" s="1758">
        <f t="shared" si="747"/>
        <v>0</v>
      </c>
      <c r="AB481" s="1760">
        <f t="shared" si="747"/>
        <v>0</v>
      </c>
      <c r="AC481" s="1758">
        <f t="shared" si="747"/>
        <v>0</v>
      </c>
      <c r="AD481" s="1758">
        <f t="shared" si="747"/>
        <v>0</v>
      </c>
      <c r="AE481" s="1758">
        <f t="shared" si="748"/>
        <v>0</v>
      </c>
      <c r="AF481" s="1758">
        <f t="shared" si="748"/>
        <v>0</v>
      </c>
      <c r="AG481" s="1760">
        <f t="shared" si="748"/>
        <v>0</v>
      </c>
      <c r="AH481" s="1758">
        <f t="shared" si="748"/>
        <v>0</v>
      </c>
      <c r="AI481" s="1758">
        <f t="shared" si="748"/>
        <v>0</v>
      </c>
      <c r="AJ481" s="1758">
        <f t="shared" si="748"/>
        <v>0</v>
      </c>
      <c r="AK481" s="1758">
        <f t="shared" si="748"/>
        <v>0</v>
      </c>
      <c r="AL481" s="1760">
        <f t="shared" si="748"/>
        <v>0</v>
      </c>
      <c r="AN481" s="1013"/>
      <c r="AP481" s="103"/>
      <c r="AQ481" s="103"/>
      <c r="AR481" s="105"/>
      <c r="AS481" s="103"/>
      <c r="AT481" s="103"/>
      <c r="AU481" s="103"/>
      <c r="AV481" s="103"/>
      <c r="AW481" s="103"/>
      <c r="AX481" s="103"/>
      <c r="AY481" s="103"/>
      <c r="AZ481" s="103"/>
      <c r="BA481" s="103"/>
      <c r="BB481" s="103"/>
      <c r="BC481" s="103"/>
      <c r="BD481" s="103"/>
      <c r="BE481" s="103"/>
      <c r="BF481" s="103"/>
      <c r="BG481" s="103"/>
      <c r="BH481" s="995"/>
      <c r="BI481" s="103"/>
      <c r="BJ481" s="103"/>
      <c r="BK481" s="105"/>
      <c r="BL481" s="103"/>
      <c r="BM481" s="103"/>
      <c r="BN481" s="103"/>
      <c r="BO481" s="103"/>
      <c r="BP481" s="103"/>
      <c r="BQ481" s="103"/>
      <c r="BR481" s="103"/>
      <c r="BS481" s="103"/>
      <c r="BT481" s="103"/>
      <c r="BU481" s="103"/>
      <c r="BV481" s="103"/>
      <c r="BW481" s="103"/>
      <c r="BX481" s="103"/>
      <c r="BY481" s="103"/>
      <c r="BZ481" s="103"/>
      <c r="CA481" s="995"/>
    </row>
    <row r="482" spans="8:79" s="999" customFormat="1" x14ac:dyDescent="0.3">
      <c r="H482" s="1000"/>
      <c r="I482" s="1001" t="s">
        <v>688</v>
      </c>
      <c r="J482" s="1002"/>
      <c r="K482" s="1761"/>
      <c r="L482" s="1761"/>
      <c r="M482" s="1762"/>
      <c r="N482" s="1761"/>
      <c r="O482" s="1761"/>
      <c r="P482" s="1761"/>
      <c r="Q482" s="1761"/>
      <c r="R482" s="1762"/>
      <c r="S482" s="1761"/>
      <c r="T482" s="1761"/>
      <c r="U482" s="1761"/>
      <c r="V482" s="1761"/>
      <c r="W482" s="2241">
        <f t="shared" ref="W482:AL482" si="749">W479-W450</f>
        <v>0</v>
      </c>
      <c r="X482" s="1761">
        <f t="shared" si="749"/>
        <v>0</v>
      </c>
      <c r="Y482" s="1761">
        <f t="shared" si="749"/>
        <v>0</v>
      </c>
      <c r="Z482" s="1761">
        <f t="shared" si="749"/>
        <v>0</v>
      </c>
      <c r="AA482" s="1761">
        <f t="shared" si="749"/>
        <v>0</v>
      </c>
      <c r="AB482" s="1762">
        <f t="shared" si="749"/>
        <v>0</v>
      </c>
      <c r="AC482" s="1761">
        <f t="shared" si="749"/>
        <v>0</v>
      </c>
      <c r="AD482" s="1761">
        <f t="shared" si="749"/>
        <v>0</v>
      </c>
      <c r="AE482" s="1761">
        <f t="shared" si="749"/>
        <v>0</v>
      </c>
      <c r="AF482" s="1761">
        <f t="shared" si="749"/>
        <v>0</v>
      </c>
      <c r="AG482" s="1762">
        <f t="shared" si="749"/>
        <v>0</v>
      </c>
      <c r="AH482" s="1761">
        <f t="shared" si="749"/>
        <v>0</v>
      </c>
      <c r="AI482" s="1761">
        <f t="shared" si="749"/>
        <v>0</v>
      </c>
      <c r="AJ482" s="1761">
        <f t="shared" si="749"/>
        <v>0</v>
      </c>
      <c r="AK482" s="1761">
        <f t="shared" si="749"/>
        <v>0</v>
      </c>
      <c r="AL482" s="1762">
        <f t="shared" si="749"/>
        <v>0</v>
      </c>
      <c r="AN482" s="1010"/>
      <c r="AP482" s="103"/>
      <c r="AQ482" s="103"/>
      <c r="AR482" s="105"/>
      <c r="AS482" s="103"/>
      <c r="AT482" s="103"/>
      <c r="AU482" s="103"/>
      <c r="AV482" s="103"/>
      <c r="AW482" s="103"/>
      <c r="AX482" s="103"/>
      <c r="AY482" s="103"/>
      <c r="AZ482" s="103"/>
      <c r="BA482" s="103"/>
      <c r="BB482" s="103"/>
      <c r="BC482" s="103"/>
      <c r="BD482" s="103"/>
      <c r="BE482" s="103"/>
      <c r="BF482" s="103"/>
      <c r="BG482" s="103"/>
      <c r="BH482" s="995"/>
      <c r="BI482" s="103"/>
      <c r="BJ482" s="103"/>
      <c r="BK482" s="105"/>
      <c r="BL482" s="103"/>
      <c r="BM482" s="103"/>
      <c r="BN482" s="103"/>
      <c r="BO482" s="103"/>
      <c r="BP482" s="103"/>
      <c r="BQ482" s="103"/>
      <c r="BR482" s="103"/>
      <c r="BS482" s="103"/>
      <c r="BT482" s="103"/>
      <c r="BU482" s="103"/>
      <c r="BV482" s="103"/>
      <c r="BW482" s="103"/>
      <c r="BX482" s="103"/>
      <c r="BY482" s="103"/>
      <c r="BZ482" s="103"/>
      <c r="CA482" s="995"/>
    </row>
    <row r="483" spans="8:79" s="103" customFormat="1" x14ac:dyDescent="0.3">
      <c r="H483" s="993"/>
      <c r="I483" s="1763" t="str">
        <f>I451</f>
        <v>Trade Waste</v>
      </c>
      <c r="J483" s="1011"/>
      <c r="K483" s="1757"/>
      <c r="L483" s="1757"/>
      <c r="M483" s="1759"/>
      <c r="N483" s="1757"/>
      <c r="O483" s="1757"/>
      <c r="P483" s="1757"/>
      <c r="Q483" s="1757"/>
      <c r="R483" s="1759"/>
      <c r="S483" s="1757"/>
      <c r="T483" s="1757"/>
      <c r="U483" s="1757"/>
      <c r="V483" s="1757"/>
      <c r="W483" s="2242">
        <f t="shared" ref="W483:AG483" si="750">SUM(W484:W485)</f>
        <v>1.7645465614738001</v>
      </c>
      <c r="X483" s="1757">
        <f t="shared" si="750"/>
        <v>1.749280900809</v>
      </c>
      <c r="Y483" s="1757">
        <f t="shared" si="750"/>
        <v>1.7563639354562004</v>
      </c>
      <c r="Z483" s="1757">
        <f t="shared" si="750"/>
        <v>1.6690133135661998</v>
      </c>
      <c r="AA483" s="1757">
        <f t="shared" si="750"/>
        <v>1.74774654127</v>
      </c>
      <c r="AB483" s="1759">
        <f t="shared" si="750"/>
        <v>1.8549673736242402</v>
      </c>
      <c r="AC483" s="1757">
        <f t="shared" si="750"/>
        <v>1.8549673736242402</v>
      </c>
      <c r="AD483" s="1757">
        <f t="shared" si="750"/>
        <v>1.8735170473604827</v>
      </c>
      <c r="AE483" s="1757">
        <f t="shared" si="750"/>
        <v>1.9111747400124284</v>
      </c>
      <c r="AF483" s="1757">
        <f t="shared" si="750"/>
        <v>1.9495893522866778</v>
      </c>
      <c r="AG483" s="1759">
        <f t="shared" si="750"/>
        <v>1.9887760982676401</v>
      </c>
      <c r="AH483" s="1757">
        <f>SUM(AH484:AH485)</f>
        <v>2.0287504978428195</v>
      </c>
      <c r="AI483" s="1757">
        <f>SUM(AI484:AI485)</f>
        <v>2.0695283828494602</v>
      </c>
      <c r="AJ483" s="1757">
        <f>SUM(AJ484:AJ485)</f>
        <v>2.1111259033447345</v>
      </c>
      <c r="AK483" s="1757">
        <f>SUM(AK484:AK485)</f>
        <v>2.1535595340019635</v>
      </c>
      <c r="AL483" s="1759">
        <f>SUM(AL484:AL485)</f>
        <v>2.1968460806354031</v>
      </c>
      <c r="AN483" s="990"/>
      <c r="AP483" s="73"/>
      <c r="AQ483" s="73"/>
      <c r="AR483" s="72"/>
      <c r="AS483" s="73"/>
      <c r="AT483" s="73"/>
      <c r="AU483" s="73"/>
      <c r="AV483" s="73"/>
      <c r="AW483" s="73"/>
      <c r="AX483" s="73"/>
      <c r="AY483" s="73"/>
      <c r="AZ483" s="73"/>
      <c r="BA483" s="73"/>
      <c r="BB483" s="73"/>
      <c r="BC483" s="73"/>
      <c r="BD483" s="73"/>
      <c r="BE483" s="73"/>
      <c r="BF483" s="73"/>
      <c r="BG483" s="73"/>
      <c r="BH483" s="126"/>
      <c r="BI483" s="73"/>
      <c r="BJ483" s="73"/>
      <c r="BK483" s="72"/>
      <c r="BL483" s="73"/>
      <c r="BM483" s="73"/>
      <c r="BN483" s="73"/>
      <c r="BO483" s="73"/>
      <c r="BP483" s="73"/>
      <c r="BQ483" s="73"/>
      <c r="BR483" s="73"/>
      <c r="BS483" s="73"/>
      <c r="BT483" s="73"/>
      <c r="BU483" s="73"/>
      <c r="BV483" s="73"/>
      <c r="BW483" s="73"/>
      <c r="BX483" s="73"/>
      <c r="BY483" s="73"/>
      <c r="BZ483" s="73"/>
      <c r="CA483" s="126"/>
    </row>
    <row r="484" spans="8:79" x14ac:dyDescent="0.3">
      <c r="H484" s="1012"/>
      <c r="I484" s="1756" t="str">
        <f>I480</f>
        <v>Fixed</v>
      </c>
      <c r="J484" s="998"/>
      <c r="K484" s="1758"/>
      <c r="L484" s="1758"/>
      <c r="M484" s="1760"/>
      <c r="N484" s="1758"/>
      <c r="O484" s="1758"/>
      <c r="P484" s="1758"/>
      <c r="Q484" s="1758"/>
      <c r="R484" s="1760"/>
      <c r="S484" s="1758"/>
      <c r="T484" s="1758"/>
      <c r="U484" s="1758"/>
      <c r="V484" s="1758"/>
      <c r="W484" s="2240">
        <f t="shared" ref="W484:AD485" si="751">+SUMIFS(W$69:W$445,$E$69:$E$445,$E$71,$F$69:$F$445,$I$483,$I$69:$I$445,$I484)</f>
        <v>0</v>
      </c>
      <c r="X484" s="1758">
        <f t="shared" si="751"/>
        <v>0</v>
      </c>
      <c r="Y484" s="1758">
        <f t="shared" si="751"/>
        <v>0</v>
      </c>
      <c r="Z484" s="1758">
        <f t="shared" si="751"/>
        <v>0</v>
      </c>
      <c r="AA484" s="1758">
        <f t="shared" si="751"/>
        <v>0</v>
      </c>
      <c r="AB484" s="1760">
        <f t="shared" si="751"/>
        <v>0</v>
      </c>
      <c r="AC484" s="1758">
        <f t="shared" si="751"/>
        <v>0</v>
      </c>
      <c r="AD484" s="1758">
        <f t="shared" si="751"/>
        <v>0</v>
      </c>
      <c r="AE484" s="1758">
        <f t="shared" ref="AE484:AL485" si="752">+SUMIFS(AE$69:AE$445,$E$69:$E$445,$E$71,$F$69:$F$445,$I$483,$I$69:$I$445,$I484)</f>
        <v>0</v>
      </c>
      <c r="AF484" s="1758">
        <f t="shared" si="752"/>
        <v>0</v>
      </c>
      <c r="AG484" s="1760">
        <f t="shared" si="752"/>
        <v>0</v>
      </c>
      <c r="AH484" s="1758">
        <f t="shared" si="752"/>
        <v>0</v>
      </c>
      <c r="AI484" s="1758">
        <f t="shared" si="752"/>
        <v>0</v>
      </c>
      <c r="AJ484" s="1758">
        <f t="shared" si="752"/>
        <v>0</v>
      </c>
      <c r="AK484" s="1758">
        <f t="shared" si="752"/>
        <v>0</v>
      </c>
      <c r="AL484" s="1760">
        <f t="shared" si="752"/>
        <v>0</v>
      </c>
    </row>
    <row r="485" spans="8:79" x14ac:dyDescent="0.3">
      <c r="H485" s="1012"/>
      <c r="I485" s="1756" t="str">
        <f>I481</f>
        <v>Variable</v>
      </c>
      <c r="J485" s="998"/>
      <c r="K485" s="1758"/>
      <c r="L485" s="1758"/>
      <c r="M485" s="1760"/>
      <c r="N485" s="1758"/>
      <c r="O485" s="1758"/>
      <c r="P485" s="1758"/>
      <c r="Q485" s="1758"/>
      <c r="R485" s="1760"/>
      <c r="S485" s="1758"/>
      <c r="T485" s="1758"/>
      <c r="U485" s="1758"/>
      <c r="V485" s="1758"/>
      <c r="W485" s="2240">
        <f t="shared" si="751"/>
        <v>1.7645465614738001</v>
      </c>
      <c r="X485" s="1758">
        <f t="shared" si="751"/>
        <v>1.749280900809</v>
      </c>
      <c r="Y485" s="1758">
        <f t="shared" si="751"/>
        <v>1.7563639354562004</v>
      </c>
      <c r="Z485" s="1758">
        <f t="shared" si="751"/>
        <v>1.6690133135661998</v>
      </c>
      <c r="AA485" s="1758">
        <f t="shared" si="751"/>
        <v>1.74774654127</v>
      </c>
      <c r="AB485" s="1760">
        <f t="shared" si="751"/>
        <v>1.8549673736242402</v>
      </c>
      <c r="AC485" s="1758">
        <f t="shared" si="751"/>
        <v>1.8549673736242402</v>
      </c>
      <c r="AD485" s="1758">
        <f t="shared" si="751"/>
        <v>1.8735170473604827</v>
      </c>
      <c r="AE485" s="1758">
        <f t="shared" si="752"/>
        <v>1.9111747400124284</v>
      </c>
      <c r="AF485" s="1758">
        <f t="shared" si="752"/>
        <v>1.9495893522866778</v>
      </c>
      <c r="AG485" s="1760">
        <f t="shared" si="752"/>
        <v>1.9887760982676401</v>
      </c>
      <c r="AH485" s="1758">
        <f t="shared" si="752"/>
        <v>2.0287504978428195</v>
      </c>
      <c r="AI485" s="1758">
        <f t="shared" si="752"/>
        <v>2.0695283828494602</v>
      </c>
      <c r="AJ485" s="1758">
        <f t="shared" si="752"/>
        <v>2.1111259033447345</v>
      </c>
      <c r="AK485" s="1758">
        <f t="shared" si="752"/>
        <v>2.1535595340019635</v>
      </c>
      <c r="AL485" s="1760">
        <f t="shared" si="752"/>
        <v>2.1968460806354031</v>
      </c>
    </row>
    <row r="486" spans="8:79" s="999" customFormat="1" x14ac:dyDescent="0.3">
      <c r="H486" s="1000"/>
      <c r="I486" s="1001" t="s">
        <v>688</v>
      </c>
      <c r="J486" s="1002"/>
      <c r="K486" s="1761"/>
      <c r="L486" s="1761"/>
      <c r="M486" s="1762"/>
      <c r="N486" s="1761"/>
      <c r="O486" s="1761"/>
      <c r="P486" s="1761"/>
      <c r="Q486" s="1761"/>
      <c r="R486" s="1762"/>
      <c r="S486" s="1761"/>
      <c r="T486" s="1761"/>
      <c r="U486" s="1761"/>
      <c r="V486" s="1761"/>
      <c r="W486" s="2241">
        <f t="shared" ref="W486:AL486" si="753">W483-W451</f>
        <v>0</v>
      </c>
      <c r="X486" s="1761">
        <f t="shared" si="753"/>
        <v>0</v>
      </c>
      <c r="Y486" s="1761">
        <f t="shared" si="753"/>
        <v>0</v>
      </c>
      <c r="Z486" s="1761">
        <f t="shared" si="753"/>
        <v>0</v>
      </c>
      <c r="AA486" s="1761">
        <f t="shared" si="753"/>
        <v>0</v>
      </c>
      <c r="AB486" s="1762">
        <f t="shared" si="753"/>
        <v>0</v>
      </c>
      <c r="AC486" s="1761">
        <f t="shared" si="753"/>
        <v>0</v>
      </c>
      <c r="AD486" s="1761">
        <f t="shared" si="753"/>
        <v>0</v>
      </c>
      <c r="AE486" s="1761">
        <f t="shared" si="753"/>
        <v>0</v>
      </c>
      <c r="AF486" s="1761">
        <f t="shared" si="753"/>
        <v>0</v>
      </c>
      <c r="AG486" s="1762">
        <f t="shared" si="753"/>
        <v>0</v>
      </c>
      <c r="AH486" s="1761">
        <f t="shared" si="753"/>
        <v>0</v>
      </c>
      <c r="AI486" s="1761">
        <f t="shared" si="753"/>
        <v>0</v>
      </c>
      <c r="AJ486" s="1761">
        <f t="shared" si="753"/>
        <v>0</v>
      </c>
      <c r="AK486" s="1761">
        <f t="shared" si="753"/>
        <v>0</v>
      </c>
      <c r="AL486" s="1762">
        <f t="shared" si="753"/>
        <v>0</v>
      </c>
      <c r="AN486" s="990"/>
      <c r="AP486" s="73"/>
      <c r="AQ486" s="73"/>
      <c r="AR486" s="72"/>
      <c r="AS486" s="73"/>
      <c r="AT486" s="73"/>
      <c r="AU486" s="73"/>
      <c r="AV486" s="73"/>
      <c r="AW486" s="73"/>
      <c r="AX486" s="73"/>
      <c r="AY486" s="73"/>
      <c r="AZ486" s="73"/>
      <c r="BA486" s="73"/>
      <c r="BB486" s="73"/>
      <c r="BC486" s="73"/>
      <c r="BD486" s="73"/>
      <c r="BE486" s="73"/>
      <c r="BF486" s="73"/>
      <c r="BG486" s="73"/>
      <c r="BH486" s="126"/>
      <c r="BI486" s="73"/>
      <c r="BJ486" s="73"/>
      <c r="BK486" s="72"/>
      <c r="BL486" s="73"/>
      <c r="BM486" s="73"/>
      <c r="BN486" s="73"/>
      <c r="BO486" s="73"/>
      <c r="BP486" s="73"/>
      <c r="BQ486" s="73"/>
      <c r="BR486" s="73"/>
      <c r="BS486" s="73"/>
      <c r="BT486" s="73"/>
      <c r="BU486" s="73"/>
      <c r="BV486" s="73"/>
      <c r="BW486" s="73"/>
      <c r="BX486" s="73"/>
      <c r="BY486" s="73"/>
      <c r="BZ486" s="73"/>
      <c r="CA486" s="126"/>
    </row>
    <row r="487" spans="8:79" s="103" customFormat="1" x14ac:dyDescent="0.3">
      <c r="H487" s="993"/>
      <c r="I487" s="1763" t="str">
        <f>I452</f>
        <v>Rural Water</v>
      </c>
      <c r="J487" s="1011"/>
      <c r="K487" s="1757"/>
      <c r="L487" s="1757"/>
      <c r="M487" s="1759"/>
      <c r="N487" s="1757"/>
      <c r="O487" s="1757"/>
      <c r="P487" s="1757"/>
      <c r="Q487" s="1757"/>
      <c r="R487" s="1759"/>
      <c r="S487" s="1757"/>
      <c r="T487" s="1757"/>
      <c r="U487" s="1757"/>
      <c r="V487" s="1757"/>
      <c r="W487" s="2242">
        <f t="shared" ref="W487:AG487" si="754">SUM(W488:W489)</f>
        <v>0</v>
      </c>
      <c r="X487" s="1757">
        <f t="shared" si="754"/>
        <v>0</v>
      </c>
      <c r="Y487" s="1757">
        <f t="shared" si="754"/>
        <v>0</v>
      </c>
      <c r="Z487" s="1757">
        <f t="shared" si="754"/>
        <v>0</v>
      </c>
      <c r="AA487" s="1757">
        <f t="shared" si="754"/>
        <v>0</v>
      </c>
      <c r="AB487" s="1759">
        <f t="shared" si="754"/>
        <v>0</v>
      </c>
      <c r="AC487" s="1757">
        <f t="shared" si="754"/>
        <v>0</v>
      </c>
      <c r="AD487" s="1757">
        <f t="shared" si="754"/>
        <v>0</v>
      </c>
      <c r="AE487" s="1757">
        <f t="shared" si="754"/>
        <v>0</v>
      </c>
      <c r="AF487" s="1757">
        <f t="shared" si="754"/>
        <v>0</v>
      </c>
      <c r="AG487" s="1759">
        <f t="shared" si="754"/>
        <v>0</v>
      </c>
      <c r="AH487" s="1757">
        <f>SUM(AH488:AH489)</f>
        <v>0</v>
      </c>
      <c r="AI487" s="1757">
        <f>SUM(AI488:AI489)</f>
        <v>0</v>
      </c>
      <c r="AJ487" s="1757">
        <f>SUM(AJ488:AJ489)</f>
        <v>0</v>
      </c>
      <c r="AK487" s="1757">
        <f>SUM(AK488:AK489)</f>
        <v>0</v>
      </c>
      <c r="AL487" s="1759">
        <f>SUM(AL488:AL489)</f>
        <v>0</v>
      </c>
      <c r="AN487" s="1013"/>
      <c r="AP487" s="73"/>
      <c r="AQ487" s="73"/>
      <c r="AR487" s="72"/>
      <c r="AS487" s="73"/>
      <c r="AT487" s="73"/>
      <c r="AU487" s="73"/>
      <c r="AV487" s="73"/>
      <c r="AW487" s="73"/>
      <c r="AX487" s="73"/>
      <c r="AY487" s="73"/>
      <c r="AZ487" s="73"/>
      <c r="BA487" s="73"/>
      <c r="BB487" s="73"/>
      <c r="BC487" s="73"/>
      <c r="BD487" s="73"/>
      <c r="BE487" s="73"/>
      <c r="BF487" s="73"/>
      <c r="BG487" s="73"/>
      <c r="BH487" s="126"/>
      <c r="BI487" s="73"/>
      <c r="BJ487" s="73"/>
      <c r="BK487" s="72"/>
      <c r="BL487" s="73"/>
      <c r="BM487" s="73"/>
      <c r="BN487" s="73"/>
      <c r="BO487" s="73"/>
      <c r="BP487" s="73"/>
      <c r="BQ487" s="73"/>
      <c r="BR487" s="73"/>
      <c r="BS487" s="73"/>
      <c r="BT487" s="73"/>
      <c r="BU487" s="73"/>
      <c r="BV487" s="73"/>
      <c r="BW487" s="73"/>
      <c r="BX487" s="73"/>
      <c r="BY487" s="73"/>
      <c r="BZ487" s="73"/>
      <c r="CA487" s="126"/>
    </row>
    <row r="488" spans="8:79" x14ac:dyDescent="0.3">
      <c r="H488" s="1012"/>
      <c r="I488" s="1756" t="str">
        <f>I484</f>
        <v>Fixed</v>
      </c>
      <c r="J488" s="998"/>
      <c r="K488" s="1758"/>
      <c r="L488" s="1758"/>
      <c r="M488" s="1760"/>
      <c r="N488" s="1758"/>
      <c r="O488" s="1758"/>
      <c r="P488" s="1758"/>
      <c r="Q488" s="1758"/>
      <c r="R488" s="1760"/>
      <c r="S488" s="1758"/>
      <c r="T488" s="1758"/>
      <c r="U488" s="1758"/>
      <c r="V488" s="1758"/>
      <c r="W488" s="2240">
        <f t="shared" ref="W488:AD489" si="755">+SUMIFS(W$69:W$445,$E$69:$E$445,$E$71,$F$69:$F$445,$I$487,$I$69:$I$445,$I488)</f>
        <v>0</v>
      </c>
      <c r="X488" s="1758">
        <f t="shared" si="755"/>
        <v>0</v>
      </c>
      <c r="Y488" s="1758">
        <f t="shared" si="755"/>
        <v>0</v>
      </c>
      <c r="Z488" s="1758">
        <f t="shared" si="755"/>
        <v>0</v>
      </c>
      <c r="AA488" s="1758">
        <f t="shared" si="755"/>
        <v>0</v>
      </c>
      <c r="AB488" s="1760">
        <f t="shared" si="755"/>
        <v>0</v>
      </c>
      <c r="AC488" s="1758">
        <f t="shared" si="755"/>
        <v>0</v>
      </c>
      <c r="AD488" s="1758">
        <f t="shared" si="755"/>
        <v>0</v>
      </c>
      <c r="AE488" s="1758">
        <f t="shared" ref="AE488:AL489" si="756">+SUMIFS(AE$69:AE$445,$E$69:$E$445,$E$71,$F$69:$F$445,$I$487,$I$69:$I$445,$I488)</f>
        <v>0</v>
      </c>
      <c r="AF488" s="1758">
        <f t="shared" si="756"/>
        <v>0</v>
      </c>
      <c r="AG488" s="1760">
        <f t="shared" si="756"/>
        <v>0</v>
      </c>
      <c r="AH488" s="1758">
        <f t="shared" si="756"/>
        <v>0</v>
      </c>
      <c r="AI488" s="1758">
        <f t="shared" si="756"/>
        <v>0</v>
      </c>
      <c r="AJ488" s="1758">
        <f t="shared" si="756"/>
        <v>0</v>
      </c>
      <c r="AK488" s="1758">
        <f t="shared" si="756"/>
        <v>0</v>
      </c>
      <c r="AL488" s="1760">
        <f t="shared" si="756"/>
        <v>0</v>
      </c>
      <c r="AN488" s="1010"/>
    </row>
    <row r="489" spans="8:79" x14ac:dyDescent="0.3">
      <c r="H489" s="1012"/>
      <c r="I489" s="1756" t="str">
        <f>I485</f>
        <v>Variable</v>
      </c>
      <c r="J489" s="998"/>
      <c r="K489" s="1758"/>
      <c r="L489" s="1758"/>
      <c r="M489" s="1760"/>
      <c r="N489" s="1758"/>
      <c r="O489" s="1758"/>
      <c r="P489" s="1758"/>
      <c r="Q489" s="1758"/>
      <c r="R489" s="1760"/>
      <c r="S489" s="1758"/>
      <c r="T489" s="1758"/>
      <c r="U489" s="1758"/>
      <c r="V489" s="1758"/>
      <c r="W489" s="2240">
        <f t="shared" si="755"/>
        <v>0</v>
      </c>
      <c r="X489" s="1758">
        <f t="shared" si="755"/>
        <v>0</v>
      </c>
      <c r="Y489" s="1758">
        <f t="shared" si="755"/>
        <v>0</v>
      </c>
      <c r="Z489" s="1758">
        <f t="shared" si="755"/>
        <v>0</v>
      </c>
      <c r="AA489" s="1758">
        <f t="shared" si="755"/>
        <v>0</v>
      </c>
      <c r="AB489" s="1760">
        <f t="shared" si="755"/>
        <v>0</v>
      </c>
      <c r="AC489" s="1758">
        <f t="shared" si="755"/>
        <v>0</v>
      </c>
      <c r="AD489" s="1758">
        <f t="shared" si="755"/>
        <v>0</v>
      </c>
      <c r="AE489" s="1758">
        <f t="shared" si="756"/>
        <v>0</v>
      </c>
      <c r="AF489" s="1758">
        <f t="shared" si="756"/>
        <v>0</v>
      </c>
      <c r="AG489" s="1760">
        <f t="shared" si="756"/>
        <v>0</v>
      </c>
      <c r="AH489" s="1758">
        <f t="shared" si="756"/>
        <v>0</v>
      </c>
      <c r="AI489" s="1758">
        <f t="shared" si="756"/>
        <v>0</v>
      </c>
      <c r="AJ489" s="1758">
        <f t="shared" si="756"/>
        <v>0</v>
      </c>
      <c r="AK489" s="1758">
        <f t="shared" si="756"/>
        <v>0</v>
      </c>
      <c r="AL489" s="1760">
        <f t="shared" si="756"/>
        <v>0</v>
      </c>
      <c r="AP489" s="999"/>
      <c r="AQ489" s="999"/>
      <c r="AR489" s="1008"/>
      <c r="AS489" s="999"/>
      <c r="AT489" s="999"/>
      <c r="AU489" s="999"/>
      <c r="AV489" s="999"/>
      <c r="AW489" s="999"/>
      <c r="AX489" s="999"/>
      <c r="AY489" s="999"/>
      <c r="AZ489" s="999"/>
      <c r="BA489" s="999"/>
      <c r="BB489" s="999"/>
      <c r="BC489" s="999"/>
      <c r="BD489" s="999"/>
      <c r="BE489" s="999"/>
      <c r="BF489" s="999"/>
      <c r="BG489" s="999"/>
      <c r="BH489" s="1009"/>
      <c r="BI489" s="999"/>
      <c r="BJ489" s="999"/>
      <c r="BK489" s="1008"/>
      <c r="BL489" s="999"/>
      <c r="BM489" s="999"/>
      <c r="BN489" s="999"/>
      <c r="BO489" s="999"/>
      <c r="BP489" s="999"/>
      <c r="BQ489" s="999"/>
      <c r="BR489" s="999"/>
      <c r="BS489" s="999"/>
      <c r="BT489" s="999"/>
      <c r="BU489" s="999"/>
      <c r="BV489" s="999"/>
      <c r="BW489" s="999"/>
      <c r="BX489" s="999"/>
      <c r="BY489" s="999"/>
      <c r="BZ489" s="999"/>
      <c r="CA489" s="1009"/>
    </row>
    <row r="490" spans="8:79" s="999" customFormat="1" x14ac:dyDescent="0.3">
      <c r="H490" s="1000"/>
      <c r="I490" s="1001" t="s">
        <v>688</v>
      </c>
      <c r="J490" s="1002"/>
      <c r="K490" s="1761"/>
      <c r="L490" s="1761"/>
      <c r="M490" s="1762"/>
      <c r="N490" s="1761"/>
      <c r="O490" s="1761"/>
      <c r="P490" s="1761"/>
      <c r="Q490" s="1761"/>
      <c r="R490" s="1762"/>
      <c r="S490" s="1761"/>
      <c r="T490" s="1761"/>
      <c r="U490" s="1761"/>
      <c r="V490" s="1761"/>
      <c r="W490" s="2241">
        <f t="shared" ref="W490:AL490" si="757">W487-W452</f>
        <v>0</v>
      </c>
      <c r="X490" s="1761">
        <f t="shared" si="757"/>
        <v>0</v>
      </c>
      <c r="Y490" s="1761">
        <f t="shared" si="757"/>
        <v>0</v>
      </c>
      <c r="Z490" s="1761">
        <f t="shared" si="757"/>
        <v>0</v>
      </c>
      <c r="AA490" s="1761">
        <f t="shared" si="757"/>
        <v>0</v>
      </c>
      <c r="AB490" s="1762">
        <f t="shared" si="757"/>
        <v>0</v>
      </c>
      <c r="AC490" s="1761">
        <f t="shared" si="757"/>
        <v>0</v>
      </c>
      <c r="AD490" s="1761">
        <f t="shared" si="757"/>
        <v>0</v>
      </c>
      <c r="AE490" s="1761">
        <f t="shared" si="757"/>
        <v>0</v>
      </c>
      <c r="AF490" s="1761">
        <f t="shared" si="757"/>
        <v>0</v>
      </c>
      <c r="AG490" s="1762">
        <f t="shared" si="757"/>
        <v>0</v>
      </c>
      <c r="AH490" s="1761">
        <f t="shared" si="757"/>
        <v>0</v>
      </c>
      <c r="AI490" s="1761">
        <f t="shared" si="757"/>
        <v>0</v>
      </c>
      <c r="AJ490" s="1761">
        <f t="shared" si="757"/>
        <v>0</v>
      </c>
      <c r="AK490" s="1761">
        <f t="shared" si="757"/>
        <v>0</v>
      </c>
      <c r="AL490" s="1762">
        <f t="shared" si="757"/>
        <v>0</v>
      </c>
      <c r="AN490" s="990"/>
      <c r="AP490" s="103"/>
      <c r="AQ490" s="103"/>
      <c r="AR490" s="105"/>
      <c r="AS490" s="103"/>
      <c r="AT490" s="103"/>
      <c r="AU490" s="103"/>
      <c r="AV490" s="103"/>
      <c r="AW490" s="103"/>
      <c r="AX490" s="103"/>
      <c r="AY490" s="103"/>
      <c r="AZ490" s="103"/>
      <c r="BA490" s="103"/>
      <c r="BB490" s="103"/>
      <c r="BC490" s="103"/>
      <c r="BD490" s="103"/>
      <c r="BE490" s="103"/>
      <c r="BF490" s="103"/>
      <c r="BG490" s="103"/>
      <c r="BH490" s="995"/>
      <c r="BI490" s="103"/>
      <c r="BJ490" s="103"/>
      <c r="BK490" s="105"/>
      <c r="BL490" s="103"/>
      <c r="BM490" s="103"/>
      <c r="BN490" s="103"/>
      <c r="BO490" s="103"/>
      <c r="BP490" s="103"/>
      <c r="BQ490" s="103"/>
      <c r="BR490" s="103"/>
      <c r="BS490" s="103"/>
      <c r="BT490" s="103"/>
      <c r="BU490" s="103"/>
      <c r="BV490" s="103"/>
      <c r="BW490" s="103"/>
      <c r="BX490" s="103"/>
      <c r="BY490" s="103"/>
      <c r="BZ490" s="103"/>
      <c r="CA490" s="995"/>
    </row>
    <row r="491" spans="8:79" s="103" customFormat="1" x14ac:dyDescent="0.3">
      <c r="H491" s="993"/>
      <c r="I491" s="1763" t="str">
        <f>I453</f>
        <v>Bulk Water</v>
      </c>
      <c r="J491" s="1011"/>
      <c r="K491" s="1757"/>
      <c r="L491" s="1757"/>
      <c r="M491" s="1759"/>
      <c r="N491" s="1757"/>
      <c r="O491" s="1757"/>
      <c r="P491" s="1757"/>
      <c r="Q491" s="1757"/>
      <c r="R491" s="1759"/>
      <c r="S491" s="1757"/>
      <c r="T491" s="1757"/>
      <c r="U491" s="1757"/>
      <c r="V491" s="1757"/>
      <c r="W491" s="2242">
        <f t="shared" ref="W491:AG491" si="758">SUM(W492:W493)</f>
        <v>0</v>
      </c>
      <c r="X491" s="1757">
        <f t="shared" si="758"/>
        <v>0</v>
      </c>
      <c r="Y491" s="1757">
        <f t="shared" si="758"/>
        <v>0</v>
      </c>
      <c r="Z491" s="1757">
        <f t="shared" si="758"/>
        <v>0</v>
      </c>
      <c r="AA491" s="1757">
        <f t="shared" si="758"/>
        <v>0</v>
      </c>
      <c r="AB491" s="1759">
        <f t="shared" si="758"/>
        <v>0</v>
      </c>
      <c r="AC491" s="1757">
        <f t="shared" si="758"/>
        <v>0</v>
      </c>
      <c r="AD491" s="1757">
        <f t="shared" si="758"/>
        <v>0</v>
      </c>
      <c r="AE491" s="1757">
        <f t="shared" si="758"/>
        <v>0</v>
      </c>
      <c r="AF491" s="1757">
        <f t="shared" si="758"/>
        <v>0</v>
      </c>
      <c r="AG491" s="1759">
        <f t="shared" si="758"/>
        <v>0</v>
      </c>
      <c r="AH491" s="1757">
        <f>SUM(AH492:AH493)</f>
        <v>0</v>
      </c>
      <c r="AI491" s="1757">
        <f>SUM(AI492:AI493)</f>
        <v>0</v>
      </c>
      <c r="AJ491" s="1757">
        <f>SUM(AJ492:AJ493)</f>
        <v>0</v>
      </c>
      <c r="AK491" s="1757">
        <f>SUM(AK492:AK493)</f>
        <v>0</v>
      </c>
      <c r="AL491" s="1759">
        <f>SUM(AL492:AL493)</f>
        <v>0</v>
      </c>
      <c r="AN491" s="990"/>
      <c r="AR491" s="105"/>
      <c r="BH491" s="995"/>
      <c r="BK491" s="105"/>
      <c r="CA491" s="995"/>
    </row>
    <row r="492" spans="8:79" x14ac:dyDescent="0.3">
      <c r="H492" s="1012"/>
      <c r="I492" s="1756" t="str">
        <f>I488</f>
        <v>Fixed</v>
      </c>
      <c r="J492" s="998"/>
      <c r="K492" s="1758"/>
      <c r="L492" s="1758"/>
      <c r="M492" s="1760"/>
      <c r="N492" s="1758"/>
      <c r="O492" s="1758"/>
      <c r="P492" s="1758"/>
      <c r="Q492" s="1758"/>
      <c r="R492" s="1760"/>
      <c r="S492" s="1758"/>
      <c r="T492" s="1758"/>
      <c r="U492" s="1758"/>
      <c r="V492" s="1758"/>
      <c r="W492" s="2240">
        <f t="shared" ref="W492:AD493" si="759">+SUMIFS(W$69:W$445,$E$69:$E$445,$E$71,$F$69:$F$445,$I$491,$I$69:$I$445,$I492)</f>
        <v>0</v>
      </c>
      <c r="X492" s="1758">
        <f t="shared" si="759"/>
        <v>0</v>
      </c>
      <c r="Y492" s="1758">
        <f t="shared" si="759"/>
        <v>0</v>
      </c>
      <c r="Z492" s="1758">
        <f t="shared" si="759"/>
        <v>0</v>
      </c>
      <c r="AA492" s="1758">
        <f t="shared" si="759"/>
        <v>0</v>
      </c>
      <c r="AB492" s="1760">
        <f t="shared" si="759"/>
        <v>0</v>
      </c>
      <c r="AC492" s="1758">
        <f t="shared" si="759"/>
        <v>0</v>
      </c>
      <c r="AD492" s="1758">
        <f t="shared" si="759"/>
        <v>0</v>
      </c>
      <c r="AE492" s="1758">
        <f t="shared" ref="AE492:AL493" si="760">+SUMIFS(AE$69:AE$445,$E$69:$E$445,$E$71,$F$69:$F$445,$I$491,$I$69:$I$445,$I492)</f>
        <v>0</v>
      </c>
      <c r="AF492" s="1758">
        <f t="shared" si="760"/>
        <v>0</v>
      </c>
      <c r="AG492" s="1760">
        <f t="shared" si="760"/>
        <v>0</v>
      </c>
      <c r="AH492" s="1758">
        <f t="shared" si="760"/>
        <v>0</v>
      </c>
      <c r="AI492" s="1758">
        <f t="shared" si="760"/>
        <v>0</v>
      </c>
      <c r="AJ492" s="1758">
        <f t="shared" si="760"/>
        <v>0</v>
      </c>
      <c r="AK492" s="1758">
        <f t="shared" si="760"/>
        <v>0</v>
      </c>
      <c r="AL492" s="1760">
        <f t="shared" si="760"/>
        <v>0</v>
      </c>
    </row>
    <row r="493" spans="8:79" x14ac:dyDescent="0.3">
      <c r="H493" s="1012"/>
      <c r="I493" s="1756" t="str">
        <f>I489</f>
        <v>Variable</v>
      </c>
      <c r="J493" s="998"/>
      <c r="K493" s="1758"/>
      <c r="L493" s="1758"/>
      <c r="M493" s="1760"/>
      <c r="N493" s="1758"/>
      <c r="O493" s="1758"/>
      <c r="P493" s="1758"/>
      <c r="Q493" s="1758"/>
      <c r="R493" s="1760"/>
      <c r="S493" s="1758"/>
      <c r="T493" s="1758"/>
      <c r="U493" s="1758"/>
      <c r="V493" s="1758"/>
      <c r="W493" s="2240">
        <f t="shared" si="759"/>
        <v>0</v>
      </c>
      <c r="X493" s="1758">
        <f t="shared" si="759"/>
        <v>0</v>
      </c>
      <c r="Y493" s="1758">
        <f t="shared" si="759"/>
        <v>0</v>
      </c>
      <c r="Z493" s="1758">
        <f t="shared" si="759"/>
        <v>0</v>
      </c>
      <c r="AA493" s="1758">
        <f t="shared" si="759"/>
        <v>0</v>
      </c>
      <c r="AB493" s="1760">
        <f t="shared" si="759"/>
        <v>0</v>
      </c>
      <c r="AC493" s="1758">
        <f t="shared" si="759"/>
        <v>0</v>
      </c>
      <c r="AD493" s="1758">
        <f t="shared" si="759"/>
        <v>0</v>
      </c>
      <c r="AE493" s="1758">
        <f t="shared" si="760"/>
        <v>0</v>
      </c>
      <c r="AF493" s="1758">
        <f t="shared" si="760"/>
        <v>0</v>
      </c>
      <c r="AG493" s="1760">
        <f t="shared" si="760"/>
        <v>0</v>
      </c>
      <c r="AH493" s="1758">
        <f t="shared" si="760"/>
        <v>0</v>
      </c>
      <c r="AI493" s="1758">
        <f t="shared" si="760"/>
        <v>0</v>
      </c>
      <c r="AJ493" s="1758">
        <f t="shared" si="760"/>
        <v>0</v>
      </c>
      <c r="AK493" s="1758">
        <f t="shared" si="760"/>
        <v>0</v>
      </c>
      <c r="AL493" s="1760">
        <f t="shared" si="760"/>
        <v>0</v>
      </c>
      <c r="AN493" s="1013"/>
    </row>
    <row r="494" spans="8:79" s="999" customFormat="1" x14ac:dyDescent="0.3">
      <c r="H494" s="1000"/>
      <c r="I494" s="1014" t="s">
        <v>688</v>
      </c>
      <c r="J494" s="1015"/>
      <c r="K494" s="1764"/>
      <c r="L494" s="1764"/>
      <c r="M494" s="1765"/>
      <c r="N494" s="1764"/>
      <c r="O494" s="1764"/>
      <c r="P494" s="1764"/>
      <c r="Q494" s="1764"/>
      <c r="R494" s="1765"/>
      <c r="S494" s="1764"/>
      <c r="T494" s="1764"/>
      <c r="U494" s="1764"/>
      <c r="V494" s="1764"/>
      <c r="W494" s="2243">
        <f t="shared" ref="W494:AL494" si="761">W491-W453</f>
        <v>0</v>
      </c>
      <c r="X494" s="1764">
        <f t="shared" si="761"/>
        <v>0</v>
      </c>
      <c r="Y494" s="1764">
        <f t="shared" si="761"/>
        <v>0</v>
      </c>
      <c r="Z494" s="1764">
        <f t="shared" si="761"/>
        <v>0</v>
      </c>
      <c r="AA494" s="1764">
        <f t="shared" si="761"/>
        <v>0</v>
      </c>
      <c r="AB494" s="1765">
        <f t="shared" si="761"/>
        <v>0</v>
      </c>
      <c r="AC494" s="1764">
        <f t="shared" si="761"/>
        <v>0</v>
      </c>
      <c r="AD494" s="1764">
        <f t="shared" si="761"/>
        <v>0</v>
      </c>
      <c r="AE494" s="1764">
        <f t="shared" si="761"/>
        <v>0</v>
      </c>
      <c r="AF494" s="1764">
        <f t="shared" si="761"/>
        <v>0</v>
      </c>
      <c r="AG494" s="1765">
        <f t="shared" si="761"/>
        <v>0</v>
      </c>
      <c r="AH494" s="1764">
        <f t="shared" si="761"/>
        <v>0</v>
      </c>
      <c r="AI494" s="1764">
        <f t="shared" si="761"/>
        <v>0</v>
      </c>
      <c r="AJ494" s="1764">
        <f t="shared" si="761"/>
        <v>0</v>
      </c>
      <c r="AK494" s="1764">
        <f t="shared" si="761"/>
        <v>0</v>
      </c>
      <c r="AL494" s="1765">
        <f t="shared" si="761"/>
        <v>0</v>
      </c>
      <c r="AN494" s="1010"/>
      <c r="AP494" s="73"/>
      <c r="AQ494" s="73"/>
      <c r="AR494" s="72"/>
      <c r="AS494" s="73"/>
      <c r="AT494" s="73"/>
      <c r="AU494" s="73"/>
      <c r="AV494" s="73"/>
      <c r="AW494" s="73"/>
      <c r="AX494" s="73"/>
      <c r="AY494" s="73"/>
      <c r="AZ494" s="73"/>
      <c r="BA494" s="73"/>
      <c r="BB494" s="73"/>
      <c r="BC494" s="73"/>
      <c r="BD494" s="73"/>
      <c r="BE494" s="73"/>
      <c r="BF494" s="73"/>
      <c r="BG494" s="73"/>
      <c r="BH494" s="126"/>
      <c r="BI494" s="73"/>
      <c r="BJ494" s="73"/>
      <c r="BK494" s="72"/>
      <c r="BL494" s="73"/>
      <c r="BM494" s="73"/>
      <c r="BN494" s="73"/>
      <c r="BO494" s="73"/>
      <c r="BP494" s="73"/>
      <c r="BQ494" s="73"/>
      <c r="BR494" s="73"/>
      <c r="BS494" s="73"/>
      <c r="BT494" s="73"/>
      <c r="BU494" s="73"/>
      <c r="BV494" s="73"/>
      <c r="BW494" s="73"/>
      <c r="BX494" s="73"/>
      <c r="BY494" s="73"/>
      <c r="BZ494" s="73"/>
      <c r="CA494" s="126"/>
    </row>
    <row r="495" spans="8:79" ht="12.5" thickBot="1" x14ac:dyDescent="0.35">
      <c r="I495" s="1016" t="s">
        <v>687</v>
      </c>
      <c r="J495" s="1017"/>
      <c r="K495" s="1566"/>
      <c r="L495" s="1566"/>
      <c r="M495" s="1766"/>
      <c r="N495" s="1566"/>
      <c r="O495" s="1566"/>
      <c r="P495" s="1566"/>
      <c r="Q495" s="1566"/>
      <c r="R495" s="1766"/>
      <c r="S495" s="1566"/>
      <c r="T495" s="1566"/>
      <c r="U495" s="1566"/>
      <c r="V495" s="1566"/>
      <c r="W495" s="2244">
        <f t="shared" ref="W495:AG495" si="762">SUM(W472:W473,W476:W477,W480:W481,W484:W485,W488:W489,W492:W493)</f>
        <v>92.133528049180825</v>
      </c>
      <c r="X495" s="1566">
        <f t="shared" si="762"/>
        <v>94.504678975589584</v>
      </c>
      <c r="Y495" s="1566">
        <f t="shared" si="762"/>
        <v>93.457565160541023</v>
      </c>
      <c r="Z495" s="1566">
        <f t="shared" si="762"/>
        <v>94.566460003635186</v>
      </c>
      <c r="AA495" s="1566">
        <f t="shared" si="762"/>
        <v>95.824686185703342</v>
      </c>
      <c r="AB495" s="1766">
        <f t="shared" si="762"/>
        <v>100.81581395191769</v>
      </c>
      <c r="AC495" s="1566">
        <f t="shared" si="762"/>
        <v>103.7592730115022</v>
      </c>
      <c r="AD495" s="1566">
        <f t="shared" si="762"/>
        <v>106.89175988410287</v>
      </c>
      <c r="AE495" s="1566">
        <f t="shared" si="762"/>
        <v>110.16347261321751</v>
      </c>
      <c r="AF495" s="1566">
        <f t="shared" si="762"/>
        <v>113.53733049437615</v>
      </c>
      <c r="AG495" s="1766">
        <f t="shared" si="762"/>
        <v>116.80135983747029</v>
      </c>
      <c r="AH495" s="1566">
        <f>SUM(AH472:AH473,AH476:AH477,AH480:AH481,AH484:AH485,AH488:AH489,AH492:AH493)</f>
        <v>120.16323238658048</v>
      </c>
      <c r="AI495" s="1566">
        <f>SUM(AI472:AI473,AI476:AI477,AI480:AI481,AI484:AI485,AI488:AI489,AI492:AI493)</f>
        <v>123.62595031452092</v>
      </c>
      <c r="AJ495" s="1566">
        <f>SUM(AJ472:AJ473,AJ476:AJ477,AJ480:AJ481,AJ484:AJ485,AJ488:AJ489,AJ492:AJ493)</f>
        <v>127.19260930813347</v>
      </c>
      <c r="AK495" s="1566">
        <f>SUM(AK472:AK473,AK476:AK477,AK480:AK481,AK484:AK485,AK488:AK489,AK492:AK493)</f>
        <v>130.86640151048346</v>
      </c>
      <c r="AL495" s="1766">
        <f>SUM(AL472:AL473,AL476:AL477,AL480:AL481,AL484:AL485,AL488:AL489,AL492:AL493)</f>
        <v>134.6506185562466</v>
      </c>
    </row>
    <row r="496" spans="8:79" s="999" customFormat="1" x14ac:dyDescent="0.3">
      <c r="H496" s="1018"/>
      <c r="I496" s="1019" t="s">
        <v>688</v>
      </c>
      <c r="J496" s="1020"/>
      <c r="K496" s="1021"/>
      <c r="L496" s="1021"/>
      <c r="M496" s="1022"/>
      <c r="N496" s="1153"/>
      <c r="O496" s="1153"/>
      <c r="P496" s="1153"/>
      <c r="Q496" s="1153"/>
      <c r="R496" s="1767"/>
      <c r="S496" s="1768"/>
      <c r="T496" s="1768"/>
      <c r="U496" s="1768"/>
      <c r="V496" s="1768"/>
      <c r="W496" s="2245">
        <f t="shared" ref="W496:AL496" si="763">W495-W455</f>
        <v>0</v>
      </c>
      <c r="X496" s="1768">
        <f t="shared" si="763"/>
        <v>0</v>
      </c>
      <c r="Y496" s="1768">
        <f t="shared" si="763"/>
        <v>0</v>
      </c>
      <c r="Z496" s="1768">
        <f t="shared" si="763"/>
        <v>0</v>
      </c>
      <c r="AA496" s="1768">
        <f t="shared" si="763"/>
        <v>0</v>
      </c>
      <c r="AB496" s="1767">
        <f t="shared" si="763"/>
        <v>0</v>
      </c>
      <c r="AC496" s="1769">
        <f t="shared" si="763"/>
        <v>0</v>
      </c>
      <c r="AD496" s="1769">
        <f t="shared" si="763"/>
        <v>0</v>
      </c>
      <c r="AE496" s="1769">
        <f t="shared" si="763"/>
        <v>0</v>
      </c>
      <c r="AF496" s="1769">
        <f t="shared" si="763"/>
        <v>0</v>
      </c>
      <c r="AG496" s="1770">
        <f t="shared" si="763"/>
        <v>0</v>
      </c>
      <c r="AH496" s="1769">
        <f t="shared" si="763"/>
        <v>0</v>
      </c>
      <c r="AI496" s="1769">
        <f t="shared" si="763"/>
        <v>0</v>
      </c>
      <c r="AJ496" s="1769">
        <f t="shared" si="763"/>
        <v>0</v>
      </c>
      <c r="AK496" s="1769">
        <f t="shared" si="763"/>
        <v>0</v>
      </c>
      <c r="AL496" s="1770">
        <f t="shared" si="763"/>
        <v>0</v>
      </c>
      <c r="AN496" s="990"/>
      <c r="AP496" s="73"/>
      <c r="AQ496" s="73"/>
      <c r="AR496" s="72"/>
      <c r="AS496" s="73"/>
      <c r="AT496" s="73"/>
      <c r="AU496" s="73"/>
      <c r="AV496" s="73"/>
      <c r="AW496" s="73"/>
      <c r="AX496" s="73"/>
      <c r="AY496" s="73"/>
      <c r="AZ496" s="73"/>
      <c r="BA496" s="73"/>
      <c r="BB496" s="73"/>
      <c r="BC496" s="73"/>
      <c r="BD496" s="73"/>
      <c r="BE496" s="73"/>
      <c r="BF496" s="73"/>
      <c r="BG496" s="73"/>
      <c r="BH496" s="126"/>
      <c r="BI496" s="73"/>
      <c r="BJ496" s="73"/>
      <c r="BK496" s="72"/>
      <c r="BL496" s="73"/>
      <c r="BM496" s="73"/>
      <c r="BN496" s="73"/>
      <c r="BO496" s="73"/>
      <c r="BP496" s="73"/>
      <c r="BQ496" s="73"/>
      <c r="BR496" s="73"/>
      <c r="BS496" s="73"/>
      <c r="BT496" s="73"/>
      <c r="BU496" s="73"/>
      <c r="BV496" s="73"/>
      <c r="BW496" s="73"/>
      <c r="BX496" s="73"/>
      <c r="BY496" s="73"/>
      <c r="BZ496" s="73"/>
      <c r="CA496" s="126"/>
    </row>
    <row r="497" spans="8:79" s="999" customFormat="1" x14ac:dyDescent="0.3">
      <c r="H497" s="1018"/>
      <c r="I497" s="1001"/>
      <c r="J497" s="1002"/>
      <c r="K497" s="1003"/>
      <c r="L497" s="1003"/>
      <c r="M497" s="1004"/>
      <c r="N497" s="1006"/>
      <c r="O497" s="1006"/>
      <c r="P497" s="1006"/>
      <c r="Q497" s="1006"/>
      <c r="R497" s="1005"/>
      <c r="S497" s="1006"/>
      <c r="T497" s="1006"/>
      <c r="U497" s="1006"/>
      <c r="V497" s="1006"/>
      <c r="W497" s="2246"/>
      <c r="X497" s="1006"/>
      <c r="Y497" s="1006"/>
      <c r="Z497" s="1006"/>
      <c r="AA497" s="1006"/>
      <c r="AB497" s="1005"/>
      <c r="AC497" s="1006"/>
      <c r="AD497" s="1006"/>
      <c r="AE497" s="1006"/>
      <c r="AF497" s="1006"/>
      <c r="AG497" s="1007"/>
      <c r="AH497" s="1006"/>
      <c r="AI497" s="1006"/>
      <c r="AJ497" s="1006"/>
      <c r="AK497" s="1006"/>
      <c r="AL497" s="1007"/>
      <c r="AN497" s="990"/>
      <c r="AP497" s="73"/>
      <c r="AQ497" s="73"/>
      <c r="AR497" s="72"/>
      <c r="AS497" s="73"/>
      <c r="AT497" s="73"/>
      <c r="AU497" s="73"/>
      <c r="AV497" s="73"/>
      <c r="AW497" s="73"/>
      <c r="AX497" s="73"/>
      <c r="AY497" s="73"/>
      <c r="AZ497" s="73"/>
      <c r="BA497" s="73"/>
      <c r="BB497" s="73"/>
      <c r="BC497" s="73"/>
      <c r="BD497" s="73"/>
      <c r="BE497" s="73"/>
      <c r="BF497" s="73"/>
      <c r="BG497" s="73"/>
      <c r="BH497" s="126"/>
      <c r="BI497" s="73"/>
      <c r="BJ497" s="73"/>
      <c r="BK497" s="72"/>
      <c r="BL497" s="73"/>
      <c r="BM497" s="73"/>
      <c r="BN497" s="73"/>
      <c r="BO497" s="73"/>
      <c r="BP497" s="73"/>
      <c r="BQ497" s="73"/>
      <c r="BR497" s="73"/>
      <c r="BS497" s="73"/>
      <c r="BT497" s="73"/>
      <c r="BU497" s="73"/>
      <c r="BV497" s="73"/>
      <c r="BW497" s="73"/>
      <c r="BX497" s="73"/>
      <c r="BY497" s="73"/>
      <c r="BZ497" s="73"/>
      <c r="CA497" s="126"/>
    </row>
    <row r="498" spans="8:79" s="103" customFormat="1" x14ac:dyDescent="0.3">
      <c r="H498" s="1023"/>
      <c r="I498" s="1755" t="str">
        <f>I471</f>
        <v>Water</v>
      </c>
      <c r="J498" s="994"/>
      <c r="K498" s="1771"/>
      <c r="L498" s="1771"/>
      <c r="M498" s="1773"/>
      <c r="N498" s="1774"/>
      <c r="O498" s="1774"/>
      <c r="P498" s="1774"/>
      <c r="Q498" s="1774"/>
      <c r="R498" s="1775"/>
      <c r="S498" s="1774"/>
      <c r="T498" s="1774"/>
      <c r="U498" s="1774"/>
      <c r="V498" s="1774"/>
      <c r="W498" s="2247">
        <f t="shared" ref="W498:AG498" si="764">IFERROR(W471/W$495,"-")</f>
        <v>0.46650224859425804</v>
      </c>
      <c r="X498" s="1774">
        <f t="shared" si="764"/>
        <v>0.47535908187525094</v>
      </c>
      <c r="Y498" s="1774">
        <f t="shared" si="764"/>
        <v>0.46547444519750714</v>
      </c>
      <c r="Z498" s="1774">
        <f t="shared" si="764"/>
        <v>0.46234258408779283</v>
      </c>
      <c r="AA498" s="1774">
        <f t="shared" si="764"/>
        <v>0.48515970283853121</v>
      </c>
      <c r="AB498" s="1775">
        <f t="shared" si="764"/>
        <v>0.49487024216111908</v>
      </c>
      <c r="AC498" s="1774">
        <f t="shared" si="764"/>
        <v>0.49916659440556976</v>
      </c>
      <c r="AD498" s="1774">
        <f t="shared" si="764"/>
        <v>0.49892904761853774</v>
      </c>
      <c r="AE498" s="1774">
        <f t="shared" si="764"/>
        <v>0.49854574976483124</v>
      </c>
      <c r="AF498" s="1774">
        <f t="shared" si="764"/>
        <v>0.49816663254447946</v>
      </c>
      <c r="AG498" s="1776">
        <f t="shared" si="764"/>
        <v>0.49686636099995807</v>
      </c>
      <c r="AH498" s="1774">
        <f>IFERROR(AH471/AH$495,"-")</f>
        <v>0.49557521872743998</v>
      </c>
      <c r="AI498" s="1774">
        <f>IFERROR(AI471/AI$495,"-")</f>
        <v>0.49429316777279886</v>
      </c>
      <c r="AJ498" s="1774">
        <f>IFERROR(AJ471/AJ$495,"-")</f>
        <v>0.4930201696925896</v>
      </c>
      <c r="AK498" s="1774">
        <f>IFERROR(AK471/AK$495,"-")</f>
        <v>0.49175618557313627</v>
      </c>
      <c r="AL498" s="1776">
        <f>IFERROR(AL471/AL$495,"-")</f>
        <v>0.49050117604919008</v>
      </c>
      <c r="AN498" s="990"/>
      <c r="AP498" s="999"/>
      <c r="AQ498" s="999"/>
      <c r="AR498" s="1008"/>
      <c r="AS498" s="999"/>
      <c r="AT498" s="999"/>
      <c r="AU498" s="999"/>
      <c r="AV498" s="999"/>
      <c r="AW498" s="999"/>
      <c r="AX498" s="999"/>
      <c r="AY498" s="999"/>
      <c r="AZ498" s="999"/>
      <c r="BA498" s="999"/>
      <c r="BB498" s="999"/>
      <c r="BC498" s="999"/>
      <c r="BD498" s="999"/>
      <c r="BE498" s="999"/>
      <c r="BF498" s="999"/>
      <c r="BG498" s="999"/>
      <c r="BH498" s="1009"/>
      <c r="BI498" s="999"/>
      <c r="BJ498" s="999"/>
      <c r="BK498" s="1008"/>
      <c r="BL498" s="999"/>
      <c r="BM498" s="999"/>
      <c r="BN498" s="999"/>
      <c r="BO498" s="999"/>
      <c r="BP498" s="999"/>
      <c r="BQ498" s="999"/>
      <c r="BR498" s="999"/>
      <c r="BS498" s="999"/>
      <c r="BT498" s="999"/>
      <c r="BU498" s="999"/>
      <c r="BV498" s="999"/>
      <c r="BW498" s="999"/>
      <c r="BX498" s="999"/>
      <c r="BY498" s="999"/>
      <c r="BZ498" s="999"/>
      <c r="CA498" s="1009"/>
    </row>
    <row r="499" spans="8:79" x14ac:dyDescent="0.3">
      <c r="H499" s="1024"/>
      <c r="I499" s="1756" t="str">
        <f>I472</f>
        <v>Fixed</v>
      </c>
      <c r="J499" s="998"/>
      <c r="K499" s="1772"/>
      <c r="L499" s="1772"/>
      <c r="M499" s="1777"/>
      <c r="N499" s="1778"/>
      <c r="O499" s="1778"/>
      <c r="P499" s="1778"/>
      <c r="Q499" s="1778"/>
      <c r="R499" s="1779"/>
      <c r="S499" s="1778"/>
      <c r="T499" s="1778"/>
      <c r="U499" s="1778"/>
      <c r="V499" s="1778"/>
      <c r="W499" s="2248">
        <f t="shared" ref="W499:AG499" si="765">IFERROR(W472/W$471,"-")</f>
        <v>0.36128675004838362</v>
      </c>
      <c r="X499" s="1778">
        <f t="shared" si="765"/>
        <v>0.35670182764395425</v>
      </c>
      <c r="Y499" s="1778">
        <f t="shared" si="765"/>
        <v>0.36618027643283407</v>
      </c>
      <c r="Z499" s="1778">
        <f t="shared" si="765"/>
        <v>0.36861917159032387</v>
      </c>
      <c r="AA499" s="1778">
        <f t="shared" si="765"/>
        <v>0.39244996141325511</v>
      </c>
      <c r="AB499" s="1779">
        <f t="shared" si="765"/>
        <v>0.3919620054486686</v>
      </c>
      <c r="AC499" s="1778">
        <f t="shared" si="765"/>
        <v>0.38501171663776496</v>
      </c>
      <c r="AD499" s="1778">
        <f t="shared" si="765"/>
        <v>0.38472315271435953</v>
      </c>
      <c r="AE499" s="1778">
        <f t="shared" si="765"/>
        <v>0.38450350335435118</v>
      </c>
      <c r="AF499" s="1778">
        <f t="shared" si="765"/>
        <v>0.38429900477396511</v>
      </c>
      <c r="AG499" s="1780">
        <f t="shared" si="765"/>
        <v>0.38553355852678989</v>
      </c>
      <c r="AH499" s="1778">
        <f t="shared" ref="AH499:AL500" si="766">IFERROR(AH472/AH$471,"-")</f>
        <v>0.3867786692429282</v>
      </c>
      <c r="AI499" s="1778">
        <f t="shared" si="766"/>
        <v>0.38803403816873067</v>
      </c>
      <c r="AJ499" s="1778">
        <f t="shared" si="766"/>
        <v>0.389299369408525</v>
      </c>
      <c r="AK499" s="1778">
        <f t="shared" si="766"/>
        <v>0.39057436995819966</v>
      </c>
      <c r="AL499" s="1780">
        <f t="shared" si="766"/>
        <v>0.39185874973672707</v>
      </c>
      <c r="AN499" s="1013"/>
      <c r="AP499" s="103"/>
      <c r="AQ499" s="103"/>
      <c r="AR499" s="105"/>
      <c r="AS499" s="103"/>
      <c r="AT499" s="103"/>
      <c r="AU499" s="103"/>
      <c r="AV499" s="103"/>
      <c r="AW499" s="103"/>
      <c r="AX499" s="103"/>
      <c r="AY499" s="103"/>
      <c r="AZ499" s="103"/>
      <c r="BA499" s="103"/>
      <c r="BB499" s="103"/>
      <c r="BC499" s="103"/>
      <c r="BD499" s="103"/>
      <c r="BE499" s="103"/>
      <c r="BF499" s="103"/>
      <c r="BG499" s="103"/>
      <c r="BH499" s="995"/>
      <c r="BI499" s="103"/>
      <c r="BJ499" s="103"/>
      <c r="BK499" s="105"/>
      <c r="BL499" s="103"/>
      <c r="BM499" s="103"/>
      <c r="BN499" s="103"/>
      <c r="BO499" s="103"/>
      <c r="BP499" s="103"/>
      <c r="BQ499" s="103"/>
      <c r="BR499" s="103"/>
      <c r="BS499" s="103"/>
      <c r="BT499" s="103"/>
      <c r="BU499" s="103"/>
      <c r="BV499" s="103"/>
      <c r="BW499" s="103"/>
      <c r="BX499" s="103"/>
      <c r="BY499" s="103"/>
      <c r="BZ499" s="103"/>
      <c r="CA499" s="995"/>
    </row>
    <row r="500" spans="8:79" x14ac:dyDescent="0.3">
      <c r="H500" s="1024"/>
      <c r="I500" s="1756" t="str">
        <f>I473</f>
        <v>Variable</v>
      </c>
      <c r="J500" s="998"/>
      <c r="K500" s="1772"/>
      <c r="L500" s="1772"/>
      <c r="M500" s="1777"/>
      <c r="N500" s="1778"/>
      <c r="O500" s="1778"/>
      <c r="P500" s="1778"/>
      <c r="Q500" s="1778"/>
      <c r="R500" s="1779"/>
      <c r="S500" s="1778"/>
      <c r="T500" s="1778"/>
      <c r="U500" s="1778"/>
      <c r="V500" s="1778"/>
      <c r="W500" s="2248">
        <f t="shared" ref="W500:AG500" si="767">IFERROR(W473/W$471,"-")</f>
        <v>0.63871324995161638</v>
      </c>
      <c r="X500" s="1778">
        <f t="shared" si="767"/>
        <v>0.64329817235604581</v>
      </c>
      <c r="Y500" s="1778">
        <f t="shared" si="767"/>
        <v>0.63381972356716587</v>
      </c>
      <c r="Z500" s="1778">
        <f t="shared" si="767"/>
        <v>0.63138082840967613</v>
      </c>
      <c r="AA500" s="1778">
        <f t="shared" si="767"/>
        <v>0.60755003858674494</v>
      </c>
      <c r="AB500" s="1779">
        <f t="shared" si="767"/>
        <v>0.60803799455133145</v>
      </c>
      <c r="AC500" s="1778">
        <f t="shared" si="767"/>
        <v>0.61498828336223499</v>
      </c>
      <c r="AD500" s="1778">
        <f t="shared" si="767"/>
        <v>0.61527684728564047</v>
      </c>
      <c r="AE500" s="1778">
        <f t="shared" si="767"/>
        <v>0.61549649664564876</v>
      </c>
      <c r="AF500" s="1778">
        <f t="shared" si="767"/>
        <v>0.61570099522603494</v>
      </c>
      <c r="AG500" s="1780">
        <f t="shared" si="767"/>
        <v>0.61446644147321006</v>
      </c>
      <c r="AH500" s="1778">
        <f t="shared" si="766"/>
        <v>0.61322133075707186</v>
      </c>
      <c r="AI500" s="1778">
        <f t="shared" si="766"/>
        <v>0.61196596183126939</v>
      </c>
      <c r="AJ500" s="1778">
        <f t="shared" si="766"/>
        <v>0.61070063059147495</v>
      </c>
      <c r="AK500" s="1778">
        <f t="shared" si="766"/>
        <v>0.60942563004180028</v>
      </c>
      <c r="AL500" s="1780">
        <f t="shared" si="766"/>
        <v>0.60814125026327304</v>
      </c>
      <c r="AN500" s="1010"/>
      <c r="AP500" s="103"/>
      <c r="AQ500" s="103"/>
      <c r="AR500" s="105"/>
      <c r="AS500" s="103"/>
      <c r="AT500" s="103"/>
      <c r="AU500" s="103"/>
      <c r="AV500" s="103"/>
      <c r="AW500" s="103"/>
      <c r="AX500" s="103"/>
      <c r="AY500" s="103"/>
      <c r="AZ500" s="103"/>
      <c r="BA500" s="103"/>
      <c r="BB500" s="103"/>
      <c r="BC500" s="103"/>
      <c r="BD500" s="103"/>
      <c r="BE500" s="103"/>
      <c r="BF500" s="103"/>
      <c r="BG500" s="103"/>
      <c r="BH500" s="995"/>
      <c r="BI500" s="103"/>
      <c r="BJ500" s="103"/>
      <c r="BK500" s="105"/>
      <c r="BL500" s="103"/>
      <c r="BM500" s="103"/>
      <c r="BN500" s="103"/>
      <c r="BO500" s="103"/>
      <c r="BP500" s="103"/>
      <c r="BQ500" s="103"/>
      <c r="BR500" s="103"/>
      <c r="BS500" s="103"/>
      <c r="BT500" s="103"/>
      <c r="BU500" s="103"/>
      <c r="BV500" s="103"/>
      <c r="BW500" s="103"/>
      <c r="BX500" s="103"/>
      <c r="BY500" s="103"/>
      <c r="BZ500" s="103"/>
      <c r="CA500" s="995"/>
    </row>
    <row r="501" spans="8:79" s="999" customFormat="1" x14ac:dyDescent="0.3">
      <c r="H501" s="1018"/>
      <c r="I501" s="1001"/>
      <c r="J501" s="1002"/>
      <c r="K501" s="1003"/>
      <c r="L501" s="1003"/>
      <c r="M501" s="1004"/>
      <c r="N501" s="1006"/>
      <c r="O501" s="1006"/>
      <c r="P501" s="1006"/>
      <c r="Q501" s="1006"/>
      <c r="R501" s="1005"/>
      <c r="S501" s="1006"/>
      <c r="T501" s="1006"/>
      <c r="U501" s="1006"/>
      <c r="V501" s="1006"/>
      <c r="W501" s="2246"/>
      <c r="X501" s="1006"/>
      <c r="Y501" s="1006"/>
      <c r="Z501" s="1006"/>
      <c r="AA501" s="1006"/>
      <c r="AB501" s="1005"/>
      <c r="AC501" s="1006"/>
      <c r="AD501" s="1006"/>
      <c r="AE501" s="1006"/>
      <c r="AF501" s="1006"/>
      <c r="AG501" s="1007"/>
      <c r="AH501" s="1006"/>
      <c r="AI501" s="1006"/>
      <c r="AJ501" s="1006"/>
      <c r="AK501" s="1006"/>
      <c r="AL501" s="1007"/>
      <c r="AN501" s="990"/>
      <c r="AP501" s="73"/>
      <c r="AQ501" s="73"/>
      <c r="AR501" s="72"/>
      <c r="AS501" s="73"/>
      <c r="AT501" s="73"/>
      <c r="AU501" s="73"/>
      <c r="AV501" s="73"/>
      <c r="AW501" s="73"/>
      <c r="AX501" s="73"/>
      <c r="AY501" s="73"/>
      <c r="AZ501" s="73"/>
      <c r="BA501" s="73"/>
      <c r="BB501" s="73"/>
      <c r="BC501" s="73"/>
      <c r="BD501" s="73"/>
      <c r="BE501" s="73"/>
      <c r="BF501" s="73"/>
      <c r="BG501" s="73"/>
      <c r="BH501" s="126"/>
      <c r="BI501" s="73"/>
      <c r="BJ501" s="73"/>
      <c r="BK501" s="72"/>
      <c r="BL501" s="73"/>
      <c r="BM501" s="73"/>
      <c r="BN501" s="73"/>
      <c r="BO501" s="73"/>
      <c r="BP501" s="73"/>
      <c r="BQ501" s="73"/>
      <c r="BR501" s="73"/>
      <c r="BS501" s="73"/>
      <c r="BT501" s="73"/>
      <c r="BU501" s="73"/>
      <c r="BV501" s="73"/>
      <c r="BW501" s="73"/>
      <c r="BX501" s="73"/>
      <c r="BY501" s="73"/>
      <c r="BZ501" s="73"/>
      <c r="CA501" s="126"/>
    </row>
    <row r="502" spans="8:79" s="103" customFormat="1" x14ac:dyDescent="0.3">
      <c r="H502" s="1023"/>
      <c r="I502" s="1755" t="str">
        <f>I475</f>
        <v>Sewerage</v>
      </c>
      <c r="J502" s="994"/>
      <c r="K502" s="1771"/>
      <c r="L502" s="1771"/>
      <c r="M502" s="1773"/>
      <c r="N502" s="1774"/>
      <c r="O502" s="1774"/>
      <c r="P502" s="1774"/>
      <c r="Q502" s="1774"/>
      <c r="R502" s="1775"/>
      <c r="S502" s="1774"/>
      <c r="T502" s="1774"/>
      <c r="U502" s="1774"/>
      <c r="V502" s="1774"/>
      <c r="W502" s="2247">
        <f t="shared" ref="W502:AG502" si="768">IFERROR(W475/W$495,"-")</f>
        <v>0.51434569461560242</v>
      </c>
      <c r="X502" s="1774">
        <f t="shared" si="768"/>
        <v>0.50613092560616879</v>
      </c>
      <c r="Y502" s="1774">
        <f t="shared" si="768"/>
        <v>0.51573238452848524</v>
      </c>
      <c r="Z502" s="1774">
        <f t="shared" si="768"/>
        <v>0.52000831163673744</v>
      </c>
      <c r="AA502" s="1774">
        <f t="shared" si="768"/>
        <v>0.49660129622299498</v>
      </c>
      <c r="AB502" s="1775">
        <f t="shared" si="768"/>
        <v>0.48673019034137566</v>
      </c>
      <c r="AC502" s="1774">
        <f t="shared" si="768"/>
        <v>0.48295579986545983</v>
      </c>
      <c r="AD502" s="1774">
        <f t="shared" si="768"/>
        <v>0.48354371689210529</v>
      </c>
      <c r="AE502" s="1774">
        <f t="shared" si="768"/>
        <v>0.48410571632754107</v>
      </c>
      <c r="AF502" s="1774">
        <f t="shared" si="768"/>
        <v>0.48466201646640028</v>
      </c>
      <c r="AG502" s="1776">
        <f t="shared" si="768"/>
        <v>0.48610664461371783</v>
      </c>
      <c r="AH502" s="1774">
        <f>IFERROR(AH475/AH$495,"-")</f>
        <v>0.48754149295258481</v>
      </c>
      <c r="AI502" s="1774">
        <f>IFERROR(AI475/AI$495,"-")</f>
        <v>0.4889665897652884</v>
      </c>
      <c r="AJ502" s="1774">
        <f>IFERROR(AJ475/AJ$495,"-")</f>
        <v>0.49038196416700935</v>
      </c>
      <c r="AK502" s="1774">
        <f>IFERROR(AK475/AK$495,"-")</f>
        <v>0.49178764608154973</v>
      </c>
      <c r="AL502" s="1776">
        <f>IFERROR(AL475/AL$495,"-")</f>
        <v>0.49318366621748144</v>
      </c>
      <c r="AN502" s="990"/>
      <c r="AP502" s="73"/>
      <c r="AQ502" s="73"/>
      <c r="AR502" s="72"/>
      <c r="AS502" s="73"/>
      <c r="AT502" s="73"/>
      <c r="AU502" s="73"/>
      <c r="AV502" s="73"/>
      <c r="AW502" s="73"/>
      <c r="AX502" s="73"/>
      <c r="AY502" s="73"/>
      <c r="AZ502" s="73"/>
      <c r="BA502" s="73"/>
      <c r="BB502" s="73"/>
      <c r="BC502" s="73"/>
      <c r="BD502" s="73"/>
      <c r="BE502" s="73"/>
      <c r="BF502" s="73"/>
      <c r="BG502" s="73"/>
      <c r="BH502" s="126"/>
      <c r="BI502" s="73"/>
      <c r="BJ502" s="73"/>
      <c r="BK502" s="72"/>
      <c r="BL502" s="73"/>
      <c r="BM502" s="73"/>
      <c r="BN502" s="73"/>
      <c r="BO502" s="73"/>
      <c r="BP502" s="73"/>
      <c r="BQ502" s="73"/>
      <c r="BR502" s="73"/>
      <c r="BS502" s="73"/>
      <c r="BT502" s="73"/>
      <c r="BU502" s="73"/>
      <c r="BV502" s="73"/>
      <c r="BW502" s="73"/>
      <c r="BX502" s="73"/>
      <c r="BY502" s="73"/>
      <c r="BZ502" s="73"/>
      <c r="CA502" s="126"/>
    </row>
    <row r="503" spans="8:79" x14ac:dyDescent="0.3">
      <c r="H503" s="1024"/>
      <c r="I503" s="1756" t="str">
        <f>I476</f>
        <v>Fixed</v>
      </c>
      <c r="J503" s="998"/>
      <c r="K503" s="1772"/>
      <c r="L503" s="1772"/>
      <c r="M503" s="1777"/>
      <c r="N503" s="1778"/>
      <c r="O503" s="1778"/>
      <c r="P503" s="1778"/>
      <c r="Q503" s="1778"/>
      <c r="R503" s="1779"/>
      <c r="S503" s="1778"/>
      <c r="T503" s="1778"/>
      <c r="U503" s="1778"/>
      <c r="V503" s="1778"/>
      <c r="W503" s="2248">
        <f t="shared" ref="W503:AG503" si="769">IFERROR(W476/W$475,"-")</f>
        <v>0.98112416506882427</v>
      </c>
      <c r="X503" s="1778">
        <f t="shared" si="769"/>
        <v>0.9802382631009896</v>
      </c>
      <c r="Y503" s="1778">
        <f t="shared" si="769"/>
        <v>0.98127384609215285</v>
      </c>
      <c r="Z503" s="1778">
        <f t="shared" si="769"/>
        <v>0.98302401863187561</v>
      </c>
      <c r="AA503" s="1778">
        <f t="shared" si="769"/>
        <v>0.97807463990761423</v>
      </c>
      <c r="AB503" s="1779">
        <f t="shared" si="769"/>
        <v>0.97743360325684259</v>
      </c>
      <c r="AC503" s="1778">
        <f t="shared" si="769"/>
        <v>0.97790241266794153</v>
      </c>
      <c r="AD503" s="1778">
        <f t="shared" si="769"/>
        <v>0.97836182808462613</v>
      </c>
      <c r="AE503" s="1778">
        <f t="shared" si="769"/>
        <v>0.97860730703137677</v>
      </c>
      <c r="AF503" s="1778">
        <f t="shared" si="769"/>
        <v>0.97885009746826424</v>
      </c>
      <c r="AG503" s="1780">
        <f t="shared" si="769"/>
        <v>0.97909022666357881</v>
      </c>
      <c r="AH503" s="1778">
        <f t="shared" ref="AH503:AL504" si="770">IFERROR(AH476/AH$475,"-")</f>
        <v>0.97932772165829451</v>
      </c>
      <c r="AI503" s="1778">
        <f t="shared" si="770"/>
        <v>0.9795626092668166</v>
      </c>
      <c r="AJ503" s="1778">
        <f t="shared" si="770"/>
        <v>0.97979491607775793</v>
      </c>
      <c r="AK503" s="1778">
        <f t="shared" si="770"/>
        <v>0.98002466845474145</v>
      </c>
      <c r="AL503" s="1780">
        <f t="shared" si="770"/>
        <v>0.98025189253722866</v>
      </c>
    </row>
    <row r="504" spans="8:79" x14ac:dyDescent="0.3">
      <c r="H504" s="1024"/>
      <c r="I504" s="1756" t="str">
        <f>I477</f>
        <v>Variable</v>
      </c>
      <c r="J504" s="998"/>
      <c r="K504" s="1772"/>
      <c r="L504" s="1772"/>
      <c r="M504" s="1777"/>
      <c r="N504" s="1778"/>
      <c r="O504" s="1778"/>
      <c r="P504" s="1778"/>
      <c r="Q504" s="1778"/>
      <c r="R504" s="1779"/>
      <c r="S504" s="1778"/>
      <c r="T504" s="1778"/>
      <c r="U504" s="1778"/>
      <c r="V504" s="1778"/>
      <c r="W504" s="2248">
        <f t="shared" ref="W504:AG504" si="771">IFERROR(W477/W$475,"-")</f>
        <v>1.8875834931175787E-2</v>
      </c>
      <c r="X504" s="1778">
        <f t="shared" si="771"/>
        <v>1.9761736899010333E-2</v>
      </c>
      <c r="Y504" s="1778">
        <f t="shared" si="771"/>
        <v>1.872615390784714E-2</v>
      </c>
      <c r="Z504" s="1778">
        <f t="shared" si="771"/>
        <v>1.6975981368124435E-2</v>
      </c>
      <c r="AA504" s="1778">
        <f t="shared" si="771"/>
        <v>2.1925360092385788E-2</v>
      </c>
      <c r="AB504" s="1779">
        <f t="shared" si="771"/>
        <v>2.2566396743157427E-2</v>
      </c>
      <c r="AC504" s="1778">
        <f t="shared" si="771"/>
        <v>2.2097587332058466E-2</v>
      </c>
      <c r="AD504" s="1778">
        <f t="shared" si="771"/>
        <v>2.1638171915373833E-2</v>
      </c>
      <c r="AE504" s="1778">
        <f t="shared" si="771"/>
        <v>2.1392692968623256E-2</v>
      </c>
      <c r="AF504" s="1778">
        <f t="shared" si="771"/>
        <v>2.1149902531735671E-2</v>
      </c>
      <c r="AG504" s="1780">
        <f t="shared" si="771"/>
        <v>2.0909773336421113E-2</v>
      </c>
      <c r="AH504" s="1778">
        <f t="shared" si="770"/>
        <v>2.0672278341705541E-2</v>
      </c>
      <c r="AI504" s="1778">
        <f t="shared" si="770"/>
        <v>2.0437390733183389E-2</v>
      </c>
      <c r="AJ504" s="1778">
        <f t="shared" si="770"/>
        <v>2.0205083922241979E-2</v>
      </c>
      <c r="AK504" s="1778">
        <f t="shared" si="770"/>
        <v>1.9975331545258625E-2</v>
      </c>
      <c r="AL504" s="1780">
        <f t="shared" si="770"/>
        <v>1.9748107462771471E-2</v>
      </c>
    </row>
    <row r="505" spans="8:79" s="999" customFormat="1" x14ac:dyDescent="0.3">
      <c r="H505" s="1018"/>
      <c r="I505" s="1001"/>
      <c r="J505" s="1002"/>
      <c r="K505" s="1003"/>
      <c r="L505" s="1003"/>
      <c r="M505" s="1004"/>
      <c r="N505" s="1006"/>
      <c r="O505" s="1006"/>
      <c r="P505" s="1006"/>
      <c r="Q505" s="1006"/>
      <c r="R505" s="1005"/>
      <c r="S505" s="1006"/>
      <c r="T505" s="1006"/>
      <c r="U505" s="1006"/>
      <c r="V505" s="1006"/>
      <c r="W505" s="2246"/>
      <c r="X505" s="1006"/>
      <c r="Y505" s="1006"/>
      <c r="Z505" s="1006"/>
      <c r="AA505" s="1006"/>
      <c r="AB505" s="1005"/>
      <c r="AC505" s="1006"/>
      <c r="AD505" s="1006"/>
      <c r="AE505" s="1006"/>
      <c r="AF505" s="1006"/>
      <c r="AG505" s="1007"/>
      <c r="AH505" s="1006"/>
      <c r="AI505" s="1006"/>
      <c r="AJ505" s="1006"/>
      <c r="AK505" s="1006"/>
      <c r="AL505" s="1007"/>
      <c r="AN505" s="1013"/>
      <c r="AP505" s="73"/>
      <c r="AQ505" s="73"/>
      <c r="AR505" s="72"/>
      <c r="AS505" s="73"/>
      <c r="AT505" s="73"/>
      <c r="AU505" s="73"/>
      <c r="AV505" s="73"/>
      <c r="AW505" s="73"/>
      <c r="AX505" s="73"/>
      <c r="AY505" s="73"/>
      <c r="AZ505" s="73"/>
      <c r="BA505" s="73"/>
      <c r="BB505" s="73"/>
      <c r="BC505" s="73"/>
      <c r="BD505" s="73"/>
      <c r="BE505" s="73"/>
      <c r="BF505" s="73"/>
      <c r="BG505" s="73"/>
      <c r="BH505" s="126"/>
      <c r="BI505" s="73"/>
      <c r="BJ505" s="73"/>
      <c r="BK505" s="72"/>
      <c r="BL505" s="73"/>
      <c r="BM505" s="73"/>
      <c r="BN505" s="73"/>
      <c r="BO505" s="73"/>
      <c r="BP505" s="73"/>
      <c r="BQ505" s="73"/>
      <c r="BR505" s="73"/>
      <c r="BS505" s="73"/>
      <c r="BT505" s="73"/>
      <c r="BU505" s="73"/>
      <c r="BV505" s="73"/>
      <c r="BW505" s="73"/>
      <c r="BX505" s="73"/>
      <c r="BY505" s="73"/>
      <c r="BZ505" s="73"/>
      <c r="CA505" s="126"/>
    </row>
    <row r="506" spans="8:79" s="103" customFormat="1" x14ac:dyDescent="0.3">
      <c r="H506" s="1023"/>
      <c r="I506" s="1763" t="str">
        <f>I479</f>
        <v>Recycled Water</v>
      </c>
      <c r="J506" s="1011"/>
      <c r="K506" s="1771"/>
      <c r="L506" s="1771"/>
      <c r="M506" s="1773"/>
      <c r="N506" s="1774"/>
      <c r="O506" s="1774"/>
      <c r="P506" s="1774"/>
      <c r="Q506" s="1774"/>
      <c r="R506" s="1775"/>
      <c r="S506" s="1774"/>
      <c r="T506" s="1774"/>
      <c r="U506" s="1774"/>
      <c r="V506" s="1774"/>
      <c r="W506" s="2247">
        <f t="shared" ref="W506:AG506" si="772">IFERROR(W479/W$495,"-")</f>
        <v>0</v>
      </c>
      <c r="X506" s="1774">
        <f t="shared" si="772"/>
        <v>0</v>
      </c>
      <c r="Y506" s="1774">
        <f t="shared" si="772"/>
        <v>0</v>
      </c>
      <c r="Z506" s="1774">
        <f t="shared" si="772"/>
        <v>0</v>
      </c>
      <c r="AA506" s="1774">
        <f t="shared" si="772"/>
        <v>0</v>
      </c>
      <c r="AB506" s="1775">
        <f t="shared" si="772"/>
        <v>0</v>
      </c>
      <c r="AC506" s="1774">
        <f t="shared" si="772"/>
        <v>0</v>
      </c>
      <c r="AD506" s="1774">
        <f t="shared" si="772"/>
        <v>0</v>
      </c>
      <c r="AE506" s="1774">
        <f t="shared" si="772"/>
        <v>0</v>
      </c>
      <c r="AF506" s="1774">
        <f t="shared" si="772"/>
        <v>0</v>
      </c>
      <c r="AG506" s="1776">
        <f t="shared" si="772"/>
        <v>0</v>
      </c>
      <c r="AH506" s="1774">
        <f>IFERROR(AH479/AH$495,"-")</f>
        <v>0</v>
      </c>
      <c r="AI506" s="1774">
        <f>IFERROR(AI479/AI$495,"-")</f>
        <v>0</v>
      </c>
      <c r="AJ506" s="1774">
        <f>IFERROR(AJ479/AJ$495,"-")</f>
        <v>0</v>
      </c>
      <c r="AK506" s="1774">
        <f>IFERROR(AK479/AK$495,"-")</f>
        <v>0</v>
      </c>
      <c r="AL506" s="1776">
        <f>IFERROR(AL479/AL$495,"-")</f>
        <v>0</v>
      </c>
      <c r="AN506" s="1010"/>
      <c r="AP506" s="73"/>
      <c r="AQ506" s="73"/>
      <c r="AR506" s="72"/>
      <c r="AS506" s="73"/>
      <c r="AT506" s="73"/>
      <c r="AU506" s="73"/>
      <c r="AV506" s="73"/>
      <c r="AW506" s="73"/>
      <c r="AX506" s="73"/>
      <c r="AY506" s="73"/>
      <c r="AZ506" s="73"/>
      <c r="BA506" s="73"/>
      <c r="BB506" s="73"/>
      <c r="BC506" s="73"/>
      <c r="BD506" s="73"/>
      <c r="BE506" s="73"/>
      <c r="BF506" s="73"/>
      <c r="BG506" s="73"/>
      <c r="BH506" s="126"/>
      <c r="BI506" s="73"/>
      <c r="BJ506" s="73"/>
      <c r="BK506" s="72"/>
      <c r="BL506" s="73"/>
      <c r="BM506" s="73"/>
      <c r="BN506" s="73"/>
      <c r="BO506" s="73"/>
      <c r="BP506" s="73"/>
      <c r="BQ506" s="73"/>
      <c r="BR506" s="73"/>
      <c r="BS506" s="73"/>
      <c r="BT506" s="73"/>
      <c r="BU506" s="73"/>
      <c r="BV506" s="73"/>
      <c r="BW506" s="73"/>
      <c r="BX506" s="73"/>
      <c r="BY506" s="73"/>
      <c r="BZ506" s="73"/>
      <c r="CA506" s="126"/>
    </row>
    <row r="507" spans="8:79" x14ac:dyDescent="0.3">
      <c r="H507" s="1028"/>
      <c r="I507" s="1756" t="str">
        <f>I480</f>
        <v>Fixed</v>
      </c>
      <c r="J507" s="998"/>
      <c r="K507" s="1772"/>
      <c r="L507" s="1772"/>
      <c r="M507" s="1777"/>
      <c r="N507" s="1778"/>
      <c r="O507" s="1778"/>
      <c r="P507" s="1778"/>
      <c r="Q507" s="1778"/>
      <c r="R507" s="1779"/>
      <c r="S507" s="1778"/>
      <c r="T507" s="1778"/>
      <c r="U507" s="1778"/>
      <c r="V507" s="1778"/>
      <c r="W507" s="2248" t="str">
        <f t="shared" ref="W507:AG507" si="773">IFERROR(W480/W$479,"-")</f>
        <v>-</v>
      </c>
      <c r="X507" s="1778" t="str">
        <f t="shared" si="773"/>
        <v>-</v>
      </c>
      <c r="Y507" s="1778" t="str">
        <f t="shared" si="773"/>
        <v>-</v>
      </c>
      <c r="Z507" s="1778" t="str">
        <f t="shared" si="773"/>
        <v>-</v>
      </c>
      <c r="AA507" s="1778" t="str">
        <f t="shared" si="773"/>
        <v>-</v>
      </c>
      <c r="AB507" s="1779" t="str">
        <f t="shared" si="773"/>
        <v>-</v>
      </c>
      <c r="AC507" s="1778" t="str">
        <f t="shared" si="773"/>
        <v>-</v>
      </c>
      <c r="AD507" s="1778" t="str">
        <f t="shared" si="773"/>
        <v>-</v>
      </c>
      <c r="AE507" s="1778" t="str">
        <f t="shared" si="773"/>
        <v>-</v>
      </c>
      <c r="AF507" s="1778" t="str">
        <f t="shared" si="773"/>
        <v>-</v>
      </c>
      <c r="AG507" s="1780" t="str">
        <f t="shared" si="773"/>
        <v>-</v>
      </c>
      <c r="AH507" s="1778" t="str">
        <f t="shared" ref="AH507:AL508" si="774">IFERROR(AH480/AH$479,"-")</f>
        <v>-</v>
      </c>
      <c r="AI507" s="1778" t="str">
        <f t="shared" si="774"/>
        <v>-</v>
      </c>
      <c r="AJ507" s="1778" t="str">
        <f t="shared" si="774"/>
        <v>-</v>
      </c>
      <c r="AK507" s="1778" t="str">
        <f t="shared" si="774"/>
        <v>-</v>
      </c>
      <c r="AL507" s="1780" t="str">
        <f t="shared" si="774"/>
        <v>-</v>
      </c>
      <c r="AP507" s="999"/>
      <c r="AQ507" s="999"/>
      <c r="AR507" s="1008"/>
      <c r="AS507" s="999"/>
      <c r="AT507" s="999"/>
      <c r="AU507" s="999"/>
      <c r="AV507" s="999"/>
      <c r="AW507" s="999"/>
      <c r="AX507" s="999"/>
      <c r="AY507" s="999"/>
      <c r="AZ507" s="999"/>
      <c r="BA507" s="999"/>
      <c r="BB507" s="999"/>
      <c r="BC507" s="999"/>
      <c r="BD507" s="999"/>
      <c r="BE507" s="999"/>
      <c r="BF507" s="999"/>
      <c r="BG507" s="999"/>
      <c r="BH507" s="1009"/>
      <c r="BI507" s="999"/>
      <c r="BJ507" s="999"/>
      <c r="BK507" s="1008"/>
      <c r="BL507" s="999"/>
      <c r="BM507" s="999"/>
      <c r="BN507" s="999"/>
      <c r="BO507" s="999"/>
      <c r="BP507" s="999"/>
      <c r="BQ507" s="999"/>
      <c r="BR507" s="999"/>
      <c r="BS507" s="999"/>
      <c r="BT507" s="999"/>
      <c r="BU507" s="999"/>
      <c r="BV507" s="999"/>
      <c r="BW507" s="999"/>
      <c r="BX507" s="999"/>
      <c r="BY507" s="999"/>
      <c r="BZ507" s="999"/>
      <c r="CA507" s="1009"/>
    </row>
    <row r="508" spans="8:79" x14ac:dyDescent="0.3">
      <c r="H508" s="1028"/>
      <c r="I508" s="1756" t="str">
        <f>I481</f>
        <v>Variable</v>
      </c>
      <c r="J508" s="998"/>
      <c r="K508" s="1772"/>
      <c r="L508" s="1772"/>
      <c r="M508" s="1777"/>
      <c r="N508" s="1778"/>
      <c r="O508" s="1778"/>
      <c r="P508" s="1778"/>
      <c r="Q508" s="1778"/>
      <c r="R508" s="1779"/>
      <c r="S508" s="1778"/>
      <c r="T508" s="1778"/>
      <c r="U508" s="1778"/>
      <c r="V508" s="1778"/>
      <c r="W508" s="2248" t="str">
        <f t="shared" ref="W508:AG508" si="775">IFERROR(W481/W$479,"-")</f>
        <v>-</v>
      </c>
      <c r="X508" s="1778" t="str">
        <f t="shared" si="775"/>
        <v>-</v>
      </c>
      <c r="Y508" s="1778" t="str">
        <f t="shared" si="775"/>
        <v>-</v>
      </c>
      <c r="Z508" s="1778" t="str">
        <f t="shared" si="775"/>
        <v>-</v>
      </c>
      <c r="AA508" s="1778" t="str">
        <f t="shared" si="775"/>
        <v>-</v>
      </c>
      <c r="AB508" s="1779" t="str">
        <f t="shared" si="775"/>
        <v>-</v>
      </c>
      <c r="AC508" s="1778" t="str">
        <f t="shared" si="775"/>
        <v>-</v>
      </c>
      <c r="AD508" s="1778" t="str">
        <f t="shared" si="775"/>
        <v>-</v>
      </c>
      <c r="AE508" s="1778" t="str">
        <f t="shared" si="775"/>
        <v>-</v>
      </c>
      <c r="AF508" s="1778" t="str">
        <f t="shared" si="775"/>
        <v>-</v>
      </c>
      <c r="AG508" s="1780" t="str">
        <f t="shared" si="775"/>
        <v>-</v>
      </c>
      <c r="AH508" s="1778" t="str">
        <f t="shared" si="774"/>
        <v>-</v>
      </c>
      <c r="AI508" s="1778" t="str">
        <f t="shared" si="774"/>
        <v>-</v>
      </c>
      <c r="AJ508" s="1778" t="str">
        <f t="shared" si="774"/>
        <v>-</v>
      </c>
      <c r="AK508" s="1778" t="str">
        <f t="shared" si="774"/>
        <v>-</v>
      </c>
      <c r="AL508" s="1780" t="str">
        <f t="shared" si="774"/>
        <v>-</v>
      </c>
      <c r="AP508" s="103"/>
      <c r="AQ508" s="103"/>
      <c r="AR508" s="105"/>
      <c r="AS508" s="103"/>
      <c r="AT508" s="103"/>
      <c r="AU508" s="103"/>
      <c r="AV508" s="103"/>
      <c r="AW508" s="103"/>
      <c r="AX508" s="103"/>
      <c r="AY508" s="103"/>
      <c r="AZ508" s="103"/>
      <c r="BA508" s="103"/>
      <c r="BB508" s="103"/>
      <c r="BC508" s="103"/>
      <c r="BD508" s="103"/>
      <c r="BE508" s="103"/>
      <c r="BF508" s="103"/>
      <c r="BG508" s="103"/>
      <c r="BH508" s="995"/>
      <c r="BI508" s="103"/>
      <c r="BJ508" s="103"/>
      <c r="BK508" s="105"/>
      <c r="BL508" s="103"/>
      <c r="BM508" s="103"/>
      <c r="BN508" s="103"/>
      <c r="BO508" s="103"/>
      <c r="BP508" s="103"/>
      <c r="BQ508" s="103"/>
      <c r="BR508" s="103"/>
      <c r="BS508" s="103"/>
      <c r="BT508" s="103"/>
      <c r="BU508" s="103"/>
      <c r="BV508" s="103"/>
      <c r="BW508" s="103"/>
      <c r="BX508" s="103"/>
      <c r="BY508" s="103"/>
      <c r="BZ508" s="103"/>
      <c r="CA508" s="995"/>
    </row>
    <row r="509" spans="8:79" s="999" customFormat="1" x14ac:dyDescent="0.3">
      <c r="H509" s="1018"/>
      <c r="I509" s="1001"/>
      <c r="J509" s="1002"/>
      <c r="K509" s="1003"/>
      <c r="L509" s="1003"/>
      <c r="M509" s="1004"/>
      <c r="N509" s="1006"/>
      <c r="O509" s="1006"/>
      <c r="P509" s="1006"/>
      <c r="Q509" s="1006"/>
      <c r="R509" s="1005"/>
      <c r="S509" s="1006"/>
      <c r="T509" s="1006"/>
      <c r="U509" s="1006"/>
      <c r="V509" s="1006"/>
      <c r="W509" s="2246"/>
      <c r="X509" s="1006"/>
      <c r="Y509" s="1006"/>
      <c r="Z509" s="1006"/>
      <c r="AA509" s="1006"/>
      <c r="AB509" s="1005"/>
      <c r="AC509" s="1006"/>
      <c r="AD509" s="1006"/>
      <c r="AE509" s="1006"/>
      <c r="AF509" s="1006"/>
      <c r="AG509" s="1007"/>
      <c r="AH509" s="1006"/>
      <c r="AI509" s="1006"/>
      <c r="AJ509" s="1006"/>
      <c r="AK509" s="1006"/>
      <c r="AL509" s="1007"/>
      <c r="AN509" s="990"/>
      <c r="AP509" s="103"/>
      <c r="AQ509" s="103"/>
      <c r="AR509" s="105"/>
      <c r="AS509" s="103"/>
      <c r="AT509" s="103"/>
      <c r="AU509" s="103"/>
      <c r="AV509" s="103"/>
      <c r="AW509" s="103"/>
      <c r="AX509" s="103"/>
      <c r="AY509" s="103"/>
      <c r="AZ509" s="103"/>
      <c r="BA509" s="103"/>
      <c r="BB509" s="103"/>
      <c r="BC509" s="103"/>
      <c r="BD509" s="103"/>
      <c r="BE509" s="103"/>
      <c r="BF509" s="103"/>
      <c r="BG509" s="103"/>
      <c r="BH509" s="995"/>
      <c r="BI509" s="103"/>
      <c r="BJ509" s="103"/>
      <c r="BK509" s="105"/>
      <c r="BL509" s="103"/>
      <c r="BM509" s="103"/>
      <c r="BN509" s="103"/>
      <c r="BO509" s="103"/>
      <c r="BP509" s="103"/>
      <c r="BQ509" s="103"/>
      <c r="BR509" s="103"/>
      <c r="BS509" s="103"/>
      <c r="BT509" s="103"/>
      <c r="BU509" s="103"/>
      <c r="BV509" s="103"/>
      <c r="BW509" s="103"/>
      <c r="BX509" s="103"/>
      <c r="BY509" s="103"/>
      <c r="BZ509" s="103"/>
      <c r="CA509" s="995"/>
    </row>
    <row r="510" spans="8:79" s="103" customFormat="1" x14ac:dyDescent="0.3">
      <c r="H510" s="1023"/>
      <c r="I510" s="1763" t="str">
        <f>I483</f>
        <v>Trade Waste</v>
      </c>
      <c r="J510" s="1011"/>
      <c r="K510" s="1771"/>
      <c r="L510" s="1771"/>
      <c r="M510" s="1773"/>
      <c r="N510" s="1774"/>
      <c r="O510" s="1774"/>
      <c r="P510" s="1774"/>
      <c r="Q510" s="1774"/>
      <c r="R510" s="1775"/>
      <c r="S510" s="1774"/>
      <c r="T510" s="1774"/>
      <c r="U510" s="1774"/>
      <c r="V510" s="1774"/>
      <c r="W510" s="2247">
        <f t="shared" ref="W510:AG510" si="776">IFERROR(W483/W$495,"-")</f>
        <v>1.9152056790139264E-2</v>
      </c>
      <c r="X510" s="1774">
        <f t="shared" si="776"/>
        <v>1.8509992518580341E-2</v>
      </c>
      <c r="Y510" s="1774">
        <f t="shared" si="776"/>
        <v>1.8793170274007519E-2</v>
      </c>
      <c r="Z510" s="1774">
        <f t="shared" si="776"/>
        <v>1.7649104275469781E-2</v>
      </c>
      <c r="AA510" s="1774">
        <f t="shared" si="776"/>
        <v>1.8239000938473793E-2</v>
      </c>
      <c r="AB510" s="1775">
        <f t="shared" si="776"/>
        <v>1.839956749750524E-2</v>
      </c>
      <c r="AC510" s="1774">
        <f t="shared" si="776"/>
        <v>1.7877605728970444E-2</v>
      </c>
      <c r="AD510" s="1774">
        <f t="shared" si="776"/>
        <v>1.7527235489357074E-2</v>
      </c>
      <c r="AE510" s="1774">
        <f t="shared" si="776"/>
        <v>1.7348533907627781E-2</v>
      </c>
      <c r="AF510" s="1774">
        <f t="shared" si="776"/>
        <v>1.7171350989120242E-2</v>
      </c>
      <c r="AG510" s="1776">
        <f t="shared" si="776"/>
        <v>1.7026994386324205E-2</v>
      </c>
      <c r="AH510" s="1774">
        <f>IFERROR(AH483/AH$495,"-")</f>
        <v>1.6883288319975195E-2</v>
      </c>
      <c r="AI510" s="1774">
        <f>IFERROR(AI483/AI$495,"-")</f>
        <v>1.674024246191276E-2</v>
      </c>
      <c r="AJ510" s="1774">
        <f>IFERROR(AJ483/AJ$495,"-")</f>
        <v>1.65978661404011E-2</v>
      </c>
      <c r="AK510" s="1774">
        <f>IFERROR(AK483/AK$495,"-")</f>
        <v>1.6456168345313951E-2</v>
      </c>
      <c r="AL510" s="1776">
        <f>IFERROR(AL483/AL$495,"-")</f>
        <v>1.631515773332843E-2</v>
      </c>
      <c r="AN510" s="990"/>
      <c r="AP510" s="73"/>
      <c r="AQ510" s="73"/>
      <c r="AR510" s="72"/>
      <c r="AS510" s="73"/>
      <c r="AT510" s="73"/>
      <c r="AU510" s="73"/>
      <c r="AV510" s="73"/>
      <c r="AW510" s="73"/>
      <c r="AX510" s="73"/>
      <c r="AY510" s="73"/>
      <c r="AZ510" s="73"/>
      <c r="BA510" s="73"/>
      <c r="BB510" s="73"/>
      <c r="BC510" s="73"/>
      <c r="BD510" s="73"/>
      <c r="BE510" s="73"/>
      <c r="BF510" s="73"/>
      <c r="BG510" s="73"/>
      <c r="BH510" s="126"/>
      <c r="BI510" s="73"/>
      <c r="BJ510" s="73"/>
      <c r="BK510" s="72"/>
      <c r="BL510" s="73"/>
      <c r="BM510" s="73"/>
      <c r="BN510" s="73"/>
      <c r="BO510" s="73"/>
      <c r="BP510" s="73"/>
      <c r="BQ510" s="73"/>
      <c r="BR510" s="73"/>
      <c r="BS510" s="73"/>
      <c r="BT510" s="73"/>
      <c r="BU510" s="73"/>
      <c r="BV510" s="73"/>
      <c r="BW510" s="73"/>
      <c r="BX510" s="73"/>
      <c r="BY510" s="73"/>
      <c r="BZ510" s="73"/>
      <c r="CA510" s="126"/>
    </row>
    <row r="511" spans="8:79" x14ac:dyDescent="0.3">
      <c r="H511" s="1028"/>
      <c r="I511" s="1756" t="str">
        <f>I484</f>
        <v>Fixed</v>
      </c>
      <c r="J511" s="998"/>
      <c r="K511" s="1772"/>
      <c r="L511" s="1772"/>
      <c r="M511" s="1777"/>
      <c r="N511" s="1778"/>
      <c r="O511" s="1778"/>
      <c r="P511" s="1778"/>
      <c r="Q511" s="1778"/>
      <c r="R511" s="1779"/>
      <c r="S511" s="1778"/>
      <c r="T511" s="1778"/>
      <c r="U511" s="1778"/>
      <c r="V511" s="1778"/>
      <c r="W511" s="2248">
        <f t="shared" ref="W511:AG511" si="777">IFERROR(W484/W$483,"-")</f>
        <v>0</v>
      </c>
      <c r="X511" s="1778">
        <f t="shared" si="777"/>
        <v>0</v>
      </c>
      <c r="Y511" s="1778">
        <f t="shared" si="777"/>
        <v>0</v>
      </c>
      <c r="Z511" s="1778">
        <f t="shared" si="777"/>
        <v>0</v>
      </c>
      <c r="AA511" s="1778">
        <f t="shared" si="777"/>
        <v>0</v>
      </c>
      <c r="AB511" s="1779">
        <f t="shared" si="777"/>
        <v>0</v>
      </c>
      <c r="AC511" s="1778">
        <f t="shared" si="777"/>
        <v>0</v>
      </c>
      <c r="AD511" s="1778">
        <f t="shared" si="777"/>
        <v>0</v>
      </c>
      <c r="AE511" s="1778">
        <f t="shared" si="777"/>
        <v>0</v>
      </c>
      <c r="AF511" s="1778">
        <f t="shared" si="777"/>
        <v>0</v>
      </c>
      <c r="AG511" s="1780">
        <f t="shared" si="777"/>
        <v>0</v>
      </c>
      <c r="AH511" s="1778">
        <f t="shared" ref="AH511:AL512" si="778">IFERROR(AH484/AH$483,"-")</f>
        <v>0</v>
      </c>
      <c r="AI511" s="1778">
        <f t="shared" si="778"/>
        <v>0</v>
      </c>
      <c r="AJ511" s="1778">
        <f t="shared" si="778"/>
        <v>0</v>
      </c>
      <c r="AK511" s="1778">
        <f t="shared" si="778"/>
        <v>0</v>
      </c>
      <c r="AL511" s="1780">
        <f t="shared" si="778"/>
        <v>0</v>
      </c>
      <c r="AN511" s="1013"/>
    </row>
    <row r="512" spans="8:79" x14ac:dyDescent="0.3">
      <c r="H512" s="1028"/>
      <c r="I512" s="1756" t="str">
        <f>I485</f>
        <v>Variable</v>
      </c>
      <c r="J512" s="998"/>
      <c r="K512" s="1772"/>
      <c r="L512" s="1772"/>
      <c r="M512" s="1777"/>
      <c r="N512" s="1778"/>
      <c r="O512" s="1778"/>
      <c r="P512" s="1778"/>
      <c r="Q512" s="1778"/>
      <c r="R512" s="1779"/>
      <c r="S512" s="1778"/>
      <c r="T512" s="1778"/>
      <c r="U512" s="1778"/>
      <c r="V512" s="1778"/>
      <c r="W512" s="2248">
        <f t="shared" ref="W512:AG512" si="779">IFERROR(W485/W$483,"-")</f>
        <v>1</v>
      </c>
      <c r="X512" s="1778">
        <f t="shared" si="779"/>
        <v>1</v>
      </c>
      <c r="Y512" s="1778">
        <f t="shared" si="779"/>
        <v>1</v>
      </c>
      <c r="Z512" s="1778">
        <f t="shared" si="779"/>
        <v>1</v>
      </c>
      <c r="AA512" s="1778">
        <f t="shared" si="779"/>
        <v>1</v>
      </c>
      <c r="AB512" s="1779">
        <f t="shared" si="779"/>
        <v>1</v>
      </c>
      <c r="AC512" s="1778">
        <f t="shared" si="779"/>
        <v>1</v>
      </c>
      <c r="AD512" s="1778">
        <f t="shared" si="779"/>
        <v>1</v>
      </c>
      <c r="AE512" s="1778">
        <f t="shared" si="779"/>
        <v>1</v>
      </c>
      <c r="AF512" s="1778">
        <f t="shared" si="779"/>
        <v>1</v>
      </c>
      <c r="AG512" s="1780">
        <f t="shared" si="779"/>
        <v>1</v>
      </c>
      <c r="AH512" s="1778">
        <f t="shared" si="778"/>
        <v>1</v>
      </c>
      <c r="AI512" s="1778">
        <f t="shared" si="778"/>
        <v>1</v>
      </c>
      <c r="AJ512" s="1778">
        <f t="shared" si="778"/>
        <v>1</v>
      </c>
      <c r="AK512" s="1778">
        <f t="shared" si="778"/>
        <v>1</v>
      </c>
      <c r="AL512" s="1780">
        <f t="shared" si="778"/>
        <v>1</v>
      </c>
    </row>
    <row r="513" spans="8:79" s="999" customFormat="1" x14ac:dyDescent="0.3">
      <c r="H513" s="1018"/>
      <c r="I513" s="1001"/>
      <c r="J513" s="1002"/>
      <c r="K513" s="1003"/>
      <c r="L513" s="1003"/>
      <c r="M513" s="1004"/>
      <c r="N513" s="1006"/>
      <c r="O513" s="1006"/>
      <c r="P513" s="1006"/>
      <c r="Q513" s="1006"/>
      <c r="R513" s="1005"/>
      <c r="S513" s="1006"/>
      <c r="T513" s="1006"/>
      <c r="U513" s="1006"/>
      <c r="V513" s="1006"/>
      <c r="W513" s="2246"/>
      <c r="X513" s="1006"/>
      <c r="Y513" s="1006"/>
      <c r="Z513" s="1006"/>
      <c r="AA513" s="1006"/>
      <c r="AB513" s="1005"/>
      <c r="AC513" s="1006"/>
      <c r="AD513" s="1006"/>
      <c r="AE513" s="1006"/>
      <c r="AF513" s="1006"/>
      <c r="AG513" s="1007"/>
      <c r="AH513" s="1006"/>
      <c r="AI513" s="1006"/>
      <c r="AJ513" s="1006"/>
      <c r="AK513" s="1006"/>
      <c r="AL513" s="1007"/>
      <c r="AN513" s="1013"/>
      <c r="AP513" s="73"/>
      <c r="AQ513" s="73"/>
      <c r="AR513" s="72"/>
      <c r="AS513" s="73"/>
      <c r="AT513" s="73"/>
      <c r="AU513" s="73"/>
      <c r="AV513" s="73"/>
      <c r="AW513" s="73"/>
      <c r="AX513" s="73"/>
      <c r="AY513" s="73"/>
      <c r="AZ513" s="73"/>
      <c r="BA513" s="73"/>
      <c r="BB513" s="73"/>
      <c r="BC513" s="73"/>
      <c r="BD513" s="73"/>
      <c r="BE513" s="73"/>
      <c r="BF513" s="73"/>
      <c r="BG513" s="73"/>
      <c r="BH513" s="126"/>
      <c r="BI513" s="73"/>
      <c r="BJ513" s="73"/>
      <c r="BK513" s="72"/>
      <c r="BL513" s="73"/>
      <c r="BM513" s="73"/>
      <c r="BN513" s="73"/>
      <c r="BO513" s="73"/>
      <c r="BP513" s="73"/>
      <c r="BQ513" s="73"/>
      <c r="BR513" s="73"/>
      <c r="BS513" s="73"/>
      <c r="BT513" s="73"/>
      <c r="BU513" s="73"/>
      <c r="BV513" s="73"/>
      <c r="BW513" s="73"/>
      <c r="BX513" s="73"/>
      <c r="BY513" s="73"/>
      <c r="BZ513" s="73"/>
      <c r="CA513" s="126"/>
    </row>
    <row r="514" spans="8:79" s="103" customFormat="1" x14ac:dyDescent="0.3">
      <c r="H514" s="1023"/>
      <c r="I514" s="1763" t="str">
        <f>I487</f>
        <v>Rural Water</v>
      </c>
      <c r="J514" s="1011"/>
      <c r="K514" s="1771"/>
      <c r="L514" s="1771"/>
      <c r="M514" s="1773"/>
      <c r="N514" s="1774"/>
      <c r="O514" s="1774"/>
      <c r="P514" s="1774"/>
      <c r="Q514" s="1774"/>
      <c r="R514" s="1775"/>
      <c r="S514" s="1774"/>
      <c r="T514" s="1774"/>
      <c r="U514" s="1774"/>
      <c r="V514" s="1774"/>
      <c r="W514" s="2247">
        <f t="shared" ref="W514:AG514" si="780">IFERROR(W487/W$495,"-")</f>
        <v>0</v>
      </c>
      <c r="X514" s="1774">
        <f t="shared" si="780"/>
        <v>0</v>
      </c>
      <c r="Y514" s="1774">
        <f t="shared" si="780"/>
        <v>0</v>
      </c>
      <c r="Z514" s="1774">
        <f t="shared" si="780"/>
        <v>0</v>
      </c>
      <c r="AA514" s="1774">
        <f t="shared" si="780"/>
        <v>0</v>
      </c>
      <c r="AB514" s="1775">
        <f t="shared" si="780"/>
        <v>0</v>
      </c>
      <c r="AC514" s="1774">
        <f t="shared" si="780"/>
        <v>0</v>
      </c>
      <c r="AD514" s="1774">
        <f t="shared" si="780"/>
        <v>0</v>
      </c>
      <c r="AE514" s="1774">
        <f t="shared" si="780"/>
        <v>0</v>
      </c>
      <c r="AF514" s="1774">
        <f t="shared" si="780"/>
        <v>0</v>
      </c>
      <c r="AG514" s="1776">
        <f t="shared" si="780"/>
        <v>0</v>
      </c>
      <c r="AH514" s="1774">
        <f>IFERROR(AH487/AH$495,"-")</f>
        <v>0</v>
      </c>
      <c r="AI514" s="1774">
        <f>IFERROR(AI487/AI$495,"-")</f>
        <v>0</v>
      </c>
      <c r="AJ514" s="1774">
        <f>IFERROR(AJ487/AJ$495,"-")</f>
        <v>0</v>
      </c>
      <c r="AK514" s="1774">
        <f>IFERROR(AK487/AK$495,"-")</f>
        <v>0</v>
      </c>
      <c r="AL514" s="1776">
        <f>IFERROR(AL487/AL$495,"-")</f>
        <v>0</v>
      </c>
      <c r="AN514" s="1013"/>
      <c r="AP514" s="73"/>
      <c r="AQ514" s="73"/>
      <c r="AR514" s="72"/>
      <c r="AS514" s="73"/>
      <c r="AT514" s="73"/>
      <c r="AU514" s="73"/>
      <c r="AV514" s="73"/>
      <c r="AW514" s="73"/>
      <c r="AX514" s="73"/>
      <c r="AY514" s="73"/>
      <c r="AZ514" s="73"/>
      <c r="BA514" s="73"/>
      <c r="BB514" s="73"/>
      <c r="BC514" s="73"/>
      <c r="BD514" s="73"/>
      <c r="BE514" s="73"/>
      <c r="BF514" s="73"/>
      <c r="BG514" s="73"/>
      <c r="BH514" s="126"/>
      <c r="BI514" s="73"/>
      <c r="BJ514" s="73"/>
      <c r="BK514" s="72"/>
      <c r="BL514" s="73"/>
      <c r="BM514" s="73"/>
      <c r="BN514" s="73"/>
      <c r="BO514" s="73"/>
      <c r="BP514" s="73"/>
      <c r="BQ514" s="73"/>
      <c r="BR514" s="73"/>
      <c r="BS514" s="73"/>
      <c r="BT514" s="73"/>
      <c r="BU514" s="73"/>
      <c r="BV514" s="73"/>
      <c r="BW514" s="73"/>
      <c r="BX514" s="73"/>
      <c r="BY514" s="73"/>
      <c r="BZ514" s="73"/>
      <c r="CA514" s="126"/>
    </row>
    <row r="515" spans="8:79" x14ac:dyDescent="0.3">
      <c r="H515" s="1028"/>
      <c r="I515" s="1756" t="str">
        <f>I488</f>
        <v>Fixed</v>
      </c>
      <c r="J515" s="998"/>
      <c r="K515" s="1772"/>
      <c r="L515" s="1772"/>
      <c r="M515" s="1777"/>
      <c r="N515" s="1778"/>
      <c r="O515" s="1778"/>
      <c r="P515" s="1778"/>
      <c r="Q515" s="1778"/>
      <c r="R515" s="1779"/>
      <c r="S515" s="1778"/>
      <c r="T515" s="1778"/>
      <c r="U515" s="1778"/>
      <c r="V515" s="1778"/>
      <c r="W515" s="2248" t="str">
        <f t="shared" ref="W515:AG515" si="781">IFERROR(W488/W$487,"-")</f>
        <v>-</v>
      </c>
      <c r="X515" s="1778" t="str">
        <f t="shared" si="781"/>
        <v>-</v>
      </c>
      <c r="Y515" s="1778" t="str">
        <f t="shared" si="781"/>
        <v>-</v>
      </c>
      <c r="Z515" s="1778" t="str">
        <f t="shared" si="781"/>
        <v>-</v>
      </c>
      <c r="AA515" s="1778" t="str">
        <f t="shared" si="781"/>
        <v>-</v>
      </c>
      <c r="AB515" s="1779" t="str">
        <f t="shared" si="781"/>
        <v>-</v>
      </c>
      <c r="AC515" s="1778" t="str">
        <f t="shared" si="781"/>
        <v>-</v>
      </c>
      <c r="AD515" s="1778" t="str">
        <f t="shared" si="781"/>
        <v>-</v>
      </c>
      <c r="AE515" s="1778" t="str">
        <f t="shared" si="781"/>
        <v>-</v>
      </c>
      <c r="AF515" s="1778" t="str">
        <f t="shared" si="781"/>
        <v>-</v>
      </c>
      <c r="AG515" s="1780" t="str">
        <f t="shared" si="781"/>
        <v>-</v>
      </c>
      <c r="AH515" s="1778" t="str">
        <f t="shared" ref="AH515:AL516" si="782">IFERROR(AH488/AH$487,"-")</f>
        <v>-</v>
      </c>
      <c r="AI515" s="1778" t="str">
        <f t="shared" si="782"/>
        <v>-</v>
      </c>
      <c r="AJ515" s="1778" t="str">
        <f t="shared" si="782"/>
        <v>-</v>
      </c>
      <c r="AK515" s="1778" t="str">
        <f t="shared" si="782"/>
        <v>-</v>
      </c>
      <c r="AL515" s="1780" t="str">
        <f t="shared" si="782"/>
        <v>-</v>
      </c>
      <c r="AN515" s="1010"/>
    </row>
    <row r="516" spans="8:79" x14ac:dyDescent="0.3">
      <c r="H516" s="1028"/>
      <c r="I516" s="1756" t="str">
        <f>I489</f>
        <v>Variable</v>
      </c>
      <c r="J516" s="998"/>
      <c r="K516" s="1772"/>
      <c r="L516" s="1772"/>
      <c r="M516" s="1777"/>
      <c r="N516" s="1778"/>
      <c r="O516" s="1778"/>
      <c r="P516" s="1778"/>
      <c r="Q516" s="1778"/>
      <c r="R516" s="1779"/>
      <c r="S516" s="1778"/>
      <c r="T516" s="1778"/>
      <c r="U516" s="1778"/>
      <c r="V516" s="1778"/>
      <c r="W516" s="2248" t="str">
        <f t="shared" ref="W516:AG516" si="783">IFERROR(W489/W$487,"-")</f>
        <v>-</v>
      </c>
      <c r="X516" s="1778" t="str">
        <f t="shared" si="783"/>
        <v>-</v>
      </c>
      <c r="Y516" s="1778" t="str">
        <f t="shared" si="783"/>
        <v>-</v>
      </c>
      <c r="Z516" s="1778" t="str">
        <f t="shared" si="783"/>
        <v>-</v>
      </c>
      <c r="AA516" s="1778" t="str">
        <f t="shared" si="783"/>
        <v>-</v>
      </c>
      <c r="AB516" s="1779" t="str">
        <f t="shared" si="783"/>
        <v>-</v>
      </c>
      <c r="AC516" s="1778" t="str">
        <f t="shared" si="783"/>
        <v>-</v>
      </c>
      <c r="AD516" s="1778" t="str">
        <f t="shared" si="783"/>
        <v>-</v>
      </c>
      <c r="AE516" s="1778" t="str">
        <f t="shared" si="783"/>
        <v>-</v>
      </c>
      <c r="AF516" s="1778" t="str">
        <f t="shared" si="783"/>
        <v>-</v>
      </c>
      <c r="AG516" s="1780" t="str">
        <f t="shared" si="783"/>
        <v>-</v>
      </c>
      <c r="AH516" s="1778" t="str">
        <f t="shared" si="782"/>
        <v>-</v>
      </c>
      <c r="AI516" s="1778" t="str">
        <f t="shared" si="782"/>
        <v>-</v>
      </c>
      <c r="AJ516" s="1778" t="str">
        <f t="shared" si="782"/>
        <v>-</v>
      </c>
      <c r="AK516" s="1778" t="str">
        <f t="shared" si="782"/>
        <v>-</v>
      </c>
      <c r="AL516" s="1780" t="str">
        <f t="shared" si="782"/>
        <v>-</v>
      </c>
      <c r="AP516" s="999"/>
      <c r="AQ516" s="999"/>
      <c r="AR516" s="1008"/>
      <c r="AS516" s="999"/>
      <c r="AT516" s="999"/>
      <c r="AU516" s="999"/>
      <c r="AV516" s="999"/>
      <c r="AW516" s="999"/>
      <c r="AX516" s="999"/>
      <c r="AY516" s="999"/>
      <c r="AZ516" s="999"/>
      <c r="BA516" s="999"/>
      <c r="BB516" s="999"/>
      <c r="BC516" s="999"/>
      <c r="BD516" s="999"/>
      <c r="BE516" s="999"/>
      <c r="BF516" s="999"/>
      <c r="BG516" s="999"/>
      <c r="BH516" s="1009"/>
      <c r="BI516" s="999"/>
      <c r="BJ516" s="999"/>
      <c r="BK516" s="1008"/>
      <c r="BL516" s="999"/>
      <c r="BM516" s="999"/>
      <c r="BN516" s="999"/>
      <c r="BO516" s="999"/>
      <c r="BP516" s="999"/>
      <c r="BQ516" s="999"/>
      <c r="BR516" s="999"/>
      <c r="BS516" s="999"/>
      <c r="BT516" s="999"/>
      <c r="BU516" s="999"/>
      <c r="BV516" s="999"/>
      <c r="BW516" s="999"/>
      <c r="BX516" s="999"/>
      <c r="BY516" s="999"/>
      <c r="BZ516" s="999"/>
      <c r="CA516" s="1009"/>
    </row>
    <row r="517" spans="8:79" s="999" customFormat="1" x14ac:dyDescent="0.3">
      <c r="H517" s="1018"/>
      <c r="I517" s="1001"/>
      <c r="J517" s="1002"/>
      <c r="K517" s="1003"/>
      <c r="L517" s="1003"/>
      <c r="M517" s="1004"/>
      <c r="N517" s="1006"/>
      <c r="O517" s="1006"/>
      <c r="P517" s="1006"/>
      <c r="Q517" s="1006"/>
      <c r="R517" s="1005"/>
      <c r="S517" s="1006"/>
      <c r="T517" s="1006"/>
      <c r="U517" s="1006"/>
      <c r="V517" s="1006"/>
      <c r="W517" s="2246"/>
      <c r="X517" s="1006"/>
      <c r="Y517" s="1006"/>
      <c r="Z517" s="1006"/>
      <c r="AA517" s="1006"/>
      <c r="AB517" s="1005"/>
      <c r="AC517" s="1006"/>
      <c r="AD517" s="1006"/>
      <c r="AE517" s="1006"/>
      <c r="AF517" s="1006"/>
      <c r="AG517" s="1007"/>
      <c r="AH517" s="1006"/>
      <c r="AI517" s="1006"/>
      <c r="AJ517" s="1006"/>
      <c r="AK517" s="1006"/>
      <c r="AL517" s="1007"/>
      <c r="AN517" s="990"/>
      <c r="AP517" s="103"/>
      <c r="AQ517" s="103"/>
      <c r="AR517" s="105"/>
      <c r="AS517" s="103"/>
      <c r="AT517" s="103"/>
      <c r="AU517" s="103"/>
      <c r="AV517" s="103"/>
      <c r="AW517" s="103"/>
      <c r="AX517" s="103"/>
      <c r="AY517" s="103"/>
      <c r="AZ517" s="103"/>
      <c r="BA517" s="103"/>
      <c r="BB517" s="103"/>
      <c r="BC517" s="103"/>
      <c r="BD517" s="103"/>
      <c r="BE517" s="103"/>
      <c r="BF517" s="103"/>
      <c r="BG517" s="103"/>
      <c r="BH517" s="995"/>
      <c r="BI517" s="103"/>
      <c r="BJ517" s="103"/>
      <c r="BK517" s="105"/>
      <c r="BL517" s="103"/>
      <c r="BM517" s="103"/>
      <c r="BN517" s="103"/>
      <c r="BO517" s="103"/>
      <c r="BP517" s="103"/>
      <c r="BQ517" s="103"/>
      <c r="BR517" s="103"/>
      <c r="BS517" s="103"/>
      <c r="BT517" s="103"/>
      <c r="BU517" s="103"/>
      <c r="BV517" s="103"/>
      <c r="BW517" s="103"/>
      <c r="BX517" s="103"/>
      <c r="BY517" s="103"/>
      <c r="BZ517" s="103"/>
      <c r="CA517" s="995"/>
    </row>
    <row r="518" spans="8:79" s="103" customFormat="1" x14ac:dyDescent="0.3">
      <c r="H518" s="1023"/>
      <c r="I518" s="1763" t="str">
        <f>I491</f>
        <v>Bulk Water</v>
      </c>
      <c r="J518" s="1011"/>
      <c r="K518" s="1771"/>
      <c r="L518" s="1771"/>
      <c r="M518" s="1773"/>
      <c r="N518" s="1774"/>
      <c r="O518" s="1774"/>
      <c r="P518" s="1774"/>
      <c r="Q518" s="1774"/>
      <c r="R518" s="1775"/>
      <c r="S518" s="1774"/>
      <c r="T518" s="1774"/>
      <c r="U518" s="1774"/>
      <c r="V518" s="1774"/>
      <c r="W518" s="2247">
        <f t="shared" ref="W518:AG518" si="784">IFERROR(W491/W$495,"-")</f>
        <v>0</v>
      </c>
      <c r="X518" s="1774">
        <f t="shared" si="784"/>
        <v>0</v>
      </c>
      <c r="Y518" s="1774">
        <f t="shared" si="784"/>
        <v>0</v>
      </c>
      <c r="Z518" s="1774">
        <f t="shared" si="784"/>
        <v>0</v>
      </c>
      <c r="AA518" s="1774">
        <f t="shared" si="784"/>
        <v>0</v>
      </c>
      <c r="AB518" s="1775">
        <f t="shared" si="784"/>
        <v>0</v>
      </c>
      <c r="AC518" s="1774">
        <f t="shared" si="784"/>
        <v>0</v>
      </c>
      <c r="AD518" s="1774">
        <f t="shared" si="784"/>
        <v>0</v>
      </c>
      <c r="AE518" s="1774">
        <f t="shared" si="784"/>
        <v>0</v>
      </c>
      <c r="AF518" s="1774">
        <f t="shared" si="784"/>
        <v>0</v>
      </c>
      <c r="AG518" s="1776">
        <f t="shared" si="784"/>
        <v>0</v>
      </c>
      <c r="AH518" s="1774">
        <f>IFERROR(AH491/AH$495,"-")</f>
        <v>0</v>
      </c>
      <c r="AI518" s="1774">
        <f>IFERROR(AI491/AI$495,"-")</f>
        <v>0</v>
      </c>
      <c r="AJ518" s="1774">
        <f>IFERROR(AJ491/AJ$495,"-")</f>
        <v>0</v>
      </c>
      <c r="AK518" s="1774">
        <f>IFERROR(AK491/AK$495,"-")</f>
        <v>0</v>
      </c>
      <c r="AL518" s="1776">
        <f>IFERROR(AL491/AL$495,"-")</f>
        <v>0</v>
      </c>
      <c r="AN518" s="990"/>
      <c r="AR518" s="105"/>
      <c r="BH518" s="995"/>
      <c r="BK518" s="105"/>
      <c r="CA518" s="995"/>
    </row>
    <row r="519" spans="8:79" x14ac:dyDescent="0.3">
      <c r="H519" s="1028"/>
      <c r="I519" s="1756" t="str">
        <f>I492</f>
        <v>Fixed</v>
      </c>
      <c r="J519" s="998"/>
      <c r="K519" s="1772"/>
      <c r="L519" s="1772"/>
      <c r="M519" s="1777"/>
      <c r="N519" s="1778"/>
      <c r="O519" s="1778"/>
      <c r="P519" s="1778"/>
      <c r="Q519" s="1778"/>
      <c r="R519" s="1779"/>
      <c r="S519" s="1778"/>
      <c r="T519" s="1778"/>
      <c r="U519" s="1778"/>
      <c r="V519" s="1778"/>
      <c r="W519" s="2248" t="str">
        <f t="shared" ref="W519:AG519" si="785">IFERROR(W492/W$491,"-")</f>
        <v>-</v>
      </c>
      <c r="X519" s="1778" t="str">
        <f t="shared" si="785"/>
        <v>-</v>
      </c>
      <c r="Y519" s="1778" t="str">
        <f t="shared" si="785"/>
        <v>-</v>
      </c>
      <c r="Z519" s="1778" t="str">
        <f t="shared" si="785"/>
        <v>-</v>
      </c>
      <c r="AA519" s="1778" t="str">
        <f t="shared" si="785"/>
        <v>-</v>
      </c>
      <c r="AB519" s="1779" t="str">
        <f t="shared" si="785"/>
        <v>-</v>
      </c>
      <c r="AC519" s="1778" t="str">
        <f t="shared" si="785"/>
        <v>-</v>
      </c>
      <c r="AD519" s="1778" t="str">
        <f t="shared" si="785"/>
        <v>-</v>
      </c>
      <c r="AE519" s="1778" t="str">
        <f t="shared" si="785"/>
        <v>-</v>
      </c>
      <c r="AF519" s="1778" t="str">
        <f t="shared" si="785"/>
        <v>-</v>
      </c>
      <c r="AG519" s="1780" t="str">
        <f t="shared" si="785"/>
        <v>-</v>
      </c>
      <c r="AH519" s="1778" t="str">
        <f t="shared" ref="AH519:AL520" si="786">IFERROR(AH492/AH$491,"-")</f>
        <v>-</v>
      </c>
      <c r="AI519" s="1778" t="str">
        <f t="shared" si="786"/>
        <v>-</v>
      </c>
      <c r="AJ519" s="1778" t="str">
        <f t="shared" si="786"/>
        <v>-</v>
      </c>
      <c r="AK519" s="1778" t="str">
        <f t="shared" si="786"/>
        <v>-</v>
      </c>
      <c r="AL519" s="1780" t="str">
        <f t="shared" si="786"/>
        <v>-</v>
      </c>
    </row>
    <row r="520" spans="8:79" x14ac:dyDescent="0.3">
      <c r="H520" s="1028"/>
      <c r="I520" s="1756" t="str">
        <f>I493</f>
        <v>Variable</v>
      </c>
      <c r="J520" s="998"/>
      <c r="K520" s="1772"/>
      <c r="L520" s="1772"/>
      <c r="M520" s="1777"/>
      <c r="N520" s="1778"/>
      <c r="O520" s="1778"/>
      <c r="P520" s="1778"/>
      <c r="Q520" s="1778"/>
      <c r="R520" s="1779"/>
      <c r="S520" s="1778"/>
      <c r="T520" s="1778"/>
      <c r="U520" s="1778"/>
      <c r="V520" s="1778"/>
      <c r="W520" s="2248" t="str">
        <f t="shared" ref="W520:AG520" si="787">IFERROR(W493/W$491,"-")</f>
        <v>-</v>
      </c>
      <c r="X520" s="1778" t="str">
        <f t="shared" si="787"/>
        <v>-</v>
      </c>
      <c r="Y520" s="1778" t="str">
        <f t="shared" si="787"/>
        <v>-</v>
      </c>
      <c r="Z520" s="1778" t="str">
        <f t="shared" si="787"/>
        <v>-</v>
      </c>
      <c r="AA520" s="1778" t="str">
        <f t="shared" si="787"/>
        <v>-</v>
      </c>
      <c r="AB520" s="1779" t="str">
        <f t="shared" si="787"/>
        <v>-</v>
      </c>
      <c r="AC520" s="1778" t="str">
        <f t="shared" si="787"/>
        <v>-</v>
      </c>
      <c r="AD520" s="1778" t="str">
        <f t="shared" si="787"/>
        <v>-</v>
      </c>
      <c r="AE520" s="1778" t="str">
        <f t="shared" si="787"/>
        <v>-</v>
      </c>
      <c r="AF520" s="1778" t="str">
        <f t="shared" si="787"/>
        <v>-</v>
      </c>
      <c r="AG520" s="1780" t="str">
        <f t="shared" si="787"/>
        <v>-</v>
      </c>
      <c r="AH520" s="1778" t="str">
        <f t="shared" si="786"/>
        <v>-</v>
      </c>
      <c r="AI520" s="1778" t="str">
        <f t="shared" si="786"/>
        <v>-</v>
      </c>
      <c r="AJ520" s="1778" t="str">
        <f t="shared" si="786"/>
        <v>-</v>
      </c>
      <c r="AK520" s="1778" t="str">
        <f t="shared" si="786"/>
        <v>-</v>
      </c>
      <c r="AL520" s="1780" t="str">
        <f t="shared" si="786"/>
        <v>-</v>
      </c>
    </row>
    <row r="521" spans="8:79" s="999" customFormat="1" ht="12.5" thickBot="1" x14ac:dyDescent="0.35">
      <c r="H521" s="1018"/>
      <c r="I521" s="1029"/>
      <c r="J521" s="1030"/>
      <c r="K521" s="1031"/>
      <c r="L521" s="1031"/>
      <c r="M521" s="1032"/>
      <c r="N521" s="1034"/>
      <c r="O521" s="1034"/>
      <c r="P521" s="1034"/>
      <c r="Q521" s="1034"/>
      <c r="R521" s="1033"/>
      <c r="S521" s="1034"/>
      <c r="T521" s="1034"/>
      <c r="U521" s="1034"/>
      <c r="V521" s="1034"/>
      <c r="W521" s="2249"/>
      <c r="X521" s="1034"/>
      <c r="Y521" s="1034"/>
      <c r="Z521" s="1034"/>
      <c r="AA521" s="1034"/>
      <c r="AB521" s="1033"/>
      <c r="AC521" s="1034"/>
      <c r="AD521" s="1034"/>
      <c r="AE521" s="1034"/>
      <c r="AF521" s="1034"/>
      <c r="AG521" s="1035"/>
      <c r="AH521" s="1034"/>
      <c r="AI521" s="1034"/>
      <c r="AJ521" s="1034"/>
      <c r="AK521" s="1034"/>
      <c r="AL521" s="1035"/>
      <c r="AN521" s="1036"/>
      <c r="AP521" s="73"/>
      <c r="AQ521" s="73"/>
      <c r="AR521" s="72"/>
      <c r="AS521" s="73"/>
      <c r="AT521" s="73"/>
      <c r="AU521" s="73"/>
      <c r="AV521" s="73"/>
      <c r="AW521" s="73"/>
      <c r="AX521" s="73"/>
      <c r="AY521" s="73"/>
      <c r="AZ521" s="73"/>
      <c r="BA521" s="73"/>
      <c r="BB521" s="73"/>
      <c r="BC521" s="73"/>
      <c r="BD521" s="73"/>
      <c r="BE521" s="73"/>
      <c r="BF521" s="73"/>
      <c r="BG521" s="73"/>
      <c r="BH521" s="126"/>
      <c r="BI521" s="73"/>
      <c r="BJ521" s="73"/>
      <c r="BK521" s="72"/>
      <c r="BL521" s="73"/>
      <c r="BM521" s="73"/>
      <c r="BN521" s="73"/>
      <c r="BO521" s="73"/>
      <c r="BP521" s="73"/>
      <c r="BQ521" s="73"/>
      <c r="BR521" s="73"/>
      <c r="BS521" s="73"/>
      <c r="BT521" s="73"/>
      <c r="BU521" s="73"/>
      <c r="BV521" s="73"/>
      <c r="BW521" s="73"/>
      <c r="BX521" s="73"/>
      <c r="BY521" s="73"/>
      <c r="BZ521" s="73"/>
      <c r="CA521" s="126"/>
    </row>
    <row r="522" spans="8:79" x14ac:dyDescent="0.3">
      <c r="Y522" s="72"/>
      <c r="AN522" s="1036"/>
    </row>
    <row r="523" spans="8:79" x14ac:dyDescent="0.3">
      <c r="Y523" s="72"/>
      <c r="AN523" s="1013"/>
    </row>
    <row r="524" spans="8:79" x14ac:dyDescent="0.3">
      <c r="AN524" s="1010"/>
    </row>
    <row r="525" spans="8:79" x14ac:dyDescent="0.3">
      <c r="AP525" s="999"/>
      <c r="AQ525" s="999"/>
      <c r="AR525" s="1008"/>
      <c r="AS525" s="999"/>
      <c r="AT525" s="999"/>
      <c r="AU525" s="999"/>
      <c r="AV525" s="999"/>
      <c r="AW525" s="999"/>
      <c r="AX525" s="999"/>
      <c r="AY525" s="999"/>
      <c r="AZ525" s="999"/>
      <c r="BA525" s="999"/>
      <c r="BB525" s="999"/>
      <c r="BC525" s="999"/>
      <c r="BD525" s="999"/>
      <c r="BE525" s="999"/>
      <c r="BF525" s="999"/>
      <c r="BG525" s="999"/>
      <c r="BH525" s="1009"/>
      <c r="BI525" s="999"/>
      <c r="BJ525" s="999"/>
      <c r="BK525" s="1008"/>
      <c r="BL525" s="999"/>
      <c r="BM525" s="999"/>
      <c r="BN525" s="999"/>
      <c r="BO525" s="999"/>
      <c r="BP525" s="999"/>
      <c r="BQ525" s="999"/>
      <c r="BR525" s="999"/>
      <c r="BS525" s="999"/>
      <c r="BT525" s="999"/>
      <c r="BU525" s="999"/>
      <c r="BV525" s="999"/>
      <c r="BW525" s="999"/>
      <c r="BX525" s="999"/>
      <c r="BY525" s="999"/>
      <c r="BZ525" s="999"/>
      <c r="CA525" s="1009"/>
    </row>
    <row r="528" spans="8:79" x14ac:dyDescent="0.3">
      <c r="AP528" s="999"/>
      <c r="AQ528" s="999"/>
      <c r="AR528" s="1008"/>
      <c r="AS528" s="999"/>
      <c r="AT528" s="999"/>
      <c r="AU528" s="999"/>
      <c r="AV528" s="999"/>
      <c r="AW528" s="999"/>
      <c r="AX528" s="999"/>
      <c r="AY528" s="999"/>
      <c r="AZ528" s="999"/>
      <c r="BA528" s="999"/>
      <c r="BB528" s="999"/>
      <c r="BC528" s="999"/>
      <c r="BD528" s="999"/>
      <c r="BE528" s="999"/>
      <c r="BF528" s="999"/>
      <c r="BG528" s="999"/>
      <c r="BH528" s="1009"/>
      <c r="BI528" s="999"/>
      <c r="BJ528" s="999"/>
      <c r="BK528" s="1008"/>
      <c r="BL528" s="999"/>
      <c r="BM528" s="999"/>
      <c r="BN528" s="999"/>
      <c r="BO528" s="999"/>
      <c r="BP528" s="999"/>
      <c r="BQ528" s="999"/>
      <c r="BR528" s="999"/>
      <c r="BS528" s="999"/>
      <c r="BT528" s="999"/>
      <c r="BU528" s="999"/>
      <c r="BV528" s="999"/>
      <c r="BW528" s="999"/>
      <c r="BX528" s="999"/>
      <c r="BY528" s="999"/>
      <c r="BZ528" s="999"/>
      <c r="CA528" s="1009"/>
    </row>
    <row r="529" spans="40:79" x14ac:dyDescent="0.3">
      <c r="AP529" s="999"/>
      <c r="AQ529" s="999"/>
      <c r="AR529" s="1008"/>
      <c r="AS529" s="999"/>
      <c r="AT529" s="999"/>
      <c r="AU529" s="999"/>
      <c r="AV529" s="999"/>
      <c r="AW529" s="999"/>
      <c r="AX529" s="999"/>
      <c r="AY529" s="999"/>
      <c r="AZ529" s="999"/>
      <c r="BA529" s="999"/>
      <c r="BB529" s="999"/>
      <c r="BC529" s="999"/>
      <c r="BD529" s="999"/>
      <c r="BE529" s="999"/>
      <c r="BF529" s="999"/>
      <c r="BG529" s="999"/>
      <c r="BH529" s="1009"/>
      <c r="BI529" s="999"/>
      <c r="BJ529" s="999"/>
      <c r="BK529" s="1008"/>
      <c r="BL529" s="999"/>
      <c r="BM529" s="999"/>
      <c r="BN529" s="999"/>
      <c r="BO529" s="999"/>
      <c r="BP529" s="999"/>
      <c r="BQ529" s="999"/>
      <c r="BR529" s="999"/>
      <c r="BS529" s="999"/>
      <c r="BT529" s="999"/>
      <c r="BU529" s="999"/>
      <c r="BV529" s="999"/>
      <c r="BW529" s="999"/>
      <c r="BX529" s="999"/>
      <c r="BY529" s="999"/>
      <c r="BZ529" s="999"/>
      <c r="CA529" s="1009"/>
    </row>
    <row r="530" spans="40:79" x14ac:dyDescent="0.3">
      <c r="AN530" s="1036"/>
      <c r="AP530" s="103"/>
      <c r="AQ530" s="103"/>
      <c r="AR530" s="105"/>
      <c r="AS530" s="103"/>
      <c r="AT530" s="103"/>
      <c r="AU530" s="103"/>
      <c r="AV530" s="103"/>
      <c r="AW530" s="103"/>
      <c r="AX530" s="103"/>
      <c r="AY530" s="103"/>
      <c r="AZ530" s="103"/>
      <c r="BA530" s="103"/>
      <c r="BB530" s="103"/>
      <c r="BC530" s="103"/>
      <c r="BD530" s="103"/>
      <c r="BE530" s="103"/>
      <c r="BF530" s="103"/>
      <c r="BG530" s="103"/>
      <c r="BH530" s="995"/>
      <c r="BI530" s="103"/>
      <c r="BJ530" s="103"/>
      <c r="BK530" s="105"/>
      <c r="BL530" s="103"/>
      <c r="BM530" s="103"/>
      <c r="BN530" s="103"/>
      <c r="BO530" s="103"/>
      <c r="BP530" s="103"/>
      <c r="BQ530" s="103"/>
      <c r="BR530" s="103"/>
      <c r="BS530" s="103"/>
      <c r="BT530" s="103"/>
      <c r="BU530" s="103"/>
      <c r="BV530" s="103"/>
      <c r="BW530" s="103"/>
      <c r="BX530" s="103"/>
      <c r="BY530" s="103"/>
      <c r="BZ530" s="103"/>
      <c r="CA530" s="995"/>
    </row>
    <row r="531" spans="40:79" x14ac:dyDescent="0.3">
      <c r="AN531" s="1036"/>
    </row>
    <row r="532" spans="40:79" x14ac:dyDescent="0.3">
      <c r="AN532" s="1013"/>
    </row>
    <row r="533" spans="40:79" x14ac:dyDescent="0.3">
      <c r="AN533" s="1010"/>
    </row>
    <row r="539" spans="40:79" x14ac:dyDescent="0.3">
      <c r="AN539" s="1036"/>
    </row>
    <row r="540" spans="40:79" x14ac:dyDescent="0.3">
      <c r="AN540" s="1036"/>
    </row>
    <row r="541" spans="40:79" x14ac:dyDescent="0.3">
      <c r="AN541" s="1013"/>
    </row>
    <row r="542" spans="40:79" x14ac:dyDescent="0.3">
      <c r="AN542" s="1010"/>
    </row>
    <row r="548" spans="40:40" x14ac:dyDescent="0.3">
      <c r="AN548" s="1036"/>
    </row>
    <row r="549" spans="40:40" x14ac:dyDescent="0.3">
      <c r="AN549" s="1036"/>
    </row>
    <row r="550" spans="40:40" x14ac:dyDescent="0.3">
      <c r="AN550" s="1013"/>
    </row>
    <row r="551" spans="40:40" x14ac:dyDescent="0.3">
      <c r="AN551" s="1010"/>
    </row>
    <row r="557" spans="40:40" x14ac:dyDescent="0.3">
      <c r="AN557" s="1036"/>
    </row>
    <row r="558" spans="40:40" x14ac:dyDescent="0.3">
      <c r="AN558" s="1036"/>
    </row>
    <row r="559" spans="40:40" x14ac:dyDescent="0.3">
      <c r="AN559" s="1013"/>
    </row>
    <row r="560" spans="40:40" x14ac:dyDescent="0.3">
      <c r="AN560" s="1010"/>
    </row>
    <row r="566" spans="40:40" x14ac:dyDescent="0.3">
      <c r="AN566" s="1036"/>
    </row>
    <row r="567" spans="40:40" x14ac:dyDescent="0.3">
      <c r="AN567" s="1036"/>
    </row>
    <row r="568" spans="40:40" x14ac:dyDescent="0.3">
      <c r="AN568" s="1013"/>
    </row>
  </sheetData>
  <sheetProtection algorithmName="SHA-512" hashValue="GXWyg4bznGjHR5GeuIEYvX5a5TRvCECODPXSPNOjD2IfZWv2JMUPY9KBXw3I3Wmy/XjBaGnyMq3rjkh5qpxe0Q==" saltValue="nnt4WhHYElym0xVzW9abLA==" spinCount="100000" sheet="1" objects="1" scenarios="1"/>
  <mergeCells count="24">
    <mergeCell ref="BL54:BZ54"/>
    <mergeCell ref="BL65:BZ65"/>
    <mergeCell ref="BV55:BZ55"/>
    <mergeCell ref="BV66:BZ66"/>
    <mergeCell ref="AI34:AK34"/>
    <mergeCell ref="AS55:AW55"/>
    <mergeCell ref="BL55:BP55"/>
    <mergeCell ref="AS66:AW66"/>
    <mergeCell ref="BL66:BP66"/>
    <mergeCell ref="I470:AG470"/>
    <mergeCell ref="AD34:AF34"/>
    <mergeCell ref="C3:G3"/>
    <mergeCell ref="AS65:BG65"/>
    <mergeCell ref="AS54:BG54"/>
    <mergeCell ref="AS67:AV67"/>
    <mergeCell ref="BL67:BO67"/>
    <mergeCell ref="BC55:BG55"/>
    <mergeCell ref="BC66:BG66"/>
    <mergeCell ref="AW67:BG67"/>
    <mergeCell ref="BP67:BZ67"/>
    <mergeCell ref="AX55:BB55"/>
    <mergeCell ref="AX66:BB66"/>
    <mergeCell ref="BQ55:BU55"/>
    <mergeCell ref="BQ66:BU66"/>
  </mergeCells>
  <phoneticPr fontId="0" type="noConversion"/>
  <conditionalFormatting sqref="AC62:AG62">
    <cfRule type="containsText" dxfId="50" priority="47" stopIfTrue="1" operator="containsText" text="CHECK">
      <formula>NOT(ISERROR(SEARCH("CHECK",AC62)))</formula>
    </cfRule>
  </conditionalFormatting>
  <conditionalFormatting sqref="W66">
    <cfRule type="containsText" dxfId="49" priority="45" stopIfTrue="1" operator="containsText" text="CHECK">
      <formula>NOT(ISERROR(SEARCH("CHECK",W66)))</formula>
    </cfRule>
  </conditionalFormatting>
  <conditionalFormatting sqref="BK34">
    <cfRule type="expression" dxfId="48" priority="22" stopIfTrue="1">
      <formula>BK34="PRICE CONTROL OK"</formula>
    </cfRule>
    <cfRule type="expression" dxfId="47" priority="23" stopIfTrue="1">
      <formula>BK34="BREACH"</formula>
    </cfRule>
    <cfRule type="expression" dxfId="46" priority="24" stopIfTrue="1">
      <formula>BK34="INSUFFICIENT"</formula>
    </cfRule>
  </conditionalFormatting>
  <conditionalFormatting sqref="AR34">
    <cfRule type="expression" dxfId="45" priority="28" stopIfTrue="1">
      <formula>AR34="PRICE CONTROL OK"</formula>
    </cfRule>
    <cfRule type="expression" dxfId="44" priority="29" stopIfTrue="1">
      <formula>AR34="BREACH"</formula>
    </cfRule>
    <cfRule type="expression" dxfId="43" priority="30" stopIfTrue="1">
      <formula>AR34="INSUFFICIENT"</formula>
    </cfRule>
  </conditionalFormatting>
  <conditionalFormatting sqref="AH35">
    <cfRule type="expression" dxfId="42" priority="15" stopIfTrue="1">
      <formula>AH35="PRICE CONTROL OK"</formula>
    </cfRule>
    <cfRule type="expression" dxfId="41" priority="16" stopIfTrue="1">
      <formula>AH35="BREACH"</formula>
    </cfRule>
    <cfRule type="expression" dxfId="40" priority="17" stopIfTrue="1">
      <formula>AH35="INSUFFICIENT"</formula>
    </cfRule>
  </conditionalFormatting>
  <conditionalFormatting sqref="AI34">
    <cfRule type="cellIs" dxfId="39" priority="12" stopIfTrue="1" operator="equal">
      <formula>"BREACH"</formula>
    </cfRule>
    <cfRule type="cellIs" dxfId="38" priority="13" stopIfTrue="1" operator="equal">
      <formula>"PRICE CONTROL OK"</formula>
    </cfRule>
    <cfRule type="cellIs" dxfId="37" priority="14" stopIfTrue="1" operator="equal">
      <formula>"INSUFFICIENT REVENUE"</formula>
    </cfRule>
  </conditionalFormatting>
  <conditionalFormatting sqref="AH62:AL62">
    <cfRule type="containsText" dxfId="36" priority="11" stopIfTrue="1" operator="containsText" text="CHECK">
      <formula>NOT(ISERROR(SEARCH("CHECK",AH62)))</formula>
    </cfRule>
  </conditionalFormatting>
  <conditionalFormatting sqref="AC35">
    <cfRule type="expression" dxfId="35" priority="7" stopIfTrue="1">
      <formula>AC35="PRICE CONTROL OK"</formula>
    </cfRule>
    <cfRule type="expression" dxfId="34" priority="8" stopIfTrue="1">
      <formula>AC35="BREACH"</formula>
    </cfRule>
    <cfRule type="expression" dxfId="33" priority="9" stopIfTrue="1">
      <formula>AC35="INSUFFICIENT"</formula>
    </cfRule>
  </conditionalFormatting>
  <conditionalFormatting sqref="AD34">
    <cfRule type="cellIs" dxfId="32" priority="4" stopIfTrue="1" operator="equal">
      <formula>"BREACH"</formula>
    </cfRule>
    <cfRule type="cellIs" dxfId="31" priority="5" stopIfTrue="1" operator="equal">
      <formula>"PRICE CONTROL OK"</formula>
    </cfRule>
    <cfRule type="cellIs" dxfId="30" priority="6" stopIfTrue="1" operator="equal">
      <formula>"INSUFFICIENT REVENUE"</formula>
    </cfRule>
  </conditionalFormatting>
  <conditionalFormatting sqref="K458:V458">
    <cfRule type="containsText" dxfId="29" priority="3" operator="containsText" text="FALSE">
      <formula>NOT(ISERROR(SEARCH("FALSE",K458)))</formula>
    </cfRule>
  </conditionalFormatting>
  <conditionalFormatting sqref="V458">
    <cfRule type="containsText" dxfId="28" priority="2" operator="containsText" text="FALSE">
      <formula>NOT(ISERROR(SEARCH("FALSE",V458)))</formula>
    </cfRule>
  </conditionalFormatting>
  <conditionalFormatting sqref="W458:AL458">
    <cfRule type="containsText" dxfId="27" priority="1" operator="containsText" text="FALSE">
      <formula>NOT(ISERROR(SEARCH("FALSE",W458)))</formula>
    </cfRule>
  </conditionalFormatting>
  <dataValidations count="3">
    <dataValidation type="list" allowBlank="1" showInputMessage="1" showErrorMessage="1" sqref="F69 F72 F75 F78 F81 F84 F87 F90 F93 F96 F99 F102 F105 F108 F111 F114 F117 F120 F123 F126 F129 F132 F135 F138 F141 F144 F147 F150 F153 F156 F159 F162 F165 F168 F171 F174 F177 F180 F183 F186 F189 F192 F195 F198 F201 F204 F207 F210 F213 F216 F219 F222 F225 F228 F231 F234 F237 F240 F243 F246 F249 F252 F255 F258 F261 F264 F267 F270 F273 F276 F279 F282 F285 F288 F291 F294 F297 F300 F303 F306 F309 F312 F315 F318 F321 F324 F327 F330 F333 F336 F339 F342 F345 F348 F351 F354 F357 F360 F363 F366 F369 F372 F375 F378 F381 F384 F387 F390 F393 F396 F399 F402 F405 F408 F411 F414 F417 F420 F423 F426 F429 F432 F435 F438 F441" xr:uid="{7B1B7B07-8C02-46C1-80B5-774D4687DAD2}">
      <formula1>Price_Asset_Class</formula1>
    </dataValidation>
    <dataValidation type="list" allowBlank="1" showInputMessage="1" showErrorMessage="1" sqref="I69 I72 I75 I78 I81 I84 I87 I90 I93 I96 I99 I102 I105 I108 I111 I114 I117 I120 I123 I126 I129 I132 I135 I138 I141 I144 I147 I150 I153 I156 I159 I162 I165 I168 I171 I174 I177 I180 I183 I186 I189 I192 I195 I198 I201 I204 I207 I210 I213 I216 I219 I222 I225 I228 I231 I234 I237 I240 I243 I246 I249 I252 I255 I258 I261 I264 I267 I270 I273 I276 I279 I282 I285 I288 I291 I294 I297 I300 I303 I306 I309 I312 I315 I318 I321 I324 I327 I330 I333 I336 I339 I342 I345 I348 I351 I354 I357 I360 I363 I366 I369 I372 I375 I378 I381 I384 I387 I390 I393 I396 I399 I402 I405 I408 I411 I414 I417 I420 I423 I426 I429 I432 I435 I438 I441" xr:uid="{5A6E4F41-E142-4B32-865B-6FE89F85BABF}">
      <formula1>Fixed_or_Var</formula1>
    </dataValidation>
    <dataValidation type="list" allowBlank="1" showInputMessage="1" showErrorMessage="1" sqref="J70 J73 J76 J79 J82 J85 J88 J91 J94 J97 J100 J103 J106 J109 J112 J115 J118 J121 J124 J127 J130 J133 J136 J139 J142 J145 J148 J151 J154 J157 J160 J163 J166 J169 J172 J175 J178 J181 J184 J187 J190 J193 J196 J199 J202 J205 J208 J211 J214 J217 J220 J223 J226 J229 J232 J235 J238 J241 J244 J247 J250 J253 J256 J259 J262 J265 J268 J271 J274 J277 J280 J283 J286 J289 J292 J295 J298 J301 J304 J307 J310 J313 J316 J319 J322 J325 J328 J331 J334 J337 J340 J343 J346 J349 J352 J355 J358 J361 J364 J367 J370 J373 J376 J379 J382 J385 J388 J391 J394 J397 J400 J403 J406 J409 J412 J415 J418 J421 J424 J427 J430 J433 J436 J439 J442" xr:uid="{D1D35EBE-09FC-4BC7-B6A9-EBD2389EEF88}">
      <formula1>Pricing_Unit</formula1>
    </dataValidation>
  </dataValidations>
  <hyperlinks>
    <hyperlink ref="C3" location="HL_Home" tooltip="Go to Table of Contents" display="HL_Home" xr:uid="{00000000-0004-0000-0700-000000000000}"/>
  </hyperlinks>
  <pageMargins left="0.39370078740157483" right="0.39370078740157483" top="0.59055118110236227" bottom="0.98425196850393704" header="0" footer="0.31496062992125984"/>
  <pageSetup paperSize="8" fitToHeight="2" orientation="landscape" r:id="rId1"/>
  <headerFooter alignWithMargins="0">
    <oddHeader>&amp;C&amp;B&amp;"Arial"&amp;12&amp;Kff0000​‌OFFICIAL‌​</oddHeader>
    <oddFooter>&amp;C&amp;"Arial,Bold"&amp;8Sheet k.
Page &amp;P of &amp;N&amp;L&amp;"Arial,Bold"&amp;7&amp;F
&amp;A
Printed: &amp;T on &amp;D</oddFooter>
  </headerFooter>
  <rowBreaks count="1" manualBreakCount="1">
    <brk id="1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7">
    <tabColor theme="0" tint="-4.9989318521683403E-2"/>
    <pageSetUpPr autoPageBreaks="0"/>
  </sheetPr>
  <dimension ref="A1:BZ565"/>
  <sheetViews>
    <sheetView showGridLines="0" zoomScaleNormal="100" workbookViewId="0">
      <pane ySplit="7" topLeftCell="A8" activePane="bottomLeft" state="frozen"/>
      <selection pane="bottomLeft"/>
    </sheetView>
  </sheetViews>
  <sheetFormatPr defaultColWidth="10.77734375" defaultRowHeight="12" outlineLevelCol="1" x14ac:dyDescent="0.3"/>
  <cols>
    <col min="1" max="3" width="3.77734375" style="73" customWidth="1"/>
    <col min="4" max="4" width="5" style="73" bestFit="1" customWidth="1"/>
    <col min="5" max="5" width="5" style="73" customWidth="1"/>
    <col min="6" max="6" width="11.33203125" style="73" customWidth="1"/>
    <col min="7" max="7" width="18.44140625" style="73" customWidth="1"/>
    <col min="8" max="8" width="27.109375" style="73" customWidth="1"/>
    <col min="9" max="9" width="13.33203125" style="72" customWidth="1"/>
    <col min="10" max="10" width="13.33203125" style="73" customWidth="1"/>
    <col min="11" max="11" width="7.77734375" style="73" hidden="1" customWidth="1" outlineLevel="1"/>
    <col min="12" max="17" width="10.77734375" style="73" hidden="1" customWidth="1" outlineLevel="1"/>
    <col min="18" max="18" width="11.44140625" style="73" hidden="1" customWidth="1" outlineLevel="1"/>
    <col min="19" max="19" width="12.109375" style="73" hidden="1" customWidth="1" outlineLevel="1"/>
    <col min="20" max="20" width="12.44140625" style="73" hidden="1" customWidth="1" outlineLevel="1"/>
    <col min="21" max="21" width="11.44140625" style="73" hidden="1" customWidth="1" outlineLevel="1"/>
    <col min="22" max="22" width="10.77734375" style="73" hidden="1" customWidth="1" outlineLevel="1"/>
    <col min="23" max="23" width="10.77734375" style="73" collapsed="1"/>
    <col min="24" max="28" width="12.109375" style="73" customWidth="1"/>
    <col min="29" max="38" width="11.44140625" style="73" customWidth="1"/>
    <col min="39" max="39" width="10.77734375" style="73"/>
    <col min="40" max="40" width="2.77734375" style="990" customWidth="1"/>
    <col min="41" max="41" width="10.77734375" style="73"/>
    <col min="42" max="42" width="8.77734375" style="73" customWidth="1"/>
    <col min="43" max="43" width="15.6640625" style="73" customWidth="1"/>
    <col min="44" max="44" width="23" style="72" customWidth="1"/>
    <col min="45" max="59" width="10.77734375" style="73"/>
    <col min="60" max="60" width="5.77734375" style="126" customWidth="1"/>
    <col min="61" max="61" width="8.77734375" style="73" customWidth="1"/>
    <col min="62" max="62" width="15.6640625" style="73" customWidth="1"/>
    <col min="63" max="63" width="23" style="72" customWidth="1"/>
    <col min="64" max="16384" width="10.77734375" style="73"/>
  </cols>
  <sheetData>
    <row r="1" spans="1:63" ht="14.5" x14ac:dyDescent="0.3">
      <c r="A1" s="157" t="s">
        <v>3</v>
      </c>
      <c r="B1" s="157"/>
      <c r="C1" s="158" t="s">
        <v>236</v>
      </c>
      <c r="I1" s="73"/>
      <c r="AR1" s="73"/>
      <c r="BK1" s="73"/>
    </row>
    <row r="2" spans="1:63" ht="13" x14ac:dyDescent="0.3">
      <c r="C2" s="1359" t="str">
        <f>+Contents!H7</f>
        <v>Central Highlands Water</v>
      </c>
      <c r="I2" s="73"/>
      <c r="AR2" s="73"/>
      <c r="BK2" s="73"/>
    </row>
    <row r="3" spans="1:63" x14ac:dyDescent="0.3">
      <c r="C3" s="2357" t="s">
        <v>0</v>
      </c>
      <c r="D3" s="2357"/>
      <c r="E3" s="2357"/>
      <c r="F3" s="2357"/>
      <c r="G3" s="2357"/>
      <c r="H3" s="164"/>
      <c r="I3" s="73"/>
      <c r="AR3" s="73"/>
      <c r="BK3" s="73"/>
    </row>
    <row r="4" spans="1:63" x14ac:dyDescent="0.3">
      <c r="A4" s="165"/>
      <c r="B4" s="165"/>
      <c r="C4" s="75"/>
      <c r="D4" s="76"/>
      <c r="G4" s="63"/>
      <c r="I4" s="73"/>
      <c r="K4" s="66"/>
      <c r="L4" s="1186" t="s">
        <v>60</v>
      </c>
      <c r="M4" s="65"/>
      <c r="N4" s="66"/>
      <c r="O4" s="67"/>
      <c r="P4" s="1186" t="s">
        <v>61</v>
      </c>
      <c r="Q4" s="67"/>
      <c r="R4" s="65"/>
      <c r="S4" s="1202"/>
      <c r="T4" s="1203"/>
      <c r="U4" s="1572" t="s">
        <v>274</v>
      </c>
      <c r="V4" s="1203"/>
      <c r="W4" s="1204"/>
      <c r="X4" s="1944"/>
      <c r="Y4" s="1575"/>
      <c r="Z4" s="1575" t="s">
        <v>1072</v>
      </c>
      <c r="AA4" s="1575"/>
      <c r="AB4" s="1574"/>
      <c r="AC4" s="1573"/>
      <c r="AD4" s="1575"/>
      <c r="AE4" s="1575" t="s">
        <v>457</v>
      </c>
      <c r="AF4" s="1575"/>
      <c r="AG4" s="1574"/>
      <c r="AH4" s="1573"/>
      <c r="AI4" s="1575"/>
      <c r="AJ4" s="1575" t="s">
        <v>903</v>
      </c>
      <c r="AK4" s="1575"/>
      <c r="AL4" s="1574"/>
      <c r="AR4" s="73"/>
      <c r="BK4" s="73"/>
    </row>
    <row r="5" spans="1:63" x14ac:dyDescent="0.3">
      <c r="I5" s="73"/>
      <c r="AR5" s="73"/>
      <c r="BK5" s="73"/>
    </row>
    <row r="6" spans="1:63" x14ac:dyDescent="0.3">
      <c r="C6" s="166"/>
      <c r="G6" s="167" t="s">
        <v>63</v>
      </c>
      <c r="I6" s="73"/>
      <c r="K6" s="1360">
        <v>2006</v>
      </c>
      <c r="L6" s="1360">
        <v>2007</v>
      </c>
      <c r="M6" s="1360">
        <v>2008</v>
      </c>
      <c r="N6" s="1360">
        <v>2009</v>
      </c>
      <c r="O6" s="1360">
        <v>2010</v>
      </c>
      <c r="P6" s="1360">
        <v>2011</v>
      </c>
      <c r="Q6" s="1360">
        <v>2012</v>
      </c>
      <c r="R6" s="1360">
        <v>2013</v>
      </c>
      <c r="S6" s="1360">
        <v>2014</v>
      </c>
      <c r="T6" s="1360">
        <v>2015</v>
      </c>
      <c r="U6" s="1360">
        <v>2016</v>
      </c>
      <c r="V6" s="1360">
        <v>2017</v>
      </c>
      <c r="W6" s="1360">
        <v>2018</v>
      </c>
      <c r="X6" s="1360">
        <v>2019</v>
      </c>
      <c r="Y6" s="1360">
        <v>2020</v>
      </c>
      <c r="Z6" s="1360">
        <v>2021</v>
      </c>
      <c r="AA6" s="1360">
        <v>2022</v>
      </c>
      <c r="AB6" s="1360">
        <v>2023</v>
      </c>
      <c r="AC6" s="1420">
        <v>2024</v>
      </c>
      <c r="AD6" s="1420">
        <v>2025</v>
      </c>
      <c r="AE6" s="1420">
        <v>2026</v>
      </c>
      <c r="AF6" s="1420">
        <v>2027</v>
      </c>
      <c r="AG6" s="1420">
        <v>2028</v>
      </c>
      <c r="AH6" s="1420">
        <v>2029</v>
      </c>
      <c r="AI6" s="1420">
        <v>2030</v>
      </c>
      <c r="AJ6" s="1420">
        <v>2031</v>
      </c>
      <c r="AK6" s="1420">
        <v>2032</v>
      </c>
      <c r="AL6" s="1420">
        <v>2033</v>
      </c>
      <c r="AR6" s="73"/>
      <c r="BK6" s="73"/>
    </row>
    <row r="7" spans="1:63" x14ac:dyDescent="0.3">
      <c r="A7" s="78"/>
      <c r="B7" s="78"/>
      <c r="C7" s="126" t="str">
        <f>Expenditure_Detail!$B$6</f>
        <v>$m, 01/01/23</v>
      </c>
      <c r="D7" s="78"/>
      <c r="E7" s="78"/>
      <c r="F7" s="78"/>
      <c r="G7" s="169" t="s">
        <v>64</v>
      </c>
      <c r="H7" s="78"/>
      <c r="I7" s="78"/>
      <c r="J7" s="78"/>
      <c r="K7" s="1319" t="str">
        <f t="shared" ref="K7:R7" si="0">+CONCATENATE(K6-1,"-",RIGHT(K6,2))</f>
        <v>2005-06</v>
      </c>
      <c r="L7" s="1319" t="str">
        <f t="shared" si="0"/>
        <v>2006-07</v>
      </c>
      <c r="M7" s="1319" t="str">
        <f t="shared" si="0"/>
        <v>2007-08</v>
      </c>
      <c r="N7" s="1319" t="str">
        <f t="shared" si="0"/>
        <v>2008-09</v>
      </c>
      <c r="O7" s="1319" t="str">
        <f t="shared" si="0"/>
        <v>2009-10</v>
      </c>
      <c r="P7" s="1319" t="str">
        <f t="shared" si="0"/>
        <v>2010-11</v>
      </c>
      <c r="Q7" s="1319" t="str">
        <f t="shared" si="0"/>
        <v>2011-12</v>
      </c>
      <c r="R7" s="1319" t="str">
        <f t="shared" si="0"/>
        <v>2012-13</v>
      </c>
      <c r="S7" s="1319" t="str">
        <f t="shared" ref="S7:AG7" si="1">+CONCATENATE(S6-1,"-",RIGHT(S6,2))</f>
        <v>2013-14</v>
      </c>
      <c r="T7" s="1319" t="str">
        <f t="shared" si="1"/>
        <v>2014-15</v>
      </c>
      <c r="U7" s="1319" t="str">
        <f t="shared" si="1"/>
        <v>2015-16</v>
      </c>
      <c r="V7" s="1319" t="str">
        <f t="shared" si="1"/>
        <v>2016-17</v>
      </c>
      <c r="W7" s="1319" t="str">
        <f t="shared" si="1"/>
        <v>2017-18</v>
      </c>
      <c r="X7" s="1319" t="str">
        <f t="shared" si="1"/>
        <v>2018-19</v>
      </c>
      <c r="Y7" s="1319" t="str">
        <f t="shared" si="1"/>
        <v>2019-20</v>
      </c>
      <c r="Z7" s="1319" t="str">
        <f t="shared" si="1"/>
        <v>2020-21</v>
      </c>
      <c r="AA7" s="1319" t="str">
        <f t="shared" si="1"/>
        <v>2021-22</v>
      </c>
      <c r="AB7" s="1319" t="str">
        <f t="shared" si="1"/>
        <v>2022-23</v>
      </c>
      <c r="AC7" s="1319" t="str">
        <f t="shared" si="1"/>
        <v>2023-24</v>
      </c>
      <c r="AD7" s="1319" t="str">
        <f t="shared" si="1"/>
        <v>2024-25</v>
      </c>
      <c r="AE7" s="1319" t="str">
        <f t="shared" si="1"/>
        <v>2025-26</v>
      </c>
      <c r="AF7" s="1319" t="str">
        <f t="shared" si="1"/>
        <v>2026-27</v>
      </c>
      <c r="AG7" s="1319" t="str">
        <f t="shared" si="1"/>
        <v>2027-28</v>
      </c>
      <c r="AH7" s="1319" t="str">
        <f>+CONCATENATE(AH6-1,"-",RIGHT(AH6,2))</f>
        <v>2028-29</v>
      </c>
      <c r="AI7" s="1319" t="str">
        <f>+CONCATENATE(AI6-1,"-",RIGHT(AI6,2))</f>
        <v>2029-30</v>
      </c>
      <c r="AJ7" s="1319" t="str">
        <f>+CONCATENATE(AJ6-1,"-",RIGHT(AJ6,2))</f>
        <v>2030-31</v>
      </c>
      <c r="AK7" s="1319" t="str">
        <f>+CONCATENATE(AK6-1,"-",RIGHT(AK6,2))</f>
        <v>2031-32</v>
      </c>
      <c r="AL7" s="1319" t="str">
        <f>+CONCATENATE(AL6-1,"-",RIGHT(AL6,2))</f>
        <v>2032-33</v>
      </c>
      <c r="AP7" s="78"/>
      <c r="AQ7" s="78"/>
      <c r="AR7" s="78"/>
      <c r="BI7" s="78"/>
      <c r="BJ7" s="78"/>
      <c r="BK7" s="78"/>
    </row>
    <row r="8" spans="1:63" ht="10.15" customHeight="1" thickBot="1" x14ac:dyDescent="0.35">
      <c r="I8" s="73"/>
      <c r="X8" s="80"/>
      <c r="Y8" s="80"/>
      <c r="Z8" s="80"/>
      <c r="AA8" s="80"/>
      <c r="AB8" s="80"/>
      <c r="AQ8" s="72"/>
      <c r="AR8" s="590"/>
      <c r="BJ8" s="72"/>
      <c r="BK8" s="590"/>
    </row>
    <row r="9" spans="1:63" x14ac:dyDescent="0.3">
      <c r="D9" s="170"/>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Q9" s="72"/>
      <c r="AR9" s="590"/>
      <c r="BJ9" s="72"/>
      <c r="BK9" s="590"/>
    </row>
    <row r="10" spans="1:63" x14ac:dyDescent="0.3">
      <c r="D10" s="173"/>
      <c r="E10" s="174" t="s">
        <v>70</v>
      </c>
      <c r="F10" s="72"/>
      <c r="G10" s="72"/>
      <c r="H10" s="72"/>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Q10" s="72"/>
      <c r="AR10" s="590"/>
      <c r="BJ10" s="72"/>
      <c r="BK10" s="590"/>
    </row>
    <row r="11" spans="1:63" x14ac:dyDescent="0.3">
      <c r="D11" s="173"/>
      <c r="E11" s="72"/>
      <c r="F11" s="72"/>
      <c r="G11" s="72"/>
      <c r="H11" s="72"/>
      <c r="J11" s="72"/>
      <c r="K11" s="72"/>
      <c r="L11" s="72"/>
      <c r="M11" s="72"/>
      <c r="N11" s="72"/>
      <c r="O11" s="72"/>
      <c r="P11" s="72"/>
      <c r="Q11" s="72"/>
      <c r="R11" s="72"/>
      <c r="S11" s="72"/>
      <c r="T11" s="72"/>
      <c r="U11" s="72"/>
      <c r="V11" s="72"/>
      <c r="W11" s="72"/>
      <c r="X11" s="72"/>
      <c r="Y11" s="582"/>
      <c r="Z11" s="72"/>
      <c r="AA11" s="72"/>
      <c r="AB11" s="72"/>
      <c r="AC11" s="72"/>
      <c r="AD11" s="582"/>
      <c r="AE11" s="72"/>
      <c r="AF11" s="72"/>
      <c r="AG11" s="72"/>
      <c r="AH11" s="72"/>
      <c r="AI11" s="582"/>
      <c r="AJ11" s="72"/>
      <c r="AK11" s="72"/>
      <c r="AL11" s="72"/>
      <c r="AQ11" s="72"/>
      <c r="AR11" s="590"/>
      <c r="BJ11" s="72"/>
      <c r="BK11" s="590"/>
    </row>
    <row r="12" spans="1:63" x14ac:dyDescent="0.3">
      <c r="D12" s="173"/>
      <c r="E12" s="72"/>
      <c r="F12" s="502" t="s">
        <v>30</v>
      </c>
      <c r="G12" s="72"/>
      <c r="H12" s="72"/>
      <c r="J12" s="178"/>
      <c r="K12" s="72"/>
      <c r="L12" s="72"/>
      <c r="M12" s="72"/>
      <c r="N12" s="72"/>
      <c r="O12" s="72"/>
      <c r="P12" s="72"/>
      <c r="Q12" s="72"/>
      <c r="R12" s="72"/>
      <c r="S12" s="72"/>
      <c r="T12" s="72"/>
      <c r="U12" s="72"/>
      <c r="V12" s="72"/>
      <c r="W12" s="297">
        <f t="shared" ref="W12:AB12" si="2">+W57</f>
        <v>0</v>
      </c>
      <c r="X12" s="297">
        <f t="shared" si="2"/>
        <v>0</v>
      </c>
      <c r="Y12" s="297">
        <f t="shared" si="2"/>
        <v>0</v>
      </c>
      <c r="Z12" s="297">
        <f t="shared" si="2"/>
        <v>0</v>
      </c>
      <c r="AA12" s="297">
        <f t="shared" si="2"/>
        <v>0</v>
      </c>
      <c r="AB12" s="297">
        <f t="shared" si="2"/>
        <v>0</v>
      </c>
      <c r="AC12" s="297">
        <f t="shared" ref="AC12:AL12" si="3">+AC57</f>
        <v>0</v>
      </c>
      <c r="AD12" s="297">
        <f t="shared" si="3"/>
        <v>0</v>
      </c>
      <c r="AE12" s="297">
        <f t="shared" si="3"/>
        <v>0</v>
      </c>
      <c r="AF12" s="297">
        <f t="shared" si="3"/>
        <v>0</v>
      </c>
      <c r="AG12" s="297">
        <f t="shared" si="3"/>
        <v>0</v>
      </c>
      <c r="AH12" s="297">
        <f t="shared" si="3"/>
        <v>0</v>
      </c>
      <c r="AI12" s="297">
        <f t="shared" si="3"/>
        <v>0</v>
      </c>
      <c r="AJ12" s="297">
        <f t="shared" si="3"/>
        <v>0</v>
      </c>
      <c r="AK12" s="297">
        <f t="shared" si="3"/>
        <v>0</v>
      </c>
      <c r="AL12" s="297">
        <f t="shared" si="3"/>
        <v>0</v>
      </c>
      <c r="AQ12" s="72"/>
      <c r="AR12" s="590"/>
      <c r="BJ12" s="72"/>
      <c r="BK12" s="590"/>
    </row>
    <row r="13" spans="1:63" x14ac:dyDescent="0.3">
      <c r="D13" s="173"/>
      <c r="E13" s="72"/>
      <c r="F13" s="435" t="s">
        <v>39</v>
      </c>
      <c r="G13" s="72"/>
      <c r="H13" s="72"/>
      <c r="J13" s="178"/>
      <c r="K13" s="72"/>
      <c r="L13" s="72"/>
      <c r="M13" s="72"/>
      <c r="N13" s="72"/>
      <c r="O13" s="72"/>
      <c r="P13" s="72"/>
      <c r="Q13" s="72"/>
      <c r="R13" s="72"/>
      <c r="S13" s="72"/>
      <c r="T13" s="72"/>
      <c r="U13" s="72"/>
      <c r="V13" s="72"/>
      <c r="W13" s="297">
        <f t="shared" ref="W13" si="4">+SUMIF($E$69:$E$65539,$E$71,W$69:W$65539)+W65</f>
        <v>0</v>
      </c>
      <c r="X13" s="297">
        <f t="shared" ref="X13:AB13" si="5">+SUMIF($E$69:$E$65543,$E$71,X$69:X$65543)+X65</f>
        <v>0</v>
      </c>
      <c r="Y13" s="297">
        <f t="shared" si="5"/>
        <v>0</v>
      </c>
      <c r="Z13" s="2024">
        <f t="shared" si="5"/>
        <v>0</v>
      </c>
      <c r="AA13" s="2024">
        <f t="shared" si="5"/>
        <v>0</v>
      </c>
      <c r="AB13" s="2024">
        <f t="shared" si="5"/>
        <v>0</v>
      </c>
      <c r="AC13" s="2234">
        <f t="shared" ref="AC13" si="6">+SUMIF($E$69:$E$65543,$E$71,AC$69:AC$65543)</f>
        <v>0</v>
      </c>
      <c r="AD13" s="297">
        <f t="shared" ref="AD13:AL13" si="7">+SUMIF($E$69:$E$65539,$E$71,AD$69:AD$65539)</f>
        <v>0</v>
      </c>
      <c r="AE13" s="297">
        <f t="shared" si="7"/>
        <v>0</v>
      </c>
      <c r="AF13" s="297">
        <f t="shared" si="7"/>
        <v>0</v>
      </c>
      <c r="AG13" s="297">
        <f t="shared" si="7"/>
        <v>0</v>
      </c>
      <c r="AH13" s="297">
        <f t="shared" si="7"/>
        <v>0</v>
      </c>
      <c r="AI13" s="297">
        <f t="shared" si="7"/>
        <v>0</v>
      </c>
      <c r="AJ13" s="297">
        <f t="shared" si="7"/>
        <v>0</v>
      </c>
      <c r="AK13" s="297">
        <f t="shared" si="7"/>
        <v>0</v>
      </c>
      <c r="AL13" s="297">
        <f t="shared" si="7"/>
        <v>0</v>
      </c>
      <c r="AQ13" s="72"/>
      <c r="AR13" s="590"/>
      <c r="BJ13" s="72"/>
      <c r="BK13" s="590"/>
    </row>
    <row r="14" spans="1:63" x14ac:dyDescent="0.3">
      <c r="D14" s="173"/>
      <c r="E14" s="72"/>
      <c r="F14" s="466" t="s">
        <v>71</v>
      </c>
      <c r="G14" s="105"/>
      <c r="H14" s="105"/>
      <c r="I14" s="105"/>
      <c r="J14" s="178"/>
      <c r="K14" s="72"/>
      <c r="L14" s="72"/>
      <c r="M14" s="72"/>
      <c r="N14" s="72"/>
      <c r="O14" s="72"/>
      <c r="P14" s="72"/>
      <c r="Q14" s="72"/>
      <c r="R14" s="72"/>
      <c r="S14" s="72"/>
      <c r="T14" s="72"/>
      <c r="U14" s="72"/>
      <c r="V14" s="72"/>
      <c r="W14" s="1565">
        <f t="shared" ref="W14:AB14" si="8">+W12+W13</f>
        <v>0</v>
      </c>
      <c r="X14" s="1565">
        <f t="shared" si="8"/>
        <v>0</v>
      </c>
      <c r="Y14" s="1565">
        <f t="shared" si="8"/>
        <v>0</v>
      </c>
      <c r="Z14" s="1565">
        <f t="shared" si="8"/>
        <v>0</v>
      </c>
      <c r="AA14" s="1565">
        <f t="shared" si="8"/>
        <v>0</v>
      </c>
      <c r="AB14" s="1565">
        <f t="shared" si="8"/>
        <v>0</v>
      </c>
      <c r="AC14" s="1565">
        <f t="shared" ref="AC14:AL14" si="9">+AC12+AC13</f>
        <v>0</v>
      </c>
      <c r="AD14" s="1565">
        <f t="shared" si="9"/>
        <v>0</v>
      </c>
      <c r="AE14" s="1565">
        <f t="shared" si="9"/>
        <v>0</v>
      </c>
      <c r="AF14" s="1565">
        <f t="shared" si="9"/>
        <v>0</v>
      </c>
      <c r="AG14" s="1565">
        <f t="shared" si="9"/>
        <v>0</v>
      </c>
      <c r="AH14" s="1565">
        <f t="shared" si="9"/>
        <v>0</v>
      </c>
      <c r="AI14" s="1565">
        <f t="shared" si="9"/>
        <v>0</v>
      </c>
      <c r="AJ14" s="1565">
        <f t="shared" si="9"/>
        <v>0</v>
      </c>
      <c r="AK14" s="1565">
        <f t="shared" si="9"/>
        <v>0</v>
      </c>
      <c r="AL14" s="1565">
        <f t="shared" si="9"/>
        <v>0</v>
      </c>
      <c r="AQ14" s="72"/>
      <c r="AR14" s="590"/>
      <c r="BJ14" s="72"/>
      <c r="BK14" s="590"/>
    </row>
    <row r="15" spans="1:63" x14ac:dyDescent="0.3">
      <c r="D15" s="173"/>
      <c r="E15" s="72"/>
      <c r="F15" s="435" t="s">
        <v>38</v>
      </c>
      <c r="G15" s="72"/>
      <c r="H15" s="72"/>
      <c r="J15" s="178"/>
      <c r="K15" s="72"/>
      <c r="L15" s="72"/>
      <c r="M15" s="72"/>
      <c r="N15" s="72"/>
      <c r="O15" s="72"/>
      <c r="P15" s="72"/>
      <c r="Q15" s="72"/>
      <c r="R15" s="72"/>
      <c r="S15" s="72"/>
      <c r="T15" s="72"/>
      <c r="U15" s="72"/>
      <c r="V15" s="72"/>
      <c r="W15" s="297">
        <f t="shared" ref="W15:AG15" si="10">+W59</f>
        <v>0</v>
      </c>
      <c r="X15" s="297">
        <f t="shared" si="10"/>
        <v>0</v>
      </c>
      <c r="Y15" s="297">
        <f t="shared" si="10"/>
        <v>0</v>
      </c>
      <c r="Z15" s="297">
        <f t="shared" si="10"/>
        <v>0</v>
      </c>
      <c r="AA15" s="297">
        <f t="shared" si="10"/>
        <v>0</v>
      </c>
      <c r="AB15" s="297">
        <f t="shared" si="10"/>
        <v>0</v>
      </c>
      <c r="AC15" s="297">
        <f t="shared" si="10"/>
        <v>0</v>
      </c>
      <c r="AD15" s="297">
        <f t="shared" si="10"/>
        <v>0</v>
      </c>
      <c r="AE15" s="297">
        <f t="shared" si="10"/>
        <v>0</v>
      </c>
      <c r="AF15" s="297">
        <f t="shared" si="10"/>
        <v>0</v>
      </c>
      <c r="AG15" s="297">
        <f t="shared" si="10"/>
        <v>0</v>
      </c>
      <c r="AH15" s="297">
        <f>+AH59</f>
        <v>0</v>
      </c>
      <c r="AI15" s="297">
        <f>+AI59</f>
        <v>0</v>
      </c>
      <c r="AJ15" s="297">
        <f>+AJ59</f>
        <v>0</v>
      </c>
      <c r="AK15" s="297">
        <f>+AK59</f>
        <v>0</v>
      </c>
      <c r="AL15" s="297">
        <f>+AL59</f>
        <v>0</v>
      </c>
      <c r="AQ15" s="72"/>
      <c r="AR15" s="590"/>
      <c r="BJ15" s="72"/>
      <c r="BK15" s="590"/>
    </row>
    <row r="16" spans="1:63" x14ac:dyDescent="0.3">
      <c r="D16" s="173"/>
      <c r="E16" s="72"/>
      <c r="F16" s="435"/>
      <c r="G16" s="72"/>
      <c r="H16" s="72"/>
      <c r="J16" s="178"/>
      <c r="K16" s="72"/>
      <c r="L16" s="72"/>
      <c r="M16" s="72"/>
      <c r="N16" s="72"/>
      <c r="O16" s="72"/>
      <c r="P16" s="72"/>
      <c r="Q16" s="72"/>
      <c r="R16" s="72"/>
      <c r="S16" s="72"/>
      <c r="T16" s="72"/>
      <c r="U16" s="72"/>
      <c r="V16" s="72"/>
      <c r="W16" s="462"/>
      <c r="X16" s="72"/>
      <c r="Y16" s="72"/>
      <c r="Z16" s="72"/>
      <c r="AA16" s="72"/>
      <c r="AB16" s="462"/>
      <c r="AC16" s="72"/>
      <c r="AD16" s="72"/>
      <c r="AE16" s="72"/>
      <c r="AF16" s="72"/>
      <c r="AG16" s="72"/>
      <c r="AH16" s="72"/>
      <c r="AI16" s="72"/>
      <c r="AJ16" s="72"/>
      <c r="AK16" s="72"/>
      <c r="AL16" s="72"/>
      <c r="AQ16" s="72"/>
      <c r="AR16" s="590"/>
      <c r="BJ16" s="72"/>
      <c r="BK16" s="590"/>
    </row>
    <row r="17" spans="4:63" ht="12.5" thickBot="1" x14ac:dyDescent="0.35">
      <c r="D17" s="173"/>
      <c r="E17" s="72"/>
      <c r="F17" s="466" t="s">
        <v>72</v>
      </c>
      <c r="G17" s="72"/>
      <c r="H17" s="72"/>
      <c r="J17" s="178"/>
      <c r="K17" s="72"/>
      <c r="L17" s="72"/>
      <c r="M17" s="72"/>
      <c r="N17" s="72"/>
      <c r="O17" s="72"/>
      <c r="P17" s="72"/>
      <c r="Q17" s="72"/>
      <c r="R17" s="72"/>
      <c r="S17" s="72"/>
      <c r="T17" s="72"/>
      <c r="U17" s="72"/>
      <c r="V17" s="72"/>
      <c r="W17" s="1698">
        <f t="shared" ref="W17:AG17" si="11">+W14-W15</f>
        <v>0</v>
      </c>
      <c r="X17" s="1698">
        <f t="shared" si="11"/>
        <v>0</v>
      </c>
      <c r="Y17" s="1698">
        <f t="shared" si="11"/>
        <v>0</v>
      </c>
      <c r="Z17" s="1698">
        <f t="shared" si="11"/>
        <v>0</v>
      </c>
      <c r="AA17" s="1698">
        <f t="shared" si="11"/>
        <v>0</v>
      </c>
      <c r="AB17" s="1698">
        <f t="shared" si="11"/>
        <v>0</v>
      </c>
      <c r="AC17" s="1698">
        <f t="shared" si="11"/>
        <v>0</v>
      </c>
      <c r="AD17" s="1698">
        <f t="shared" si="11"/>
        <v>0</v>
      </c>
      <c r="AE17" s="1698">
        <f t="shared" si="11"/>
        <v>0</v>
      </c>
      <c r="AF17" s="1698">
        <f t="shared" si="11"/>
        <v>0</v>
      </c>
      <c r="AG17" s="1698">
        <f t="shared" si="11"/>
        <v>0</v>
      </c>
      <c r="AH17" s="1698">
        <f>+AH14-AH15</f>
        <v>0</v>
      </c>
      <c r="AI17" s="1698">
        <f>+AI14-AI15</f>
        <v>0</v>
      </c>
      <c r="AJ17" s="1698">
        <f>+AJ14-AJ15</f>
        <v>0</v>
      </c>
      <c r="AK17" s="1698">
        <f>+AK14-AK15</f>
        <v>0</v>
      </c>
      <c r="AL17" s="1698">
        <f>+AL14-AL15</f>
        <v>0</v>
      </c>
      <c r="AQ17" s="72"/>
      <c r="AR17" s="590"/>
      <c r="BJ17" s="72"/>
      <c r="BK17" s="590"/>
    </row>
    <row r="18" spans="4:63" x14ac:dyDescent="0.3">
      <c r="D18" s="173"/>
      <c r="E18" s="72"/>
      <c r="F18" s="514" t="s">
        <v>73</v>
      </c>
      <c r="G18" s="87"/>
      <c r="H18" s="87"/>
      <c r="I18" s="87"/>
      <c r="J18" s="583"/>
      <c r="K18" s="72"/>
      <c r="L18" s="72"/>
      <c r="M18" s="72"/>
      <c r="N18" s="72"/>
      <c r="O18" s="72"/>
      <c r="P18" s="72"/>
      <c r="Q18" s="72"/>
      <c r="R18" s="72"/>
      <c r="S18" s="72"/>
      <c r="T18" s="72"/>
      <c r="U18" s="72"/>
      <c r="V18" s="72"/>
      <c r="W18" s="1699">
        <f>+Determination_Lookup!M10</f>
        <v>99.217006173245181</v>
      </c>
      <c r="X18" s="1699">
        <f>+Determination_Lookup!N10</f>
        <v>98.241752731396645</v>
      </c>
      <c r="Y18" s="1699">
        <f>+Determination_Lookup!O10</f>
        <v>98.984695770949031</v>
      </c>
      <c r="Z18" s="1699">
        <f>+Determination_Lookup!P10</f>
        <v>99.050510493747737</v>
      </c>
      <c r="AA18" s="1699">
        <f>+Determination_Lookup!Q10</f>
        <v>99.811440983806364</v>
      </c>
      <c r="AB18" s="1699">
        <f>+Determination_Lookup!R10</f>
        <v>100.23147140236459</v>
      </c>
      <c r="AC18" s="297">
        <f>+'Rev&amp;RAV_FO'!AC23</f>
        <v>104.06385545438683</v>
      </c>
      <c r="AD18" s="297">
        <f>+'Rev&amp;RAV_FO'!AD23</f>
        <v>106.94004285484651</v>
      </c>
      <c r="AE18" s="297">
        <f>+'Rev&amp;RAV_FO'!AE23</f>
        <v>109.18152309433378</v>
      </c>
      <c r="AF18" s="297">
        <f>+'Rev&amp;RAV_FO'!AF23</f>
        <v>110.44864096807545</v>
      </c>
      <c r="AG18" s="297">
        <f>+'Rev&amp;RAV_FO'!AG23</f>
        <v>118.55392838684085</v>
      </c>
      <c r="AH18" s="297">
        <f ca="1">+'Rev&amp;RAV_FO'!AH23</f>
        <v>120.75745129797468</v>
      </c>
      <c r="AI18" s="297">
        <f ca="1">+'Rev&amp;RAV_FO'!AI23</f>
        <v>124.95933650928491</v>
      </c>
      <c r="AJ18" s="297">
        <f ca="1">+'Rev&amp;RAV_FO'!AJ23</f>
        <v>128.35488889955744</v>
      </c>
      <c r="AK18" s="297">
        <f ca="1">+'Rev&amp;RAV_FO'!AK23</f>
        <v>130.28407684269885</v>
      </c>
      <c r="AL18" s="297">
        <f ca="1">+'Rev&amp;RAV_FO'!AL23</f>
        <v>131.90331196503232</v>
      </c>
      <c r="AQ18" s="72"/>
      <c r="AR18" s="590"/>
      <c r="BJ18" s="72"/>
      <c r="BK18" s="590"/>
    </row>
    <row r="19" spans="4:63" x14ac:dyDescent="0.3">
      <c r="D19" s="173"/>
      <c r="E19" s="72"/>
      <c r="F19" s="435"/>
      <c r="G19" s="72"/>
      <c r="H19" s="72"/>
      <c r="J19" s="178"/>
      <c r="K19" s="72"/>
      <c r="L19" s="72"/>
      <c r="M19" s="72"/>
      <c r="N19" s="72"/>
      <c r="O19" s="72"/>
      <c r="P19" s="72"/>
      <c r="Q19" s="72"/>
      <c r="R19" s="72"/>
      <c r="S19" s="72"/>
      <c r="T19" s="72"/>
      <c r="U19" s="72"/>
      <c r="V19" s="72"/>
      <c r="W19" s="462"/>
      <c r="X19" s="72"/>
      <c r="Y19" s="72"/>
      <c r="Z19" s="72"/>
      <c r="AA19" s="72"/>
      <c r="AB19" s="462"/>
      <c r="AC19" s="72"/>
      <c r="AD19" s="72"/>
      <c r="AE19" s="72"/>
      <c r="AF19" s="72"/>
      <c r="AG19" s="72"/>
      <c r="AH19" s="72"/>
      <c r="AI19" s="72"/>
      <c r="AJ19" s="72"/>
      <c r="AK19" s="72"/>
      <c r="AL19" s="72"/>
      <c r="AQ19" s="72"/>
      <c r="AR19" s="590"/>
      <c r="BJ19" s="72"/>
      <c r="BK19" s="590"/>
    </row>
    <row r="20" spans="4:63" x14ac:dyDescent="0.3">
      <c r="D20" s="173"/>
      <c r="E20" s="72"/>
      <c r="F20" s="435" t="s">
        <v>74</v>
      </c>
      <c r="G20" s="72"/>
      <c r="H20" s="72"/>
      <c r="J20" s="178"/>
      <c r="K20" s="72"/>
      <c r="L20" s="72"/>
      <c r="M20" s="72"/>
      <c r="N20" s="72"/>
      <c r="O20" s="72"/>
      <c r="P20" s="72"/>
      <c r="Q20" s="72"/>
      <c r="R20" s="72"/>
      <c r="S20" s="72"/>
      <c r="T20" s="72"/>
      <c r="U20" s="72"/>
      <c r="V20" s="72"/>
      <c r="W20" s="297">
        <f ca="1">+NotPres_FO!W12</f>
        <v>4.6124123131221726</v>
      </c>
      <c r="X20" s="297">
        <f ca="1">+NotPres_FO!X12</f>
        <v>6.1082183861210302</v>
      </c>
      <c r="Y20" s="297">
        <f ca="1">+NotPres_FO!Y12</f>
        <v>8.7013893496078776</v>
      </c>
      <c r="Z20" s="297">
        <f ca="1">+NotPres_FO!Z12</f>
        <v>3.7585105493132165</v>
      </c>
      <c r="AA20" s="297">
        <f ca="1">+NotPres_FO!AA12</f>
        <v>3.7960956548063485</v>
      </c>
      <c r="AB20" s="297">
        <f ca="1">+NotPres_FO!AB12</f>
        <v>3.8340566113544119</v>
      </c>
      <c r="AC20" s="297">
        <f ca="1">+NotPres_FO!AC12</f>
        <v>3.8723971774679562</v>
      </c>
      <c r="AD20" s="297">
        <f ca="1">+NotPres_FO!AD12</f>
        <v>3.9111211492426357</v>
      </c>
      <c r="AE20" s="297">
        <f ca="1">+NotPres_FO!AE12</f>
        <v>3.950232360735062</v>
      </c>
      <c r="AF20" s="297">
        <f ca="1">+NotPres_FO!AF12</f>
        <v>3.9897346843424129</v>
      </c>
      <c r="AG20" s="297">
        <f ca="1">+NotPres_FO!AG12</f>
        <v>4.0296320311858373</v>
      </c>
      <c r="AH20" s="297">
        <f ca="1">+NotPres_FO!AH12</f>
        <v>4.0699283514976958</v>
      </c>
      <c r="AI20" s="297">
        <f ca="1">+NotPres_FO!AI12</f>
        <v>4.1106276350126727</v>
      </c>
      <c r="AJ20" s="297">
        <f ca="1">+NotPres_FO!AJ12</f>
        <v>4.1517339113627996</v>
      </c>
      <c r="AK20" s="297">
        <f ca="1">+NotPres_FO!AK12</f>
        <v>4.1932512504764272</v>
      </c>
      <c r="AL20" s="297">
        <f ca="1">+NotPres_FO!AL12</f>
        <v>4.2351837629811913</v>
      </c>
      <c r="AQ20" s="72"/>
      <c r="AR20" s="590"/>
      <c r="BJ20" s="72"/>
      <c r="BK20" s="590"/>
    </row>
    <row r="21" spans="4:63" x14ac:dyDescent="0.3">
      <c r="D21" s="173"/>
      <c r="E21" s="72"/>
      <c r="F21" s="435"/>
      <c r="G21" s="72"/>
      <c r="H21" s="72"/>
      <c r="J21" s="178"/>
      <c r="K21" s="72"/>
      <c r="L21" s="72"/>
      <c r="M21" s="72"/>
      <c r="N21" s="72"/>
      <c r="O21" s="72"/>
      <c r="P21" s="72"/>
      <c r="Q21" s="72"/>
      <c r="R21" s="72"/>
      <c r="S21" s="72"/>
      <c r="T21" s="72"/>
      <c r="U21" s="72"/>
      <c r="V21" s="72"/>
      <c r="W21" s="462"/>
      <c r="X21" s="72"/>
      <c r="Y21" s="72"/>
      <c r="Z21" s="72"/>
      <c r="AA21" s="72"/>
      <c r="AB21" s="462"/>
      <c r="AC21" s="72"/>
      <c r="AD21" s="72"/>
      <c r="AE21" s="72"/>
      <c r="AF21" s="72"/>
      <c r="AG21" s="72"/>
      <c r="AH21" s="72"/>
      <c r="AI21" s="72"/>
      <c r="AJ21" s="72"/>
      <c r="AK21" s="72"/>
      <c r="AL21" s="72"/>
      <c r="AQ21" s="72"/>
      <c r="AR21" s="590"/>
      <c r="BJ21" s="72"/>
      <c r="BK21" s="590"/>
    </row>
    <row r="22" spans="4:63" ht="12.5" thickBot="1" x14ac:dyDescent="0.35">
      <c r="D22" s="173"/>
      <c r="E22" s="72"/>
      <c r="F22" s="466" t="s">
        <v>75</v>
      </c>
      <c r="G22" s="105"/>
      <c r="H22" s="105"/>
      <c r="I22" s="105"/>
      <c r="J22" s="178"/>
      <c r="K22" s="72"/>
      <c r="L22" s="72"/>
      <c r="M22" s="72"/>
      <c r="N22" s="72"/>
      <c r="O22" s="72"/>
      <c r="P22" s="72"/>
      <c r="Q22" s="72"/>
      <c r="R22" s="72"/>
      <c r="S22" s="72"/>
      <c r="T22" s="72"/>
      <c r="U22" s="72"/>
      <c r="V22" s="72"/>
      <c r="W22" s="1698">
        <f t="shared" ref="W22:AG22" ca="1" si="12">+W17+W20</f>
        <v>4.6124123131221726</v>
      </c>
      <c r="X22" s="1698">
        <f t="shared" ca="1" si="12"/>
        <v>6.1082183861210302</v>
      </c>
      <c r="Y22" s="1698">
        <f t="shared" ca="1" si="12"/>
        <v>8.7013893496078776</v>
      </c>
      <c r="Z22" s="1698">
        <f t="shared" ca="1" si="12"/>
        <v>3.7585105493132165</v>
      </c>
      <c r="AA22" s="1698">
        <f t="shared" ca="1" si="12"/>
        <v>3.7960956548063485</v>
      </c>
      <c r="AB22" s="1698">
        <f t="shared" ca="1" si="12"/>
        <v>3.8340566113544119</v>
      </c>
      <c r="AC22" s="1698">
        <f t="shared" ca="1" si="12"/>
        <v>3.8723971774679562</v>
      </c>
      <c r="AD22" s="1698">
        <f t="shared" ca="1" si="12"/>
        <v>3.9111211492426357</v>
      </c>
      <c r="AE22" s="1698">
        <f t="shared" ca="1" si="12"/>
        <v>3.950232360735062</v>
      </c>
      <c r="AF22" s="1698">
        <f t="shared" ca="1" si="12"/>
        <v>3.9897346843424129</v>
      </c>
      <c r="AG22" s="1698">
        <f t="shared" ca="1" si="12"/>
        <v>4.0296320311858373</v>
      </c>
      <c r="AH22" s="1698">
        <f ca="1">+AH17+AH20</f>
        <v>4.0699283514976958</v>
      </c>
      <c r="AI22" s="1698">
        <f ca="1">+AI17+AI20</f>
        <v>4.1106276350126727</v>
      </c>
      <c r="AJ22" s="1698">
        <f ca="1">+AJ17+AJ20</f>
        <v>4.1517339113627996</v>
      </c>
      <c r="AK22" s="1698">
        <f ca="1">+AK17+AK20</f>
        <v>4.1932512504764272</v>
      </c>
      <c r="AL22" s="1698">
        <f ca="1">+AL17+AL20</f>
        <v>4.2351837629811913</v>
      </c>
      <c r="AQ22" s="72"/>
      <c r="AR22" s="590"/>
      <c r="BJ22" s="72"/>
      <c r="BK22" s="590"/>
    </row>
    <row r="23" spans="4:63" x14ac:dyDescent="0.3">
      <c r="D23" s="173"/>
      <c r="E23" s="72"/>
      <c r="F23" s="435"/>
      <c r="G23" s="72"/>
      <c r="H23" s="72"/>
      <c r="J23" s="72"/>
      <c r="K23" s="414"/>
      <c r="L23" s="414"/>
      <c r="M23" s="414"/>
      <c r="N23" s="414"/>
      <c r="O23" s="414"/>
      <c r="P23" s="414"/>
      <c r="Q23" s="414"/>
      <c r="R23" s="414"/>
      <c r="S23" s="414"/>
      <c r="T23" s="414"/>
      <c r="U23" s="414"/>
      <c r="V23" s="414"/>
      <c r="W23" s="414"/>
      <c r="X23" s="72"/>
      <c r="Y23" s="72"/>
      <c r="Z23" s="72"/>
      <c r="AA23" s="72"/>
      <c r="AB23" s="414"/>
      <c r="AC23" s="72"/>
      <c r="AD23" s="72"/>
      <c r="AE23" s="72"/>
      <c r="AF23" s="72"/>
      <c r="AG23" s="72"/>
      <c r="AH23" s="72"/>
      <c r="AI23" s="72"/>
      <c r="AJ23" s="72"/>
      <c r="AK23" s="72"/>
      <c r="AL23" s="72"/>
      <c r="AQ23" s="72"/>
      <c r="AR23" s="590"/>
      <c r="BJ23" s="72"/>
      <c r="BK23" s="590"/>
    </row>
    <row r="24" spans="4:63" ht="12.5" thickBot="1" x14ac:dyDescent="0.35">
      <c r="D24" s="179"/>
      <c r="E24" s="180"/>
      <c r="F24" s="584"/>
      <c r="G24" s="180"/>
      <c r="H24" s="180"/>
      <c r="I24" s="180"/>
      <c r="J24" s="180"/>
      <c r="K24" s="516"/>
      <c r="L24" s="516"/>
      <c r="M24" s="516"/>
      <c r="N24" s="516"/>
      <c r="O24" s="516"/>
      <c r="P24" s="516"/>
      <c r="Q24" s="516"/>
      <c r="R24" s="516"/>
      <c r="S24" s="516"/>
      <c r="T24" s="516"/>
      <c r="U24" s="516"/>
      <c r="V24" s="516"/>
      <c r="W24" s="516"/>
      <c r="X24" s="180"/>
      <c r="Y24" s="180"/>
      <c r="Z24" s="180"/>
      <c r="AA24" s="180"/>
      <c r="AB24" s="516"/>
      <c r="AC24" s="180"/>
      <c r="AD24" s="180"/>
      <c r="AE24" s="180"/>
      <c r="AF24" s="180"/>
      <c r="AG24" s="180"/>
      <c r="AH24" s="180"/>
      <c r="AI24" s="180"/>
      <c r="AJ24" s="180"/>
      <c r="AK24" s="180"/>
      <c r="AL24" s="180"/>
      <c r="AQ24" s="72"/>
      <c r="AR24" s="590"/>
      <c r="BJ24" s="72"/>
      <c r="BK24" s="590"/>
    </row>
    <row r="25" spans="4:63" x14ac:dyDescent="0.3">
      <c r="D25" s="77"/>
      <c r="I25" s="73"/>
      <c r="AQ25" s="72"/>
      <c r="AR25" s="590"/>
      <c r="BJ25" s="72"/>
      <c r="BK25" s="590"/>
    </row>
    <row r="26" spans="4:63" ht="12.5" thickBot="1" x14ac:dyDescent="0.35">
      <c r="F26" s="72"/>
      <c r="G26" s="72"/>
      <c r="H26" s="72"/>
      <c r="J26" s="72"/>
      <c r="K26" s="414"/>
      <c r="L26" s="72"/>
      <c r="AQ26" s="72"/>
      <c r="AR26" s="590"/>
      <c r="BJ26" s="72"/>
      <c r="BK26" s="590"/>
    </row>
    <row r="27" spans="4:63" x14ac:dyDescent="0.3">
      <c r="F27" s="72"/>
      <c r="G27" s="72"/>
      <c r="H27" s="72"/>
      <c r="J27" s="72"/>
      <c r="K27" s="414"/>
      <c r="L27" s="72"/>
      <c r="M27" s="72"/>
      <c r="N27" s="72"/>
      <c r="O27" s="72"/>
      <c r="P27" s="84"/>
      <c r="Q27" s="84"/>
      <c r="R27" s="84"/>
      <c r="S27" s="84"/>
      <c r="T27" s="84"/>
      <c r="U27" s="84"/>
      <c r="V27" s="84"/>
      <c r="W27" s="84"/>
      <c r="X27" s="84"/>
      <c r="Y27" s="84"/>
      <c r="Z27" s="84"/>
      <c r="AA27" s="84"/>
      <c r="AB27" s="84"/>
      <c r="AC27" s="269"/>
      <c r="AD27" s="231"/>
      <c r="AE27" s="231"/>
      <c r="AF27" s="231"/>
      <c r="AG27" s="270"/>
      <c r="AH27" s="231"/>
      <c r="AI27" s="231"/>
      <c r="AJ27" s="231"/>
      <c r="AK27" s="231"/>
      <c r="AL27" s="270"/>
      <c r="AQ27" s="72"/>
      <c r="AR27" s="590"/>
      <c r="BJ27" s="72"/>
      <c r="BK27" s="590"/>
    </row>
    <row r="28" spans="4:63" x14ac:dyDescent="0.3">
      <c r="F28" s="72"/>
      <c r="G28" s="585"/>
      <c r="H28" s="72"/>
      <c r="J28" s="72"/>
      <c r="K28" s="586"/>
      <c r="L28" s="72"/>
      <c r="M28" s="72"/>
      <c r="N28" s="72"/>
      <c r="O28" s="586"/>
      <c r="P28" s="84"/>
      <c r="Q28" s="84"/>
      <c r="R28" s="84"/>
      <c r="S28" s="84"/>
      <c r="T28" s="84"/>
      <c r="U28" s="84"/>
      <c r="V28" s="84"/>
      <c r="W28" s="84"/>
      <c r="X28" s="84"/>
      <c r="Y28" s="84"/>
      <c r="Z28" s="84"/>
      <c r="AA28" s="84"/>
      <c r="AB28" s="84"/>
      <c r="AC28" s="522" t="s">
        <v>553</v>
      </c>
      <c r="AD28" s="587"/>
      <c r="AE28" s="84"/>
      <c r="AF28" s="84"/>
      <c r="AG28" s="192"/>
      <c r="AH28" s="523" t="s">
        <v>927</v>
      </c>
      <c r="AI28" s="587"/>
      <c r="AJ28" s="84"/>
      <c r="AK28" s="84"/>
      <c r="AL28" s="192"/>
      <c r="AQ28" s="72"/>
      <c r="AR28" s="590"/>
      <c r="BJ28" s="72"/>
      <c r="BK28" s="590"/>
    </row>
    <row r="29" spans="4:63" x14ac:dyDescent="0.3">
      <c r="F29" s="72"/>
      <c r="G29" s="72"/>
      <c r="H29" s="72"/>
      <c r="J29" s="72"/>
      <c r="K29" s="585"/>
      <c r="L29" s="72"/>
      <c r="M29" s="72"/>
      <c r="N29" s="72"/>
      <c r="O29" s="72"/>
      <c r="P29" s="84"/>
      <c r="Q29" s="84"/>
      <c r="R29" s="529"/>
      <c r="S29" s="2398"/>
      <c r="T29" s="2398"/>
      <c r="U29" s="2398"/>
      <c r="V29" s="2398"/>
      <c r="W29" s="2398"/>
      <c r="X29" s="2398"/>
      <c r="Y29" s="2398"/>
      <c r="Z29" s="2398"/>
      <c r="AA29" s="2398"/>
      <c r="AB29" s="2398"/>
      <c r="AC29" s="588"/>
      <c r="AD29" s="84"/>
      <c r="AE29" s="84"/>
      <c r="AF29" s="84"/>
      <c r="AG29" s="192"/>
      <c r="AH29" s="118"/>
      <c r="AI29" s="84"/>
      <c r="AJ29" s="84"/>
      <c r="AK29" s="84"/>
      <c r="AL29" s="192"/>
      <c r="AQ29" s="72"/>
      <c r="AR29" s="590"/>
      <c r="BJ29" s="72"/>
      <c r="BK29" s="590"/>
    </row>
    <row r="30" spans="4:63" x14ac:dyDescent="0.3">
      <c r="F30" s="72"/>
      <c r="G30" s="72"/>
      <c r="H30" s="589"/>
      <c r="I30" s="590"/>
      <c r="J30" s="72"/>
      <c r="K30" s="72"/>
      <c r="L30" s="72"/>
      <c r="M30" s="72"/>
      <c r="N30" s="72"/>
      <c r="O30" s="72"/>
      <c r="P30" s="591"/>
      <c r="Q30" s="84"/>
      <c r="R30" s="118"/>
      <c r="S30" s="118"/>
      <c r="T30" s="118"/>
      <c r="U30" s="118"/>
      <c r="V30" s="118"/>
      <c r="W30" s="118"/>
      <c r="X30" s="118"/>
      <c r="Y30" s="118"/>
      <c r="Z30" s="118"/>
      <c r="AA30" s="118"/>
      <c r="AB30" s="118"/>
      <c r="AC30" s="588"/>
      <c r="AD30" s="84"/>
      <c r="AE30" s="592" t="s">
        <v>77</v>
      </c>
      <c r="AF30" s="1783">
        <f>+NPV(RRR,AC17:AG17)*(1+RRR)^0.5</f>
        <v>0</v>
      </c>
      <c r="AG30" s="192"/>
      <c r="AH30" s="118"/>
      <c r="AI30" s="84"/>
      <c r="AJ30" s="592" t="s">
        <v>77</v>
      </c>
      <c r="AK30" s="1783">
        <f>+NPV(RRR,AH17:AL17)*(1+RRR)^0.5</f>
        <v>0</v>
      </c>
      <c r="AL30" s="192"/>
      <c r="AQ30" s="72"/>
      <c r="AR30" s="590"/>
      <c r="BJ30" s="72"/>
      <c r="BK30" s="590"/>
    </row>
    <row r="31" spans="4:63" x14ac:dyDescent="0.3">
      <c r="F31" s="72"/>
      <c r="G31" s="72"/>
      <c r="H31" s="589"/>
      <c r="I31" s="590"/>
      <c r="J31" s="72"/>
      <c r="K31" s="72"/>
      <c r="L31" s="72"/>
      <c r="M31" s="72"/>
      <c r="N31" s="72"/>
      <c r="O31" s="72"/>
      <c r="P31" s="591"/>
      <c r="Q31" s="84"/>
      <c r="R31" s="118"/>
      <c r="S31" s="118"/>
      <c r="T31" s="118"/>
      <c r="U31" s="118"/>
      <c r="V31" s="118"/>
      <c r="W31" s="118"/>
      <c r="X31" s="118"/>
      <c r="Y31" s="118"/>
      <c r="Z31" s="118"/>
      <c r="AA31" s="118"/>
      <c r="AB31" s="118"/>
      <c r="AC31" s="588"/>
      <c r="AD31" s="84"/>
      <c r="AE31" s="592" t="s">
        <v>76</v>
      </c>
      <c r="AF31" s="1783">
        <f>+NPV(RRR,AC18:AG18)*(1+RRR)^0.5</f>
        <v>515.24326408994943</v>
      </c>
      <c r="AG31" s="192"/>
      <c r="AH31" s="118"/>
      <c r="AI31" s="84"/>
      <c r="AJ31" s="592" t="s">
        <v>76</v>
      </c>
      <c r="AK31" s="1783">
        <f ca="1">+NPV(RRR,AH18:AL18)*(1+RRR)^0.5</f>
        <v>597.1644209122677</v>
      </c>
      <c r="AL31" s="192"/>
      <c r="AQ31" s="72"/>
      <c r="AR31" s="590"/>
      <c r="BJ31" s="72"/>
      <c r="BK31" s="590"/>
    </row>
    <row r="32" spans="4:63" x14ac:dyDescent="0.3">
      <c r="F32" s="72"/>
      <c r="G32" s="72"/>
      <c r="H32" s="109"/>
      <c r="I32" s="593"/>
      <c r="J32" s="72"/>
      <c r="K32" s="72"/>
      <c r="L32" s="72"/>
      <c r="M32" s="72"/>
      <c r="N32" s="72"/>
      <c r="O32" s="72"/>
      <c r="P32" s="591"/>
      <c r="Q32" s="84"/>
      <c r="R32" s="118"/>
      <c r="S32" s="118"/>
      <c r="T32" s="118"/>
      <c r="U32" s="118"/>
      <c r="V32" s="118"/>
      <c r="W32" s="118"/>
      <c r="X32" s="118"/>
      <c r="Y32" s="118"/>
      <c r="Z32" s="118"/>
      <c r="AA32" s="118"/>
      <c r="AB32" s="118"/>
      <c r="AC32" s="588"/>
      <c r="AD32" s="84"/>
      <c r="AE32" s="532" t="s">
        <v>78</v>
      </c>
      <c r="AF32" s="1784">
        <f>+AF30-AF31</f>
        <v>-515.24326408994943</v>
      </c>
      <c r="AG32" s="192"/>
      <c r="AH32" s="118"/>
      <c r="AI32" s="84"/>
      <c r="AJ32" s="532" t="s">
        <v>78</v>
      </c>
      <c r="AK32" s="1784">
        <f ca="1">+AK30-AK31</f>
        <v>-597.1644209122677</v>
      </c>
      <c r="AL32" s="192"/>
      <c r="AQ32" s="72"/>
      <c r="AR32" s="593"/>
      <c r="BJ32" s="72"/>
      <c r="BK32" s="593"/>
    </row>
    <row r="33" spans="3:63" x14ac:dyDescent="0.3">
      <c r="F33" s="72"/>
      <c r="G33" s="72"/>
      <c r="H33" s="72"/>
      <c r="J33" s="72"/>
      <c r="K33" s="102"/>
      <c r="L33" s="102"/>
      <c r="M33" s="102"/>
      <c r="N33" s="72"/>
      <c r="O33" s="72"/>
      <c r="P33" s="591"/>
      <c r="Q33" s="84"/>
      <c r="R33" s="118"/>
      <c r="S33" s="118"/>
      <c r="T33" s="118"/>
      <c r="U33" s="118"/>
      <c r="V33" s="118"/>
      <c r="W33" s="118"/>
      <c r="X33" s="118"/>
      <c r="Y33" s="118"/>
      <c r="Z33" s="118"/>
      <c r="AA33" s="118"/>
      <c r="AB33" s="118"/>
      <c r="AC33" s="588"/>
      <c r="AD33" s="84"/>
      <c r="AE33" s="84"/>
      <c r="AF33" s="84"/>
      <c r="AG33" s="192"/>
      <c r="AH33" s="118"/>
      <c r="AI33" s="84"/>
      <c r="AJ33" s="84"/>
      <c r="AK33" s="84"/>
      <c r="AL33" s="192"/>
      <c r="AQ33" s="72"/>
      <c r="BJ33" s="72"/>
    </row>
    <row r="34" spans="3:63" x14ac:dyDescent="0.3">
      <c r="F34" s="72"/>
      <c r="G34" s="72"/>
      <c r="H34" s="2399"/>
      <c r="I34" s="2399"/>
      <c r="J34" s="72"/>
      <c r="K34" s="102"/>
      <c r="L34" s="594"/>
      <c r="M34" s="595"/>
      <c r="N34" s="596"/>
      <c r="O34" s="72"/>
      <c r="P34" s="597"/>
      <c r="Q34" s="108"/>
      <c r="R34" s="114"/>
      <c r="S34" s="118"/>
      <c r="T34" s="118"/>
      <c r="U34" s="118"/>
      <c r="V34" s="118"/>
      <c r="W34" s="118"/>
      <c r="X34" s="118"/>
      <c r="Y34" s="118"/>
      <c r="Z34" s="118"/>
      <c r="AA34" s="118"/>
      <c r="AB34" s="118"/>
      <c r="AC34" s="588"/>
      <c r="AD34" s="2395" t="str">
        <f>IF(AF30+AF31=0,"",IF(AF30&lt;(AF31*0.9975),"INSUFFICIENT",IF(AF30&gt;(AF31*1.005),"BREACH","PRICE CONTROL OK")))</f>
        <v>INSUFFICIENT</v>
      </c>
      <c r="AE34" s="2396"/>
      <c r="AF34" s="2397"/>
      <c r="AG34" s="192"/>
      <c r="AH34" s="118"/>
      <c r="AI34" s="2395" t="str">
        <f ca="1">IF(AK30+AK31=0,"",IF(AK30&lt;(AK31*0.9975),"INSUFFICIENT",IF(AK30&gt;(AK31*1.005),"BREACH","PRICE CONTROL OK")))</f>
        <v>INSUFFICIENT</v>
      </c>
      <c r="AJ34" s="2396"/>
      <c r="AK34" s="2397"/>
      <c r="AL34" s="192"/>
      <c r="AQ34" s="72"/>
      <c r="AR34" s="1187"/>
      <c r="BJ34" s="72"/>
      <c r="BK34" s="1187"/>
    </row>
    <row r="35" spans="3:63" x14ac:dyDescent="0.3">
      <c r="F35" s="72"/>
      <c r="G35" s="72"/>
      <c r="H35" s="72"/>
      <c r="J35" s="206"/>
      <c r="K35" s="102"/>
      <c r="L35" s="102"/>
      <c r="M35" s="102"/>
      <c r="N35" s="72"/>
      <c r="O35" s="72"/>
      <c r="P35" s="591"/>
      <c r="Q35" s="84"/>
      <c r="R35" s="118"/>
      <c r="S35" s="118"/>
      <c r="T35" s="118"/>
      <c r="U35" s="118"/>
      <c r="V35" s="118"/>
      <c r="W35" s="118"/>
      <c r="X35" s="118"/>
      <c r="Y35" s="118"/>
      <c r="Z35" s="118"/>
      <c r="AA35" s="118"/>
      <c r="AB35" s="118"/>
      <c r="AC35" s="588"/>
      <c r="AD35" s="84"/>
      <c r="AE35" s="84"/>
      <c r="AF35" s="84"/>
      <c r="AG35" s="192"/>
      <c r="AH35" s="118"/>
      <c r="AI35" s="84"/>
      <c r="AJ35" s="84"/>
      <c r="AK35" s="84"/>
      <c r="AL35" s="192"/>
      <c r="AQ35" s="72"/>
      <c r="BJ35" s="72"/>
    </row>
    <row r="36" spans="3:63" ht="12.5" thickBot="1" x14ac:dyDescent="0.35">
      <c r="F36" s="72"/>
      <c r="G36" s="72"/>
      <c r="H36" s="598"/>
      <c r="I36" s="530"/>
      <c r="J36" s="206"/>
      <c r="K36" s="102"/>
      <c r="L36" s="102"/>
      <c r="M36" s="102"/>
      <c r="N36" s="72"/>
      <c r="O36" s="72"/>
      <c r="P36" s="89"/>
      <c r="Q36" s="84"/>
      <c r="R36" s="84"/>
      <c r="S36" s="84"/>
      <c r="T36" s="84"/>
      <c r="U36" s="84"/>
      <c r="V36" s="84"/>
      <c r="W36" s="84"/>
      <c r="X36" s="84"/>
      <c r="Y36" s="84"/>
      <c r="Z36" s="84"/>
      <c r="AA36" s="84"/>
      <c r="AB36" s="84"/>
      <c r="AC36" s="1782"/>
      <c r="AD36" s="197"/>
      <c r="AE36" s="600"/>
      <c r="AF36" s="600"/>
      <c r="AG36" s="199"/>
      <c r="AH36" s="599"/>
      <c r="AI36" s="197"/>
      <c r="AJ36" s="600"/>
      <c r="AK36" s="600"/>
      <c r="AL36" s="199"/>
      <c r="AQ36" s="72"/>
      <c r="AR36" s="530"/>
      <c r="BJ36" s="72"/>
      <c r="BK36" s="530"/>
    </row>
    <row r="37" spans="3:63" x14ac:dyDescent="0.3">
      <c r="F37" s="72"/>
      <c r="G37" s="72"/>
      <c r="H37" s="72"/>
      <c r="J37" s="206"/>
      <c r="K37" s="72"/>
      <c r="L37" s="72"/>
      <c r="M37" s="72"/>
      <c r="N37" s="72"/>
      <c r="O37" s="72"/>
      <c r="P37" s="597"/>
      <c r="Q37" s="84"/>
      <c r="R37" s="114"/>
      <c r="S37" s="118"/>
      <c r="T37" s="118"/>
      <c r="U37" s="118"/>
      <c r="V37" s="118"/>
      <c r="W37" s="118"/>
      <c r="AQ37" s="72"/>
      <c r="BJ37" s="72"/>
    </row>
    <row r="38" spans="3:63" x14ac:dyDescent="0.3">
      <c r="F38" s="72"/>
      <c r="G38" s="72"/>
      <c r="H38" s="72"/>
      <c r="J38" s="206"/>
      <c r="K38" s="414"/>
      <c r="L38" s="414"/>
      <c r="M38" s="414"/>
      <c r="N38" s="414"/>
      <c r="O38" s="414"/>
      <c r="P38" s="414"/>
      <c r="Q38" s="414"/>
      <c r="R38" s="414"/>
      <c r="S38" s="414"/>
      <c r="T38" s="414"/>
      <c r="U38" s="414"/>
      <c r="V38" s="414"/>
      <c r="W38" s="414"/>
      <c r="X38" s="72"/>
      <c r="Y38" s="84"/>
      <c r="Z38" s="601"/>
      <c r="AA38" s="601"/>
      <c r="AB38" s="84"/>
      <c r="AC38" s="72"/>
      <c r="AH38" s="72"/>
      <c r="AQ38" s="72"/>
      <c r="BJ38" s="72"/>
    </row>
    <row r="39" spans="3:63" x14ac:dyDescent="0.3">
      <c r="D39" s="464"/>
      <c r="F39" s="72"/>
      <c r="G39" s="72"/>
      <c r="H39" s="72"/>
      <c r="J39" s="206"/>
      <c r="K39" s="414"/>
      <c r="L39" s="414"/>
      <c r="M39" s="414"/>
      <c r="N39" s="125"/>
      <c r="O39" s="125"/>
      <c r="P39" s="125"/>
      <c r="Q39" s="125"/>
      <c r="R39" s="125"/>
      <c r="S39" s="125"/>
      <c r="T39" s="125"/>
      <c r="U39" s="125"/>
      <c r="V39" s="414"/>
      <c r="X39" s="72"/>
      <c r="Y39" s="84"/>
      <c r="Z39" s="601"/>
      <c r="AA39" s="601"/>
      <c r="AB39" s="602" t="s">
        <v>266</v>
      </c>
      <c r="AC39" s="1785">
        <f>+SUMIFS(AC$69:AC$444,$E$69:$E$444,$E$71,$I$69:$I$444,"*Revenue cap*")</f>
        <v>0</v>
      </c>
      <c r="AD39" s="1788">
        <f t="shared" ref="AD39:AL39" si="13">+SUMIFS(AD$69:AD$444,$E$69:$E$444,$E$71,$I$69:$I$444,"*Revenue cap*")</f>
        <v>0</v>
      </c>
      <c r="AE39" s="1788">
        <f t="shared" si="13"/>
        <v>0</v>
      </c>
      <c r="AF39" s="1788">
        <f t="shared" si="13"/>
        <v>0</v>
      </c>
      <c r="AG39" s="1789">
        <f t="shared" si="13"/>
        <v>0</v>
      </c>
      <c r="AH39" s="1785">
        <f>+SUMIFS(AH$69:AH$444,$E$69:$E$444,$E$71,$I$69:$I$444,"*Revenue cap*")</f>
        <v>0</v>
      </c>
      <c r="AI39" s="1788">
        <f t="shared" si="13"/>
        <v>0</v>
      </c>
      <c r="AJ39" s="1788">
        <f t="shared" si="13"/>
        <v>0</v>
      </c>
      <c r="AK39" s="1788">
        <f t="shared" si="13"/>
        <v>0</v>
      </c>
      <c r="AL39" s="1789">
        <f t="shared" si="13"/>
        <v>0</v>
      </c>
      <c r="AQ39" s="72"/>
      <c r="BJ39" s="72"/>
    </row>
    <row r="40" spans="3:63" x14ac:dyDescent="0.3">
      <c r="C40" s="538" t="s">
        <v>29</v>
      </c>
      <c r="D40" s="126"/>
      <c r="E40" s="126"/>
      <c r="F40" s="126"/>
      <c r="G40" s="126"/>
      <c r="H40" s="126"/>
      <c r="I40" s="126"/>
      <c r="J40" s="126"/>
      <c r="K40" s="126"/>
      <c r="V40" s="72"/>
      <c r="X40" s="72"/>
      <c r="Y40" s="84"/>
      <c r="Z40" s="601"/>
      <c r="AA40" s="601"/>
      <c r="AB40" s="603" t="s">
        <v>575</v>
      </c>
      <c r="AC40" s="1786">
        <f>+SUMIFS(AC$69:AC$444,$E$69:$E$444,$E$71,$I$69:$I$444,"*Price cap*")</f>
        <v>0</v>
      </c>
      <c r="AD40" s="1790">
        <f t="shared" ref="AD40:AL40" si="14">+SUMIFS(AD$69:AD$444,$E$69:$E$444,$E$71,$I$69:$I$444,"*Price cap*")</f>
        <v>0</v>
      </c>
      <c r="AE40" s="1790">
        <f t="shared" si="14"/>
        <v>0</v>
      </c>
      <c r="AF40" s="1790">
        <f t="shared" si="14"/>
        <v>0</v>
      </c>
      <c r="AG40" s="1791">
        <f t="shared" si="14"/>
        <v>0</v>
      </c>
      <c r="AH40" s="1786">
        <f>+SUMIFS(AH$69:AH$444,$E$69:$E$444,$E$71,$I$69:$I$444,"*Price cap*")</f>
        <v>0</v>
      </c>
      <c r="AI40" s="1790">
        <f t="shared" si="14"/>
        <v>0</v>
      </c>
      <c r="AJ40" s="1790">
        <f t="shared" si="14"/>
        <v>0</v>
      </c>
      <c r="AK40" s="1790">
        <f t="shared" si="14"/>
        <v>0</v>
      </c>
      <c r="AL40" s="1791">
        <f t="shared" si="14"/>
        <v>0</v>
      </c>
      <c r="AP40" s="126"/>
      <c r="AQ40" s="126"/>
      <c r="AR40" s="126"/>
      <c r="BI40" s="126"/>
      <c r="BJ40" s="126"/>
      <c r="BK40" s="126"/>
    </row>
    <row r="41" spans="3:63" x14ac:dyDescent="0.3">
      <c r="C41" s="126"/>
      <c r="D41" s="126"/>
      <c r="E41" s="126"/>
      <c r="F41" s="126"/>
      <c r="G41" s="126"/>
      <c r="H41" s="126"/>
      <c r="I41" s="126"/>
      <c r="J41" s="126"/>
      <c r="K41" s="126"/>
      <c r="X41" s="72"/>
      <c r="Y41" s="84"/>
      <c r="Z41" s="601"/>
      <c r="AA41" s="601"/>
      <c r="AB41" s="478" t="s">
        <v>554</v>
      </c>
      <c r="AC41" s="1787">
        <f t="shared" ref="AC41:AG41" si="15">+AC39+AC40</f>
        <v>0</v>
      </c>
      <c r="AD41" s="1787">
        <f t="shared" si="15"/>
        <v>0</v>
      </c>
      <c r="AE41" s="1787">
        <f t="shared" si="15"/>
        <v>0</v>
      </c>
      <c r="AF41" s="1787">
        <f t="shared" si="15"/>
        <v>0</v>
      </c>
      <c r="AG41" s="1787">
        <f t="shared" si="15"/>
        <v>0</v>
      </c>
      <c r="AH41" s="1787">
        <f>+AH39+AH40</f>
        <v>0</v>
      </c>
      <c r="AI41" s="1787">
        <f>+AI39+AI40</f>
        <v>0</v>
      </c>
      <c r="AJ41" s="1787">
        <f>+AJ39+AJ40</f>
        <v>0</v>
      </c>
      <c r="AK41" s="1787">
        <f>+AK39+AK40</f>
        <v>0</v>
      </c>
      <c r="AL41" s="1787">
        <f>+AL39+AL40</f>
        <v>0</v>
      </c>
      <c r="AP41" s="126"/>
      <c r="AQ41" s="126"/>
      <c r="AR41" s="126"/>
      <c r="BI41" s="126"/>
      <c r="BJ41" s="126"/>
      <c r="BK41" s="126"/>
    </row>
    <row r="42" spans="3:63" x14ac:dyDescent="0.3">
      <c r="C42" s="126"/>
      <c r="D42" s="126"/>
      <c r="E42" s="540" t="s">
        <v>30</v>
      </c>
      <c r="F42" s="126"/>
      <c r="G42" s="126"/>
      <c r="H42" s="126" t="str">
        <f>Expenditure_Detail!$B$6</f>
        <v>$m, 01/01/23</v>
      </c>
      <c r="I42" s="126"/>
      <c r="J42" s="126"/>
      <c r="K42" s="126"/>
      <c r="L42" s="126"/>
      <c r="X42" s="72"/>
      <c r="Y42" s="84"/>
      <c r="Z42" s="601"/>
      <c r="AA42" s="601"/>
      <c r="AB42" s="604" t="s">
        <v>461</v>
      </c>
      <c r="AC42" s="297">
        <f t="shared" ref="AC42:AG42" si="16">+AC41-AC13</f>
        <v>0</v>
      </c>
      <c r="AD42" s="297">
        <f t="shared" si="16"/>
        <v>0</v>
      </c>
      <c r="AE42" s="297">
        <f t="shared" si="16"/>
        <v>0</v>
      </c>
      <c r="AF42" s="297">
        <f t="shared" si="16"/>
        <v>0</v>
      </c>
      <c r="AG42" s="297">
        <f t="shared" si="16"/>
        <v>0</v>
      </c>
      <c r="AH42" s="297">
        <f>+AH41-AH13</f>
        <v>0</v>
      </c>
      <c r="AI42" s="297">
        <f>+AI41-AI13</f>
        <v>0</v>
      </c>
      <c r="AJ42" s="297">
        <f>+AJ41-AJ13</f>
        <v>0</v>
      </c>
      <c r="AK42" s="297">
        <f>+AK41-AK13</f>
        <v>0</v>
      </c>
      <c r="AL42" s="297">
        <f>+AL41-AL13</f>
        <v>0</v>
      </c>
      <c r="AP42" s="540"/>
      <c r="AQ42" s="126"/>
      <c r="AR42" s="126"/>
      <c r="BI42" s="540"/>
      <c r="BJ42" s="126"/>
      <c r="BK42" s="126"/>
    </row>
    <row r="43" spans="3:63" x14ac:dyDescent="0.3">
      <c r="C43" s="126"/>
      <c r="D43" s="126"/>
      <c r="E43" s="126"/>
      <c r="F43" s="126"/>
      <c r="G43" s="126"/>
      <c r="H43" s="126"/>
      <c r="I43" s="126"/>
      <c r="J43" s="126"/>
      <c r="K43" s="126"/>
      <c r="L43" s="126"/>
      <c r="AP43" s="126"/>
      <c r="AQ43" s="126"/>
      <c r="AR43" s="126"/>
      <c r="BI43" s="126"/>
      <c r="BJ43" s="126"/>
      <c r="BK43" s="126"/>
    </row>
    <row r="44" spans="3:63" x14ac:dyDescent="0.3">
      <c r="C44" s="126"/>
      <c r="D44" s="126"/>
      <c r="E44" s="126"/>
      <c r="F44" s="541" t="s">
        <v>31</v>
      </c>
      <c r="H44" s="126"/>
      <c r="I44" s="126"/>
      <c r="J44" s="126"/>
      <c r="K44" s="126"/>
      <c r="AP44" s="126"/>
      <c r="AQ44" s="541"/>
      <c r="AR44" s="126"/>
      <c r="BI44" s="126"/>
      <c r="BJ44" s="541"/>
      <c r="BK44" s="126"/>
    </row>
    <row r="45" spans="3:63" x14ac:dyDescent="0.3">
      <c r="C45" s="126"/>
      <c r="D45" s="126"/>
      <c r="E45" s="126"/>
      <c r="F45" s="303" t="s">
        <v>32</v>
      </c>
      <c r="H45" s="126"/>
      <c r="I45" s="126"/>
      <c r="J45" s="126"/>
      <c r="K45" s="304"/>
      <c r="L45" s="305"/>
      <c r="M45" s="305"/>
      <c r="N45" s="304"/>
      <c r="O45" s="305"/>
      <c r="P45" s="305"/>
      <c r="Q45" s="305"/>
      <c r="R45" s="305"/>
      <c r="S45" s="304"/>
      <c r="T45" s="305"/>
      <c r="U45" s="305"/>
      <c r="V45" s="305"/>
      <c r="W45" s="337"/>
      <c r="X45" s="335"/>
      <c r="Y45" s="336"/>
      <c r="Z45" s="336"/>
      <c r="AA45" s="336"/>
      <c r="AB45" s="337"/>
      <c r="AC45" s="336"/>
      <c r="AD45" s="336"/>
      <c r="AE45" s="336"/>
      <c r="AF45" s="336"/>
      <c r="AG45" s="337"/>
      <c r="AH45" s="336"/>
      <c r="AI45" s="336"/>
      <c r="AJ45" s="336"/>
      <c r="AK45" s="336"/>
      <c r="AL45" s="337"/>
      <c r="AP45" s="126"/>
      <c r="AQ45" s="303"/>
      <c r="AR45" s="126"/>
      <c r="BI45" s="126"/>
      <c r="BJ45" s="303"/>
      <c r="BK45" s="126"/>
    </row>
    <row r="46" spans="3:63" x14ac:dyDescent="0.3">
      <c r="C46" s="126"/>
      <c r="D46" s="126"/>
      <c r="E46" s="126"/>
      <c r="F46" s="303" t="s">
        <v>33</v>
      </c>
      <c r="H46" s="126"/>
      <c r="I46" s="126"/>
      <c r="J46" s="126"/>
      <c r="K46" s="307"/>
      <c r="L46" s="275"/>
      <c r="M46" s="275"/>
      <c r="N46" s="307"/>
      <c r="O46" s="275"/>
      <c r="P46" s="275"/>
      <c r="Q46" s="275"/>
      <c r="R46" s="275"/>
      <c r="S46" s="307"/>
      <c r="T46" s="275"/>
      <c r="U46" s="275"/>
      <c r="V46" s="275"/>
      <c r="W46" s="340"/>
      <c r="X46" s="338"/>
      <c r="Y46" s="339"/>
      <c r="Z46" s="339"/>
      <c r="AA46" s="339"/>
      <c r="AB46" s="340"/>
      <c r="AC46" s="339"/>
      <c r="AD46" s="339"/>
      <c r="AE46" s="339"/>
      <c r="AF46" s="339"/>
      <c r="AG46" s="340"/>
      <c r="AH46" s="339"/>
      <c r="AI46" s="339"/>
      <c r="AJ46" s="339"/>
      <c r="AK46" s="339"/>
      <c r="AL46" s="340"/>
      <c r="AP46" s="126"/>
      <c r="AQ46" s="303"/>
      <c r="AR46" s="126"/>
      <c r="BI46" s="126"/>
      <c r="BJ46" s="303"/>
      <c r="BK46" s="126"/>
    </row>
    <row r="47" spans="3:63" x14ac:dyDescent="0.3">
      <c r="C47" s="126"/>
      <c r="D47" s="126"/>
      <c r="E47" s="126"/>
      <c r="F47" s="303" t="s">
        <v>34</v>
      </c>
      <c r="H47" s="126"/>
      <c r="I47" s="126"/>
      <c r="J47" s="126"/>
      <c r="K47" s="307"/>
      <c r="L47" s="275"/>
      <c r="M47" s="275"/>
      <c r="N47" s="307"/>
      <c r="O47" s="275"/>
      <c r="P47" s="275"/>
      <c r="Q47" s="275"/>
      <c r="R47" s="275"/>
      <c r="S47" s="307"/>
      <c r="T47" s="275"/>
      <c r="U47" s="275"/>
      <c r="V47" s="275"/>
      <c r="W47" s="340"/>
      <c r="X47" s="338"/>
      <c r="Y47" s="339"/>
      <c r="Z47" s="339"/>
      <c r="AA47" s="339"/>
      <c r="AB47" s="340"/>
      <c r="AC47" s="339"/>
      <c r="AD47" s="339"/>
      <c r="AE47" s="339"/>
      <c r="AF47" s="339"/>
      <c r="AG47" s="340"/>
      <c r="AH47" s="339"/>
      <c r="AI47" s="339"/>
      <c r="AJ47" s="339"/>
      <c r="AK47" s="339"/>
      <c r="AL47" s="340"/>
      <c r="AP47" s="126"/>
      <c r="AQ47" s="126"/>
      <c r="AR47" s="126"/>
      <c r="BK47" s="73"/>
    </row>
    <row r="48" spans="3:63" x14ac:dyDescent="0.3">
      <c r="C48" s="126"/>
      <c r="D48" s="126"/>
      <c r="E48" s="126"/>
      <c r="F48" s="303" t="s">
        <v>35</v>
      </c>
      <c r="H48" s="126"/>
      <c r="I48" s="126"/>
      <c r="J48" s="126"/>
      <c r="K48" s="309"/>
      <c r="L48" s="310"/>
      <c r="M48" s="310"/>
      <c r="N48" s="309"/>
      <c r="O48" s="310"/>
      <c r="P48" s="310"/>
      <c r="Q48" s="310"/>
      <c r="R48" s="310"/>
      <c r="S48" s="309"/>
      <c r="T48" s="310"/>
      <c r="U48" s="310"/>
      <c r="V48" s="310"/>
      <c r="W48" s="343"/>
      <c r="X48" s="341"/>
      <c r="Y48" s="342"/>
      <c r="Z48" s="342"/>
      <c r="AA48" s="342"/>
      <c r="AB48" s="343"/>
      <c r="AC48" s="342"/>
      <c r="AD48" s="342"/>
      <c r="AE48" s="342"/>
      <c r="AF48" s="342"/>
      <c r="AG48" s="343"/>
      <c r="AH48" s="342"/>
      <c r="AI48" s="342"/>
      <c r="AJ48" s="342"/>
      <c r="AK48" s="342"/>
      <c r="AL48" s="343"/>
      <c r="AP48" s="126"/>
      <c r="AQ48" s="126"/>
      <c r="AR48" s="126"/>
      <c r="BK48" s="73"/>
    </row>
    <row r="49" spans="3:78" x14ac:dyDescent="0.3">
      <c r="C49" s="126"/>
      <c r="D49" s="126"/>
      <c r="E49" s="126"/>
      <c r="F49" s="541" t="str">
        <f>+CONCATENATE("Total ",F44)</f>
        <v>Total Contract revenue</v>
      </c>
      <c r="H49" s="126"/>
      <c r="I49" s="126"/>
      <c r="J49" s="126"/>
      <c r="K49" s="1527"/>
      <c r="L49" s="1527"/>
      <c r="M49" s="1527"/>
      <c r="N49" s="1527"/>
      <c r="O49" s="1527"/>
      <c r="P49" s="1527"/>
      <c r="Q49" s="1527"/>
      <c r="R49" s="1527"/>
      <c r="S49" s="1700"/>
      <c r="T49" s="1700"/>
      <c r="U49" s="1700"/>
      <c r="V49" s="1700"/>
      <c r="W49" s="1700">
        <f t="shared" ref="W49:AG49" si="17">+SUM(W45:W48)</f>
        <v>0</v>
      </c>
      <c r="X49" s="302">
        <f t="shared" si="17"/>
        <v>0</v>
      </c>
      <c r="Y49" s="302">
        <f t="shared" si="17"/>
        <v>0</v>
      </c>
      <c r="Z49" s="297">
        <f t="shared" si="17"/>
        <v>0</v>
      </c>
      <c r="AA49" s="302">
        <f t="shared" si="17"/>
        <v>0</v>
      </c>
      <c r="AB49" s="302">
        <f t="shared" si="17"/>
        <v>0</v>
      </c>
      <c r="AC49" s="302">
        <f t="shared" si="17"/>
        <v>0</v>
      </c>
      <c r="AD49" s="302">
        <f t="shared" si="17"/>
        <v>0</v>
      </c>
      <c r="AE49" s="302">
        <f t="shared" si="17"/>
        <v>0</v>
      </c>
      <c r="AF49" s="302">
        <f t="shared" si="17"/>
        <v>0</v>
      </c>
      <c r="AG49" s="302">
        <f t="shared" si="17"/>
        <v>0</v>
      </c>
      <c r="AH49" s="302">
        <f>+SUM(AH45:AH48)</f>
        <v>0</v>
      </c>
      <c r="AI49" s="302">
        <f>+SUM(AI45:AI48)</f>
        <v>0</v>
      </c>
      <c r="AJ49" s="302">
        <f>+SUM(AJ45:AJ48)</f>
        <v>0</v>
      </c>
      <c r="AK49" s="302">
        <f>+SUM(AK45:AK48)</f>
        <v>0</v>
      </c>
      <c r="AL49" s="302">
        <f>+SUM(AL45:AL48)</f>
        <v>0</v>
      </c>
      <c r="AP49" s="126"/>
      <c r="AQ49" s="126"/>
      <c r="AR49" s="126"/>
      <c r="BK49" s="73"/>
    </row>
    <row r="50" spans="3:78" x14ac:dyDescent="0.3">
      <c r="C50" s="126"/>
      <c r="D50" s="126"/>
      <c r="E50" s="126"/>
      <c r="F50" s="126"/>
      <c r="H50" s="126"/>
      <c r="I50" s="126"/>
      <c r="J50" s="126"/>
      <c r="K50" s="605"/>
      <c r="L50" s="605"/>
      <c r="M50" s="605"/>
      <c r="N50" s="605"/>
      <c r="O50" s="605"/>
      <c r="P50" s="605"/>
      <c r="Q50" s="605"/>
      <c r="R50" s="526"/>
      <c r="S50" s="465"/>
      <c r="T50" s="465"/>
      <c r="U50" s="465"/>
      <c r="V50" s="465"/>
      <c r="W50" s="465"/>
      <c r="X50" s="125"/>
      <c r="Y50" s="125"/>
      <c r="Z50" s="414"/>
      <c r="AA50" s="125"/>
      <c r="AB50" s="125"/>
      <c r="AC50" s="125"/>
      <c r="AD50" s="125"/>
      <c r="AE50" s="125"/>
      <c r="AF50" s="125"/>
      <c r="AG50" s="125"/>
      <c r="AH50" s="125"/>
      <c r="AI50" s="125"/>
      <c r="AJ50" s="125"/>
      <c r="AK50" s="125"/>
      <c r="AL50" s="125"/>
      <c r="AP50" s="126"/>
      <c r="AQ50" s="126"/>
      <c r="AR50" s="126"/>
      <c r="BK50" s="73"/>
    </row>
    <row r="51" spans="3:78" x14ac:dyDescent="0.3">
      <c r="C51" s="126"/>
      <c r="D51" s="126"/>
      <c r="E51" s="126"/>
      <c r="F51" s="541" t="s">
        <v>284</v>
      </c>
      <c r="H51" s="126"/>
      <c r="I51" s="126"/>
      <c r="J51" s="126"/>
      <c r="K51" s="605"/>
      <c r="L51" s="605"/>
      <c r="M51" s="605"/>
      <c r="N51" s="605"/>
      <c r="O51" s="605"/>
      <c r="P51" s="605"/>
      <c r="Q51" s="605"/>
      <c r="R51" s="526"/>
      <c r="S51" s="465"/>
      <c r="T51" s="465"/>
      <c r="U51" s="465"/>
      <c r="V51" s="465"/>
      <c r="W51" s="465"/>
      <c r="X51" s="125"/>
      <c r="Y51" s="125"/>
      <c r="Z51" s="414"/>
      <c r="AA51" s="125"/>
      <c r="AB51" s="125"/>
      <c r="AC51" s="125"/>
      <c r="AD51" s="125"/>
      <c r="AE51" s="125"/>
      <c r="AF51" s="125"/>
      <c r="AG51" s="125"/>
      <c r="AH51" s="125"/>
      <c r="AI51" s="125"/>
      <c r="AJ51" s="125"/>
      <c r="AK51" s="125"/>
      <c r="AL51" s="125"/>
      <c r="AP51" s="126"/>
      <c r="AQ51" s="541"/>
      <c r="AR51" s="126"/>
      <c r="BK51" s="73"/>
    </row>
    <row r="52" spans="3:78" x14ac:dyDescent="0.3">
      <c r="C52" s="126"/>
      <c r="D52" s="126"/>
      <c r="E52" s="126"/>
      <c r="F52" s="303" t="s">
        <v>36</v>
      </c>
      <c r="H52" s="126"/>
      <c r="I52" s="126"/>
      <c r="J52" s="126"/>
      <c r="K52" s="304"/>
      <c r="L52" s="305"/>
      <c r="M52" s="305"/>
      <c r="N52" s="304"/>
      <c r="O52" s="305"/>
      <c r="P52" s="305"/>
      <c r="Q52" s="305"/>
      <c r="R52" s="305"/>
      <c r="S52" s="304"/>
      <c r="T52" s="305"/>
      <c r="U52" s="305"/>
      <c r="V52" s="305"/>
      <c r="W52" s="337"/>
      <c r="X52" s="335"/>
      <c r="Y52" s="336"/>
      <c r="Z52" s="336"/>
      <c r="AA52" s="336"/>
      <c r="AB52" s="337"/>
      <c r="AC52" s="336"/>
      <c r="AD52" s="336"/>
      <c r="AE52" s="336"/>
      <c r="AF52" s="336"/>
      <c r="AG52" s="337"/>
      <c r="AH52" s="336"/>
      <c r="AI52" s="336"/>
      <c r="AJ52" s="336"/>
      <c r="AK52" s="336"/>
      <c r="AL52" s="337"/>
      <c r="AP52" s="126"/>
      <c r="AQ52" s="126"/>
      <c r="AR52" s="102"/>
      <c r="BI52" s="482"/>
      <c r="BJ52" s="482"/>
      <c r="BK52" s="482"/>
    </row>
    <row r="53" spans="3:78" ht="12.5" thickBot="1" x14ac:dyDescent="0.35">
      <c r="C53" s="126"/>
      <c r="D53" s="126"/>
      <c r="E53" s="126"/>
      <c r="F53" s="303" t="s">
        <v>276</v>
      </c>
      <c r="H53" s="126"/>
      <c r="I53" s="126"/>
      <c r="J53" s="126"/>
      <c r="K53" s="307"/>
      <c r="L53" s="275"/>
      <c r="M53" s="275"/>
      <c r="N53" s="307"/>
      <c r="O53" s="275"/>
      <c r="P53" s="275"/>
      <c r="Q53" s="275"/>
      <c r="R53" s="275"/>
      <c r="S53" s="307"/>
      <c r="T53" s="275"/>
      <c r="U53" s="275"/>
      <c r="V53" s="275"/>
      <c r="W53" s="340"/>
      <c r="X53" s="338"/>
      <c r="Y53" s="339"/>
      <c r="Z53" s="339"/>
      <c r="AA53" s="339"/>
      <c r="AB53" s="340"/>
      <c r="AC53" s="339"/>
      <c r="AD53" s="339"/>
      <c r="AE53" s="339"/>
      <c r="AF53" s="339"/>
      <c r="AG53" s="340"/>
      <c r="AH53" s="339"/>
      <c r="AI53" s="339"/>
      <c r="AJ53" s="339"/>
      <c r="AK53" s="339"/>
      <c r="AL53" s="340"/>
      <c r="AQ53" s="126"/>
      <c r="AR53" s="126"/>
      <c r="AS53" s="126"/>
      <c r="AT53" s="126"/>
      <c r="AU53" s="126"/>
      <c r="AV53" s="126"/>
      <c r="AW53" s="126"/>
      <c r="AX53" s="126"/>
      <c r="AY53" s="126"/>
      <c r="AZ53" s="126"/>
      <c r="BA53" s="126"/>
      <c r="BB53" s="126"/>
      <c r="BC53" s="126"/>
      <c r="BD53" s="126"/>
      <c r="BE53" s="126"/>
      <c r="BF53" s="126"/>
      <c r="BG53" s="126"/>
      <c r="BK53" s="395"/>
    </row>
    <row r="54" spans="3:78" ht="12.5" thickBot="1" x14ac:dyDescent="0.35">
      <c r="C54" s="126"/>
      <c r="D54" s="126"/>
      <c r="E54" s="126"/>
      <c r="F54" s="303" t="s">
        <v>37</v>
      </c>
      <c r="H54" s="126"/>
      <c r="I54" s="126"/>
      <c r="J54" s="126"/>
      <c r="K54" s="309"/>
      <c r="L54" s="310"/>
      <c r="M54" s="310"/>
      <c r="N54" s="309"/>
      <c r="O54" s="310"/>
      <c r="P54" s="310"/>
      <c r="Q54" s="310"/>
      <c r="R54" s="310"/>
      <c r="S54" s="309"/>
      <c r="T54" s="310"/>
      <c r="U54" s="310"/>
      <c r="V54" s="310"/>
      <c r="W54" s="343"/>
      <c r="X54" s="341"/>
      <c r="Y54" s="342"/>
      <c r="Z54" s="342"/>
      <c r="AA54" s="342"/>
      <c r="AB54" s="343"/>
      <c r="AC54" s="342"/>
      <c r="AD54" s="342"/>
      <c r="AE54" s="342"/>
      <c r="AF54" s="342"/>
      <c r="AG54" s="343"/>
      <c r="AH54" s="342"/>
      <c r="AI54" s="342"/>
      <c r="AJ54" s="342"/>
      <c r="AK54" s="342"/>
      <c r="AL54" s="343"/>
      <c r="AP54" s="1304"/>
      <c r="AQ54" s="1304"/>
      <c r="AR54" s="1304"/>
      <c r="AS54" s="2390" t="s">
        <v>961</v>
      </c>
      <c r="AT54" s="2391"/>
      <c r="AU54" s="2391"/>
      <c r="AV54" s="2391"/>
      <c r="AW54" s="2391"/>
      <c r="AX54" s="2391"/>
      <c r="AY54" s="2391"/>
      <c r="AZ54" s="2391"/>
      <c r="BA54" s="2391"/>
      <c r="BB54" s="2391"/>
      <c r="BC54" s="2391"/>
      <c r="BD54" s="2391"/>
      <c r="BE54" s="2391"/>
      <c r="BF54" s="2391"/>
      <c r="BG54" s="2392"/>
      <c r="BH54" s="1304"/>
      <c r="BI54" s="1304"/>
      <c r="BJ54" s="1304"/>
      <c r="BK54" s="1304"/>
      <c r="BL54" s="2390" t="s">
        <v>963</v>
      </c>
      <c r="BM54" s="2391"/>
      <c r="BN54" s="2391"/>
      <c r="BO54" s="2391"/>
      <c r="BP54" s="2391"/>
      <c r="BQ54" s="2391"/>
      <c r="BR54" s="2391"/>
      <c r="BS54" s="2391"/>
      <c r="BT54" s="2391"/>
      <c r="BU54" s="2391"/>
      <c r="BV54" s="2391"/>
      <c r="BW54" s="2391"/>
      <c r="BX54" s="2391"/>
      <c r="BY54" s="2391"/>
      <c r="BZ54" s="2392"/>
    </row>
    <row r="55" spans="3:78" ht="12.5" thickBot="1" x14ac:dyDescent="0.35">
      <c r="C55" s="126"/>
      <c r="D55" s="126"/>
      <c r="E55" s="126"/>
      <c r="F55" s="541" t="str">
        <f>+CONCATENATE("Total ",F51)</f>
        <v>Total Other non-scheduled tariff revenue</v>
      </c>
      <c r="H55" s="126"/>
      <c r="I55" s="126"/>
      <c r="J55" s="126"/>
      <c r="K55" s="1527"/>
      <c r="L55" s="1527"/>
      <c r="M55" s="1527"/>
      <c r="N55" s="1527"/>
      <c r="O55" s="1527"/>
      <c r="P55" s="1527"/>
      <c r="Q55" s="1527"/>
      <c r="R55" s="1527"/>
      <c r="S55" s="1527"/>
      <c r="T55" s="1527"/>
      <c r="U55" s="1527"/>
      <c r="V55" s="1527"/>
      <c r="W55" s="1527">
        <f t="shared" ref="W55:AG55" si="18">+SUM(W52:W54)</f>
        <v>0</v>
      </c>
      <c r="X55" s="1527">
        <f t="shared" si="18"/>
        <v>0</v>
      </c>
      <c r="Y55" s="1527">
        <f t="shared" si="18"/>
        <v>0</v>
      </c>
      <c r="Z55" s="1527">
        <f t="shared" si="18"/>
        <v>0</v>
      </c>
      <c r="AA55" s="1527">
        <f t="shared" si="18"/>
        <v>0</v>
      </c>
      <c r="AB55" s="1527">
        <f t="shared" si="18"/>
        <v>0</v>
      </c>
      <c r="AC55" s="1527">
        <f t="shared" si="18"/>
        <v>0</v>
      </c>
      <c r="AD55" s="1527">
        <f t="shared" si="18"/>
        <v>0</v>
      </c>
      <c r="AE55" s="1527">
        <f t="shared" si="18"/>
        <v>0</v>
      </c>
      <c r="AF55" s="1527">
        <f t="shared" si="18"/>
        <v>0</v>
      </c>
      <c r="AG55" s="1527">
        <f t="shared" si="18"/>
        <v>0</v>
      </c>
      <c r="AH55" s="1527">
        <f>+SUM(AH52:AH54)</f>
        <v>0</v>
      </c>
      <c r="AI55" s="1527">
        <f>+SUM(AI52:AI54)</f>
        <v>0</v>
      </c>
      <c r="AJ55" s="1527">
        <f>+SUM(AJ52:AJ54)</f>
        <v>0</v>
      </c>
      <c r="AK55" s="1527">
        <f>+SUM(AK52:AK54)</f>
        <v>0</v>
      </c>
      <c r="AL55" s="1527">
        <f>+SUM(AL52:AL54)</f>
        <v>0</v>
      </c>
      <c r="AP55" s="1304"/>
      <c r="AQ55" s="1304"/>
      <c r="AR55" s="1304"/>
      <c r="AS55" s="2382" t="s">
        <v>1072</v>
      </c>
      <c r="AT55" s="2376"/>
      <c r="AU55" s="2376"/>
      <c r="AV55" s="2376"/>
      <c r="AW55" s="2376"/>
      <c r="AX55" s="2382" t="s">
        <v>457</v>
      </c>
      <c r="AY55" s="2376"/>
      <c r="AZ55" s="2376"/>
      <c r="BA55" s="2376"/>
      <c r="BB55" s="2377"/>
      <c r="BC55" s="2376" t="s">
        <v>903</v>
      </c>
      <c r="BD55" s="2376"/>
      <c r="BE55" s="2376"/>
      <c r="BF55" s="2376"/>
      <c r="BG55" s="2377"/>
      <c r="BH55" s="1304"/>
      <c r="BI55" s="1304"/>
      <c r="BJ55" s="1304"/>
      <c r="BK55" s="1304"/>
      <c r="BL55" s="2382" t="s">
        <v>1072</v>
      </c>
      <c r="BM55" s="2376"/>
      <c r="BN55" s="2376"/>
      <c r="BO55" s="2376"/>
      <c r="BP55" s="2393"/>
      <c r="BQ55" s="2376" t="s">
        <v>457</v>
      </c>
      <c r="BR55" s="2376"/>
      <c r="BS55" s="2376"/>
      <c r="BT55" s="2376"/>
      <c r="BU55" s="2377"/>
      <c r="BV55" s="2376" t="s">
        <v>903</v>
      </c>
      <c r="BW55" s="2376"/>
      <c r="BX55" s="2376"/>
      <c r="BY55" s="2376"/>
      <c r="BZ55" s="2377"/>
    </row>
    <row r="56" spans="3:78" ht="12.5" thickBot="1" x14ac:dyDescent="0.35">
      <c r="C56" s="126"/>
      <c r="D56" s="126"/>
      <c r="E56" s="126"/>
      <c r="F56" s="126"/>
      <c r="G56" s="126"/>
      <c r="H56" s="126"/>
      <c r="I56" s="102"/>
      <c r="J56" s="126"/>
      <c r="K56" s="118"/>
      <c r="L56" s="118"/>
      <c r="M56" s="118"/>
      <c r="N56" s="465"/>
      <c r="O56" s="465"/>
      <c r="P56" s="465"/>
      <c r="Q56" s="465"/>
      <c r="R56" s="118"/>
      <c r="S56" s="465"/>
      <c r="T56" s="465"/>
      <c r="U56" s="465"/>
      <c r="V56" s="465"/>
      <c r="W56" s="465"/>
      <c r="X56" s="125"/>
      <c r="Y56" s="125"/>
      <c r="Z56" s="414"/>
      <c r="AA56" s="125"/>
      <c r="AB56" s="125"/>
      <c r="AC56" s="125"/>
      <c r="AD56" s="125"/>
      <c r="AE56" s="125"/>
      <c r="AF56" s="125"/>
      <c r="AG56" s="125"/>
      <c r="AH56" s="125"/>
      <c r="AI56" s="125"/>
      <c r="AJ56" s="125"/>
      <c r="AK56" s="125"/>
      <c r="AL56" s="125"/>
      <c r="AP56" s="2250" t="str">
        <f>AP68</f>
        <v>PQR</v>
      </c>
      <c r="AQ56" s="2251"/>
      <c r="AR56" s="2251"/>
      <c r="AS56" s="2252" t="str">
        <f t="shared" ref="AS56:BG56" si="19">AS68</f>
        <v>2018-19</v>
      </c>
      <c r="AT56" s="2253" t="str">
        <f t="shared" si="19"/>
        <v>2019-20</v>
      </c>
      <c r="AU56" s="2253" t="str">
        <f t="shared" si="19"/>
        <v>2020-21</v>
      </c>
      <c r="AV56" s="2253" t="str">
        <f t="shared" si="19"/>
        <v>2021-22</v>
      </c>
      <c r="AW56" s="2253" t="str">
        <f t="shared" si="19"/>
        <v>2022-23</v>
      </c>
      <c r="AX56" s="2252" t="str">
        <f t="shared" si="19"/>
        <v>2023-24</v>
      </c>
      <c r="AY56" s="2253" t="str">
        <f t="shared" si="19"/>
        <v>2024-25</v>
      </c>
      <c r="AZ56" s="2253" t="str">
        <f t="shared" si="19"/>
        <v>2025-26</v>
      </c>
      <c r="BA56" s="2253" t="str">
        <f t="shared" si="19"/>
        <v>2026-27</v>
      </c>
      <c r="BB56" s="2254" t="str">
        <f t="shared" si="19"/>
        <v>2027-28</v>
      </c>
      <c r="BC56" s="2253" t="str">
        <f t="shared" si="19"/>
        <v>2028-29</v>
      </c>
      <c r="BD56" s="2253" t="str">
        <f t="shared" si="19"/>
        <v>2029-30</v>
      </c>
      <c r="BE56" s="2253" t="str">
        <f t="shared" si="19"/>
        <v>2030-31</v>
      </c>
      <c r="BF56" s="2253" t="str">
        <f t="shared" si="19"/>
        <v>2031-32</v>
      </c>
      <c r="BG56" s="2254" t="str">
        <f t="shared" si="19"/>
        <v>2032-33</v>
      </c>
      <c r="BH56" s="1304"/>
      <c r="BI56" s="2250" t="str">
        <f>BI68</f>
        <v>PQR</v>
      </c>
      <c r="BJ56" s="2251"/>
      <c r="BK56" s="2251"/>
      <c r="BL56" s="2252" t="str">
        <f t="shared" ref="BL56:BZ56" si="20">BL68</f>
        <v>2018-19</v>
      </c>
      <c r="BM56" s="2253" t="str">
        <f t="shared" si="20"/>
        <v>2019-20</v>
      </c>
      <c r="BN56" s="2253" t="str">
        <f t="shared" si="20"/>
        <v>2020-21</v>
      </c>
      <c r="BO56" s="2253" t="str">
        <f t="shared" si="20"/>
        <v>2021-22</v>
      </c>
      <c r="BP56" s="2255" t="str">
        <f t="shared" si="20"/>
        <v>2022-23</v>
      </c>
      <c r="BQ56" s="2253" t="str">
        <f t="shared" si="20"/>
        <v>2023-24</v>
      </c>
      <c r="BR56" s="2253" t="str">
        <f t="shared" si="20"/>
        <v>2024-25</v>
      </c>
      <c r="BS56" s="2253" t="str">
        <f t="shared" si="20"/>
        <v>2025-26</v>
      </c>
      <c r="BT56" s="2253" t="str">
        <f t="shared" si="20"/>
        <v>2026-27</v>
      </c>
      <c r="BU56" s="2254" t="str">
        <f t="shared" si="20"/>
        <v>2027-28</v>
      </c>
      <c r="BV56" s="2253" t="str">
        <f t="shared" si="20"/>
        <v>2028-29</v>
      </c>
      <c r="BW56" s="2253" t="str">
        <f t="shared" si="20"/>
        <v>2029-30</v>
      </c>
      <c r="BX56" s="2253" t="str">
        <f t="shared" si="20"/>
        <v>2030-31</v>
      </c>
      <c r="BY56" s="2253" t="str">
        <f t="shared" si="20"/>
        <v>2031-32</v>
      </c>
      <c r="BZ56" s="2254" t="str">
        <f t="shared" si="20"/>
        <v>2032-33</v>
      </c>
    </row>
    <row r="57" spans="3:78" x14ac:dyDescent="0.3">
      <c r="C57" s="126"/>
      <c r="D57" s="126"/>
      <c r="E57" s="540" t="str">
        <f>+CONCATENATE("Total ",E42)</f>
        <v>Total Non-tariff revenue</v>
      </c>
      <c r="F57" s="126"/>
      <c r="G57" s="126"/>
      <c r="H57" s="126" t="str">
        <f>Expenditure_Detail!$B$6</f>
        <v>$m, 01/01/23</v>
      </c>
      <c r="I57" s="126"/>
      <c r="J57" s="126"/>
      <c r="K57" s="111"/>
      <c r="L57" s="112"/>
      <c r="M57" s="113"/>
      <c r="N57" s="111"/>
      <c r="O57" s="112"/>
      <c r="P57" s="112"/>
      <c r="Q57" s="112"/>
      <c r="R57" s="113"/>
      <c r="S57" s="111"/>
      <c r="T57" s="112"/>
      <c r="U57" s="112"/>
      <c r="V57" s="112"/>
      <c r="W57" s="1445">
        <f t="shared" ref="W57:AG57" si="21">+W49+W55</f>
        <v>0</v>
      </c>
      <c r="X57" s="542">
        <f t="shared" si="21"/>
        <v>0</v>
      </c>
      <c r="Y57" s="543">
        <f t="shared" si="21"/>
        <v>0</v>
      </c>
      <c r="Z57" s="543">
        <f t="shared" si="21"/>
        <v>0</v>
      </c>
      <c r="AA57" s="543">
        <f t="shared" si="21"/>
        <v>0</v>
      </c>
      <c r="AB57" s="544">
        <f t="shared" si="21"/>
        <v>0</v>
      </c>
      <c r="AC57" s="542">
        <f t="shared" si="21"/>
        <v>0</v>
      </c>
      <c r="AD57" s="543">
        <f t="shared" si="21"/>
        <v>0</v>
      </c>
      <c r="AE57" s="543">
        <f t="shared" si="21"/>
        <v>0</v>
      </c>
      <c r="AF57" s="543">
        <f t="shared" si="21"/>
        <v>0</v>
      </c>
      <c r="AG57" s="544">
        <f t="shared" si="21"/>
        <v>0</v>
      </c>
      <c r="AH57" s="542">
        <f>+AH49+AH55</f>
        <v>0</v>
      </c>
      <c r="AI57" s="543">
        <f>+AI49+AI55</f>
        <v>0</v>
      </c>
      <c r="AJ57" s="543">
        <f>+AJ49+AJ55</f>
        <v>0</v>
      </c>
      <c r="AK57" s="543">
        <f>+AK49+AK55</f>
        <v>0</v>
      </c>
      <c r="AL57" s="544">
        <f>+AL49+AL55</f>
        <v>0</v>
      </c>
      <c r="AP57" s="2256" t="s">
        <v>45</v>
      </c>
      <c r="AQ57" s="2257"/>
      <c r="AR57" s="2257"/>
      <c r="AS57" s="2258" t="str">
        <f t="shared" ref="AS57:BG57" si="22">IFERROR(AVERAGEIF($AP$69:$AP$65549,$AP$69,AS$69:AS$65549),"-")</f>
        <v>-</v>
      </c>
      <c r="AT57" s="1038" t="str">
        <f t="shared" si="22"/>
        <v>-</v>
      </c>
      <c r="AU57" s="1038" t="str">
        <f t="shared" si="22"/>
        <v>-</v>
      </c>
      <c r="AV57" s="1038" t="str">
        <f t="shared" si="22"/>
        <v>-</v>
      </c>
      <c r="AW57" s="1038" t="str">
        <f t="shared" si="22"/>
        <v>-</v>
      </c>
      <c r="AX57" s="2259" t="str">
        <f t="shared" si="22"/>
        <v>-</v>
      </c>
      <c r="AY57" s="1038" t="str">
        <f t="shared" si="22"/>
        <v>-</v>
      </c>
      <c r="AZ57" s="1038" t="str">
        <f t="shared" si="22"/>
        <v>-</v>
      </c>
      <c r="BA57" s="1038" t="str">
        <f t="shared" si="22"/>
        <v>-</v>
      </c>
      <c r="BB57" s="1040" t="str">
        <f t="shared" si="22"/>
        <v>-</v>
      </c>
      <c r="BC57" s="1038" t="str">
        <f t="shared" si="22"/>
        <v>-</v>
      </c>
      <c r="BD57" s="1038" t="str">
        <f t="shared" si="22"/>
        <v>-</v>
      </c>
      <c r="BE57" s="1038" t="str">
        <f t="shared" si="22"/>
        <v>-</v>
      </c>
      <c r="BF57" s="1038" t="str">
        <f t="shared" si="22"/>
        <v>-</v>
      </c>
      <c r="BG57" s="1040" t="str">
        <f t="shared" si="22"/>
        <v>-</v>
      </c>
      <c r="BH57" s="1304"/>
      <c r="BI57" s="2256" t="s">
        <v>45</v>
      </c>
      <c r="BJ57" s="2257"/>
      <c r="BK57" s="2257"/>
      <c r="BL57" s="2258">
        <f t="shared" ref="BL57:BZ57" si="23">SUMIF($BI$69:$BI$65549,$BI$69,BL$69:BL$65549)</f>
        <v>0</v>
      </c>
      <c r="BM57" s="1038">
        <f t="shared" si="23"/>
        <v>0</v>
      </c>
      <c r="BN57" s="1038">
        <f t="shared" si="23"/>
        <v>0</v>
      </c>
      <c r="BO57" s="1038">
        <f t="shared" si="23"/>
        <v>0</v>
      </c>
      <c r="BP57" s="1039">
        <f t="shared" si="23"/>
        <v>0</v>
      </c>
      <c r="BQ57" s="1038">
        <f t="shared" si="23"/>
        <v>0</v>
      </c>
      <c r="BR57" s="1038">
        <f t="shared" si="23"/>
        <v>0</v>
      </c>
      <c r="BS57" s="1038">
        <f t="shared" si="23"/>
        <v>0</v>
      </c>
      <c r="BT57" s="1038">
        <f t="shared" si="23"/>
        <v>0</v>
      </c>
      <c r="BU57" s="1040">
        <f t="shared" si="23"/>
        <v>0</v>
      </c>
      <c r="BV57" s="1038">
        <f t="shared" si="23"/>
        <v>0</v>
      </c>
      <c r="BW57" s="1038">
        <f t="shared" si="23"/>
        <v>0</v>
      </c>
      <c r="BX57" s="1038">
        <f t="shared" si="23"/>
        <v>0</v>
      </c>
      <c r="BY57" s="1038">
        <f t="shared" si="23"/>
        <v>0</v>
      </c>
      <c r="BZ57" s="1040">
        <f t="shared" si="23"/>
        <v>0</v>
      </c>
    </row>
    <row r="58" spans="3:78" x14ac:dyDescent="0.3">
      <c r="C58" s="126"/>
      <c r="D58" s="126"/>
      <c r="E58" s="126"/>
      <c r="F58" s="126"/>
      <c r="G58" s="126"/>
      <c r="H58" s="126"/>
      <c r="I58" s="126"/>
      <c r="J58" s="126"/>
      <c r="K58" s="118"/>
      <c r="L58" s="118"/>
      <c r="M58" s="118"/>
      <c r="N58" s="465"/>
      <c r="O58" s="465"/>
      <c r="P58" s="465"/>
      <c r="Q58" s="465"/>
      <c r="R58" s="118"/>
      <c r="S58" s="465"/>
      <c r="T58" s="465"/>
      <c r="U58" s="465"/>
      <c r="V58" s="465"/>
      <c r="W58" s="465"/>
      <c r="X58" s="125"/>
      <c r="Y58" s="125"/>
      <c r="Z58" s="414"/>
      <c r="AA58" s="125"/>
      <c r="AB58" s="125"/>
      <c r="AC58" s="125"/>
      <c r="AD58" s="125"/>
      <c r="AE58" s="125"/>
      <c r="AF58" s="125"/>
      <c r="AG58" s="125"/>
      <c r="AH58" s="125"/>
      <c r="AI58" s="125"/>
      <c r="AJ58" s="125"/>
      <c r="AK58" s="125"/>
      <c r="AL58" s="125"/>
      <c r="AP58" s="2260" t="s">
        <v>842</v>
      </c>
      <c r="AQ58" s="2261"/>
      <c r="AR58" s="2261"/>
      <c r="AS58" s="2262" t="str">
        <f t="shared" ref="AS58:BG58" si="24">IFERROR(AVERAGEIF($AP$69:$AP$65549,$AP$70,AS$69:AS$65549),"-")</f>
        <v>-</v>
      </c>
      <c r="AT58" s="1701" t="str">
        <f t="shared" si="24"/>
        <v>-</v>
      </c>
      <c r="AU58" s="1701" t="str">
        <f t="shared" si="24"/>
        <v>-</v>
      </c>
      <c r="AV58" s="1701" t="str">
        <f t="shared" si="24"/>
        <v>-</v>
      </c>
      <c r="AW58" s="1701" t="str">
        <f t="shared" si="24"/>
        <v>-</v>
      </c>
      <c r="AX58" s="2262" t="str">
        <f t="shared" si="24"/>
        <v>-</v>
      </c>
      <c r="AY58" s="1701" t="str">
        <f t="shared" si="24"/>
        <v>-</v>
      </c>
      <c r="AZ58" s="1701" t="str">
        <f t="shared" si="24"/>
        <v>-</v>
      </c>
      <c r="BA58" s="1701" t="str">
        <f t="shared" si="24"/>
        <v>-</v>
      </c>
      <c r="BB58" s="1705" t="str">
        <f t="shared" si="24"/>
        <v>-</v>
      </c>
      <c r="BC58" s="1701" t="str">
        <f t="shared" si="24"/>
        <v>-</v>
      </c>
      <c r="BD58" s="1701" t="str">
        <f t="shared" si="24"/>
        <v>-</v>
      </c>
      <c r="BE58" s="1701" t="str">
        <f t="shared" si="24"/>
        <v>-</v>
      </c>
      <c r="BF58" s="1701" t="str">
        <f t="shared" si="24"/>
        <v>-</v>
      </c>
      <c r="BG58" s="1705" t="str">
        <f t="shared" si="24"/>
        <v>-</v>
      </c>
      <c r="BH58" s="1304"/>
      <c r="BI58" s="2260" t="s">
        <v>842</v>
      </c>
      <c r="BJ58" s="2261"/>
      <c r="BK58" s="2261"/>
      <c r="BL58" s="2262">
        <f t="shared" ref="BL58:BZ58" si="25">SUMIF($BI$69:$BI$65549,$BI$70,BL$69:BL$65549)</f>
        <v>0</v>
      </c>
      <c r="BM58" s="1701">
        <f t="shared" si="25"/>
        <v>0</v>
      </c>
      <c r="BN58" s="1701">
        <f t="shared" si="25"/>
        <v>0</v>
      </c>
      <c r="BO58" s="1701">
        <f t="shared" si="25"/>
        <v>0</v>
      </c>
      <c r="BP58" s="1703">
        <f t="shared" si="25"/>
        <v>0</v>
      </c>
      <c r="BQ58" s="1701">
        <f t="shared" si="25"/>
        <v>0</v>
      </c>
      <c r="BR58" s="1701">
        <f t="shared" si="25"/>
        <v>0</v>
      </c>
      <c r="BS58" s="1701">
        <f t="shared" si="25"/>
        <v>0</v>
      </c>
      <c r="BT58" s="1701">
        <f t="shared" si="25"/>
        <v>0</v>
      </c>
      <c r="BU58" s="1705">
        <f t="shared" si="25"/>
        <v>0</v>
      </c>
      <c r="BV58" s="1701">
        <f t="shared" si="25"/>
        <v>0</v>
      </c>
      <c r="BW58" s="1701">
        <f t="shared" si="25"/>
        <v>0</v>
      </c>
      <c r="BX58" s="1701">
        <f t="shared" si="25"/>
        <v>0</v>
      </c>
      <c r="BY58" s="1701">
        <f t="shared" si="25"/>
        <v>0</v>
      </c>
      <c r="BZ58" s="1705">
        <f t="shared" si="25"/>
        <v>0</v>
      </c>
    </row>
    <row r="59" spans="3:78" ht="12.5" thickBot="1" x14ac:dyDescent="0.35">
      <c r="C59" s="126"/>
      <c r="D59" s="126"/>
      <c r="E59" s="540" t="s">
        <v>38</v>
      </c>
      <c r="F59" s="126"/>
      <c r="G59" s="126"/>
      <c r="H59" s="126" t="str">
        <f>Expenditure_Detail!$B$6</f>
        <v>$m, 01/01/23</v>
      </c>
      <c r="I59" s="126"/>
      <c r="J59" s="126"/>
      <c r="K59" s="316"/>
      <c r="L59" s="317"/>
      <c r="M59" s="317"/>
      <c r="N59" s="316"/>
      <c r="O59" s="317"/>
      <c r="P59" s="317"/>
      <c r="Q59" s="317"/>
      <c r="R59" s="317"/>
      <c r="S59" s="316"/>
      <c r="T59" s="317"/>
      <c r="U59" s="317"/>
      <c r="V59" s="317"/>
      <c r="W59" s="345"/>
      <c r="X59" s="344"/>
      <c r="Y59" s="345"/>
      <c r="Z59" s="345"/>
      <c r="AA59" s="345"/>
      <c r="AB59" s="345"/>
      <c r="AC59" s="344"/>
      <c r="AD59" s="345"/>
      <c r="AE59" s="345"/>
      <c r="AF59" s="345"/>
      <c r="AG59" s="346"/>
      <c r="AH59" s="344"/>
      <c r="AI59" s="345"/>
      <c r="AJ59" s="345"/>
      <c r="AK59" s="345"/>
      <c r="AL59" s="346"/>
      <c r="AP59" s="2263" t="s">
        <v>69</v>
      </c>
      <c r="AQ59" s="1344"/>
      <c r="AR59" s="1344"/>
      <c r="AS59" s="2264" t="str">
        <f t="shared" ref="AS59:BG59" si="26">IFERROR(AVERAGEIF($AP$69:$AP$65549,$AP$71,AS$69:AS$65549),"-")</f>
        <v>-</v>
      </c>
      <c r="AT59" s="1702" t="str">
        <f t="shared" si="26"/>
        <v>-</v>
      </c>
      <c r="AU59" s="1702" t="str">
        <f t="shared" si="26"/>
        <v>-</v>
      </c>
      <c r="AV59" s="1702" t="str">
        <f t="shared" si="26"/>
        <v>-</v>
      </c>
      <c r="AW59" s="1702" t="str">
        <f t="shared" si="26"/>
        <v>-</v>
      </c>
      <c r="AX59" s="2264" t="str">
        <f t="shared" si="26"/>
        <v>-</v>
      </c>
      <c r="AY59" s="1702" t="str">
        <f t="shared" si="26"/>
        <v>-</v>
      </c>
      <c r="AZ59" s="1702" t="str">
        <f t="shared" si="26"/>
        <v>-</v>
      </c>
      <c r="BA59" s="1702" t="str">
        <f t="shared" si="26"/>
        <v>-</v>
      </c>
      <c r="BB59" s="1706" t="str">
        <f t="shared" si="26"/>
        <v>-</v>
      </c>
      <c r="BC59" s="1702" t="str">
        <f t="shared" si="26"/>
        <v>-</v>
      </c>
      <c r="BD59" s="1702" t="str">
        <f t="shared" si="26"/>
        <v>-</v>
      </c>
      <c r="BE59" s="1702" t="str">
        <f t="shared" si="26"/>
        <v>-</v>
      </c>
      <c r="BF59" s="1702" t="str">
        <f t="shared" si="26"/>
        <v>-</v>
      </c>
      <c r="BG59" s="1706" t="str">
        <f t="shared" si="26"/>
        <v>-</v>
      </c>
      <c r="BH59" s="1304"/>
      <c r="BI59" s="2263" t="s">
        <v>69</v>
      </c>
      <c r="BJ59" s="1344"/>
      <c r="BK59" s="1344"/>
      <c r="BL59" s="2264">
        <f t="shared" ref="BL59:BZ59" si="27">SUMIF($BI$69:$BI$65549,$BI$71,BL$69:BL$65549)</f>
        <v>0</v>
      </c>
      <c r="BM59" s="1702">
        <f t="shared" si="27"/>
        <v>0</v>
      </c>
      <c r="BN59" s="1702">
        <f t="shared" si="27"/>
        <v>0</v>
      </c>
      <c r="BO59" s="1702">
        <f t="shared" si="27"/>
        <v>0</v>
      </c>
      <c r="BP59" s="1704">
        <f t="shared" si="27"/>
        <v>0</v>
      </c>
      <c r="BQ59" s="1702">
        <f t="shared" si="27"/>
        <v>0</v>
      </c>
      <c r="BR59" s="1702">
        <f t="shared" si="27"/>
        <v>0</v>
      </c>
      <c r="BS59" s="1702">
        <f t="shared" si="27"/>
        <v>0</v>
      </c>
      <c r="BT59" s="1702">
        <f t="shared" si="27"/>
        <v>0</v>
      </c>
      <c r="BU59" s="1706">
        <f t="shared" si="27"/>
        <v>0</v>
      </c>
      <c r="BV59" s="1702">
        <f t="shared" si="27"/>
        <v>0</v>
      </c>
      <c r="BW59" s="1702">
        <f t="shared" si="27"/>
        <v>0</v>
      </c>
      <c r="BX59" s="1702">
        <f t="shared" si="27"/>
        <v>0</v>
      </c>
      <c r="BY59" s="1702">
        <f t="shared" si="27"/>
        <v>0</v>
      </c>
      <c r="BZ59" s="1706">
        <f t="shared" si="27"/>
        <v>0</v>
      </c>
    </row>
    <row r="60" spans="3:78" x14ac:dyDescent="0.3">
      <c r="C60" s="126"/>
      <c r="D60" s="126"/>
      <c r="E60" s="126"/>
      <c r="F60" s="126"/>
      <c r="G60" s="126"/>
      <c r="H60" s="126"/>
      <c r="I60" s="126"/>
      <c r="J60" s="126"/>
      <c r="K60" s="126"/>
      <c r="L60" s="126"/>
      <c r="R60" s="72"/>
      <c r="S60" s="72"/>
      <c r="Z60" s="72"/>
      <c r="AP60" s="2256" t="s">
        <v>843</v>
      </c>
      <c r="AQ60" s="2257"/>
      <c r="AR60" s="2257"/>
      <c r="AS60" s="2259"/>
      <c r="AT60" s="2265"/>
      <c r="AU60" s="1038"/>
      <c r="AV60" s="1038"/>
      <c r="AW60" s="2265" t="str">
        <f>IFERROR(AVERAGE(AS57:AW57),"-")</f>
        <v>-</v>
      </c>
      <c r="AX60" s="2259"/>
      <c r="AY60" s="1038"/>
      <c r="AZ60" s="1038"/>
      <c r="BA60" s="1038"/>
      <c r="BB60" s="1708" t="str">
        <f>IFERROR(AVERAGE(AX57:BB57),"-")</f>
        <v>-</v>
      </c>
      <c r="BC60" s="1038"/>
      <c r="BD60" s="1038"/>
      <c r="BE60" s="1038"/>
      <c r="BF60" s="1038"/>
      <c r="BG60" s="1708" t="str">
        <f>IFERROR(AVERAGE(BC57:BG57),"-")</f>
        <v>-</v>
      </c>
      <c r="BH60" s="1304"/>
      <c r="BI60" s="2256" t="s">
        <v>844</v>
      </c>
      <c r="BJ60" s="2257"/>
      <c r="BK60" s="2257"/>
      <c r="BL60" s="2259"/>
      <c r="BM60" s="2265"/>
      <c r="BN60" s="1038"/>
      <c r="BO60" s="1038"/>
      <c r="BP60" s="1707">
        <f>IFERROR(AVERAGE(BL57:BP57),"-")</f>
        <v>0</v>
      </c>
      <c r="BQ60" s="1038"/>
      <c r="BR60" s="1038"/>
      <c r="BS60" s="1038"/>
      <c r="BT60" s="1038"/>
      <c r="BU60" s="1708">
        <f>IFERROR(AVERAGE(BQ57:BU57),"-")</f>
        <v>0</v>
      </c>
      <c r="BV60" s="1038"/>
      <c r="BW60" s="1038"/>
      <c r="BX60" s="1038"/>
      <c r="BY60" s="1038"/>
      <c r="BZ60" s="1708">
        <f>IFERROR(AVERAGE(BV57:BZ57),"-")</f>
        <v>0</v>
      </c>
    </row>
    <row r="61" spans="3:78" x14ac:dyDescent="0.3">
      <c r="C61" s="126"/>
      <c r="D61" s="126"/>
      <c r="E61" s="545" t="s">
        <v>379</v>
      </c>
      <c r="F61" s="265"/>
      <c r="G61" s="265"/>
      <c r="H61" s="126" t="str">
        <f>Expenditure_Detail!$B$6</f>
        <v>$m, 01/01/23</v>
      </c>
      <c r="J61" s="126"/>
      <c r="K61" s="315"/>
      <c r="L61" s="315"/>
      <c r="M61" s="315"/>
      <c r="N61" s="275"/>
      <c r="O61" s="275"/>
      <c r="P61" s="275"/>
      <c r="S61" s="299"/>
      <c r="X61" s="299"/>
      <c r="Y61" s="299"/>
      <c r="Z61" s="2322"/>
      <c r="AA61" s="1696"/>
      <c r="AB61" s="1697" t="s">
        <v>863</v>
      </c>
      <c r="AC61" s="344"/>
      <c r="AD61" s="345"/>
      <c r="AE61" s="345"/>
      <c r="AF61" s="345"/>
      <c r="AG61" s="346"/>
      <c r="AH61" s="1548"/>
      <c r="AI61" s="345"/>
      <c r="AJ61" s="345"/>
      <c r="AK61" s="345"/>
      <c r="AL61" s="346"/>
      <c r="AP61" s="2260" t="s">
        <v>845</v>
      </c>
      <c r="AQ61" s="2261"/>
      <c r="AR61" s="2261"/>
      <c r="AS61" s="2266"/>
      <c r="AT61" s="1701"/>
      <c r="AU61" s="1041"/>
      <c r="AV61" s="1041"/>
      <c r="AW61" s="1701" t="str">
        <f>IFERROR(AVERAGE(AS58:AW58),"-")</f>
        <v>-</v>
      </c>
      <c r="AX61" s="2266"/>
      <c r="AY61" s="1041"/>
      <c r="AZ61" s="1041"/>
      <c r="BA61" s="1041"/>
      <c r="BB61" s="1705" t="str">
        <f>IFERROR(AVERAGE(AX58:BB58),"-")</f>
        <v>-</v>
      </c>
      <c r="BC61" s="1041"/>
      <c r="BD61" s="1041"/>
      <c r="BE61" s="1041"/>
      <c r="BF61" s="1041"/>
      <c r="BG61" s="1705" t="str">
        <f>IFERROR(AVERAGE(BC58:BG58),"-")</f>
        <v>-</v>
      </c>
      <c r="BH61" s="1304"/>
      <c r="BI61" s="2260" t="s">
        <v>846</v>
      </c>
      <c r="BJ61" s="2261"/>
      <c r="BK61" s="2261"/>
      <c r="BL61" s="2266"/>
      <c r="BM61" s="1701"/>
      <c r="BN61" s="1041"/>
      <c r="BO61" s="1041"/>
      <c r="BP61" s="1703">
        <f t="shared" ref="BP61:BP62" si="28">IFERROR(AVERAGE(BL58:BP58),"-")</f>
        <v>0</v>
      </c>
      <c r="BQ61" s="1041"/>
      <c r="BR61" s="1041"/>
      <c r="BS61" s="1041"/>
      <c r="BT61" s="1041"/>
      <c r="BU61" s="1705">
        <f>IFERROR(AVERAGE(BQ58:BU58),"-")</f>
        <v>0</v>
      </c>
      <c r="BV61" s="1041"/>
      <c r="BW61" s="1041"/>
      <c r="BX61" s="1041"/>
      <c r="BY61" s="1041"/>
      <c r="BZ61" s="1705">
        <f>IFERROR(AVERAGE(BV58:BZ58),"-")</f>
        <v>0</v>
      </c>
    </row>
    <row r="62" spans="3:78" s="265" customFormat="1" ht="12.5" thickBot="1" x14ac:dyDescent="0.35">
      <c r="K62" s="315"/>
      <c r="L62" s="315"/>
      <c r="M62" s="315"/>
      <c r="S62" s="546"/>
      <c r="T62" s="546"/>
      <c r="U62" s="546"/>
      <c r="V62" s="546"/>
      <c r="W62" s="546"/>
      <c r="X62" s="546"/>
      <c r="Y62" s="546"/>
      <c r="Z62" s="2323"/>
      <c r="AA62" s="546"/>
      <c r="AB62" s="546"/>
      <c r="AC62" s="1527" t="str">
        <f t="shared" ref="AC62:AG62" si="29">+IF(AC61&gt;0,"CHECK","")</f>
        <v/>
      </c>
      <c r="AD62" s="1527" t="str">
        <f t="shared" si="29"/>
        <v/>
      </c>
      <c r="AE62" s="1527" t="str">
        <f t="shared" si="29"/>
        <v/>
      </c>
      <c r="AF62" s="1527" t="str">
        <f t="shared" si="29"/>
        <v/>
      </c>
      <c r="AG62" s="1527" t="str">
        <f t="shared" si="29"/>
        <v/>
      </c>
      <c r="AH62" s="1527" t="str">
        <f>+IF(AH61&gt;0,"CHECK","")</f>
        <v/>
      </c>
      <c r="AI62" s="1527" t="str">
        <f>+IF(AI61&gt;0,"CHECK","")</f>
        <v/>
      </c>
      <c r="AJ62" s="1527" t="str">
        <f>+IF(AJ61&gt;0,"CHECK","")</f>
        <v/>
      </c>
      <c r="AK62" s="1527" t="str">
        <f>+IF(AK61&gt;0,"CHECK","")</f>
        <v/>
      </c>
      <c r="AL62" s="1527" t="str">
        <f>+IF(AL61&gt;0,"CHECK","")</f>
        <v/>
      </c>
      <c r="AN62" s="990"/>
      <c r="AO62" s="73"/>
      <c r="AP62" s="2263" t="s">
        <v>847</v>
      </c>
      <c r="AQ62" s="1344"/>
      <c r="AR62" s="1344"/>
      <c r="AS62" s="2267"/>
      <c r="AT62" s="1702"/>
      <c r="AU62" s="1042"/>
      <c r="AV62" s="1042"/>
      <c r="AW62" s="1702" t="str">
        <f>IFERROR(AVERAGE(AS59:AW59),"-")</f>
        <v>-</v>
      </c>
      <c r="AX62" s="2267"/>
      <c r="AY62" s="1042"/>
      <c r="AZ62" s="1042"/>
      <c r="BA62" s="1042"/>
      <c r="BB62" s="1706" t="str">
        <f>IFERROR(AVERAGE(AX59:BB59),"-")</f>
        <v>-</v>
      </c>
      <c r="BC62" s="1042"/>
      <c r="BD62" s="1042"/>
      <c r="BE62" s="1042"/>
      <c r="BF62" s="1042"/>
      <c r="BG62" s="1706" t="str">
        <f>IFERROR(AVERAGE(BC59:BG59),"-")</f>
        <v>-</v>
      </c>
      <c r="BH62" s="1304"/>
      <c r="BI62" s="2263" t="s">
        <v>848</v>
      </c>
      <c r="BJ62" s="1344"/>
      <c r="BK62" s="1344"/>
      <c r="BL62" s="2267"/>
      <c r="BM62" s="1702"/>
      <c r="BN62" s="1042"/>
      <c r="BO62" s="1042"/>
      <c r="BP62" s="1704">
        <f t="shared" si="28"/>
        <v>0</v>
      </c>
      <c r="BQ62" s="1042"/>
      <c r="BR62" s="1042"/>
      <c r="BS62" s="1042"/>
      <c r="BT62" s="1042"/>
      <c r="BU62" s="1706">
        <f>IFERROR(AVERAGE(BQ59:BU59),"-")</f>
        <v>0</v>
      </c>
      <c r="BV62" s="1042"/>
      <c r="BW62" s="1042"/>
      <c r="BX62" s="1042"/>
      <c r="BY62" s="1042"/>
      <c r="BZ62" s="1706">
        <f>IFERROR(AVERAGE(BV59:BZ59),"-")</f>
        <v>0</v>
      </c>
    </row>
    <row r="63" spans="3:78" x14ac:dyDescent="0.3">
      <c r="C63" s="126"/>
      <c r="D63" s="126"/>
      <c r="E63" s="540" t="s">
        <v>39</v>
      </c>
      <c r="F63" s="126"/>
      <c r="G63" s="126"/>
      <c r="H63" s="126"/>
      <c r="I63" s="126"/>
      <c r="J63" s="126"/>
      <c r="K63" s="126"/>
      <c r="L63" s="126"/>
      <c r="X63" s="299"/>
      <c r="Y63" s="299"/>
      <c r="Z63" s="2324"/>
      <c r="AA63" s="299"/>
      <c r="AB63" s="299"/>
      <c r="AP63" s="1304"/>
      <c r="AQ63" s="1304"/>
      <c r="AR63" s="1304"/>
      <c r="AS63" s="1304"/>
      <c r="AT63" s="1304"/>
      <c r="AU63" s="1304"/>
      <c r="AV63" s="1304"/>
      <c r="AW63" s="1304"/>
      <c r="AX63" s="1304"/>
      <c r="AY63" s="1304"/>
      <c r="AZ63" s="1304"/>
      <c r="BA63" s="1304"/>
      <c r="BB63" s="1304"/>
      <c r="BC63" s="1304"/>
      <c r="BD63" s="1304"/>
      <c r="BE63" s="1304"/>
      <c r="BF63" s="1304"/>
      <c r="BG63" s="1304"/>
      <c r="BH63" s="1304"/>
      <c r="BI63" s="1339"/>
      <c r="BJ63" s="1339"/>
      <c r="BK63" s="1043" t="s">
        <v>688</v>
      </c>
      <c r="BL63" s="1302" t="str">
        <f t="shared" ref="BL63:BZ63" si="30">IFERROR((X13/W13-1)-BL59,"-")</f>
        <v>-</v>
      </c>
      <c r="BM63" s="1302" t="str">
        <f t="shared" si="30"/>
        <v>-</v>
      </c>
      <c r="BN63" s="1302" t="str">
        <f t="shared" si="30"/>
        <v>-</v>
      </c>
      <c r="BO63" s="1302" t="str">
        <f t="shared" si="30"/>
        <v>-</v>
      </c>
      <c r="BP63" s="1302" t="str">
        <f t="shared" si="30"/>
        <v>-</v>
      </c>
      <c r="BQ63" s="1302" t="str">
        <f t="shared" si="30"/>
        <v>-</v>
      </c>
      <c r="BR63" s="1302" t="str">
        <f t="shared" si="30"/>
        <v>-</v>
      </c>
      <c r="BS63" s="1302" t="str">
        <f t="shared" si="30"/>
        <v>-</v>
      </c>
      <c r="BT63" s="1302" t="str">
        <f t="shared" si="30"/>
        <v>-</v>
      </c>
      <c r="BU63" s="1302" t="str">
        <f t="shared" si="30"/>
        <v>-</v>
      </c>
      <c r="BV63" s="1302" t="str">
        <f t="shared" si="30"/>
        <v>-</v>
      </c>
      <c r="BW63" s="1302" t="str">
        <f t="shared" si="30"/>
        <v>-</v>
      </c>
      <c r="BX63" s="1302" t="str">
        <f t="shared" si="30"/>
        <v>-</v>
      </c>
      <c r="BY63" s="1302" t="str">
        <f t="shared" si="30"/>
        <v>-</v>
      </c>
      <c r="BZ63" s="1302" t="str">
        <f t="shared" si="30"/>
        <v>-</v>
      </c>
    </row>
    <row r="64" spans="3:78" ht="12.5" thickBot="1" x14ac:dyDescent="0.35">
      <c r="C64" s="126"/>
      <c r="D64" s="126"/>
      <c r="E64" s="540"/>
      <c r="F64" s="126"/>
      <c r="G64" s="126"/>
      <c r="H64" s="126"/>
      <c r="I64" s="126"/>
      <c r="J64" s="126"/>
      <c r="K64" s="126"/>
      <c r="L64" s="126"/>
      <c r="X64" s="299"/>
      <c r="Y64" s="299"/>
      <c r="Z64" s="2324"/>
      <c r="AA64" s="299"/>
      <c r="AB64" s="299"/>
      <c r="AP64" s="1304"/>
      <c r="AQ64" s="1304"/>
      <c r="AR64" s="1304"/>
      <c r="AS64" s="1304"/>
      <c r="AT64" s="1304"/>
      <c r="AU64" s="1304"/>
      <c r="AV64" s="1304"/>
      <c r="AW64" s="1304"/>
      <c r="AX64" s="1304"/>
      <c r="AY64" s="1304"/>
      <c r="AZ64" s="1304"/>
      <c r="BA64" s="1304"/>
      <c r="BB64" s="1304"/>
      <c r="BC64" s="1304"/>
      <c r="BD64" s="1304"/>
      <c r="BE64" s="1304"/>
      <c r="BF64" s="1304"/>
      <c r="BG64" s="1304"/>
      <c r="BH64" s="1304"/>
      <c r="BI64" s="1339"/>
      <c r="BJ64" s="1339"/>
      <c r="BK64" s="1043"/>
      <c r="BL64" s="1044"/>
      <c r="BM64" s="1044"/>
      <c r="BN64" s="1044"/>
      <c r="BO64" s="1044"/>
      <c r="BP64" s="1044"/>
      <c r="BQ64" s="1044"/>
      <c r="BR64" s="1044"/>
      <c r="BS64" s="1044"/>
      <c r="BT64" s="1044"/>
      <c r="BU64" s="1044"/>
      <c r="BV64" s="1044"/>
      <c r="BW64" s="1044"/>
      <c r="BX64" s="1044"/>
      <c r="BY64" s="1044"/>
      <c r="BZ64" s="1044"/>
    </row>
    <row r="65" spans="3:78" ht="12.5" thickBot="1" x14ac:dyDescent="0.35">
      <c r="C65" s="126"/>
      <c r="D65" s="126"/>
      <c r="E65" s="540"/>
      <c r="F65" s="806" t="s">
        <v>782</v>
      </c>
      <c r="K65" s="126"/>
      <c r="L65" s="126"/>
      <c r="W65" s="1601"/>
      <c r="X65" s="344"/>
      <c r="Y65" s="1557"/>
      <c r="Z65" s="1557"/>
      <c r="AA65" s="1557"/>
      <c r="AB65" s="1558"/>
      <c r="AC65" s="2235" t="s">
        <v>960</v>
      </c>
      <c r="AP65" s="1304"/>
      <c r="AQ65" s="1304"/>
      <c r="AR65" s="1304"/>
      <c r="AS65" s="2390" t="s">
        <v>962</v>
      </c>
      <c r="AT65" s="2391"/>
      <c r="AU65" s="2391"/>
      <c r="AV65" s="2391"/>
      <c r="AW65" s="2391"/>
      <c r="AX65" s="2391"/>
      <c r="AY65" s="2391"/>
      <c r="AZ65" s="2391"/>
      <c r="BA65" s="2391"/>
      <c r="BB65" s="2391"/>
      <c r="BC65" s="2391"/>
      <c r="BD65" s="2391"/>
      <c r="BE65" s="2391"/>
      <c r="BF65" s="2391"/>
      <c r="BG65" s="2392"/>
      <c r="BH65" s="1304"/>
      <c r="BI65" s="1339"/>
      <c r="BJ65" s="1339"/>
      <c r="BK65" s="1339"/>
      <c r="BL65" s="2390" t="s">
        <v>964</v>
      </c>
      <c r="BM65" s="2391"/>
      <c r="BN65" s="2391"/>
      <c r="BO65" s="2391"/>
      <c r="BP65" s="2391"/>
      <c r="BQ65" s="2391"/>
      <c r="BR65" s="2391"/>
      <c r="BS65" s="2391"/>
      <c r="BT65" s="2391"/>
      <c r="BU65" s="2391"/>
      <c r="BV65" s="2391"/>
      <c r="BW65" s="2391"/>
      <c r="BX65" s="2391"/>
      <c r="BY65" s="2391"/>
      <c r="BZ65" s="2392"/>
    </row>
    <row r="66" spans="3:78" ht="12.5" thickBot="1" x14ac:dyDescent="0.35">
      <c r="C66" s="126"/>
      <c r="D66" s="126"/>
      <c r="E66" s="540"/>
      <c r="F66" s="126"/>
      <c r="G66" s="126"/>
      <c r="H66" s="126"/>
      <c r="I66" s="126"/>
      <c r="J66" s="126"/>
      <c r="K66" s="126"/>
      <c r="L66" s="126"/>
      <c r="R66" s="1527"/>
      <c r="S66" s="1527"/>
      <c r="T66" s="1527"/>
      <c r="U66" s="1527"/>
      <c r="V66" s="1527"/>
      <c r="W66" s="1527" t="str">
        <f t="shared" ref="W66:Y66" si="31">+IF(W65&gt;0,"CHECK","")</f>
        <v/>
      </c>
      <c r="X66" s="1527" t="str">
        <f t="shared" si="31"/>
        <v/>
      </c>
      <c r="Y66" s="1527" t="str">
        <f t="shared" si="31"/>
        <v/>
      </c>
      <c r="Z66" s="72"/>
      <c r="AP66" s="2268"/>
      <c r="AQ66" s="1304"/>
      <c r="AR66" s="1304"/>
      <c r="AS66" s="2383" t="str">
        <f>AS55</f>
        <v>FOURTH REG PERIOD</v>
      </c>
      <c r="AT66" s="2378"/>
      <c r="AU66" s="2378"/>
      <c r="AV66" s="2378"/>
      <c r="AW66" s="2394"/>
      <c r="AX66" s="2383" t="str">
        <f>AX55</f>
        <v>FIFTH REG PERIOD</v>
      </c>
      <c r="AY66" s="2376"/>
      <c r="AZ66" s="2376"/>
      <c r="BA66" s="2376"/>
      <c r="BB66" s="2377"/>
      <c r="BC66" s="2378" t="str">
        <f>BC55</f>
        <v>SIXTH REG PERIOD</v>
      </c>
      <c r="BD66" s="2376"/>
      <c r="BE66" s="2376"/>
      <c r="BF66" s="2376"/>
      <c r="BG66" s="2377"/>
      <c r="BH66" s="2269"/>
      <c r="BI66" s="2268"/>
      <c r="BJ66" s="1304"/>
      <c r="BK66" s="1304"/>
      <c r="BL66" s="2383" t="str">
        <f>BL55</f>
        <v>FOURTH REG PERIOD</v>
      </c>
      <c r="BM66" s="2378"/>
      <c r="BN66" s="2378"/>
      <c r="BO66" s="2378"/>
      <c r="BP66" s="2378"/>
      <c r="BQ66" s="2383" t="str">
        <f>BQ55</f>
        <v>FIFTH REG PERIOD</v>
      </c>
      <c r="BR66" s="2376"/>
      <c r="BS66" s="2376"/>
      <c r="BT66" s="2376"/>
      <c r="BU66" s="2377"/>
      <c r="BV66" s="2378" t="str">
        <f>BV55</f>
        <v>SIXTH REG PERIOD</v>
      </c>
      <c r="BW66" s="2376"/>
      <c r="BX66" s="2376"/>
      <c r="BY66" s="2376"/>
      <c r="BZ66" s="2377"/>
    </row>
    <row r="67" spans="3:78" ht="12.5" thickBot="1" x14ac:dyDescent="0.35">
      <c r="C67" s="126"/>
      <c r="D67" s="126"/>
      <c r="E67" s="126"/>
      <c r="F67" s="126"/>
      <c r="G67" s="126"/>
      <c r="H67" s="126"/>
      <c r="I67" s="126"/>
      <c r="J67" s="126"/>
      <c r="K67" s="126"/>
      <c r="R67" s="72"/>
      <c r="S67" s="72"/>
      <c r="Z67" s="72"/>
      <c r="AN67" s="1049"/>
      <c r="AP67" s="1304"/>
      <c r="AQ67" s="1304"/>
      <c r="AR67" s="1304"/>
      <c r="AS67" s="2373" t="s">
        <v>864</v>
      </c>
      <c r="AT67" s="2374"/>
      <c r="AU67" s="2374"/>
      <c r="AV67" s="2375"/>
      <c r="AW67" s="2379" t="s">
        <v>865</v>
      </c>
      <c r="AX67" s="2380"/>
      <c r="AY67" s="2380"/>
      <c r="AZ67" s="2380"/>
      <c r="BA67" s="2380"/>
      <c r="BB67" s="2380"/>
      <c r="BC67" s="2380"/>
      <c r="BD67" s="2380"/>
      <c r="BE67" s="2380"/>
      <c r="BF67" s="2380"/>
      <c r="BG67" s="2381"/>
      <c r="BH67" s="2269"/>
      <c r="BI67" s="1304"/>
      <c r="BJ67" s="1304"/>
      <c r="BK67" s="1304"/>
      <c r="BL67" s="2373" t="s">
        <v>864</v>
      </c>
      <c r="BM67" s="2374"/>
      <c r="BN67" s="2374"/>
      <c r="BO67" s="2375"/>
      <c r="BP67" s="2379" t="s">
        <v>865</v>
      </c>
      <c r="BQ67" s="2380"/>
      <c r="BR67" s="2380"/>
      <c r="BS67" s="2380"/>
      <c r="BT67" s="2380"/>
      <c r="BU67" s="2380"/>
      <c r="BV67" s="2380"/>
      <c r="BW67" s="2380"/>
      <c r="BX67" s="2380"/>
      <c r="BY67" s="2380"/>
      <c r="BZ67" s="2381"/>
    </row>
    <row r="68" spans="3:78" ht="12.5" thickBot="1" x14ac:dyDescent="0.35">
      <c r="C68" s="126"/>
      <c r="D68" s="126"/>
      <c r="E68" s="466" t="s">
        <v>40</v>
      </c>
      <c r="F68" s="466" t="s">
        <v>41</v>
      </c>
      <c r="G68" s="466" t="s">
        <v>42</v>
      </c>
      <c r="H68" s="466" t="s">
        <v>43</v>
      </c>
      <c r="I68" s="466" t="s">
        <v>220</v>
      </c>
      <c r="J68" s="466" t="s">
        <v>44</v>
      </c>
      <c r="K68" s="1792" t="str">
        <f>+K7</f>
        <v>2005-06</v>
      </c>
      <c r="L68" s="1792" t="str">
        <f t="shared" ref="L68:AG68" si="32">+L7</f>
        <v>2006-07</v>
      </c>
      <c r="M68" s="1792" t="str">
        <f t="shared" si="32"/>
        <v>2007-08</v>
      </c>
      <c r="N68" s="1792" t="str">
        <f t="shared" si="32"/>
        <v>2008-09</v>
      </c>
      <c r="O68" s="1792" t="str">
        <f t="shared" si="32"/>
        <v>2009-10</v>
      </c>
      <c r="P68" s="1792" t="str">
        <f t="shared" si="32"/>
        <v>2010-11</v>
      </c>
      <c r="Q68" s="1792" t="str">
        <f t="shared" si="32"/>
        <v>2011-12</v>
      </c>
      <c r="R68" s="1792" t="str">
        <f t="shared" si="32"/>
        <v>2012-13</v>
      </c>
      <c r="S68" s="1792" t="str">
        <f t="shared" si="32"/>
        <v>2013-14</v>
      </c>
      <c r="T68" s="1792" t="str">
        <f t="shared" si="32"/>
        <v>2014-15</v>
      </c>
      <c r="U68" s="1792" t="str">
        <f t="shared" si="32"/>
        <v>2015-16</v>
      </c>
      <c r="V68" s="1792" t="str">
        <f t="shared" si="32"/>
        <v>2016-17</v>
      </c>
      <c r="W68" s="1792" t="str">
        <f t="shared" si="32"/>
        <v>2017-18</v>
      </c>
      <c r="X68" s="1792" t="str">
        <f t="shared" si="32"/>
        <v>2018-19</v>
      </c>
      <c r="Y68" s="1792" t="str">
        <f t="shared" si="32"/>
        <v>2019-20</v>
      </c>
      <c r="Z68" s="1792" t="str">
        <f t="shared" si="32"/>
        <v>2020-21</v>
      </c>
      <c r="AA68" s="1792" t="str">
        <f t="shared" si="32"/>
        <v>2021-22</v>
      </c>
      <c r="AB68" s="1792" t="str">
        <f t="shared" si="32"/>
        <v>2022-23</v>
      </c>
      <c r="AC68" s="1792" t="str">
        <f t="shared" si="32"/>
        <v>2023-24</v>
      </c>
      <c r="AD68" s="1792" t="str">
        <f t="shared" si="32"/>
        <v>2024-25</v>
      </c>
      <c r="AE68" s="1792" t="str">
        <f t="shared" si="32"/>
        <v>2025-26</v>
      </c>
      <c r="AF68" s="1792" t="str">
        <f t="shared" si="32"/>
        <v>2026-27</v>
      </c>
      <c r="AG68" s="1792" t="str">
        <f t="shared" si="32"/>
        <v>2027-28</v>
      </c>
      <c r="AH68" s="1792" t="str">
        <f>+AH7</f>
        <v>2028-29</v>
      </c>
      <c r="AI68" s="1792" t="str">
        <f>+AI7</f>
        <v>2029-30</v>
      </c>
      <c r="AJ68" s="1792" t="str">
        <f>+AJ7</f>
        <v>2030-31</v>
      </c>
      <c r="AK68" s="1792" t="str">
        <f>+AK7</f>
        <v>2031-32</v>
      </c>
      <c r="AL68" s="1792" t="str">
        <f>+AL7</f>
        <v>2032-33</v>
      </c>
      <c r="AN68" s="1050"/>
      <c r="AP68" s="2270" t="s">
        <v>40</v>
      </c>
      <c r="AQ68" s="2271" t="s">
        <v>41</v>
      </c>
      <c r="AR68" s="2272" t="s">
        <v>220</v>
      </c>
      <c r="AS68" s="2273" t="str">
        <f t="shared" ref="AS68:BG68" si="33">X68</f>
        <v>2018-19</v>
      </c>
      <c r="AT68" s="2253" t="str">
        <f t="shared" si="33"/>
        <v>2019-20</v>
      </c>
      <c r="AU68" s="2253" t="str">
        <f t="shared" si="33"/>
        <v>2020-21</v>
      </c>
      <c r="AV68" s="2253" t="str">
        <f t="shared" si="33"/>
        <v>2021-22</v>
      </c>
      <c r="AW68" s="2253" t="str">
        <f t="shared" si="33"/>
        <v>2022-23</v>
      </c>
      <c r="AX68" s="2252" t="str">
        <f t="shared" si="33"/>
        <v>2023-24</v>
      </c>
      <c r="AY68" s="2253" t="str">
        <f t="shared" si="33"/>
        <v>2024-25</v>
      </c>
      <c r="AZ68" s="2253" t="str">
        <f t="shared" si="33"/>
        <v>2025-26</v>
      </c>
      <c r="BA68" s="2253" t="str">
        <f t="shared" si="33"/>
        <v>2026-27</v>
      </c>
      <c r="BB68" s="2254" t="str">
        <f t="shared" si="33"/>
        <v>2027-28</v>
      </c>
      <c r="BC68" s="2253" t="str">
        <f t="shared" si="33"/>
        <v>2028-29</v>
      </c>
      <c r="BD68" s="2253" t="str">
        <f t="shared" si="33"/>
        <v>2029-30</v>
      </c>
      <c r="BE68" s="2253" t="str">
        <f t="shared" si="33"/>
        <v>2030-31</v>
      </c>
      <c r="BF68" s="2253" t="str">
        <f t="shared" si="33"/>
        <v>2031-32</v>
      </c>
      <c r="BG68" s="2254" t="str">
        <f t="shared" si="33"/>
        <v>2032-33</v>
      </c>
      <c r="BH68" s="2274"/>
      <c r="BI68" s="2275" t="str">
        <f t="shared" ref="BI68:BX83" si="34">AP68</f>
        <v>PQR</v>
      </c>
      <c r="BJ68" s="2276" t="str">
        <f t="shared" si="34"/>
        <v>Service</v>
      </c>
      <c r="BK68" s="2277" t="str">
        <f t="shared" si="34"/>
        <v>Type</v>
      </c>
      <c r="BL68" s="2273" t="str">
        <f t="shared" si="34"/>
        <v>2018-19</v>
      </c>
      <c r="BM68" s="2253" t="str">
        <f t="shared" si="34"/>
        <v>2019-20</v>
      </c>
      <c r="BN68" s="2253" t="str">
        <f t="shared" si="34"/>
        <v>2020-21</v>
      </c>
      <c r="BO68" s="2253" t="str">
        <f t="shared" si="34"/>
        <v>2021-22</v>
      </c>
      <c r="BP68" s="2253" t="str">
        <f t="shared" si="34"/>
        <v>2022-23</v>
      </c>
      <c r="BQ68" s="2252" t="str">
        <f t="shared" si="34"/>
        <v>2023-24</v>
      </c>
      <c r="BR68" s="2253" t="str">
        <f t="shared" si="34"/>
        <v>2024-25</v>
      </c>
      <c r="BS68" s="2253" t="str">
        <f t="shared" si="34"/>
        <v>2025-26</v>
      </c>
      <c r="BT68" s="2253" t="str">
        <f t="shared" si="34"/>
        <v>2026-27</v>
      </c>
      <c r="BU68" s="2254" t="str">
        <f t="shared" si="34"/>
        <v>2027-28</v>
      </c>
      <c r="BV68" s="2253" t="str">
        <f t="shared" si="34"/>
        <v>2028-29</v>
      </c>
      <c r="BW68" s="2253" t="str">
        <f t="shared" si="34"/>
        <v>2029-30</v>
      </c>
      <c r="BX68" s="2253" t="str">
        <f t="shared" si="34"/>
        <v>2030-31</v>
      </c>
      <c r="BY68" s="2253" t="str">
        <f t="shared" ref="BY68:BZ68" si="35">BF68</f>
        <v>2031-32</v>
      </c>
      <c r="BZ68" s="2254" t="str">
        <f t="shared" si="35"/>
        <v>2032-33</v>
      </c>
    </row>
    <row r="69" spans="3:78" x14ac:dyDescent="0.3">
      <c r="C69" s="126"/>
      <c r="D69" s="126">
        <v>1</v>
      </c>
      <c r="E69" s="553" t="s">
        <v>45</v>
      </c>
      <c r="F69" s="581" t="s">
        <v>28</v>
      </c>
      <c r="G69" s="581"/>
      <c r="H69" s="581"/>
      <c r="I69" s="573" t="s">
        <v>319</v>
      </c>
      <c r="J69" s="573" t="s">
        <v>348</v>
      </c>
      <c r="K69" s="1969"/>
      <c r="L69" s="1970"/>
      <c r="M69" s="1970"/>
      <c r="N69" s="1971"/>
      <c r="O69" s="1970"/>
      <c r="P69" s="1970"/>
      <c r="Q69" s="1970"/>
      <c r="R69" s="1972"/>
      <c r="S69" s="1979"/>
      <c r="T69" s="1972"/>
      <c r="U69" s="1972"/>
      <c r="V69" s="1972"/>
      <c r="W69" s="575"/>
      <c r="X69" s="1238"/>
      <c r="Y69" s="575"/>
      <c r="Z69" s="575"/>
      <c r="AA69" s="575"/>
      <c r="AB69" s="1142"/>
      <c r="AC69" s="575"/>
      <c r="AD69" s="575"/>
      <c r="AE69" s="575"/>
      <c r="AF69" s="575"/>
      <c r="AG69" s="577"/>
      <c r="AH69" s="576"/>
      <c r="AI69" s="575"/>
      <c r="AJ69" s="575"/>
      <c r="AK69" s="575"/>
      <c r="AL69" s="577"/>
      <c r="AN69" s="1052"/>
      <c r="AP69" s="2278" t="str">
        <f t="shared" ref="AP69:AQ132" si="36">E69</f>
        <v>Price</v>
      </c>
      <c r="AQ69" s="2279" t="str">
        <f t="shared" si="36"/>
        <v>[Service]</v>
      </c>
      <c r="AR69" s="1717" t="str">
        <f t="shared" ref="AR69:AR132" si="37">I69</f>
        <v>[Price]</v>
      </c>
      <c r="AS69" s="2280" t="str">
        <f t="shared" ref="AS69:BG85" si="38">IF(OR(X69="",X69=0),"-",IFERROR(X69/W69-1,"-"))</f>
        <v>-</v>
      </c>
      <c r="AT69" s="1046" t="str">
        <f t="shared" si="38"/>
        <v>-</v>
      </c>
      <c r="AU69" s="1046" t="str">
        <f t="shared" si="38"/>
        <v>-</v>
      </c>
      <c r="AV69" s="2281" t="str">
        <f t="shared" si="38"/>
        <v>-</v>
      </c>
      <c r="AW69" s="1046" t="str">
        <f t="shared" si="38"/>
        <v>-</v>
      </c>
      <c r="AX69" s="2282" t="str">
        <f t="shared" si="38"/>
        <v>-</v>
      </c>
      <c r="AY69" s="1046" t="str">
        <f t="shared" si="38"/>
        <v>-</v>
      </c>
      <c r="AZ69" s="1046" t="str">
        <f t="shared" si="38"/>
        <v>-</v>
      </c>
      <c r="BA69" s="1046" t="str">
        <f t="shared" si="38"/>
        <v>-</v>
      </c>
      <c r="BB69" s="1047" t="str">
        <f t="shared" si="38"/>
        <v>-</v>
      </c>
      <c r="BC69" s="1046" t="str">
        <f t="shared" si="38"/>
        <v>-</v>
      </c>
      <c r="BD69" s="1046" t="str">
        <f t="shared" si="38"/>
        <v>-</v>
      </c>
      <c r="BE69" s="1046" t="str">
        <f t="shared" si="38"/>
        <v>-</v>
      </c>
      <c r="BF69" s="1046" t="str">
        <f t="shared" si="38"/>
        <v>-</v>
      </c>
      <c r="BG69" s="1047" t="str">
        <f t="shared" si="38"/>
        <v>-</v>
      </c>
      <c r="BH69" s="1048"/>
      <c r="BI69" s="2283" t="str">
        <f t="shared" si="34"/>
        <v>Price</v>
      </c>
      <c r="BJ69" s="2284" t="str">
        <f t="shared" si="34"/>
        <v>[Service]</v>
      </c>
      <c r="BK69" s="1718" t="str">
        <f t="shared" si="34"/>
        <v>[Price]</v>
      </c>
      <c r="BL69" s="2280" t="str">
        <f t="shared" ref="BL69:BZ69" si="39">IF(OR(X69="",X69=0),"-",IFERROR((X69/W69-1)*(W71/W$13),"-"))</f>
        <v>-</v>
      </c>
      <c r="BM69" s="1046" t="str">
        <f t="shared" si="39"/>
        <v>-</v>
      </c>
      <c r="BN69" s="1046" t="str">
        <f t="shared" si="39"/>
        <v>-</v>
      </c>
      <c r="BO69" s="2281" t="str">
        <f t="shared" si="39"/>
        <v>-</v>
      </c>
      <c r="BP69" s="1046" t="str">
        <f t="shared" si="39"/>
        <v>-</v>
      </c>
      <c r="BQ69" s="2282" t="str">
        <f t="shared" si="39"/>
        <v>-</v>
      </c>
      <c r="BR69" s="1046" t="str">
        <f t="shared" si="39"/>
        <v>-</v>
      </c>
      <c r="BS69" s="1046" t="str">
        <f t="shared" si="39"/>
        <v>-</v>
      </c>
      <c r="BT69" s="1046" t="str">
        <f t="shared" si="39"/>
        <v>-</v>
      </c>
      <c r="BU69" s="1047" t="str">
        <f t="shared" si="39"/>
        <v>-</v>
      </c>
      <c r="BV69" s="1046" t="str">
        <f t="shared" si="39"/>
        <v>-</v>
      </c>
      <c r="BW69" s="1046" t="str">
        <f t="shared" si="39"/>
        <v>-</v>
      </c>
      <c r="BX69" s="1046" t="str">
        <f t="shared" si="39"/>
        <v>-</v>
      </c>
      <c r="BY69" s="1046" t="str">
        <f t="shared" si="39"/>
        <v>-</v>
      </c>
      <c r="BZ69" s="1047" t="str">
        <f t="shared" si="39"/>
        <v>-</v>
      </c>
    </row>
    <row r="70" spans="3:78" x14ac:dyDescent="0.3">
      <c r="C70" s="126"/>
      <c r="D70" s="126"/>
      <c r="E70" s="554" t="s">
        <v>46</v>
      </c>
      <c r="F70" s="1722" t="str">
        <f>+F69</f>
        <v>[Service]</v>
      </c>
      <c r="G70" s="1724">
        <f>+G69</f>
        <v>0</v>
      </c>
      <c r="H70" s="1724">
        <f>+H69</f>
        <v>0</v>
      </c>
      <c r="I70" s="1725" t="str">
        <f>+I69</f>
        <v>[Price]</v>
      </c>
      <c r="J70" s="574" t="s">
        <v>323</v>
      </c>
      <c r="K70" s="1973"/>
      <c r="L70" s="1974"/>
      <c r="M70" s="1974"/>
      <c r="N70" s="1975"/>
      <c r="O70" s="1974"/>
      <c r="P70" s="1974"/>
      <c r="Q70" s="1974"/>
      <c r="R70" s="1976"/>
      <c r="S70" s="1980"/>
      <c r="T70" s="1976"/>
      <c r="U70" s="1976"/>
      <c r="V70" s="1976"/>
      <c r="W70" s="578"/>
      <c r="X70" s="1239"/>
      <c r="Y70" s="578"/>
      <c r="Z70" s="578"/>
      <c r="AA70" s="578"/>
      <c r="AB70" s="1143"/>
      <c r="AC70" s="578"/>
      <c r="AD70" s="578"/>
      <c r="AE70" s="578"/>
      <c r="AF70" s="578"/>
      <c r="AG70" s="580"/>
      <c r="AH70" s="579"/>
      <c r="AI70" s="578"/>
      <c r="AJ70" s="578"/>
      <c r="AK70" s="578"/>
      <c r="AL70" s="580"/>
      <c r="AN70" s="991"/>
      <c r="AP70" s="2285" t="str">
        <f t="shared" si="36"/>
        <v>Qty</v>
      </c>
      <c r="AQ70" s="2286" t="str">
        <f t="shared" si="36"/>
        <v>[Service]</v>
      </c>
      <c r="AR70" s="2287" t="str">
        <f t="shared" si="37"/>
        <v>[Price]</v>
      </c>
      <c r="AS70" s="2288" t="str">
        <f t="shared" si="38"/>
        <v>-</v>
      </c>
      <c r="AT70" s="1720" t="str">
        <f t="shared" si="38"/>
        <v>-</v>
      </c>
      <c r="AU70" s="1720" t="str">
        <f t="shared" si="38"/>
        <v>-</v>
      </c>
      <c r="AV70" s="2289" t="str">
        <f t="shared" si="38"/>
        <v>-</v>
      </c>
      <c r="AW70" s="1720" t="str">
        <f t="shared" si="38"/>
        <v>-</v>
      </c>
      <c r="AX70" s="2290" t="str">
        <f t="shared" si="38"/>
        <v>-</v>
      </c>
      <c r="AY70" s="1720" t="str">
        <f t="shared" si="38"/>
        <v>-</v>
      </c>
      <c r="AZ70" s="1720" t="str">
        <f t="shared" si="38"/>
        <v>-</v>
      </c>
      <c r="BA70" s="1720" t="str">
        <f t="shared" si="38"/>
        <v>-</v>
      </c>
      <c r="BB70" s="1721" t="str">
        <f t="shared" si="38"/>
        <v>-</v>
      </c>
      <c r="BC70" s="1720" t="str">
        <f t="shared" si="38"/>
        <v>-</v>
      </c>
      <c r="BD70" s="1720" t="str">
        <f t="shared" si="38"/>
        <v>-</v>
      </c>
      <c r="BE70" s="1720" t="str">
        <f t="shared" si="38"/>
        <v>-</v>
      </c>
      <c r="BF70" s="1720" t="str">
        <f t="shared" si="38"/>
        <v>-</v>
      </c>
      <c r="BG70" s="1721" t="str">
        <f t="shared" si="38"/>
        <v>-</v>
      </c>
      <c r="BH70" s="1048"/>
      <c r="BI70" s="2285" t="str">
        <f t="shared" si="34"/>
        <v>Qty</v>
      </c>
      <c r="BJ70" s="2286" t="str">
        <f t="shared" si="34"/>
        <v>[Service]</v>
      </c>
      <c r="BK70" s="2287" t="str">
        <f t="shared" si="34"/>
        <v>[Price]</v>
      </c>
      <c r="BL70" s="2288" t="str">
        <f t="shared" ref="BL70:BZ70" si="40">IF(OR(X70="",X70=0),"-",IFERROR((X70/W70-1)*(W71/W$13),"-"))</f>
        <v>-</v>
      </c>
      <c r="BM70" s="1720" t="str">
        <f t="shared" si="40"/>
        <v>-</v>
      </c>
      <c r="BN70" s="1720" t="str">
        <f t="shared" si="40"/>
        <v>-</v>
      </c>
      <c r="BO70" s="2289" t="str">
        <f t="shared" si="40"/>
        <v>-</v>
      </c>
      <c r="BP70" s="1720" t="str">
        <f t="shared" si="40"/>
        <v>-</v>
      </c>
      <c r="BQ70" s="2290" t="str">
        <f t="shared" si="40"/>
        <v>-</v>
      </c>
      <c r="BR70" s="1720" t="str">
        <f t="shared" si="40"/>
        <v>-</v>
      </c>
      <c r="BS70" s="1720" t="str">
        <f t="shared" si="40"/>
        <v>-</v>
      </c>
      <c r="BT70" s="1720" t="str">
        <f t="shared" si="40"/>
        <v>-</v>
      </c>
      <c r="BU70" s="1721" t="str">
        <f t="shared" si="40"/>
        <v>-</v>
      </c>
      <c r="BV70" s="1720" t="str">
        <f t="shared" si="40"/>
        <v>-</v>
      </c>
      <c r="BW70" s="1720" t="str">
        <f t="shared" si="40"/>
        <v>-</v>
      </c>
      <c r="BX70" s="1720" t="str">
        <f t="shared" si="40"/>
        <v>-</v>
      </c>
      <c r="BY70" s="1720" t="str">
        <f t="shared" si="40"/>
        <v>-</v>
      </c>
      <c r="BZ70" s="1721" t="str">
        <f t="shared" si="40"/>
        <v>-</v>
      </c>
    </row>
    <row r="71" spans="3:78" ht="12.5" thickBot="1" x14ac:dyDescent="0.35">
      <c r="C71" s="126"/>
      <c r="D71" s="126"/>
      <c r="E71" s="555" t="s">
        <v>47</v>
      </c>
      <c r="F71" s="1723" t="str">
        <f>+F69</f>
        <v>[Service]</v>
      </c>
      <c r="G71" s="1726">
        <f>+G69</f>
        <v>0</v>
      </c>
      <c r="H71" s="1726">
        <f>+H69</f>
        <v>0</v>
      </c>
      <c r="I71" s="1727" t="str">
        <f>+I69</f>
        <v>[Price]</v>
      </c>
      <c r="J71" s="556" t="s">
        <v>347</v>
      </c>
      <c r="K71" s="1977"/>
      <c r="L71" s="1206"/>
      <c r="M71" s="1206"/>
      <c r="N71" s="1978"/>
      <c r="O71" s="1206"/>
      <c r="P71" s="1206"/>
      <c r="Q71" s="1206"/>
      <c r="R71" s="1206"/>
      <c r="S71" s="1978"/>
      <c r="T71" s="1206"/>
      <c r="U71" s="1206"/>
      <c r="V71" s="1206"/>
      <c r="W71" s="1731">
        <f t="shared" ref="W71:AG71" si="41">W69*W70/10^6</f>
        <v>0</v>
      </c>
      <c r="X71" s="1730">
        <f t="shared" si="41"/>
        <v>0</v>
      </c>
      <c r="Y71" s="1731">
        <f t="shared" si="41"/>
        <v>0</v>
      </c>
      <c r="Z71" s="1731">
        <f t="shared" si="41"/>
        <v>0</v>
      </c>
      <c r="AA71" s="1731">
        <f t="shared" si="41"/>
        <v>0</v>
      </c>
      <c r="AB71" s="1733">
        <f t="shared" si="41"/>
        <v>0</v>
      </c>
      <c r="AC71" s="1731">
        <f t="shared" si="41"/>
        <v>0</v>
      </c>
      <c r="AD71" s="1731">
        <f t="shared" si="41"/>
        <v>0</v>
      </c>
      <c r="AE71" s="1731">
        <f t="shared" si="41"/>
        <v>0</v>
      </c>
      <c r="AF71" s="1731">
        <f t="shared" si="41"/>
        <v>0</v>
      </c>
      <c r="AG71" s="1733">
        <f t="shared" si="41"/>
        <v>0</v>
      </c>
      <c r="AH71" s="1732">
        <f>AH69*AH70/10^6</f>
        <v>0</v>
      </c>
      <c r="AI71" s="1731">
        <f>AI69*AI70/10^6</f>
        <v>0</v>
      </c>
      <c r="AJ71" s="1731">
        <f>AJ69*AJ70/10^6</f>
        <v>0</v>
      </c>
      <c r="AK71" s="1731">
        <f>AK69*AK70/10^6</f>
        <v>0</v>
      </c>
      <c r="AL71" s="1733">
        <f>AL69*AL70/10^6</f>
        <v>0</v>
      </c>
      <c r="AN71" s="991"/>
      <c r="AP71" s="2291" t="str">
        <f t="shared" si="36"/>
        <v>Rev</v>
      </c>
      <c r="AQ71" s="2292" t="str">
        <f t="shared" si="36"/>
        <v>[Service]</v>
      </c>
      <c r="AR71" s="2293" t="str">
        <f t="shared" si="37"/>
        <v>[Price]</v>
      </c>
      <c r="AS71" s="2294" t="str">
        <f t="shared" si="38"/>
        <v>-</v>
      </c>
      <c r="AT71" s="1048" t="str">
        <f t="shared" si="38"/>
        <v>-</v>
      </c>
      <c r="AU71" s="1048" t="str">
        <f t="shared" si="38"/>
        <v>-</v>
      </c>
      <c r="AV71" s="2295" t="str">
        <f t="shared" si="38"/>
        <v>-</v>
      </c>
      <c r="AW71" s="1048" t="str">
        <f t="shared" si="38"/>
        <v>-</v>
      </c>
      <c r="AX71" s="2296" t="str">
        <f t="shared" si="38"/>
        <v>-</v>
      </c>
      <c r="AY71" s="1048" t="str">
        <f t="shared" si="38"/>
        <v>-</v>
      </c>
      <c r="AZ71" s="1048" t="str">
        <f t="shared" si="38"/>
        <v>-</v>
      </c>
      <c r="BA71" s="1048" t="str">
        <f t="shared" si="38"/>
        <v>-</v>
      </c>
      <c r="BB71" s="1051" t="str">
        <f t="shared" si="38"/>
        <v>-</v>
      </c>
      <c r="BC71" s="1048" t="str">
        <f t="shared" si="38"/>
        <v>-</v>
      </c>
      <c r="BD71" s="1048" t="str">
        <f t="shared" si="38"/>
        <v>-</v>
      </c>
      <c r="BE71" s="1048" t="str">
        <f t="shared" si="38"/>
        <v>-</v>
      </c>
      <c r="BF71" s="1048" t="str">
        <f t="shared" si="38"/>
        <v>-</v>
      </c>
      <c r="BG71" s="1051" t="str">
        <f t="shared" si="38"/>
        <v>-</v>
      </c>
      <c r="BH71" s="1048"/>
      <c r="BI71" s="2291" t="str">
        <f t="shared" si="34"/>
        <v>Rev</v>
      </c>
      <c r="BJ71" s="2292" t="str">
        <f t="shared" si="34"/>
        <v>[Service]</v>
      </c>
      <c r="BK71" s="2293" t="str">
        <f t="shared" si="34"/>
        <v>[Price]</v>
      </c>
      <c r="BL71" s="2294" t="str">
        <f t="shared" ref="BL71:BZ71" si="42">IF(OR(X71="",X71=0),"-",IFERROR((X71/W71-1)*(W71/W$13),"-"))</f>
        <v>-</v>
      </c>
      <c r="BM71" s="1048" t="str">
        <f t="shared" si="42"/>
        <v>-</v>
      </c>
      <c r="BN71" s="1048" t="str">
        <f t="shared" si="42"/>
        <v>-</v>
      </c>
      <c r="BO71" s="2295" t="str">
        <f t="shared" si="42"/>
        <v>-</v>
      </c>
      <c r="BP71" s="1048" t="str">
        <f t="shared" si="42"/>
        <v>-</v>
      </c>
      <c r="BQ71" s="2296" t="str">
        <f t="shared" si="42"/>
        <v>-</v>
      </c>
      <c r="BR71" s="1048" t="str">
        <f t="shared" si="42"/>
        <v>-</v>
      </c>
      <c r="BS71" s="1048" t="str">
        <f t="shared" si="42"/>
        <v>-</v>
      </c>
      <c r="BT71" s="1048" t="str">
        <f t="shared" si="42"/>
        <v>-</v>
      </c>
      <c r="BU71" s="1051" t="str">
        <f t="shared" si="42"/>
        <v>-</v>
      </c>
      <c r="BV71" s="1048" t="str">
        <f t="shared" si="42"/>
        <v>-</v>
      </c>
      <c r="BW71" s="1048" t="str">
        <f t="shared" si="42"/>
        <v>-</v>
      </c>
      <c r="BX71" s="1048" t="str">
        <f t="shared" si="42"/>
        <v>-</v>
      </c>
      <c r="BY71" s="1048" t="str">
        <f t="shared" si="42"/>
        <v>-</v>
      </c>
      <c r="BZ71" s="1051" t="str">
        <f t="shared" si="42"/>
        <v>-</v>
      </c>
    </row>
    <row r="72" spans="3:78" x14ac:dyDescent="0.3">
      <c r="C72" s="126"/>
      <c r="D72" s="126">
        <f>D69+1</f>
        <v>2</v>
      </c>
      <c r="E72" s="558" t="s">
        <v>45</v>
      </c>
      <c r="F72" s="581" t="s">
        <v>28</v>
      </c>
      <c r="G72" s="581"/>
      <c r="H72" s="581"/>
      <c r="I72" s="573" t="s">
        <v>319</v>
      </c>
      <c r="J72" s="573" t="s">
        <v>348</v>
      </c>
      <c r="K72" s="1969"/>
      <c r="L72" s="1970"/>
      <c r="M72" s="1970"/>
      <c r="N72" s="1971"/>
      <c r="O72" s="1970"/>
      <c r="P72" s="1970"/>
      <c r="Q72" s="1970"/>
      <c r="R72" s="1972"/>
      <c r="S72" s="1979"/>
      <c r="T72" s="1972"/>
      <c r="U72" s="1972"/>
      <c r="V72" s="1972"/>
      <c r="W72" s="575"/>
      <c r="X72" s="1238"/>
      <c r="Y72" s="575"/>
      <c r="Z72" s="575"/>
      <c r="AA72" s="575"/>
      <c r="AB72" s="1142"/>
      <c r="AC72" s="575"/>
      <c r="AD72" s="575"/>
      <c r="AE72" s="575"/>
      <c r="AF72" s="575"/>
      <c r="AG72" s="577"/>
      <c r="AH72" s="576"/>
      <c r="AI72" s="575"/>
      <c r="AJ72" s="575"/>
      <c r="AK72" s="575"/>
      <c r="AL72" s="577"/>
      <c r="AN72" s="1052"/>
      <c r="AP72" s="2297" t="str">
        <f t="shared" si="36"/>
        <v>Price</v>
      </c>
      <c r="AQ72" s="2298" t="str">
        <f t="shared" si="36"/>
        <v>[Service]</v>
      </c>
      <c r="AR72" s="1719" t="str">
        <f t="shared" si="37"/>
        <v>[Price]</v>
      </c>
      <c r="AS72" s="2299" t="str">
        <f t="shared" si="38"/>
        <v>-</v>
      </c>
      <c r="AT72" s="1728" t="str">
        <f t="shared" si="38"/>
        <v>-</v>
      </c>
      <c r="AU72" s="1728" t="str">
        <f t="shared" si="38"/>
        <v>-</v>
      </c>
      <c r="AV72" s="2300" t="str">
        <f t="shared" si="38"/>
        <v>-</v>
      </c>
      <c r="AW72" s="1728" t="str">
        <f t="shared" si="38"/>
        <v>-</v>
      </c>
      <c r="AX72" s="2301" t="str">
        <f t="shared" si="38"/>
        <v>-</v>
      </c>
      <c r="AY72" s="1728" t="str">
        <f t="shared" si="38"/>
        <v>-</v>
      </c>
      <c r="AZ72" s="1728" t="str">
        <f t="shared" si="38"/>
        <v>-</v>
      </c>
      <c r="BA72" s="1728" t="str">
        <f t="shared" si="38"/>
        <v>-</v>
      </c>
      <c r="BB72" s="1729" t="str">
        <f t="shared" si="38"/>
        <v>-</v>
      </c>
      <c r="BC72" s="1728" t="str">
        <f t="shared" si="38"/>
        <v>-</v>
      </c>
      <c r="BD72" s="1728" t="str">
        <f t="shared" si="38"/>
        <v>-</v>
      </c>
      <c r="BE72" s="1728" t="str">
        <f t="shared" si="38"/>
        <v>-</v>
      </c>
      <c r="BF72" s="1728" t="str">
        <f t="shared" si="38"/>
        <v>-</v>
      </c>
      <c r="BG72" s="1729" t="str">
        <f t="shared" si="38"/>
        <v>-</v>
      </c>
      <c r="BH72" s="1048"/>
      <c r="BI72" s="2297" t="str">
        <f t="shared" si="34"/>
        <v>Price</v>
      </c>
      <c r="BJ72" s="2298" t="str">
        <f t="shared" si="34"/>
        <v>[Service]</v>
      </c>
      <c r="BK72" s="1719" t="str">
        <f t="shared" si="34"/>
        <v>[Price]</v>
      </c>
      <c r="BL72" s="2301" t="str">
        <f t="shared" ref="BL72:BZ72" si="43">IF(OR(X72="",X72=0),"-",IFERROR((X72/W72-1)*(W74/W$13),"-"))</f>
        <v>-</v>
      </c>
      <c r="BM72" s="1053" t="str">
        <f t="shared" si="43"/>
        <v>-</v>
      </c>
      <c r="BN72" s="1053" t="str">
        <f t="shared" si="43"/>
        <v>-</v>
      </c>
      <c r="BO72" s="2302" t="str">
        <f t="shared" si="43"/>
        <v>-</v>
      </c>
      <c r="BP72" s="1053" t="str">
        <f t="shared" si="43"/>
        <v>-</v>
      </c>
      <c r="BQ72" s="2303" t="str">
        <f t="shared" si="43"/>
        <v>-</v>
      </c>
      <c r="BR72" s="1053" t="str">
        <f t="shared" si="43"/>
        <v>-</v>
      </c>
      <c r="BS72" s="1053" t="str">
        <f t="shared" si="43"/>
        <v>-</v>
      </c>
      <c r="BT72" s="1053" t="str">
        <f t="shared" si="43"/>
        <v>-</v>
      </c>
      <c r="BU72" s="1054" t="str">
        <f t="shared" si="43"/>
        <v>-</v>
      </c>
      <c r="BV72" s="1053" t="str">
        <f t="shared" si="43"/>
        <v>-</v>
      </c>
      <c r="BW72" s="1053" t="str">
        <f t="shared" si="43"/>
        <v>-</v>
      </c>
      <c r="BX72" s="1053" t="str">
        <f t="shared" si="43"/>
        <v>-</v>
      </c>
      <c r="BY72" s="1053" t="str">
        <f t="shared" si="43"/>
        <v>-</v>
      </c>
      <c r="BZ72" s="1054" t="str">
        <f t="shared" si="43"/>
        <v>-</v>
      </c>
    </row>
    <row r="73" spans="3:78" x14ac:dyDescent="0.3">
      <c r="C73" s="126"/>
      <c r="D73" s="126"/>
      <c r="E73" s="558" t="s">
        <v>46</v>
      </c>
      <c r="F73" s="1722" t="str">
        <f>+F72</f>
        <v>[Service]</v>
      </c>
      <c r="G73" s="1724">
        <f>+G72</f>
        <v>0</v>
      </c>
      <c r="H73" s="1724">
        <f>+H72</f>
        <v>0</v>
      </c>
      <c r="I73" s="1725" t="str">
        <f>+I72</f>
        <v>[Price]</v>
      </c>
      <c r="J73" s="574" t="s">
        <v>323</v>
      </c>
      <c r="K73" s="1973"/>
      <c r="L73" s="1974"/>
      <c r="M73" s="1974"/>
      <c r="N73" s="1975"/>
      <c r="O73" s="1974"/>
      <c r="P73" s="1974"/>
      <c r="Q73" s="1974"/>
      <c r="R73" s="1976"/>
      <c r="S73" s="1980"/>
      <c r="T73" s="1976"/>
      <c r="U73" s="1976"/>
      <c r="V73" s="1976"/>
      <c r="W73" s="578"/>
      <c r="X73" s="1239"/>
      <c r="Y73" s="578"/>
      <c r="Z73" s="578"/>
      <c r="AA73" s="578"/>
      <c r="AB73" s="1143"/>
      <c r="AC73" s="578"/>
      <c r="AD73" s="578"/>
      <c r="AE73" s="578"/>
      <c r="AF73" s="578"/>
      <c r="AG73" s="580"/>
      <c r="AH73" s="579"/>
      <c r="AI73" s="578"/>
      <c r="AJ73" s="578"/>
      <c r="AK73" s="578"/>
      <c r="AL73" s="580"/>
      <c r="AN73" s="991"/>
      <c r="AP73" s="2285" t="str">
        <f t="shared" si="36"/>
        <v>Qty</v>
      </c>
      <c r="AQ73" s="2286" t="str">
        <f t="shared" si="36"/>
        <v>[Service]</v>
      </c>
      <c r="AR73" s="2287" t="str">
        <f t="shared" si="37"/>
        <v>[Price]</v>
      </c>
      <c r="AS73" s="2288" t="str">
        <f t="shared" si="38"/>
        <v>-</v>
      </c>
      <c r="AT73" s="1720" t="str">
        <f t="shared" si="38"/>
        <v>-</v>
      </c>
      <c r="AU73" s="1720" t="str">
        <f t="shared" si="38"/>
        <v>-</v>
      </c>
      <c r="AV73" s="2289" t="str">
        <f t="shared" si="38"/>
        <v>-</v>
      </c>
      <c r="AW73" s="1720" t="str">
        <f t="shared" si="38"/>
        <v>-</v>
      </c>
      <c r="AX73" s="2290" t="str">
        <f t="shared" si="38"/>
        <v>-</v>
      </c>
      <c r="AY73" s="1720" t="str">
        <f t="shared" si="38"/>
        <v>-</v>
      </c>
      <c r="AZ73" s="1720" t="str">
        <f t="shared" si="38"/>
        <v>-</v>
      </c>
      <c r="BA73" s="1720" t="str">
        <f t="shared" si="38"/>
        <v>-</v>
      </c>
      <c r="BB73" s="1721" t="str">
        <f t="shared" si="38"/>
        <v>-</v>
      </c>
      <c r="BC73" s="1720" t="str">
        <f t="shared" si="38"/>
        <v>-</v>
      </c>
      <c r="BD73" s="1720" t="str">
        <f t="shared" si="38"/>
        <v>-</v>
      </c>
      <c r="BE73" s="1720" t="str">
        <f t="shared" si="38"/>
        <v>-</v>
      </c>
      <c r="BF73" s="1720" t="str">
        <f t="shared" si="38"/>
        <v>-</v>
      </c>
      <c r="BG73" s="1721" t="str">
        <f t="shared" si="38"/>
        <v>-</v>
      </c>
      <c r="BH73" s="1048"/>
      <c r="BI73" s="2285" t="str">
        <f t="shared" si="34"/>
        <v>Qty</v>
      </c>
      <c r="BJ73" s="2286" t="str">
        <f t="shared" si="34"/>
        <v>[Service]</v>
      </c>
      <c r="BK73" s="2287" t="str">
        <f t="shared" si="34"/>
        <v>[Price]</v>
      </c>
      <c r="BL73" s="2290" t="str">
        <f t="shared" ref="BL73:BZ73" si="44">IF(OR(X73="",X73=0),"-",IFERROR((X73/W73-1)*(W74/W$13),"-"))</f>
        <v>-</v>
      </c>
      <c r="BM73" s="1720" t="str">
        <f t="shared" si="44"/>
        <v>-</v>
      </c>
      <c r="BN73" s="1720" t="str">
        <f t="shared" si="44"/>
        <v>-</v>
      </c>
      <c r="BO73" s="2289" t="str">
        <f t="shared" si="44"/>
        <v>-</v>
      </c>
      <c r="BP73" s="1720" t="str">
        <f t="shared" si="44"/>
        <v>-</v>
      </c>
      <c r="BQ73" s="2290" t="str">
        <f t="shared" si="44"/>
        <v>-</v>
      </c>
      <c r="BR73" s="1720" t="str">
        <f t="shared" si="44"/>
        <v>-</v>
      </c>
      <c r="BS73" s="1720" t="str">
        <f t="shared" si="44"/>
        <v>-</v>
      </c>
      <c r="BT73" s="1720" t="str">
        <f t="shared" si="44"/>
        <v>-</v>
      </c>
      <c r="BU73" s="1721" t="str">
        <f t="shared" si="44"/>
        <v>-</v>
      </c>
      <c r="BV73" s="1720" t="str">
        <f t="shared" si="44"/>
        <v>-</v>
      </c>
      <c r="BW73" s="1720" t="str">
        <f t="shared" si="44"/>
        <v>-</v>
      </c>
      <c r="BX73" s="1720" t="str">
        <f t="shared" si="44"/>
        <v>-</v>
      </c>
      <c r="BY73" s="1720" t="str">
        <f t="shared" si="44"/>
        <v>-</v>
      </c>
      <c r="BZ73" s="1721" t="str">
        <f t="shared" si="44"/>
        <v>-</v>
      </c>
    </row>
    <row r="74" spans="3:78" ht="12.5" thickBot="1" x14ac:dyDescent="0.35">
      <c r="C74" s="126"/>
      <c r="D74" s="126"/>
      <c r="E74" s="559" t="s">
        <v>47</v>
      </c>
      <c r="F74" s="1723" t="str">
        <f>+F72</f>
        <v>[Service]</v>
      </c>
      <c r="G74" s="1726">
        <f>+G72</f>
        <v>0</v>
      </c>
      <c r="H74" s="1726">
        <f>+H72</f>
        <v>0</v>
      </c>
      <c r="I74" s="1727" t="str">
        <f>+I72</f>
        <v>[Price]</v>
      </c>
      <c r="J74" s="556" t="s">
        <v>347</v>
      </c>
      <c r="K74" s="1977"/>
      <c r="L74" s="1206"/>
      <c r="M74" s="1206"/>
      <c r="N74" s="1978"/>
      <c r="O74" s="1206"/>
      <c r="P74" s="1206"/>
      <c r="Q74" s="1206"/>
      <c r="R74" s="1206"/>
      <c r="S74" s="1978"/>
      <c r="T74" s="1206"/>
      <c r="U74" s="1206"/>
      <c r="V74" s="1206"/>
      <c r="W74" s="1731">
        <f t="shared" ref="W74:AG74" si="45">W72*W73/10^6</f>
        <v>0</v>
      </c>
      <c r="X74" s="1730">
        <f t="shared" si="45"/>
        <v>0</v>
      </c>
      <c r="Y74" s="1731">
        <f t="shared" si="45"/>
        <v>0</v>
      </c>
      <c r="Z74" s="1731">
        <f t="shared" si="45"/>
        <v>0</v>
      </c>
      <c r="AA74" s="1731">
        <f t="shared" si="45"/>
        <v>0</v>
      </c>
      <c r="AB74" s="1733">
        <f t="shared" si="45"/>
        <v>0</v>
      </c>
      <c r="AC74" s="1731">
        <f t="shared" si="45"/>
        <v>0</v>
      </c>
      <c r="AD74" s="1731">
        <f t="shared" si="45"/>
        <v>0</v>
      </c>
      <c r="AE74" s="1731">
        <f t="shared" si="45"/>
        <v>0</v>
      </c>
      <c r="AF74" s="1731">
        <f t="shared" si="45"/>
        <v>0</v>
      </c>
      <c r="AG74" s="1733">
        <f t="shared" si="45"/>
        <v>0</v>
      </c>
      <c r="AH74" s="1732">
        <f>AH72*AH73/10^6</f>
        <v>0</v>
      </c>
      <c r="AI74" s="1731">
        <f>AI72*AI73/10^6</f>
        <v>0</v>
      </c>
      <c r="AJ74" s="1731">
        <f>AJ72*AJ73/10^6</f>
        <v>0</v>
      </c>
      <c r="AK74" s="1731">
        <f>AK72*AK73/10^6</f>
        <v>0</v>
      </c>
      <c r="AL74" s="1733">
        <f>AL72*AL73/10^6</f>
        <v>0</v>
      </c>
      <c r="AN74" s="991"/>
      <c r="AP74" s="2304" t="str">
        <f t="shared" si="36"/>
        <v>Rev</v>
      </c>
      <c r="AQ74" s="2305" t="str">
        <f t="shared" si="36"/>
        <v>[Service]</v>
      </c>
      <c r="AR74" s="2306" t="str">
        <f t="shared" si="37"/>
        <v>[Price]</v>
      </c>
      <c r="AS74" s="2307" t="str">
        <f t="shared" si="38"/>
        <v>-</v>
      </c>
      <c r="AT74" s="1055" t="str">
        <f t="shared" si="38"/>
        <v>-</v>
      </c>
      <c r="AU74" s="1055" t="str">
        <f t="shared" si="38"/>
        <v>-</v>
      </c>
      <c r="AV74" s="2308" t="str">
        <f t="shared" si="38"/>
        <v>-</v>
      </c>
      <c r="AW74" s="1055" t="str">
        <f t="shared" si="38"/>
        <v>-</v>
      </c>
      <c r="AX74" s="2309" t="str">
        <f t="shared" si="38"/>
        <v>-</v>
      </c>
      <c r="AY74" s="1055" t="str">
        <f t="shared" si="38"/>
        <v>-</v>
      </c>
      <c r="AZ74" s="1055" t="str">
        <f t="shared" si="38"/>
        <v>-</v>
      </c>
      <c r="BA74" s="1055" t="str">
        <f t="shared" si="38"/>
        <v>-</v>
      </c>
      <c r="BB74" s="1056" t="str">
        <f t="shared" si="38"/>
        <v>-</v>
      </c>
      <c r="BC74" s="1055" t="str">
        <f t="shared" si="38"/>
        <v>-</v>
      </c>
      <c r="BD74" s="1055" t="str">
        <f t="shared" si="38"/>
        <v>-</v>
      </c>
      <c r="BE74" s="1055" t="str">
        <f t="shared" si="38"/>
        <v>-</v>
      </c>
      <c r="BF74" s="1055" t="str">
        <f t="shared" si="38"/>
        <v>-</v>
      </c>
      <c r="BG74" s="1056" t="str">
        <f t="shared" si="38"/>
        <v>-</v>
      </c>
      <c r="BH74" s="1048"/>
      <c r="BI74" s="2304" t="str">
        <f t="shared" si="34"/>
        <v>Rev</v>
      </c>
      <c r="BJ74" s="2305" t="str">
        <f t="shared" si="34"/>
        <v>[Service]</v>
      </c>
      <c r="BK74" s="2306" t="str">
        <f t="shared" si="34"/>
        <v>[Price]</v>
      </c>
      <c r="BL74" s="2309" t="str">
        <f t="shared" ref="BL74:BZ74" si="46">IF(OR(X74="",X74=0),"-",IFERROR((X74/W74-1)*(W74/W$13),"-"))</f>
        <v>-</v>
      </c>
      <c r="BM74" s="1055" t="str">
        <f t="shared" si="46"/>
        <v>-</v>
      </c>
      <c r="BN74" s="1055" t="str">
        <f t="shared" si="46"/>
        <v>-</v>
      </c>
      <c r="BO74" s="2308" t="str">
        <f t="shared" si="46"/>
        <v>-</v>
      </c>
      <c r="BP74" s="1055" t="str">
        <f t="shared" si="46"/>
        <v>-</v>
      </c>
      <c r="BQ74" s="2309" t="str">
        <f t="shared" si="46"/>
        <v>-</v>
      </c>
      <c r="BR74" s="1055" t="str">
        <f t="shared" si="46"/>
        <v>-</v>
      </c>
      <c r="BS74" s="1055" t="str">
        <f t="shared" si="46"/>
        <v>-</v>
      </c>
      <c r="BT74" s="1055" t="str">
        <f t="shared" si="46"/>
        <v>-</v>
      </c>
      <c r="BU74" s="1056" t="str">
        <f t="shared" si="46"/>
        <v>-</v>
      </c>
      <c r="BV74" s="1055" t="str">
        <f t="shared" si="46"/>
        <v>-</v>
      </c>
      <c r="BW74" s="1055" t="str">
        <f t="shared" si="46"/>
        <v>-</v>
      </c>
      <c r="BX74" s="1055" t="str">
        <f t="shared" si="46"/>
        <v>-</v>
      </c>
      <c r="BY74" s="1055" t="str">
        <f t="shared" si="46"/>
        <v>-</v>
      </c>
      <c r="BZ74" s="1056" t="str">
        <f t="shared" si="46"/>
        <v>-</v>
      </c>
    </row>
    <row r="75" spans="3:78" x14ac:dyDescent="0.3">
      <c r="C75" s="126"/>
      <c r="D75" s="126">
        <f>D72+1</f>
        <v>3</v>
      </c>
      <c r="E75" s="553" t="s">
        <v>45</v>
      </c>
      <c r="F75" s="581" t="s">
        <v>28</v>
      </c>
      <c r="G75" s="581"/>
      <c r="H75" s="581"/>
      <c r="I75" s="573" t="s">
        <v>319</v>
      </c>
      <c r="J75" s="573" t="s">
        <v>348</v>
      </c>
      <c r="K75" s="1969"/>
      <c r="L75" s="1970"/>
      <c r="M75" s="1970"/>
      <c r="N75" s="1971"/>
      <c r="O75" s="1970"/>
      <c r="P75" s="1970"/>
      <c r="Q75" s="1970"/>
      <c r="R75" s="1972"/>
      <c r="S75" s="1979"/>
      <c r="T75" s="1972"/>
      <c r="U75" s="1972"/>
      <c r="V75" s="1972"/>
      <c r="W75" s="575"/>
      <c r="X75" s="1238"/>
      <c r="Y75" s="575"/>
      <c r="Z75" s="575"/>
      <c r="AA75" s="575"/>
      <c r="AB75" s="1142"/>
      <c r="AC75" s="575"/>
      <c r="AD75" s="575"/>
      <c r="AE75" s="575"/>
      <c r="AF75" s="575"/>
      <c r="AG75" s="577"/>
      <c r="AH75" s="576"/>
      <c r="AI75" s="575"/>
      <c r="AJ75" s="575"/>
      <c r="AK75" s="575"/>
      <c r="AL75" s="577"/>
      <c r="AN75" s="1052"/>
      <c r="AP75" s="2297" t="str">
        <f t="shared" si="36"/>
        <v>Price</v>
      </c>
      <c r="AQ75" s="2298" t="str">
        <f t="shared" si="36"/>
        <v>[Service]</v>
      </c>
      <c r="AR75" s="1719" t="str">
        <f t="shared" si="37"/>
        <v>[Price]</v>
      </c>
      <c r="AS75" s="2299" t="str">
        <f t="shared" si="38"/>
        <v>-</v>
      </c>
      <c r="AT75" s="1728" t="str">
        <f t="shared" si="38"/>
        <v>-</v>
      </c>
      <c r="AU75" s="1728" t="str">
        <f t="shared" si="38"/>
        <v>-</v>
      </c>
      <c r="AV75" s="2300" t="str">
        <f t="shared" si="38"/>
        <v>-</v>
      </c>
      <c r="AW75" s="1728" t="str">
        <f t="shared" si="38"/>
        <v>-</v>
      </c>
      <c r="AX75" s="2301" t="str">
        <f t="shared" si="38"/>
        <v>-</v>
      </c>
      <c r="AY75" s="1728" t="str">
        <f t="shared" si="38"/>
        <v>-</v>
      </c>
      <c r="AZ75" s="1728" t="str">
        <f t="shared" si="38"/>
        <v>-</v>
      </c>
      <c r="BA75" s="1728" t="str">
        <f t="shared" si="38"/>
        <v>-</v>
      </c>
      <c r="BB75" s="1729" t="str">
        <f t="shared" si="38"/>
        <v>-</v>
      </c>
      <c r="BC75" s="1728" t="str">
        <f t="shared" si="38"/>
        <v>-</v>
      </c>
      <c r="BD75" s="1728" t="str">
        <f t="shared" si="38"/>
        <v>-</v>
      </c>
      <c r="BE75" s="1728" t="str">
        <f t="shared" si="38"/>
        <v>-</v>
      </c>
      <c r="BF75" s="1728" t="str">
        <f t="shared" si="38"/>
        <v>-</v>
      </c>
      <c r="BG75" s="1729" t="str">
        <f t="shared" si="38"/>
        <v>-</v>
      </c>
      <c r="BH75" s="1048"/>
      <c r="BI75" s="2297" t="str">
        <f t="shared" si="34"/>
        <v>Price</v>
      </c>
      <c r="BJ75" s="2298" t="str">
        <f t="shared" si="34"/>
        <v>[Service]</v>
      </c>
      <c r="BK75" s="1719" t="str">
        <f t="shared" si="34"/>
        <v>[Price]</v>
      </c>
      <c r="BL75" s="2310" t="str">
        <f t="shared" ref="BL75:BZ75" si="47">IF(OR(X75="",X75=0),"-",IFERROR((X75/W75-1)*(W77/W$13),"-"))</f>
        <v>-</v>
      </c>
      <c r="BM75" s="2311" t="str">
        <f t="shared" si="47"/>
        <v>-</v>
      </c>
      <c r="BN75" s="2311" t="str">
        <f t="shared" si="47"/>
        <v>-</v>
      </c>
      <c r="BO75" s="2312" t="str">
        <f t="shared" si="47"/>
        <v>-</v>
      </c>
      <c r="BP75" s="2311" t="str">
        <f t="shared" si="47"/>
        <v>-</v>
      </c>
      <c r="BQ75" s="2313" t="str">
        <f t="shared" si="47"/>
        <v>-</v>
      </c>
      <c r="BR75" s="2311" t="str">
        <f t="shared" si="47"/>
        <v>-</v>
      </c>
      <c r="BS75" s="2311" t="str">
        <f t="shared" si="47"/>
        <v>-</v>
      </c>
      <c r="BT75" s="2311" t="str">
        <f t="shared" si="47"/>
        <v>-</v>
      </c>
      <c r="BU75" s="2314" t="str">
        <f t="shared" si="47"/>
        <v>-</v>
      </c>
      <c r="BV75" s="2311" t="str">
        <f t="shared" si="47"/>
        <v>-</v>
      </c>
      <c r="BW75" s="2311" t="str">
        <f t="shared" si="47"/>
        <v>-</v>
      </c>
      <c r="BX75" s="2311" t="str">
        <f t="shared" si="47"/>
        <v>-</v>
      </c>
      <c r="BY75" s="2311" t="str">
        <f t="shared" si="47"/>
        <v>-</v>
      </c>
      <c r="BZ75" s="2314" t="str">
        <f t="shared" si="47"/>
        <v>-</v>
      </c>
    </row>
    <row r="76" spans="3:78" x14ac:dyDescent="0.3">
      <c r="C76" s="126"/>
      <c r="D76" s="126"/>
      <c r="E76" s="558" t="s">
        <v>46</v>
      </c>
      <c r="F76" s="1722" t="str">
        <f>+F75</f>
        <v>[Service]</v>
      </c>
      <c r="G76" s="1724">
        <f>+G75</f>
        <v>0</v>
      </c>
      <c r="H76" s="1724">
        <f>+H75</f>
        <v>0</v>
      </c>
      <c r="I76" s="1725" t="str">
        <f>+I75</f>
        <v>[Price]</v>
      </c>
      <c r="J76" s="574" t="s">
        <v>323</v>
      </c>
      <c r="K76" s="1973"/>
      <c r="L76" s="1974"/>
      <c r="M76" s="1974"/>
      <c r="N76" s="1975"/>
      <c r="O76" s="1974"/>
      <c r="P76" s="1974"/>
      <c r="Q76" s="1974"/>
      <c r="R76" s="1976"/>
      <c r="S76" s="1980"/>
      <c r="T76" s="1976"/>
      <c r="U76" s="1976"/>
      <c r="V76" s="1976"/>
      <c r="W76" s="578"/>
      <c r="X76" s="1239"/>
      <c r="Y76" s="578"/>
      <c r="Z76" s="578"/>
      <c r="AA76" s="578"/>
      <c r="AB76" s="1143"/>
      <c r="AC76" s="578"/>
      <c r="AD76" s="578"/>
      <c r="AE76" s="578"/>
      <c r="AF76" s="578"/>
      <c r="AG76" s="580"/>
      <c r="AH76" s="579"/>
      <c r="AI76" s="578"/>
      <c r="AJ76" s="578"/>
      <c r="AK76" s="578"/>
      <c r="AL76" s="580"/>
      <c r="AN76" s="991"/>
      <c r="AP76" s="2285" t="str">
        <f t="shared" si="36"/>
        <v>Qty</v>
      </c>
      <c r="AQ76" s="2286" t="str">
        <f t="shared" si="36"/>
        <v>[Service]</v>
      </c>
      <c r="AR76" s="2287" t="str">
        <f t="shared" si="37"/>
        <v>[Price]</v>
      </c>
      <c r="AS76" s="2288" t="str">
        <f t="shared" si="38"/>
        <v>-</v>
      </c>
      <c r="AT76" s="1720" t="str">
        <f t="shared" si="38"/>
        <v>-</v>
      </c>
      <c r="AU76" s="1720" t="str">
        <f t="shared" si="38"/>
        <v>-</v>
      </c>
      <c r="AV76" s="2289" t="str">
        <f t="shared" si="38"/>
        <v>-</v>
      </c>
      <c r="AW76" s="1720" t="str">
        <f t="shared" si="38"/>
        <v>-</v>
      </c>
      <c r="AX76" s="2290" t="str">
        <f t="shared" si="38"/>
        <v>-</v>
      </c>
      <c r="AY76" s="1720" t="str">
        <f t="shared" si="38"/>
        <v>-</v>
      </c>
      <c r="AZ76" s="1720" t="str">
        <f t="shared" si="38"/>
        <v>-</v>
      </c>
      <c r="BA76" s="1720" t="str">
        <f t="shared" si="38"/>
        <v>-</v>
      </c>
      <c r="BB76" s="1721" t="str">
        <f t="shared" si="38"/>
        <v>-</v>
      </c>
      <c r="BC76" s="1720" t="str">
        <f t="shared" si="38"/>
        <v>-</v>
      </c>
      <c r="BD76" s="1720" t="str">
        <f t="shared" si="38"/>
        <v>-</v>
      </c>
      <c r="BE76" s="1720" t="str">
        <f t="shared" si="38"/>
        <v>-</v>
      </c>
      <c r="BF76" s="1720" t="str">
        <f t="shared" si="38"/>
        <v>-</v>
      </c>
      <c r="BG76" s="1721" t="str">
        <f t="shared" si="38"/>
        <v>-</v>
      </c>
      <c r="BH76" s="1048"/>
      <c r="BI76" s="2285" t="str">
        <f t="shared" si="34"/>
        <v>Qty</v>
      </c>
      <c r="BJ76" s="2286" t="str">
        <f t="shared" si="34"/>
        <v>[Service]</v>
      </c>
      <c r="BK76" s="2287" t="str">
        <f t="shared" si="34"/>
        <v>[Price]</v>
      </c>
      <c r="BL76" s="2290" t="str">
        <f t="shared" ref="BL76:BZ76" si="48">IF(OR(X76="",X76=0),"-",IFERROR((X76/W76-1)*(W77/W$13),"-"))</f>
        <v>-</v>
      </c>
      <c r="BM76" s="1720" t="str">
        <f t="shared" si="48"/>
        <v>-</v>
      </c>
      <c r="BN76" s="1720" t="str">
        <f t="shared" si="48"/>
        <v>-</v>
      </c>
      <c r="BO76" s="2289" t="str">
        <f t="shared" si="48"/>
        <v>-</v>
      </c>
      <c r="BP76" s="1720" t="str">
        <f t="shared" si="48"/>
        <v>-</v>
      </c>
      <c r="BQ76" s="2290" t="str">
        <f t="shared" si="48"/>
        <v>-</v>
      </c>
      <c r="BR76" s="1720" t="str">
        <f t="shared" si="48"/>
        <v>-</v>
      </c>
      <c r="BS76" s="1720" t="str">
        <f t="shared" si="48"/>
        <v>-</v>
      </c>
      <c r="BT76" s="1720" t="str">
        <f t="shared" si="48"/>
        <v>-</v>
      </c>
      <c r="BU76" s="1721" t="str">
        <f t="shared" si="48"/>
        <v>-</v>
      </c>
      <c r="BV76" s="1720" t="str">
        <f t="shared" si="48"/>
        <v>-</v>
      </c>
      <c r="BW76" s="1720" t="str">
        <f t="shared" si="48"/>
        <v>-</v>
      </c>
      <c r="BX76" s="1720" t="str">
        <f t="shared" si="48"/>
        <v>-</v>
      </c>
      <c r="BY76" s="1720" t="str">
        <f t="shared" si="48"/>
        <v>-</v>
      </c>
      <c r="BZ76" s="1721" t="str">
        <f t="shared" si="48"/>
        <v>-</v>
      </c>
    </row>
    <row r="77" spans="3:78" ht="12.5" thickBot="1" x14ac:dyDescent="0.35">
      <c r="C77" s="126"/>
      <c r="D77" s="126"/>
      <c r="E77" s="559" t="s">
        <v>47</v>
      </c>
      <c r="F77" s="1723" t="str">
        <f>+F75</f>
        <v>[Service]</v>
      </c>
      <c r="G77" s="1726">
        <f>+G75</f>
        <v>0</v>
      </c>
      <c r="H77" s="1726">
        <f>+H75</f>
        <v>0</v>
      </c>
      <c r="I77" s="1727" t="str">
        <f>+I75</f>
        <v>[Price]</v>
      </c>
      <c r="J77" s="556" t="s">
        <v>347</v>
      </c>
      <c r="K77" s="1977"/>
      <c r="L77" s="1206"/>
      <c r="M77" s="1206"/>
      <c r="N77" s="1978"/>
      <c r="O77" s="1206"/>
      <c r="P77" s="1206"/>
      <c r="Q77" s="1206"/>
      <c r="R77" s="1206"/>
      <c r="S77" s="1978"/>
      <c r="T77" s="1206"/>
      <c r="U77" s="1206"/>
      <c r="V77" s="1206"/>
      <c r="W77" s="1731">
        <f t="shared" ref="W77:AG77" si="49">W75*W76/10^6</f>
        <v>0</v>
      </c>
      <c r="X77" s="1730">
        <f t="shared" si="49"/>
        <v>0</v>
      </c>
      <c r="Y77" s="1731">
        <f t="shared" si="49"/>
        <v>0</v>
      </c>
      <c r="Z77" s="1731">
        <f t="shared" si="49"/>
        <v>0</v>
      </c>
      <c r="AA77" s="1731">
        <f t="shared" si="49"/>
        <v>0</v>
      </c>
      <c r="AB77" s="1733">
        <f t="shared" si="49"/>
        <v>0</v>
      </c>
      <c r="AC77" s="1731">
        <f t="shared" si="49"/>
        <v>0</v>
      </c>
      <c r="AD77" s="1731">
        <f t="shared" si="49"/>
        <v>0</v>
      </c>
      <c r="AE77" s="1731">
        <f t="shared" si="49"/>
        <v>0</v>
      </c>
      <c r="AF77" s="1731">
        <f t="shared" si="49"/>
        <v>0</v>
      </c>
      <c r="AG77" s="1733">
        <f t="shared" si="49"/>
        <v>0</v>
      </c>
      <c r="AH77" s="1732">
        <f>AH75*AH76/10^6</f>
        <v>0</v>
      </c>
      <c r="AI77" s="1731">
        <f>AI75*AI76/10^6</f>
        <v>0</v>
      </c>
      <c r="AJ77" s="1731">
        <f>AJ75*AJ76/10^6</f>
        <v>0</v>
      </c>
      <c r="AK77" s="1731">
        <f>AK75*AK76/10^6</f>
        <v>0</v>
      </c>
      <c r="AL77" s="1733">
        <f>AL75*AL76/10^6</f>
        <v>0</v>
      </c>
      <c r="AN77" s="991"/>
      <c r="AP77" s="2304" t="str">
        <f t="shared" si="36"/>
        <v>Rev</v>
      </c>
      <c r="AQ77" s="2305" t="str">
        <f t="shared" si="36"/>
        <v>[Service]</v>
      </c>
      <c r="AR77" s="2306" t="str">
        <f t="shared" si="37"/>
        <v>[Price]</v>
      </c>
      <c r="AS77" s="2307" t="str">
        <f t="shared" si="38"/>
        <v>-</v>
      </c>
      <c r="AT77" s="1055" t="str">
        <f t="shared" si="38"/>
        <v>-</v>
      </c>
      <c r="AU77" s="1055" t="str">
        <f t="shared" si="38"/>
        <v>-</v>
      </c>
      <c r="AV77" s="2308" t="str">
        <f t="shared" si="38"/>
        <v>-</v>
      </c>
      <c r="AW77" s="1055" t="str">
        <f t="shared" si="38"/>
        <v>-</v>
      </c>
      <c r="AX77" s="2309" t="str">
        <f t="shared" si="38"/>
        <v>-</v>
      </c>
      <c r="AY77" s="1055" t="str">
        <f t="shared" si="38"/>
        <v>-</v>
      </c>
      <c r="AZ77" s="1055" t="str">
        <f t="shared" si="38"/>
        <v>-</v>
      </c>
      <c r="BA77" s="1055" t="str">
        <f t="shared" si="38"/>
        <v>-</v>
      </c>
      <c r="BB77" s="1056" t="str">
        <f t="shared" si="38"/>
        <v>-</v>
      </c>
      <c r="BC77" s="1055" t="str">
        <f t="shared" si="38"/>
        <v>-</v>
      </c>
      <c r="BD77" s="1055" t="str">
        <f t="shared" si="38"/>
        <v>-</v>
      </c>
      <c r="BE77" s="1055" t="str">
        <f t="shared" si="38"/>
        <v>-</v>
      </c>
      <c r="BF77" s="1055" t="str">
        <f t="shared" si="38"/>
        <v>-</v>
      </c>
      <c r="BG77" s="1056" t="str">
        <f t="shared" si="38"/>
        <v>-</v>
      </c>
      <c r="BH77" s="1048"/>
      <c r="BI77" s="2304" t="str">
        <f t="shared" si="34"/>
        <v>Rev</v>
      </c>
      <c r="BJ77" s="2305" t="str">
        <f t="shared" si="34"/>
        <v>[Service]</v>
      </c>
      <c r="BK77" s="2306" t="str">
        <f t="shared" si="34"/>
        <v>[Price]</v>
      </c>
      <c r="BL77" s="2296" t="str">
        <f t="shared" ref="BL77:BZ77" si="50">IF(OR(X77="",X77=0),"-",IFERROR((X77/W77-1)*(W77/W$13),"-"))</f>
        <v>-</v>
      </c>
      <c r="BM77" s="1048" t="str">
        <f t="shared" si="50"/>
        <v>-</v>
      </c>
      <c r="BN77" s="1048" t="str">
        <f t="shared" si="50"/>
        <v>-</v>
      </c>
      <c r="BO77" s="2295" t="str">
        <f t="shared" si="50"/>
        <v>-</v>
      </c>
      <c r="BP77" s="1048" t="str">
        <f t="shared" si="50"/>
        <v>-</v>
      </c>
      <c r="BQ77" s="2296" t="str">
        <f t="shared" si="50"/>
        <v>-</v>
      </c>
      <c r="BR77" s="1048" t="str">
        <f t="shared" si="50"/>
        <v>-</v>
      </c>
      <c r="BS77" s="1048" t="str">
        <f t="shared" si="50"/>
        <v>-</v>
      </c>
      <c r="BT77" s="1048" t="str">
        <f t="shared" si="50"/>
        <v>-</v>
      </c>
      <c r="BU77" s="1051" t="str">
        <f t="shared" si="50"/>
        <v>-</v>
      </c>
      <c r="BV77" s="1048" t="str">
        <f t="shared" si="50"/>
        <v>-</v>
      </c>
      <c r="BW77" s="1048" t="str">
        <f t="shared" si="50"/>
        <v>-</v>
      </c>
      <c r="BX77" s="1048" t="str">
        <f t="shared" si="50"/>
        <v>-</v>
      </c>
      <c r="BY77" s="1048" t="str">
        <f t="shared" si="50"/>
        <v>-</v>
      </c>
      <c r="BZ77" s="1051" t="str">
        <f t="shared" si="50"/>
        <v>-</v>
      </c>
    </row>
    <row r="78" spans="3:78" x14ac:dyDescent="0.3">
      <c r="C78" s="126"/>
      <c r="D78" s="126">
        <f>D75+1</f>
        <v>4</v>
      </c>
      <c r="E78" s="553" t="s">
        <v>45</v>
      </c>
      <c r="F78" s="581" t="s">
        <v>28</v>
      </c>
      <c r="G78" s="581"/>
      <c r="H78" s="581"/>
      <c r="I78" s="573" t="s">
        <v>319</v>
      </c>
      <c r="J78" s="573" t="s">
        <v>348</v>
      </c>
      <c r="K78" s="1969"/>
      <c r="L78" s="1970"/>
      <c r="M78" s="1970"/>
      <c r="N78" s="1971"/>
      <c r="O78" s="1970"/>
      <c r="P78" s="1970"/>
      <c r="Q78" s="1970"/>
      <c r="R78" s="1972"/>
      <c r="S78" s="1979"/>
      <c r="T78" s="1972"/>
      <c r="U78" s="1972"/>
      <c r="V78" s="1972"/>
      <c r="W78" s="575"/>
      <c r="X78" s="1238"/>
      <c r="Y78" s="575"/>
      <c r="Z78" s="575"/>
      <c r="AA78" s="575"/>
      <c r="AB78" s="1142"/>
      <c r="AC78" s="575"/>
      <c r="AD78" s="575"/>
      <c r="AE78" s="575"/>
      <c r="AF78" s="575"/>
      <c r="AG78" s="577"/>
      <c r="AH78" s="576"/>
      <c r="AI78" s="575"/>
      <c r="AJ78" s="575"/>
      <c r="AK78" s="575"/>
      <c r="AL78" s="577"/>
      <c r="AN78" s="1052"/>
      <c r="AP78" s="2297" t="str">
        <f t="shared" si="36"/>
        <v>Price</v>
      </c>
      <c r="AQ78" s="2298" t="str">
        <f t="shared" si="36"/>
        <v>[Service]</v>
      </c>
      <c r="AR78" s="1719" t="str">
        <f t="shared" si="37"/>
        <v>[Price]</v>
      </c>
      <c r="AS78" s="2299" t="str">
        <f t="shared" si="38"/>
        <v>-</v>
      </c>
      <c r="AT78" s="1728" t="str">
        <f t="shared" si="38"/>
        <v>-</v>
      </c>
      <c r="AU78" s="1728" t="str">
        <f t="shared" si="38"/>
        <v>-</v>
      </c>
      <c r="AV78" s="2300" t="str">
        <f t="shared" si="38"/>
        <v>-</v>
      </c>
      <c r="AW78" s="1728" t="str">
        <f t="shared" si="38"/>
        <v>-</v>
      </c>
      <c r="AX78" s="2301" t="str">
        <f t="shared" si="38"/>
        <v>-</v>
      </c>
      <c r="AY78" s="1728" t="str">
        <f t="shared" si="38"/>
        <v>-</v>
      </c>
      <c r="AZ78" s="1728" t="str">
        <f t="shared" si="38"/>
        <v>-</v>
      </c>
      <c r="BA78" s="1728" t="str">
        <f t="shared" si="38"/>
        <v>-</v>
      </c>
      <c r="BB78" s="1729" t="str">
        <f t="shared" si="38"/>
        <v>-</v>
      </c>
      <c r="BC78" s="1728" t="str">
        <f t="shared" si="38"/>
        <v>-</v>
      </c>
      <c r="BD78" s="1728" t="str">
        <f t="shared" si="38"/>
        <v>-</v>
      </c>
      <c r="BE78" s="1728" t="str">
        <f t="shared" si="38"/>
        <v>-</v>
      </c>
      <c r="BF78" s="1728" t="str">
        <f t="shared" si="38"/>
        <v>-</v>
      </c>
      <c r="BG78" s="1729" t="str">
        <f t="shared" si="38"/>
        <v>-</v>
      </c>
      <c r="BH78" s="1048"/>
      <c r="BI78" s="2297" t="str">
        <f t="shared" si="34"/>
        <v>Price</v>
      </c>
      <c r="BJ78" s="2298" t="str">
        <f t="shared" si="34"/>
        <v>[Service]</v>
      </c>
      <c r="BK78" s="1719" t="str">
        <f t="shared" si="34"/>
        <v>[Price]</v>
      </c>
      <c r="BL78" s="2301" t="str">
        <f t="shared" ref="BL78:BZ78" si="51">IF(OR(X78="",X78=0),"-",IFERROR((X78/W78-1)*(W80/W$13),"-"))</f>
        <v>-</v>
      </c>
      <c r="BM78" s="1053" t="str">
        <f t="shared" si="51"/>
        <v>-</v>
      </c>
      <c r="BN78" s="1053" t="str">
        <f t="shared" si="51"/>
        <v>-</v>
      </c>
      <c r="BO78" s="2302" t="str">
        <f t="shared" si="51"/>
        <v>-</v>
      </c>
      <c r="BP78" s="1053" t="str">
        <f t="shared" si="51"/>
        <v>-</v>
      </c>
      <c r="BQ78" s="2303" t="str">
        <f t="shared" si="51"/>
        <v>-</v>
      </c>
      <c r="BR78" s="1053" t="str">
        <f t="shared" si="51"/>
        <v>-</v>
      </c>
      <c r="BS78" s="1053" t="str">
        <f t="shared" si="51"/>
        <v>-</v>
      </c>
      <c r="BT78" s="1053" t="str">
        <f t="shared" si="51"/>
        <v>-</v>
      </c>
      <c r="BU78" s="1054" t="str">
        <f t="shared" si="51"/>
        <v>-</v>
      </c>
      <c r="BV78" s="1053" t="str">
        <f t="shared" si="51"/>
        <v>-</v>
      </c>
      <c r="BW78" s="1053" t="str">
        <f t="shared" si="51"/>
        <v>-</v>
      </c>
      <c r="BX78" s="1053" t="str">
        <f t="shared" si="51"/>
        <v>-</v>
      </c>
      <c r="BY78" s="1053" t="str">
        <f t="shared" si="51"/>
        <v>-</v>
      </c>
      <c r="BZ78" s="1054" t="str">
        <f t="shared" si="51"/>
        <v>-</v>
      </c>
    </row>
    <row r="79" spans="3:78" x14ac:dyDescent="0.3">
      <c r="C79" s="126"/>
      <c r="D79" s="126"/>
      <c r="E79" s="558" t="s">
        <v>46</v>
      </c>
      <c r="F79" s="1722" t="str">
        <f>+F78</f>
        <v>[Service]</v>
      </c>
      <c r="G79" s="1724">
        <f>+G78</f>
        <v>0</v>
      </c>
      <c r="H79" s="1724">
        <f>+H78</f>
        <v>0</v>
      </c>
      <c r="I79" s="1725" t="str">
        <f>+I78</f>
        <v>[Price]</v>
      </c>
      <c r="J79" s="574" t="s">
        <v>323</v>
      </c>
      <c r="K79" s="1973"/>
      <c r="L79" s="1974"/>
      <c r="M79" s="1974"/>
      <c r="N79" s="1975"/>
      <c r="O79" s="1974"/>
      <c r="P79" s="1974"/>
      <c r="Q79" s="1974"/>
      <c r="R79" s="1976"/>
      <c r="S79" s="1980"/>
      <c r="T79" s="1976"/>
      <c r="U79" s="1976"/>
      <c r="V79" s="1976"/>
      <c r="W79" s="578"/>
      <c r="X79" s="1239"/>
      <c r="Y79" s="578"/>
      <c r="Z79" s="578"/>
      <c r="AA79" s="578"/>
      <c r="AB79" s="1143"/>
      <c r="AC79" s="578"/>
      <c r="AD79" s="578"/>
      <c r="AE79" s="578"/>
      <c r="AF79" s="578"/>
      <c r="AG79" s="580"/>
      <c r="AH79" s="579"/>
      <c r="AI79" s="578"/>
      <c r="AJ79" s="578"/>
      <c r="AK79" s="578"/>
      <c r="AL79" s="580"/>
      <c r="AN79" s="991"/>
      <c r="AP79" s="2285" t="str">
        <f t="shared" si="36"/>
        <v>Qty</v>
      </c>
      <c r="AQ79" s="2286" t="str">
        <f t="shared" si="36"/>
        <v>[Service]</v>
      </c>
      <c r="AR79" s="2287" t="str">
        <f t="shared" si="37"/>
        <v>[Price]</v>
      </c>
      <c r="AS79" s="2288" t="str">
        <f t="shared" si="38"/>
        <v>-</v>
      </c>
      <c r="AT79" s="1720" t="str">
        <f t="shared" si="38"/>
        <v>-</v>
      </c>
      <c r="AU79" s="1720" t="str">
        <f t="shared" si="38"/>
        <v>-</v>
      </c>
      <c r="AV79" s="2289" t="str">
        <f t="shared" si="38"/>
        <v>-</v>
      </c>
      <c r="AW79" s="1720" t="str">
        <f t="shared" si="38"/>
        <v>-</v>
      </c>
      <c r="AX79" s="2290" t="str">
        <f t="shared" si="38"/>
        <v>-</v>
      </c>
      <c r="AY79" s="1720" t="str">
        <f t="shared" si="38"/>
        <v>-</v>
      </c>
      <c r="AZ79" s="1720" t="str">
        <f t="shared" si="38"/>
        <v>-</v>
      </c>
      <c r="BA79" s="1720" t="str">
        <f t="shared" si="38"/>
        <v>-</v>
      </c>
      <c r="BB79" s="1721" t="str">
        <f t="shared" si="38"/>
        <v>-</v>
      </c>
      <c r="BC79" s="1720" t="str">
        <f t="shared" si="38"/>
        <v>-</v>
      </c>
      <c r="BD79" s="1720" t="str">
        <f t="shared" si="38"/>
        <v>-</v>
      </c>
      <c r="BE79" s="1720" t="str">
        <f t="shared" si="38"/>
        <v>-</v>
      </c>
      <c r="BF79" s="1720" t="str">
        <f t="shared" si="38"/>
        <v>-</v>
      </c>
      <c r="BG79" s="1721" t="str">
        <f t="shared" si="38"/>
        <v>-</v>
      </c>
      <c r="BH79" s="1048"/>
      <c r="BI79" s="2285" t="str">
        <f t="shared" si="34"/>
        <v>Qty</v>
      </c>
      <c r="BJ79" s="2286" t="str">
        <f t="shared" si="34"/>
        <v>[Service]</v>
      </c>
      <c r="BK79" s="2287" t="str">
        <f t="shared" si="34"/>
        <v>[Price]</v>
      </c>
      <c r="BL79" s="2290" t="str">
        <f t="shared" ref="BL79:BZ79" si="52">IF(OR(X79="",X79=0),"-",IFERROR((X79/W79-1)*(W80/W$13),"-"))</f>
        <v>-</v>
      </c>
      <c r="BM79" s="1720" t="str">
        <f t="shared" si="52"/>
        <v>-</v>
      </c>
      <c r="BN79" s="1720" t="str">
        <f t="shared" si="52"/>
        <v>-</v>
      </c>
      <c r="BO79" s="2289" t="str">
        <f t="shared" si="52"/>
        <v>-</v>
      </c>
      <c r="BP79" s="1720" t="str">
        <f t="shared" si="52"/>
        <v>-</v>
      </c>
      <c r="BQ79" s="2290" t="str">
        <f t="shared" si="52"/>
        <v>-</v>
      </c>
      <c r="BR79" s="1720" t="str">
        <f t="shared" si="52"/>
        <v>-</v>
      </c>
      <c r="BS79" s="1720" t="str">
        <f t="shared" si="52"/>
        <v>-</v>
      </c>
      <c r="BT79" s="1720" t="str">
        <f t="shared" si="52"/>
        <v>-</v>
      </c>
      <c r="BU79" s="1721" t="str">
        <f t="shared" si="52"/>
        <v>-</v>
      </c>
      <c r="BV79" s="1720" t="str">
        <f t="shared" si="52"/>
        <v>-</v>
      </c>
      <c r="BW79" s="1720" t="str">
        <f t="shared" si="52"/>
        <v>-</v>
      </c>
      <c r="BX79" s="1720" t="str">
        <f t="shared" si="52"/>
        <v>-</v>
      </c>
      <c r="BY79" s="1720" t="str">
        <f t="shared" si="52"/>
        <v>-</v>
      </c>
      <c r="BZ79" s="1721" t="str">
        <f t="shared" si="52"/>
        <v>-</v>
      </c>
    </row>
    <row r="80" spans="3:78" ht="12.5" thickBot="1" x14ac:dyDescent="0.35">
      <c r="C80" s="126"/>
      <c r="D80" s="126"/>
      <c r="E80" s="559" t="s">
        <v>47</v>
      </c>
      <c r="F80" s="1723" t="str">
        <f>+F78</f>
        <v>[Service]</v>
      </c>
      <c r="G80" s="1726">
        <f>+G78</f>
        <v>0</v>
      </c>
      <c r="H80" s="1726">
        <f>+H78</f>
        <v>0</v>
      </c>
      <c r="I80" s="1727" t="str">
        <f>+I78</f>
        <v>[Price]</v>
      </c>
      <c r="J80" s="556" t="s">
        <v>347</v>
      </c>
      <c r="K80" s="1977"/>
      <c r="L80" s="1206"/>
      <c r="M80" s="1206"/>
      <c r="N80" s="1978"/>
      <c r="O80" s="1206"/>
      <c r="P80" s="1206"/>
      <c r="Q80" s="1206"/>
      <c r="R80" s="1206"/>
      <c r="S80" s="1978"/>
      <c r="T80" s="1206"/>
      <c r="U80" s="1206"/>
      <c r="V80" s="1206"/>
      <c r="W80" s="1731">
        <f t="shared" ref="W80:AG80" si="53">W78*W79/10^6</f>
        <v>0</v>
      </c>
      <c r="X80" s="1730">
        <f t="shared" si="53"/>
        <v>0</v>
      </c>
      <c r="Y80" s="1731">
        <f t="shared" si="53"/>
        <v>0</v>
      </c>
      <c r="Z80" s="1731">
        <f t="shared" si="53"/>
        <v>0</v>
      </c>
      <c r="AA80" s="1731">
        <f t="shared" si="53"/>
        <v>0</v>
      </c>
      <c r="AB80" s="1733">
        <f t="shared" si="53"/>
        <v>0</v>
      </c>
      <c r="AC80" s="1731">
        <f t="shared" si="53"/>
        <v>0</v>
      </c>
      <c r="AD80" s="1731">
        <f t="shared" si="53"/>
        <v>0</v>
      </c>
      <c r="AE80" s="1731">
        <f t="shared" si="53"/>
        <v>0</v>
      </c>
      <c r="AF80" s="1731">
        <f t="shared" si="53"/>
        <v>0</v>
      </c>
      <c r="AG80" s="1733">
        <f t="shared" si="53"/>
        <v>0</v>
      </c>
      <c r="AH80" s="1732">
        <f>AH78*AH79/10^6</f>
        <v>0</v>
      </c>
      <c r="AI80" s="1731">
        <f>AI78*AI79/10^6</f>
        <v>0</v>
      </c>
      <c r="AJ80" s="1731">
        <f>AJ78*AJ79/10^6</f>
        <v>0</v>
      </c>
      <c r="AK80" s="1731">
        <f>AK78*AK79/10^6</f>
        <v>0</v>
      </c>
      <c r="AL80" s="1733">
        <f>AL78*AL79/10^6</f>
        <v>0</v>
      </c>
      <c r="AN80" s="991"/>
      <c r="AP80" s="2304" t="str">
        <f t="shared" si="36"/>
        <v>Rev</v>
      </c>
      <c r="AQ80" s="2305" t="str">
        <f t="shared" si="36"/>
        <v>[Service]</v>
      </c>
      <c r="AR80" s="2306" t="str">
        <f t="shared" si="37"/>
        <v>[Price]</v>
      </c>
      <c r="AS80" s="2307" t="str">
        <f t="shared" si="38"/>
        <v>-</v>
      </c>
      <c r="AT80" s="1055" t="str">
        <f t="shared" si="38"/>
        <v>-</v>
      </c>
      <c r="AU80" s="1055" t="str">
        <f t="shared" si="38"/>
        <v>-</v>
      </c>
      <c r="AV80" s="2308" t="str">
        <f t="shared" si="38"/>
        <v>-</v>
      </c>
      <c r="AW80" s="1055" t="str">
        <f t="shared" si="38"/>
        <v>-</v>
      </c>
      <c r="AX80" s="2309" t="str">
        <f t="shared" si="38"/>
        <v>-</v>
      </c>
      <c r="AY80" s="1055" t="str">
        <f t="shared" si="38"/>
        <v>-</v>
      </c>
      <c r="AZ80" s="1055" t="str">
        <f t="shared" si="38"/>
        <v>-</v>
      </c>
      <c r="BA80" s="1055" t="str">
        <f t="shared" si="38"/>
        <v>-</v>
      </c>
      <c r="BB80" s="1056" t="str">
        <f t="shared" si="38"/>
        <v>-</v>
      </c>
      <c r="BC80" s="1055" t="str">
        <f t="shared" si="38"/>
        <v>-</v>
      </c>
      <c r="BD80" s="1055" t="str">
        <f t="shared" si="38"/>
        <v>-</v>
      </c>
      <c r="BE80" s="1055" t="str">
        <f t="shared" si="38"/>
        <v>-</v>
      </c>
      <c r="BF80" s="1055" t="str">
        <f t="shared" si="38"/>
        <v>-</v>
      </c>
      <c r="BG80" s="1056" t="str">
        <f t="shared" si="38"/>
        <v>-</v>
      </c>
      <c r="BH80" s="1048"/>
      <c r="BI80" s="2304" t="str">
        <f t="shared" si="34"/>
        <v>Rev</v>
      </c>
      <c r="BJ80" s="2305" t="str">
        <f t="shared" si="34"/>
        <v>[Service]</v>
      </c>
      <c r="BK80" s="2306" t="str">
        <f t="shared" si="34"/>
        <v>[Price]</v>
      </c>
      <c r="BL80" s="2309" t="str">
        <f t="shared" ref="BL80:BZ80" si="54">IF(OR(X80="",X80=0),"-",IFERROR((X80/W80-1)*(W80/W$13),"-"))</f>
        <v>-</v>
      </c>
      <c r="BM80" s="1055" t="str">
        <f t="shared" si="54"/>
        <v>-</v>
      </c>
      <c r="BN80" s="1055" t="str">
        <f t="shared" si="54"/>
        <v>-</v>
      </c>
      <c r="BO80" s="2308" t="str">
        <f t="shared" si="54"/>
        <v>-</v>
      </c>
      <c r="BP80" s="1055" t="str">
        <f t="shared" si="54"/>
        <v>-</v>
      </c>
      <c r="BQ80" s="2309" t="str">
        <f t="shared" si="54"/>
        <v>-</v>
      </c>
      <c r="BR80" s="1055" t="str">
        <f t="shared" si="54"/>
        <v>-</v>
      </c>
      <c r="BS80" s="1055" t="str">
        <f t="shared" si="54"/>
        <v>-</v>
      </c>
      <c r="BT80" s="1055" t="str">
        <f t="shared" si="54"/>
        <v>-</v>
      </c>
      <c r="BU80" s="1056" t="str">
        <f t="shared" si="54"/>
        <v>-</v>
      </c>
      <c r="BV80" s="1055" t="str">
        <f t="shared" si="54"/>
        <v>-</v>
      </c>
      <c r="BW80" s="1055" t="str">
        <f t="shared" si="54"/>
        <v>-</v>
      </c>
      <c r="BX80" s="1055" t="str">
        <f t="shared" si="54"/>
        <v>-</v>
      </c>
      <c r="BY80" s="1055" t="str">
        <f t="shared" si="54"/>
        <v>-</v>
      </c>
      <c r="BZ80" s="1056" t="str">
        <f t="shared" si="54"/>
        <v>-</v>
      </c>
    </row>
    <row r="81" spans="3:78" x14ac:dyDescent="0.3">
      <c r="C81" s="126"/>
      <c r="D81" s="126">
        <f>D78+1</f>
        <v>5</v>
      </c>
      <c r="E81" s="553" t="s">
        <v>45</v>
      </c>
      <c r="F81" s="581" t="s">
        <v>28</v>
      </c>
      <c r="G81" s="581"/>
      <c r="H81" s="581"/>
      <c r="I81" s="573" t="s">
        <v>319</v>
      </c>
      <c r="J81" s="573" t="s">
        <v>348</v>
      </c>
      <c r="K81" s="1969"/>
      <c r="L81" s="1970"/>
      <c r="M81" s="1970"/>
      <c r="N81" s="1971"/>
      <c r="O81" s="1970"/>
      <c r="P81" s="1970"/>
      <c r="Q81" s="1970"/>
      <c r="R81" s="1972"/>
      <c r="S81" s="1979"/>
      <c r="T81" s="1972"/>
      <c r="U81" s="1972"/>
      <c r="V81" s="1972"/>
      <c r="W81" s="575"/>
      <c r="X81" s="1238"/>
      <c r="Y81" s="575"/>
      <c r="Z81" s="575"/>
      <c r="AA81" s="575"/>
      <c r="AB81" s="1142"/>
      <c r="AC81" s="575"/>
      <c r="AD81" s="575"/>
      <c r="AE81" s="575"/>
      <c r="AF81" s="575"/>
      <c r="AG81" s="577"/>
      <c r="AH81" s="576"/>
      <c r="AI81" s="575"/>
      <c r="AJ81" s="575"/>
      <c r="AK81" s="575"/>
      <c r="AL81" s="577"/>
      <c r="AN81" s="1052"/>
      <c r="AP81" s="2297" t="str">
        <f t="shared" si="36"/>
        <v>Price</v>
      </c>
      <c r="AQ81" s="2298" t="str">
        <f t="shared" si="36"/>
        <v>[Service]</v>
      </c>
      <c r="AR81" s="1719" t="str">
        <f t="shared" si="37"/>
        <v>[Price]</v>
      </c>
      <c r="AS81" s="2299" t="str">
        <f t="shared" si="38"/>
        <v>-</v>
      </c>
      <c r="AT81" s="1728" t="str">
        <f t="shared" si="38"/>
        <v>-</v>
      </c>
      <c r="AU81" s="1728" t="str">
        <f t="shared" si="38"/>
        <v>-</v>
      </c>
      <c r="AV81" s="2300" t="str">
        <f t="shared" si="38"/>
        <v>-</v>
      </c>
      <c r="AW81" s="1728" t="str">
        <f t="shared" si="38"/>
        <v>-</v>
      </c>
      <c r="AX81" s="2301" t="str">
        <f t="shared" si="38"/>
        <v>-</v>
      </c>
      <c r="AY81" s="1728" t="str">
        <f t="shared" si="38"/>
        <v>-</v>
      </c>
      <c r="AZ81" s="1728" t="str">
        <f t="shared" si="38"/>
        <v>-</v>
      </c>
      <c r="BA81" s="1728" t="str">
        <f t="shared" si="38"/>
        <v>-</v>
      </c>
      <c r="BB81" s="1729" t="str">
        <f t="shared" si="38"/>
        <v>-</v>
      </c>
      <c r="BC81" s="1728" t="str">
        <f t="shared" si="38"/>
        <v>-</v>
      </c>
      <c r="BD81" s="1728" t="str">
        <f t="shared" si="38"/>
        <v>-</v>
      </c>
      <c r="BE81" s="1728" t="str">
        <f t="shared" si="38"/>
        <v>-</v>
      </c>
      <c r="BF81" s="1728" t="str">
        <f t="shared" si="38"/>
        <v>-</v>
      </c>
      <c r="BG81" s="1729" t="str">
        <f t="shared" si="38"/>
        <v>-</v>
      </c>
      <c r="BH81" s="1048"/>
      <c r="BI81" s="2297" t="str">
        <f t="shared" si="34"/>
        <v>Price</v>
      </c>
      <c r="BJ81" s="2298" t="str">
        <f t="shared" si="34"/>
        <v>[Service]</v>
      </c>
      <c r="BK81" s="1719" t="str">
        <f t="shared" si="34"/>
        <v>[Price]</v>
      </c>
      <c r="BL81" s="2315" t="str">
        <f t="shared" ref="BL81:BZ81" si="55">IF(OR(X81="",X81=0),"-",IFERROR((X81/W81-1)*(W83/W$13),"-"))</f>
        <v>-</v>
      </c>
      <c r="BM81" s="2311" t="str">
        <f t="shared" si="55"/>
        <v>-</v>
      </c>
      <c r="BN81" s="2311" t="str">
        <f t="shared" si="55"/>
        <v>-</v>
      </c>
      <c r="BO81" s="2312" t="str">
        <f t="shared" si="55"/>
        <v>-</v>
      </c>
      <c r="BP81" s="2311" t="str">
        <f t="shared" si="55"/>
        <v>-</v>
      </c>
      <c r="BQ81" s="2313" t="str">
        <f t="shared" si="55"/>
        <v>-</v>
      </c>
      <c r="BR81" s="2311" t="str">
        <f t="shared" si="55"/>
        <v>-</v>
      </c>
      <c r="BS81" s="2311" t="str">
        <f t="shared" si="55"/>
        <v>-</v>
      </c>
      <c r="BT81" s="2311" t="str">
        <f t="shared" si="55"/>
        <v>-</v>
      </c>
      <c r="BU81" s="2314" t="str">
        <f t="shared" si="55"/>
        <v>-</v>
      </c>
      <c r="BV81" s="2311" t="str">
        <f t="shared" si="55"/>
        <v>-</v>
      </c>
      <c r="BW81" s="2311" t="str">
        <f t="shared" si="55"/>
        <v>-</v>
      </c>
      <c r="BX81" s="2311" t="str">
        <f t="shared" si="55"/>
        <v>-</v>
      </c>
      <c r="BY81" s="2311" t="str">
        <f t="shared" si="55"/>
        <v>-</v>
      </c>
      <c r="BZ81" s="2314" t="str">
        <f t="shared" si="55"/>
        <v>-</v>
      </c>
    </row>
    <row r="82" spans="3:78" x14ac:dyDescent="0.3">
      <c r="C82" s="126"/>
      <c r="D82" s="126"/>
      <c r="E82" s="558" t="s">
        <v>46</v>
      </c>
      <c r="F82" s="1722" t="str">
        <f>+F81</f>
        <v>[Service]</v>
      </c>
      <c r="G82" s="1724">
        <f>+G81</f>
        <v>0</v>
      </c>
      <c r="H82" s="1724">
        <f>+H81</f>
        <v>0</v>
      </c>
      <c r="I82" s="1725" t="str">
        <f>+I81</f>
        <v>[Price]</v>
      </c>
      <c r="J82" s="574" t="s">
        <v>323</v>
      </c>
      <c r="K82" s="1973"/>
      <c r="L82" s="1974"/>
      <c r="M82" s="1974"/>
      <c r="N82" s="1975"/>
      <c r="O82" s="1974"/>
      <c r="P82" s="1974"/>
      <c r="Q82" s="1974"/>
      <c r="R82" s="1976"/>
      <c r="S82" s="1980"/>
      <c r="T82" s="1976"/>
      <c r="U82" s="1976"/>
      <c r="V82" s="1976"/>
      <c r="W82" s="578"/>
      <c r="X82" s="1239"/>
      <c r="Y82" s="578"/>
      <c r="Z82" s="578"/>
      <c r="AA82" s="578"/>
      <c r="AB82" s="1143"/>
      <c r="AC82" s="578"/>
      <c r="AD82" s="578"/>
      <c r="AE82" s="578"/>
      <c r="AF82" s="578"/>
      <c r="AG82" s="580"/>
      <c r="AH82" s="579"/>
      <c r="AI82" s="578"/>
      <c r="AJ82" s="578"/>
      <c r="AK82" s="578"/>
      <c r="AL82" s="580"/>
      <c r="AN82" s="991"/>
      <c r="AP82" s="2285" t="str">
        <f t="shared" si="36"/>
        <v>Qty</v>
      </c>
      <c r="AQ82" s="2286" t="str">
        <f t="shared" si="36"/>
        <v>[Service]</v>
      </c>
      <c r="AR82" s="2287" t="str">
        <f t="shared" si="37"/>
        <v>[Price]</v>
      </c>
      <c r="AS82" s="2288" t="str">
        <f t="shared" si="38"/>
        <v>-</v>
      </c>
      <c r="AT82" s="1720" t="str">
        <f t="shared" si="38"/>
        <v>-</v>
      </c>
      <c r="AU82" s="1720" t="str">
        <f t="shared" si="38"/>
        <v>-</v>
      </c>
      <c r="AV82" s="2289" t="str">
        <f t="shared" si="38"/>
        <v>-</v>
      </c>
      <c r="AW82" s="1720" t="str">
        <f t="shared" si="38"/>
        <v>-</v>
      </c>
      <c r="AX82" s="2290" t="str">
        <f t="shared" si="38"/>
        <v>-</v>
      </c>
      <c r="AY82" s="1720" t="str">
        <f t="shared" si="38"/>
        <v>-</v>
      </c>
      <c r="AZ82" s="1720" t="str">
        <f t="shared" si="38"/>
        <v>-</v>
      </c>
      <c r="BA82" s="1720" t="str">
        <f t="shared" si="38"/>
        <v>-</v>
      </c>
      <c r="BB82" s="1721" t="str">
        <f t="shared" si="38"/>
        <v>-</v>
      </c>
      <c r="BC82" s="1720" t="str">
        <f t="shared" si="38"/>
        <v>-</v>
      </c>
      <c r="BD82" s="1720" t="str">
        <f t="shared" si="38"/>
        <v>-</v>
      </c>
      <c r="BE82" s="1720" t="str">
        <f t="shared" si="38"/>
        <v>-</v>
      </c>
      <c r="BF82" s="1720" t="str">
        <f t="shared" si="38"/>
        <v>-</v>
      </c>
      <c r="BG82" s="1721" t="str">
        <f t="shared" si="38"/>
        <v>-</v>
      </c>
      <c r="BH82" s="1048"/>
      <c r="BI82" s="2285" t="str">
        <f t="shared" si="34"/>
        <v>Qty</v>
      </c>
      <c r="BJ82" s="2286" t="str">
        <f t="shared" si="34"/>
        <v>[Service]</v>
      </c>
      <c r="BK82" s="2287" t="str">
        <f t="shared" si="34"/>
        <v>[Price]</v>
      </c>
      <c r="BL82" s="2288" t="str">
        <f t="shared" ref="BL82:BZ82" si="56">IF(OR(X82="",X82=0),"-",IFERROR((X82/W82-1)*(W83/W$13),"-"))</f>
        <v>-</v>
      </c>
      <c r="BM82" s="1720" t="str">
        <f t="shared" si="56"/>
        <v>-</v>
      </c>
      <c r="BN82" s="1720" t="str">
        <f t="shared" si="56"/>
        <v>-</v>
      </c>
      <c r="BO82" s="2289" t="str">
        <f t="shared" si="56"/>
        <v>-</v>
      </c>
      <c r="BP82" s="1720" t="str">
        <f t="shared" si="56"/>
        <v>-</v>
      </c>
      <c r="BQ82" s="2290" t="str">
        <f t="shared" si="56"/>
        <v>-</v>
      </c>
      <c r="BR82" s="1720" t="str">
        <f t="shared" si="56"/>
        <v>-</v>
      </c>
      <c r="BS82" s="1720" t="str">
        <f t="shared" si="56"/>
        <v>-</v>
      </c>
      <c r="BT82" s="1720" t="str">
        <f t="shared" si="56"/>
        <v>-</v>
      </c>
      <c r="BU82" s="1721" t="str">
        <f t="shared" si="56"/>
        <v>-</v>
      </c>
      <c r="BV82" s="1720" t="str">
        <f t="shared" si="56"/>
        <v>-</v>
      </c>
      <c r="BW82" s="1720" t="str">
        <f t="shared" si="56"/>
        <v>-</v>
      </c>
      <c r="BX82" s="1720" t="str">
        <f t="shared" si="56"/>
        <v>-</v>
      </c>
      <c r="BY82" s="1720" t="str">
        <f t="shared" si="56"/>
        <v>-</v>
      </c>
      <c r="BZ82" s="1721" t="str">
        <f t="shared" si="56"/>
        <v>-</v>
      </c>
    </row>
    <row r="83" spans="3:78" ht="12.5" thickBot="1" x14ac:dyDescent="0.35">
      <c r="C83" s="126"/>
      <c r="D83" s="126"/>
      <c r="E83" s="559" t="s">
        <v>47</v>
      </c>
      <c r="F83" s="1723" t="str">
        <f>+F81</f>
        <v>[Service]</v>
      </c>
      <c r="G83" s="1726">
        <f>+G81</f>
        <v>0</v>
      </c>
      <c r="H83" s="1726">
        <f>+H81</f>
        <v>0</v>
      </c>
      <c r="I83" s="1727" t="str">
        <f>+I81</f>
        <v>[Price]</v>
      </c>
      <c r="J83" s="556" t="s">
        <v>347</v>
      </c>
      <c r="K83" s="1977"/>
      <c r="L83" s="1206"/>
      <c r="M83" s="1206"/>
      <c r="N83" s="1978"/>
      <c r="O83" s="1206"/>
      <c r="P83" s="1206"/>
      <c r="Q83" s="1206"/>
      <c r="R83" s="1206"/>
      <c r="S83" s="1978"/>
      <c r="T83" s="1206"/>
      <c r="U83" s="1206"/>
      <c r="V83" s="1206"/>
      <c r="W83" s="1731">
        <f t="shared" ref="W83:AG83" si="57">W81*W82/10^6</f>
        <v>0</v>
      </c>
      <c r="X83" s="1730">
        <f t="shared" si="57"/>
        <v>0</v>
      </c>
      <c r="Y83" s="1731">
        <f t="shared" si="57"/>
        <v>0</v>
      </c>
      <c r="Z83" s="1731">
        <f t="shared" si="57"/>
        <v>0</v>
      </c>
      <c r="AA83" s="1731">
        <f t="shared" si="57"/>
        <v>0</v>
      </c>
      <c r="AB83" s="1733">
        <f t="shared" si="57"/>
        <v>0</v>
      </c>
      <c r="AC83" s="1731">
        <f t="shared" si="57"/>
        <v>0</v>
      </c>
      <c r="AD83" s="1731">
        <f t="shared" si="57"/>
        <v>0</v>
      </c>
      <c r="AE83" s="1731">
        <f t="shared" si="57"/>
        <v>0</v>
      </c>
      <c r="AF83" s="1731">
        <f t="shared" si="57"/>
        <v>0</v>
      </c>
      <c r="AG83" s="1733">
        <f t="shared" si="57"/>
        <v>0</v>
      </c>
      <c r="AH83" s="1732">
        <f>AH81*AH82/10^6</f>
        <v>0</v>
      </c>
      <c r="AI83" s="1731">
        <f>AI81*AI82/10^6</f>
        <v>0</v>
      </c>
      <c r="AJ83" s="1731">
        <f>AJ81*AJ82/10^6</f>
        <v>0</v>
      </c>
      <c r="AK83" s="1731">
        <f>AK81*AK82/10^6</f>
        <v>0</v>
      </c>
      <c r="AL83" s="1733">
        <f>AL81*AL82/10^6</f>
        <v>0</v>
      </c>
      <c r="AN83" s="991"/>
      <c r="AP83" s="2304" t="str">
        <f t="shared" si="36"/>
        <v>Rev</v>
      </c>
      <c r="AQ83" s="2305" t="str">
        <f t="shared" si="36"/>
        <v>[Service]</v>
      </c>
      <c r="AR83" s="2306" t="str">
        <f t="shared" si="37"/>
        <v>[Price]</v>
      </c>
      <c r="AS83" s="2307" t="str">
        <f t="shared" si="38"/>
        <v>-</v>
      </c>
      <c r="AT83" s="1055" t="str">
        <f t="shared" si="38"/>
        <v>-</v>
      </c>
      <c r="AU83" s="1055" t="str">
        <f t="shared" si="38"/>
        <v>-</v>
      </c>
      <c r="AV83" s="2308" t="str">
        <f t="shared" si="38"/>
        <v>-</v>
      </c>
      <c r="AW83" s="1055" t="str">
        <f t="shared" si="38"/>
        <v>-</v>
      </c>
      <c r="AX83" s="2309" t="str">
        <f t="shared" si="38"/>
        <v>-</v>
      </c>
      <c r="AY83" s="1055" t="str">
        <f t="shared" si="38"/>
        <v>-</v>
      </c>
      <c r="AZ83" s="1055" t="str">
        <f t="shared" si="38"/>
        <v>-</v>
      </c>
      <c r="BA83" s="1055" t="str">
        <f t="shared" si="38"/>
        <v>-</v>
      </c>
      <c r="BB83" s="1056" t="str">
        <f t="shared" si="38"/>
        <v>-</v>
      </c>
      <c r="BC83" s="1055" t="str">
        <f t="shared" si="38"/>
        <v>-</v>
      </c>
      <c r="BD83" s="1055" t="str">
        <f t="shared" si="38"/>
        <v>-</v>
      </c>
      <c r="BE83" s="1055" t="str">
        <f t="shared" si="38"/>
        <v>-</v>
      </c>
      <c r="BF83" s="1055" t="str">
        <f t="shared" si="38"/>
        <v>-</v>
      </c>
      <c r="BG83" s="1056" t="str">
        <f t="shared" si="38"/>
        <v>-</v>
      </c>
      <c r="BH83" s="1048"/>
      <c r="BI83" s="2304" t="str">
        <f t="shared" si="34"/>
        <v>Rev</v>
      </c>
      <c r="BJ83" s="2305" t="str">
        <f t="shared" si="34"/>
        <v>[Service]</v>
      </c>
      <c r="BK83" s="2306" t="str">
        <f t="shared" si="34"/>
        <v>[Price]</v>
      </c>
      <c r="BL83" s="2294" t="str">
        <f t="shared" ref="BL83:BZ83" si="58">IF(OR(X83="",X83=0),"-",IFERROR((X83/W83-1)*(W83/W$13),"-"))</f>
        <v>-</v>
      </c>
      <c r="BM83" s="1048" t="str">
        <f t="shared" si="58"/>
        <v>-</v>
      </c>
      <c r="BN83" s="1048" t="str">
        <f t="shared" si="58"/>
        <v>-</v>
      </c>
      <c r="BO83" s="2295" t="str">
        <f t="shared" si="58"/>
        <v>-</v>
      </c>
      <c r="BP83" s="1048" t="str">
        <f t="shared" si="58"/>
        <v>-</v>
      </c>
      <c r="BQ83" s="2296" t="str">
        <f t="shared" si="58"/>
        <v>-</v>
      </c>
      <c r="BR83" s="1048" t="str">
        <f t="shared" si="58"/>
        <v>-</v>
      </c>
      <c r="BS83" s="1048" t="str">
        <f t="shared" si="58"/>
        <v>-</v>
      </c>
      <c r="BT83" s="1048" t="str">
        <f t="shared" si="58"/>
        <v>-</v>
      </c>
      <c r="BU83" s="1051" t="str">
        <f t="shared" si="58"/>
        <v>-</v>
      </c>
      <c r="BV83" s="1048" t="str">
        <f t="shared" si="58"/>
        <v>-</v>
      </c>
      <c r="BW83" s="1048" t="str">
        <f t="shared" si="58"/>
        <v>-</v>
      </c>
      <c r="BX83" s="1048" t="str">
        <f t="shared" si="58"/>
        <v>-</v>
      </c>
      <c r="BY83" s="1048" t="str">
        <f t="shared" si="58"/>
        <v>-</v>
      </c>
      <c r="BZ83" s="1051" t="str">
        <f t="shared" si="58"/>
        <v>-</v>
      </c>
    </row>
    <row r="84" spans="3:78" x14ac:dyDescent="0.3">
      <c r="C84" s="126"/>
      <c r="D84" s="126">
        <f>D81+1</f>
        <v>6</v>
      </c>
      <c r="E84" s="553" t="s">
        <v>45</v>
      </c>
      <c r="F84" s="581" t="s">
        <v>28</v>
      </c>
      <c r="G84" s="581"/>
      <c r="H84" s="581"/>
      <c r="I84" s="573" t="s">
        <v>319</v>
      </c>
      <c r="J84" s="573" t="s">
        <v>348</v>
      </c>
      <c r="K84" s="1969"/>
      <c r="L84" s="1970"/>
      <c r="M84" s="1970"/>
      <c r="N84" s="1971"/>
      <c r="O84" s="1970"/>
      <c r="P84" s="1970"/>
      <c r="Q84" s="1970"/>
      <c r="R84" s="1972"/>
      <c r="S84" s="1979"/>
      <c r="T84" s="1972"/>
      <c r="U84" s="1972"/>
      <c r="V84" s="1972"/>
      <c r="W84" s="575"/>
      <c r="X84" s="1238"/>
      <c r="Y84" s="575"/>
      <c r="Z84" s="575"/>
      <c r="AA84" s="575"/>
      <c r="AB84" s="1142"/>
      <c r="AC84" s="575"/>
      <c r="AD84" s="575"/>
      <c r="AE84" s="575"/>
      <c r="AF84" s="575"/>
      <c r="AG84" s="577"/>
      <c r="AH84" s="576"/>
      <c r="AI84" s="575"/>
      <c r="AJ84" s="575"/>
      <c r="AK84" s="575"/>
      <c r="AL84" s="577"/>
      <c r="AN84" s="1052"/>
      <c r="AP84" s="2297" t="str">
        <f t="shared" si="36"/>
        <v>Price</v>
      </c>
      <c r="AQ84" s="2298" t="str">
        <f t="shared" si="36"/>
        <v>[Service]</v>
      </c>
      <c r="AR84" s="1719" t="str">
        <f t="shared" si="37"/>
        <v>[Price]</v>
      </c>
      <c r="AS84" s="2299" t="str">
        <f t="shared" si="38"/>
        <v>-</v>
      </c>
      <c r="AT84" s="1728" t="str">
        <f t="shared" si="38"/>
        <v>-</v>
      </c>
      <c r="AU84" s="1728" t="str">
        <f t="shared" si="38"/>
        <v>-</v>
      </c>
      <c r="AV84" s="2300" t="str">
        <f t="shared" si="38"/>
        <v>-</v>
      </c>
      <c r="AW84" s="1728" t="str">
        <f t="shared" si="38"/>
        <v>-</v>
      </c>
      <c r="AX84" s="2301" t="str">
        <f t="shared" si="38"/>
        <v>-</v>
      </c>
      <c r="AY84" s="1728" t="str">
        <f t="shared" si="38"/>
        <v>-</v>
      </c>
      <c r="AZ84" s="1728" t="str">
        <f t="shared" si="38"/>
        <v>-</v>
      </c>
      <c r="BA84" s="1728" t="str">
        <f t="shared" si="38"/>
        <v>-</v>
      </c>
      <c r="BB84" s="1729" t="str">
        <f t="shared" si="38"/>
        <v>-</v>
      </c>
      <c r="BC84" s="1728" t="str">
        <f t="shared" si="38"/>
        <v>-</v>
      </c>
      <c r="BD84" s="1728" t="str">
        <f t="shared" si="38"/>
        <v>-</v>
      </c>
      <c r="BE84" s="1728" t="str">
        <f t="shared" si="38"/>
        <v>-</v>
      </c>
      <c r="BF84" s="1728" t="str">
        <f t="shared" si="38"/>
        <v>-</v>
      </c>
      <c r="BG84" s="1729" t="str">
        <f t="shared" si="38"/>
        <v>-</v>
      </c>
      <c r="BH84" s="1048"/>
      <c r="BI84" s="2297" t="str">
        <f t="shared" ref="BI84:BK147" si="59">AP84</f>
        <v>Price</v>
      </c>
      <c r="BJ84" s="2298" t="str">
        <f t="shared" si="59"/>
        <v>[Service]</v>
      </c>
      <c r="BK84" s="1719" t="str">
        <f t="shared" si="59"/>
        <v>[Price]</v>
      </c>
      <c r="BL84" s="2299" t="str">
        <f t="shared" ref="BL84:BZ84" si="60">IF(OR(X84="",X84=0),"-",IFERROR((X84/W84-1)*(W86/W$13),"-"))</f>
        <v>-</v>
      </c>
      <c r="BM84" s="1053" t="str">
        <f t="shared" si="60"/>
        <v>-</v>
      </c>
      <c r="BN84" s="1053" t="str">
        <f t="shared" si="60"/>
        <v>-</v>
      </c>
      <c r="BO84" s="2302" t="str">
        <f t="shared" si="60"/>
        <v>-</v>
      </c>
      <c r="BP84" s="1053" t="str">
        <f t="shared" si="60"/>
        <v>-</v>
      </c>
      <c r="BQ84" s="2303" t="str">
        <f t="shared" si="60"/>
        <v>-</v>
      </c>
      <c r="BR84" s="1053" t="str">
        <f t="shared" si="60"/>
        <v>-</v>
      </c>
      <c r="BS84" s="1053" t="str">
        <f t="shared" si="60"/>
        <v>-</v>
      </c>
      <c r="BT84" s="1053" t="str">
        <f t="shared" si="60"/>
        <v>-</v>
      </c>
      <c r="BU84" s="1054" t="str">
        <f t="shared" si="60"/>
        <v>-</v>
      </c>
      <c r="BV84" s="1053" t="str">
        <f t="shared" si="60"/>
        <v>-</v>
      </c>
      <c r="BW84" s="1053" t="str">
        <f t="shared" si="60"/>
        <v>-</v>
      </c>
      <c r="BX84" s="1053" t="str">
        <f t="shared" si="60"/>
        <v>-</v>
      </c>
      <c r="BY84" s="1053" t="str">
        <f t="shared" si="60"/>
        <v>-</v>
      </c>
      <c r="BZ84" s="1054" t="str">
        <f t="shared" si="60"/>
        <v>-</v>
      </c>
    </row>
    <row r="85" spans="3:78" x14ac:dyDescent="0.3">
      <c r="C85" s="126"/>
      <c r="D85" s="126"/>
      <c r="E85" s="558" t="s">
        <v>46</v>
      </c>
      <c r="F85" s="1722" t="str">
        <f>+F84</f>
        <v>[Service]</v>
      </c>
      <c r="G85" s="1724">
        <f>+G84</f>
        <v>0</v>
      </c>
      <c r="H85" s="1724">
        <f>+H84</f>
        <v>0</v>
      </c>
      <c r="I85" s="1725" t="str">
        <f>+I84</f>
        <v>[Price]</v>
      </c>
      <c r="J85" s="574" t="s">
        <v>323</v>
      </c>
      <c r="K85" s="1973"/>
      <c r="L85" s="1974"/>
      <c r="M85" s="1974"/>
      <c r="N85" s="1975"/>
      <c r="O85" s="1974"/>
      <c r="P85" s="1974"/>
      <c r="Q85" s="1974"/>
      <c r="R85" s="1976"/>
      <c r="S85" s="1980"/>
      <c r="T85" s="1976"/>
      <c r="U85" s="1976"/>
      <c r="V85" s="1976"/>
      <c r="W85" s="578"/>
      <c r="X85" s="1239"/>
      <c r="Y85" s="578"/>
      <c r="Z85" s="578"/>
      <c r="AA85" s="578"/>
      <c r="AB85" s="1143"/>
      <c r="AC85" s="578"/>
      <c r="AD85" s="578"/>
      <c r="AE85" s="578"/>
      <c r="AF85" s="578"/>
      <c r="AG85" s="580"/>
      <c r="AH85" s="579"/>
      <c r="AI85" s="578"/>
      <c r="AJ85" s="578"/>
      <c r="AK85" s="578"/>
      <c r="AL85" s="580"/>
      <c r="AN85" s="991"/>
      <c r="AP85" s="2285" t="str">
        <f t="shared" si="36"/>
        <v>Qty</v>
      </c>
      <c r="AQ85" s="2286" t="str">
        <f t="shared" si="36"/>
        <v>[Service]</v>
      </c>
      <c r="AR85" s="2287" t="str">
        <f t="shared" si="37"/>
        <v>[Price]</v>
      </c>
      <c r="AS85" s="2288" t="str">
        <f t="shared" si="38"/>
        <v>-</v>
      </c>
      <c r="AT85" s="1720" t="str">
        <f t="shared" si="38"/>
        <v>-</v>
      </c>
      <c r="AU85" s="1720" t="str">
        <f t="shared" si="38"/>
        <v>-</v>
      </c>
      <c r="AV85" s="2289" t="str">
        <f t="shared" si="38"/>
        <v>-</v>
      </c>
      <c r="AW85" s="1720" t="str">
        <f t="shared" si="38"/>
        <v>-</v>
      </c>
      <c r="AX85" s="2290" t="str">
        <f t="shared" si="38"/>
        <v>-</v>
      </c>
      <c r="AY85" s="1720" t="str">
        <f t="shared" si="38"/>
        <v>-</v>
      </c>
      <c r="AZ85" s="1720" t="str">
        <f t="shared" si="38"/>
        <v>-</v>
      </c>
      <c r="BA85" s="1720" t="str">
        <f t="shared" si="38"/>
        <v>-</v>
      </c>
      <c r="BB85" s="1721" t="str">
        <f t="shared" si="38"/>
        <v>-</v>
      </c>
      <c r="BC85" s="1720" t="str">
        <f t="shared" si="38"/>
        <v>-</v>
      </c>
      <c r="BD85" s="1720" t="str">
        <f t="shared" si="38"/>
        <v>-</v>
      </c>
      <c r="BE85" s="1720" t="str">
        <f t="shared" si="38"/>
        <v>-</v>
      </c>
      <c r="BF85" s="1720" t="str">
        <f t="shared" si="38"/>
        <v>-</v>
      </c>
      <c r="BG85" s="1721" t="str">
        <f t="shared" si="38"/>
        <v>-</v>
      </c>
      <c r="BH85" s="1048"/>
      <c r="BI85" s="2285" t="str">
        <f t="shared" si="59"/>
        <v>Qty</v>
      </c>
      <c r="BJ85" s="2286" t="str">
        <f t="shared" si="59"/>
        <v>[Service]</v>
      </c>
      <c r="BK85" s="2287" t="str">
        <f t="shared" si="59"/>
        <v>[Price]</v>
      </c>
      <c r="BL85" s="2288" t="str">
        <f t="shared" ref="BL85:BZ85" si="61">IF(OR(X85="",X85=0),"-",IFERROR((X85/W85-1)*(W86/W$13),"-"))</f>
        <v>-</v>
      </c>
      <c r="BM85" s="1720" t="str">
        <f t="shared" si="61"/>
        <v>-</v>
      </c>
      <c r="BN85" s="1720" t="str">
        <f t="shared" si="61"/>
        <v>-</v>
      </c>
      <c r="BO85" s="2289" t="str">
        <f t="shared" si="61"/>
        <v>-</v>
      </c>
      <c r="BP85" s="1720" t="str">
        <f t="shared" si="61"/>
        <v>-</v>
      </c>
      <c r="BQ85" s="2290" t="str">
        <f t="shared" si="61"/>
        <v>-</v>
      </c>
      <c r="BR85" s="1720" t="str">
        <f t="shared" si="61"/>
        <v>-</v>
      </c>
      <c r="BS85" s="1720" t="str">
        <f t="shared" si="61"/>
        <v>-</v>
      </c>
      <c r="BT85" s="1720" t="str">
        <f t="shared" si="61"/>
        <v>-</v>
      </c>
      <c r="BU85" s="1721" t="str">
        <f t="shared" si="61"/>
        <v>-</v>
      </c>
      <c r="BV85" s="1720" t="str">
        <f t="shared" si="61"/>
        <v>-</v>
      </c>
      <c r="BW85" s="1720" t="str">
        <f t="shared" si="61"/>
        <v>-</v>
      </c>
      <c r="BX85" s="1720" t="str">
        <f t="shared" si="61"/>
        <v>-</v>
      </c>
      <c r="BY85" s="1720" t="str">
        <f t="shared" si="61"/>
        <v>-</v>
      </c>
      <c r="BZ85" s="1721" t="str">
        <f t="shared" si="61"/>
        <v>-</v>
      </c>
    </row>
    <row r="86" spans="3:78" ht="12.5" thickBot="1" x14ac:dyDescent="0.35">
      <c r="C86" s="126"/>
      <c r="D86" s="126"/>
      <c r="E86" s="559" t="s">
        <v>47</v>
      </c>
      <c r="F86" s="1723" t="str">
        <f>+F84</f>
        <v>[Service]</v>
      </c>
      <c r="G86" s="1726">
        <f>+G84</f>
        <v>0</v>
      </c>
      <c r="H86" s="1726">
        <f>+H84</f>
        <v>0</v>
      </c>
      <c r="I86" s="1727" t="str">
        <f>+I84</f>
        <v>[Price]</v>
      </c>
      <c r="J86" s="556" t="s">
        <v>347</v>
      </c>
      <c r="K86" s="1977"/>
      <c r="L86" s="1206"/>
      <c r="M86" s="1206"/>
      <c r="N86" s="1978"/>
      <c r="O86" s="1206"/>
      <c r="P86" s="1206"/>
      <c r="Q86" s="1206"/>
      <c r="R86" s="1206"/>
      <c r="S86" s="1978"/>
      <c r="T86" s="1206"/>
      <c r="U86" s="1206"/>
      <c r="V86" s="1206"/>
      <c r="W86" s="1731">
        <f t="shared" ref="W86:AG86" si="62">W84*W85/10^6</f>
        <v>0</v>
      </c>
      <c r="X86" s="1730">
        <f t="shared" si="62"/>
        <v>0</v>
      </c>
      <c r="Y86" s="1731">
        <f t="shared" si="62"/>
        <v>0</v>
      </c>
      <c r="Z86" s="1731">
        <f t="shared" si="62"/>
        <v>0</v>
      </c>
      <c r="AA86" s="1731">
        <f t="shared" si="62"/>
        <v>0</v>
      </c>
      <c r="AB86" s="1733">
        <f t="shared" si="62"/>
        <v>0</v>
      </c>
      <c r="AC86" s="1731">
        <f t="shared" si="62"/>
        <v>0</v>
      </c>
      <c r="AD86" s="1731">
        <f t="shared" si="62"/>
        <v>0</v>
      </c>
      <c r="AE86" s="1731">
        <f t="shared" si="62"/>
        <v>0</v>
      </c>
      <c r="AF86" s="1731">
        <f t="shared" si="62"/>
        <v>0</v>
      </c>
      <c r="AG86" s="1733">
        <f t="shared" si="62"/>
        <v>0</v>
      </c>
      <c r="AH86" s="1732">
        <f>AH84*AH85/10^6</f>
        <v>0</v>
      </c>
      <c r="AI86" s="1731">
        <f>AI84*AI85/10^6</f>
        <v>0</v>
      </c>
      <c r="AJ86" s="1731">
        <f>AJ84*AJ85/10^6</f>
        <v>0</v>
      </c>
      <c r="AK86" s="1731">
        <f>AK84*AK85/10^6</f>
        <v>0</v>
      </c>
      <c r="AL86" s="1733">
        <f>AL84*AL85/10^6</f>
        <v>0</v>
      </c>
      <c r="AN86" s="991"/>
      <c r="AP86" s="2304" t="str">
        <f t="shared" si="36"/>
        <v>Rev</v>
      </c>
      <c r="AQ86" s="2305" t="str">
        <f t="shared" si="36"/>
        <v>[Service]</v>
      </c>
      <c r="AR86" s="2306" t="str">
        <f t="shared" si="37"/>
        <v>[Price]</v>
      </c>
      <c r="AS86" s="2307" t="str">
        <f t="shared" ref="AS86:BG102" si="63">IF(OR(X86="",X86=0),"-",IFERROR(X86/W86-1,"-"))</f>
        <v>-</v>
      </c>
      <c r="AT86" s="1055" t="str">
        <f t="shared" si="63"/>
        <v>-</v>
      </c>
      <c r="AU86" s="1055" t="str">
        <f t="shared" si="63"/>
        <v>-</v>
      </c>
      <c r="AV86" s="2308" t="str">
        <f t="shared" si="63"/>
        <v>-</v>
      </c>
      <c r="AW86" s="1055" t="str">
        <f t="shared" si="63"/>
        <v>-</v>
      </c>
      <c r="AX86" s="2309" t="str">
        <f t="shared" si="63"/>
        <v>-</v>
      </c>
      <c r="AY86" s="1055" t="str">
        <f t="shared" si="63"/>
        <v>-</v>
      </c>
      <c r="AZ86" s="1055" t="str">
        <f t="shared" si="63"/>
        <v>-</v>
      </c>
      <c r="BA86" s="1055" t="str">
        <f t="shared" si="63"/>
        <v>-</v>
      </c>
      <c r="BB86" s="1056" t="str">
        <f t="shared" si="63"/>
        <v>-</v>
      </c>
      <c r="BC86" s="1055" t="str">
        <f t="shared" si="63"/>
        <v>-</v>
      </c>
      <c r="BD86" s="1055" t="str">
        <f t="shared" si="63"/>
        <v>-</v>
      </c>
      <c r="BE86" s="1055" t="str">
        <f t="shared" si="63"/>
        <v>-</v>
      </c>
      <c r="BF86" s="1055" t="str">
        <f t="shared" si="63"/>
        <v>-</v>
      </c>
      <c r="BG86" s="1056" t="str">
        <f t="shared" si="63"/>
        <v>-</v>
      </c>
      <c r="BH86" s="1048"/>
      <c r="BI86" s="2304" t="str">
        <f t="shared" si="59"/>
        <v>Rev</v>
      </c>
      <c r="BJ86" s="2305" t="str">
        <f t="shared" si="59"/>
        <v>[Service]</v>
      </c>
      <c r="BK86" s="2306" t="str">
        <f t="shared" si="59"/>
        <v>[Price]</v>
      </c>
      <c r="BL86" s="2307" t="str">
        <f t="shared" ref="BL86:BZ86" si="64">IF(OR(X86="",X86=0),"-",IFERROR((X86/W86-1)*(W86/W$13),"-"))</f>
        <v>-</v>
      </c>
      <c r="BM86" s="1055" t="str">
        <f t="shared" si="64"/>
        <v>-</v>
      </c>
      <c r="BN86" s="1055" t="str">
        <f t="shared" si="64"/>
        <v>-</v>
      </c>
      <c r="BO86" s="2308" t="str">
        <f t="shared" si="64"/>
        <v>-</v>
      </c>
      <c r="BP86" s="1055" t="str">
        <f t="shared" si="64"/>
        <v>-</v>
      </c>
      <c r="BQ86" s="2309" t="str">
        <f t="shared" si="64"/>
        <v>-</v>
      </c>
      <c r="BR86" s="1055" t="str">
        <f t="shared" si="64"/>
        <v>-</v>
      </c>
      <c r="BS86" s="1055" t="str">
        <f t="shared" si="64"/>
        <v>-</v>
      </c>
      <c r="BT86" s="1055" t="str">
        <f t="shared" si="64"/>
        <v>-</v>
      </c>
      <c r="BU86" s="1056" t="str">
        <f t="shared" si="64"/>
        <v>-</v>
      </c>
      <c r="BV86" s="1055" t="str">
        <f t="shared" si="64"/>
        <v>-</v>
      </c>
      <c r="BW86" s="1055" t="str">
        <f t="shared" si="64"/>
        <v>-</v>
      </c>
      <c r="BX86" s="1055" t="str">
        <f t="shared" si="64"/>
        <v>-</v>
      </c>
      <c r="BY86" s="1055" t="str">
        <f t="shared" si="64"/>
        <v>-</v>
      </c>
      <c r="BZ86" s="1056" t="str">
        <f t="shared" si="64"/>
        <v>-</v>
      </c>
    </row>
    <row r="87" spans="3:78" x14ac:dyDescent="0.3">
      <c r="C87" s="126"/>
      <c r="D87" s="126">
        <f>D84+1</f>
        <v>7</v>
      </c>
      <c r="E87" s="553" t="s">
        <v>45</v>
      </c>
      <c r="F87" s="581" t="s">
        <v>28</v>
      </c>
      <c r="G87" s="581"/>
      <c r="H87" s="581"/>
      <c r="I87" s="573" t="s">
        <v>319</v>
      </c>
      <c r="J87" s="573" t="s">
        <v>348</v>
      </c>
      <c r="K87" s="1969"/>
      <c r="L87" s="1970"/>
      <c r="M87" s="1970"/>
      <c r="N87" s="1971"/>
      <c r="O87" s="1970"/>
      <c r="P87" s="1970"/>
      <c r="Q87" s="1970"/>
      <c r="R87" s="1972"/>
      <c r="S87" s="1979"/>
      <c r="T87" s="1972"/>
      <c r="U87" s="1972"/>
      <c r="V87" s="1972"/>
      <c r="W87" s="575"/>
      <c r="X87" s="1238"/>
      <c r="Y87" s="575"/>
      <c r="Z87" s="575"/>
      <c r="AA87" s="575"/>
      <c r="AB87" s="1142"/>
      <c r="AC87" s="575"/>
      <c r="AD87" s="575"/>
      <c r="AE87" s="575"/>
      <c r="AF87" s="575"/>
      <c r="AG87" s="577"/>
      <c r="AH87" s="576"/>
      <c r="AI87" s="575"/>
      <c r="AJ87" s="575"/>
      <c r="AK87" s="575"/>
      <c r="AL87" s="577"/>
      <c r="AN87" s="1052"/>
      <c r="AP87" s="2297" t="str">
        <f t="shared" si="36"/>
        <v>Price</v>
      </c>
      <c r="AQ87" s="2298" t="str">
        <f t="shared" si="36"/>
        <v>[Service]</v>
      </c>
      <c r="AR87" s="1719" t="str">
        <f t="shared" si="37"/>
        <v>[Price]</v>
      </c>
      <c r="AS87" s="2299" t="str">
        <f t="shared" si="63"/>
        <v>-</v>
      </c>
      <c r="AT87" s="1728" t="str">
        <f t="shared" si="63"/>
        <v>-</v>
      </c>
      <c r="AU87" s="1728" t="str">
        <f t="shared" si="63"/>
        <v>-</v>
      </c>
      <c r="AV87" s="2300" t="str">
        <f t="shared" si="63"/>
        <v>-</v>
      </c>
      <c r="AW87" s="1728" t="str">
        <f t="shared" si="63"/>
        <v>-</v>
      </c>
      <c r="AX87" s="2301" t="str">
        <f t="shared" si="63"/>
        <v>-</v>
      </c>
      <c r="AY87" s="1728" t="str">
        <f t="shared" si="63"/>
        <v>-</v>
      </c>
      <c r="AZ87" s="1728" t="str">
        <f t="shared" si="63"/>
        <v>-</v>
      </c>
      <c r="BA87" s="1728" t="str">
        <f t="shared" si="63"/>
        <v>-</v>
      </c>
      <c r="BB87" s="1729" t="str">
        <f t="shared" si="63"/>
        <v>-</v>
      </c>
      <c r="BC87" s="1728" t="str">
        <f t="shared" si="63"/>
        <v>-</v>
      </c>
      <c r="BD87" s="1728" t="str">
        <f t="shared" si="63"/>
        <v>-</v>
      </c>
      <c r="BE87" s="1728" t="str">
        <f t="shared" si="63"/>
        <v>-</v>
      </c>
      <c r="BF87" s="1728" t="str">
        <f t="shared" si="63"/>
        <v>-</v>
      </c>
      <c r="BG87" s="1729" t="str">
        <f t="shared" si="63"/>
        <v>-</v>
      </c>
      <c r="BH87" s="1048"/>
      <c r="BI87" s="2297" t="str">
        <f t="shared" si="59"/>
        <v>Price</v>
      </c>
      <c r="BJ87" s="2298" t="str">
        <f t="shared" si="59"/>
        <v>[Service]</v>
      </c>
      <c r="BK87" s="1719" t="str">
        <f t="shared" si="59"/>
        <v>[Price]</v>
      </c>
      <c r="BL87" s="2299" t="str">
        <f t="shared" ref="BL87:BZ87" si="65">IF(OR(X87="",X87=0),"-",IFERROR((X87/W87-1)*(W89/W$13),"-"))</f>
        <v>-</v>
      </c>
      <c r="BM87" s="1053" t="str">
        <f t="shared" si="65"/>
        <v>-</v>
      </c>
      <c r="BN87" s="1053" t="str">
        <f t="shared" si="65"/>
        <v>-</v>
      </c>
      <c r="BO87" s="2302" t="str">
        <f t="shared" si="65"/>
        <v>-</v>
      </c>
      <c r="BP87" s="1053" t="str">
        <f t="shared" si="65"/>
        <v>-</v>
      </c>
      <c r="BQ87" s="2303" t="str">
        <f t="shared" si="65"/>
        <v>-</v>
      </c>
      <c r="BR87" s="1053" t="str">
        <f t="shared" si="65"/>
        <v>-</v>
      </c>
      <c r="BS87" s="1053" t="str">
        <f t="shared" si="65"/>
        <v>-</v>
      </c>
      <c r="BT87" s="1053" t="str">
        <f t="shared" si="65"/>
        <v>-</v>
      </c>
      <c r="BU87" s="1054" t="str">
        <f t="shared" si="65"/>
        <v>-</v>
      </c>
      <c r="BV87" s="1053" t="str">
        <f t="shared" si="65"/>
        <v>-</v>
      </c>
      <c r="BW87" s="1053" t="str">
        <f t="shared" si="65"/>
        <v>-</v>
      </c>
      <c r="BX87" s="1053" t="str">
        <f t="shared" si="65"/>
        <v>-</v>
      </c>
      <c r="BY87" s="1053" t="str">
        <f t="shared" si="65"/>
        <v>-</v>
      </c>
      <c r="BZ87" s="1054" t="str">
        <f t="shared" si="65"/>
        <v>-</v>
      </c>
    </row>
    <row r="88" spans="3:78" x14ac:dyDescent="0.3">
      <c r="C88" s="126"/>
      <c r="D88" s="126"/>
      <c r="E88" s="558" t="s">
        <v>46</v>
      </c>
      <c r="F88" s="1722" t="str">
        <f>+F87</f>
        <v>[Service]</v>
      </c>
      <c r="G88" s="1724">
        <f>+G87</f>
        <v>0</v>
      </c>
      <c r="H88" s="1724">
        <f>+H87</f>
        <v>0</v>
      </c>
      <c r="I88" s="1725" t="str">
        <f>+I87</f>
        <v>[Price]</v>
      </c>
      <c r="J88" s="574" t="s">
        <v>323</v>
      </c>
      <c r="K88" s="1973"/>
      <c r="L88" s="1974"/>
      <c r="M88" s="1974"/>
      <c r="N88" s="1975"/>
      <c r="O88" s="1974"/>
      <c r="P88" s="1974"/>
      <c r="Q88" s="1974"/>
      <c r="R88" s="1976"/>
      <c r="S88" s="1980"/>
      <c r="T88" s="1976"/>
      <c r="U88" s="1976"/>
      <c r="V88" s="1976"/>
      <c r="W88" s="578"/>
      <c r="X88" s="1239"/>
      <c r="Y88" s="578"/>
      <c r="Z88" s="578"/>
      <c r="AA88" s="578"/>
      <c r="AB88" s="1143"/>
      <c r="AC88" s="578"/>
      <c r="AD88" s="578"/>
      <c r="AE88" s="578"/>
      <c r="AF88" s="578"/>
      <c r="AG88" s="580"/>
      <c r="AH88" s="579"/>
      <c r="AI88" s="578"/>
      <c r="AJ88" s="578"/>
      <c r="AK88" s="578"/>
      <c r="AL88" s="580"/>
      <c r="AN88" s="991"/>
      <c r="AP88" s="2285" t="str">
        <f t="shared" si="36"/>
        <v>Qty</v>
      </c>
      <c r="AQ88" s="2286" t="str">
        <f t="shared" si="36"/>
        <v>[Service]</v>
      </c>
      <c r="AR88" s="2287" t="str">
        <f t="shared" si="37"/>
        <v>[Price]</v>
      </c>
      <c r="AS88" s="2288" t="str">
        <f t="shared" si="63"/>
        <v>-</v>
      </c>
      <c r="AT88" s="1720" t="str">
        <f t="shared" si="63"/>
        <v>-</v>
      </c>
      <c r="AU88" s="1720" t="str">
        <f t="shared" si="63"/>
        <v>-</v>
      </c>
      <c r="AV88" s="2289" t="str">
        <f t="shared" si="63"/>
        <v>-</v>
      </c>
      <c r="AW88" s="1720" t="str">
        <f t="shared" si="63"/>
        <v>-</v>
      </c>
      <c r="AX88" s="2290" t="str">
        <f t="shared" si="63"/>
        <v>-</v>
      </c>
      <c r="AY88" s="1720" t="str">
        <f t="shared" si="63"/>
        <v>-</v>
      </c>
      <c r="AZ88" s="1720" t="str">
        <f t="shared" si="63"/>
        <v>-</v>
      </c>
      <c r="BA88" s="1720" t="str">
        <f t="shared" si="63"/>
        <v>-</v>
      </c>
      <c r="BB88" s="1721" t="str">
        <f t="shared" si="63"/>
        <v>-</v>
      </c>
      <c r="BC88" s="1720" t="str">
        <f t="shared" si="63"/>
        <v>-</v>
      </c>
      <c r="BD88" s="1720" t="str">
        <f t="shared" si="63"/>
        <v>-</v>
      </c>
      <c r="BE88" s="1720" t="str">
        <f t="shared" si="63"/>
        <v>-</v>
      </c>
      <c r="BF88" s="1720" t="str">
        <f t="shared" si="63"/>
        <v>-</v>
      </c>
      <c r="BG88" s="1721" t="str">
        <f t="shared" si="63"/>
        <v>-</v>
      </c>
      <c r="BH88" s="1048"/>
      <c r="BI88" s="2285" t="str">
        <f t="shared" si="59"/>
        <v>Qty</v>
      </c>
      <c r="BJ88" s="2286" t="str">
        <f t="shared" si="59"/>
        <v>[Service]</v>
      </c>
      <c r="BK88" s="2287" t="str">
        <f t="shared" si="59"/>
        <v>[Price]</v>
      </c>
      <c r="BL88" s="2288" t="str">
        <f t="shared" ref="BL88:BZ88" si="66">IF(OR(X88="",X88=0),"-",IFERROR((X88/W88-1)*(W89/W$13),"-"))</f>
        <v>-</v>
      </c>
      <c r="BM88" s="1720" t="str">
        <f t="shared" si="66"/>
        <v>-</v>
      </c>
      <c r="BN88" s="1720" t="str">
        <f t="shared" si="66"/>
        <v>-</v>
      </c>
      <c r="BO88" s="2289" t="str">
        <f t="shared" si="66"/>
        <v>-</v>
      </c>
      <c r="BP88" s="1720" t="str">
        <f t="shared" si="66"/>
        <v>-</v>
      </c>
      <c r="BQ88" s="2290" t="str">
        <f t="shared" si="66"/>
        <v>-</v>
      </c>
      <c r="BR88" s="1720" t="str">
        <f t="shared" si="66"/>
        <v>-</v>
      </c>
      <c r="BS88" s="1720" t="str">
        <f t="shared" si="66"/>
        <v>-</v>
      </c>
      <c r="BT88" s="1720" t="str">
        <f t="shared" si="66"/>
        <v>-</v>
      </c>
      <c r="BU88" s="1721" t="str">
        <f t="shared" si="66"/>
        <v>-</v>
      </c>
      <c r="BV88" s="1720" t="str">
        <f t="shared" si="66"/>
        <v>-</v>
      </c>
      <c r="BW88" s="1720" t="str">
        <f t="shared" si="66"/>
        <v>-</v>
      </c>
      <c r="BX88" s="1720" t="str">
        <f t="shared" si="66"/>
        <v>-</v>
      </c>
      <c r="BY88" s="1720" t="str">
        <f t="shared" si="66"/>
        <v>-</v>
      </c>
      <c r="BZ88" s="1721" t="str">
        <f t="shared" si="66"/>
        <v>-</v>
      </c>
    </row>
    <row r="89" spans="3:78" ht="12.5" thickBot="1" x14ac:dyDescent="0.35">
      <c r="C89" s="126"/>
      <c r="D89" s="126"/>
      <c r="E89" s="559" t="s">
        <v>47</v>
      </c>
      <c r="F89" s="1723" t="str">
        <f>+F87</f>
        <v>[Service]</v>
      </c>
      <c r="G89" s="1726">
        <f>+G87</f>
        <v>0</v>
      </c>
      <c r="H89" s="1726">
        <f>+H87</f>
        <v>0</v>
      </c>
      <c r="I89" s="1727" t="str">
        <f>+I87</f>
        <v>[Price]</v>
      </c>
      <c r="J89" s="556" t="s">
        <v>347</v>
      </c>
      <c r="K89" s="1977"/>
      <c r="L89" s="1206"/>
      <c r="M89" s="1206"/>
      <c r="N89" s="1978"/>
      <c r="O89" s="1206"/>
      <c r="P89" s="1206"/>
      <c r="Q89" s="1206"/>
      <c r="R89" s="1206"/>
      <c r="S89" s="1978"/>
      <c r="T89" s="1206"/>
      <c r="U89" s="1206"/>
      <c r="V89" s="1206"/>
      <c r="W89" s="1731">
        <f t="shared" ref="W89:AG89" si="67">W87*W88/10^6</f>
        <v>0</v>
      </c>
      <c r="X89" s="1730">
        <f t="shared" si="67"/>
        <v>0</v>
      </c>
      <c r="Y89" s="1731">
        <f t="shared" si="67"/>
        <v>0</v>
      </c>
      <c r="Z89" s="1731">
        <f t="shared" si="67"/>
        <v>0</v>
      </c>
      <c r="AA89" s="1731">
        <f t="shared" si="67"/>
        <v>0</v>
      </c>
      <c r="AB89" s="1733">
        <f t="shared" si="67"/>
        <v>0</v>
      </c>
      <c r="AC89" s="1731">
        <f t="shared" si="67"/>
        <v>0</v>
      </c>
      <c r="AD89" s="1731">
        <f t="shared" si="67"/>
        <v>0</v>
      </c>
      <c r="AE89" s="1731">
        <f t="shared" si="67"/>
        <v>0</v>
      </c>
      <c r="AF89" s="1731">
        <f t="shared" si="67"/>
        <v>0</v>
      </c>
      <c r="AG89" s="1733">
        <f t="shared" si="67"/>
        <v>0</v>
      </c>
      <c r="AH89" s="1732">
        <f>AH87*AH88/10^6</f>
        <v>0</v>
      </c>
      <c r="AI89" s="1731">
        <f>AI87*AI88/10^6</f>
        <v>0</v>
      </c>
      <c r="AJ89" s="1731">
        <f>AJ87*AJ88/10^6</f>
        <v>0</v>
      </c>
      <c r="AK89" s="1731">
        <f>AK87*AK88/10^6</f>
        <v>0</v>
      </c>
      <c r="AL89" s="1733">
        <f>AL87*AL88/10^6</f>
        <v>0</v>
      </c>
      <c r="AN89" s="991"/>
      <c r="AP89" s="2304" t="str">
        <f t="shared" si="36"/>
        <v>Rev</v>
      </c>
      <c r="AQ89" s="2305" t="str">
        <f t="shared" si="36"/>
        <v>[Service]</v>
      </c>
      <c r="AR89" s="2306" t="str">
        <f t="shared" si="37"/>
        <v>[Price]</v>
      </c>
      <c r="AS89" s="2307" t="str">
        <f t="shared" si="63"/>
        <v>-</v>
      </c>
      <c r="AT89" s="1055" t="str">
        <f t="shared" si="63"/>
        <v>-</v>
      </c>
      <c r="AU89" s="1055" t="str">
        <f t="shared" si="63"/>
        <v>-</v>
      </c>
      <c r="AV89" s="2308" t="str">
        <f t="shared" si="63"/>
        <v>-</v>
      </c>
      <c r="AW89" s="1055" t="str">
        <f t="shared" si="63"/>
        <v>-</v>
      </c>
      <c r="AX89" s="2309" t="str">
        <f t="shared" si="63"/>
        <v>-</v>
      </c>
      <c r="AY89" s="1055" t="str">
        <f t="shared" si="63"/>
        <v>-</v>
      </c>
      <c r="AZ89" s="1055" t="str">
        <f t="shared" si="63"/>
        <v>-</v>
      </c>
      <c r="BA89" s="1055" t="str">
        <f t="shared" si="63"/>
        <v>-</v>
      </c>
      <c r="BB89" s="1056" t="str">
        <f t="shared" si="63"/>
        <v>-</v>
      </c>
      <c r="BC89" s="1055" t="str">
        <f t="shared" si="63"/>
        <v>-</v>
      </c>
      <c r="BD89" s="1055" t="str">
        <f t="shared" si="63"/>
        <v>-</v>
      </c>
      <c r="BE89" s="1055" t="str">
        <f t="shared" si="63"/>
        <v>-</v>
      </c>
      <c r="BF89" s="1055" t="str">
        <f t="shared" si="63"/>
        <v>-</v>
      </c>
      <c r="BG89" s="1056" t="str">
        <f t="shared" si="63"/>
        <v>-</v>
      </c>
      <c r="BH89" s="1048"/>
      <c r="BI89" s="2304" t="str">
        <f t="shared" si="59"/>
        <v>Rev</v>
      </c>
      <c r="BJ89" s="2305" t="str">
        <f t="shared" si="59"/>
        <v>[Service]</v>
      </c>
      <c r="BK89" s="2306" t="str">
        <f t="shared" si="59"/>
        <v>[Price]</v>
      </c>
      <c r="BL89" s="2307" t="str">
        <f t="shared" ref="BL89:BZ89" si="68">IF(OR(X89="",X89=0),"-",IFERROR((X89/W89-1)*(W89/W$13),"-"))</f>
        <v>-</v>
      </c>
      <c r="BM89" s="1055" t="str">
        <f t="shared" si="68"/>
        <v>-</v>
      </c>
      <c r="BN89" s="1055" t="str">
        <f t="shared" si="68"/>
        <v>-</v>
      </c>
      <c r="BO89" s="2308" t="str">
        <f t="shared" si="68"/>
        <v>-</v>
      </c>
      <c r="BP89" s="1055" t="str">
        <f t="shared" si="68"/>
        <v>-</v>
      </c>
      <c r="BQ89" s="2309" t="str">
        <f t="shared" si="68"/>
        <v>-</v>
      </c>
      <c r="BR89" s="1055" t="str">
        <f t="shared" si="68"/>
        <v>-</v>
      </c>
      <c r="BS89" s="1055" t="str">
        <f t="shared" si="68"/>
        <v>-</v>
      </c>
      <c r="BT89" s="1055" t="str">
        <f t="shared" si="68"/>
        <v>-</v>
      </c>
      <c r="BU89" s="1056" t="str">
        <f t="shared" si="68"/>
        <v>-</v>
      </c>
      <c r="BV89" s="1055" t="str">
        <f t="shared" si="68"/>
        <v>-</v>
      </c>
      <c r="BW89" s="1055" t="str">
        <f t="shared" si="68"/>
        <v>-</v>
      </c>
      <c r="BX89" s="1055" t="str">
        <f t="shared" si="68"/>
        <v>-</v>
      </c>
      <c r="BY89" s="1055" t="str">
        <f t="shared" si="68"/>
        <v>-</v>
      </c>
      <c r="BZ89" s="1056" t="str">
        <f t="shared" si="68"/>
        <v>-</v>
      </c>
    </row>
    <row r="90" spans="3:78" x14ac:dyDescent="0.3">
      <c r="C90" s="126"/>
      <c r="D90" s="126">
        <f>D87+1</f>
        <v>8</v>
      </c>
      <c r="E90" s="553" t="s">
        <v>45</v>
      </c>
      <c r="F90" s="581" t="s">
        <v>28</v>
      </c>
      <c r="G90" s="581"/>
      <c r="H90" s="581"/>
      <c r="I90" s="573" t="s">
        <v>319</v>
      </c>
      <c r="J90" s="573" t="s">
        <v>348</v>
      </c>
      <c r="K90" s="1969"/>
      <c r="L90" s="1970"/>
      <c r="M90" s="1970"/>
      <c r="N90" s="1971"/>
      <c r="O90" s="1970"/>
      <c r="P90" s="1970"/>
      <c r="Q90" s="1970"/>
      <c r="R90" s="1972"/>
      <c r="S90" s="1979"/>
      <c r="T90" s="1972"/>
      <c r="U90" s="1972"/>
      <c r="V90" s="1972"/>
      <c r="W90" s="575"/>
      <c r="X90" s="1238"/>
      <c r="Y90" s="575"/>
      <c r="Z90" s="575"/>
      <c r="AA90" s="575"/>
      <c r="AB90" s="1142"/>
      <c r="AC90" s="575"/>
      <c r="AD90" s="575"/>
      <c r="AE90" s="575"/>
      <c r="AF90" s="575"/>
      <c r="AG90" s="577"/>
      <c r="AH90" s="576"/>
      <c r="AI90" s="575"/>
      <c r="AJ90" s="575"/>
      <c r="AK90" s="575"/>
      <c r="AL90" s="577"/>
      <c r="AN90" s="1052"/>
      <c r="AP90" s="2297" t="str">
        <f t="shared" si="36"/>
        <v>Price</v>
      </c>
      <c r="AQ90" s="2298" t="str">
        <f t="shared" si="36"/>
        <v>[Service]</v>
      </c>
      <c r="AR90" s="1719" t="str">
        <f t="shared" si="37"/>
        <v>[Price]</v>
      </c>
      <c r="AS90" s="2299" t="str">
        <f t="shared" si="63"/>
        <v>-</v>
      </c>
      <c r="AT90" s="1728" t="str">
        <f t="shared" si="63"/>
        <v>-</v>
      </c>
      <c r="AU90" s="1728" t="str">
        <f t="shared" si="63"/>
        <v>-</v>
      </c>
      <c r="AV90" s="2300" t="str">
        <f t="shared" si="63"/>
        <v>-</v>
      </c>
      <c r="AW90" s="1728" t="str">
        <f t="shared" si="63"/>
        <v>-</v>
      </c>
      <c r="AX90" s="2301" t="str">
        <f t="shared" si="63"/>
        <v>-</v>
      </c>
      <c r="AY90" s="1728" t="str">
        <f t="shared" si="63"/>
        <v>-</v>
      </c>
      <c r="AZ90" s="1728" t="str">
        <f t="shared" si="63"/>
        <v>-</v>
      </c>
      <c r="BA90" s="1728" t="str">
        <f t="shared" si="63"/>
        <v>-</v>
      </c>
      <c r="BB90" s="1729" t="str">
        <f t="shared" si="63"/>
        <v>-</v>
      </c>
      <c r="BC90" s="1728" t="str">
        <f t="shared" si="63"/>
        <v>-</v>
      </c>
      <c r="BD90" s="1728" t="str">
        <f t="shared" si="63"/>
        <v>-</v>
      </c>
      <c r="BE90" s="1728" t="str">
        <f t="shared" si="63"/>
        <v>-</v>
      </c>
      <c r="BF90" s="1728" t="str">
        <f t="shared" si="63"/>
        <v>-</v>
      </c>
      <c r="BG90" s="1729" t="str">
        <f t="shared" si="63"/>
        <v>-</v>
      </c>
      <c r="BH90" s="1048"/>
      <c r="BI90" s="2297" t="str">
        <f t="shared" si="59"/>
        <v>Price</v>
      </c>
      <c r="BJ90" s="2298" t="str">
        <f t="shared" si="59"/>
        <v>[Service]</v>
      </c>
      <c r="BK90" s="1719" t="str">
        <f t="shared" si="59"/>
        <v>[Price]</v>
      </c>
      <c r="BL90" s="2299" t="str">
        <f t="shared" ref="BL90:BZ90" si="69">IF(OR(X90="",X90=0),"-",IFERROR((X90/W90-1)*(W92/W$13),"-"))</f>
        <v>-</v>
      </c>
      <c r="BM90" s="1053" t="str">
        <f t="shared" si="69"/>
        <v>-</v>
      </c>
      <c r="BN90" s="1053" t="str">
        <f t="shared" si="69"/>
        <v>-</v>
      </c>
      <c r="BO90" s="2302" t="str">
        <f t="shared" si="69"/>
        <v>-</v>
      </c>
      <c r="BP90" s="1053" t="str">
        <f t="shared" si="69"/>
        <v>-</v>
      </c>
      <c r="BQ90" s="2303" t="str">
        <f t="shared" si="69"/>
        <v>-</v>
      </c>
      <c r="BR90" s="1053" t="str">
        <f t="shared" si="69"/>
        <v>-</v>
      </c>
      <c r="BS90" s="1053" t="str">
        <f t="shared" si="69"/>
        <v>-</v>
      </c>
      <c r="BT90" s="1053" t="str">
        <f t="shared" si="69"/>
        <v>-</v>
      </c>
      <c r="BU90" s="1054" t="str">
        <f t="shared" si="69"/>
        <v>-</v>
      </c>
      <c r="BV90" s="1053" t="str">
        <f t="shared" si="69"/>
        <v>-</v>
      </c>
      <c r="BW90" s="1053" t="str">
        <f t="shared" si="69"/>
        <v>-</v>
      </c>
      <c r="BX90" s="1053" t="str">
        <f t="shared" si="69"/>
        <v>-</v>
      </c>
      <c r="BY90" s="1053" t="str">
        <f t="shared" si="69"/>
        <v>-</v>
      </c>
      <c r="BZ90" s="1054" t="str">
        <f t="shared" si="69"/>
        <v>-</v>
      </c>
    </row>
    <row r="91" spans="3:78" x14ac:dyDescent="0.3">
      <c r="C91" s="126"/>
      <c r="D91" s="126"/>
      <c r="E91" s="558" t="s">
        <v>46</v>
      </c>
      <c r="F91" s="1722" t="str">
        <f>+F90</f>
        <v>[Service]</v>
      </c>
      <c r="G91" s="1724">
        <f>+G90</f>
        <v>0</v>
      </c>
      <c r="H91" s="1724">
        <f>+H90</f>
        <v>0</v>
      </c>
      <c r="I91" s="1725" t="str">
        <f>+I90</f>
        <v>[Price]</v>
      </c>
      <c r="J91" s="574" t="s">
        <v>323</v>
      </c>
      <c r="K91" s="1973"/>
      <c r="L91" s="1974"/>
      <c r="M91" s="1974"/>
      <c r="N91" s="1975"/>
      <c r="O91" s="1974"/>
      <c r="P91" s="1974"/>
      <c r="Q91" s="1974"/>
      <c r="R91" s="1976"/>
      <c r="S91" s="1980"/>
      <c r="T91" s="1976"/>
      <c r="U91" s="1976"/>
      <c r="V91" s="1976"/>
      <c r="W91" s="578"/>
      <c r="X91" s="1239"/>
      <c r="Y91" s="578"/>
      <c r="Z91" s="578"/>
      <c r="AA91" s="578"/>
      <c r="AB91" s="1143"/>
      <c r="AC91" s="578"/>
      <c r="AD91" s="578"/>
      <c r="AE91" s="578"/>
      <c r="AF91" s="578"/>
      <c r="AG91" s="580"/>
      <c r="AH91" s="579"/>
      <c r="AI91" s="578"/>
      <c r="AJ91" s="578"/>
      <c r="AK91" s="578"/>
      <c r="AL91" s="580"/>
      <c r="AN91" s="991"/>
      <c r="AP91" s="2285" t="str">
        <f t="shared" si="36"/>
        <v>Qty</v>
      </c>
      <c r="AQ91" s="2286" t="str">
        <f t="shared" si="36"/>
        <v>[Service]</v>
      </c>
      <c r="AR91" s="2287" t="str">
        <f t="shared" si="37"/>
        <v>[Price]</v>
      </c>
      <c r="AS91" s="2288" t="str">
        <f t="shared" si="63"/>
        <v>-</v>
      </c>
      <c r="AT91" s="1720" t="str">
        <f t="shared" si="63"/>
        <v>-</v>
      </c>
      <c r="AU91" s="1720" t="str">
        <f t="shared" si="63"/>
        <v>-</v>
      </c>
      <c r="AV91" s="2289" t="str">
        <f t="shared" si="63"/>
        <v>-</v>
      </c>
      <c r="AW91" s="1720" t="str">
        <f t="shared" si="63"/>
        <v>-</v>
      </c>
      <c r="AX91" s="2290" t="str">
        <f t="shared" si="63"/>
        <v>-</v>
      </c>
      <c r="AY91" s="1720" t="str">
        <f t="shared" si="63"/>
        <v>-</v>
      </c>
      <c r="AZ91" s="1720" t="str">
        <f t="shared" si="63"/>
        <v>-</v>
      </c>
      <c r="BA91" s="1720" t="str">
        <f t="shared" si="63"/>
        <v>-</v>
      </c>
      <c r="BB91" s="1721" t="str">
        <f t="shared" si="63"/>
        <v>-</v>
      </c>
      <c r="BC91" s="1720" t="str">
        <f t="shared" si="63"/>
        <v>-</v>
      </c>
      <c r="BD91" s="1720" t="str">
        <f t="shared" si="63"/>
        <v>-</v>
      </c>
      <c r="BE91" s="1720" t="str">
        <f t="shared" si="63"/>
        <v>-</v>
      </c>
      <c r="BF91" s="1720" t="str">
        <f t="shared" si="63"/>
        <v>-</v>
      </c>
      <c r="BG91" s="1721" t="str">
        <f t="shared" si="63"/>
        <v>-</v>
      </c>
      <c r="BH91" s="1048"/>
      <c r="BI91" s="2285" t="str">
        <f t="shared" si="59"/>
        <v>Qty</v>
      </c>
      <c r="BJ91" s="2286" t="str">
        <f t="shared" si="59"/>
        <v>[Service]</v>
      </c>
      <c r="BK91" s="2287" t="str">
        <f t="shared" si="59"/>
        <v>[Price]</v>
      </c>
      <c r="BL91" s="2288" t="str">
        <f t="shared" ref="BL91:BZ91" si="70">IF(OR(X91="",X91=0),"-",IFERROR((X91/W91-1)*(W92/W$13),"-"))</f>
        <v>-</v>
      </c>
      <c r="BM91" s="1720" t="str">
        <f t="shared" si="70"/>
        <v>-</v>
      </c>
      <c r="BN91" s="1720" t="str">
        <f t="shared" si="70"/>
        <v>-</v>
      </c>
      <c r="BO91" s="2289" t="str">
        <f t="shared" si="70"/>
        <v>-</v>
      </c>
      <c r="BP91" s="1720" t="str">
        <f t="shared" si="70"/>
        <v>-</v>
      </c>
      <c r="BQ91" s="2290" t="str">
        <f t="shared" si="70"/>
        <v>-</v>
      </c>
      <c r="BR91" s="1720" t="str">
        <f t="shared" si="70"/>
        <v>-</v>
      </c>
      <c r="BS91" s="1720" t="str">
        <f t="shared" si="70"/>
        <v>-</v>
      </c>
      <c r="BT91" s="1720" t="str">
        <f t="shared" si="70"/>
        <v>-</v>
      </c>
      <c r="BU91" s="1721" t="str">
        <f t="shared" si="70"/>
        <v>-</v>
      </c>
      <c r="BV91" s="1720" t="str">
        <f t="shared" si="70"/>
        <v>-</v>
      </c>
      <c r="BW91" s="1720" t="str">
        <f t="shared" si="70"/>
        <v>-</v>
      </c>
      <c r="BX91" s="1720" t="str">
        <f t="shared" si="70"/>
        <v>-</v>
      </c>
      <c r="BY91" s="1720" t="str">
        <f t="shared" si="70"/>
        <v>-</v>
      </c>
      <c r="BZ91" s="1721" t="str">
        <f t="shared" si="70"/>
        <v>-</v>
      </c>
    </row>
    <row r="92" spans="3:78" ht="12.5" thickBot="1" x14ac:dyDescent="0.35">
      <c r="C92" s="126"/>
      <c r="D92" s="126"/>
      <c r="E92" s="559" t="s">
        <v>47</v>
      </c>
      <c r="F92" s="1723" t="str">
        <f>+F90</f>
        <v>[Service]</v>
      </c>
      <c r="G92" s="1726">
        <f>+G90</f>
        <v>0</v>
      </c>
      <c r="H92" s="1726">
        <f>+H90</f>
        <v>0</v>
      </c>
      <c r="I92" s="1727" t="str">
        <f>+I90</f>
        <v>[Price]</v>
      </c>
      <c r="J92" s="556" t="s">
        <v>347</v>
      </c>
      <c r="K92" s="1977"/>
      <c r="L92" s="1206"/>
      <c r="M92" s="1206"/>
      <c r="N92" s="1978"/>
      <c r="O92" s="1206"/>
      <c r="P92" s="1206"/>
      <c r="Q92" s="1206"/>
      <c r="R92" s="1206"/>
      <c r="S92" s="1978"/>
      <c r="T92" s="1206"/>
      <c r="U92" s="1206"/>
      <c r="V92" s="1206"/>
      <c r="W92" s="1731">
        <f t="shared" ref="W92:AG92" si="71">W90*W91/10^6</f>
        <v>0</v>
      </c>
      <c r="X92" s="1730">
        <f t="shared" si="71"/>
        <v>0</v>
      </c>
      <c r="Y92" s="1731">
        <f t="shared" si="71"/>
        <v>0</v>
      </c>
      <c r="Z92" s="1731">
        <f t="shared" si="71"/>
        <v>0</v>
      </c>
      <c r="AA92" s="1731">
        <f t="shared" si="71"/>
        <v>0</v>
      </c>
      <c r="AB92" s="1733">
        <f t="shared" si="71"/>
        <v>0</v>
      </c>
      <c r="AC92" s="1731">
        <f t="shared" si="71"/>
        <v>0</v>
      </c>
      <c r="AD92" s="1731">
        <f t="shared" si="71"/>
        <v>0</v>
      </c>
      <c r="AE92" s="1731">
        <f t="shared" si="71"/>
        <v>0</v>
      </c>
      <c r="AF92" s="1731">
        <f t="shared" si="71"/>
        <v>0</v>
      </c>
      <c r="AG92" s="1733">
        <f t="shared" si="71"/>
        <v>0</v>
      </c>
      <c r="AH92" s="1732">
        <f>AH90*AH91/10^6</f>
        <v>0</v>
      </c>
      <c r="AI92" s="1731">
        <f>AI90*AI91/10^6</f>
        <v>0</v>
      </c>
      <c r="AJ92" s="1731">
        <f>AJ90*AJ91/10^6</f>
        <v>0</v>
      </c>
      <c r="AK92" s="1731">
        <f>AK90*AK91/10^6</f>
        <v>0</v>
      </c>
      <c r="AL92" s="1733">
        <f>AL90*AL91/10^6</f>
        <v>0</v>
      </c>
      <c r="AN92" s="991"/>
      <c r="AP92" s="2304" t="str">
        <f t="shared" si="36"/>
        <v>Rev</v>
      </c>
      <c r="AQ92" s="2305" t="str">
        <f t="shared" si="36"/>
        <v>[Service]</v>
      </c>
      <c r="AR92" s="2306" t="str">
        <f t="shared" si="37"/>
        <v>[Price]</v>
      </c>
      <c r="AS92" s="2307" t="str">
        <f t="shared" si="63"/>
        <v>-</v>
      </c>
      <c r="AT92" s="1055" t="str">
        <f t="shared" si="63"/>
        <v>-</v>
      </c>
      <c r="AU92" s="1055" t="str">
        <f t="shared" si="63"/>
        <v>-</v>
      </c>
      <c r="AV92" s="2308" t="str">
        <f t="shared" si="63"/>
        <v>-</v>
      </c>
      <c r="AW92" s="1055" t="str">
        <f t="shared" si="63"/>
        <v>-</v>
      </c>
      <c r="AX92" s="2309" t="str">
        <f t="shared" si="63"/>
        <v>-</v>
      </c>
      <c r="AY92" s="1055" t="str">
        <f t="shared" si="63"/>
        <v>-</v>
      </c>
      <c r="AZ92" s="1055" t="str">
        <f t="shared" si="63"/>
        <v>-</v>
      </c>
      <c r="BA92" s="1055" t="str">
        <f t="shared" si="63"/>
        <v>-</v>
      </c>
      <c r="BB92" s="1056" t="str">
        <f t="shared" si="63"/>
        <v>-</v>
      </c>
      <c r="BC92" s="1055" t="str">
        <f t="shared" si="63"/>
        <v>-</v>
      </c>
      <c r="BD92" s="1055" t="str">
        <f t="shared" si="63"/>
        <v>-</v>
      </c>
      <c r="BE92" s="1055" t="str">
        <f t="shared" si="63"/>
        <v>-</v>
      </c>
      <c r="BF92" s="1055" t="str">
        <f t="shared" si="63"/>
        <v>-</v>
      </c>
      <c r="BG92" s="1056" t="str">
        <f t="shared" si="63"/>
        <v>-</v>
      </c>
      <c r="BH92" s="1048"/>
      <c r="BI92" s="2304" t="str">
        <f t="shared" si="59"/>
        <v>Rev</v>
      </c>
      <c r="BJ92" s="2305" t="str">
        <f t="shared" si="59"/>
        <v>[Service]</v>
      </c>
      <c r="BK92" s="2306" t="str">
        <f t="shared" si="59"/>
        <v>[Price]</v>
      </c>
      <c r="BL92" s="2307" t="str">
        <f t="shared" ref="BL92:BZ92" si="72">IF(OR(X92="",X92=0),"-",IFERROR((X92/W92-1)*(W92/W$13),"-"))</f>
        <v>-</v>
      </c>
      <c r="BM92" s="1055" t="str">
        <f t="shared" si="72"/>
        <v>-</v>
      </c>
      <c r="BN92" s="1055" t="str">
        <f t="shared" si="72"/>
        <v>-</v>
      </c>
      <c r="BO92" s="2308" t="str">
        <f t="shared" si="72"/>
        <v>-</v>
      </c>
      <c r="BP92" s="1055" t="str">
        <f t="shared" si="72"/>
        <v>-</v>
      </c>
      <c r="BQ92" s="2309" t="str">
        <f t="shared" si="72"/>
        <v>-</v>
      </c>
      <c r="BR92" s="1055" t="str">
        <f t="shared" si="72"/>
        <v>-</v>
      </c>
      <c r="BS92" s="1055" t="str">
        <f t="shared" si="72"/>
        <v>-</v>
      </c>
      <c r="BT92" s="1055" t="str">
        <f t="shared" si="72"/>
        <v>-</v>
      </c>
      <c r="BU92" s="1056" t="str">
        <f t="shared" si="72"/>
        <v>-</v>
      </c>
      <c r="BV92" s="1055" t="str">
        <f t="shared" si="72"/>
        <v>-</v>
      </c>
      <c r="BW92" s="1055" t="str">
        <f t="shared" si="72"/>
        <v>-</v>
      </c>
      <c r="BX92" s="1055" t="str">
        <f t="shared" si="72"/>
        <v>-</v>
      </c>
      <c r="BY92" s="1055" t="str">
        <f t="shared" si="72"/>
        <v>-</v>
      </c>
      <c r="BZ92" s="1056" t="str">
        <f t="shared" si="72"/>
        <v>-</v>
      </c>
    </row>
    <row r="93" spans="3:78" x14ac:dyDescent="0.3">
      <c r="C93" s="126"/>
      <c r="D93" s="126">
        <f>D90+1</f>
        <v>9</v>
      </c>
      <c r="E93" s="553" t="s">
        <v>45</v>
      </c>
      <c r="F93" s="581" t="s">
        <v>28</v>
      </c>
      <c r="G93" s="581"/>
      <c r="H93" s="581"/>
      <c r="I93" s="573" t="s">
        <v>319</v>
      </c>
      <c r="J93" s="573" t="s">
        <v>348</v>
      </c>
      <c r="K93" s="1969"/>
      <c r="L93" s="1970"/>
      <c r="M93" s="1970"/>
      <c r="N93" s="1971"/>
      <c r="O93" s="1970"/>
      <c r="P93" s="1970"/>
      <c r="Q93" s="1970"/>
      <c r="R93" s="1972"/>
      <c r="S93" s="1979"/>
      <c r="T93" s="1972"/>
      <c r="U93" s="1972"/>
      <c r="V93" s="1972"/>
      <c r="W93" s="575"/>
      <c r="X93" s="1238"/>
      <c r="Y93" s="575"/>
      <c r="Z93" s="575"/>
      <c r="AA93" s="575"/>
      <c r="AB93" s="1142"/>
      <c r="AC93" s="575"/>
      <c r="AD93" s="575"/>
      <c r="AE93" s="575"/>
      <c r="AF93" s="575"/>
      <c r="AG93" s="577"/>
      <c r="AH93" s="576"/>
      <c r="AI93" s="575"/>
      <c r="AJ93" s="575"/>
      <c r="AK93" s="575"/>
      <c r="AL93" s="577"/>
      <c r="AN93" s="1052"/>
      <c r="AP93" s="2297" t="str">
        <f t="shared" si="36"/>
        <v>Price</v>
      </c>
      <c r="AQ93" s="2298" t="str">
        <f t="shared" si="36"/>
        <v>[Service]</v>
      </c>
      <c r="AR93" s="1719" t="str">
        <f t="shared" si="37"/>
        <v>[Price]</v>
      </c>
      <c r="AS93" s="2299" t="str">
        <f t="shared" si="63"/>
        <v>-</v>
      </c>
      <c r="AT93" s="1728" t="str">
        <f t="shared" si="63"/>
        <v>-</v>
      </c>
      <c r="AU93" s="1728" t="str">
        <f t="shared" si="63"/>
        <v>-</v>
      </c>
      <c r="AV93" s="2300" t="str">
        <f t="shared" si="63"/>
        <v>-</v>
      </c>
      <c r="AW93" s="1728" t="str">
        <f t="shared" si="63"/>
        <v>-</v>
      </c>
      <c r="AX93" s="2301" t="str">
        <f t="shared" si="63"/>
        <v>-</v>
      </c>
      <c r="AY93" s="1728" t="str">
        <f t="shared" si="63"/>
        <v>-</v>
      </c>
      <c r="AZ93" s="1728" t="str">
        <f t="shared" si="63"/>
        <v>-</v>
      </c>
      <c r="BA93" s="1728" t="str">
        <f t="shared" si="63"/>
        <v>-</v>
      </c>
      <c r="BB93" s="1729" t="str">
        <f t="shared" si="63"/>
        <v>-</v>
      </c>
      <c r="BC93" s="1728" t="str">
        <f t="shared" si="63"/>
        <v>-</v>
      </c>
      <c r="BD93" s="1728" t="str">
        <f t="shared" si="63"/>
        <v>-</v>
      </c>
      <c r="BE93" s="1728" t="str">
        <f t="shared" si="63"/>
        <v>-</v>
      </c>
      <c r="BF93" s="1728" t="str">
        <f t="shared" si="63"/>
        <v>-</v>
      </c>
      <c r="BG93" s="1729" t="str">
        <f t="shared" si="63"/>
        <v>-</v>
      </c>
      <c r="BH93" s="1048"/>
      <c r="BI93" s="2297" t="str">
        <f t="shared" si="59"/>
        <v>Price</v>
      </c>
      <c r="BJ93" s="2298" t="str">
        <f t="shared" si="59"/>
        <v>[Service]</v>
      </c>
      <c r="BK93" s="1719" t="str">
        <f t="shared" si="59"/>
        <v>[Price]</v>
      </c>
      <c r="BL93" s="2299" t="str">
        <f t="shared" ref="BL93:BZ93" si="73">IF(OR(X93="",X93=0),"-",IFERROR((X93/W93-1)*(W95/W$13),"-"))</f>
        <v>-</v>
      </c>
      <c r="BM93" s="1053" t="str">
        <f t="shared" si="73"/>
        <v>-</v>
      </c>
      <c r="BN93" s="1053" t="str">
        <f t="shared" si="73"/>
        <v>-</v>
      </c>
      <c r="BO93" s="2302" t="str">
        <f t="shared" si="73"/>
        <v>-</v>
      </c>
      <c r="BP93" s="1053" t="str">
        <f t="shared" si="73"/>
        <v>-</v>
      </c>
      <c r="BQ93" s="2303" t="str">
        <f t="shared" si="73"/>
        <v>-</v>
      </c>
      <c r="BR93" s="1053" t="str">
        <f t="shared" si="73"/>
        <v>-</v>
      </c>
      <c r="BS93" s="1053" t="str">
        <f t="shared" si="73"/>
        <v>-</v>
      </c>
      <c r="BT93" s="1053" t="str">
        <f t="shared" si="73"/>
        <v>-</v>
      </c>
      <c r="BU93" s="1054" t="str">
        <f t="shared" si="73"/>
        <v>-</v>
      </c>
      <c r="BV93" s="1053" t="str">
        <f t="shared" si="73"/>
        <v>-</v>
      </c>
      <c r="BW93" s="1053" t="str">
        <f t="shared" si="73"/>
        <v>-</v>
      </c>
      <c r="BX93" s="1053" t="str">
        <f t="shared" si="73"/>
        <v>-</v>
      </c>
      <c r="BY93" s="1053" t="str">
        <f t="shared" si="73"/>
        <v>-</v>
      </c>
      <c r="BZ93" s="1054" t="str">
        <f t="shared" si="73"/>
        <v>-</v>
      </c>
    </row>
    <row r="94" spans="3:78" x14ac:dyDescent="0.3">
      <c r="C94" s="126"/>
      <c r="D94" s="126"/>
      <c r="E94" s="558" t="s">
        <v>46</v>
      </c>
      <c r="F94" s="1722" t="str">
        <f>+F93</f>
        <v>[Service]</v>
      </c>
      <c r="G94" s="1724">
        <f>+G93</f>
        <v>0</v>
      </c>
      <c r="H94" s="1724">
        <f>+H93</f>
        <v>0</v>
      </c>
      <c r="I94" s="1725" t="str">
        <f>+I93</f>
        <v>[Price]</v>
      </c>
      <c r="J94" s="574" t="s">
        <v>323</v>
      </c>
      <c r="K94" s="1973"/>
      <c r="L94" s="1974"/>
      <c r="M94" s="1974"/>
      <c r="N94" s="1975"/>
      <c r="O94" s="1974"/>
      <c r="P94" s="1974"/>
      <c r="Q94" s="1974"/>
      <c r="R94" s="1976"/>
      <c r="S94" s="1980"/>
      <c r="T94" s="1976"/>
      <c r="U94" s="1976"/>
      <c r="V94" s="1976"/>
      <c r="W94" s="578"/>
      <c r="X94" s="1239"/>
      <c r="Y94" s="578"/>
      <c r="Z94" s="578"/>
      <c r="AA94" s="578"/>
      <c r="AB94" s="1143"/>
      <c r="AC94" s="578"/>
      <c r="AD94" s="578"/>
      <c r="AE94" s="578"/>
      <c r="AF94" s="578"/>
      <c r="AG94" s="580"/>
      <c r="AH94" s="579"/>
      <c r="AI94" s="578"/>
      <c r="AJ94" s="578"/>
      <c r="AK94" s="578"/>
      <c r="AL94" s="580"/>
      <c r="AN94" s="991"/>
      <c r="AP94" s="2285" t="str">
        <f t="shared" si="36"/>
        <v>Qty</v>
      </c>
      <c r="AQ94" s="2286" t="str">
        <f t="shared" si="36"/>
        <v>[Service]</v>
      </c>
      <c r="AR94" s="2287" t="str">
        <f t="shared" si="37"/>
        <v>[Price]</v>
      </c>
      <c r="AS94" s="2288" t="str">
        <f t="shared" si="63"/>
        <v>-</v>
      </c>
      <c r="AT94" s="1720" t="str">
        <f t="shared" si="63"/>
        <v>-</v>
      </c>
      <c r="AU94" s="1720" t="str">
        <f t="shared" si="63"/>
        <v>-</v>
      </c>
      <c r="AV94" s="2289" t="str">
        <f t="shared" si="63"/>
        <v>-</v>
      </c>
      <c r="AW94" s="1720" t="str">
        <f t="shared" si="63"/>
        <v>-</v>
      </c>
      <c r="AX94" s="2290" t="str">
        <f t="shared" si="63"/>
        <v>-</v>
      </c>
      <c r="AY94" s="1720" t="str">
        <f t="shared" si="63"/>
        <v>-</v>
      </c>
      <c r="AZ94" s="1720" t="str">
        <f t="shared" si="63"/>
        <v>-</v>
      </c>
      <c r="BA94" s="1720" t="str">
        <f t="shared" si="63"/>
        <v>-</v>
      </c>
      <c r="BB94" s="1721" t="str">
        <f t="shared" si="63"/>
        <v>-</v>
      </c>
      <c r="BC94" s="1720" t="str">
        <f t="shared" si="63"/>
        <v>-</v>
      </c>
      <c r="BD94" s="1720" t="str">
        <f t="shared" si="63"/>
        <v>-</v>
      </c>
      <c r="BE94" s="1720" t="str">
        <f t="shared" si="63"/>
        <v>-</v>
      </c>
      <c r="BF94" s="1720" t="str">
        <f t="shared" si="63"/>
        <v>-</v>
      </c>
      <c r="BG94" s="1721" t="str">
        <f t="shared" si="63"/>
        <v>-</v>
      </c>
      <c r="BH94" s="1048"/>
      <c r="BI94" s="2285" t="str">
        <f t="shared" si="59"/>
        <v>Qty</v>
      </c>
      <c r="BJ94" s="2286" t="str">
        <f t="shared" si="59"/>
        <v>[Service]</v>
      </c>
      <c r="BK94" s="2287" t="str">
        <f t="shared" si="59"/>
        <v>[Price]</v>
      </c>
      <c r="BL94" s="2288" t="str">
        <f t="shared" ref="BL94:BZ94" si="74">IF(OR(X94="",X94=0),"-",IFERROR((X94/W94-1)*(W95/W$13),"-"))</f>
        <v>-</v>
      </c>
      <c r="BM94" s="1720" t="str">
        <f t="shared" si="74"/>
        <v>-</v>
      </c>
      <c r="BN94" s="1720" t="str">
        <f t="shared" si="74"/>
        <v>-</v>
      </c>
      <c r="BO94" s="2289" t="str">
        <f t="shared" si="74"/>
        <v>-</v>
      </c>
      <c r="BP94" s="1720" t="str">
        <f t="shared" si="74"/>
        <v>-</v>
      </c>
      <c r="BQ94" s="2290" t="str">
        <f t="shared" si="74"/>
        <v>-</v>
      </c>
      <c r="BR94" s="1720" t="str">
        <f t="shared" si="74"/>
        <v>-</v>
      </c>
      <c r="BS94" s="1720" t="str">
        <f t="shared" si="74"/>
        <v>-</v>
      </c>
      <c r="BT94" s="1720" t="str">
        <f t="shared" si="74"/>
        <v>-</v>
      </c>
      <c r="BU94" s="1721" t="str">
        <f t="shared" si="74"/>
        <v>-</v>
      </c>
      <c r="BV94" s="1720" t="str">
        <f t="shared" si="74"/>
        <v>-</v>
      </c>
      <c r="BW94" s="1720" t="str">
        <f t="shared" si="74"/>
        <v>-</v>
      </c>
      <c r="BX94" s="1720" t="str">
        <f t="shared" si="74"/>
        <v>-</v>
      </c>
      <c r="BY94" s="1720" t="str">
        <f t="shared" si="74"/>
        <v>-</v>
      </c>
      <c r="BZ94" s="1721" t="str">
        <f t="shared" si="74"/>
        <v>-</v>
      </c>
    </row>
    <row r="95" spans="3:78" ht="12.5" thickBot="1" x14ac:dyDescent="0.35">
      <c r="C95" s="126"/>
      <c r="D95" s="126"/>
      <c r="E95" s="559" t="s">
        <v>47</v>
      </c>
      <c r="F95" s="1723" t="str">
        <f>+F93</f>
        <v>[Service]</v>
      </c>
      <c r="G95" s="1726">
        <f>+G93</f>
        <v>0</v>
      </c>
      <c r="H95" s="1726">
        <f>+H93</f>
        <v>0</v>
      </c>
      <c r="I95" s="1727" t="str">
        <f>+I93</f>
        <v>[Price]</v>
      </c>
      <c r="J95" s="556" t="s">
        <v>347</v>
      </c>
      <c r="K95" s="1977"/>
      <c r="L95" s="1206"/>
      <c r="M95" s="1206"/>
      <c r="N95" s="1978"/>
      <c r="O95" s="1206"/>
      <c r="P95" s="1206"/>
      <c r="Q95" s="1206"/>
      <c r="R95" s="1206"/>
      <c r="S95" s="1978"/>
      <c r="T95" s="1206"/>
      <c r="U95" s="1206"/>
      <c r="V95" s="1206"/>
      <c r="W95" s="1731">
        <f t="shared" ref="W95:AG95" si="75">W93*W94/10^6</f>
        <v>0</v>
      </c>
      <c r="X95" s="1730">
        <f t="shared" si="75"/>
        <v>0</v>
      </c>
      <c r="Y95" s="1731">
        <f t="shared" si="75"/>
        <v>0</v>
      </c>
      <c r="Z95" s="1731">
        <f t="shared" si="75"/>
        <v>0</v>
      </c>
      <c r="AA95" s="1731">
        <f t="shared" si="75"/>
        <v>0</v>
      </c>
      <c r="AB95" s="1733">
        <f t="shared" si="75"/>
        <v>0</v>
      </c>
      <c r="AC95" s="1731">
        <f t="shared" si="75"/>
        <v>0</v>
      </c>
      <c r="AD95" s="1731">
        <f t="shared" si="75"/>
        <v>0</v>
      </c>
      <c r="AE95" s="1731">
        <f t="shared" si="75"/>
        <v>0</v>
      </c>
      <c r="AF95" s="1731">
        <f t="shared" si="75"/>
        <v>0</v>
      </c>
      <c r="AG95" s="1733">
        <f t="shared" si="75"/>
        <v>0</v>
      </c>
      <c r="AH95" s="1732">
        <f>AH93*AH94/10^6</f>
        <v>0</v>
      </c>
      <c r="AI95" s="1731">
        <f>AI93*AI94/10^6</f>
        <v>0</v>
      </c>
      <c r="AJ95" s="1731">
        <f>AJ93*AJ94/10^6</f>
        <v>0</v>
      </c>
      <c r="AK95" s="1731">
        <f>AK93*AK94/10^6</f>
        <v>0</v>
      </c>
      <c r="AL95" s="1733">
        <f>AL93*AL94/10^6</f>
        <v>0</v>
      </c>
      <c r="AN95" s="991"/>
      <c r="AP95" s="2304" t="str">
        <f t="shared" si="36"/>
        <v>Rev</v>
      </c>
      <c r="AQ95" s="2305" t="str">
        <f t="shared" si="36"/>
        <v>[Service]</v>
      </c>
      <c r="AR95" s="2306" t="str">
        <f t="shared" si="37"/>
        <v>[Price]</v>
      </c>
      <c r="AS95" s="2307" t="str">
        <f t="shared" si="63"/>
        <v>-</v>
      </c>
      <c r="AT95" s="1055" t="str">
        <f t="shared" si="63"/>
        <v>-</v>
      </c>
      <c r="AU95" s="1055" t="str">
        <f t="shared" si="63"/>
        <v>-</v>
      </c>
      <c r="AV95" s="2308" t="str">
        <f t="shared" si="63"/>
        <v>-</v>
      </c>
      <c r="AW95" s="1055" t="str">
        <f t="shared" si="63"/>
        <v>-</v>
      </c>
      <c r="AX95" s="2309" t="str">
        <f t="shared" si="63"/>
        <v>-</v>
      </c>
      <c r="AY95" s="1055" t="str">
        <f t="shared" si="63"/>
        <v>-</v>
      </c>
      <c r="AZ95" s="1055" t="str">
        <f t="shared" si="63"/>
        <v>-</v>
      </c>
      <c r="BA95" s="1055" t="str">
        <f t="shared" si="63"/>
        <v>-</v>
      </c>
      <c r="BB95" s="1056" t="str">
        <f t="shared" si="63"/>
        <v>-</v>
      </c>
      <c r="BC95" s="1055" t="str">
        <f t="shared" si="63"/>
        <v>-</v>
      </c>
      <c r="BD95" s="1055" t="str">
        <f t="shared" si="63"/>
        <v>-</v>
      </c>
      <c r="BE95" s="1055" t="str">
        <f t="shared" si="63"/>
        <v>-</v>
      </c>
      <c r="BF95" s="1055" t="str">
        <f t="shared" si="63"/>
        <v>-</v>
      </c>
      <c r="BG95" s="1056" t="str">
        <f t="shared" si="63"/>
        <v>-</v>
      </c>
      <c r="BH95" s="1048"/>
      <c r="BI95" s="2304" t="str">
        <f t="shared" si="59"/>
        <v>Rev</v>
      </c>
      <c r="BJ95" s="2305" t="str">
        <f t="shared" si="59"/>
        <v>[Service]</v>
      </c>
      <c r="BK95" s="2306" t="str">
        <f t="shared" si="59"/>
        <v>[Price]</v>
      </c>
      <c r="BL95" s="2307" t="str">
        <f t="shared" ref="BL95:BZ95" si="76">IF(OR(X95="",X95=0),"-",IFERROR((X95/W95-1)*(W95/W$13),"-"))</f>
        <v>-</v>
      </c>
      <c r="BM95" s="1055" t="str">
        <f t="shared" si="76"/>
        <v>-</v>
      </c>
      <c r="BN95" s="1055" t="str">
        <f t="shared" si="76"/>
        <v>-</v>
      </c>
      <c r="BO95" s="2308" t="str">
        <f t="shared" si="76"/>
        <v>-</v>
      </c>
      <c r="BP95" s="1055" t="str">
        <f t="shared" si="76"/>
        <v>-</v>
      </c>
      <c r="BQ95" s="2309" t="str">
        <f t="shared" si="76"/>
        <v>-</v>
      </c>
      <c r="BR95" s="1055" t="str">
        <f t="shared" si="76"/>
        <v>-</v>
      </c>
      <c r="BS95" s="1055" t="str">
        <f t="shared" si="76"/>
        <v>-</v>
      </c>
      <c r="BT95" s="1055" t="str">
        <f t="shared" si="76"/>
        <v>-</v>
      </c>
      <c r="BU95" s="1056" t="str">
        <f t="shared" si="76"/>
        <v>-</v>
      </c>
      <c r="BV95" s="1055" t="str">
        <f t="shared" si="76"/>
        <v>-</v>
      </c>
      <c r="BW95" s="1055" t="str">
        <f t="shared" si="76"/>
        <v>-</v>
      </c>
      <c r="BX95" s="1055" t="str">
        <f t="shared" si="76"/>
        <v>-</v>
      </c>
      <c r="BY95" s="1055" t="str">
        <f t="shared" si="76"/>
        <v>-</v>
      </c>
      <c r="BZ95" s="1056" t="str">
        <f t="shared" si="76"/>
        <v>-</v>
      </c>
    </row>
    <row r="96" spans="3:78" x14ac:dyDescent="0.3">
      <c r="C96" s="126"/>
      <c r="D96" s="126">
        <f>D93+1</f>
        <v>10</v>
      </c>
      <c r="E96" s="553" t="s">
        <v>45</v>
      </c>
      <c r="F96" s="581" t="s">
        <v>28</v>
      </c>
      <c r="G96" s="581"/>
      <c r="H96" s="581"/>
      <c r="I96" s="573" t="s">
        <v>319</v>
      </c>
      <c r="J96" s="573" t="s">
        <v>348</v>
      </c>
      <c r="K96" s="1969"/>
      <c r="L96" s="1970"/>
      <c r="M96" s="1970"/>
      <c r="N96" s="1971"/>
      <c r="O96" s="1970"/>
      <c r="P96" s="1970"/>
      <c r="Q96" s="1970"/>
      <c r="R96" s="1972"/>
      <c r="S96" s="1979"/>
      <c r="T96" s="1972"/>
      <c r="U96" s="1972"/>
      <c r="V96" s="1972"/>
      <c r="W96" s="575"/>
      <c r="X96" s="1238"/>
      <c r="Y96" s="575"/>
      <c r="Z96" s="575"/>
      <c r="AA96" s="575"/>
      <c r="AB96" s="1142"/>
      <c r="AC96" s="575"/>
      <c r="AD96" s="575"/>
      <c r="AE96" s="575"/>
      <c r="AF96" s="575"/>
      <c r="AG96" s="577"/>
      <c r="AH96" s="576"/>
      <c r="AI96" s="575"/>
      <c r="AJ96" s="575"/>
      <c r="AK96" s="575"/>
      <c r="AL96" s="577"/>
      <c r="AN96" s="1052"/>
      <c r="AP96" s="2297" t="str">
        <f t="shared" si="36"/>
        <v>Price</v>
      </c>
      <c r="AQ96" s="2298" t="str">
        <f t="shared" si="36"/>
        <v>[Service]</v>
      </c>
      <c r="AR96" s="1719" t="str">
        <f t="shared" si="37"/>
        <v>[Price]</v>
      </c>
      <c r="AS96" s="2299" t="str">
        <f t="shared" si="63"/>
        <v>-</v>
      </c>
      <c r="AT96" s="1728" t="str">
        <f t="shared" si="63"/>
        <v>-</v>
      </c>
      <c r="AU96" s="1728" t="str">
        <f t="shared" si="63"/>
        <v>-</v>
      </c>
      <c r="AV96" s="2300" t="str">
        <f t="shared" si="63"/>
        <v>-</v>
      </c>
      <c r="AW96" s="1728" t="str">
        <f t="shared" si="63"/>
        <v>-</v>
      </c>
      <c r="AX96" s="2301" t="str">
        <f t="shared" si="63"/>
        <v>-</v>
      </c>
      <c r="AY96" s="1728" t="str">
        <f t="shared" si="63"/>
        <v>-</v>
      </c>
      <c r="AZ96" s="1728" t="str">
        <f t="shared" si="63"/>
        <v>-</v>
      </c>
      <c r="BA96" s="1728" t="str">
        <f t="shared" si="63"/>
        <v>-</v>
      </c>
      <c r="BB96" s="1729" t="str">
        <f t="shared" si="63"/>
        <v>-</v>
      </c>
      <c r="BC96" s="1728" t="str">
        <f t="shared" si="63"/>
        <v>-</v>
      </c>
      <c r="BD96" s="1728" t="str">
        <f t="shared" si="63"/>
        <v>-</v>
      </c>
      <c r="BE96" s="1728" t="str">
        <f t="shared" si="63"/>
        <v>-</v>
      </c>
      <c r="BF96" s="1728" t="str">
        <f t="shared" si="63"/>
        <v>-</v>
      </c>
      <c r="BG96" s="1729" t="str">
        <f t="shared" si="63"/>
        <v>-</v>
      </c>
      <c r="BH96" s="1048"/>
      <c r="BI96" s="2297" t="str">
        <f t="shared" si="59"/>
        <v>Price</v>
      </c>
      <c r="BJ96" s="2298" t="str">
        <f t="shared" si="59"/>
        <v>[Service]</v>
      </c>
      <c r="BK96" s="1719" t="str">
        <f t="shared" si="59"/>
        <v>[Price]</v>
      </c>
      <c r="BL96" s="2299" t="str">
        <f t="shared" ref="BL96:BZ96" si="77">IF(OR(X96="",X96=0),"-",IFERROR((X96/W96-1)*(W98/W$13),"-"))</f>
        <v>-</v>
      </c>
      <c r="BM96" s="1053" t="str">
        <f t="shared" si="77"/>
        <v>-</v>
      </c>
      <c r="BN96" s="1053" t="str">
        <f t="shared" si="77"/>
        <v>-</v>
      </c>
      <c r="BO96" s="2302" t="str">
        <f t="shared" si="77"/>
        <v>-</v>
      </c>
      <c r="BP96" s="1053" t="str">
        <f t="shared" si="77"/>
        <v>-</v>
      </c>
      <c r="BQ96" s="2303" t="str">
        <f t="shared" si="77"/>
        <v>-</v>
      </c>
      <c r="BR96" s="1053" t="str">
        <f t="shared" si="77"/>
        <v>-</v>
      </c>
      <c r="BS96" s="1053" t="str">
        <f t="shared" si="77"/>
        <v>-</v>
      </c>
      <c r="BT96" s="1053" t="str">
        <f t="shared" si="77"/>
        <v>-</v>
      </c>
      <c r="BU96" s="1054" t="str">
        <f t="shared" si="77"/>
        <v>-</v>
      </c>
      <c r="BV96" s="1053" t="str">
        <f t="shared" si="77"/>
        <v>-</v>
      </c>
      <c r="BW96" s="1053" t="str">
        <f t="shared" si="77"/>
        <v>-</v>
      </c>
      <c r="BX96" s="1053" t="str">
        <f t="shared" si="77"/>
        <v>-</v>
      </c>
      <c r="BY96" s="1053" t="str">
        <f t="shared" si="77"/>
        <v>-</v>
      </c>
      <c r="BZ96" s="1054" t="str">
        <f t="shared" si="77"/>
        <v>-</v>
      </c>
    </row>
    <row r="97" spans="3:78" x14ac:dyDescent="0.3">
      <c r="C97" s="126"/>
      <c r="D97" s="126"/>
      <c r="E97" s="558" t="s">
        <v>46</v>
      </c>
      <c r="F97" s="1722" t="str">
        <f>+F96</f>
        <v>[Service]</v>
      </c>
      <c r="G97" s="1724">
        <f>+G96</f>
        <v>0</v>
      </c>
      <c r="H97" s="1724">
        <f>+H96</f>
        <v>0</v>
      </c>
      <c r="I97" s="1725" t="str">
        <f>+I96</f>
        <v>[Price]</v>
      </c>
      <c r="J97" s="574" t="s">
        <v>323</v>
      </c>
      <c r="K97" s="1973"/>
      <c r="L97" s="1974"/>
      <c r="M97" s="1974"/>
      <c r="N97" s="1975"/>
      <c r="O97" s="1974"/>
      <c r="P97" s="1974"/>
      <c r="Q97" s="1974"/>
      <c r="R97" s="1976"/>
      <c r="S97" s="1980"/>
      <c r="T97" s="1976"/>
      <c r="U97" s="1976"/>
      <c r="V97" s="1976"/>
      <c r="W97" s="578"/>
      <c r="X97" s="1239"/>
      <c r="Y97" s="578"/>
      <c r="Z97" s="578"/>
      <c r="AA97" s="578"/>
      <c r="AB97" s="1143"/>
      <c r="AC97" s="578"/>
      <c r="AD97" s="578"/>
      <c r="AE97" s="578"/>
      <c r="AF97" s="578"/>
      <c r="AG97" s="580"/>
      <c r="AH97" s="579"/>
      <c r="AI97" s="578"/>
      <c r="AJ97" s="578"/>
      <c r="AK97" s="578"/>
      <c r="AL97" s="580"/>
      <c r="AN97" s="991"/>
      <c r="AP97" s="2285" t="str">
        <f t="shared" si="36"/>
        <v>Qty</v>
      </c>
      <c r="AQ97" s="2286" t="str">
        <f t="shared" si="36"/>
        <v>[Service]</v>
      </c>
      <c r="AR97" s="2287" t="str">
        <f t="shared" si="37"/>
        <v>[Price]</v>
      </c>
      <c r="AS97" s="2288" t="str">
        <f t="shared" si="63"/>
        <v>-</v>
      </c>
      <c r="AT97" s="1720" t="str">
        <f t="shared" si="63"/>
        <v>-</v>
      </c>
      <c r="AU97" s="1720" t="str">
        <f t="shared" si="63"/>
        <v>-</v>
      </c>
      <c r="AV97" s="2289" t="str">
        <f t="shared" si="63"/>
        <v>-</v>
      </c>
      <c r="AW97" s="1720" t="str">
        <f t="shared" si="63"/>
        <v>-</v>
      </c>
      <c r="AX97" s="2290" t="str">
        <f t="shared" si="63"/>
        <v>-</v>
      </c>
      <c r="AY97" s="1720" t="str">
        <f t="shared" si="63"/>
        <v>-</v>
      </c>
      <c r="AZ97" s="1720" t="str">
        <f t="shared" si="63"/>
        <v>-</v>
      </c>
      <c r="BA97" s="1720" t="str">
        <f t="shared" si="63"/>
        <v>-</v>
      </c>
      <c r="BB97" s="1721" t="str">
        <f t="shared" si="63"/>
        <v>-</v>
      </c>
      <c r="BC97" s="1720" t="str">
        <f t="shared" si="63"/>
        <v>-</v>
      </c>
      <c r="BD97" s="1720" t="str">
        <f t="shared" si="63"/>
        <v>-</v>
      </c>
      <c r="BE97" s="1720" t="str">
        <f t="shared" si="63"/>
        <v>-</v>
      </c>
      <c r="BF97" s="1720" t="str">
        <f t="shared" si="63"/>
        <v>-</v>
      </c>
      <c r="BG97" s="1721" t="str">
        <f t="shared" si="63"/>
        <v>-</v>
      </c>
      <c r="BH97" s="1048"/>
      <c r="BI97" s="2285" t="str">
        <f t="shared" si="59"/>
        <v>Qty</v>
      </c>
      <c r="BJ97" s="2286" t="str">
        <f t="shared" si="59"/>
        <v>[Service]</v>
      </c>
      <c r="BK97" s="2287" t="str">
        <f t="shared" si="59"/>
        <v>[Price]</v>
      </c>
      <c r="BL97" s="2288" t="str">
        <f t="shared" ref="BL97:BZ97" si="78">IF(OR(X97="",X97=0),"-",IFERROR((X97/W97-1)*(W98/W$13),"-"))</f>
        <v>-</v>
      </c>
      <c r="BM97" s="1720" t="str">
        <f t="shared" si="78"/>
        <v>-</v>
      </c>
      <c r="BN97" s="1720" t="str">
        <f t="shared" si="78"/>
        <v>-</v>
      </c>
      <c r="BO97" s="2289" t="str">
        <f t="shared" si="78"/>
        <v>-</v>
      </c>
      <c r="BP97" s="1720" t="str">
        <f t="shared" si="78"/>
        <v>-</v>
      </c>
      <c r="BQ97" s="2290" t="str">
        <f t="shared" si="78"/>
        <v>-</v>
      </c>
      <c r="BR97" s="1720" t="str">
        <f t="shared" si="78"/>
        <v>-</v>
      </c>
      <c r="BS97" s="1720" t="str">
        <f t="shared" si="78"/>
        <v>-</v>
      </c>
      <c r="BT97" s="1720" t="str">
        <f t="shared" si="78"/>
        <v>-</v>
      </c>
      <c r="BU97" s="1721" t="str">
        <f t="shared" si="78"/>
        <v>-</v>
      </c>
      <c r="BV97" s="1720" t="str">
        <f t="shared" si="78"/>
        <v>-</v>
      </c>
      <c r="BW97" s="1720" t="str">
        <f t="shared" si="78"/>
        <v>-</v>
      </c>
      <c r="BX97" s="1720" t="str">
        <f t="shared" si="78"/>
        <v>-</v>
      </c>
      <c r="BY97" s="1720" t="str">
        <f t="shared" si="78"/>
        <v>-</v>
      </c>
      <c r="BZ97" s="1721" t="str">
        <f t="shared" si="78"/>
        <v>-</v>
      </c>
    </row>
    <row r="98" spans="3:78" ht="12.5" thickBot="1" x14ac:dyDescent="0.35">
      <c r="C98" s="126"/>
      <c r="D98" s="126"/>
      <c r="E98" s="559" t="s">
        <v>47</v>
      </c>
      <c r="F98" s="1723" t="str">
        <f>+F96</f>
        <v>[Service]</v>
      </c>
      <c r="G98" s="1726">
        <f>+G96</f>
        <v>0</v>
      </c>
      <c r="H98" s="1726">
        <f>+H96</f>
        <v>0</v>
      </c>
      <c r="I98" s="1727" t="str">
        <f>+I96</f>
        <v>[Price]</v>
      </c>
      <c r="J98" s="556" t="s">
        <v>347</v>
      </c>
      <c r="K98" s="1977"/>
      <c r="L98" s="1206"/>
      <c r="M98" s="1206"/>
      <c r="N98" s="1978"/>
      <c r="O98" s="1206"/>
      <c r="P98" s="1206"/>
      <c r="Q98" s="1206"/>
      <c r="R98" s="1206"/>
      <c r="S98" s="1978"/>
      <c r="T98" s="1206"/>
      <c r="U98" s="1206"/>
      <c r="V98" s="1206"/>
      <c r="W98" s="1731">
        <f t="shared" ref="W98:AG98" si="79">W96*W97/10^6</f>
        <v>0</v>
      </c>
      <c r="X98" s="1730">
        <f t="shared" si="79"/>
        <v>0</v>
      </c>
      <c r="Y98" s="1731">
        <f t="shared" si="79"/>
        <v>0</v>
      </c>
      <c r="Z98" s="1731">
        <f t="shared" si="79"/>
        <v>0</v>
      </c>
      <c r="AA98" s="1731">
        <f t="shared" si="79"/>
        <v>0</v>
      </c>
      <c r="AB98" s="1733">
        <f t="shared" si="79"/>
        <v>0</v>
      </c>
      <c r="AC98" s="1731">
        <f t="shared" si="79"/>
        <v>0</v>
      </c>
      <c r="AD98" s="1731">
        <f t="shared" si="79"/>
        <v>0</v>
      </c>
      <c r="AE98" s="1731">
        <f t="shared" si="79"/>
        <v>0</v>
      </c>
      <c r="AF98" s="1731">
        <f t="shared" si="79"/>
        <v>0</v>
      </c>
      <c r="AG98" s="1733">
        <f t="shared" si="79"/>
        <v>0</v>
      </c>
      <c r="AH98" s="1732">
        <f>AH96*AH97/10^6</f>
        <v>0</v>
      </c>
      <c r="AI98" s="1731">
        <f>AI96*AI97/10^6</f>
        <v>0</v>
      </c>
      <c r="AJ98" s="1731">
        <f>AJ96*AJ97/10^6</f>
        <v>0</v>
      </c>
      <c r="AK98" s="1731">
        <f>AK96*AK97/10^6</f>
        <v>0</v>
      </c>
      <c r="AL98" s="1733">
        <f>AL96*AL97/10^6</f>
        <v>0</v>
      </c>
      <c r="AN98" s="991"/>
      <c r="AP98" s="2304" t="str">
        <f t="shared" si="36"/>
        <v>Rev</v>
      </c>
      <c r="AQ98" s="2305" t="str">
        <f t="shared" si="36"/>
        <v>[Service]</v>
      </c>
      <c r="AR98" s="2306" t="str">
        <f t="shared" si="37"/>
        <v>[Price]</v>
      </c>
      <c r="AS98" s="2307" t="str">
        <f t="shared" si="63"/>
        <v>-</v>
      </c>
      <c r="AT98" s="1055" t="str">
        <f t="shared" si="63"/>
        <v>-</v>
      </c>
      <c r="AU98" s="1055" t="str">
        <f t="shared" si="63"/>
        <v>-</v>
      </c>
      <c r="AV98" s="2308" t="str">
        <f t="shared" si="63"/>
        <v>-</v>
      </c>
      <c r="AW98" s="1055" t="str">
        <f t="shared" si="63"/>
        <v>-</v>
      </c>
      <c r="AX98" s="2309" t="str">
        <f t="shared" si="63"/>
        <v>-</v>
      </c>
      <c r="AY98" s="1055" t="str">
        <f t="shared" si="63"/>
        <v>-</v>
      </c>
      <c r="AZ98" s="1055" t="str">
        <f t="shared" si="63"/>
        <v>-</v>
      </c>
      <c r="BA98" s="1055" t="str">
        <f t="shared" si="63"/>
        <v>-</v>
      </c>
      <c r="BB98" s="1056" t="str">
        <f t="shared" si="63"/>
        <v>-</v>
      </c>
      <c r="BC98" s="1055" t="str">
        <f t="shared" si="63"/>
        <v>-</v>
      </c>
      <c r="BD98" s="1055" t="str">
        <f t="shared" si="63"/>
        <v>-</v>
      </c>
      <c r="BE98" s="1055" t="str">
        <f t="shared" si="63"/>
        <v>-</v>
      </c>
      <c r="BF98" s="1055" t="str">
        <f t="shared" si="63"/>
        <v>-</v>
      </c>
      <c r="BG98" s="1056" t="str">
        <f t="shared" si="63"/>
        <v>-</v>
      </c>
      <c r="BH98" s="1048"/>
      <c r="BI98" s="2304" t="str">
        <f t="shared" si="59"/>
        <v>Rev</v>
      </c>
      <c r="BJ98" s="2305" t="str">
        <f t="shared" si="59"/>
        <v>[Service]</v>
      </c>
      <c r="BK98" s="2306" t="str">
        <f t="shared" si="59"/>
        <v>[Price]</v>
      </c>
      <c r="BL98" s="2307" t="str">
        <f t="shared" ref="BL98:BZ98" si="80">IF(OR(X98="",X98=0),"-",IFERROR((X98/W98-1)*(W98/W$13),"-"))</f>
        <v>-</v>
      </c>
      <c r="BM98" s="1055" t="str">
        <f t="shared" si="80"/>
        <v>-</v>
      </c>
      <c r="BN98" s="1055" t="str">
        <f t="shared" si="80"/>
        <v>-</v>
      </c>
      <c r="BO98" s="2308" t="str">
        <f t="shared" si="80"/>
        <v>-</v>
      </c>
      <c r="BP98" s="1055" t="str">
        <f t="shared" si="80"/>
        <v>-</v>
      </c>
      <c r="BQ98" s="2309" t="str">
        <f t="shared" si="80"/>
        <v>-</v>
      </c>
      <c r="BR98" s="1055" t="str">
        <f t="shared" si="80"/>
        <v>-</v>
      </c>
      <c r="BS98" s="1055" t="str">
        <f t="shared" si="80"/>
        <v>-</v>
      </c>
      <c r="BT98" s="1055" t="str">
        <f t="shared" si="80"/>
        <v>-</v>
      </c>
      <c r="BU98" s="1056" t="str">
        <f t="shared" si="80"/>
        <v>-</v>
      </c>
      <c r="BV98" s="1055" t="str">
        <f t="shared" si="80"/>
        <v>-</v>
      </c>
      <c r="BW98" s="1055" t="str">
        <f t="shared" si="80"/>
        <v>-</v>
      </c>
      <c r="BX98" s="1055" t="str">
        <f t="shared" si="80"/>
        <v>-</v>
      </c>
      <c r="BY98" s="1055" t="str">
        <f t="shared" si="80"/>
        <v>-</v>
      </c>
      <c r="BZ98" s="1056" t="str">
        <f t="shared" si="80"/>
        <v>-</v>
      </c>
    </row>
    <row r="99" spans="3:78" x14ac:dyDescent="0.3">
      <c r="C99" s="126"/>
      <c r="D99" s="126">
        <f>D96+1</f>
        <v>11</v>
      </c>
      <c r="E99" s="553" t="s">
        <v>45</v>
      </c>
      <c r="F99" s="581" t="s">
        <v>28</v>
      </c>
      <c r="G99" s="581"/>
      <c r="H99" s="581"/>
      <c r="I99" s="573" t="s">
        <v>319</v>
      </c>
      <c r="J99" s="573" t="s">
        <v>348</v>
      </c>
      <c r="K99" s="1969"/>
      <c r="L99" s="1970"/>
      <c r="M99" s="1970"/>
      <c r="N99" s="1971"/>
      <c r="O99" s="1970"/>
      <c r="P99" s="1970"/>
      <c r="Q99" s="1970"/>
      <c r="R99" s="1972"/>
      <c r="S99" s="1979"/>
      <c r="T99" s="1972"/>
      <c r="U99" s="1972"/>
      <c r="V99" s="1972"/>
      <c r="W99" s="575"/>
      <c r="X99" s="1238"/>
      <c r="Y99" s="575"/>
      <c r="Z99" s="575"/>
      <c r="AA99" s="575"/>
      <c r="AB99" s="1142"/>
      <c r="AC99" s="575"/>
      <c r="AD99" s="575"/>
      <c r="AE99" s="575"/>
      <c r="AF99" s="575"/>
      <c r="AG99" s="577"/>
      <c r="AH99" s="576"/>
      <c r="AI99" s="575"/>
      <c r="AJ99" s="575"/>
      <c r="AK99" s="575"/>
      <c r="AL99" s="577"/>
      <c r="AN99" s="1052"/>
      <c r="AP99" s="2297" t="str">
        <f t="shared" si="36"/>
        <v>Price</v>
      </c>
      <c r="AQ99" s="2298" t="str">
        <f t="shared" si="36"/>
        <v>[Service]</v>
      </c>
      <c r="AR99" s="1719" t="str">
        <f t="shared" si="37"/>
        <v>[Price]</v>
      </c>
      <c r="AS99" s="2299" t="str">
        <f t="shared" si="63"/>
        <v>-</v>
      </c>
      <c r="AT99" s="1728" t="str">
        <f t="shared" si="63"/>
        <v>-</v>
      </c>
      <c r="AU99" s="1728" t="str">
        <f t="shared" si="63"/>
        <v>-</v>
      </c>
      <c r="AV99" s="2300" t="str">
        <f t="shared" si="63"/>
        <v>-</v>
      </c>
      <c r="AW99" s="1728" t="str">
        <f t="shared" si="63"/>
        <v>-</v>
      </c>
      <c r="AX99" s="2301" t="str">
        <f t="shared" si="63"/>
        <v>-</v>
      </c>
      <c r="AY99" s="1728" t="str">
        <f t="shared" si="63"/>
        <v>-</v>
      </c>
      <c r="AZ99" s="1728" t="str">
        <f t="shared" si="63"/>
        <v>-</v>
      </c>
      <c r="BA99" s="1728" t="str">
        <f t="shared" si="63"/>
        <v>-</v>
      </c>
      <c r="BB99" s="1729" t="str">
        <f t="shared" si="63"/>
        <v>-</v>
      </c>
      <c r="BC99" s="1728" t="str">
        <f t="shared" si="63"/>
        <v>-</v>
      </c>
      <c r="BD99" s="1728" t="str">
        <f t="shared" si="63"/>
        <v>-</v>
      </c>
      <c r="BE99" s="1728" t="str">
        <f t="shared" si="63"/>
        <v>-</v>
      </c>
      <c r="BF99" s="1728" t="str">
        <f t="shared" si="63"/>
        <v>-</v>
      </c>
      <c r="BG99" s="1729" t="str">
        <f t="shared" si="63"/>
        <v>-</v>
      </c>
      <c r="BH99" s="1048"/>
      <c r="BI99" s="2297" t="str">
        <f t="shared" si="59"/>
        <v>Price</v>
      </c>
      <c r="BJ99" s="2298" t="str">
        <f t="shared" si="59"/>
        <v>[Service]</v>
      </c>
      <c r="BK99" s="1719" t="str">
        <f t="shared" si="59"/>
        <v>[Price]</v>
      </c>
      <c r="BL99" s="2299" t="str">
        <f t="shared" ref="BL99:BZ99" si="81">IF(OR(X99="",X99=0),"-",IFERROR((X99/W99-1)*(W101/W$13),"-"))</f>
        <v>-</v>
      </c>
      <c r="BM99" s="1053" t="str">
        <f t="shared" si="81"/>
        <v>-</v>
      </c>
      <c r="BN99" s="1053" t="str">
        <f t="shared" si="81"/>
        <v>-</v>
      </c>
      <c r="BO99" s="2302" t="str">
        <f t="shared" si="81"/>
        <v>-</v>
      </c>
      <c r="BP99" s="1053" t="str">
        <f t="shared" si="81"/>
        <v>-</v>
      </c>
      <c r="BQ99" s="2303" t="str">
        <f t="shared" si="81"/>
        <v>-</v>
      </c>
      <c r="BR99" s="1053" t="str">
        <f t="shared" si="81"/>
        <v>-</v>
      </c>
      <c r="BS99" s="1053" t="str">
        <f t="shared" si="81"/>
        <v>-</v>
      </c>
      <c r="BT99" s="1053" t="str">
        <f t="shared" si="81"/>
        <v>-</v>
      </c>
      <c r="BU99" s="1054" t="str">
        <f t="shared" si="81"/>
        <v>-</v>
      </c>
      <c r="BV99" s="1053" t="str">
        <f t="shared" si="81"/>
        <v>-</v>
      </c>
      <c r="BW99" s="1053" t="str">
        <f t="shared" si="81"/>
        <v>-</v>
      </c>
      <c r="BX99" s="1053" t="str">
        <f t="shared" si="81"/>
        <v>-</v>
      </c>
      <c r="BY99" s="1053" t="str">
        <f t="shared" si="81"/>
        <v>-</v>
      </c>
      <c r="BZ99" s="1054" t="str">
        <f t="shared" si="81"/>
        <v>-</v>
      </c>
    </row>
    <row r="100" spans="3:78" x14ac:dyDescent="0.3">
      <c r="C100" s="126"/>
      <c r="D100" s="126"/>
      <c r="E100" s="558" t="s">
        <v>46</v>
      </c>
      <c r="F100" s="1722" t="str">
        <f>+F99</f>
        <v>[Service]</v>
      </c>
      <c r="G100" s="1724">
        <f>+G99</f>
        <v>0</v>
      </c>
      <c r="H100" s="1724">
        <f>+H99</f>
        <v>0</v>
      </c>
      <c r="I100" s="1725" t="str">
        <f>+I99</f>
        <v>[Price]</v>
      </c>
      <c r="J100" s="574" t="s">
        <v>323</v>
      </c>
      <c r="K100" s="1973"/>
      <c r="L100" s="1974"/>
      <c r="M100" s="1974"/>
      <c r="N100" s="1975"/>
      <c r="O100" s="1974"/>
      <c r="P100" s="1974"/>
      <c r="Q100" s="1974"/>
      <c r="R100" s="1976"/>
      <c r="S100" s="1980"/>
      <c r="T100" s="1976"/>
      <c r="U100" s="1976"/>
      <c r="V100" s="1976"/>
      <c r="W100" s="578"/>
      <c r="X100" s="1239"/>
      <c r="Y100" s="578"/>
      <c r="Z100" s="578"/>
      <c r="AA100" s="578"/>
      <c r="AB100" s="1143"/>
      <c r="AC100" s="578"/>
      <c r="AD100" s="578"/>
      <c r="AE100" s="578"/>
      <c r="AF100" s="578"/>
      <c r="AG100" s="580"/>
      <c r="AH100" s="579"/>
      <c r="AI100" s="578"/>
      <c r="AJ100" s="578"/>
      <c r="AK100" s="578"/>
      <c r="AL100" s="580"/>
      <c r="AN100" s="991"/>
      <c r="AP100" s="2285" t="str">
        <f t="shared" si="36"/>
        <v>Qty</v>
      </c>
      <c r="AQ100" s="2286" t="str">
        <f t="shared" si="36"/>
        <v>[Service]</v>
      </c>
      <c r="AR100" s="2287" t="str">
        <f t="shared" si="37"/>
        <v>[Price]</v>
      </c>
      <c r="AS100" s="2288" t="str">
        <f t="shared" si="63"/>
        <v>-</v>
      </c>
      <c r="AT100" s="1720" t="str">
        <f t="shared" si="63"/>
        <v>-</v>
      </c>
      <c r="AU100" s="1720" t="str">
        <f t="shared" si="63"/>
        <v>-</v>
      </c>
      <c r="AV100" s="2289" t="str">
        <f t="shared" si="63"/>
        <v>-</v>
      </c>
      <c r="AW100" s="1720" t="str">
        <f t="shared" si="63"/>
        <v>-</v>
      </c>
      <c r="AX100" s="2290" t="str">
        <f t="shared" si="63"/>
        <v>-</v>
      </c>
      <c r="AY100" s="1720" t="str">
        <f t="shared" si="63"/>
        <v>-</v>
      </c>
      <c r="AZ100" s="1720" t="str">
        <f t="shared" si="63"/>
        <v>-</v>
      </c>
      <c r="BA100" s="1720" t="str">
        <f t="shared" si="63"/>
        <v>-</v>
      </c>
      <c r="BB100" s="1721" t="str">
        <f t="shared" si="63"/>
        <v>-</v>
      </c>
      <c r="BC100" s="1720" t="str">
        <f t="shared" si="63"/>
        <v>-</v>
      </c>
      <c r="BD100" s="1720" t="str">
        <f t="shared" si="63"/>
        <v>-</v>
      </c>
      <c r="BE100" s="1720" t="str">
        <f t="shared" si="63"/>
        <v>-</v>
      </c>
      <c r="BF100" s="1720" t="str">
        <f t="shared" si="63"/>
        <v>-</v>
      </c>
      <c r="BG100" s="1721" t="str">
        <f t="shared" si="63"/>
        <v>-</v>
      </c>
      <c r="BH100" s="1048"/>
      <c r="BI100" s="2285" t="str">
        <f t="shared" si="59"/>
        <v>Qty</v>
      </c>
      <c r="BJ100" s="2286" t="str">
        <f t="shared" si="59"/>
        <v>[Service]</v>
      </c>
      <c r="BK100" s="2287" t="str">
        <f t="shared" si="59"/>
        <v>[Price]</v>
      </c>
      <c r="BL100" s="2288" t="str">
        <f t="shared" ref="BL100:BZ100" si="82">IF(OR(X100="",X100=0),"-",IFERROR((X100/W100-1)*(W101/W$13),"-"))</f>
        <v>-</v>
      </c>
      <c r="BM100" s="1720" t="str">
        <f t="shared" si="82"/>
        <v>-</v>
      </c>
      <c r="BN100" s="1720" t="str">
        <f t="shared" si="82"/>
        <v>-</v>
      </c>
      <c r="BO100" s="2289" t="str">
        <f t="shared" si="82"/>
        <v>-</v>
      </c>
      <c r="BP100" s="1720" t="str">
        <f t="shared" si="82"/>
        <v>-</v>
      </c>
      <c r="BQ100" s="2290" t="str">
        <f t="shared" si="82"/>
        <v>-</v>
      </c>
      <c r="BR100" s="1720" t="str">
        <f t="shared" si="82"/>
        <v>-</v>
      </c>
      <c r="BS100" s="1720" t="str">
        <f t="shared" si="82"/>
        <v>-</v>
      </c>
      <c r="BT100" s="1720" t="str">
        <f t="shared" si="82"/>
        <v>-</v>
      </c>
      <c r="BU100" s="1721" t="str">
        <f t="shared" si="82"/>
        <v>-</v>
      </c>
      <c r="BV100" s="1720" t="str">
        <f t="shared" si="82"/>
        <v>-</v>
      </c>
      <c r="BW100" s="1720" t="str">
        <f t="shared" si="82"/>
        <v>-</v>
      </c>
      <c r="BX100" s="1720" t="str">
        <f t="shared" si="82"/>
        <v>-</v>
      </c>
      <c r="BY100" s="1720" t="str">
        <f t="shared" si="82"/>
        <v>-</v>
      </c>
      <c r="BZ100" s="1721" t="str">
        <f t="shared" si="82"/>
        <v>-</v>
      </c>
    </row>
    <row r="101" spans="3:78" ht="12.5" thickBot="1" x14ac:dyDescent="0.35">
      <c r="C101" s="126"/>
      <c r="D101" s="126"/>
      <c r="E101" s="559" t="s">
        <v>47</v>
      </c>
      <c r="F101" s="1723" t="str">
        <f>+F99</f>
        <v>[Service]</v>
      </c>
      <c r="G101" s="1726">
        <f>+G99</f>
        <v>0</v>
      </c>
      <c r="H101" s="1726">
        <f>+H99</f>
        <v>0</v>
      </c>
      <c r="I101" s="1727" t="str">
        <f>+I99</f>
        <v>[Price]</v>
      </c>
      <c r="J101" s="556" t="s">
        <v>347</v>
      </c>
      <c r="K101" s="1977"/>
      <c r="L101" s="1206"/>
      <c r="M101" s="1206"/>
      <c r="N101" s="1978"/>
      <c r="O101" s="1206"/>
      <c r="P101" s="1206"/>
      <c r="Q101" s="1206"/>
      <c r="R101" s="1206"/>
      <c r="S101" s="1978"/>
      <c r="T101" s="1206"/>
      <c r="U101" s="1206"/>
      <c r="V101" s="1206"/>
      <c r="W101" s="1731">
        <f t="shared" ref="W101:AG101" si="83">W99*W100/10^6</f>
        <v>0</v>
      </c>
      <c r="X101" s="1730">
        <f t="shared" si="83"/>
        <v>0</v>
      </c>
      <c r="Y101" s="1731">
        <f t="shared" si="83"/>
        <v>0</v>
      </c>
      <c r="Z101" s="1731">
        <f t="shared" si="83"/>
        <v>0</v>
      </c>
      <c r="AA101" s="1731">
        <f t="shared" si="83"/>
        <v>0</v>
      </c>
      <c r="AB101" s="1733">
        <f t="shared" si="83"/>
        <v>0</v>
      </c>
      <c r="AC101" s="1731">
        <f t="shared" si="83"/>
        <v>0</v>
      </c>
      <c r="AD101" s="1731">
        <f t="shared" si="83"/>
        <v>0</v>
      </c>
      <c r="AE101" s="1731">
        <f t="shared" si="83"/>
        <v>0</v>
      </c>
      <c r="AF101" s="1731">
        <f t="shared" si="83"/>
        <v>0</v>
      </c>
      <c r="AG101" s="1733">
        <f t="shared" si="83"/>
        <v>0</v>
      </c>
      <c r="AH101" s="1732">
        <f>AH99*AH100/10^6</f>
        <v>0</v>
      </c>
      <c r="AI101" s="1731">
        <f>AI99*AI100/10^6</f>
        <v>0</v>
      </c>
      <c r="AJ101" s="1731">
        <f>AJ99*AJ100/10^6</f>
        <v>0</v>
      </c>
      <c r="AK101" s="1731">
        <f>AK99*AK100/10^6</f>
        <v>0</v>
      </c>
      <c r="AL101" s="1733">
        <f>AL99*AL100/10^6</f>
        <v>0</v>
      </c>
      <c r="AN101" s="991"/>
      <c r="AP101" s="2304" t="str">
        <f t="shared" si="36"/>
        <v>Rev</v>
      </c>
      <c r="AQ101" s="2305" t="str">
        <f t="shared" si="36"/>
        <v>[Service]</v>
      </c>
      <c r="AR101" s="2306" t="str">
        <f t="shared" si="37"/>
        <v>[Price]</v>
      </c>
      <c r="AS101" s="2307" t="str">
        <f t="shared" si="63"/>
        <v>-</v>
      </c>
      <c r="AT101" s="1055" t="str">
        <f t="shared" si="63"/>
        <v>-</v>
      </c>
      <c r="AU101" s="1055" t="str">
        <f t="shared" si="63"/>
        <v>-</v>
      </c>
      <c r="AV101" s="2308" t="str">
        <f t="shared" si="63"/>
        <v>-</v>
      </c>
      <c r="AW101" s="1055" t="str">
        <f t="shared" si="63"/>
        <v>-</v>
      </c>
      <c r="AX101" s="2309" t="str">
        <f t="shared" si="63"/>
        <v>-</v>
      </c>
      <c r="AY101" s="1055" t="str">
        <f t="shared" si="63"/>
        <v>-</v>
      </c>
      <c r="AZ101" s="1055" t="str">
        <f t="shared" si="63"/>
        <v>-</v>
      </c>
      <c r="BA101" s="1055" t="str">
        <f t="shared" si="63"/>
        <v>-</v>
      </c>
      <c r="BB101" s="1056" t="str">
        <f t="shared" si="63"/>
        <v>-</v>
      </c>
      <c r="BC101" s="1055" t="str">
        <f t="shared" si="63"/>
        <v>-</v>
      </c>
      <c r="BD101" s="1055" t="str">
        <f t="shared" si="63"/>
        <v>-</v>
      </c>
      <c r="BE101" s="1055" t="str">
        <f t="shared" si="63"/>
        <v>-</v>
      </c>
      <c r="BF101" s="1055" t="str">
        <f t="shared" si="63"/>
        <v>-</v>
      </c>
      <c r="BG101" s="1056" t="str">
        <f t="shared" si="63"/>
        <v>-</v>
      </c>
      <c r="BH101" s="1048"/>
      <c r="BI101" s="2304" t="str">
        <f t="shared" si="59"/>
        <v>Rev</v>
      </c>
      <c r="BJ101" s="2305" t="str">
        <f t="shared" si="59"/>
        <v>[Service]</v>
      </c>
      <c r="BK101" s="2306" t="str">
        <f t="shared" si="59"/>
        <v>[Price]</v>
      </c>
      <c r="BL101" s="2307" t="str">
        <f t="shared" ref="BL101:BZ101" si="84">IF(OR(X101="",X101=0),"-",IFERROR((X101/W101-1)*(W101/W$13),"-"))</f>
        <v>-</v>
      </c>
      <c r="BM101" s="1055" t="str">
        <f t="shared" si="84"/>
        <v>-</v>
      </c>
      <c r="BN101" s="1055" t="str">
        <f t="shared" si="84"/>
        <v>-</v>
      </c>
      <c r="BO101" s="2308" t="str">
        <f t="shared" si="84"/>
        <v>-</v>
      </c>
      <c r="BP101" s="1055" t="str">
        <f t="shared" si="84"/>
        <v>-</v>
      </c>
      <c r="BQ101" s="2309" t="str">
        <f t="shared" si="84"/>
        <v>-</v>
      </c>
      <c r="BR101" s="1055" t="str">
        <f t="shared" si="84"/>
        <v>-</v>
      </c>
      <c r="BS101" s="1055" t="str">
        <f t="shared" si="84"/>
        <v>-</v>
      </c>
      <c r="BT101" s="1055" t="str">
        <f t="shared" si="84"/>
        <v>-</v>
      </c>
      <c r="BU101" s="1056" t="str">
        <f t="shared" si="84"/>
        <v>-</v>
      </c>
      <c r="BV101" s="1055" t="str">
        <f t="shared" si="84"/>
        <v>-</v>
      </c>
      <c r="BW101" s="1055" t="str">
        <f t="shared" si="84"/>
        <v>-</v>
      </c>
      <c r="BX101" s="1055" t="str">
        <f t="shared" si="84"/>
        <v>-</v>
      </c>
      <c r="BY101" s="1055" t="str">
        <f t="shared" si="84"/>
        <v>-</v>
      </c>
      <c r="BZ101" s="1056" t="str">
        <f t="shared" si="84"/>
        <v>-</v>
      </c>
    </row>
    <row r="102" spans="3:78" x14ac:dyDescent="0.3">
      <c r="C102" s="126"/>
      <c r="D102" s="126">
        <f>D99+1</f>
        <v>12</v>
      </c>
      <c r="E102" s="553" t="s">
        <v>45</v>
      </c>
      <c r="F102" s="581" t="s">
        <v>28</v>
      </c>
      <c r="G102" s="581"/>
      <c r="H102" s="581"/>
      <c r="I102" s="573" t="s">
        <v>319</v>
      </c>
      <c r="J102" s="573" t="s">
        <v>348</v>
      </c>
      <c r="K102" s="1969"/>
      <c r="L102" s="1970"/>
      <c r="M102" s="1970"/>
      <c r="N102" s="1971"/>
      <c r="O102" s="1970"/>
      <c r="P102" s="1970"/>
      <c r="Q102" s="1970"/>
      <c r="R102" s="1972"/>
      <c r="S102" s="1979"/>
      <c r="T102" s="1972"/>
      <c r="U102" s="1972"/>
      <c r="V102" s="1972"/>
      <c r="W102" s="575"/>
      <c r="X102" s="1238"/>
      <c r="Y102" s="575"/>
      <c r="Z102" s="575"/>
      <c r="AA102" s="575"/>
      <c r="AB102" s="1142"/>
      <c r="AC102" s="575"/>
      <c r="AD102" s="575"/>
      <c r="AE102" s="575"/>
      <c r="AF102" s="575"/>
      <c r="AG102" s="577"/>
      <c r="AH102" s="576"/>
      <c r="AI102" s="575"/>
      <c r="AJ102" s="575"/>
      <c r="AK102" s="575"/>
      <c r="AL102" s="577"/>
      <c r="AN102" s="1052"/>
      <c r="AP102" s="2297" t="str">
        <f t="shared" si="36"/>
        <v>Price</v>
      </c>
      <c r="AQ102" s="2298" t="str">
        <f t="shared" si="36"/>
        <v>[Service]</v>
      </c>
      <c r="AR102" s="1719" t="str">
        <f t="shared" si="37"/>
        <v>[Price]</v>
      </c>
      <c r="AS102" s="2299" t="str">
        <f t="shared" si="63"/>
        <v>-</v>
      </c>
      <c r="AT102" s="1728" t="str">
        <f t="shared" si="63"/>
        <v>-</v>
      </c>
      <c r="AU102" s="1728" t="str">
        <f t="shared" si="63"/>
        <v>-</v>
      </c>
      <c r="AV102" s="2300" t="str">
        <f t="shared" si="63"/>
        <v>-</v>
      </c>
      <c r="AW102" s="1728" t="str">
        <f t="shared" si="63"/>
        <v>-</v>
      </c>
      <c r="AX102" s="2301" t="str">
        <f t="shared" si="63"/>
        <v>-</v>
      </c>
      <c r="AY102" s="1728" t="str">
        <f t="shared" si="63"/>
        <v>-</v>
      </c>
      <c r="AZ102" s="1728" t="str">
        <f t="shared" si="63"/>
        <v>-</v>
      </c>
      <c r="BA102" s="1728" t="str">
        <f t="shared" si="63"/>
        <v>-</v>
      </c>
      <c r="BB102" s="1729" t="str">
        <f t="shared" si="63"/>
        <v>-</v>
      </c>
      <c r="BC102" s="1728" t="str">
        <f t="shared" si="63"/>
        <v>-</v>
      </c>
      <c r="BD102" s="1728" t="str">
        <f t="shared" si="63"/>
        <v>-</v>
      </c>
      <c r="BE102" s="1728" t="str">
        <f t="shared" si="63"/>
        <v>-</v>
      </c>
      <c r="BF102" s="1728" t="str">
        <f t="shared" si="63"/>
        <v>-</v>
      </c>
      <c r="BG102" s="1729" t="str">
        <f t="shared" si="63"/>
        <v>-</v>
      </c>
      <c r="BH102" s="1048"/>
      <c r="BI102" s="2297" t="str">
        <f t="shared" si="59"/>
        <v>Price</v>
      </c>
      <c r="BJ102" s="2298" t="str">
        <f t="shared" si="59"/>
        <v>[Service]</v>
      </c>
      <c r="BK102" s="1719" t="str">
        <f t="shared" si="59"/>
        <v>[Price]</v>
      </c>
      <c r="BL102" s="2299" t="str">
        <f t="shared" ref="BL102:BZ102" si="85">IF(OR(X102="",X102=0),"-",IFERROR((X102/W102-1)*(W104/W$13),"-"))</f>
        <v>-</v>
      </c>
      <c r="BM102" s="1053" t="str">
        <f t="shared" si="85"/>
        <v>-</v>
      </c>
      <c r="BN102" s="1053" t="str">
        <f t="shared" si="85"/>
        <v>-</v>
      </c>
      <c r="BO102" s="2302" t="str">
        <f t="shared" si="85"/>
        <v>-</v>
      </c>
      <c r="BP102" s="1053" t="str">
        <f t="shared" si="85"/>
        <v>-</v>
      </c>
      <c r="BQ102" s="2303" t="str">
        <f t="shared" si="85"/>
        <v>-</v>
      </c>
      <c r="BR102" s="1053" t="str">
        <f t="shared" si="85"/>
        <v>-</v>
      </c>
      <c r="BS102" s="1053" t="str">
        <f t="shared" si="85"/>
        <v>-</v>
      </c>
      <c r="BT102" s="1053" t="str">
        <f t="shared" si="85"/>
        <v>-</v>
      </c>
      <c r="BU102" s="1054" t="str">
        <f t="shared" si="85"/>
        <v>-</v>
      </c>
      <c r="BV102" s="1053" t="str">
        <f t="shared" si="85"/>
        <v>-</v>
      </c>
      <c r="BW102" s="1053" t="str">
        <f t="shared" si="85"/>
        <v>-</v>
      </c>
      <c r="BX102" s="1053" t="str">
        <f t="shared" si="85"/>
        <v>-</v>
      </c>
      <c r="BY102" s="1053" t="str">
        <f t="shared" si="85"/>
        <v>-</v>
      </c>
      <c r="BZ102" s="1054" t="str">
        <f t="shared" si="85"/>
        <v>-</v>
      </c>
    </row>
    <row r="103" spans="3:78" x14ac:dyDescent="0.3">
      <c r="C103" s="126"/>
      <c r="D103" s="126"/>
      <c r="E103" s="558" t="s">
        <v>46</v>
      </c>
      <c r="F103" s="1722" t="str">
        <f>+F102</f>
        <v>[Service]</v>
      </c>
      <c r="G103" s="1724">
        <f>+G102</f>
        <v>0</v>
      </c>
      <c r="H103" s="1724">
        <f>+H102</f>
        <v>0</v>
      </c>
      <c r="I103" s="1725" t="str">
        <f>+I102</f>
        <v>[Price]</v>
      </c>
      <c r="J103" s="574" t="s">
        <v>323</v>
      </c>
      <c r="K103" s="1973"/>
      <c r="L103" s="1974"/>
      <c r="M103" s="1974"/>
      <c r="N103" s="1975"/>
      <c r="O103" s="1974"/>
      <c r="P103" s="1974"/>
      <c r="Q103" s="1974"/>
      <c r="R103" s="1976"/>
      <c r="S103" s="1980"/>
      <c r="T103" s="1976"/>
      <c r="U103" s="1976"/>
      <c r="V103" s="1976"/>
      <c r="W103" s="578"/>
      <c r="X103" s="1239"/>
      <c r="Y103" s="578"/>
      <c r="Z103" s="578"/>
      <c r="AA103" s="578"/>
      <c r="AB103" s="1143"/>
      <c r="AC103" s="578"/>
      <c r="AD103" s="578"/>
      <c r="AE103" s="578"/>
      <c r="AF103" s="578"/>
      <c r="AG103" s="580"/>
      <c r="AH103" s="579"/>
      <c r="AI103" s="578"/>
      <c r="AJ103" s="578"/>
      <c r="AK103" s="578"/>
      <c r="AL103" s="580"/>
      <c r="AN103" s="991"/>
      <c r="AP103" s="2285" t="str">
        <f t="shared" si="36"/>
        <v>Qty</v>
      </c>
      <c r="AQ103" s="2286" t="str">
        <f t="shared" si="36"/>
        <v>[Service]</v>
      </c>
      <c r="AR103" s="2287" t="str">
        <f t="shared" si="37"/>
        <v>[Price]</v>
      </c>
      <c r="AS103" s="2288" t="str">
        <f t="shared" ref="AS103:BG119" si="86">IF(OR(X103="",X103=0),"-",IFERROR(X103/W103-1,"-"))</f>
        <v>-</v>
      </c>
      <c r="AT103" s="1720" t="str">
        <f t="shared" si="86"/>
        <v>-</v>
      </c>
      <c r="AU103" s="1720" t="str">
        <f t="shared" si="86"/>
        <v>-</v>
      </c>
      <c r="AV103" s="2289" t="str">
        <f t="shared" si="86"/>
        <v>-</v>
      </c>
      <c r="AW103" s="1720" t="str">
        <f t="shared" si="86"/>
        <v>-</v>
      </c>
      <c r="AX103" s="2290" t="str">
        <f t="shared" si="86"/>
        <v>-</v>
      </c>
      <c r="AY103" s="1720" t="str">
        <f t="shared" si="86"/>
        <v>-</v>
      </c>
      <c r="AZ103" s="1720" t="str">
        <f t="shared" si="86"/>
        <v>-</v>
      </c>
      <c r="BA103" s="1720" t="str">
        <f t="shared" si="86"/>
        <v>-</v>
      </c>
      <c r="BB103" s="1721" t="str">
        <f t="shared" si="86"/>
        <v>-</v>
      </c>
      <c r="BC103" s="1720" t="str">
        <f t="shared" si="86"/>
        <v>-</v>
      </c>
      <c r="BD103" s="1720" t="str">
        <f t="shared" si="86"/>
        <v>-</v>
      </c>
      <c r="BE103" s="1720" t="str">
        <f t="shared" si="86"/>
        <v>-</v>
      </c>
      <c r="BF103" s="1720" t="str">
        <f t="shared" si="86"/>
        <v>-</v>
      </c>
      <c r="BG103" s="1721" t="str">
        <f t="shared" si="86"/>
        <v>-</v>
      </c>
      <c r="BH103" s="1048"/>
      <c r="BI103" s="2285" t="str">
        <f t="shared" si="59"/>
        <v>Qty</v>
      </c>
      <c r="BJ103" s="2286" t="str">
        <f t="shared" si="59"/>
        <v>[Service]</v>
      </c>
      <c r="BK103" s="2287" t="str">
        <f t="shared" si="59"/>
        <v>[Price]</v>
      </c>
      <c r="BL103" s="2288" t="str">
        <f t="shared" ref="BL103:BZ103" si="87">IF(OR(X103="",X103=0),"-",IFERROR((X103/W103-1)*(W104/W$13),"-"))</f>
        <v>-</v>
      </c>
      <c r="BM103" s="1720" t="str">
        <f t="shared" si="87"/>
        <v>-</v>
      </c>
      <c r="BN103" s="1720" t="str">
        <f t="shared" si="87"/>
        <v>-</v>
      </c>
      <c r="BO103" s="2289" t="str">
        <f t="shared" si="87"/>
        <v>-</v>
      </c>
      <c r="BP103" s="1720" t="str">
        <f t="shared" si="87"/>
        <v>-</v>
      </c>
      <c r="BQ103" s="2290" t="str">
        <f t="shared" si="87"/>
        <v>-</v>
      </c>
      <c r="BR103" s="1720" t="str">
        <f t="shared" si="87"/>
        <v>-</v>
      </c>
      <c r="BS103" s="1720" t="str">
        <f t="shared" si="87"/>
        <v>-</v>
      </c>
      <c r="BT103" s="1720" t="str">
        <f t="shared" si="87"/>
        <v>-</v>
      </c>
      <c r="BU103" s="1721" t="str">
        <f t="shared" si="87"/>
        <v>-</v>
      </c>
      <c r="BV103" s="1720" t="str">
        <f t="shared" si="87"/>
        <v>-</v>
      </c>
      <c r="BW103" s="1720" t="str">
        <f t="shared" si="87"/>
        <v>-</v>
      </c>
      <c r="BX103" s="1720" t="str">
        <f t="shared" si="87"/>
        <v>-</v>
      </c>
      <c r="BY103" s="1720" t="str">
        <f t="shared" si="87"/>
        <v>-</v>
      </c>
      <c r="BZ103" s="1721" t="str">
        <f t="shared" si="87"/>
        <v>-</v>
      </c>
    </row>
    <row r="104" spans="3:78" ht="12.5" thickBot="1" x14ac:dyDescent="0.35">
      <c r="C104" s="126"/>
      <c r="D104" s="126"/>
      <c r="E104" s="559" t="s">
        <v>47</v>
      </c>
      <c r="F104" s="1723" t="str">
        <f>+F102</f>
        <v>[Service]</v>
      </c>
      <c r="G104" s="1726">
        <f>+G102</f>
        <v>0</v>
      </c>
      <c r="H104" s="1726">
        <f>+H102</f>
        <v>0</v>
      </c>
      <c r="I104" s="1727" t="str">
        <f>+I102</f>
        <v>[Price]</v>
      </c>
      <c r="J104" s="556" t="s">
        <v>347</v>
      </c>
      <c r="K104" s="1977"/>
      <c r="L104" s="1206"/>
      <c r="M104" s="1206"/>
      <c r="N104" s="1978"/>
      <c r="O104" s="1206"/>
      <c r="P104" s="1206"/>
      <c r="Q104" s="1206"/>
      <c r="R104" s="1206"/>
      <c r="S104" s="1978"/>
      <c r="T104" s="1206"/>
      <c r="U104" s="1206"/>
      <c r="V104" s="1206"/>
      <c r="W104" s="1731">
        <f t="shared" ref="W104:AG104" si="88">W102*W103/10^6</f>
        <v>0</v>
      </c>
      <c r="X104" s="1730">
        <f t="shared" si="88"/>
        <v>0</v>
      </c>
      <c r="Y104" s="1731">
        <f t="shared" si="88"/>
        <v>0</v>
      </c>
      <c r="Z104" s="1731">
        <f t="shared" si="88"/>
        <v>0</v>
      </c>
      <c r="AA104" s="1731">
        <f t="shared" si="88"/>
        <v>0</v>
      </c>
      <c r="AB104" s="1733">
        <f t="shared" si="88"/>
        <v>0</v>
      </c>
      <c r="AC104" s="1731">
        <f t="shared" si="88"/>
        <v>0</v>
      </c>
      <c r="AD104" s="1731">
        <f t="shared" si="88"/>
        <v>0</v>
      </c>
      <c r="AE104" s="1731">
        <f t="shared" si="88"/>
        <v>0</v>
      </c>
      <c r="AF104" s="1731">
        <f t="shared" si="88"/>
        <v>0</v>
      </c>
      <c r="AG104" s="1733">
        <f t="shared" si="88"/>
        <v>0</v>
      </c>
      <c r="AH104" s="1732">
        <f>AH102*AH103/10^6</f>
        <v>0</v>
      </c>
      <c r="AI104" s="1731">
        <f>AI102*AI103/10^6</f>
        <v>0</v>
      </c>
      <c r="AJ104" s="1731">
        <f>AJ102*AJ103/10^6</f>
        <v>0</v>
      </c>
      <c r="AK104" s="1731">
        <f>AK102*AK103/10^6</f>
        <v>0</v>
      </c>
      <c r="AL104" s="1733">
        <f>AL102*AL103/10^6</f>
        <v>0</v>
      </c>
      <c r="AN104" s="991"/>
      <c r="AP104" s="2304" t="str">
        <f t="shared" si="36"/>
        <v>Rev</v>
      </c>
      <c r="AQ104" s="2305" t="str">
        <f t="shared" si="36"/>
        <v>[Service]</v>
      </c>
      <c r="AR104" s="2306" t="str">
        <f t="shared" si="37"/>
        <v>[Price]</v>
      </c>
      <c r="AS104" s="2307" t="str">
        <f t="shared" si="86"/>
        <v>-</v>
      </c>
      <c r="AT104" s="1055" t="str">
        <f t="shared" si="86"/>
        <v>-</v>
      </c>
      <c r="AU104" s="1055" t="str">
        <f t="shared" si="86"/>
        <v>-</v>
      </c>
      <c r="AV104" s="2308" t="str">
        <f t="shared" si="86"/>
        <v>-</v>
      </c>
      <c r="AW104" s="1055" t="str">
        <f t="shared" si="86"/>
        <v>-</v>
      </c>
      <c r="AX104" s="2309" t="str">
        <f t="shared" si="86"/>
        <v>-</v>
      </c>
      <c r="AY104" s="1055" t="str">
        <f t="shared" si="86"/>
        <v>-</v>
      </c>
      <c r="AZ104" s="1055" t="str">
        <f t="shared" si="86"/>
        <v>-</v>
      </c>
      <c r="BA104" s="1055" t="str">
        <f t="shared" si="86"/>
        <v>-</v>
      </c>
      <c r="BB104" s="1056" t="str">
        <f t="shared" si="86"/>
        <v>-</v>
      </c>
      <c r="BC104" s="1055" t="str">
        <f t="shared" si="86"/>
        <v>-</v>
      </c>
      <c r="BD104" s="1055" t="str">
        <f t="shared" si="86"/>
        <v>-</v>
      </c>
      <c r="BE104" s="1055" t="str">
        <f t="shared" si="86"/>
        <v>-</v>
      </c>
      <c r="BF104" s="1055" t="str">
        <f t="shared" si="86"/>
        <v>-</v>
      </c>
      <c r="BG104" s="1056" t="str">
        <f t="shared" si="86"/>
        <v>-</v>
      </c>
      <c r="BH104" s="1048"/>
      <c r="BI104" s="2304" t="str">
        <f t="shared" si="59"/>
        <v>Rev</v>
      </c>
      <c r="BJ104" s="2305" t="str">
        <f t="shared" si="59"/>
        <v>[Service]</v>
      </c>
      <c r="BK104" s="2306" t="str">
        <f t="shared" si="59"/>
        <v>[Price]</v>
      </c>
      <c r="BL104" s="2307" t="str">
        <f t="shared" ref="BL104:BZ104" si="89">IF(OR(X104="",X104=0),"-",IFERROR((X104/W104-1)*(W104/W$13),"-"))</f>
        <v>-</v>
      </c>
      <c r="BM104" s="1055" t="str">
        <f t="shared" si="89"/>
        <v>-</v>
      </c>
      <c r="BN104" s="1055" t="str">
        <f t="shared" si="89"/>
        <v>-</v>
      </c>
      <c r="BO104" s="2308" t="str">
        <f t="shared" si="89"/>
        <v>-</v>
      </c>
      <c r="BP104" s="1055" t="str">
        <f t="shared" si="89"/>
        <v>-</v>
      </c>
      <c r="BQ104" s="2309" t="str">
        <f t="shared" si="89"/>
        <v>-</v>
      </c>
      <c r="BR104" s="1055" t="str">
        <f t="shared" si="89"/>
        <v>-</v>
      </c>
      <c r="BS104" s="1055" t="str">
        <f t="shared" si="89"/>
        <v>-</v>
      </c>
      <c r="BT104" s="1055" t="str">
        <f t="shared" si="89"/>
        <v>-</v>
      </c>
      <c r="BU104" s="1056" t="str">
        <f t="shared" si="89"/>
        <v>-</v>
      </c>
      <c r="BV104" s="1055" t="str">
        <f t="shared" si="89"/>
        <v>-</v>
      </c>
      <c r="BW104" s="1055" t="str">
        <f t="shared" si="89"/>
        <v>-</v>
      </c>
      <c r="BX104" s="1055" t="str">
        <f t="shared" si="89"/>
        <v>-</v>
      </c>
      <c r="BY104" s="1055" t="str">
        <f t="shared" si="89"/>
        <v>-</v>
      </c>
      <c r="BZ104" s="1056" t="str">
        <f t="shared" si="89"/>
        <v>-</v>
      </c>
    </row>
    <row r="105" spans="3:78" x14ac:dyDescent="0.3">
      <c r="C105" s="126"/>
      <c r="D105" s="126">
        <f>D102+1</f>
        <v>13</v>
      </c>
      <c r="E105" s="553" t="s">
        <v>45</v>
      </c>
      <c r="F105" s="581" t="s">
        <v>28</v>
      </c>
      <c r="G105" s="581"/>
      <c r="H105" s="581"/>
      <c r="I105" s="573" t="s">
        <v>319</v>
      </c>
      <c r="J105" s="573" t="s">
        <v>348</v>
      </c>
      <c r="K105" s="1969"/>
      <c r="L105" s="1970"/>
      <c r="M105" s="1970"/>
      <c r="N105" s="1971"/>
      <c r="O105" s="1970"/>
      <c r="P105" s="1970"/>
      <c r="Q105" s="1970"/>
      <c r="R105" s="1972"/>
      <c r="S105" s="1979"/>
      <c r="T105" s="1972"/>
      <c r="U105" s="1972"/>
      <c r="V105" s="1972"/>
      <c r="W105" s="575"/>
      <c r="X105" s="1238"/>
      <c r="Y105" s="575"/>
      <c r="Z105" s="575"/>
      <c r="AA105" s="575"/>
      <c r="AB105" s="1142"/>
      <c r="AC105" s="575"/>
      <c r="AD105" s="575"/>
      <c r="AE105" s="575"/>
      <c r="AF105" s="575"/>
      <c r="AG105" s="577"/>
      <c r="AH105" s="576"/>
      <c r="AI105" s="575"/>
      <c r="AJ105" s="575"/>
      <c r="AK105" s="575"/>
      <c r="AL105" s="577"/>
      <c r="AN105" s="1052"/>
      <c r="AP105" s="2297" t="str">
        <f t="shared" si="36"/>
        <v>Price</v>
      </c>
      <c r="AQ105" s="2298" t="str">
        <f t="shared" si="36"/>
        <v>[Service]</v>
      </c>
      <c r="AR105" s="1719" t="str">
        <f t="shared" si="37"/>
        <v>[Price]</v>
      </c>
      <c r="AS105" s="2299" t="str">
        <f t="shared" si="86"/>
        <v>-</v>
      </c>
      <c r="AT105" s="1728" t="str">
        <f t="shared" si="86"/>
        <v>-</v>
      </c>
      <c r="AU105" s="1728" t="str">
        <f t="shared" si="86"/>
        <v>-</v>
      </c>
      <c r="AV105" s="2300" t="str">
        <f t="shared" si="86"/>
        <v>-</v>
      </c>
      <c r="AW105" s="1728" t="str">
        <f t="shared" si="86"/>
        <v>-</v>
      </c>
      <c r="AX105" s="2301" t="str">
        <f t="shared" si="86"/>
        <v>-</v>
      </c>
      <c r="AY105" s="1728" t="str">
        <f t="shared" si="86"/>
        <v>-</v>
      </c>
      <c r="AZ105" s="1728" t="str">
        <f t="shared" si="86"/>
        <v>-</v>
      </c>
      <c r="BA105" s="1728" t="str">
        <f t="shared" si="86"/>
        <v>-</v>
      </c>
      <c r="BB105" s="1729" t="str">
        <f t="shared" si="86"/>
        <v>-</v>
      </c>
      <c r="BC105" s="1728" t="str">
        <f t="shared" si="86"/>
        <v>-</v>
      </c>
      <c r="BD105" s="1728" t="str">
        <f t="shared" si="86"/>
        <v>-</v>
      </c>
      <c r="BE105" s="1728" t="str">
        <f t="shared" si="86"/>
        <v>-</v>
      </c>
      <c r="BF105" s="1728" t="str">
        <f t="shared" si="86"/>
        <v>-</v>
      </c>
      <c r="BG105" s="1729" t="str">
        <f t="shared" si="86"/>
        <v>-</v>
      </c>
      <c r="BH105" s="1048"/>
      <c r="BI105" s="2297" t="str">
        <f t="shared" si="59"/>
        <v>Price</v>
      </c>
      <c r="BJ105" s="2298" t="str">
        <f t="shared" si="59"/>
        <v>[Service]</v>
      </c>
      <c r="BK105" s="1719" t="str">
        <f t="shared" si="59"/>
        <v>[Price]</v>
      </c>
      <c r="BL105" s="2299" t="str">
        <f t="shared" ref="BL105:BZ105" si="90">IF(OR(X105="",X105=0),"-",IFERROR((X105/W105-1)*(W107/W$13),"-"))</f>
        <v>-</v>
      </c>
      <c r="BM105" s="1053" t="str">
        <f t="shared" si="90"/>
        <v>-</v>
      </c>
      <c r="BN105" s="1053" t="str">
        <f t="shared" si="90"/>
        <v>-</v>
      </c>
      <c r="BO105" s="2302" t="str">
        <f t="shared" si="90"/>
        <v>-</v>
      </c>
      <c r="BP105" s="1053" t="str">
        <f t="shared" si="90"/>
        <v>-</v>
      </c>
      <c r="BQ105" s="2303" t="str">
        <f t="shared" si="90"/>
        <v>-</v>
      </c>
      <c r="BR105" s="1053" t="str">
        <f t="shared" si="90"/>
        <v>-</v>
      </c>
      <c r="BS105" s="1053" t="str">
        <f t="shared" si="90"/>
        <v>-</v>
      </c>
      <c r="BT105" s="1053" t="str">
        <f t="shared" si="90"/>
        <v>-</v>
      </c>
      <c r="BU105" s="1054" t="str">
        <f t="shared" si="90"/>
        <v>-</v>
      </c>
      <c r="BV105" s="1053" t="str">
        <f t="shared" si="90"/>
        <v>-</v>
      </c>
      <c r="BW105" s="1053" t="str">
        <f t="shared" si="90"/>
        <v>-</v>
      </c>
      <c r="BX105" s="1053" t="str">
        <f t="shared" si="90"/>
        <v>-</v>
      </c>
      <c r="BY105" s="1053" t="str">
        <f t="shared" si="90"/>
        <v>-</v>
      </c>
      <c r="BZ105" s="1054" t="str">
        <f t="shared" si="90"/>
        <v>-</v>
      </c>
    </row>
    <row r="106" spans="3:78" x14ac:dyDescent="0.3">
      <c r="C106" s="126"/>
      <c r="D106" s="126"/>
      <c r="E106" s="558" t="s">
        <v>46</v>
      </c>
      <c r="F106" s="1722" t="str">
        <f>+F105</f>
        <v>[Service]</v>
      </c>
      <c r="G106" s="1724">
        <f>+G105</f>
        <v>0</v>
      </c>
      <c r="H106" s="1724">
        <f>+H105</f>
        <v>0</v>
      </c>
      <c r="I106" s="1725" t="str">
        <f>+I105</f>
        <v>[Price]</v>
      </c>
      <c r="J106" s="574" t="s">
        <v>323</v>
      </c>
      <c r="K106" s="1973"/>
      <c r="L106" s="1974"/>
      <c r="M106" s="1974"/>
      <c r="N106" s="1975"/>
      <c r="O106" s="1974"/>
      <c r="P106" s="1974"/>
      <c r="Q106" s="1974"/>
      <c r="R106" s="1976"/>
      <c r="S106" s="1980"/>
      <c r="T106" s="1976"/>
      <c r="U106" s="1976"/>
      <c r="V106" s="1976"/>
      <c r="W106" s="578"/>
      <c r="X106" s="1239"/>
      <c r="Y106" s="578"/>
      <c r="Z106" s="578"/>
      <c r="AA106" s="578"/>
      <c r="AB106" s="1143"/>
      <c r="AC106" s="578"/>
      <c r="AD106" s="578"/>
      <c r="AE106" s="578"/>
      <c r="AF106" s="578"/>
      <c r="AG106" s="580"/>
      <c r="AH106" s="579"/>
      <c r="AI106" s="578"/>
      <c r="AJ106" s="578"/>
      <c r="AK106" s="578"/>
      <c r="AL106" s="580"/>
      <c r="AN106" s="991"/>
      <c r="AP106" s="2285" t="str">
        <f t="shared" si="36"/>
        <v>Qty</v>
      </c>
      <c r="AQ106" s="2286" t="str">
        <f t="shared" si="36"/>
        <v>[Service]</v>
      </c>
      <c r="AR106" s="2287" t="str">
        <f t="shared" si="37"/>
        <v>[Price]</v>
      </c>
      <c r="AS106" s="2288" t="str">
        <f t="shared" si="86"/>
        <v>-</v>
      </c>
      <c r="AT106" s="1720" t="str">
        <f t="shared" si="86"/>
        <v>-</v>
      </c>
      <c r="AU106" s="1720" t="str">
        <f t="shared" si="86"/>
        <v>-</v>
      </c>
      <c r="AV106" s="2289" t="str">
        <f t="shared" si="86"/>
        <v>-</v>
      </c>
      <c r="AW106" s="1720" t="str">
        <f t="shared" si="86"/>
        <v>-</v>
      </c>
      <c r="AX106" s="2290" t="str">
        <f t="shared" si="86"/>
        <v>-</v>
      </c>
      <c r="AY106" s="1720" t="str">
        <f t="shared" si="86"/>
        <v>-</v>
      </c>
      <c r="AZ106" s="1720" t="str">
        <f t="shared" si="86"/>
        <v>-</v>
      </c>
      <c r="BA106" s="1720" t="str">
        <f t="shared" si="86"/>
        <v>-</v>
      </c>
      <c r="BB106" s="1721" t="str">
        <f t="shared" si="86"/>
        <v>-</v>
      </c>
      <c r="BC106" s="1720" t="str">
        <f t="shared" si="86"/>
        <v>-</v>
      </c>
      <c r="BD106" s="1720" t="str">
        <f t="shared" si="86"/>
        <v>-</v>
      </c>
      <c r="BE106" s="1720" t="str">
        <f t="shared" si="86"/>
        <v>-</v>
      </c>
      <c r="BF106" s="1720" t="str">
        <f t="shared" si="86"/>
        <v>-</v>
      </c>
      <c r="BG106" s="1721" t="str">
        <f t="shared" si="86"/>
        <v>-</v>
      </c>
      <c r="BH106" s="1048"/>
      <c r="BI106" s="2285" t="str">
        <f t="shared" si="59"/>
        <v>Qty</v>
      </c>
      <c r="BJ106" s="2286" t="str">
        <f t="shared" si="59"/>
        <v>[Service]</v>
      </c>
      <c r="BK106" s="2287" t="str">
        <f t="shared" si="59"/>
        <v>[Price]</v>
      </c>
      <c r="BL106" s="2288" t="str">
        <f t="shared" ref="BL106:BZ106" si="91">IF(OR(X106="",X106=0),"-",IFERROR((X106/W106-1)*(W107/W$13),"-"))</f>
        <v>-</v>
      </c>
      <c r="BM106" s="1720" t="str">
        <f t="shared" si="91"/>
        <v>-</v>
      </c>
      <c r="BN106" s="1720" t="str">
        <f t="shared" si="91"/>
        <v>-</v>
      </c>
      <c r="BO106" s="2289" t="str">
        <f t="shared" si="91"/>
        <v>-</v>
      </c>
      <c r="BP106" s="1720" t="str">
        <f t="shared" si="91"/>
        <v>-</v>
      </c>
      <c r="BQ106" s="2290" t="str">
        <f t="shared" si="91"/>
        <v>-</v>
      </c>
      <c r="BR106" s="1720" t="str">
        <f t="shared" si="91"/>
        <v>-</v>
      </c>
      <c r="BS106" s="1720" t="str">
        <f t="shared" si="91"/>
        <v>-</v>
      </c>
      <c r="BT106" s="1720" t="str">
        <f t="shared" si="91"/>
        <v>-</v>
      </c>
      <c r="BU106" s="1721" t="str">
        <f t="shared" si="91"/>
        <v>-</v>
      </c>
      <c r="BV106" s="1720" t="str">
        <f t="shared" si="91"/>
        <v>-</v>
      </c>
      <c r="BW106" s="1720" t="str">
        <f t="shared" si="91"/>
        <v>-</v>
      </c>
      <c r="BX106" s="1720" t="str">
        <f t="shared" si="91"/>
        <v>-</v>
      </c>
      <c r="BY106" s="1720" t="str">
        <f t="shared" si="91"/>
        <v>-</v>
      </c>
      <c r="BZ106" s="1721" t="str">
        <f t="shared" si="91"/>
        <v>-</v>
      </c>
    </row>
    <row r="107" spans="3:78" ht="12.5" thickBot="1" x14ac:dyDescent="0.35">
      <c r="C107" s="126"/>
      <c r="D107" s="126"/>
      <c r="E107" s="559" t="s">
        <v>47</v>
      </c>
      <c r="F107" s="1723" t="str">
        <f>+F105</f>
        <v>[Service]</v>
      </c>
      <c r="G107" s="1726">
        <f>+G105</f>
        <v>0</v>
      </c>
      <c r="H107" s="1726">
        <f>+H105</f>
        <v>0</v>
      </c>
      <c r="I107" s="1727" t="str">
        <f>+I105</f>
        <v>[Price]</v>
      </c>
      <c r="J107" s="556" t="s">
        <v>347</v>
      </c>
      <c r="K107" s="1977"/>
      <c r="L107" s="1206"/>
      <c r="M107" s="1206"/>
      <c r="N107" s="1978"/>
      <c r="O107" s="1206"/>
      <c r="P107" s="1206"/>
      <c r="Q107" s="1206"/>
      <c r="R107" s="1206"/>
      <c r="S107" s="1978"/>
      <c r="T107" s="1206"/>
      <c r="U107" s="1206"/>
      <c r="V107" s="1206"/>
      <c r="W107" s="1731">
        <f t="shared" ref="W107:AG107" si="92">W105*W106/10^6</f>
        <v>0</v>
      </c>
      <c r="X107" s="1730">
        <f t="shared" si="92"/>
        <v>0</v>
      </c>
      <c r="Y107" s="1731">
        <f t="shared" si="92"/>
        <v>0</v>
      </c>
      <c r="Z107" s="1731">
        <f t="shared" si="92"/>
        <v>0</v>
      </c>
      <c r="AA107" s="1731">
        <f t="shared" si="92"/>
        <v>0</v>
      </c>
      <c r="AB107" s="1733">
        <f t="shared" si="92"/>
        <v>0</v>
      </c>
      <c r="AC107" s="1731">
        <f t="shared" si="92"/>
        <v>0</v>
      </c>
      <c r="AD107" s="1731">
        <f t="shared" si="92"/>
        <v>0</v>
      </c>
      <c r="AE107" s="1731">
        <f t="shared" si="92"/>
        <v>0</v>
      </c>
      <c r="AF107" s="1731">
        <f t="shared" si="92"/>
        <v>0</v>
      </c>
      <c r="AG107" s="1733">
        <f t="shared" si="92"/>
        <v>0</v>
      </c>
      <c r="AH107" s="1732">
        <f>AH105*AH106/10^6</f>
        <v>0</v>
      </c>
      <c r="AI107" s="1731">
        <f>AI105*AI106/10^6</f>
        <v>0</v>
      </c>
      <c r="AJ107" s="1731">
        <f>AJ105*AJ106/10^6</f>
        <v>0</v>
      </c>
      <c r="AK107" s="1731">
        <f>AK105*AK106/10^6</f>
        <v>0</v>
      </c>
      <c r="AL107" s="1733">
        <f>AL105*AL106/10^6</f>
        <v>0</v>
      </c>
      <c r="AN107" s="991"/>
      <c r="AP107" s="2304" t="str">
        <f t="shared" si="36"/>
        <v>Rev</v>
      </c>
      <c r="AQ107" s="2305" t="str">
        <f t="shared" si="36"/>
        <v>[Service]</v>
      </c>
      <c r="AR107" s="2306" t="str">
        <f t="shared" si="37"/>
        <v>[Price]</v>
      </c>
      <c r="AS107" s="2307" t="str">
        <f t="shared" si="86"/>
        <v>-</v>
      </c>
      <c r="AT107" s="1055" t="str">
        <f t="shared" si="86"/>
        <v>-</v>
      </c>
      <c r="AU107" s="1055" t="str">
        <f t="shared" si="86"/>
        <v>-</v>
      </c>
      <c r="AV107" s="2308" t="str">
        <f t="shared" si="86"/>
        <v>-</v>
      </c>
      <c r="AW107" s="1055" t="str">
        <f t="shared" si="86"/>
        <v>-</v>
      </c>
      <c r="AX107" s="2309" t="str">
        <f t="shared" si="86"/>
        <v>-</v>
      </c>
      <c r="AY107" s="1055" t="str">
        <f t="shared" si="86"/>
        <v>-</v>
      </c>
      <c r="AZ107" s="1055" t="str">
        <f t="shared" si="86"/>
        <v>-</v>
      </c>
      <c r="BA107" s="1055" t="str">
        <f t="shared" si="86"/>
        <v>-</v>
      </c>
      <c r="BB107" s="1056" t="str">
        <f t="shared" si="86"/>
        <v>-</v>
      </c>
      <c r="BC107" s="1055" t="str">
        <f t="shared" si="86"/>
        <v>-</v>
      </c>
      <c r="BD107" s="1055" t="str">
        <f t="shared" si="86"/>
        <v>-</v>
      </c>
      <c r="BE107" s="1055" t="str">
        <f t="shared" si="86"/>
        <v>-</v>
      </c>
      <c r="BF107" s="1055" t="str">
        <f t="shared" si="86"/>
        <v>-</v>
      </c>
      <c r="BG107" s="1056" t="str">
        <f t="shared" si="86"/>
        <v>-</v>
      </c>
      <c r="BH107" s="1048"/>
      <c r="BI107" s="2304" t="str">
        <f t="shared" si="59"/>
        <v>Rev</v>
      </c>
      <c r="BJ107" s="2305" t="str">
        <f t="shared" si="59"/>
        <v>[Service]</v>
      </c>
      <c r="BK107" s="2306" t="str">
        <f t="shared" si="59"/>
        <v>[Price]</v>
      </c>
      <c r="BL107" s="2307" t="str">
        <f t="shared" ref="BL107:BZ107" si="93">IF(OR(X107="",X107=0),"-",IFERROR((X107/W107-1)*(W107/W$13),"-"))</f>
        <v>-</v>
      </c>
      <c r="BM107" s="1055" t="str">
        <f t="shared" si="93"/>
        <v>-</v>
      </c>
      <c r="BN107" s="1055" t="str">
        <f t="shared" si="93"/>
        <v>-</v>
      </c>
      <c r="BO107" s="2308" t="str">
        <f t="shared" si="93"/>
        <v>-</v>
      </c>
      <c r="BP107" s="1055" t="str">
        <f t="shared" si="93"/>
        <v>-</v>
      </c>
      <c r="BQ107" s="2309" t="str">
        <f t="shared" si="93"/>
        <v>-</v>
      </c>
      <c r="BR107" s="1055" t="str">
        <f t="shared" si="93"/>
        <v>-</v>
      </c>
      <c r="BS107" s="1055" t="str">
        <f t="shared" si="93"/>
        <v>-</v>
      </c>
      <c r="BT107" s="1055" t="str">
        <f t="shared" si="93"/>
        <v>-</v>
      </c>
      <c r="BU107" s="1056" t="str">
        <f t="shared" si="93"/>
        <v>-</v>
      </c>
      <c r="BV107" s="1055" t="str">
        <f t="shared" si="93"/>
        <v>-</v>
      </c>
      <c r="BW107" s="1055" t="str">
        <f t="shared" si="93"/>
        <v>-</v>
      </c>
      <c r="BX107" s="1055" t="str">
        <f t="shared" si="93"/>
        <v>-</v>
      </c>
      <c r="BY107" s="1055" t="str">
        <f t="shared" si="93"/>
        <v>-</v>
      </c>
      <c r="BZ107" s="1056" t="str">
        <f t="shared" si="93"/>
        <v>-</v>
      </c>
    </row>
    <row r="108" spans="3:78" x14ac:dyDescent="0.3">
      <c r="C108" s="126"/>
      <c r="D108" s="126">
        <f>D105+1</f>
        <v>14</v>
      </c>
      <c r="E108" s="553" t="s">
        <v>45</v>
      </c>
      <c r="F108" s="581" t="s">
        <v>28</v>
      </c>
      <c r="G108" s="581"/>
      <c r="H108" s="581"/>
      <c r="I108" s="573" t="s">
        <v>319</v>
      </c>
      <c r="J108" s="573" t="s">
        <v>348</v>
      </c>
      <c r="K108" s="1969"/>
      <c r="L108" s="1970"/>
      <c r="M108" s="1970"/>
      <c r="N108" s="1971"/>
      <c r="O108" s="1970"/>
      <c r="P108" s="1970"/>
      <c r="Q108" s="1970"/>
      <c r="R108" s="1972"/>
      <c r="S108" s="1979"/>
      <c r="T108" s="1972"/>
      <c r="U108" s="1972"/>
      <c r="V108" s="1972"/>
      <c r="W108" s="575"/>
      <c r="X108" s="1238"/>
      <c r="Y108" s="575"/>
      <c r="Z108" s="575"/>
      <c r="AA108" s="575"/>
      <c r="AB108" s="1142"/>
      <c r="AC108" s="575"/>
      <c r="AD108" s="575"/>
      <c r="AE108" s="575"/>
      <c r="AF108" s="575"/>
      <c r="AG108" s="577"/>
      <c r="AH108" s="576"/>
      <c r="AI108" s="575"/>
      <c r="AJ108" s="575"/>
      <c r="AK108" s="575"/>
      <c r="AL108" s="577"/>
      <c r="AN108" s="1052"/>
      <c r="AP108" s="2297" t="str">
        <f t="shared" si="36"/>
        <v>Price</v>
      </c>
      <c r="AQ108" s="2298" t="str">
        <f t="shared" si="36"/>
        <v>[Service]</v>
      </c>
      <c r="AR108" s="1719" t="str">
        <f t="shared" si="37"/>
        <v>[Price]</v>
      </c>
      <c r="AS108" s="2299" t="str">
        <f t="shared" si="86"/>
        <v>-</v>
      </c>
      <c r="AT108" s="1728" t="str">
        <f t="shared" si="86"/>
        <v>-</v>
      </c>
      <c r="AU108" s="1728" t="str">
        <f t="shared" si="86"/>
        <v>-</v>
      </c>
      <c r="AV108" s="2300" t="str">
        <f t="shared" si="86"/>
        <v>-</v>
      </c>
      <c r="AW108" s="1728" t="str">
        <f t="shared" si="86"/>
        <v>-</v>
      </c>
      <c r="AX108" s="2301" t="str">
        <f t="shared" si="86"/>
        <v>-</v>
      </c>
      <c r="AY108" s="1728" t="str">
        <f t="shared" si="86"/>
        <v>-</v>
      </c>
      <c r="AZ108" s="1728" t="str">
        <f t="shared" si="86"/>
        <v>-</v>
      </c>
      <c r="BA108" s="1728" t="str">
        <f t="shared" si="86"/>
        <v>-</v>
      </c>
      <c r="BB108" s="1729" t="str">
        <f t="shared" si="86"/>
        <v>-</v>
      </c>
      <c r="BC108" s="1728" t="str">
        <f t="shared" si="86"/>
        <v>-</v>
      </c>
      <c r="BD108" s="1728" t="str">
        <f t="shared" si="86"/>
        <v>-</v>
      </c>
      <c r="BE108" s="1728" t="str">
        <f t="shared" si="86"/>
        <v>-</v>
      </c>
      <c r="BF108" s="1728" t="str">
        <f t="shared" si="86"/>
        <v>-</v>
      </c>
      <c r="BG108" s="1729" t="str">
        <f t="shared" si="86"/>
        <v>-</v>
      </c>
      <c r="BH108" s="1048"/>
      <c r="BI108" s="2297" t="str">
        <f t="shared" si="59"/>
        <v>Price</v>
      </c>
      <c r="BJ108" s="2298" t="str">
        <f t="shared" si="59"/>
        <v>[Service]</v>
      </c>
      <c r="BK108" s="1719" t="str">
        <f t="shared" si="59"/>
        <v>[Price]</v>
      </c>
      <c r="BL108" s="2299" t="str">
        <f t="shared" ref="BL108:BZ108" si="94">IF(OR(X108="",X108=0),"-",IFERROR((X108/W108-1)*(W110/W$13),"-"))</f>
        <v>-</v>
      </c>
      <c r="BM108" s="1053" t="str">
        <f t="shared" si="94"/>
        <v>-</v>
      </c>
      <c r="BN108" s="1053" t="str">
        <f t="shared" si="94"/>
        <v>-</v>
      </c>
      <c r="BO108" s="2302" t="str">
        <f t="shared" si="94"/>
        <v>-</v>
      </c>
      <c r="BP108" s="1053" t="str">
        <f t="shared" si="94"/>
        <v>-</v>
      </c>
      <c r="BQ108" s="2303" t="str">
        <f t="shared" si="94"/>
        <v>-</v>
      </c>
      <c r="BR108" s="1053" t="str">
        <f t="shared" si="94"/>
        <v>-</v>
      </c>
      <c r="BS108" s="1053" t="str">
        <f t="shared" si="94"/>
        <v>-</v>
      </c>
      <c r="BT108" s="1053" t="str">
        <f t="shared" si="94"/>
        <v>-</v>
      </c>
      <c r="BU108" s="1054" t="str">
        <f t="shared" si="94"/>
        <v>-</v>
      </c>
      <c r="BV108" s="1053" t="str">
        <f t="shared" si="94"/>
        <v>-</v>
      </c>
      <c r="BW108" s="1053" t="str">
        <f t="shared" si="94"/>
        <v>-</v>
      </c>
      <c r="BX108" s="1053" t="str">
        <f t="shared" si="94"/>
        <v>-</v>
      </c>
      <c r="BY108" s="1053" t="str">
        <f t="shared" si="94"/>
        <v>-</v>
      </c>
      <c r="BZ108" s="1054" t="str">
        <f t="shared" si="94"/>
        <v>-</v>
      </c>
    </row>
    <row r="109" spans="3:78" x14ac:dyDescent="0.3">
      <c r="C109" s="126"/>
      <c r="D109" s="126"/>
      <c r="E109" s="558" t="s">
        <v>46</v>
      </c>
      <c r="F109" s="1722" t="str">
        <f>+F108</f>
        <v>[Service]</v>
      </c>
      <c r="G109" s="1724">
        <f>+G108</f>
        <v>0</v>
      </c>
      <c r="H109" s="1724">
        <f>+H108</f>
        <v>0</v>
      </c>
      <c r="I109" s="1725" t="str">
        <f>+I108</f>
        <v>[Price]</v>
      </c>
      <c r="J109" s="574" t="s">
        <v>323</v>
      </c>
      <c r="K109" s="1973"/>
      <c r="L109" s="1974"/>
      <c r="M109" s="1974"/>
      <c r="N109" s="1975"/>
      <c r="O109" s="1974"/>
      <c r="P109" s="1974"/>
      <c r="Q109" s="1974"/>
      <c r="R109" s="1976"/>
      <c r="S109" s="1980"/>
      <c r="T109" s="1976"/>
      <c r="U109" s="1976"/>
      <c r="V109" s="1976"/>
      <c r="W109" s="578"/>
      <c r="X109" s="1239"/>
      <c r="Y109" s="578"/>
      <c r="Z109" s="578"/>
      <c r="AA109" s="578"/>
      <c r="AB109" s="1143"/>
      <c r="AC109" s="578"/>
      <c r="AD109" s="578"/>
      <c r="AE109" s="578"/>
      <c r="AF109" s="578"/>
      <c r="AG109" s="580"/>
      <c r="AH109" s="579"/>
      <c r="AI109" s="578"/>
      <c r="AJ109" s="578"/>
      <c r="AK109" s="578"/>
      <c r="AL109" s="580"/>
      <c r="AN109" s="991"/>
      <c r="AP109" s="2285" t="str">
        <f t="shared" si="36"/>
        <v>Qty</v>
      </c>
      <c r="AQ109" s="2286" t="str">
        <f t="shared" si="36"/>
        <v>[Service]</v>
      </c>
      <c r="AR109" s="2287" t="str">
        <f t="shared" si="37"/>
        <v>[Price]</v>
      </c>
      <c r="AS109" s="2288" t="str">
        <f t="shared" si="86"/>
        <v>-</v>
      </c>
      <c r="AT109" s="1720" t="str">
        <f t="shared" si="86"/>
        <v>-</v>
      </c>
      <c r="AU109" s="1720" t="str">
        <f t="shared" si="86"/>
        <v>-</v>
      </c>
      <c r="AV109" s="2289" t="str">
        <f t="shared" si="86"/>
        <v>-</v>
      </c>
      <c r="AW109" s="1720" t="str">
        <f t="shared" si="86"/>
        <v>-</v>
      </c>
      <c r="AX109" s="2290" t="str">
        <f t="shared" si="86"/>
        <v>-</v>
      </c>
      <c r="AY109" s="1720" t="str">
        <f t="shared" si="86"/>
        <v>-</v>
      </c>
      <c r="AZ109" s="1720" t="str">
        <f t="shared" si="86"/>
        <v>-</v>
      </c>
      <c r="BA109" s="1720" t="str">
        <f t="shared" si="86"/>
        <v>-</v>
      </c>
      <c r="BB109" s="1721" t="str">
        <f t="shared" si="86"/>
        <v>-</v>
      </c>
      <c r="BC109" s="1720" t="str">
        <f t="shared" si="86"/>
        <v>-</v>
      </c>
      <c r="BD109" s="1720" t="str">
        <f t="shared" si="86"/>
        <v>-</v>
      </c>
      <c r="BE109" s="1720" t="str">
        <f t="shared" si="86"/>
        <v>-</v>
      </c>
      <c r="BF109" s="1720" t="str">
        <f t="shared" si="86"/>
        <v>-</v>
      </c>
      <c r="BG109" s="1721" t="str">
        <f t="shared" si="86"/>
        <v>-</v>
      </c>
      <c r="BH109" s="1048"/>
      <c r="BI109" s="2285" t="str">
        <f t="shared" si="59"/>
        <v>Qty</v>
      </c>
      <c r="BJ109" s="2286" t="str">
        <f t="shared" si="59"/>
        <v>[Service]</v>
      </c>
      <c r="BK109" s="2287" t="str">
        <f t="shared" si="59"/>
        <v>[Price]</v>
      </c>
      <c r="BL109" s="2288" t="str">
        <f t="shared" ref="BL109:BZ109" si="95">IF(OR(X109="",X109=0),"-",IFERROR((X109/W109-1)*(W110/W$13),"-"))</f>
        <v>-</v>
      </c>
      <c r="BM109" s="1720" t="str">
        <f t="shared" si="95"/>
        <v>-</v>
      </c>
      <c r="BN109" s="1720" t="str">
        <f t="shared" si="95"/>
        <v>-</v>
      </c>
      <c r="BO109" s="2289" t="str">
        <f t="shared" si="95"/>
        <v>-</v>
      </c>
      <c r="BP109" s="1720" t="str">
        <f t="shared" si="95"/>
        <v>-</v>
      </c>
      <c r="BQ109" s="2290" t="str">
        <f t="shared" si="95"/>
        <v>-</v>
      </c>
      <c r="BR109" s="1720" t="str">
        <f t="shared" si="95"/>
        <v>-</v>
      </c>
      <c r="BS109" s="1720" t="str">
        <f t="shared" si="95"/>
        <v>-</v>
      </c>
      <c r="BT109" s="1720" t="str">
        <f t="shared" si="95"/>
        <v>-</v>
      </c>
      <c r="BU109" s="1721" t="str">
        <f t="shared" si="95"/>
        <v>-</v>
      </c>
      <c r="BV109" s="1720" t="str">
        <f t="shared" si="95"/>
        <v>-</v>
      </c>
      <c r="BW109" s="1720" t="str">
        <f t="shared" si="95"/>
        <v>-</v>
      </c>
      <c r="BX109" s="1720" t="str">
        <f t="shared" si="95"/>
        <v>-</v>
      </c>
      <c r="BY109" s="1720" t="str">
        <f t="shared" si="95"/>
        <v>-</v>
      </c>
      <c r="BZ109" s="1721" t="str">
        <f t="shared" si="95"/>
        <v>-</v>
      </c>
    </row>
    <row r="110" spans="3:78" ht="12.5" thickBot="1" x14ac:dyDescent="0.35">
      <c r="C110" s="126"/>
      <c r="D110" s="126"/>
      <c r="E110" s="559" t="s">
        <v>47</v>
      </c>
      <c r="F110" s="1723" t="str">
        <f>+F108</f>
        <v>[Service]</v>
      </c>
      <c r="G110" s="1726">
        <f>+G108</f>
        <v>0</v>
      </c>
      <c r="H110" s="1726">
        <f>+H108</f>
        <v>0</v>
      </c>
      <c r="I110" s="1727" t="str">
        <f>+I108</f>
        <v>[Price]</v>
      </c>
      <c r="J110" s="556" t="s">
        <v>347</v>
      </c>
      <c r="K110" s="1977"/>
      <c r="L110" s="1206"/>
      <c r="M110" s="1206"/>
      <c r="N110" s="1978"/>
      <c r="O110" s="1206"/>
      <c r="P110" s="1206"/>
      <c r="Q110" s="1206"/>
      <c r="R110" s="1206"/>
      <c r="S110" s="1978"/>
      <c r="T110" s="1206"/>
      <c r="U110" s="1206"/>
      <c r="V110" s="1206"/>
      <c r="W110" s="1731">
        <f t="shared" ref="W110:AG110" si="96">W108*W109/10^6</f>
        <v>0</v>
      </c>
      <c r="X110" s="1730">
        <f t="shared" si="96"/>
        <v>0</v>
      </c>
      <c r="Y110" s="1731">
        <f t="shared" si="96"/>
        <v>0</v>
      </c>
      <c r="Z110" s="1731">
        <f t="shared" si="96"/>
        <v>0</v>
      </c>
      <c r="AA110" s="1731">
        <f t="shared" si="96"/>
        <v>0</v>
      </c>
      <c r="AB110" s="1733">
        <f t="shared" si="96"/>
        <v>0</v>
      </c>
      <c r="AC110" s="1731">
        <f t="shared" si="96"/>
        <v>0</v>
      </c>
      <c r="AD110" s="1731">
        <f t="shared" si="96"/>
        <v>0</v>
      </c>
      <c r="AE110" s="1731">
        <f t="shared" si="96"/>
        <v>0</v>
      </c>
      <c r="AF110" s="1731">
        <f t="shared" si="96"/>
        <v>0</v>
      </c>
      <c r="AG110" s="1733">
        <f t="shared" si="96"/>
        <v>0</v>
      </c>
      <c r="AH110" s="1732">
        <f>AH108*AH109/10^6</f>
        <v>0</v>
      </c>
      <c r="AI110" s="1731">
        <f>AI108*AI109/10^6</f>
        <v>0</v>
      </c>
      <c r="AJ110" s="1731">
        <f>AJ108*AJ109/10^6</f>
        <v>0</v>
      </c>
      <c r="AK110" s="1731">
        <f>AK108*AK109/10^6</f>
        <v>0</v>
      </c>
      <c r="AL110" s="1733">
        <f>AL108*AL109/10^6</f>
        <v>0</v>
      </c>
      <c r="AN110" s="991"/>
      <c r="AP110" s="2304" t="str">
        <f t="shared" si="36"/>
        <v>Rev</v>
      </c>
      <c r="AQ110" s="2305" t="str">
        <f t="shared" si="36"/>
        <v>[Service]</v>
      </c>
      <c r="AR110" s="2306" t="str">
        <f t="shared" si="37"/>
        <v>[Price]</v>
      </c>
      <c r="AS110" s="2307" t="str">
        <f t="shared" si="86"/>
        <v>-</v>
      </c>
      <c r="AT110" s="1055" t="str">
        <f t="shared" si="86"/>
        <v>-</v>
      </c>
      <c r="AU110" s="1055" t="str">
        <f t="shared" si="86"/>
        <v>-</v>
      </c>
      <c r="AV110" s="2308" t="str">
        <f t="shared" si="86"/>
        <v>-</v>
      </c>
      <c r="AW110" s="1055" t="str">
        <f t="shared" si="86"/>
        <v>-</v>
      </c>
      <c r="AX110" s="2309" t="str">
        <f t="shared" si="86"/>
        <v>-</v>
      </c>
      <c r="AY110" s="1055" t="str">
        <f t="shared" si="86"/>
        <v>-</v>
      </c>
      <c r="AZ110" s="1055" t="str">
        <f t="shared" si="86"/>
        <v>-</v>
      </c>
      <c r="BA110" s="1055" t="str">
        <f t="shared" si="86"/>
        <v>-</v>
      </c>
      <c r="BB110" s="1056" t="str">
        <f t="shared" si="86"/>
        <v>-</v>
      </c>
      <c r="BC110" s="1055" t="str">
        <f t="shared" si="86"/>
        <v>-</v>
      </c>
      <c r="BD110" s="1055" t="str">
        <f t="shared" si="86"/>
        <v>-</v>
      </c>
      <c r="BE110" s="1055" t="str">
        <f t="shared" si="86"/>
        <v>-</v>
      </c>
      <c r="BF110" s="1055" t="str">
        <f t="shared" si="86"/>
        <v>-</v>
      </c>
      <c r="BG110" s="1056" t="str">
        <f t="shared" si="86"/>
        <v>-</v>
      </c>
      <c r="BH110" s="1048"/>
      <c r="BI110" s="2304" t="str">
        <f t="shared" si="59"/>
        <v>Rev</v>
      </c>
      <c r="BJ110" s="2305" t="str">
        <f t="shared" si="59"/>
        <v>[Service]</v>
      </c>
      <c r="BK110" s="2306" t="str">
        <f t="shared" si="59"/>
        <v>[Price]</v>
      </c>
      <c r="BL110" s="2307" t="str">
        <f t="shared" ref="BL110:BZ110" si="97">IF(OR(X110="",X110=0),"-",IFERROR((X110/W110-1)*(W110/W$13),"-"))</f>
        <v>-</v>
      </c>
      <c r="BM110" s="1055" t="str">
        <f t="shared" si="97"/>
        <v>-</v>
      </c>
      <c r="BN110" s="1055" t="str">
        <f t="shared" si="97"/>
        <v>-</v>
      </c>
      <c r="BO110" s="2308" t="str">
        <f t="shared" si="97"/>
        <v>-</v>
      </c>
      <c r="BP110" s="1055" t="str">
        <f t="shared" si="97"/>
        <v>-</v>
      </c>
      <c r="BQ110" s="2309" t="str">
        <f t="shared" si="97"/>
        <v>-</v>
      </c>
      <c r="BR110" s="1055" t="str">
        <f t="shared" si="97"/>
        <v>-</v>
      </c>
      <c r="BS110" s="1055" t="str">
        <f t="shared" si="97"/>
        <v>-</v>
      </c>
      <c r="BT110" s="1055" t="str">
        <f t="shared" si="97"/>
        <v>-</v>
      </c>
      <c r="BU110" s="1056" t="str">
        <f t="shared" si="97"/>
        <v>-</v>
      </c>
      <c r="BV110" s="1055" t="str">
        <f t="shared" si="97"/>
        <v>-</v>
      </c>
      <c r="BW110" s="1055" t="str">
        <f t="shared" si="97"/>
        <v>-</v>
      </c>
      <c r="BX110" s="1055" t="str">
        <f t="shared" si="97"/>
        <v>-</v>
      </c>
      <c r="BY110" s="1055" t="str">
        <f t="shared" si="97"/>
        <v>-</v>
      </c>
      <c r="BZ110" s="1056" t="str">
        <f t="shared" si="97"/>
        <v>-</v>
      </c>
    </row>
    <row r="111" spans="3:78" x14ac:dyDescent="0.3">
      <c r="C111" s="126"/>
      <c r="D111" s="126">
        <f>D108+1</f>
        <v>15</v>
      </c>
      <c r="E111" s="553" t="s">
        <v>45</v>
      </c>
      <c r="F111" s="581" t="s">
        <v>28</v>
      </c>
      <c r="G111" s="581"/>
      <c r="H111" s="581"/>
      <c r="I111" s="573" t="s">
        <v>319</v>
      </c>
      <c r="J111" s="573" t="s">
        <v>348</v>
      </c>
      <c r="K111" s="1969"/>
      <c r="L111" s="1970"/>
      <c r="M111" s="1970"/>
      <c r="N111" s="1971"/>
      <c r="O111" s="1970"/>
      <c r="P111" s="1970"/>
      <c r="Q111" s="1970"/>
      <c r="R111" s="1972"/>
      <c r="S111" s="1979"/>
      <c r="T111" s="1972"/>
      <c r="U111" s="1972"/>
      <c r="V111" s="1972"/>
      <c r="W111" s="575"/>
      <c r="X111" s="1238"/>
      <c r="Y111" s="575"/>
      <c r="Z111" s="575"/>
      <c r="AA111" s="575"/>
      <c r="AB111" s="1142"/>
      <c r="AC111" s="575"/>
      <c r="AD111" s="575"/>
      <c r="AE111" s="575"/>
      <c r="AF111" s="575"/>
      <c r="AG111" s="577"/>
      <c r="AH111" s="576"/>
      <c r="AI111" s="575"/>
      <c r="AJ111" s="575"/>
      <c r="AK111" s="575"/>
      <c r="AL111" s="577"/>
      <c r="AN111" s="1052"/>
      <c r="AP111" s="2297" t="str">
        <f t="shared" si="36"/>
        <v>Price</v>
      </c>
      <c r="AQ111" s="2298" t="str">
        <f t="shared" si="36"/>
        <v>[Service]</v>
      </c>
      <c r="AR111" s="1719" t="str">
        <f t="shared" si="37"/>
        <v>[Price]</v>
      </c>
      <c r="AS111" s="2299" t="str">
        <f t="shared" si="86"/>
        <v>-</v>
      </c>
      <c r="AT111" s="1728" t="str">
        <f t="shared" si="86"/>
        <v>-</v>
      </c>
      <c r="AU111" s="1728" t="str">
        <f t="shared" si="86"/>
        <v>-</v>
      </c>
      <c r="AV111" s="2300" t="str">
        <f t="shared" si="86"/>
        <v>-</v>
      </c>
      <c r="AW111" s="1728" t="str">
        <f t="shared" si="86"/>
        <v>-</v>
      </c>
      <c r="AX111" s="2301" t="str">
        <f t="shared" si="86"/>
        <v>-</v>
      </c>
      <c r="AY111" s="1728" t="str">
        <f t="shared" si="86"/>
        <v>-</v>
      </c>
      <c r="AZ111" s="1728" t="str">
        <f t="shared" si="86"/>
        <v>-</v>
      </c>
      <c r="BA111" s="1728" t="str">
        <f t="shared" si="86"/>
        <v>-</v>
      </c>
      <c r="BB111" s="1729" t="str">
        <f t="shared" si="86"/>
        <v>-</v>
      </c>
      <c r="BC111" s="1728" t="str">
        <f t="shared" si="86"/>
        <v>-</v>
      </c>
      <c r="BD111" s="1728" t="str">
        <f t="shared" si="86"/>
        <v>-</v>
      </c>
      <c r="BE111" s="1728" t="str">
        <f t="shared" si="86"/>
        <v>-</v>
      </c>
      <c r="BF111" s="1728" t="str">
        <f t="shared" si="86"/>
        <v>-</v>
      </c>
      <c r="BG111" s="1729" t="str">
        <f t="shared" si="86"/>
        <v>-</v>
      </c>
      <c r="BH111" s="1048"/>
      <c r="BI111" s="2297" t="str">
        <f t="shared" si="59"/>
        <v>Price</v>
      </c>
      <c r="BJ111" s="2298" t="str">
        <f t="shared" si="59"/>
        <v>[Service]</v>
      </c>
      <c r="BK111" s="1719" t="str">
        <f t="shared" si="59"/>
        <v>[Price]</v>
      </c>
      <c r="BL111" s="2299" t="str">
        <f t="shared" ref="BL111:BZ111" si="98">IF(OR(X111="",X111=0),"-",IFERROR((X111/W111-1)*(W113/W$13),"-"))</f>
        <v>-</v>
      </c>
      <c r="BM111" s="1053" t="str">
        <f t="shared" si="98"/>
        <v>-</v>
      </c>
      <c r="BN111" s="1053" t="str">
        <f t="shared" si="98"/>
        <v>-</v>
      </c>
      <c r="BO111" s="2302" t="str">
        <f t="shared" si="98"/>
        <v>-</v>
      </c>
      <c r="BP111" s="1053" t="str">
        <f t="shared" si="98"/>
        <v>-</v>
      </c>
      <c r="BQ111" s="2303" t="str">
        <f t="shared" si="98"/>
        <v>-</v>
      </c>
      <c r="BR111" s="1053" t="str">
        <f t="shared" si="98"/>
        <v>-</v>
      </c>
      <c r="BS111" s="1053" t="str">
        <f t="shared" si="98"/>
        <v>-</v>
      </c>
      <c r="BT111" s="1053" t="str">
        <f t="shared" si="98"/>
        <v>-</v>
      </c>
      <c r="BU111" s="1054" t="str">
        <f t="shared" si="98"/>
        <v>-</v>
      </c>
      <c r="BV111" s="1053" t="str">
        <f t="shared" si="98"/>
        <v>-</v>
      </c>
      <c r="BW111" s="1053" t="str">
        <f t="shared" si="98"/>
        <v>-</v>
      </c>
      <c r="BX111" s="1053" t="str">
        <f t="shared" si="98"/>
        <v>-</v>
      </c>
      <c r="BY111" s="1053" t="str">
        <f t="shared" si="98"/>
        <v>-</v>
      </c>
      <c r="BZ111" s="1054" t="str">
        <f t="shared" si="98"/>
        <v>-</v>
      </c>
    </row>
    <row r="112" spans="3:78" x14ac:dyDescent="0.3">
      <c r="C112" s="126"/>
      <c r="D112" s="126"/>
      <c r="E112" s="558" t="s">
        <v>46</v>
      </c>
      <c r="F112" s="1722" t="str">
        <f>+F111</f>
        <v>[Service]</v>
      </c>
      <c r="G112" s="1724">
        <f>+G111</f>
        <v>0</v>
      </c>
      <c r="H112" s="1724">
        <f>+H111</f>
        <v>0</v>
      </c>
      <c r="I112" s="1725" t="str">
        <f>+I111</f>
        <v>[Price]</v>
      </c>
      <c r="J112" s="574" t="s">
        <v>323</v>
      </c>
      <c r="K112" s="1973"/>
      <c r="L112" s="1974"/>
      <c r="M112" s="1974"/>
      <c r="N112" s="1975"/>
      <c r="O112" s="1974"/>
      <c r="P112" s="1974"/>
      <c r="Q112" s="1974"/>
      <c r="R112" s="1976"/>
      <c r="S112" s="1980"/>
      <c r="T112" s="1976"/>
      <c r="U112" s="1976"/>
      <c r="V112" s="1976"/>
      <c r="W112" s="578"/>
      <c r="X112" s="1239"/>
      <c r="Y112" s="578"/>
      <c r="Z112" s="578"/>
      <c r="AA112" s="578"/>
      <c r="AB112" s="1143"/>
      <c r="AC112" s="578"/>
      <c r="AD112" s="578"/>
      <c r="AE112" s="578"/>
      <c r="AF112" s="578"/>
      <c r="AG112" s="580"/>
      <c r="AH112" s="579"/>
      <c r="AI112" s="578"/>
      <c r="AJ112" s="578"/>
      <c r="AK112" s="578"/>
      <c r="AL112" s="580"/>
      <c r="AN112" s="991"/>
      <c r="AP112" s="2285" t="str">
        <f t="shared" si="36"/>
        <v>Qty</v>
      </c>
      <c r="AQ112" s="2286" t="str">
        <f t="shared" si="36"/>
        <v>[Service]</v>
      </c>
      <c r="AR112" s="2287" t="str">
        <f t="shared" si="37"/>
        <v>[Price]</v>
      </c>
      <c r="AS112" s="2288" t="str">
        <f t="shared" si="86"/>
        <v>-</v>
      </c>
      <c r="AT112" s="1720" t="str">
        <f t="shared" si="86"/>
        <v>-</v>
      </c>
      <c r="AU112" s="1720" t="str">
        <f t="shared" si="86"/>
        <v>-</v>
      </c>
      <c r="AV112" s="2289" t="str">
        <f t="shared" si="86"/>
        <v>-</v>
      </c>
      <c r="AW112" s="1720" t="str">
        <f t="shared" si="86"/>
        <v>-</v>
      </c>
      <c r="AX112" s="2290" t="str">
        <f t="shared" si="86"/>
        <v>-</v>
      </c>
      <c r="AY112" s="1720" t="str">
        <f t="shared" si="86"/>
        <v>-</v>
      </c>
      <c r="AZ112" s="1720" t="str">
        <f t="shared" si="86"/>
        <v>-</v>
      </c>
      <c r="BA112" s="1720" t="str">
        <f t="shared" si="86"/>
        <v>-</v>
      </c>
      <c r="BB112" s="1721" t="str">
        <f t="shared" si="86"/>
        <v>-</v>
      </c>
      <c r="BC112" s="1720" t="str">
        <f t="shared" si="86"/>
        <v>-</v>
      </c>
      <c r="BD112" s="1720" t="str">
        <f t="shared" si="86"/>
        <v>-</v>
      </c>
      <c r="BE112" s="1720" t="str">
        <f t="shared" si="86"/>
        <v>-</v>
      </c>
      <c r="BF112" s="1720" t="str">
        <f t="shared" si="86"/>
        <v>-</v>
      </c>
      <c r="BG112" s="1721" t="str">
        <f t="shared" si="86"/>
        <v>-</v>
      </c>
      <c r="BH112" s="1048"/>
      <c r="BI112" s="2285" t="str">
        <f t="shared" si="59"/>
        <v>Qty</v>
      </c>
      <c r="BJ112" s="2286" t="str">
        <f t="shared" si="59"/>
        <v>[Service]</v>
      </c>
      <c r="BK112" s="2287" t="str">
        <f t="shared" si="59"/>
        <v>[Price]</v>
      </c>
      <c r="BL112" s="2288" t="str">
        <f t="shared" ref="BL112:BZ112" si="99">IF(OR(X112="",X112=0),"-",IFERROR((X112/W112-1)*(W113/W$13),"-"))</f>
        <v>-</v>
      </c>
      <c r="BM112" s="1720" t="str">
        <f t="shared" si="99"/>
        <v>-</v>
      </c>
      <c r="BN112" s="1720" t="str">
        <f t="shared" si="99"/>
        <v>-</v>
      </c>
      <c r="BO112" s="2289" t="str">
        <f t="shared" si="99"/>
        <v>-</v>
      </c>
      <c r="BP112" s="1720" t="str">
        <f t="shared" si="99"/>
        <v>-</v>
      </c>
      <c r="BQ112" s="2290" t="str">
        <f t="shared" si="99"/>
        <v>-</v>
      </c>
      <c r="BR112" s="1720" t="str">
        <f t="shared" si="99"/>
        <v>-</v>
      </c>
      <c r="BS112" s="1720" t="str">
        <f t="shared" si="99"/>
        <v>-</v>
      </c>
      <c r="BT112" s="1720" t="str">
        <f t="shared" si="99"/>
        <v>-</v>
      </c>
      <c r="BU112" s="1721" t="str">
        <f t="shared" si="99"/>
        <v>-</v>
      </c>
      <c r="BV112" s="1720" t="str">
        <f t="shared" si="99"/>
        <v>-</v>
      </c>
      <c r="BW112" s="1720" t="str">
        <f t="shared" si="99"/>
        <v>-</v>
      </c>
      <c r="BX112" s="1720" t="str">
        <f t="shared" si="99"/>
        <v>-</v>
      </c>
      <c r="BY112" s="1720" t="str">
        <f t="shared" si="99"/>
        <v>-</v>
      </c>
      <c r="BZ112" s="1721" t="str">
        <f t="shared" si="99"/>
        <v>-</v>
      </c>
    </row>
    <row r="113" spans="3:78" ht="12.5" thickBot="1" x14ac:dyDescent="0.35">
      <c r="C113" s="126"/>
      <c r="D113" s="126"/>
      <c r="E113" s="559" t="s">
        <v>47</v>
      </c>
      <c r="F113" s="1723" t="str">
        <f>+F111</f>
        <v>[Service]</v>
      </c>
      <c r="G113" s="1726">
        <f>+G111</f>
        <v>0</v>
      </c>
      <c r="H113" s="1726">
        <f>+H111</f>
        <v>0</v>
      </c>
      <c r="I113" s="1727" t="str">
        <f>+I111</f>
        <v>[Price]</v>
      </c>
      <c r="J113" s="556" t="s">
        <v>347</v>
      </c>
      <c r="K113" s="1977"/>
      <c r="L113" s="1206"/>
      <c r="M113" s="1206"/>
      <c r="N113" s="1978"/>
      <c r="O113" s="1206"/>
      <c r="P113" s="1206"/>
      <c r="Q113" s="1206"/>
      <c r="R113" s="1206"/>
      <c r="S113" s="1978"/>
      <c r="T113" s="1206"/>
      <c r="U113" s="1206"/>
      <c r="V113" s="1206"/>
      <c r="W113" s="1731">
        <f t="shared" ref="W113:AG113" si="100">W111*W112/10^6</f>
        <v>0</v>
      </c>
      <c r="X113" s="1730">
        <f t="shared" si="100"/>
        <v>0</v>
      </c>
      <c r="Y113" s="1731">
        <f t="shared" si="100"/>
        <v>0</v>
      </c>
      <c r="Z113" s="1731">
        <f t="shared" si="100"/>
        <v>0</v>
      </c>
      <c r="AA113" s="1731">
        <f t="shared" si="100"/>
        <v>0</v>
      </c>
      <c r="AB113" s="1733">
        <f t="shared" si="100"/>
        <v>0</v>
      </c>
      <c r="AC113" s="1731">
        <f t="shared" si="100"/>
        <v>0</v>
      </c>
      <c r="AD113" s="1731">
        <f t="shared" si="100"/>
        <v>0</v>
      </c>
      <c r="AE113" s="1731">
        <f t="shared" si="100"/>
        <v>0</v>
      </c>
      <c r="AF113" s="1731">
        <f t="shared" si="100"/>
        <v>0</v>
      </c>
      <c r="AG113" s="1733">
        <f t="shared" si="100"/>
        <v>0</v>
      </c>
      <c r="AH113" s="1732">
        <f>AH111*AH112/10^6</f>
        <v>0</v>
      </c>
      <c r="AI113" s="1731">
        <f>AI111*AI112/10^6</f>
        <v>0</v>
      </c>
      <c r="AJ113" s="1731">
        <f>AJ111*AJ112/10^6</f>
        <v>0</v>
      </c>
      <c r="AK113" s="1731">
        <f>AK111*AK112/10^6</f>
        <v>0</v>
      </c>
      <c r="AL113" s="1733">
        <f>AL111*AL112/10^6</f>
        <v>0</v>
      </c>
      <c r="AN113" s="991"/>
      <c r="AP113" s="2304" t="str">
        <f t="shared" si="36"/>
        <v>Rev</v>
      </c>
      <c r="AQ113" s="2305" t="str">
        <f t="shared" si="36"/>
        <v>[Service]</v>
      </c>
      <c r="AR113" s="2306" t="str">
        <f t="shared" si="37"/>
        <v>[Price]</v>
      </c>
      <c r="AS113" s="2307" t="str">
        <f t="shared" si="86"/>
        <v>-</v>
      </c>
      <c r="AT113" s="1055" t="str">
        <f t="shared" si="86"/>
        <v>-</v>
      </c>
      <c r="AU113" s="1055" t="str">
        <f t="shared" si="86"/>
        <v>-</v>
      </c>
      <c r="AV113" s="2308" t="str">
        <f t="shared" si="86"/>
        <v>-</v>
      </c>
      <c r="AW113" s="1055" t="str">
        <f t="shared" si="86"/>
        <v>-</v>
      </c>
      <c r="AX113" s="2309" t="str">
        <f t="shared" si="86"/>
        <v>-</v>
      </c>
      <c r="AY113" s="1055" t="str">
        <f t="shared" si="86"/>
        <v>-</v>
      </c>
      <c r="AZ113" s="1055" t="str">
        <f t="shared" si="86"/>
        <v>-</v>
      </c>
      <c r="BA113" s="1055" t="str">
        <f t="shared" si="86"/>
        <v>-</v>
      </c>
      <c r="BB113" s="1056" t="str">
        <f t="shared" si="86"/>
        <v>-</v>
      </c>
      <c r="BC113" s="1055" t="str">
        <f t="shared" si="86"/>
        <v>-</v>
      </c>
      <c r="BD113" s="1055" t="str">
        <f t="shared" si="86"/>
        <v>-</v>
      </c>
      <c r="BE113" s="1055" t="str">
        <f t="shared" si="86"/>
        <v>-</v>
      </c>
      <c r="BF113" s="1055" t="str">
        <f t="shared" si="86"/>
        <v>-</v>
      </c>
      <c r="BG113" s="1056" t="str">
        <f t="shared" si="86"/>
        <v>-</v>
      </c>
      <c r="BH113" s="1048"/>
      <c r="BI113" s="2304" t="str">
        <f t="shared" si="59"/>
        <v>Rev</v>
      </c>
      <c r="BJ113" s="2305" t="str">
        <f t="shared" si="59"/>
        <v>[Service]</v>
      </c>
      <c r="BK113" s="2306" t="str">
        <f t="shared" si="59"/>
        <v>[Price]</v>
      </c>
      <c r="BL113" s="2307" t="str">
        <f t="shared" ref="BL113:BZ113" si="101">IF(OR(X113="",X113=0),"-",IFERROR((X113/W113-1)*(W113/W$13),"-"))</f>
        <v>-</v>
      </c>
      <c r="BM113" s="1055" t="str">
        <f t="shared" si="101"/>
        <v>-</v>
      </c>
      <c r="BN113" s="1055" t="str">
        <f t="shared" si="101"/>
        <v>-</v>
      </c>
      <c r="BO113" s="2308" t="str">
        <f t="shared" si="101"/>
        <v>-</v>
      </c>
      <c r="BP113" s="1055" t="str">
        <f t="shared" si="101"/>
        <v>-</v>
      </c>
      <c r="BQ113" s="2309" t="str">
        <f t="shared" si="101"/>
        <v>-</v>
      </c>
      <c r="BR113" s="1055" t="str">
        <f t="shared" si="101"/>
        <v>-</v>
      </c>
      <c r="BS113" s="1055" t="str">
        <f t="shared" si="101"/>
        <v>-</v>
      </c>
      <c r="BT113" s="1055" t="str">
        <f t="shared" si="101"/>
        <v>-</v>
      </c>
      <c r="BU113" s="1056" t="str">
        <f t="shared" si="101"/>
        <v>-</v>
      </c>
      <c r="BV113" s="1055" t="str">
        <f t="shared" si="101"/>
        <v>-</v>
      </c>
      <c r="BW113" s="1055" t="str">
        <f t="shared" si="101"/>
        <v>-</v>
      </c>
      <c r="BX113" s="1055" t="str">
        <f t="shared" si="101"/>
        <v>-</v>
      </c>
      <c r="BY113" s="1055" t="str">
        <f t="shared" si="101"/>
        <v>-</v>
      </c>
      <c r="BZ113" s="1056" t="str">
        <f t="shared" si="101"/>
        <v>-</v>
      </c>
    </row>
    <row r="114" spans="3:78" x14ac:dyDescent="0.3">
      <c r="C114" s="126"/>
      <c r="D114" s="126">
        <f>D111+1</f>
        <v>16</v>
      </c>
      <c r="E114" s="553" t="s">
        <v>45</v>
      </c>
      <c r="F114" s="581" t="s">
        <v>28</v>
      </c>
      <c r="G114" s="581"/>
      <c r="H114" s="581"/>
      <c r="I114" s="573" t="s">
        <v>319</v>
      </c>
      <c r="J114" s="573" t="s">
        <v>348</v>
      </c>
      <c r="K114" s="1969"/>
      <c r="L114" s="1970"/>
      <c r="M114" s="1970"/>
      <c r="N114" s="1971"/>
      <c r="O114" s="1970"/>
      <c r="P114" s="1970"/>
      <c r="Q114" s="1970"/>
      <c r="R114" s="1972"/>
      <c r="S114" s="1979"/>
      <c r="T114" s="1972"/>
      <c r="U114" s="1972"/>
      <c r="V114" s="1972"/>
      <c r="W114" s="575"/>
      <c r="X114" s="1238"/>
      <c r="Y114" s="575"/>
      <c r="Z114" s="575"/>
      <c r="AA114" s="575"/>
      <c r="AB114" s="1142"/>
      <c r="AC114" s="575"/>
      <c r="AD114" s="575"/>
      <c r="AE114" s="575"/>
      <c r="AF114" s="575"/>
      <c r="AG114" s="577"/>
      <c r="AH114" s="576"/>
      <c r="AI114" s="575"/>
      <c r="AJ114" s="575"/>
      <c r="AK114" s="575"/>
      <c r="AL114" s="577"/>
      <c r="AN114" s="1052"/>
      <c r="AP114" s="2297" t="str">
        <f t="shared" si="36"/>
        <v>Price</v>
      </c>
      <c r="AQ114" s="2298" t="str">
        <f t="shared" si="36"/>
        <v>[Service]</v>
      </c>
      <c r="AR114" s="1719" t="str">
        <f t="shared" si="37"/>
        <v>[Price]</v>
      </c>
      <c r="AS114" s="2299" t="str">
        <f t="shared" si="86"/>
        <v>-</v>
      </c>
      <c r="AT114" s="1728" t="str">
        <f t="shared" si="86"/>
        <v>-</v>
      </c>
      <c r="AU114" s="1728" t="str">
        <f t="shared" si="86"/>
        <v>-</v>
      </c>
      <c r="AV114" s="2300" t="str">
        <f t="shared" si="86"/>
        <v>-</v>
      </c>
      <c r="AW114" s="1728" t="str">
        <f t="shared" si="86"/>
        <v>-</v>
      </c>
      <c r="AX114" s="2301" t="str">
        <f t="shared" si="86"/>
        <v>-</v>
      </c>
      <c r="AY114" s="1728" t="str">
        <f t="shared" si="86"/>
        <v>-</v>
      </c>
      <c r="AZ114" s="1728" t="str">
        <f t="shared" si="86"/>
        <v>-</v>
      </c>
      <c r="BA114" s="1728" t="str">
        <f t="shared" si="86"/>
        <v>-</v>
      </c>
      <c r="BB114" s="1729" t="str">
        <f t="shared" si="86"/>
        <v>-</v>
      </c>
      <c r="BC114" s="1728" t="str">
        <f t="shared" si="86"/>
        <v>-</v>
      </c>
      <c r="BD114" s="1728" t="str">
        <f t="shared" si="86"/>
        <v>-</v>
      </c>
      <c r="BE114" s="1728" t="str">
        <f t="shared" si="86"/>
        <v>-</v>
      </c>
      <c r="BF114" s="1728" t="str">
        <f t="shared" si="86"/>
        <v>-</v>
      </c>
      <c r="BG114" s="1729" t="str">
        <f t="shared" si="86"/>
        <v>-</v>
      </c>
      <c r="BH114" s="1048"/>
      <c r="BI114" s="2297" t="str">
        <f t="shared" si="59"/>
        <v>Price</v>
      </c>
      <c r="BJ114" s="2298" t="str">
        <f t="shared" si="59"/>
        <v>[Service]</v>
      </c>
      <c r="BK114" s="1719" t="str">
        <f t="shared" si="59"/>
        <v>[Price]</v>
      </c>
      <c r="BL114" s="2299" t="str">
        <f t="shared" ref="BL114:BZ114" si="102">IF(OR(X114="",X114=0),"-",IFERROR((X114/W114-1)*(W116/W$13),"-"))</f>
        <v>-</v>
      </c>
      <c r="BM114" s="1053" t="str">
        <f t="shared" si="102"/>
        <v>-</v>
      </c>
      <c r="BN114" s="1053" t="str">
        <f t="shared" si="102"/>
        <v>-</v>
      </c>
      <c r="BO114" s="2302" t="str">
        <f t="shared" si="102"/>
        <v>-</v>
      </c>
      <c r="BP114" s="1053" t="str">
        <f t="shared" si="102"/>
        <v>-</v>
      </c>
      <c r="BQ114" s="2303" t="str">
        <f t="shared" si="102"/>
        <v>-</v>
      </c>
      <c r="BR114" s="1053" t="str">
        <f t="shared" si="102"/>
        <v>-</v>
      </c>
      <c r="BS114" s="1053" t="str">
        <f t="shared" si="102"/>
        <v>-</v>
      </c>
      <c r="BT114" s="1053" t="str">
        <f t="shared" si="102"/>
        <v>-</v>
      </c>
      <c r="BU114" s="1054" t="str">
        <f t="shared" si="102"/>
        <v>-</v>
      </c>
      <c r="BV114" s="1053" t="str">
        <f t="shared" si="102"/>
        <v>-</v>
      </c>
      <c r="BW114" s="1053" t="str">
        <f t="shared" si="102"/>
        <v>-</v>
      </c>
      <c r="BX114" s="1053" t="str">
        <f t="shared" si="102"/>
        <v>-</v>
      </c>
      <c r="BY114" s="1053" t="str">
        <f t="shared" si="102"/>
        <v>-</v>
      </c>
      <c r="BZ114" s="1054" t="str">
        <f t="shared" si="102"/>
        <v>-</v>
      </c>
    </row>
    <row r="115" spans="3:78" x14ac:dyDescent="0.3">
      <c r="C115" s="126"/>
      <c r="D115" s="126"/>
      <c r="E115" s="558" t="s">
        <v>46</v>
      </c>
      <c r="F115" s="1722" t="str">
        <f>+F114</f>
        <v>[Service]</v>
      </c>
      <c r="G115" s="1724">
        <f>+G114</f>
        <v>0</v>
      </c>
      <c r="H115" s="1724">
        <f>+H114</f>
        <v>0</v>
      </c>
      <c r="I115" s="1725" t="str">
        <f>+I114</f>
        <v>[Price]</v>
      </c>
      <c r="J115" s="574" t="s">
        <v>323</v>
      </c>
      <c r="K115" s="1973"/>
      <c r="L115" s="1974"/>
      <c r="M115" s="1974"/>
      <c r="N115" s="1975"/>
      <c r="O115" s="1974"/>
      <c r="P115" s="1974"/>
      <c r="Q115" s="1974"/>
      <c r="R115" s="1976"/>
      <c r="S115" s="1980"/>
      <c r="T115" s="1976"/>
      <c r="U115" s="1976"/>
      <c r="V115" s="1976"/>
      <c r="W115" s="578"/>
      <c r="X115" s="1239"/>
      <c r="Y115" s="578"/>
      <c r="Z115" s="578"/>
      <c r="AA115" s="578"/>
      <c r="AB115" s="1143"/>
      <c r="AC115" s="578"/>
      <c r="AD115" s="578"/>
      <c r="AE115" s="578"/>
      <c r="AF115" s="578"/>
      <c r="AG115" s="580"/>
      <c r="AH115" s="579"/>
      <c r="AI115" s="578"/>
      <c r="AJ115" s="578"/>
      <c r="AK115" s="578"/>
      <c r="AL115" s="580"/>
      <c r="AN115" s="991"/>
      <c r="AP115" s="2285" t="str">
        <f t="shared" si="36"/>
        <v>Qty</v>
      </c>
      <c r="AQ115" s="2286" t="str">
        <f t="shared" si="36"/>
        <v>[Service]</v>
      </c>
      <c r="AR115" s="2287" t="str">
        <f t="shared" si="37"/>
        <v>[Price]</v>
      </c>
      <c r="AS115" s="2288" t="str">
        <f t="shared" si="86"/>
        <v>-</v>
      </c>
      <c r="AT115" s="1720" t="str">
        <f t="shared" si="86"/>
        <v>-</v>
      </c>
      <c r="AU115" s="1720" t="str">
        <f t="shared" si="86"/>
        <v>-</v>
      </c>
      <c r="AV115" s="2289" t="str">
        <f t="shared" si="86"/>
        <v>-</v>
      </c>
      <c r="AW115" s="1720" t="str">
        <f t="shared" si="86"/>
        <v>-</v>
      </c>
      <c r="AX115" s="2290" t="str">
        <f t="shared" si="86"/>
        <v>-</v>
      </c>
      <c r="AY115" s="1720" t="str">
        <f t="shared" si="86"/>
        <v>-</v>
      </c>
      <c r="AZ115" s="1720" t="str">
        <f t="shared" si="86"/>
        <v>-</v>
      </c>
      <c r="BA115" s="1720" t="str">
        <f t="shared" si="86"/>
        <v>-</v>
      </c>
      <c r="BB115" s="1721" t="str">
        <f t="shared" si="86"/>
        <v>-</v>
      </c>
      <c r="BC115" s="1720" t="str">
        <f t="shared" si="86"/>
        <v>-</v>
      </c>
      <c r="BD115" s="1720" t="str">
        <f t="shared" si="86"/>
        <v>-</v>
      </c>
      <c r="BE115" s="1720" t="str">
        <f t="shared" si="86"/>
        <v>-</v>
      </c>
      <c r="BF115" s="1720" t="str">
        <f t="shared" si="86"/>
        <v>-</v>
      </c>
      <c r="BG115" s="1721" t="str">
        <f t="shared" si="86"/>
        <v>-</v>
      </c>
      <c r="BH115" s="1048"/>
      <c r="BI115" s="2285" t="str">
        <f t="shared" si="59"/>
        <v>Qty</v>
      </c>
      <c r="BJ115" s="2286" t="str">
        <f t="shared" si="59"/>
        <v>[Service]</v>
      </c>
      <c r="BK115" s="2287" t="str">
        <f t="shared" si="59"/>
        <v>[Price]</v>
      </c>
      <c r="BL115" s="2288" t="str">
        <f t="shared" ref="BL115:BZ115" si="103">IF(OR(X115="",X115=0),"-",IFERROR((X115/W115-1)*(W116/W$13),"-"))</f>
        <v>-</v>
      </c>
      <c r="BM115" s="1720" t="str">
        <f t="shared" si="103"/>
        <v>-</v>
      </c>
      <c r="BN115" s="1720" t="str">
        <f t="shared" si="103"/>
        <v>-</v>
      </c>
      <c r="BO115" s="2289" t="str">
        <f t="shared" si="103"/>
        <v>-</v>
      </c>
      <c r="BP115" s="1720" t="str">
        <f t="shared" si="103"/>
        <v>-</v>
      </c>
      <c r="BQ115" s="2290" t="str">
        <f t="shared" si="103"/>
        <v>-</v>
      </c>
      <c r="BR115" s="1720" t="str">
        <f t="shared" si="103"/>
        <v>-</v>
      </c>
      <c r="BS115" s="1720" t="str">
        <f t="shared" si="103"/>
        <v>-</v>
      </c>
      <c r="BT115" s="1720" t="str">
        <f t="shared" si="103"/>
        <v>-</v>
      </c>
      <c r="BU115" s="1721" t="str">
        <f t="shared" si="103"/>
        <v>-</v>
      </c>
      <c r="BV115" s="1720" t="str">
        <f t="shared" si="103"/>
        <v>-</v>
      </c>
      <c r="BW115" s="1720" t="str">
        <f t="shared" si="103"/>
        <v>-</v>
      </c>
      <c r="BX115" s="1720" t="str">
        <f t="shared" si="103"/>
        <v>-</v>
      </c>
      <c r="BY115" s="1720" t="str">
        <f t="shared" si="103"/>
        <v>-</v>
      </c>
      <c r="BZ115" s="1721" t="str">
        <f t="shared" si="103"/>
        <v>-</v>
      </c>
    </row>
    <row r="116" spans="3:78" ht="12.5" thickBot="1" x14ac:dyDescent="0.35">
      <c r="C116" s="126"/>
      <c r="D116" s="126"/>
      <c r="E116" s="559" t="s">
        <v>47</v>
      </c>
      <c r="F116" s="1723" t="str">
        <f>+F114</f>
        <v>[Service]</v>
      </c>
      <c r="G116" s="1726">
        <f>+G114</f>
        <v>0</v>
      </c>
      <c r="H116" s="1726">
        <f>+H114</f>
        <v>0</v>
      </c>
      <c r="I116" s="1727" t="str">
        <f>+I114</f>
        <v>[Price]</v>
      </c>
      <c r="J116" s="556" t="s">
        <v>347</v>
      </c>
      <c r="K116" s="1977"/>
      <c r="L116" s="1206"/>
      <c r="M116" s="1206"/>
      <c r="N116" s="1978"/>
      <c r="O116" s="1206"/>
      <c r="P116" s="1206"/>
      <c r="Q116" s="1206"/>
      <c r="R116" s="1206"/>
      <c r="S116" s="1978"/>
      <c r="T116" s="1206"/>
      <c r="U116" s="1206"/>
      <c r="V116" s="1206"/>
      <c r="W116" s="1731">
        <f t="shared" ref="W116:AG116" si="104">W114*W115/10^6</f>
        <v>0</v>
      </c>
      <c r="X116" s="1730">
        <f t="shared" si="104"/>
        <v>0</v>
      </c>
      <c r="Y116" s="1731">
        <f t="shared" si="104"/>
        <v>0</v>
      </c>
      <c r="Z116" s="1731">
        <f t="shared" si="104"/>
        <v>0</v>
      </c>
      <c r="AA116" s="1731">
        <f t="shared" si="104"/>
        <v>0</v>
      </c>
      <c r="AB116" s="1733">
        <f t="shared" si="104"/>
        <v>0</v>
      </c>
      <c r="AC116" s="1731">
        <f t="shared" si="104"/>
        <v>0</v>
      </c>
      <c r="AD116" s="1731">
        <f t="shared" si="104"/>
        <v>0</v>
      </c>
      <c r="AE116" s="1731">
        <f t="shared" si="104"/>
        <v>0</v>
      </c>
      <c r="AF116" s="1731">
        <f t="shared" si="104"/>
        <v>0</v>
      </c>
      <c r="AG116" s="1733">
        <f t="shared" si="104"/>
        <v>0</v>
      </c>
      <c r="AH116" s="1732">
        <f>AH114*AH115/10^6</f>
        <v>0</v>
      </c>
      <c r="AI116" s="1731">
        <f>AI114*AI115/10^6</f>
        <v>0</v>
      </c>
      <c r="AJ116" s="1731">
        <f>AJ114*AJ115/10^6</f>
        <v>0</v>
      </c>
      <c r="AK116" s="1731">
        <f>AK114*AK115/10^6</f>
        <v>0</v>
      </c>
      <c r="AL116" s="1733">
        <f>AL114*AL115/10^6</f>
        <v>0</v>
      </c>
      <c r="AN116" s="991"/>
      <c r="AP116" s="2304" t="str">
        <f t="shared" si="36"/>
        <v>Rev</v>
      </c>
      <c r="AQ116" s="2305" t="str">
        <f t="shared" si="36"/>
        <v>[Service]</v>
      </c>
      <c r="AR116" s="2306" t="str">
        <f t="shared" si="37"/>
        <v>[Price]</v>
      </c>
      <c r="AS116" s="2307" t="str">
        <f t="shared" si="86"/>
        <v>-</v>
      </c>
      <c r="AT116" s="1055" t="str">
        <f t="shared" si="86"/>
        <v>-</v>
      </c>
      <c r="AU116" s="1055" t="str">
        <f t="shared" si="86"/>
        <v>-</v>
      </c>
      <c r="AV116" s="2308" t="str">
        <f t="shared" si="86"/>
        <v>-</v>
      </c>
      <c r="AW116" s="1055" t="str">
        <f t="shared" si="86"/>
        <v>-</v>
      </c>
      <c r="AX116" s="2309" t="str">
        <f t="shared" si="86"/>
        <v>-</v>
      </c>
      <c r="AY116" s="1055" t="str">
        <f t="shared" si="86"/>
        <v>-</v>
      </c>
      <c r="AZ116" s="1055" t="str">
        <f t="shared" si="86"/>
        <v>-</v>
      </c>
      <c r="BA116" s="1055" t="str">
        <f t="shared" si="86"/>
        <v>-</v>
      </c>
      <c r="BB116" s="1056" t="str">
        <f t="shared" si="86"/>
        <v>-</v>
      </c>
      <c r="BC116" s="1055" t="str">
        <f t="shared" si="86"/>
        <v>-</v>
      </c>
      <c r="BD116" s="1055" t="str">
        <f t="shared" si="86"/>
        <v>-</v>
      </c>
      <c r="BE116" s="1055" t="str">
        <f t="shared" si="86"/>
        <v>-</v>
      </c>
      <c r="BF116" s="1055" t="str">
        <f t="shared" si="86"/>
        <v>-</v>
      </c>
      <c r="BG116" s="1056" t="str">
        <f t="shared" si="86"/>
        <v>-</v>
      </c>
      <c r="BH116" s="1048"/>
      <c r="BI116" s="2304" t="str">
        <f t="shared" si="59"/>
        <v>Rev</v>
      </c>
      <c r="BJ116" s="2305" t="str">
        <f t="shared" si="59"/>
        <v>[Service]</v>
      </c>
      <c r="BK116" s="2306" t="str">
        <f t="shared" si="59"/>
        <v>[Price]</v>
      </c>
      <c r="BL116" s="2307" t="str">
        <f t="shared" ref="BL116:BZ116" si="105">IF(OR(X116="",X116=0),"-",IFERROR((X116/W116-1)*(W116/W$13),"-"))</f>
        <v>-</v>
      </c>
      <c r="BM116" s="1055" t="str">
        <f t="shared" si="105"/>
        <v>-</v>
      </c>
      <c r="BN116" s="1055" t="str">
        <f t="shared" si="105"/>
        <v>-</v>
      </c>
      <c r="BO116" s="2308" t="str">
        <f t="shared" si="105"/>
        <v>-</v>
      </c>
      <c r="BP116" s="1055" t="str">
        <f t="shared" si="105"/>
        <v>-</v>
      </c>
      <c r="BQ116" s="2309" t="str">
        <f t="shared" si="105"/>
        <v>-</v>
      </c>
      <c r="BR116" s="1055" t="str">
        <f t="shared" si="105"/>
        <v>-</v>
      </c>
      <c r="BS116" s="1055" t="str">
        <f t="shared" si="105"/>
        <v>-</v>
      </c>
      <c r="BT116" s="1055" t="str">
        <f t="shared" si="105"/>
        <v>-</v>
      </c>
      <c r="BU116" s="1056" t="str">
        <f t="shared" si="105"/>
        <v>-</v>
      </c>
      <c r="BV116" s="1055" t="str">
        <f t="shared" si="105"/>
        <v>-</v>
      </c>
      <c r="BW116" s="1055" t="str">
        <f t="shared" si="105"/>
        <v>-</v>
      </c>
      <c r="BX116" s="1055" t="str">
        <f t="shared" si="105"/>
        <v>-</v>
      </c>
      <c r="BY116" s="1055" t="str">
        <f t="shared" si="105"/>
        <v>-</v>
      </c>
      <c r="BZ116" s="1056" t="str">
        <f t="shared" si="105"/>
        <v>-</v>
      </c>
    </row>
    <row r="117" spans="3:78" x14ac:dyDescent="0.3">
      <c r="C117" s="126"/>
      <c r="D117" s="126">
        <f>D114+1</f>
        <v>17</v>
      </c>
      <c r="E117" s="553" t="s">
        <v>45</v>
      </c>
      <c r="F117" s="581" t="s">
        <v>28</v>
      </c>
      <c r="G117" s="581"/>
      <c r="H117" s="581"/>
      <c r="I117" s="573" t="s">
        <v>319</v>
      </c>
      <c r="J117" s="573" t="s">
        <v>348</v>
      </c>
      <c r="K117" s="1969"/>
      <c r="L117" s="1970"/>
      <c r="M117" s="1970"/>
      <c r="N117" s="1971"/>
      <c r="O117" s="1970"/>
      <c r="P117" s="1970"/>
      <c r="Q117" s="1970"/>
      <c r="R117" s="1972"/>
      <c r="S117" s="1979"/>
      <c r="T117" s="1972"/>
      <c r="U117" s="1972"/>
      <c r="V117" s="1972"/>
      <c r="W117" s="575"/>
      <c r="X117" s="1238"/>
      <c r="Y117" s="575"/>
      <c r="Z117" s="575"/>
      <c r="AA117" s="575"/>
      <c r="AB117" s="1142"/>
      <c r="AC117" s="575"/>
      <c r="AD117" s="575"/>
      <c r="AE117" s="575"/>
      <c r="AF117" s="575"/>
      <c r="AG117" s="577"/>
      <c r="AH117" s="576"/>
      <c r="AI117" s="575"/>
      <c r="AJ117" s="575"/>
      <c r="AK117" s="575"/>
      <c r="AL117" s="577"/>
      <c r="AN117" s="1052"/>
      <c r="AP117" s="2297" t="str">
        <f t="shared" si="36"/>
        <v>Price</v>
      </c>
      <c r="AQ117" s="2298" t="str">
        <f t="shared" si="36"/>
        <v>[Service]</v>
      </c>
      <c r="AR117" s="1719" t="str">
        <f t="shared" si="37"/>
        <v>[Price]</v>
      </c>
      <c r="AS117" s="2299" t="str">
        <f t="shared" si="86"/>
        <v>-</v>
      </c>
      <c r="AT117" s="1728" t="str">
        <f t="shared" si="86"/>
        <v>-</v>
      </c>
      <c r="AU117" s="1728" t="str">
        <f t="shared" si="86"/>
        <v>-</v>
      </c>
      <c r="AV117" s="2300" t="str">
        <f t="shared" si="86"/>
        <v>-</v>
      </c>
      <c r="AW117" s="1728" t="str">
        <f t="shared" si="86"/>
        <v>-</v>
      </c>
      <c r="AX117" s="2301" t="str">
        <f t="shared" si="86"/>
        <v>-</v>
      </c>
      <c r="AY117" s="1728" t="str">
        <f t="shared" si="86"/>
        <v>-</v>
      </c>
      <c r="AZ117" s="1728" t="str">
        <f t="shared" si="86"/>
        <v>-</v>
      </c>
      <c r="BA117" s="1728" t="str">
        <f t="shared" si="86"/>
        <v>-</v>
      </c>
      <c r="BB117" s="1729" t="str">
        <f t="shared" si="86"/>
        <v>-</v>
      </c>
      <c r="BC117" s="1728" t="str">
        <f t="shared" si="86"/>
        <v>-</v>
      </c>
      <c r="BD117" s="1728" t="str">
        <f t="shared" si="86"/>
        <v>-</v>
      </c>
      <c r="BE117" s="1728" t="str">
        <f t="shared" si="86"/>
        <v>-</v>
      </c>
      <c r="BF117" s="1728" t="str">
        <f t="shared" si="86"/>
        <v>-</v>
      </c>
      <c r="BG117" s="1729" t="str">
        <f t="shared" si="86"/>
        <v>-</v>
      </c>
      <c r="BH117" s="1048"/>
      <c r="BI117" s="2297" t="str">
        <f t="shared" si="59"/>
        <v>Price</v>
      </c>
      <c r="BJ117" s="2298" t="str">
        <f t="shared" si="59"/>
        <v>[Service]</v>
      </c>
      <c r="BK117" s="1719" t="str">
        <f t="shared" si="59"/>
        <v>[Price]</v>
      </c>
      <c r="BL117" s="2299" t="str">
        <f t="shared" ref="BL117:BZ117" si="106">IF(OR(X117="",X117=0),"-",IFERROR((X117/W117-1)*(W119/W$13),"-"))</f>
        <v>-</v>
      </c>
      <c r="BM117" s="1053" t="str">
        <f t="shared" si="106"/>
        <v>-</v>
      </c>
      <c r="BN117" s="1053" t="str">
        <f t="shared" si="106"/>
        <v>-</v>
      </c>
      <c r="BO117" s="2302" t="str">
        <f t="shared" si="106"/>
        <v>-</v>
      </c>
      <c r="BP117" s="1053" t="str">
        <f t="shared" si="106"/>
        <v>-</v>
      </c>
      <c r="BQ117" s="2303" t="str">
        <f t="shared" si="106"/>
        <v>-</v>
      </c>
      <c r="BR117" s="1053" t="str">
        <f t="shared" si="106"/>
        <v>-</v>
      </c>
      <c r="BS117" s="1053" t="str">
        <f t="shared" si="106"/>
        <v>-</v>
      </c>
      <c r="BT117" s="1053" t="str">
        <f t="shared" si="106"/>
        <v>-</v>
      </c>
      <c r="BU117" s="1054" t="str">
        <f t="shared" si="106"/>
        <v>-</v>
      </c>
      <c r="BV117" s="1053" t="str">
        <f t="shared" si="106"/>
        <v>-</v>
      </c>
      <c r="BW117" s="1053" t="str">
        <f t="shared" si="106"/>
        <v>-</v>
      </c>
      <c r="BX117" s="1053" t="str">
        <f t="shared" si="106"/>
        <v>-</v>
      </c>
      <c r="BY117" s="1053" t="str">
        <f t="shared" si="106"/>
        <v>-</v>
      </c>
      <c r="BZ117" s="1054" t="str">
        <f t="shared" si="106"/>
        <v>-</v>
      </c>
    </row>
    <row r="118" spans="3:78" x14ac:dyDescent="0.3">
      <c r="C118" s="126"/>
      <c r="D118" s="126"/>
      <c r="E118" s="558" t="s">
        <v>46</v>
      </c>
      <c r="F118" s="1722" t="str">
        <f>+F117</f>
        <v>[Service]</v>
      </c>
      <c r="G118" s="1724">
        <f>+G117</f>
        <v>0</v>
      </c>
      <c r="H118" s="1724">
        <f>+H117</f>
        <v>0</v>
      </c>
      <c r="I118" s="1725" t="str">
        <f>+I117</f>
        <v>[Price]</v>
      </c>
      <c r="J118" s="574" t="s">
        <v>323</v>
      </c>
      <c r="K118" s="1973"/>
      <c r="L118" s="1974"/>
      <c r="M118" s="1974"/>
      <c r="N118" s="1975"/>
      <c r="O118" s="1974"/>
      <c r="P118" s="1974"/>
      <c r="Q118" s="1974"/>
      <c r="R118" s="1976"/>
      <c r="S118" s="1980"/>
      <c r="T118" s="1976"/>
      <c r="U118" s="1976"/>
      <c r="V118" s="1976"/>
      <c r="W118" s="578"/>
      <c r="X118" s="1239"/>
      <c r="Y118" s="578"/>
      <c r="Z118" s="578"/>
      <c r="AA118" s="578"/>
      <c r="AB118" s="1143"/>
      <c r="AC118" s="578"/>
      <c r="AD118" s="578"/>
      <c r="AE118" s="578"/>
      <c r="AF118" s="578"/>
      <c r="AG118" s="580"/>
      <c r="AH118" s="579"/>
      <c r="AI118" s="578"/>
      <c r="AJ118" s="578"/>
      <c r="AK118" s="578"/>
      <c r="AL118" s="580"/>
      <c r="AN118" s="991"/>
      <c r="AP118" s="2285" t="str">
        <f t="shared" si="36"/>
        <v>Qty</v>
      </c>
      <c r="AQ118" s="2286" t="str">
        <f t="shared" si="36"/>
        <v>[Service]</v>
      </c>
      <c r="AR118" s="2287" t="str">
        <f t="shared" si="37"/>
        <v>[Price]</v>
      </c>
      <c r="AS118" s="2288" t="str">
        <f t="shared" si="86"/>
        <v>-</v>
      </c>
      <c r="AT118" s="1720" t="str">
        <f t="shared" si="86"/>
        <v>-</v>
      </c>
      <c r="AU118" s="1720" t="str">
        <f t="shared" si="86"/>
        <v>-</v>
      </c>
      <c r="AV118" s="2289" t="str">
        <f t="shared" si="86"/>
        <v>-</v>
      </c>
      <c r="AW118" s="1720" t="str">
        <f t="shared" si="86"/>
        <v>-</v>
      </c>
      <c r="AX118" s="2290" t="str">
        <f t="shared" si="86"/>
        <v>-</v>
      </c>
      <c r="AY118" s="1720" t="str">
        <f t="shared" si="86"/>
        <v>-</v>
      </c>
      <c r="AZ118" s="1720" t="str">
        <f t="shared" si="86"/>
        <v>-</v>
      </c>
      <c r="BA118" s="1720" t="str">
        <f t="shared" si="86"/>
        <v>-</v>
      </c>
      <c r="BB118" s="1721" t="str">
        <f t="shared" si="86"/>
        <v>-</v>
      </c>
      <c r="BC118" s="1720" t="str">
        <f t="shared" si="86"/>
        <v>-</v>
      </c>
      <c r="BD118" s="1720" t="str">
        <f t="shared" si="86"/>
        <v>-</v>
      </c>
      <c r="BE118" s="1720" t="str">
        <f t="shared" si="86"/>
        <v>-</v>
      </c>
      <c r="BF118" s="1720" t="str">
        <f t="shared" si="86"/>
        <v>-</v>
      </c>
      <c r="BG118" s="1721" t="str">
        <f t="shared" si="86"/>
        <v>-</v>
      </c>
      <c r="BH118" s="1048"/>
      <c r="BI118" s="2285" t="str">
        <f t="shared" si="59"/>
        <v>Qty</v>
      </c>
      <c r="BJ118" s="2286" t="str">
        <f t="shared" si="59"/>
        <v>[Service]</v>
      </c>
      <c r="BK118" s="2287" t="str">
        <f t="shared" si="59"/>
        <v>[Price]</v>
      </c>
      <c r="BL118" s="2288" t="str">
        <f t="shared" ref="BL118:BZ118" si="107">IF(OR(X118="",X118=0),"-",IFERROR((X118/W118-1)*(W119/W$13),"-"))</f>
        <v>-</v>
      </c>
      <c r="BM118" s="1720" t="str">
        <f t="shared" si="107"/>
        <v>-</v>
      </c>
      <c r="BN118" s="1720" t="str">
        <f t="shared" si="107"/>
        <v>-</v>
      </c>
      <c r="BO118" s="2289" t="str">
        <f t="shared" si="107"/>
        <v>-</v>
      </c>
      <c r="BP118" s="1720" t="str">
        <f t="shared" si="107"/>
        <v>-</v>
      </c>
      <c r="BQ118" s="2290" t="str">
        <f t="shared" si="107"/>
        <v>-</v>
      </c>
      <c r="BR118" s="1720" t="str">
        <f t="shared" si="107"/>
        <v>-</v>
      </c>
      <c r="BS118" s="1720" t="str">
        <f t="shared" si="107"/>
        <v>-</v>
      </c>
      <c r="BT118" s="1720" t="str">
        <f t="shared" si="107"/>
        <v>-</v>
      </c>
      <c r="BU118" s="1721" t="str">
        <f t="shared" si="107"/>
        <v>-</v>
      </c>
      <c r="BV118" s="1720" t="str">
        <f t="shared" si="107"/>
        <v>-</v>
      </c>
      <c r="BW118" s="1720" t="str">
        <f t="shared" si="107"/>
        <v>-</v>
      </c>
      <c r="BX118" s="1720" t="str">
        <f t="shared" si="107"/>
        <v>-</v>
      </c>
      <c r="BY118" s="1720" t="str">
        <f t="shared" si="107"/>
        <v>-</v>
      </c>
      <c r="BZ118" s="1721" t="str">
        <f t="shared" si="107"/>
        <v>-</v>
      </c>
    </row>
    <row r="119" spans="3:78" ht="12.5" thickBot="1" x14ac:dyDescent="0.35">
      <c r="C119" s="126"/>
      <c r="D119" s="126"/>
      <c r="E119" s="559" t="s">
        <v>47</v>
      </c>
      <c r="F119" s="1723" t="str">
        <f>+F117</f>
        <v>[Service]</v>
      </c>
      <c r="G119" s="1726">
        <f>+G117</f>
        <v>0</v>
      </c>
      <c r="H119" s="1726">
        <f>+H117</f>
        <v>0</v>
      </c>
      <c r="I119" s="1727" t="str">
        <f>+I117</f>
        <v>[Price]</v>
      </c>
      <c r="J119" s="556" t="s">
        <v>347</v>
      </c>
      <c r="K119" s="1977"/>
      <c r="L119" s="1206"/>
      <c r="M119" s="1206"/>
      <c r="N119" s="1978"/>
      <c r="O119" s="1206"/>
      <c r="P119" s="1206"/>
      <c r="Q119" s="1206"/>
      <c r="R119" s="1206"/>
      <c r="S119" s="1978"/>
      <c r="T119" s="1206"/>
      <c r="U119" s="1206"/>
      <c r="V119" s="1206"/>
      <c r="W119" s="1731">
        <f t="shared" ref="W119:AG119" si="108">W117*W118/10^6</f>
        <v>0</v>
      </c>
      <c r="X119" s="1730">
        <f t="shared" si="108"/>
        <v>0</v>
      </c>
      <c r="Y119" s="1731">
        <f t="shared" si="108"/>
        <v>0</v>
      </c>
      <c r="Z119" s="1731">
        <f t="shared" si="108"/>
        <v>0</v>
      </c>
      <c r="AA119" s="1731">
        <f t="shared" si="108"/>
        <v>0</v>
      </c>
      <c r="AB119" s="1733">
        <f t="shared" si="108"/>
        <v>0</v>
      </c>
      <c r="AC119" s="1731">
        <f t="shared" si="108"/>
        <v>0</v>
      </c>
      <c r="AD119" s="1731">
        <f t="shared" si="108"/>
        <v>0</v>
      </c>
      <c r="AE119" s="1731">
        <f t="shared" si="108"/>
        <v>0</v>
      </c>
      <c r="AF119" s="1731">
        <f t="shared" si="108"/>
        <v>0</v>
      </c>
      <c r="AG119" s="1733">
        <f t="shared" si="108"/>
        <v>0</v>
      </c>
      <c r="AH119" s="1732">
        <f>AH117*AH118/10^6</f>
        <v>0</v>
      </c>
      <c r="AI119" s="1731">
        <f>AI117*AI118/10^6</f>
        <v>0</v>
      </c>
      <c r="AJ119" s="1731">
        <f>AJ117*AJ118/10^6</f>
        <v>0</v>
      </c>
      <c r="AK119" s="1731">
        <f>AK117*AK118/10^6</f>
        <v>0</v>
      </c>
      <c r="AL119" s="1733">
        <f>AL117*AL118/10^6</f>
        <v>0</v>
      </c>
      <c r="AN119" s="991"/>
      <c r="AP119" s="2304" t="str">
        <f t="shared" si="36"/>
        <v>Rev</v>
      </c>
      <c r="AQ119" s="2305" t="str">
        <f t="shared" si="36"/>
        <v>[Service]</v>
      </c>
      <c r="AR119" s="2306" t="str">
        <f t="shared" si="37"/>
        <v>[Price]</v>
      </c>
      <c r="AS119" s="2307" t="str">
        <f t="shared" si="86"/>
        <v>-</v>
      </c>
      <c r="AT119" s="1055" t="str">
        <f t="shared" si="86"/>
        <v>-</v>
      </c>
      <c r="AU119" s="1055" t="str">
        <f t="shared" si="86"/>
        <v>-</v>
      </c>
      <c r="AV119" s="2308" t="str">
        <f t="shared" si="86"/>
        <v>-</v>
      </c>
      <c r="AW119" s="1055" t="str">
        <f t="shared" si="86"/>
        <v>-</v>
      </c>
      <c r="AX119" s="2309" t="str">
        <f t="shared" si="86"/>
        <v>-</v>
      </c>
      <c r="AY119" s="1055" t="str">
        <f t="shared" si="86"/>
        <v>-</v>
      </c>
      <c r="AZ119" s="1055" t="str">
        <f t="shared" si="86"/>
        <v>-</v>
      </c>
      <c r="BA119" s="1055" t="str">
        <f t="shared" si="86"/>
        <v>-</v>
      </c>
      <c r="BB119" s="1056" t="str">
        <f t="shared" si="86"/>
        <v>-</v>
      </c>
      <c r="BC119" s="1055" t="str">
        <f t="shared" si="86"/>
        <v>-</v>
      </c>
      <c r="BD119" s="1055" t="str">
        <f t="shared" si="86"/>
        <v>-</v>
      </c>
      <c r="BE119" s="1055" t="str">
        <f t="shared" si="86"/>
        <v>-</v>
      </c>
      <c r="BF119" s="1055" t="str">
        <f t="shared" si="86"/>
        <v>-</v>
      </c>
      <c r="BG119" s="1056" t="str">
        <f t="shared" si="86"/>
        <v>-</v>
      </c>
      <c r="BH119" s="1048"/>
      <c r="BI119" s="2304" t="str">
        <f t="shared" si="59"/>
        <v>Rev</v>
      </c>
      <c r="BJ119" s="2305" t="str">
        <f t="shared" si="59"/>
        <v>[Service]</v>
      </c>
      <c r="BK119" s="2306" t="str">
        <f t="shared" si="59"/>
        <v>[Price]</v>
      </c>
      <c r="BL119" s="2307" t="str">
        <f t="shared" ref="BL119:BZ119" si="109">IF(OR(X119="",X119=0),"-",IFERROR((X119/W119-1)*(W119/W$13),"-"))</f>
        <v>-</v>
      </c>
      <c r="BM119" s="1055" t="str">
        <f t="shared" si="109"/>
        <v>-</v>
      </c>
      <c r="BN119" s="1055" t="str">
        <f t="shared" si="109"/>
        <v>-</v>
      </c>
      <c r="BO119" s="2308" t="str">
        <f t="shared" si="109"/>
        <v>-</v>
      </c>
      <c r="BP119" s="1055" t="str">
        <f t="shared" si="109"/>
        <v>-</v>
      </c>
      <c r="BQ119" s="2309" t="str">
        <f t="shared" si="109"/>
        <v>-</v>
      </c>
      <c r="BR119" s="1055" t="str">
        <f t="shared" si="109"/>
        <v>-</v>
      </c>
      <c r="BS119" s="1055" t="str">
        <f t="shared" si="109"/>
        <v>-</v>
      </c>
      <c r="BT119" s="1055" t="str">
        <f t="shared" si="109"/>
        <v>-</v>
      </c>
      <c r="BU119" s="1056" t="str">
        <f t="shared" si="109"/>
        <v>-</v>
      </c>
      <c r="BV119" s="1055" t="str">
        <f t="shared" si="109"/>
        <v>-</v>
      </c>
      <c r="BW119" s="1055" t="str">
        <f t="shared" si="109"/>
        <v>-</v>
      </c>
      <c r="BX119" s="1055" t="str">
        <f t="shared" si="109"/>
        <v>-</v>
      </c>
      <c r="BY119" s="1055" t="str">
        <f t="shared" si="109"/>
        <v>-</v>
      </c>
      <c r="BZ119" s="1056" t="str">
        <f t="shared" si="109"/>
        <v>-</v>
      </c>
    </row>
    <row r="120" spans="3:78" x14ac:dyDescent="0.3">
      <c r="C120" s="126"/>
      <c r="D120" s="126">
        <f>D117+1</f>
        <v>18</v>
      </c>
      <c r="E120" s="553" t="s">
        <v>45</v>
      </c>
      <c r="F120" s="581" t="s">
        <v>28</v>
      </c>
      <c r="G120" s="581"/>
      <c r="H120" s="581"/>
      <c r="I120" s="573" t="s">
        <v>319</v>
      </c>
      <c r="J120" s="573" t="s">
        <v>348</v>
      </c>
      <c r="K120" s="1969"/>
      <c r="L120" s="1970"/>
      <c r="M120" s="1970"/>
      <c r="N120" s="1971"/>
      <c r="O120" s="1970"/>
      <c r="P120" s="1970"/>
      <c r="Q120" s="1970"/>
      <c r="R120" s="1972"/>
      <c r="S120" s="1979"/>
      <c r="T120" s="1972"/>
      <c r="U120" s="1972"/>
      <c r="V120" s="1972"/>
      <c r="W120" s="575"/>
      <c r="X120" s="1238"/>
      <c r="Y120" s="575"/>
      <c r="Z120" s="575"/>
      <c r="AA120" s="575"/>
      <c r="AB120" s="1142"/>
      <c r="AC120" s="575"/>
      <c r="AD120" s="575"/>
      <c r="AE120" s="575"/>
      <c r="AF120" s="575"/>
      <c r="AG120" s="577"/>
      <c r="AH120" s="576"/>
      <c r="AI120" s="575"/>
      <c r="AJ120" s="575"/>
      <c r="AK120" s="575"/>
      <c r="AL120" s="577"/>
      <c r="AN120" s="1052"/>
      <c r="AP120" s="2297" t="str">
        <f t="shared" si="36"/>
        <v>Price</v>
      </c>
      <c r="AQ120" s="2298" t="str">
        <f t="shared" si="36"/>
        <v>[Service]</v>
      </c>
      <c r="AR120" s="1719" t="str">
        <f t="shared" si="37"/>
        <v>[Price]</v>
      </c>
      <c r="AS120" s="2299" t="str">
        <f t="shared" ref="AS120:BG136" si="110">IF(OR(X120="",X120=0),"-",IFERROR(X120/W120-1,"-"))</f>
        <v>-</v>
      </c>
      <c r="AT120" s="1728" t="str">
        <f t="shared" si="110"/>
        <v>-</v>
      </c>
      <c r="AU120" s="1728" t="str">
        <f t="shared" si="110"/>
        <v>-</v>
      </c>
      <c r="AV120" s="2300" t="str">
        <f t="shared" si="110"/>
        <v>-</v>
      </c>
      <c r="AW120" s="1728" t="str">
        <f t="shared" si="110"/>
        <v>-</v>
      </c>
      <c r="AX120" s="2301" t="str">
        <f t="shared" si="110"/>
        <v>-</v>
      </c>
      <c r="AY120" s="1728" t="str">
        <f t="shared" si="110"/>
        <v>-</v>
      </c>
      <c r="AZ120" s="1728" t="str">
        <f t="shared" si="110"/>
        <v>-</v>
      </c>
      <c r="BA120" s="1728" t="str">
        <f t="shared" si="110"/>
        <v>-</v>
      </c>
      <c r="BB120" s="1729" t="str">
        <f t="shared" si="110"/>
        <v>-</v>
      </c>
      <c r="BC120" s="1728" t="str">
        <f t="shared" si="110"/>
        <v>-</v>
      </c>
      <c r="BD120" s="1728" t="str">
        <f t="shared" si="110"/>
        <v>-</v>
      </c>
      <c r="BE120" s="1728" t="str">
        <f t="shared" si="110"/>
        <v>-</v>
      </c>
      <c r="BF120" s="1728" t="str">
        <f t="shared" si="110"/>
        <v>-</v>
      </c>
      <c r="BG120" s="1729" t="str">
        <f t="shared" si="110"/>
        <v>-</v>
      </c>
      <c r="BH120" s="1048"/>
      <c r="BI120" s="2297" t="str">
        <f t="shared" si="59"/>
        <v>Price</v>
      </c>
      <c r="BJ120" s="2298" t="str">
        <f t="shared" si="59"/>
        <v>[Service]</v>
      </c>
      <c r="BK120" s="1719" t="str">
        <f t="shared" si="59"/>
        <v>[Price]</v>
      </c>
      <c r="BL120" s="2299" t="str">
        <f t="shared" ref="BL120:BZ120" si="111">IF(OR(X120="",X120=0),"-",IFERROR((X120/W120-1)*(W122/W$13),"-"))</f>
        <v>-</v>
      </c>
      <c r="BM120" s="1053" t="str">
        <f t="shared" si="111"/>
        <v>-</v>
      </c>
      <c r="BN120" s="1053" t="str">
        <f t="shared" si="111"/>
        <v>-</v>
      </c>
      <c r="BO120" s="2302" t="str">
        <f t="shared" si="111"/>
        <v>-</v>
      </c>
      <c r="BP120" s="1053" t="str">
        <f t="shared" si="111"/>
        <v>-</v>
      </c>
      <c r="BQ120" s="2303" t="str">
        <f t="shared" si="111"/>
        <v>-</v>
      </c>
      <c r="BR120" s="1053" t="str">
        <f t="shared" si="111"/>
        <v>-</v>
      </c>
      <c r="BS120" s="1053" t="str">
        <f t="shared" si="111"/>
        <v>-</v>
      </c>
      <c r="BT120" s="1053" t="str">
        <f t="shared" si="111"/>
        <v>-</v>
      </c>
      <c r="BU120" s="1054" t="str">
        <f t="shared" si="111"/>
        <v>-</v>
      </c>
      <c r="BV120" s="1053" t="str">
        <f t="shared" si="111"/>
        <v>-</v>
      </c>
      <c r="BW120" s="1053" t="str">
        <f t="shared" si="111"/>
        <v>-</v>
      </c>
      <c r="BX120" s="1053" t="str">
        <f t="shared" si="111"/>
        <v>-</v>
      </c>
      <c r="BY120" s="1053" t="str">
        <f t="shared" si="111"/>
        <v>-</v>
      </c>
      <c r="BZ120" s="1054" t="str">
        <f t="shared" si="111"/>
        <v>-</v>
      </c>
    </row>
    <row r="121" spans="3:78" x14ac:dyDescent="0.3">
      <c r="C121" s="126"/>
      <c r="D121" s="126"/>
      <c r="E121" s="558" t="s">
        <v>46</v>
      </c>
      <c r="F121" s="1722" t="str">
        <f>+F120</f>
        <v>[Service]</v>
      </c>
      <c r="G121" s="1724">
        <f>+G120</f>
        <v>0</v>
      </c>
      <c r="H121" s="1724">
        <f>+H120</f>
        <v>0</v>
      </c>
      <c r="I121" s="1725" t="str">
        <f>+I120</f>
        <v>[Price]</v>
      </c>
      <c r="J121" s="574" t="s">
        <v>323</v>
      </c>
      <c r="K121" s="1973"/>
      <c r="L121" s="1974"/>
      <c r="M121" s="1974"/>
      <c r="N121" s="1975"/>
      <c r="O121" s="1974"/>
      <c r="P121" s="1974"/>
      <c r="Q121" s="1974"/>
      <c r="R121" s="1976"/>
      <c r="S121" s="1980"/>
      <c r="T121" s="1976"/>
      <c r="U121" s="1976"/>
      <c r="V121" s="1976"/>
      <c r="W121" s="578"/>
      <c r="X121" s="1239"/>
      <c r="Y121" s="578"/>
      <c r="Z121" s="578"/>
      <c r="AA121" s="578"/>
      <c r="AB121" s="1143"/>
      <c r="AC121" s="578"/>
      <c r="AD121" s="578"/>
      <c r="AE121" s="578"/>
      <c r="AF121" s="578"/>
      <c r="AG121" s="580"/>
      <c r="AH121" s="579"/>
      <c r="AI121" s="578"/>
      <c r="AJ121" s="578"/>
      <c r="AK121" s="578"/>
      <c r="AL121" s="580"/>
      <c r="AN121" s="991"/>
      <c r="AP121" s="2285" t="str">
        <f t="shared" si="36"/>
        <v>Qty</v>
      </c>
      <c r="AQ121" s="2286" t="str">
        <f t="shared" si="36"/>
        <v>[Service]</v>
      </c>
      <c r="AR121" s="2287" t="str">
        <f t="shared" si="37"/>
        <v>[Price]</v>
      </c>
      <c r="AS121" s="2288" t="str">
        <f t="shared" si="110"/>
        <v>-</v>
      </c>
      <c r="AT121" s="1720" t="str">
        <f t="shared" si="110"/>
        <v>-</v>
      </c>
      <c r="AU121" s="1720" t="str">
        <f t="shared" si="110"/>
        <v>-</v>
      </c>
      <c r="AV121" s="2289" t="str">
        <f t="shared" si="110"/>
        <v>-</v>
      </c>
      <c r="AW121" s="1720" t="str">
        <f t="shared" si="110"/>
        <v>-</v>
      </c>
      <c r="AX121" s="2290" t="str">
        <f t="shared" si="110"/>
        <v>-</v>
      </c>
      <c r="AY121" s="1720" t="str">
        <f t="shared" si="110"/>
        <v>-</v>
      </c>
      <c r="AZ121" s="1720" t="str">
        <f t="shared" si="110"/>
        <v>-</v>
      </c>
      <c r="BA121" s="1720" t="str">
        <f t="shared" si="110"/>
        <v>-</v>
      </c>
      <c r="BB121" s="1721" t="str">
        <f t="shared" si="110"/>
        <v>-</v>
      </c>
      <c r="BC121" s="1720" t="str">
        <f t="shared" si="110"/>
        <v>-</v>
      </c>
      <c r="BD121" s="1720" t="str">
        <f t="shared" si="110"/>
        <v>-</v>
      </c>
      <c r="BE121" s="1720" t="str">
        <f t="shared" si="110"/>
        <v>-</v>
      </c>
      <c r="BF121" s="1720" t="str">
        <f t="shared" si="110"/>
        <v>-</v>
      </c>
      <c r="BG121" s="1721" t="str">
        <f t="shared" si="110"/>
        <v>-</v>
      </c>
      <c r="BH121" s="1048"/>
      <c r="BI121" s="2285" t="str">
        <f t="shared" si="59"/>
        <v>Qty</v>
      </c>
      <c r="BJ121" s="2286" t="str">
        <f t="shared" si="59"/>
        <v>[Service]</v>
      </c>
      <c r="BK121" s="2287" t="str">
        <f t="shared" si="59"/>
        <v>[Price]</v>
      </c>
      <c r="BL121" s="2288" t="str">
        <f t="shared" ref="BL121:BZ121" si="112">IF(OR(X121="",X121=0),"-",IFERROR((X121/W121-1)*(W122/W$13),"-"))</f>
        <v>-</v>
      </c>
      <c r="BM121" s="1720" t="str">
        <f t="shared" si="112"/>
        <v>-</v>
      </c>
      <c r="BN121" s="1720" t="str">
        <f t="shared" si="112"/>
        <v>-</v>
      </c>
      <c r="BO121" s="2289" t="str">
        <f t="shared" si="112"/>
        <v>-</v>
      </c>
      <c r="BP121" s="1720" t="str">
        <f t="shared" si="112"/>
        <v>-</v>
      </c>
      <c r="BQ121" s="2290" t="str">
        <f t="shared" si="112"/>
        <v>-</v>
      </c>
      <c r="BR121" s="1720" t="str">
        <f t="shared" si="112"/>
        <v>-</v>
      </c>
      <c r="BS121" s="1720" t="str">
        <f t="shared" si="112"/>
        <v>-</v>
      </c>
      <c r="BT121" s="1720" t="str">
        <f t="shared" si="112"/>
        <v>-</v>
      </c>
      <c r="BU121" s="1721" t="str">
        <f t="shared" si="112"/>
        <v>-</v>
      </c>
      <c r="BV121" s="1720" t="str">
        <f t="shared" si="112"/>
        <v>-</v>
      </c>
      <c r="BW121" s="1720" t="str">
        <f t="shared" si="112"/>
        <v>-</v>
      </c>
      <c r="BX121" s="1720" t="str">
        <f t="shared" si="112"/>
        <v>-</v>
      </c>
      <c r="BY121" s="1720" t="str">
        <f t="shared" si="112"/>
        <v>-</v>
      </c>
      <c r="BZ121" s="1721" t="str">
        <f t="shared" si="112"/>
        <v>-</v>
      </c>
    </row>
    <row r="122" spans="3:78" ht="12.5" thickBot="1" x14ac:dyDescent="0.35">
      <c r="C122" s="126"/>
      <c r="D122" s="126"/>
      <c r="E122" s="559" t="s">
        <v>47</v>
      </c>
      <c r="F122" s="1723" t="str">
        <f>+F120</f>
        <v>[Service]</v>
      </c>
      <c r="G122" s="1726">
        <f>+G120</f>
        <v>0</v>
      </c>
      <c r="H122" s="1726">
        <f>+H120</f>
        <v>0</v>
      </c>
      <c r="I122" s="1727" t="str">
        <f>+I120</f>
        <v>[Price]</v>
      </c>
      <c r="J122" s="556" t="s">
        <v>347</v>
      </c>
      <c r="K122" s="1977"/>
      <c r="L122" s="1206"/>
      <c r="M122" s="1206"/>
      <c r="N122" s="1978"/>
      <c r="O122" s="1206"/>
      <c r="P122" s="1206"/>
      <c r="Q122" s="1206"/>
      <c r="R122" s="1206"/>
      <c r="S122" s="1978"/>
      <c r="T122" s="1206"/>
      <c r="U122" s="1206"/>
      <c r="V122" s="1206"/>
      <c r="W122" s="1731">
        <f t="shared" ref="W122:AG122" si="113">W120*W121/10^6</f>
        <v>0</v>
      </c>
      <c r="X122" s="1730">
        <f t="shared" si="113"/>
        <v>0</v>
      </c>
      <c r="Y122" s="1731">
        <f t="shared" si="113"/>
        <v>0</v>
      </c>
      <c r="Z122" s="1731">
        <f t="shared" si="113"/>
        <v>0</v>
      </c>
      <c r="AA122" s="1731">
        <f t="shared" si="113"/>
        <v>0</v>
      </c>
      <c r="AB122" s="1733">
        <f t="shared" si="113"/>
        <v>0</v>
      </c>
      <c r="AC122" s="1731">
        <f t="shared" si="113"/>
        <v>0</v>
      </c>
      <c r="AD122" s="1731">
        <f t="shared" si="113"/>
        <v>0</v>
      </c>
      <c r="AE122" s="1731">
        <f t="shared" si="113"/>
        <v>0</v>
      </c>
      <c r="AF122" s="1731">
        <f t="shared" si="113"/>
        <v>0</v>
      </c>
      <c r="AG122" s="1733">
        <f t="shared" si="113"/>
        <v>0</v>
      </c>
      <c r="AH122" s="1732">
        <f>AH120*AH121/10^6</f>
        <v>0</v>
      </c>
      <c r="AI122" s="1731">
        <f>AI120*AI121/10^6</f>
        <v>0</v>
      </c>
      <c r="AJ122" s="1731">
        <f>AJ120*AJ121/10^6</f>
        <v>0</v>
      </c>
      <c r="AK122" s="1731">
        <f>AK120*AK121/10^6</f>
        <v>0</v>
      </c>
      <c r="AL122" s="1733">
        <f>AL120*AL121/10^6</f>
        <v>0</v>
      </c>
      <c r="AN122" s="991"/>
      <c r="AP122" s="2304" t="str">
        <f t="shared" si="36"/>
        <v>Rev</v>
      </c>
      <c r="AQ122" s="2305" t="str">
        <f t="shared" si="36"/>
        <v>[Service]</v>
      </c>
      <c r="AR122" s="2306" t="str">
        <f t="shared" si="37"/>
        <v>[Price]</v>
      </c>
      <c r="AS122" s="2307" t="str">
        <f t="shared" si="110"/>
        <v>-</v>
      </c>
      <c r="AT122" s="1055" t="str">
        <f t="shared" si="110"/>
        <v>-</v>
      </c>
      <c r="AU122" s="1055" t="str">
        <f t="shared" si="110"/>
        <v>-</v>
      </c>
      <c r="AV122" s="2308" t="str">
        <f t="shared" si="110"/>
        <v>-</v>
      </c>
      <c r="AW122" s="1055" t="str">
        <f t="shared" si="110"/>
        <v>-</v>
      </c>
      <c r="AX122" s="2309" t="str">
        <f t="shared" si="110"/>
        <v>-</v>
      </c>
      <c r="AY122" s="1055" t="str">
        <f t="shared" si="110"/>
        <v>-</v>
      </c>
      <c r="AZ122" s="1055" t="str">
        <f t="shared" si="110"/>
        <v>-</v>
      </c>
      <c r="BA122" s="1055" t="str">
        <f t="shared" si="110"/>
        <v>-</v>
      </c>
      <c r="BB122" s="1056" t="str">
        <f t="shared" si="110"/>
        <v>-</v>
      </c>
      <c r="BC122" s="1055" t="str">
        <f t="shared" si="110"/>
        <v>-</v>
      </c>
      <c r="BD122" s="1055" t="str">
        <f t="shared" si="110"/>
        <v>-</v>
      </c>
      <c r="BE122" s="1055" t="str">
        <f t="shared" si="110"/>
        <v>-</v>
      </c>
      <c r="BF122" s="1055" t="str">
        <f t="shared" si="110"/>
        <v>-</v>
      </c>
      <c r="BG122" s="1056" t="str">
        <f t="shared" si="110"/>
        <v>-</v>
      </c>
      <c r="BH122" s="1048"/>
      <c r="BI122" s="2304" t="str">
        <f t="shared" si="59"/>
        <v>Rev</v>
      </c>
      <c r="BJ122" s="2305" t="str">
        <f t="shared" si="59"/>
        <v>[Service]</v>
      </c>
      <c r="BK122" s="2306" t="str">
        <f t="shared" si="59"/>
        <v>[Price]</v>
      </c>
      <c r="BL122" s="2307" t="str">
        <f t="shared" ref="BL122:BZ122" si="114">IF(OR(X122="",X122=0),"-",IFERROR((X122/W122-1)*(W122/W$13),"-"))</f>
        <v>-</v>
      </c>
      <c r="BM122" s="1055" t="str">
        <f t="shared" si="114"/>
        <v>-</v>
      </c>
      <c r="BN122" s="1055" t="str">
        <f t="shared" si="114"/>
        <v>-</v>
      </c>
      <c r="BO122" s="2308" t="str">
        <f t="shared" si="114"/>
        <v>-</v>
      </c>
      <c r="BP122" s="1055" t="str">
        <f t="shared" si="114"/>
        <v>-</v>
      </c>
      <c r="BQ122" s="2309" t="str">
        <f t="shared" si="114"/>
        <v>-</v>
      </c>
      <c r="BR122" s="1055" t="str">
        <f t="shared" si="114"/>
        <v>-</v>
      </c>
      <c r="BS122" s="1055" t="str">
        <f t="shared" si="114"/>
        <v>-</v>
      </c>
      <c r="BT122" s="1055" t="str">
        <f t="shared" si="114"/>
        <v>-</v>
      </c>
      <c r="BU122" s="1056" t="str">
        <f t="shared" si="114"/>
        <v>-</v>
      </c>
      <c r="BV122" s="1055" t="str">
        <f t="shared" si="114"/>
        <v>-</v>
      </c>
      <c r="BW122" s="1055" t="str">
        <f t="shared" si="114"/>
        <v>-</v>
      </c>
      <c r="BX122" s="1055" t="str">
        <f t="shared" si="114"/>
        <v>-</v>
      </c>
      <c r="BY122" s="1055" t="str">
        <f t="shared" si="114"/>
        <v>-</v>
      </c>
      <c r="BZ122" s="1056" t="str">
        <f t="shared" si="114"/>
        <v>-</v>
      </c>
    </row>
    <row r="123" spans="3:78" x14ac:dyDescent="0.3">
      <c r="C123" s="126"/>
      <c r="D123" s="126">
        <f>D120+1</f>
        <v>19</v>
      </c>
      <c r="E123" s="553" t="s">
        <v>45</v>
      </c>
      <c r="F123" s="581" t="s">
        <v>28</v>
      </c>
      <c r="G123" s="581"/>
      <c r="H123" s="581"/>
      <c r="I123" s="573" t="s">
        <v>319</v>
      </c>
      <c r="J123" s="573" t="s">
        <v>348</v>
      </c>
      <c r="K123" s="1969"/>
      <c r="L123" s="1970"/>
      <c r="M123" s="1970"/>
      <c r="N123" s="1971"/>
      <c r="O123" s="1970"/>
      <c r="P123" s="1970"/>
      <c r="Q123" s="1970"/>
      <c r="R123" s="1972"/>
      <c r="S123" s="1979"/>
      <c r="T123" s="1972"/>
      <c r="U123" s="1972"/>
      <c r="V123" s="1972"/>
      <c r="W123" s="575"/>
      <c r="X123" s="1238"/>
      <c r="Y123" s="575"/>
      <c r="Z123" s="575"/>
      <c r="AA123" s="575"/>
      <c r="AB123" s="1142"/>
      <c r="AC123" s="575"/>
      <c r="AD123" s="575"/>
      <c r="AE123" s="575"/>
      <c r="AF123" s="575"/>
      <c r="AG123" s="577"/>
      <c r="AH123" s="576"/>
      <c r="AI123" s="575"/>
      <c r="AJ123" s="575"/>
      <c r="AK123" s="575"/>
      <c r="AL123" s="577"/>
      <c r="AN123" s="1052"/>
      <c r="AP123" s="2297" t="str">
        <f t="shared" si="36"/>
        <v>Price</v>
      </c>
      <c r="AQ123" s="2298" t="str">
        <f t="shared" si="36"/>
        <v>[Service]</v>
      </c>
      <c r="AR123" s="1719" t="str">
        <f t="shared" si="37"/>
        <v>[Price]</v>
      </c>
      <c r="AS123" s="2299" t="str">
        <f t="shared" si="110"/>
        <v>-</v>
      </c>
      <c r="AT123" s="1728" t="str">
        <f t="shared" si="110"/>
        <v>-</v>
      </c>
      <c r="AU123" s="1728" t="str">
        <f t="shared" si="110"/>
        <v>-</v>
      </c>
      <c r="AV123" s="2300" t="str">
        <f t="shared" si="110"/>
        <v>-</v>
      </c>
      <c r="AW123" s="1728" t="str">
        <f t="shared" si="110"/>
        <v>-</v>
      </c>
      <c r="AX123" s="2301" t="str">
        <f t="shared" si="110"/>
        <v>-</v>
      </c>
      <c r="AY123" s="1728" t="str">
        <f t="shared" si="110"/>
        <v>-</v>
      </c>
      <c r="AZ123" s="1728" t="str">
        <f t="shared" si="110"/>
        <v>-</v>
      </c>
      <c r="BA123" s="1728" t="str">
        <f t="shared" si="110"/>
        <v>-</v>
      </c>
      <c r="BB123" s="1729" t="str">
        <f t="shared" si="110"/>
        <v>-</v>
      </c>
      <c r="BC123" s="1728" t="str">
        <f t="shared" si="110"/>
        <v>-</v>
      </c>
      <c r="BD123" s="1728" t="str">
        <f t="shared" si="110"/>
        <v>-</v>
      </c>
      <c r="BE123" s="1728" t="str">
        <f t="shared" si="110"/>
        <v>-</v>
      </c>
      <c r="BF123" s="1728" t="str">
        <f t="shared" si="110"/>
        <v>-</v>
      </c>
      <c r="BG123" s="1729" t="str">
        <f t="shared" si="110"/>
        <v>-</v>
      </c>
      <c r="BH123" s="1048"/>
      <c r="BI123" s="2297" t="str">
        <f t="shared" si="59"/>
        <v>Price</v>
      </c>
      <c r="BJ123" s="2298" t="str">
        <f t="shared" si="59"/>
        <v>[Service]</v>
      </c>
      <c r="BK123" s="1719" t="str">
        <f t="shared" si="59"/>
        <v>[Price]</v>
      </c>
      <c r="BL123" s="2299" t="str">
        <f t="shared" ref="BL123:BZ123" si="115">IF(OR(X123="",X123=0),"-",IFERROR((X123/W123-1)*(W125/W$13),"-"))</f>
        <v>-</v>
      </c>
      <c r="BM123" s="1053" t="str">
        <f t="shared" si="115"/>
        <v>-</v>
      </c>
      <c r="BN123" s="1053" t="str">
        <f t="shared" si="115"/>
        <v>-</v>
      </c>
      <c r="BO123" s="2302" t="str">
        <f t="shared" si="115"/>
        <v>-</v>
      </c>
      <c r="BP123" s="1053" t="str">
        <f t="shared" si="115"/>
        <v>-</v>
      </c>
      <c r="BQ123" s="2303" t="str">
        <f t="shared" si="115"/>
        <v>-</v>
      </c>
      <c r="BR123" s="1053" t="str">
        <f t="shared" si="115"/>
        <v>-</v>
      </c>
      <c r="BS123" s="1053" t="str">
        <f t="shared" si="115"/>
        <v>-</v>
      </c>
      <c r="BT123" s="1053" t="str">
        <f t="shared" si="115"/>
        <v>-</v>
      </c>
      <c r="BU123" s="1054" t="str">
        <f t="shared" si="115"/>
        <v>-</v>
      </c>
      <c r="BV123" s="1053" t="str">
        <f t="shared" si="115"/>
        <v>-</v>
      </c>
      <c r="BW123" s="1053" t="str">
        <f t="shared" si="115"/>
        <v>-</v>
      </c>
      <c r="BX123" s="1053" t="str">
        <f t="shared" si="115"/>
        <v>-</v>
      </c>
      <c r="BY123" s="1053" t="str">
        <f t="shared" si="115"/>
        <v>-</v>
      </c>
      <c r="BZ123" s="1054" t="str">
        <f t="shared" si="115"/>
        <v>-</v>
      </c>
    </row>
    <row r="124" spans="3:78" x14ac:dyDescent="0.3">
      <c r="C124" s="126"/>
      <c r="D124" s="126"/>
      <c r="E124" s="558" t="s">
        <v>46</v>
      </c>
      <c r="F124" s="1722" t="str">
        <f>+F123</f>
        <v>[Service]</v>
      </c>
      <c r="G124" s="1724">
        <f>+G123</f>
        <v>0</v>
      </c>
      <c r="H124" s="1724">
        <f>+H123</f>
        <v>0</v>
      </c>
      <c r="I124" s="1725" t="str">
        <f>+I123</f>
        <v>[Price]</v>
      </c>
      <c r="J124" s="574" t="s">
        <v>323</v>
      </c>
      <c r="K124" s="1973"/>
      <c r="L124" s="1974"/>
      <c r="M124" s="1974"/>
      <c r="N124" s="1975"/>
      <c r="O124" s="1974"/>
      <c r="P124" s="1974"/>
      <c r="Q124" s="1974"/>
      <c r="R124" s="1976"/>
      <c r="S124" s="1980"/>
      <c r="T124" s="1976"/>
      <c r="U124" s="1976"/>
      <c r="V124" s="1976"/>
      <c r="W124" s="578"/>
      <c r="X124" s="1239"/>
      <c r="Y124" s="578"/>
      <c r="Z124" s="578"/>
      <c r="AA124" s="578"/>
      <c r="AB124" s="1143"/>
      <c r="AC124" s="578"/>
      <c r="AD124" s="578"/>
      <c r="AE124" s="578"/>
      <c r="AF124" s="578"/>
      <c r="AG124" s="580"/>
      <c r="AH124" s="579"/>
      <c r="AI124" s="578"/>
      <c r="AJ124" s="578"/>
      <c r="AK124" s="578"/>
      <c r="AL124" s="580"/>
      <c r="AN124" s="991"/>
      <c r="AP124" s="2285" t="str">
        <f t="shared" si="36"/>
        <v>Qty</v>
      </c>
      <c r="AQ124" s="2286" t="str">
        <f t="shared" si="36"/>
        <v>[Service]</v>
      </c>
      <c r="AR124" s="2287" t="str">
        <f t="shared" si="37"/>
        <v>[Price]</v>
      </c>
      <c r="AS124" s="2288" t="str">
        <f t="shared" si="110"/>
        <v>-</v>
      </c>
      <c r="AT124" s="1720" t="str">
        <f t="shared" si="110"/>
        <v>-</v>
      </c>
      <c r="AU124" s="1720" t="str">
        <f t="shared" si="110"/>
        <v>-</v>
      </c>
      <c r="AV124" s="2289" t="str">
        <f t="shared" si="110"/>
        <v>-</v>
      </c>
      <c r="AW124" s="1720" t="str">
        <f t="shared" si="110"/>
        <v>-</v>
      </c>
      <c r="AX124" s="2290" t="str">
        <f t="shared" si="110"/>
        <v>-</v>
      </c>
      <c r="AY124" s="1720" t="str">
        <f t="shared" si="110"/>
        <v>-</v>
      </c>
      <c r="AZ124" s="1720" t="str">
        <f t="shared" si="110"/>
        <v>-</v>
      </c>
      <c r="BA124" s="1720" t="str">
        <f t="shared" si="110"/>
        <v>-</v>
      </c>
      <c r="BB124" s="1721" t="str">
        <f t="shared" si="110"/>
        <v>-</v>
      </c>
      <c r="BC124" s="1720" t="str">
        <f t="shared" si="110"/>
        <v>-</v>
      </c>
      <c r="BD124" s="1720" t="str">
        <f t="shared" si="110"/>
        <v>-</v>
      </c>
      <c r="BE124" s="1720" t="str">
        <f t="shared" si="110"/>
        <v>-</v>
      </c>
      <c r="BF124" s="1720" t="str">
        <f t="shared" si="110"/>
        <v>-</v>
      </c>
      <c r="BG124" s="1721" t="str">
        <f t="shared" si="110"/>
        <v>-</v>
      </c>
      <c r="BH124" s="1048"/>
      <c r="BI124" s="2285" t="str">
        <f t="shared" si="59"/>
        <v>Qty</v>
      </c>
      <c r="BJ124" s="2286" t="str">
        <f t="shared" si="59"/>
        <v>[Service]</v>
      </c>
      <c r="BK124" s="2287" t="str">
        <f t="shared" si="59"/>
        <v>[Price]</v>
      </c>
      <c r="BL124" s="2288" t="str">
        <f t="shared" ref="BL124:BZ124" si="116">IF(OR(X124="",X124=0),"-",IFERROR((X124/W124-1)*(W125/W$13),"-"))</f>
        <v>-</v>
      </c>
      <c r="BM124" s="1720" t="str">
        <f t="shared" si="116"/>
        <v>-</v>
      </c>
      <c r="BN124" s="1720" t="str">
        <f t="shared" si="116"/>
        <v>-</v>
      </c>
      <c r="BO124" s="2289" t="str">
        <f t="shared" si="116"/>
        <v>-</v>
      </c>
      <c r="BP124" s="1720" t="str">
        <f t="shared" si="116"/>
        <v>-</v>
      </c>
      <c r="BQ124" s="2290" t="str">
        <f t="shared" si="116"/>
        <v>-</v>
      </c>
      <c r="BR124" s="1720" t="str">
        <f t="shared" si="116"/>
        <v>-</v>
      </c>
      <c r="BS124" s="1720" t="str">
        <f t="shared" si="116"/>
        <v>-</v>
      </c>
      <c r="BT124" s="1720" t="str">
        <f t="shared" si="116"/>
        <v>-</v>
      </c>
      <c r="BU124" s="1721" t="str">
        <f t="shared" si="116"/>
        <v>-</v>
      </c>
      <c r="BV124" s="1720" t="str">
        <f t="shared" si="116"/>
        <v>-</v>
      </c>
      <c r="BW124" s="1720" t="str">
        <f t="shared" si="116"/>
        <v>-</v>
      </c>
      <c r="BX124" s="1720" t="str">
        <f t="shared" si="116"/>
        <v>-</v>
      </c>
      <c r="BY124" s="1720" t="str">
        <f t="shared" si="116"/>
        <v>-</v>
      </c>
      <c r="BZ124" s="1721" t="str">
        <f t="shared" si="116"/>
        <v>-</v>
      </c>
    </row>
    <row r="125" spans="3:78" ht="12.5" thickBot="1" x14ac:dyDescent="0.35">
      <c r="C125" s="126"/>
      <c r="D125" s="126"/>
      <c r="E125" s="559" t="s">
        <v>47</v>
      </c>
      <c r="F125" s="1723" t="str">
        <f>+F123</f>
        <v>[Service]</v>
      </c>
      <c r="G125" s="1726">
        <f>+G123</f>
        <v>0</v>
      </c>
      <c r="H125" s="1726">
        <f>+H123</f>
        <v>0</v>
      </c>
      <c r="I125" s="1727" t="str">
        <f>+I123</f>
        <v>[Price]</v>
      </c>
      <c r="J125" s="556" t="s">
        <v>347</v>
      </c>
      <c r="K125" s="1977"/>
      <c r="L125" s="1206"/>
      <c r="M125" s="1206"/>
      <c r="N125" s="1978"/>
      <c r="O125" s="1206"/>
      <c r="P125" s="1206"/>
      <c r="Q125" s="1206"/>
      <c r="R125" s="1206"/>
      <c r="S125" s="1978"/>
      <c r="T125" s="1206"/>
      <c r="U125" s="1206"/>
      <c r="V125" s="1206"/>
      <c r="W125" s="1731">
        <f t="shared" ref="W125:AG125" si="117">W123*W124/10^6</f>
        <v>0</v>
      </c>
      <c r="X125" s="1730">
        <f t="shared" si="117"/>
        <v>0</v>
      </c>
      <c r="Y125" s="1731">
        <f t="shared" si="117"/>
        <v>0</v>
      </c>
      <c r="Z125" s="1731">
        <f t="shared" si="117"/>
        <v>0</v>
      </c>
      <c r="AA125" s="1731">
        <f t="shared" si="117"/>
        <v>0</v>
      </c>
      <c r="AB125" s="1733">
        <f t="shared" si="117"/>
        <v>0</v>
      </c>
      <c r="AC125" s="1731">
        <f t="shared" si="117"/>
        <v>0</v>
      </c>
      <c r="AD125" s="1731">
        <f t="shared" si="117"/>
        <v>0</v>
      </c>
      <c r="AE125" s="1731">
        <f t="shared" si="117"/>
        <v>0</v>
      </c>
      <c r="AF125" s="1731">
        <f t="shared" si="117"/>
        <v>0</v>
      </c>
      <c r="AG125" s="1733">
        <f t="shared" si="117"/>
        <v>0</v>
      </c>
      <c r="AH125" s="1732">
        <f>AH123*AH124/10^6</f>
        <v>0</v>
      </c>
      <c r="AI125" s="1731">
        <f>AI123*AI124/10^6</f>
        <v>0</v>
      </c>
      <c r="AJ125" s="1731">
        <f>AJ123*AJ124/10^6</f>
        <v>0</v>
      </c>
      <c r="AK125" s="1731">
        <f>AK123*AK124/10^6</f>
        <v>0</v>
      </c>
      <c r="AL125" s="1733">
        <f>AL123*AL124/10^6</f>
        <v>0</v>
      </c>
      <c r="AN125" s="991"/>
      <c r="AP125" s="2304" t="str">
        <f t="shared" si="36"/>
        <v>Rev</v>
      </c>
      <c r="AQ125" s="2305" t="str">
        <f t="shared" si="36"/>
        <v>[Service]</v>
      </c>
      <c r="AR125" s="2306" t="str">
        <f t="shared" si="37"/>
        <v>[Price]</v>
      </c>
      <c r="AS125" s="2307" t="str">
        <f t="shared" si="110"/>
        <v>-</v>
      </c>
      <c r="AT125" s="1055" t="str">
        <f t="shared" si="110"/>
        <v>-</v>
      </c>
      <c r="AU125" s="1055" t="str">
        <f t="shared" si="110"/>
        <v>-</v>
      </c>
      <c r="AV125" s="2308" t="str">
        <f t="shared" si="110"/>
        <v>-</v>
      </c>
      <c r="AW125" s="1055" t="str">
        <f t="shared" si="110"/>
        <v>-</v>
      </c>
      <c r="AX125" s="2309" t="str">
        <f t="shared" si="110"/>
        <v>-</v>
      </c>
      <c r="AY125" s="1055" t="str">
        <f t="shared" si="110"/>
        <v>-</v>
      </c>
      <c r="AZ125" s="1055" t="str">
        <f t="shared" si="110"/>
        <v>-</v>
      </c>
      <c r="BA125" s="1055" t="str">
        <f t="shared" si="110"/>
        <v>-</v>
      </c>
      <c r="BB125" s="1056" t="str">
        <f t="shared" si="110"/>
        <v>-</v>
      </c>
      <c r="BC125" s="1055" t="str">
        <f t="shared" si="110"/>
        <v>-</v>
      </c>
      <c r="BD125" s="1055" t="str">
        <f t="shared" si="110"/>
        <v>-</v>
      </c>
      <c r="BE125" s="1055" t="str">
        <f t="shared" si="110"/>
        <v>-</v>
      </c>
      <c r="BF125" s="1055" t="str">
        <f t="shared" si="110"/>
        <v>-</v>
      </c>
      <c r="BG125" s="1056" t="str">
        <f t="shared" si="110"/>
        <v>-</v>
      </c>
      <c r="BH125" s="1048"/>
      <c r="BI125" s="2304" t="str">
        <f t="shared" si="59"/>
        <v>Rev</v>
      </c>
      <c r="BJ125" s="2305" t="str">
        <f t="shared" si="59"/>
        <v>[Service]</v>
      </c>
      <c r="BK125" s="2306" t="str">
        <f t="shared" si="59"/>
        <v>[Price]</v>
      </c>
      <c r="BL125" s="2307" t="str">
        <f t="shared" ref="BL125:BZ125" si="118">IF(OR(X125="",X125=0),"-",IFERROR((X125/W125-1)*(W125/W$13),"-"))</f>
        <v>-</v>
      </c>
      <c r="BM125" s="1055" t="str">
        <f t="shared" si="118"/>
        <v>-</v>
      </c>
      <c r="BN125" s="1055" t="str">
        <f t="shared" si="118"/>
        <v>-</v>
      </c>
      <c r="BO125" s="2308" t="str">
        <f t="shared" si="118"/>
        <v>-</v>
      </c>
      <c r="BP125" s="1055" t="str">
        <f t="shared" si="118"/>
        <v>-</v>
      </c>
      <c r="BQ125" s="2309" t="str">
        <f t="shared" si="118"/>
        <v>-</v>
      </c>
      <c r="BR125" s="1055" t="str">
        <f t="shared" si="118"/>
        <v>-</v>
      </c>
      <c r="BS125" s="1055" t="str">
        <f t="shared" si="118"/>
        <v>-</v>
      </c>
      <c r="BT125" s="1055" t="str">
        <f t="shared" si="118"/>
        <v>-</v>
      </c>
      <c r="BU125" s="1056" t="str">
        <f t="shared" si="118"/>
        <v>-</v>
      </c>
      <c r="BV125" s="1055" t="str">
        <f t="shared" si="118"/>
        <v>-</v>
      </c>
      <c r="BW125" s="1055" t="str">
        <f t="shared" si="118"/>
        <v>-</v>
      </c>
      <c r="BX125" s="1055" t="str">
        <f t="shared" si="118"/>
        <v>-</v>
      </c>
      <c r="BY125" s="1055" t="str">
        <f t="shared" si="118"/>
        <v>-</v>
      </c>
      <c r="BZ125" s="1056" t="str">
        <f t="shared" si="118"/>
        <v>-</v>
      </c>
    </row>
    <row r="126" spans="3:78" x14ac:dyDescent="0.3">
      <c r="C126" s="126"/>
      <c r="D126" s="126">
        <f>D123+1</f>
        <v>20</v>
      </c>
      <c r="E126" s="553" t="s">
        <v>45</v>
      </c>
      <c r="F126" s="581" t="s">
        <v>28</v>
      </c>
      <c r="G126" s="581"/>
      <c r="H126" s="581"/>
      <c r="I126" s="573" t="s">
        <v>319</v>
      </c>
      <c r="J126" s="573" t="s">
        <v>348</v>
      </c>
      <c r="K126" s="1969"/>
      <c r="L126" s="1970"/>
      <c r="M126" s="1970"/>
      <c r="N126" s="1971"/>
      <c r="O126" s="1970"/>
      <c r="P126" s="1970"/>
      <c r="Q126" s="1970"/>
      <c r="R126" s="1972"/>
      <c r="S126" s="1979"/>
      <c r="T126" s="1972"/>
      <c r="U126" s="1972"/>
      <c r="V126" s="1972"/>
      <c r="W126" s="575"/>
      <c r="X126" s="1238"/>
      <c r="Y126" s="575"/>
      <c r="Z126" s="575"/>
      <c r="AA126" s="575"/>
      <c r="AB126" s="1142"/>
      <c r="AC126" s="575"/>
      <c r="AD126" s="575"/>
      <c r="AE126" s="575"/>
      <c r="AF126" s="575"/>
      <c r="AG126" s="577"/>
      <c r="AH126" s="576"/>
      <c r="AI126" s="575"/>
      <c r="AJ126" s="575"/>
      <c r="AK126" s="575"/>
      <c r="AL126" s="577"/>
      <c r="AN126" s="1052"/>
      <c r="AP126" s="2297" t="str">
        <f t="shared" si="36"/>
        <v>Price</v>
      </c>
      <c r="AQ126" s="2298" t="str">
        <f t="shared" si="36"/>
        <v>[Service]</v>
      </c>
      <c r="AR126" s="1719" t="str">
        <f t="shared" si="37"/>
        <v>[Price]</v>
      </c>
      <c r="AS126" s="2299" t="str">
        <f t="shared" si="110"/>
        <v>-</v>
      </c>
      <c r="AT126" s="1728" t="str">
        <f t="shared" si="110"/>
        <v>-</v>
      </c>
      <c r="AU126" s="1728" t="str">
        <f t="shared" si="110"/>
        <v>-</v>
      </c>
      <c r="AV126" s="2300" t="str">
        <f t="shared" si="110"/>
        <v>-</v>
      </c>
      <c r="AW126" s="1728" t="str">
        <f t="shared" si="110"/>
        <v>-</v>
      </c>
      <c r="AX126" s="2301" t="str">
        <f t="shared" si="110"/>
        <v>-</v>
      </c>
      <c r="AY126" s="1728" t="str">
        <f t="shared" si="110"/>
        <v>-</v>
      </c>
      <c r="AZ126" s="1728" t="str">
        <f t="shared" si="110"/>
        <v>-</v>
      </c>
      <c r="BA126" s="1728" t="str">
        <f t="shared" si="110"/>
        <v>-</v>
      </c>
      <c r="BB126" s="1729" t="str">
        <f t="shared" si="110"/>
        <v>-</v>
      </c>
      <c r="BC126" s="1728" t="str">
        <f t="shared" si="110"/>
        <v>-</v>
      </c>
      <c r="BD126" s="1728" t="str">
        <f t="shared" si="110"/>
        <v>-</v>
      </c>
      <c r="BE126" s="1728" t="str">
        <f t="shared" si="110"/>
        <v>-</v>
      </c>
      <c r="BF126" s="1728" t="str">
        <f t="shared" si="110"/>
        <v>-</v>
      </c>
      <c r="BG126" s="1729" t="str">
        <f t="shared" si="110"/>
        <v>-</v>
      </c>
      <c r="BH126" s="1048"/>
      <c r="BI126" s="2297" t="str">
        <f t="shared" si="59"/>
        <v>Price</v>
      </c>
      <c r="BJ126" s="2298" t="str">
        <f t="shared" si="59"/>
        <v>[Service]</v>
      </c>
      <c r="BK126" s="1719" t="str">
        <f t="shared" si="59"/>
        <v>[Price]</v>
      </c>
      <c r="BL126" s="2299" t="str">
        <f t="shared" ref="BL126:BZ126" si="119">IF(OR(X126="",X126=0),"-",IFERROR((X126/W126-1)*(W128/W$13),"-"))</f>
        <v>-</v>
      </c>
      <c r="BM126" s="1053" t="str">
        <f t="shared" si="119"/>
        <v>-</v>
      </c>
      <c r="BN126" s="1053" t="str">
        <f t="shared" si="119"/>
        <v>-</v>
      </c>
      <c r="BO126" s="2302" t="str">
        <f t="shared" si="119"/>
        <v>-</v>
      </c>
      <c r="BP126" s="1053" t="str">
        <f t="shared" si="119"/>
        <v>-</v>
      </c>
      <c r="BQ126" s="2303" t="str">
        <f t="shared" si="119"/>
        <v>-</v>
      </c>
      <c r="BR126" s="1053" t="str">
        <f t="shared" si="119"/>
        <v>-</v>
      </c>
      <c r="BS126" s="1053" t="str">
        <f t="shared" si="119"/>
        <v>-</v>
      </c>
      <c r="BT126" s="1053" t="str">
        <f t="shared" si="119"/>
        <v>-</v>
      </c>
      <c r="BU126" s="1054" t="str">
        <f t="shared" si="119"/>
        <v>-</v>
      </c>
      <c r="BV126" s="1053" t="str">
        <f t="shared" si="119"/>
        <v>-</v>
      </c>
      <c r="BW126" s="1053" t="str">
        <f t="shared" si="119"/>
        <v>-</v>
      </c>
      <c r="BX126" s="1053" t="str">
        <f t="shared" si="119"/>
        <v>-</v>
      </c>
      <c r="BY126" s="1053" t="str">
        <f t="shared" si="119"/>
        <v>-</v>
      </c>
      <c r="BZ126" s="1054" t="str">
        <f t="shared" si="119"/>
        <v>-</v>
      </c>
    </row>
    <row r="127" spans="3:78" x14ac:dyDescent="0.3">
      <c r="C127" s="126"/>
      <c r="D127" s="126"/>
      <c r="E127" s="558" t="s">
        <v>46</v>
      </c>
      <c r="F127" s="1722" t="str">
        <f>+F126</f>
        <v>[Service]</v>
      </c>
      <c r="G127" s="1724">
        <f>+G126</f>
        <v>0</v>
      </c>
      <c r="H127" s="1724">
        <f>+H126</f>
        <v>0</v>
      </c>
      <c r="I127" s="1725" t="str">
        <f>+I126</f>
        <v>[Price]</v>
      </c>
      <c r="J127" s="574" t="s">
        <v>323</v>
      </c>
      <c r="K127" s="1973"/>
      <c r="L127" s="1974"/>
      <c r="M127" s="1974"/>
      <c r="N127" s="1975"/>
      <c r="O127" s="1974"/>
      <c r="P127" s="1974"/>
      <c r="Q127" s="1974"/>
      <c r="R127" s="1976"/>
      <c r="S127" s="1980"/>
      <c r="T127" s="1976"/>
      <c r="U127" s="1976"/>
      <c r="V127" s="1976"/>
      <c r="W127" s="578"/>
      <c r="X127" s="1239"/>
      <c r="Y127" s="578"/>
      <c r="Z127" s="578"/>
      <c r="AA127" s="578"/>
      <c r="AB127" s="1143"/>
      <c r="AC127" s="578"/>
      <c r="AD127" s="578"/>
      <c r="AE127" s="578"/>
      <c r="AF127" s="578"/>
      <c r="AG127" s="580"/>
      <c r="AH127" s="579"/>
      <c r="AI127" s="578"/>
      <c r="AJ127" s="578"/>
      <c r="AK127" s="578"/>
      <c r="AL127" s="580"/>
      <c r="AN127" s="991"/>
      <c r="AP127" s="2285" t="str">
        <f t="shared" si="36"/>
        <v>Qty</v>
      </c>
      <c r="AQ127" s="2286" t="str">
        <f t="shared" si="36"/>
        <v>[Service]</v>
      </c>
      <c r="AR127" s="2287" t="str">
        <f t="shared" si="37"/>
        <v>[Price]</v>
      </c>
      <c r="AS127" s="2288" t="str">
        <f t="shared" si="110"/>
        <v>-</v>
      </c>
      <c r="AT127" s="1720" t="str">
        <f t="shared" si="110"/>
        <v>-</v>
      </c>
      <c r="AU127" s="1720" t="str">
        <f t="shared" si="110"/>
        <v>-</v>
      </c>
      <c r="AV127" s="2289" t="str">
        <f t="shared" si="110"/>
        <v>-</v>
      </c>
      <c r="AW127" s="1720" t="str">
        <f t="shared" si="110"/>
        <v>-</v>
      </c>
      <c r="AX127" s="2290" t="str">
        <f t="shared" si="110"/>
        <v>-</v>
      </c>
      <c r="AY127" s="1720" t="str">
        <f t="shared" si="110"/>
        <v>-</v>
      </c>
      <c r="AZ127" s="1720" t="str">
        <f t="shared" si="110"/>
        <v>-</v>
      </c>
      <c r="BA127" s="1720" t="str">
        <f t="shared" si="110"/>
        <v>-</v>
      </c>
      <c r="BB127" s="1721" t="str">
        <f t="shared" si="110"/>
        <v>-</v>
      </c>
      <c r="BC127" s="1720" t="str">
        <f t="shared" si="110"/>
        <v>-</v>
      </c>
      <c r="BD127" s="1720" t="str">
        <f t="shared" si="110"/>
        <v>-</v>
      </c>
      <c r="BE127" s="1720" t="str">
        <f t="shared" si="110"/>
        <v>-</v>
      </c>
      <c r="BF127" s="1720" t="str">
        <f t="shared" si="110"/>
        <v>-</v>
      </c>
      <c r="BG127" s="1721" t="str">
        <f t="shared" si="110"/>
        <v>-</v>
      </c>
      <c r="BH127" s="1048"/>
      <c r="BI127" s="2285" t="str">
        <f t="shared" si="59"/>
        <v>Qty</v>
      </c>
      <c r="BJ127" s="2286" t="str">
        <f t="shared" si="59"/>
        <v>[Service]</v>
      </c>
      <c r="BK127" s="2287" t="str">
        <f t="shared" si="59"/>
        <v>[Price]</v>
      </c>
      <c r="BL127" s="2288" t="str">
        <f t="shared" ref="BL127:BZ127" si="120">IF(OR(X127="",X127=0),"-",IFERROR((X127/W127-1)*(W128/W$13),"-"))</f>
        <v>-</v>
      </c>
      <c r="BM127" s="1720" t="str">
        <f t="shared" si="120"/>
        <v>-</v>
      </c>
      <c r="BN127" s="1720" t="str">
        <f t="shared" si="120"/>
        <v>-</v>
      </c>
      <c r="BO127" s="2289" t="str">
        <f t="shared" si="120"/>
        <v>-</v>
      </c>
      <c r="BP127" s="1720" t="str">
        <f t="shared" si="120"/>
        <v>-</v>
      </c>
      <c r="BQ127" s="2290" t="str">
        <f t="shared" si="120"/>
        <v>-</v>
      </c>
      <c r="BR127" s="1720" t="str">
        <f t="shared" si="120"/>
        <v>-</v>
      </c>
      <c r="BS127" s="1720" t="str">
        <f t="shared" si="120"/>
        <v>-</v>
      </c>
      <c r="BT127" s="1720" t="str">
        <f t="shared" si="120"/>
        <v>-</v>
      </c>
      <c r="BU127" s="1721" t="str">
        <f t="shared" si="120"/>
        <v>-</v>
      </c>
      <c r="BV127" s="1720" t="str">
        <f t="shared" si="120"/>
        <v>-</v>
      </c>
      <c r="BW127" s="1720" t="str">
        <f t="shared" si="120"/>
        <v>-</v>
      </c>
      <c r="BX127" s="1720" t="str">
        <f t="shared" si="120"/>
        <v>-</v>
      </c>
      <c r="BY127" s="1720" t="str">
        <f t="shared" si="120"/>
        <v>-</v>
      </c>
      <c r="BZ127" s="1721" t="str">
        <f t="shared" si="120"/>
        <v>-</v>
      </c>
    </row>
    <row r="128" spans="3:78" ht="12.5" thickBot="1" x14ac:dyDescent="0.35">
      <c r="C128" s="126"/>
      <c r="D128" s="126"/>
      <c r="E128" s="559" t="s">
        <v>47</v>
      </c>
      <c r="F128" s="1723" t="str">
        <f>+F126</f>
        <v>[Service]</v>
      </c>
      <c r="G128" s="1726">
        <f>+G126</f>
        <v>0</v>
      </c>
      <c r="H128" s="1726">
        <f>+H126</f>
        <v>0</v>
      </c>
      <c r="I128" s="1727" t="str">
        <f>+I126</f>
        <v>[Price]</v>
      </c>
      <c r="J128" s="556" t="s">
        <v>347</v>
      </c>
      <c r="K128" s="1977"/>
      <c r="L128" s="1206"/>
      <c r="M128" s="1206"/>
      <c r="N128" s="1978"/>
      <c r="O128" s="1206"/>
      <c r="P128" s="1206"/>
      <c r="Q128" s="1206"/>
      <c r="R128" s="1206"/>
      <c r="S128" s="1978"/>
      <c r="T128" s="1206"/>
      <c r="U128" s="1206"/>
      <c r="V128" s="1206"/>
      <c r="W128" s="1731">
        <f t="shared" ref="W128:AG128" si="121">W126*W127/10^6</f>
        <v>0</v>
      </c>
      <c r="X128" s="1730">
        <f t="shared" si="121"/>
        <v>0</v>
      </c>
      <c r="Y128" s="1731">
        <f t="shared" si="121"/>
        <v>0</v>
      </c>
      <c r="Z128" s="1731">
        <f t="shared" si="121"/>
        <v>0</v>
      </c>
      <c r="AA128" s="1731">
        <f t="shared" si="121"/>
        <v>0</v>
      </c>
      <c r="AB128" s="1733">
        <f t="shared" si="121"/>
        <v>0</v>
      </c>
      <c r="AC128" s="1731">
        <f t="shared" si="121"/>
        <v>0</v>
      </c>
      <c r="AD128" s="1731">
        <f t="shared" si="121"/>
        <v>0</v>
      </c>
      <c r="AE128" s="1731">
        <f t="shared" si="121"/>
        <v>0</v>
      </c>
      <c r="AF128" s="1731">
        <f t="shared" si="121"/>
        <v>0</v>
      </c>
      <c r="AG128" s="1733">
        <f t="shared" si="121"/>
        <v>0</v>
      </c>
      <c r="AH128" s="1732">
        <f>AH126*AH127/10^6</f>
        <v>0</v>
      </c>
      <c r="AI128" s="1731">
        <f>AI126*AI127/10^6</f>
        <v>0</v>
      </c>
      <c r="AJ128" s="1731">
        <f>AJ126*AJ127/10^6</f>
        <v>0</v>
      </c>
      <c r="AK128" s="1731">
        <f>AK126*AK127/10^6</f>
        <v>0</v>
      </c>
      <c r="AL128" s="1733">
        <f>AL126*AL127/10^6</f>
        <v>0</v>
      </c>
      <c r="AN128" s="991"/>
      <c r="AP128" s="2304" t="str">
        <f t="shared" si="36"/>
        <v>Rev</v>
      </c>
      <c r="AQ128" s="2305" t="str">
        <f t="shared" si="36"/>
        <v>[Service]</v>
      </c>
      <c r="AR128" s="2306" t="str">
        <f t="shared" si="37"/>
        <v>[Price]</v>
      </c>
      <c r="AS128" s="2307" t="str">
        <f t="shared" si="110"/>
        <v>-</v>
      </c>
      <c r="AT128" s="1055" t="str">
        <f t="shared" si="110"/>
        <v>-</v>
      </c>
      <c r="AU128" s="1055" t="str">
        <f t="shared" si="110"/>
        <v>-</v>
      </c>
      <c r="AV128" s="2308" t="str">
        <f t="shared" si="110"/>
        <v>-</v>
      </c>
      <c r="AW128" s="1055" t="str">
        <f t="shared" si="110"/>
        <v>-</v>
      </c>
      <c r="AX128" s="2309" t="str">
        <f t="shared" si="110"/>
        <v>-</v>
      </c>
      <c r="AY128" s="1055" t="str">
        <f t="shared" si="110"/>
        <v>-</v>
      </c>
      <c r="AZ128" s="1055" t="str">
        <f t="shared" si="110"/>
        <v>-</v>
      </c>
      <c r="BA128" s="1055" t="str">
        <f t="shared" si="110"/>
        <v>-</v>
      </c>
      <c r="BB128" s="1056" t="str">
        <f t="shared" si="110"/>
        <v>-</v>
      </c>
      <c r="BC128" s="1055" t="str">
        <f t="shared" si="110"/>
        <v>-</v>
      </c>
      <c r="BD128" s="1055" t="str">
        <f t="shared" si="110"/>
        <v>-</v>
      </c>
      <c r="BE128" s="1055" t="str">
        <f t="shared" si="110"/>
        <v>-</v>
      </c>
      <c r="BF128" s="1055" t="str">
        <f t="shared" si="110"/>
        <v>-</v>
      </c>
      <c r="BG128" s="1056" t="str">
        <f t="shared" si="110"/>
        <v>-</v>
      </c>
      <c r="BH128" s="1048"/>
      <c r="BI128" s="2304" t="str">
        <f t="shared" si="59"/>
        <v>Rev</v>
      </c>
      <c r="BJ128" s="2305" t="str">
        <f t="shared" si="59"/>
        <v>[Service]</v>
      </c>
      <c r="BK128" s="2306" t="str">
        <f t="shared" si="59"/>
        <v>[Price]</v>
      </c>
      <c r="BL128" s="2307" t="str">
        <f t="shared" ref="BL128:BZ128" si="122">IF(OR(X128="",X128=0),"-",IFERROR((X128/W128-1)*(W128/W$13),"-"))</f>
        <v>-</v>
      </c>
      <c r="BM128" s="1055" t="str">
        <f t="shared" si="122"/>
        <v>-</v>
      </c>
      <c r="BN128" s="1055" t="str">
        <f t="shared" si="122"/>
        <v>-</v>
      </c>
      <c r="BO128" s="2308" t="str">
        <f t="shared" si="122"/>
        <v>-</v>
      </c>
      <c r="BP128" s="1055" t="str">
        <f t="shared" si="122"/>
        <v>-</v>
      </c>
      <c r="BQ128" s="2309" t="str">
        <f t="shared" si="122"/>
        <v>-</v>
      </c>
      <c r="BR128" s="1055" t="str">
        <f t="shared" si="122"/>
        <v>-</v>
      </c>
      <c r="BS128" s="1055" t="str">
        <f t="shared" si="122"/>
        <v>-</v>
      </c>
      <c r="BT128" s="1055" t="str">
        <f t="shared" si="122"/>
        <v>-</v>
      </c>
      <c r="BU128" s="1056" t="str">
        <f t="shared" si="122"/>
        <v>-</v>
      </c>
      <c r="BV128" s="1055" t="str">
        <f t="shared" si="122"/>
        <v>-</v>
      </c>
      <c r="BW128" s="1055" t="str">
        <f t="shared" si="122"/>
        <v>-</v>
      </c>
      <c r="BX128" s="1055" t="str">
        <f t="shared" si="122"/>
        <v>-</v>
      </c>
      <c r="BY128" s="1055" t="str">
        <f t="shared" si="122"/>
        <v>-</v>
      </c>
      <c r="BZ128" s="1056" t="str">
        <f t="shared" si="122"/>
        <v>-</v>
      </c>
    </row>
    <row r="129" spans="3:78" x14ac:dyDescent="0.3">
      <c r="C129" s="126"/>
      <c r="D129" s="126">
        <f>D126+1</f>
        <v>21</v>
      </c>
      <c r="E129" s="553" t="s">
        <v>45</v>
      </c>
      <c r="F129" s="581" t="s">
        <v>28</v>
      </c>
      <c r="G129" s="581"/>
      <c r="H129" s="581"/>
      <c r="I129" s="573" t="s">
        <v>319</v>
      </c>
      <c r="J129" s="573" t="s">
        <v>348</v>
      </c>
      <c r="K129" s="1969"/>
      <c r="L129" s="1970"/>
      <c r="M129" s="1970"/>
      <c r="N129" s="1971"/>
      <c r="O129" s="1970"/>
      <c r="P129" s="1970"/>
      <c r="Q129" s="1970"/>
      <c r="R129" s="1972"/>
      <c r="S129" s="1979"/>
      <c r="T129" s="1972"/>
      <c r="U129" s="1972"/>
      <c r="V129" s="1972"/>
      <c r="W129" s="575"/>
      <c r="X129" s="1238"/>
      <c r="Y129" s="575"/>
      <c r="Z129" s="575"/>
      <c r="AA129" s="575"/>
      <c r="AB129" s="1142"/>
      <c r="AC129" s="575"/>
      <c r="AD129" s="575"/>
      <c r="AE129" s="575"/>
      <c r="AF129" s="575"/>
      <c r="AG129" s="577"/>
      <c r="AH129" s="576"/>
      <c r="AI129" s="575"/>
      <c r="AJ129" s="575"/>
      <c r="AK129" s="575"/>
      <c r="AL129" s="577"/>
      <c r="AN129" s="1052"/>
      <c r="AP129" s="2297" t="str">
        <f t="shared" si="36"/>
        <v>Price</v>
      </c>
      <c r="AQ129" s="2298" t="str">
        <f t="shared" si="36"/>
        <v>[Service]</v>
      </c>
      <c r="AR129" s="1719" t="str">
        <f t="shared" si="37"/>
        <v>[Price]</v>
      </c>
      <c r="AS129" s="2299" t="str">
        <f t="shared" si="110"/>
        <v>-</v>
      </c>
      <c r="AT129" s="1728" t="str">
        <f t="shared" si="110"/>
        <v>-</v>
      </c>
      <c r="AU129" s="1728" t="str">
        <f t="shared" si="110"/>
        <v>-</v>
      </c>
      <c r="AV129" s="2300" t="str">
        <f t="shared" si="110"/>
        <v>-</v>
      </c>
      <c r="AW129" s="1728" t="str">
        <f t="shared" si="110"/>
        <v>-</v>
      </c>
      <c r="AX129" s="2301" t="str">
        <f t="shared" si="110"/>
        <v>-</v>
      </c>
      <c r="AY129" s="1728" t="str">
        <f t="shared" si="110"/>
        <v>-</v>
      </c>
      <c r="AZ129" s="1728" t="str">
        <f t="shared" si="110"/>
        <v>-</v>
      </c>
      <c r="BA129" s="1728" t="str">
        <f t="shared" si="110"/>
        <v>-</v>
      </c>
      <c r="BB129" s="1729" t="str">
        <f t="shared" si="110"/>
        <v>-</v>
      </c>
      <c r="BC129" s="1728" t="str">
        <f t="shared" si="110"/>
        <v>-</v>
      </c>
      <c r="BD129" s="1728" t="str">
        <f t="shared" si="110"/>
        <v>-</v>
      </c>
      <c r="BE129" s="1728" t="str">
        <f t="shared" si="110"/>
        <v>-</v>
      </c>
      <c r="BF129" s="1728" t="str">
        <f t="shared" si="110"/>
        <v>-</v>
      </c>
      <c r="BG129" s="1729" t="str">
        <f t="shared" si="110"/>
        <v>-</v>
      </c>
      <c r="BH129" s="1048"/>
      <c r="BI129" s="2297" t="str">
        <f t="shared" si="59"/>
        <v>Price</v>
      </c>
      <c r="BJ129" s="2298" t="str">
        <f t="shared" si="59"/>
        <v>[Service]</v>
      </c>
      <c r="BK129" s="1719" t="str">
        <f t="shared" si="59"/>
        <v>[Price]</v>
      </c>
      <c r="BL129" s="2299" t="str">
        <f t="shared" ref="BL129:BZ129" si="123">IF(OR(X129="",X129=0),"-",IFERROR((X129/W129-1)*(W131/W$13),"-"))</f>
        <v>-</v>
      </c>
      <c r="BM129" s="1053" t="str">
        <f t="shared" si="123"/>
        <v>-</v>
      </c>
      <c r="BN129" s="1053" t="str">
        <f t="shared" si="123"/>
        <v>-</v>
      </c>
      <c r="BO129" s="2302" t="str">
        <f t="shared" si="123"/>
        <v>-</v>
      </c>
      <c r="BP129" s="1053" t="str">
        <f t="shared" si="123"/>
        <v>-</v>
      </c>
      <c r="BQ129" s="2303" t="str">
        <f t="shared" si="123"/>
        <v>-</v>
      </c>
      <c r="BR129" s="1053" t="str">
        <f t="shared" si="123"/>
        <v>-</v>
      </c>
      <c r="BS129" s="1053" t="str">
        <f t="shared" si="123"/>
        <v>-</v>
      </c>
      <c r="BT129" s="1053" t="str">
        <f t="shared" si="123"/>
        <v>-</v>
      </c>
      <c r="BU129" s="1054" t="str">
        <f t="shared" si="123"/>
        <v>-</v>
      </c>
      <c r="BV129" s="1053" t="str">
        <f t="shared" si="123"/>
        <v>-</v>
      </c>
      <c r="BW129" s="1053" t="str">
        <f t="shared" si="123"/>
        <v>-</v>
      </c>
      <c r="BX129" s="1053" t="str">
        <f t="shared" si="123"/>
        <v>-</v>
      </c>
      <c r="BY129" s="1053" t="str">
        <f t="shared" si="123"/>
        <v>-</v>
      </c>
      <c r="BZ129" s="1054" t="str">
        <f t="shared" si="123"/>
        <v>-</v>
      </c>
    </row>
    <row r="130" spans="3:78" x14ac:dyDescent="0.3">
      <c r="C130" s="126"/>
      <c r="D130" s="126"/>
      <c r="E130" s="558" t="s">
        <v>46</v>
      </c>
      <c r="F130" s="1722" t="str">
        <f>+F129</f>
        <v>[Service]</v>
      </c>
      <c r="G130" s="1724">
        <f>+G129</f>
        <v>0</v>
      </c>
      <c r="H130" s="1724">
        <f>+H129</f>
        <v>0</v>
      </c>
      <c r="I130" s="1725" t="str">
        <f>+I129</f>
        <v>[Price]</v>
      </c>
      <c r="J130" s="574" t="s">
        <v>323</v>
      </c>
      <c r="K130" s="1973"/>
      <c r="L130" s="1974"/>
      <c r="M130" s="1974"/>
      <c r="N130" s="1975"/>
      <c r="O130" s="1974"/>
      <c r="P130" s="1974"/>
      <c r="Q130" s="1974"/>
      <c r="R130" s="1976"/>
      <c r="S130" s="1980"/>
      <c r="T130" s="1976"/>
      <c r="U130" s="1976"/>
      <c r="V130" s="1976"/>
      <c r="W130" s="578"/>
      <c r="X130" s="1239"/>
      <c r="Y130" s="578"/>
      <c r="Z130" s="578"/>
      <c r="AA130" s="578"/>
      <c r="AB130" s="1143"/>
      <c r="AC130" s="578"/>
      <c r="AD130" s="578"/>
      <c r="AE130" s="578"/>
      <c r="AF130" s="578"/>
      <c r="AG130" s="580"/>
      <c r="AH130" s="579"/>
      <c r="AI130" s="578"/>
      <c r="AJ130" s="578"/>
      <c r="AK130" s="578"/>
      <c r="AL130" s="580"/>
      <c r="AN130" s="991"/>
      <c r="AP130" s="2285" t="str">
        <f t="shared" si="36"/>
        <v>Qty</v>
      </c>
      <c r="AQ130" s="2286" t="str">
        <f t="shared" si="36"/>
        <v>[Service]</v>
      </c>
      <c r="AR130" s="2287" t="str">
        <f t="shared" si="37"/>
        <v>[Price]</v>
      </c>
      <c r="AS130" s="2288" t="str">
        <f t="shared" si="110"/>
        <v>-</v>
      </c>
      <c r="AT130" s="1720" t="str">
        <f t="shared" si="110"/>
        <v>-</v>
      </c>
      <c r="AU130" s="1720" t="str">
        <f t="shared" si="110"/>
        <v>-</v>
      </c>
      <c r="AV130" s="2289" t="str">
        <f t="shared" si="110"/>
        <v>-</v>
      </c>
      <c r="AW130" s="1720" t="str">
        <f t="shared" si="110"/>
        <v>-</v>
      </c>
      <c r="AX130" s="2290" t="str">
        <f t="shared" si="110"/>
        <v>-</v>
      </c>
      <c r="AY130" s="1720" t="str">
        <f t="shared" si="110"/>
        <v>-</v>
      </c>
      <c r="AZ130" s="1720" t="str">
        <f t="shared" si="110"/>
        <v>-</v>
      </c>
      <c r="BA130" s="1720" t="str">
        <f t="shared" si="110"/>
        <v>-</v>
      </c>
      <c r="BB130" s="1721" t="str">
        <f t="shared" si="110"/>
        <v>-</v>
      </c>
      <c r="BC130" s="1720" t="str">
        <f t="shared" si="110"/>
        <v>-</v>
      </c>
      <c r="BD130" s="1720" t="str">
        <f t="shared" si="110"/>
        <v>-</v>
      </c>
      <c r="BE130" s="1720" t="str">
        <f t="shared" si="110"/>
        <v>-</v>
      </c>
      <c r="BF130" s="1720" t="str">
        <f t="shared" si="110"/>
        <v>-</v>
      </c>
      <c r="BG130" s="1721" t="str">
        <f t="shared" si="110"/>
        <v>-</v>
      </c>
      <c r="BH130" s="1048"/>
      <c r="BI130" s="2285" t="str">
        <f t="shared" si="59"/>
        <v>Qty</v>
      </c>
      <c r="BJ130" s="2286" t="str">
        <f t="shared" si="59"/>
        <v>[Service]</v>
      </c>
      <c r="BK130" s="2287" t="str">
        <f t="shared" si="59"/>
        <v>[Price]</v>
      </c>
      <c r="BL130" s="2288" t="str">
        <f t="shared" ref="BL130:BZ130" si="124">IF(OR(X130="",X130=0),"-",IFERROR((X130/W130-1)*(W131/W$13),"-"))</f>
        <v>-</v>
      </c>
      <c r="BM130" s="1720" t="str">
        <f t="shared" si="124"/>
        <v>-</v>
      </c>
      <c r="BN130" s="1720" t="str">
        <f t="shared" si="124"/>
        <v>-</v>
      </c>
      <c r="BO130" s="2289" t="str">
        <f t="shared" si="124"/>
        <v>-</v>
      </c>
      <c r="BP130" s="1720" t="str">
        <f t="shared" si="124"/>
        <v>-</v>
      </c>
      <c r="BQ130" s="2290" t="str">
        <f t="shared" si="124"/>
        <v>-</v>
      </c>
      <c r="BR130" s="1720" t="str">
        <f t="shared" si="124"/>
        <v>-</v>
      </c>
      <c r="BS130" s="1720" t="str">
        <f t="shared" si="124"/>
        <v>-</v>
      </c>
      <c r="BT130" s="1720" t="str">
        <f t="shared" si="124"/>
        <v>-</v>
      </c>
      <c r="BU130" s="1721" t="str">
        <f t="shared" si="124"/>
        <v>-</v>
      </c>
      <c r="BV130" s="1720" t="str">
        <f t="shared" si="124"/>
        <v>-</v>
      </c>
      <c r="BW130" s="1720" t="str">
        <f t="shared" si="124"/>
        <v>-</v>
      </c>
      <c r="BX130" s="1720" t="str">
        <f t="shared" si="124"/>
        <v>-</v>
      </c>
      <c r="BY130" s="1720" t="str">
        <f t="shared" si="124"/>
        <v>-</v>
      </c>
      <c r="BZ130" s="1721" t="str">
        <f t="shared" si="124"/>
        <v>-</v>
      </c>
    </row>
    <row r="131" spans="3:78" ht="12.5" thickBot="1" x14ac:dyDescent="0.35">
      <c r="C131" s="126"/>
      <c r="D131" s="126"/>
      <c r="E131" s="559" t="s">
        <v>47</v>
      </c>
      <c r="F131" s="1723" t="str">
        <f>+F129</f>
        <v>[Service]</v>
      </c>
      <c r="G131" s="1726">
        <f>+G129</f>
        <v>0</v>
      </c>
      <c r="H131" s="1726">
        <f>+H129</f>
        <v>0</v>
      </c>
      <c r="I131" s="1727" t="str">
        <f>+I129</f>
        <v>[Price]</v>
      </c>
      <c r="J131" s="556" t="s">
        <v>347</v>
      </c>
      <c r="K131" s="1977"/>
      <c r="L131" s="1206"/>
      <c r="M131" s="1206"/>
      <c r="N131" s="1978"/>
      <c r="O131" s="1206"/>
      <c r="P131" s="1206"/>
      <c r="Q131" s="1206"/>
      <c r="R131" s="1206"/>
      <c r="S131" s="1978"/>
      <c r="T131" s="1206"/>
      <c r="U131" s="1206"/>
      <c r="V131" s="1206"/>
      <c r="W131" s="1731">
        <f t="shared" ref="W131:AG131" si="125">W129*W130/10^6</f>
        <v>0</v>
      </c>
      <c r="X131" s="1730">
        <f t="shared" si="125"/>
        <v>0</v>
      </c>
      <c r="Y131" s="1731">
        <f t="shared" si="125"/>
        <v>0</v>
      </c>
      <c r="Z131" s="1731">
        <f t="shared" si="125"/>
        <v>0</v>
      </c>
      <c r="AA131" s="1731">
        <f t="shared" si="125"/>
        <v>0</v>
      </c>
      <c r="AB131" s="1733">
        <f t="shared" si="125"/>
        <v>0</v>
      </c>
      <c r="AC131" s="1731">
        <f t="shared" si="125"/>
        <v>0</v>
      </c>
      <c r="AD131" s="1731">
        <f t="shared" si="125"/>
        <v>0</v>
      </c>
      <c r="AE131" s="1731">
        <f t="shared" si="125"/>
        <v>0</v>
      </c>
      <c r="AF131" s="1731">
        <f t="shared" si="125"/>
        <v>0</v>
      </c>
      <c r="AG131" s="1733">
        <f t="shared" si="125"/>
        <v>0</v>
      </c>
      <c r="AH131" s="1732">
        <f>AH129*AH130/10^6</f>
        <v>0</v>
      </c>
      <c r="AI131" s="1731">
        <f>AI129*AI130/10^6</f>
        <v>0</v>
      </c>
      <c r="AJ131" s="1731">
        <f>AJ129*AJ130/10^6</f>
        <v>0</v>
      </c>
      <c r="AK131" s="1731">
        <f>AK129*AK130/10^6</f>
        <v>0</v>
      </c>
      <c r="AL131" s="1733">
        <f>AL129*AL130/10^6</f>
        <v>0</v>
      </c>
      <c r="AN131" s="991"/>
      <c r="AP131" s="2304" t="str">
        <f t="shared" si="36"/>
        <v>Rev</v>
      </c>
      <c r="AQ131" s="2305" t="str">
        <f t="shared" si="36"/>
        <v>[Service]</v>
      </c>
      <c r="AR131" s="2306" t="str">
        <f t="shared" si="37"/>
        <v>[Price]</v>
      </c>
      <c r="AS131" s="2307" t="str">
        <f t="shared" si="110"/>
        <v>-</v>
      </c>
      <c r="AT131" s="1055" t="str">
        <f t="shared" si="110"/>
        <v>-</v>
      </c>
      <c r="AU131" s="1055" t="str">
        <f t="shared" si="110"/>
        <v>-</v>
      </c>
      <c r="AV131" s="2308" t="str">
        <f t="shared" si="110"/>
        <v>-</v>
      </c>
      <c r="AW131" s="1055" t="str">
        <f t="shared" si="110"/>
        <v>-</v>
      </c>
      <c r="AX131" s="2309" t="str">
        <f t="shared" si="110"/>
        <v>-</v>
      </c>
      <c r="AY131" s="1055" t="str">
        <f t="shared" si="110"/>
        <v>-</v>
      </c>
      <c r="AZ131" s="1055" t="str">
        <f t="shared" si="110"/>
        <v>-</v>
      </c>
      <c r="BA131" s="1055" t="str">
        <f t="shared" si="110"/>
        <v>-</v>
      </c>
      <c r="BB131" s="1056" t="str">
        <f t="shared" si="110"/>
        <v>-</v>
      </c>
      <c r="BC131" s="1055" t="str">
        <f t="shared" si="110"/>
        <v>-</v>
      </c>
      <c r="BD131" s="1055" t="str">
        <f t="shared" si="110"/>
        <v>-</v>
      </c>
      <c r="BE131" s="1055" t="str">
        <f t="shared" si="110"/>
        <v>-</v>
      </c>
      <c r="BF131" s="1055" t="str">
        <f t="shared" si="110"/>
        <v>-</v>
      </c>
      <c r="BG131" s="1056" t="str">
        <f t="shared" si="110"/>
        <v>-</v>
      </c>
      <c r="BH131" s="1048"/>
      <c r="BI131" s="2304" t="str">
        <f t="shared" si="59"/>
        <v>Rev</v>
      </c>
      <c r="BJ131" s="2305" t="str">
        <f t="shared" si="59"/>
        <v>[Service]</v>
      </c>
      <c r="BK131" s="2306" t="str">
        <f t="shared" si="59"/>
        <v>[Price]</v>
      </c>
      <c r="BL131" s="2307" t="str">
        <f t="shared" ref="BL131:BZ131" si="126">IF(OR(X131="",X131=0),"-",IFERROR((X131/W131-1)*(W131/W$13),"-"))</f>
        <v>-</v>
      </c>
      <c r="BM131" s="1055" t="str">
        <f t="shared" si="126"/>
        <v>-</v>
      </c>
      <c r="BN131" s="1055" t="str">
        <f t="shared" si="126"/>
        <v>-</v>
      </c>
      <c r="BO131" s="2308" t="str">
        <f t="shared" si="126"/>
        <v>-</v>
      </c>
      <c r="BP131" s="1055" t="str">
        <f t="shared" si="126"/>
        <v>-</v>
      </c>
      <c r="BQ131" s="2309" t="str">
        <f t="shared" si="126"/>
        <v>-</v>
      </c>
      <c r="BR131" s="1055" t="str">
        <f t="shared" si="126"/>
        <v>-</v>
      </c>
      <c r="BS131" s="1055" t="str">
        <f t="shared" si="126"/>
        <v>-</v>
      </c>
      <c r="BT131" s="1055" t="str">
        <f t="shared" si="126"/>
        <v>-</v>
      </c>
      <c r="BU131" s="1056" t="str">
        <f t="shared" si="126"/>
        <v>-</v>
      </c>
      <c r="BV131" s="1055" t="str">
        <f t="shared" si="126"/>
        <v>-</v>
      </c>
      <c r="BW131" s="1055" t="str">
        <f t="shared" si="126"/>
        <v>-</v>
      </c>
      <c r="BX131" s="1055" t="str">
        <f t="shared" si="126"/>
        <v>-</v>
      </c>
      <c r="BY131" s="1055" t="str">
        <f t="shared" si="126"/>
        <v>-</v>
      </c>
      <c r="BZ131" s="1056" t="str">
        <f t="shared" si="126"/>
        <v>-</v>
      </c>
    </row>
    <row r="132" spans="3:78" x14ac:dyDescent="0.3">
      <c r="C132" s="126"/>
      <c r="D132" s="126">
        <f>D129+1</f>
        <v>22</v>
      </c>
      <c r="E132" s="553" t="s">
        <v>45</v>
      </c>
      <c r="F132" s="581" t="s">
        <v>28</v>
      </c>
      <c r="G132" s="581"/>
      <c r="H132" s="581"/>
      <c r="I132" s="573" t="s">
        <v>319</v>
      </c>
      <c r="J132" s="573" t="s">
        <v>348</v>
      </c>
      <c r="K132" s="1969"/>
      <c r="L132" s="1970"/>
      <c r="M132" s="1970"/>
      <c r="N132" s="1971"/>
      <c r="O132" s="1970"/>
      <c r="P132" s="1970"/>
      <c r="Q132" s="1970"/>
      <c r="R132" s="1972"/>
      <c r="S132" s="1979"/>
      <c r="T132" s="1972"/>
      <c r="U132" s="1972"/>
      <c r="V132" s="1972"/>
      <c r="W132" s="575"/>
      <c r="X132" s="1238"/>
      <c r="Y132" s="575"/>
      <c r="Z132" s="575"/>
      <c r="AA132" s="575"/>
      <c r="AB132" s="1142"/>
      <c r="AC132" s="575"/>
      <c r="AD132" s="575"/>
      <c r="AE132" s="575"/>
      <c r="AF132" s="575"/>
      <c r="AG132" s="577"/>
      <c r="AH132" s="576"/>
      <c r="AI132" s="575"/>
      <c r="AJ132" s="575"/>
      <c r="AK132" s="575"/>
      <c r="AL132" s="577"/>
      <c r="AN132" s="1052"/>
      <c r="AP132" s="2297" t="str">
        <f t="shared" si="36"/>
        <v>Price</v>
      </c>
      <c r="AQ132" s="2298" t="str">
        <f t="shared" si="36"/>
        <v>[Service]</v>
      </c>
      <c r="AR132" s="1719" t="str">
        <f t="shared" si="37"/>
        <v>[Price]</v>
      </c>
      <c r="AS132" s="2299" t="str">
        <f t="shared" si="110"/>
        <v>-</v>
      </c>
      <c r="AT132" s="1728" t="str">
        <f t="shared" si="110"/>
        <v>-</v>
      </c>
      <c r="AU132" s="1728" t="str">
        <f t="shared" si="110"/>
        <v>-</v>
      </c>
      <c r="AV132" s="2300" t="str">
        <f t="shared" si="110"/>
        <v>-</v>
      </c>
      <c r="AW132" s="1728" t="str">
        <f t="shared" si="110"/>
        <v>-</v>
      </c>
      <c r="AX132" s="2301" t="str">
        <f t="shared" si="110"/>
        <v>-</v>
      </c>
      <c r="AY132" s="1728" t="str">
        <f t="shared" si="110"/>
        <v>-</v>
      </c>
      <c r="AZ132" s="1728" t="str">
        <f t="shared" si="110"/>
        <v>-</v>
      </c>
      <c r="BA132" s="1728" t="str">
        <f t="shared" si="110"/>
        <v>-</v>
      </c>
      <c r="BB132" s="1729" t="str">
        <f t="shared" si="110"/>
        <v>-</v>
      </c>
      <c r="BC132" s="1728" t="str">
        <f t="shared" si="110"/>
        <v>-</v>
      </c>
      <c r="BD132" s="1728" t="str">
        <f t="shared" si="110"/>
        <v>-</v>
      </c>
      <c r="BE132" s="1728" t="str">
        <f t="shared" si="110"/>
        <v>-</v>
      </c>
      <c r="BF132" s="1728" t="str">
        <f t="shared" si="110"/>
        <v>-</v>
      </c>
      <c r="BG132" s="1729" t="str">
        <f t="shared" si="110"/>
        <v>-</v>
      </c>
      <c r="BH132" s="1048"/>
      <c r="BI132" s="2297" t="str">
        <f t="shared" si="59"/>
        <v>Price</v>
      </c>
      <c r="BJ132" s="2298" t="str">
        <f t="shared" si="59"/>
        <v>[Service]</v>
      </c>
      <c r="BK132" s="1719" t="str">
        <f t="shared" si="59"/>
        <v>[Price]</v>
      </c>
      <c r="BL132" s="2299" t="str">
        <f t="shared" ref="BL132:BZ132" si="127">IF(OR(X132="",X132=0),"-",IFERROR((X132/W132-1)*(W134/W$13),"-"))</f>
        <v>-</v>
      </c>
      <c r="BM132" s="1053" t="str">
        <f t="shared" si="127"/>
        <v>-</v>
      </c>
      <c r="BN132" s="1053" t="str">
        <f t="shared" si="127"/>
        <v>-</v>
      </c>
      <c r="BO132" s="2302" t="str">
        <f t="shared" si="127"/>
        <v>-</v>
      </c>
      <c r="BP132" s="1053" t="str">
        <f t="shared" si="127"/>
        <v>-</v>
      </c>
      <c r="BQ132" s="2303" t="str">
        <f t="shared" si="127"/>
        <v>-</v>
      </c>
      <c r="BR132" s="1053" t="str">
        <f t="shared" si="127"/>
        <v>-</v>
      </c>
      <c r="BS132" s="1053" t="str">
        <f t="shared" si="127"/>
        <v>-</v>
      </c>
      <c r="BT132" s="1053" t="str">
        <f t="shared" si="127"/>
        <v>-</v>
      </c>
      <c r="BU132" s="1054" t="str">
        <f t="shared" si="127"/>
        <v>-</v>
      </c>
      <c r="BV132" s="1053" t="str">
        <f t="shared" si="127"/>
        <v>-</v>
      </c>
      <c r="BW132" s="1053" t="str">
        <f t="shared" si="127"/>
        <v>-</v>
      </c>
      <c r="BX132" s="1053" t="str">
        <f t="shared" si="127"/>
        <v>-</v>
      </c>
      <c r="BY132" s="1053" t="str">
        <f t="shared" si="127"/>
        <v>-</v>
      </c>
      <c r="BZ132" s="1054" t="str">
        <f t="shared" si="127"/>
        <v>-</v>
      </c>
    </row>
    <row r="133" spans="3:78" x14ac:dyDescent="0.3">
      <c r="C133" s="126"/>
      <c r="D133" s="126"/>
      <c r="E133" s="558" t="s">
        <v>46</v>
      </c>
      <c r="F133" s="1722" t="str">
        <f>+F132</f>
        <v>[Service]</v>
      </c>
      <c r="G133" s="1724">
        <f>+G132</f>
        <v>0</v>
      </c>
      <c r="H133" s="1724">
        <f>+H132</f>
        <v>0</v>
      </c>
      <c r="I133" s="1725" t="str">
        <f>+I132</f>
        <v>[Price]</v>
      </c>
      <c r="J133" s="574" t="s">
        <v>323</v>
      </c>
      <c r="K133" s="1973"/>
      <c r="L133" s="1974"/>
      <c r="M133" s="1974"/>
      <c r="N133" s="1975"/>
      <c r="O133" s="1974"/>
      <c r="P133" s="1974"/>
      <c r="Q133" s="1974"/>
      <c r="R133" s="1976"/>
      <c r="S133" s="1980"/>
      <c r="T133" s="1976"/>
      <c r="U133" s="1976"/>
      <c r="V133" s="1976"/>
      <c r="W133" s="578"/>
      <c r="X133" s="1239"/>
      <c r="Y133" s="578"/>
      <c r="Z133" s="578"/>
      <c r="AA133" s="578"/>
      <c r="AB133" s="1143"/>
      <c r="AC133" s="578"/>
      <c r="AD133" s="578"/>
      <c r="AE133" s="578"/>
      <c r="AF133" s="578"/>
      <c r="AG133" s="580"/>
      <c r="AH133" s="579"/>
      <c r="AI133" s="578"/>
      <c r="AJ133" s="578"/>
      <c r="AK133" s="578"/>
      <c r="AL133" s="580"/>
      <c r="AN133" s="991"/>
      <c r="AP133" s="2285" t="str">
        <f t="shared" ref="AP133:AQ196" si="128">E133</f>
        <v>Qty</v>
      </c>
      <c r="AQ133" s="2286" t="str">
        <f t="shared" si="128"/>
        <v>[Service]</v>
      </c>
      <c r="AR133" s="2287" t="str">
        <f t="shared" ref="AR133:AR196" si="129">I133</f>
        <v>[Price]</v>
      </c>
      <c r="AS133" s="2288" t="str">
        <f t="shared" si="110"/>
        <v>-</v>
      </c>
      <c r="AT133" s="1720" t="str">
        <f t="shared" si="110"/>
        <v>-</v>
      </c>
      <c r="AU133" s="1720" t="str">
        <f t="shared" si="110"/>
        <v>-</v>
      </c>
      <c r="AV133" s="2289" t="str">
        <f t="shared" si="110"/>
        <v>-</v>
      </c>
      <c r="AW133" s="1720" t="str">
        <f t="shared" si="110"/>
        <v>-</v>
      </c>
      <c r="AX133" s="2290" t="str">
        <f t="shared" si="110"/>
        <v>-</v>
      </c>
      <c r="AY133" s="1720" t="str">
        <f t="shared" si="110"/>
        <v>-</v>
      </c>
      <c r="AZ133" s="1720" t="str">
        <f t="shared" si="110"/>
        <v>-</v>
      </c>
      <c r="BA133" s="1720" t="str">
        <f t="shared" si="110"/>
        <v>-</v>
      </c>
      <c r="BB133" s="1721" t="str">
        <f t="shared" si="110"/>
        <v>-</v>
      </c>
      <c r="BC133" s="1720" t="str">
        <f t="shared" si="110"/>
        <v>-</v>
      </c>
      <c r="BD133" s="1720" t="str">
        <f t="shared" si="110"/>
        <v>-</v>
      </c>
      <c r="BE133" s="1720" t="str">
        <f t="shared" si="110"/>
        <v>-</v>
      </c>
      <c r="BF133" s="1720" t="str">
        <f t="shared" si="110"/>
        <v>-</v>
      </c>
      <c r="BG133" s="1721" t="str">
        <f t="shared" si="110"/>
        <v>-</v>
      </c>
      <c r="BH133" s="1048"/>
      <c r="BI133" s="2285" t="str">
        <f t="shared" si="59"/>
        <v>Qty</v>
      </c>
      <c r="BJ133" s="2286" t="str">
        <f t="shared" si="59"/>
        <v>[Service]</v>
      </c>
      <c r="BK133" s="2287" t="str">
        <f t="shared" si="59"/>
        <v>[Price]</v>
      </c>
      <c r="BL133" s="2288" t="str">
        <f t="shared" ref="BL133:BZ133" si="130">IF(OR(X133="",X133=0),"-",IFERROR((X133/W133-1)*(W134/W$13),"-"))</f>
        <v>-</v>
      </c>
      <c r="BM133" s="1720" t="str">
        <f t="shared" si="130"/>
        <v>-</v>
      </c>
      <c r="BN133" s="1720" t="str">
        <f t="shared" si="130"/>
        <v>-</v>
      </c>
      <c r="BO133" s="2289" t="str">
        <f t="shared" si="130"/>
        <v>-</v>
      </c>
      <c r="BP133" s="1720" t="str">
        <f t="shared" si="130"/>
        <v>-</v>
      </c>
      <c r="BQ133" s="2290" t="str">
        <f t="shared" si="130"/>
        <v>-</v>
      </c>
      <c r="BR133" s="1720" t="str">
        <f t="shared" si="130"/>
        <v>-</v>
      </c>
      <c r="BS133" s="1720" t="str">
        <f t="shared" si="130"/>
        <v>-</v>
      </c>
      <c r="BT133" s="1720" t="str">
        <f t="shared" si="130"/>
        <v>-</v>
      </c>
      <c r="BU133" s="1721" t="str">
        <f t="shared" si="130"/>
        <v>-</v>
      </c>
      <c r="BV133" s="1720" t="str">
        <f t="shared" si="130"/>
        <v>-</v>
      </c>
      <c r="BW133" s="1720" t="str">
        <f t="shared" si="130"/>
        <v>-</v>
      </c>
      <c r="BX133" s="1720" t="str">
        <f t="shared" si="130"/>
        <v>-</v>
      </c>
      <c r="BY133" s="1720" t="str">
        <f t="shared" si="130"/>
        <v>-</v>
      </c>
      <c r="BZ133" s="1721" t="str">
        <f t="shared" si="130"/>
        <v>-</v>
      </c>
    </row>
    <row r="134" spans="3:78" ht="12.5" thickBot="1" x14ac:dyDescent="0.35">
      <c r="C134" s="126"/>
      <c r="D134" s="126"/>
      <c r="E134" s="559" t="s">
        <v>47</v>
      </c>
      <c r="F134" s="1723" t="str">
        <f>+F132</f>
        <v>[Service]</v>
      </c>
      <c r="G134" s="1726">
        <f>+G132</f>
        <v>0</v>
      </c>
      <c r="H134" s="1726">
        <f>+H132</f>
        <v>0</v>
      </c>
      <c r="I134" s="1727" t="str">
        <f>+I132</f>
        <v>[Price]</v>
      </c>
      <c r="J134" s="556" t="s">
        <v>347</v>
      </c>
      <c r="K134" s="1977"/>
      <c r="L134" s="1206"/>
      <c r="M134" s="1206"/>
      <c r="N134" s="1978"/>
      <c r="O134" s="1206"/>
      <c r="P134" s="1206"/>
      <c r="Q134" s="1206"/>
      <c r="R134" s="1206"/>
      <c r="S134" s="1978"/>
      <c r="T134" s="1206"/>
      <c r="U134" s="1206"/>
      <c r="V134" s="1206"/>
      <c r="W134" s="1731">
        <f t="shared" ref="W134:AG134" si="131">W132*W133/10^6</f>
        <v>0</v>
      </c>
      <c r="X134" s="1730">
        <f t="shared" si="131"/>
        <v>0</v>
      </c>
      <c r="Y134" s="1731">
        <f t="shared" si="131"/>
        <v>0</v>
      </c>
      <c r="Z134" s="1731">
        <f t="shared" si="131"/>
        <v>0</v>
      </c>
      <c r="AA134" s="1731">
        <f t="shared" si="131"/>
        <v>0</v>
      </c>
      <c r="AB134" s="1733">
        <f t="shared" si="131"/>
        <v>0</v>
      </c>
      <c r="AC134" s="1731">
        <f t="shared" si="131"/>
        <v>0</v>
      </c>
      <c r="AD134" s="1731">
        <f t="shared" si="131"/>
        <v>0</v>
      </c>
      <c r="AE134" s="1731">
        <f t="shared" si="131"/>
        <v>0</v>
      </c>
      <c r="AF134" s="1731">
        <f t="shared" si="131"/>
        <v>0</v>
      </c>
      <c r="AG134" s="1733">
        <f t="shared" si="131"/>
        <v>0</v>
      </c>
      <c r="AH134" s="1732">
        <f>AH132*AH133/10^6</f>
        <v>0</v>
      </c>
      <c r="AI134" s="1731">
        <f>AI132*AI133/10^6</f>
        <v>0</v>
      </c>
      <c r="AJ134" s="1731">
        <f>AJ132*AJ133/10^6</f>
        <v>0</v>
      </c>
      <c r="AK134" s="1731">
        <f>AK132*AK133/10^6</f>
        <v>0</v>
      </c>
      <c r="AL134" s="1733">
        <f>AL132*AL133/10^6</f>
        <v>0</v>
      </c>
      <c r="AN134" s="991"/>
      <c r="AP134" s="2304" t="str">
        <f t="shared" si="128"/>
        <v>Rev</v>
      </c>
      <c r="AQ134" s="2305" t="str">
        <f t="shared" si="128"/>
        <v>[Service]</v>
      </c>
      <c r="AR134" s="2306" t="str">
        <f t="shared" si="129"/>
        <v>[Price]</v>
      </c>
      <c r="AS134" s="2307" t="str">
        <f t="shared" si="110"/>
        <v>-</v>
      </c>
      <c r="AT134" s="1055" t="str">
        <f t="shared" si="110"/>
        <v>-</v>
      </c>
      <c r="AU134" s="1055" t="str">
        <f t="shared" si="110"/>
        <v>-</v>
      </c>
      <c r="AV134" s="2308" t="str">
        <f t="shared" si="110"/>
        <v>-</v>
      </c>
      <c r="AW134" s="1055" t="str">
        <f t="shared" si="110"/>
        <v>-</v>
      </c>
      <c r="AX134" s="2309" t="str">
        <f t="shared" si="110"/>
        <v>-</v>
      </c>
      <c r="AY134" s="1055" t="str">
        <f t="shared" si="110"/>
        <v>-</v>
      </c>
      <c r="AZ134" s="1055" t="str">
        <f t="shared" si="110"/>
        <v>-</v>
      </c>
      <c r="BA134" s="1055" t="str">
        <f t="shared" si="110"/>
        <v>-</v>
      </c>
      <c r="BB134" s="1056" t="str">
        <f t="shared" si="110"/>
        <v>-</v>
      </c>
      <c r="BC134" s="1055" t="str">
        <f t="shared" si="110"/>
        <v>-</v>
      </c>
      <c r="BD134" s="1055" t="str">
        <f t="shared" si="110"/>
        <v>-</v>
      </c>
      <c r="BE134" s="1055" t="str">
        <f t="shared" si="110"/>
        <v>-</v>
      </c>
      <c r="BF134" s="1055" t="str">
        <f t="shared" si="110"/>
        <v>-</v>
      </c>
      <c r="BG134" s="1056" t="str">
        <f t="shared" si="110"/>
        <v>-</v>
      </c>
      <c r="BH134" s="1048"/>
      <c r="BI134" s="2304" t="str">
        <f t="shared" si="59"/>
        <v>Rev</v>
      </c>
      <c r="BJ134" s="2305" t="str">
        <f t="shared" si="59"/>
        <v>[Service]</v>
      </c>
      <c r="BK134" s="2306" t="str">
        <f t="shared" si="59"/>
        <v>[Price]</v>
      </c>
      <c r="BL134" s="2307" t="str">
        <f t="shared" ref="BL134:BZ134" si="132">IF(OR(X134="",X134=0),"-",IFERROR((X134/W134-1)*(W134/W$13),"-"))</f>
        <v>-</v>
      </c>
      <c r="BM134" s="1055" t="str">
        <f t="shared" si="132"/>
        <v>-</v>
      </c>
      <c r="BN134" s="1055" t="str">
        <f t="shared" si="132"/>
        <v>-</v>
      </c>
      <c r="BO134" s="2308" t="str">
        <f t="shared" si="132"/>
        <v>-</v>
      </c>
      <c r="BP134" s="1055" t="str">
        <f t="shared" si="132"/>
        <v>-</v>
      </c>
      <c r="BQ134" s="2309" t="str">
        <f t="shared" si="132"/>
        <v>-</v>
      </c>
      <c r="BR134" s="1055" t="str">
        <f t="shared" si="132"/>
        <v>-</v>
      </c>
      <c r="BS134" s="1055" t="str">
        <f t="shared" si="132"/>
        <v>-</v>
      </c>
      <c r="BT134" s="1055" t="str">
        <f t="shared" si="132"/>
        <v>-</v>
      </c>
      <c r="BU134" s="1056" t="str">
        <f t="shared" si="132"/>
        <v>-</v>
      </c>
      <c r="BV134" s="1055" t="str">
        <f t="shared" si="132"/>
        <v>-</v>
      </c>
      <c r="BW134" s="1055" t="str">
        <f t="shared" si="132"/>
        <v>-</v>
      </c>
      <c r="BX134" s="1055" t="str">
        <f t="shared" si="132"/>
        <v>-</v>
      </c>
      <c r="BY134" s="1055" t="str">
        <f t="shared" si="132"/>
        <v>-</v>
      </c>
      <c r="BZ134" s="1056" t="str">
        <f t="shared" si="132"/>
        <v>-</v>
      </c>
    </row>
    <row r="135" spans="3:78" x14ac:dyDescent="0.3">
      <c r="C135" s="126"/>
      <c r="D135" s="126">
        <f>D132+1</f>
        <v>23</v>
      </c>
      <c r="E135" s="553" t="s">
        <v>45</v>
      </c>
      <c r="F135" s="581" t="s">
        <v>28</v>
      </c>
      <c r="G135" s="581"/>
      <c r="H135" s="581"/>
      <c r="I135" s="573" t="s">
        <v>319</v>
      </c>
      <c r="J135" s="573" t="s">
        <v>348</v>
      </c>
      <c r="K135" s="1969"/>
      <c r="L135" s="1970"/>
      <c r="M135" s="1970"/>
      <c r="N135" s="1971"/>
      <c r="O135" s="1970"/>
      <c r="P135" s="1970"/>
      <c r="Q135" s="1970"/>
      <c r="R135" s="1972"/>
      <c r="S135" s="1979"/>
      <c r="T135" s="1972"/>
      <c r="U135" s="1972"/>
      <c r="V135" s="1972"/>
      <c r="W135" s="575"/>
      <c r="X135" s="1238"/>
      <c r="Y135" s="575"/>
      <c r="Z135" s="575"/>
      <c r="AA135" s="575"/>
      <c r="AB135" s="1142"/>
      <c r="AC135" s="575"/>
      <c r="AD135" s="575"/>
      <c r="AE135" s="575"/>
      <c r="AF135" s="575"/>
      <c r="AG135" s="577"/>
      <c r="AH135" s="576"/>
      <c r="AI135" s="575"/>
      <c r="AJ135" s="575"/>
      <c r="AK135" s="575"/>
      <c r="AL135" s="577"/>
      <c r="AN135" s="1052"/>
      <c r="AP135" s="2297" t="str">
        <f t="shared" si="128"/>
        <v>Price</v>
      </c>
      <c r="AQ135" s="2298" t="str">
        <f t="shared" si="128"/>
        <v>[Service]</v>
      </c>
      <c r="AR135" s="1719" t="str">
        <f t="shared" si="129"/>
        <v>[Price]</v>
      </c>
      <c r="AS135" s="2299" t="str">
        <f t="shared" si="110"/>
        <v>-</v>
      </c>
      <c r="AT135" s="1728" t="str">
        <f t="shared" si="110"/>
        <v>-</v>
      </c>
      <c r="AU135" s="1728" t="str">
        <f t="shared" si="110"/>
        <v>-</v>
      </c>
      <c r="AV135" s="2300" t="str">
        <f t="shared" si="110"/>
        <v>-</v>
      </c>
      <c r="AW135" s="1728" t="str">
        <f t="shared" si="110"/>
        <v>-</v>
      </c>
      <c r="AX135" s="2301" t="str">
        <f t="shared" si="110"/>
        <v>-</v>
      </c>
      <c r="AY135" s="1728" t="str">
        <f t="shared" si="110"/>
        <v>-</v>
      </c>
      <c r="AZ135" s="1728" t="str">
        <f t="shared" si="110"/>
        <v>-</v>
      </c>
      <c r="BA135" s="1728" t="str">
        <f t="shared" si="110"/>
        <v>-</v>
      </c>
      <c r="BB135" s="1729" t="str">
        <f t="shared" si="110"/>
        <v>-</v>
      </c>
      <c r="BC135" s="1728" t="str">
        <f t="shared" si="110"/>
        <v>-</v>
      </c>
      <c r="BD135" s="1728" t="str">
        <f t="shared" si="110"/>
        <v>-</v>
      </c>
      <c r="BE135" s="1728" t="str">
        <f t="shared" si="110"/>
        <v>-</v>
      </c>
      <c r="BF135" s="1728" t="str">
        <f t="shared" si="110"/>
        <v>-</v>
      </c>
      <c r="BG135" s="1729" t="str">
        <f t="shared" si="110"/>
        <v>-</v>
      </c>
      <c r="BH135" s="1048"/>
      <c r="BI135" s="2297" t="str">
        <f t="shared" si="59"/>
        <v>Price</v>
      </c>
      <c r="BJ135" s="2298" t="str">
        <f t="shared" si="59"/>
        <v>[Service]</v>
      </c>
      <c r="BK135" s="1719" t="str">
        <f t="shared" si="59"/>
        <v>[Price]</v>
      </c>
      <c r="BL135" s="2299" t="str">
        <f t="shared" ref="BL135:BZ135" si="133">IF(OR(X135="",X135=0),"-",IFERROR((X135/W135-1)*(W137/W$13),"-"))</f>
        <v>-</v>
      </c>
      <c r="BM135" s="1053" t="str">
        <f t="shared" si="133"/>
        <v>-</v>
      </c>
      <c r="BN135" s="1053" t="str">
        <f t="shared" si="133"/>
        <v>-</v>
      </c>
      <c r="BO135" s="2302" t="str">
        <f t="shared" si="133"/>
        <v>-</v>
      </c>
      <c r="BP135" s="1053" t="str">
        <f t="shared" si="133"/>
        <v>-</v>
      </c>
      <c r="BQ135" s="2303" t="str">
        <f t="shared" si="133"/>
        <v>-</v>
      </c>
      <c r="BR135" s="1053" t="str">
        <f t="shared" si="133"/>
        <v>-</v>
      </c>
      <c r="BS135" s="1053" t="str">
        <f t="shared" si="133"/>
        <v>-</v>
      </c>
      <c r="BT135" s="1053" t="str">
        <f t="shared" si="133"/>
        <v>-</v>
      </c>
      <c r="BU135" s="1054" t="str">
        <f t="shared" si="133"/>
        <v>-</v>
      </c>
      <c r="BV135" s="1053" t="str">
        <f t="shared" si="133"/>
        <v>-</v>
      </c>
      <c r="BW135" s="1053" t="str">
        <f t="shared" si="133"/>
        <v>-</v>
      </c>
      <c r="BX135" s="1053" t="str">
        <f t="shared" si="133"/>
        <v>-</v>
      </c>
      <c r="BY135" s="1053" t="str">
        <f t="shared" si="133"/>
        <v>-</v>
      </c>
      <c r="BZ135" s="1054" t="str">
        <f t="shared" si="133"/>
        <v>-</v>
      </c>
    </row>
    <row r="136" spans="3:78" x14ac:dyDescent="0.3">
      <c r="C136" s="126"/>
      <c r="D136" s="126"/>
      <c r="E136" s="558" t="s">
        <v>46</v>
      </c>
      <c r="F136" s="1722" t="str">
        <f>+F135</f>
        <v>[Service]</v>
      </c>
      <c r="G136" s="1724">
        <f>+G135</f>
        <v>0</v>
      </c>
      <c r="H136" s="1724">
        <f>+H135</f>
        <v>0</v>
      </c>
      <c r="I136" s="1725" t="str">
        <f>+I135</f>
        <v>[Price]</v>
      </c>
      <c r="J136" s="574" t="s">
        <v>323</v>
      </c>
      <c r="K136" s="1973"/>
      <c r="L136" s="1974"/>
      <c r="M136" s="1974"/>
      <c r="N136" s="1975"/>
      <c r="O136" s="1974"/>
      <c r="P136" s="1974"/>
      <c r="Q136" s="1974"/>
      <c r="R136" s="1976"/>
      <c r="S136" s="1980"/>
      <c r="T136" s="1976"/>
      <c r="U136" s="1976"/>
      <c r="V136" s="1976"/>
      <c r="W136" s="578"/>
      <c r="X136" s="1239"/>
      <c r="Y136" s="578"/>
      <c r="Z136" s="578"/>
      <c r="AA136" s="578"/>
      <c r="AB136" s="1143"/>
      <c r="AC136" s="578"/>
      <c r="AD136" s="578"/>
      <c r="AE136" s="578"/>
      <c r="AF136" s="578"/>
      <c r="AG136" s="580"/>
      <c r="AH136" s="579"/>
      <c r="AI136" s="578"/>
      <c r="AJ136" s="578"/>
      <c r="AK136" s="578"/>
      <c r="AL136" s="580"/>
      <c r="AN136" s="991"/>
      <c r="AP136" s="2285" t="str">
        <f t="shared" si="128"/>
        <v>Qty</v>
      </c>
      <c r="AQ136" s="2286" t="str">
        <f t="shared" si="128"/>
        <v>[Service]</v>
      </c>
      <c r="AR136" s="2287" t="str">
        <f t="shared" si="129"/>
        <v>[Price]</v>
      </c>
      <c r="AS136" s="2288" t="str">
        <f t="shared" si="110"/>
        <v>-</v>
      </c>
      <c r="AT136" s="1720" t="str">
        <f t="shared" si="110"/>
        <v>-</v>
      </c>
      <c r="AU136" s="1720" t="str">
        <f t="shared" si="110"/>
        <v>-</v>
      </c>
      <c r="AV136" s="2289" t="str">
        <f t="shared" si="110"/>
        <v>-</v>
      </c>
      <c r="AW136" s="1720" t="str">
        <f t="shared" si="110"/>
        <v>-</v>
      </c>
      <c r="AX136" s="2290" t="str">
        <f t="shared" si="110"/>
        <v>-</v>
      </c>
      <c r="AY136" s="1720" t="str">
        <f t="shared" si="110"/>
        <v>-</v>
      </c>
      <c r="AZ136" s="1720" t="str">
        <f t="shared" si="110"/>
        <v>-</v>
      </c>
      <c r="BA136" s="1720" t="str">
        <f t="shared" si="110"/>
        <v>-</v>
      </c>
      <c r="BB136" s="1721" t="str">
        <f t="shared" si="110"/>
        <v>-</v>
      </c>
      <c r="BC136" s="1720" t="str">
        <f t="shared" si="110"/>
        <v>-</v>
      </c>
      <c r="BD136" s="1720" t="str">
        <f t="shared" si="110"/>
        <v>-</v>
      </c>
      <c r="BE136" s="1720" t="str">
        <f t="shared" si="110"/>
        <v>-</v>
      </c>
      <c r="BF136" s="1720" t="str">
        <f t="shared" si="110"/>
        <v>-</v>
      </c>
      <c r="BG136" s="1721" t="str">
        <f t="shared" si="110"/>
        <v>-</v>
      </c>
      <c r="BH136" s="1048"/>
      <c r="BI136" s="2285" t="str">
        <f t="shared" si="59"/>
        <v>Qty</v>
      </c>
      <c r="BJ136" s="2286" t="str">
        <f t="shared" si="59"/>
        <v>[Service]</v>
      </c>
      <c r="BK136" s="2287" t="str">
        <f t="shared" si="59"/>
        <v>[Price]</v>
      </c>
      <c r="BL136" s="2288" t="str">
        <f t="shared" ref="BL136:BZ136" si="134">IF(OR(X136="",X136=0),"-",IFERROR((X136/W136-1)*(W137/W$13),"-"))</f>
        <v>-</v>
      </c>
      <c r="BM136" s="1720" t="str">
        <f t="shared" si="134"/>
        <v>-</v>
      </c>
      <c r="BN136" s="1720" t="str">
        <f t="shared" si="134"/>
        <v>-</v>
      </c>
      <c r="BO136" s="2289" t="str">
        <f t="shared" si="134"/>
        <v>-</v>
      </c>
      <c r="BP136" s="1720" t="str">
        <f t="shared" si="134"/>
        <v>-</v>
      </c>
      <c r="BQ136" s="2290" t="str">
        <f t="shared" si="134"/>
        <v>-</v>
      </c>
      <c r="BR136" s="1720" t="str">
        <f t="shared" si="134"/>
        <v>-</v>
      </c>
      <c r="BS136" s="1720" t="str">
        <f t="shared" si="134"/>
        <v>-</v>
      </c>
      <c r="BT136" s="1720" t="str">
        <f t="shared" si="134"/>
        <v>-</v>
      </c>
      <c r="BU136" s="1721" t="str">
        <f t="shared" si="134"/>
        <v>-</v>
      </c>
      <c r="BV136" s="1720" t="str">
        <f t="shared" si="134"/>
        <v>-</v>
      </c>
      <c r="BW136" s="1720" t="str">
        <f t="shared" si="134"/>
        <v>-</v>
      </c>
      <c r="BX136" s="1720" t="str">
        <f t="shared" si="134"/>
        <v>-</v>
      </c>
      <c r="BY136" s="1720" t="str">
        <f t="shared" si="134"/>
        <v>-</v>
      </c>
      <c r="BZ136" s="1721" t="str">
        <f t="shared" si="134"/>
        <v>-</v>
      </c>
    </row>
    <row r="137" spans="3:78" ht="12.5" thickBot="1" x14ac:dyDescent="0.35">
      <c r="C137" s="126"/>
      <c r="D137" s="126"/>
      <c r="E137" s="559" t="s">
        <v>47</v>
      </c>
      <c r="F137" s="1723" t="str">
        <f>+F135</f>
        <v>[Service]</v>
      </c>
      <c r="G137" s="1726">
        <f>+G135</f>
        <v>0</v>
      </c>
      <c r="H137" s="1726">
        <f>+H135</f>
        <v>0</v>
      </c>
      <c r="I137" s="1727" t="str">
        <f>+I135</f>
        <v>[Price]</v>
      </c>
      <c r="J137" s="556" t="s">
        <v>347</v>
      </c>
      <c r="K137" s="1977"/>
      <c r="L137" s="1206"/>
      <c r="M137" s="1206"/>
      <c r="N137" s="1978"/>
      <c r="O137" s="1206"/>
      <c r="P137" s="1206"/>
      <c r="Q137" s="1206"/>
      <c r="R137" s="1206"/>
      <c r="S137" s="1978"/>
      <c r="T137" s="1206"/>
      <c r="U137" s="1206"/>
      <c r="V137" s="1206"/>
      <c r="W137" s="1731">
        <f t="shared" ref="W137:AG137" si="135">W135*W136/10^6</f>
        <v>0</v>
      </c>
      <c r="X137" s="1730">
        <f t="shared" si="135"/>
        <v>0</v>
      </c>
      <c r="Y137" s="1731">
        <f t="shared" si="135"/>
        <v>0</v>
      </c>
      <c r="Z137" s="1731">
        <f t="shared" si="135"/>
        <v>0</v>
      </c>
      <c r="AA137" s="1731">
        <f t="shared" si="135"/>
        <v>0</v>
      </c>
      <c r="AB137" s="1733">
        <f t="shared" si="135"/>
        <v>0</v>
      </c>
      <c r="AC137" s="1731">
        <f t="shared" si="135"/>
        <v>0</v>
      </c>
      <c r="AD137" s="1731">
        <f t="shared" si="135"/>
        <v>0</v>
      </c>
      <c r="AE137" s="1731">
        <f t="shared" si="135"/>
        <v>0</v>
      </c>
      <c r="AF137" s="1731">
        <f t="shared" si="135"/>
        <v>0</v>
      </c>
      <c r="AG137" s="1733">
        <f t="shared" si="135"/>
        <v>0</v>
      </c>
      <c r="AH137" s="1732">
        <f>AH135*AH136/10^6</f>
        <v>0</v>
      </c>
      <c r="AI137" s="1731">
        <f>AI135*AI136/10^6</f>
        <v>0</v>
      </c>
      <c r="AJ137" s="1731">
        <f>AJ135*AJ136/10^6</f>
        <v>0</v>
      </c>
      <c r="AK137" s="1731">
        <f>AK135*AK136/10^6</f>
        <v>0</v>
      </c>
      <c r="AL137" s="1733">
        <f>AL135*AL136/10^6</f>
        <v>0</v>
      </c>
      <c r="AN137" s="991"/>
      <c r="AP137" s="2304" t="str">
        <f t="shared" si="128"/>
        <v>Rev</v>
      </c>
      <c r="AQ137" s="2305" t="str">
        <f t="shared" si="128"/>
        <v>[Service]</v>
      </c>
      <c r="AR137" s="2306" t="str">
        <f t="shared" si="129"/>
        <v>[Price]</v>
      </c>
      <c r="AS137" s="2307" t="str">
        <f t="shared" ref="AS137:BG153" si="136">IF(OR(X137="",X137=0),"-",IFERROR(X137/W137-1,"-"))</f>
        <v>-</v>
      </c>
      <c r="AT137" s="1055" t="str">
        <f t="shared" si="136"/>
        <v>-</v>
      </c>
      <c r="AU137" s="1055" t="str">
        <f t="shared" si="136"/>
        <v>-</v>
      </c>
      <c r="AV137" s="2308" t="str">
        <f t="shared" si="136"/>
        <v>-</v>
      </c>
      <c r="AW137" s="1055" t="str">
        <f t="shared" si="136"/>
        <v>-</v>
      </c>
      <c r="AX137" s="2309" t="str">
        <f t="shared" si="136"/>
        <v>-</v>
      </c>
      <c r="AY137" s="1055" t="str">
        <f t="shared" si="136"/>
        <v>-</v>
      </c>
      <c r="AZ137" s="1055" t="str">
        <f t="shared" si="136"/>
        <v>-</v>
      </c>
      <c r="BA137" s="1055" t="str">
        <f t="shared" si="136"/>
        <v>-</v>
      </c>
      <c r="BB137" s="1056" t="str">
        <f t="shared" si="136"/>
        <v>-</v>
      </c>
      <c r="BC137" s="1055" t="str">
        <f t="shared" si="136"/>
        <v>-</v>
      </c>
      <c r="BD137" s="1055" t="str">
        <f t="shared" si="136"/>
        <v>-</v>
      </c>
      <c r="BE137" s="1055" t="str">
        <f t="shared" si="136"/>
        <v>-</v>
      </c>
      <c r="BF137" s="1055" t="str">
        <f t="shared" si="136"/>
        <v>-</v>
      </c>
      <c r="BG137" s="1056" t="str">
        <f t="shared" si="136"/>
        <v>-</v>
      </c>
      <c r="BH137" s="1048"/>
      <c r="BI137" s="2304" t="str">
        <f t="shared" si="59"/>
        <v>Rev</v>
      </c>
      <c r="BJ137" s="2305" t="str">
        <f t="shared" si="59"/>
        <v>[Service]</v>
      </c>
      <c r="BK137" s="2306" t="str">
        <f t="shared" si="59"/>
        <v>[Price]</v>
      </c>
      <c r="BL137" s="2307" t="str">
        <f t="shared" ref="BL137:BZ137" si="137">IF(OR(X137="",X137=0),"-",IFERROR((X137/W137-1)*(W137/W$13),"-"))</f>
        <v>-</v>
      </c>
      <c r="BM137" s="1055" t="str">
        <f t="shared" si="137"/>
        <v>-</v>
      </c>
      <c r="BN137" s="1055" t="str">
        <f t="shared" si="137"/>
        <v>-</v>
      </c>
      <c r="BO137" s="2308" t="str">
        <f t="shared" si="137"/>
        <v>-</v>
      </c>
      <c r="BP137" s="1055" t="str">
        <f t="shared" si="137"/>
        <v>-</v>
      </c>
      <c r="BQ137" s="2309" t="str">
        <f t="shared" si="137"/>
        <v>-</v>
      </c>
      <c r="BR137" s="1055" t="str">
        <f t="shared" si="137"/>
        <v>-</v>
      </c>
      <c r="BS137" s="1055" t="str">
        <f t="shared" si="137"/>
        <v>-</v>
      </c>
      <c r="BT137" s="1055" t="str">
        <f t="shared" si="137"/>
        <v>-</v>
      </c>
      <c r="BU137" s="1056" t="str">
        <f t="shared" si="137"/>
        <v>-</v>
      </c>
      <c r="BV137" s="1055" t="str">
        <f t="shared" si="137"/>
        <v>-</v>
      </c>
      <c r="BW137" s="1055" t="str">
        <f t="shared" si="137"/>
        <v>-</v>
      </c>
      <c r="BX137" s="1055" t="str">
        <f t="shared" si="137"/>
        <v>-</v>
      </c>
      <c r="BY137" s="1055" t="str">
        <f t="shared" si="137"/>
        <v>-</v>
      </c>
      <c r="BZ137" s="1056" t="str">
        <f t="shared" si="137"/>
        <v>-</v>
      </c>
    </row>
    <row r="138" spans="3:78" x14ac:dyDescent="0.3">
      <c r="C138" s="126"/>
      <c r="D138" s="126">
        <f>D135+1</f>
        <v>24</v>
      </c>
      <c r="E138" s="553" t="s">
        <v>45</v>
      </c>
      <c r="F138" s="581" t="s">
        <v>28</v>
      </c>
      <c r="G138" s="581"/>
      <c r="H138" s="581"/>
      <c r="I138" s="573" t="s">
        <v>319</v>
      </c>
      <c r="J138" s="573" t="s">
        <v>348</v>
      </c>
      <c r="K138" s="1969"/>
      <c r="L138" s="1970"/>
      <c r="M138" s="1970"/>
      <c r="N138" s="1971"/>
      <c r="O138" s="1970"/>
      <c r="P138" s="1970"/>
      <c r="Q138" s="1970"/>
      <c r="R138" s="1972"/>
      <c r="S138" s="1979"/>
      <c r="T138" s="1972"/>
      <c r="U138" s="1972"/>
      <c r="V138" s="1972"/>
      <c r="W138" s="575"/>
      <c r="X138" s="1238"/>
      <c r="Y138" s="575"/>
      <c r="Z138" s="575"/>
      <c r="AA138" s="575"/>
      <c r="AB138" s="1142"/>
      <c r="AC138" s="575"/>
      <c r="AD138" s="575"/>
      <c r="AE138" s="575"/>
      <c r="AF138" s="575"/>
      <c r="AG138" s="577"/>
      <c r="AH138" s="576"/>
      <c r="AI138" s="575"/>
      <c r="AJ138" s="575"/>
      <c r="AK138" s="575"/>
      <c r="AL138" s="577"/>
      <c r="AN138" s="1052"/>
      <c r="AP138" s="2297" t="str">
        <f t="shared" si="128"/>
        <v>Price</v>
      </c>
      <c r="AQ138" s="2298" t="str">
        <f t="shared" si="128"/>
        <v>[Service]</v>
      </c>
      <c r="AR138" s="1719" t="str">
        <f t="shared" si="129"/>
        <v>[Price]</v>
      </c>
      <c r="AS138" s="2299" t="str">
        <f t="shared" si="136"/>
        <v>-</v>
      </c>
      <c r="AT138" s="1728" t="str">
        <f t="shared" si="136"/>
        <v>-</v>
      </c>
      <c r="AU138" s="1728" t="str">
        <f t="shared" si="136"/>
        <v>-</v>
      </c>
      <c r="AV138" s="2300" t="str">
        <f t="shared" si="136"/>
        <v>-</v>
      </c>
      <c r="AW138" s="1728" t="str">
        <f t="shared" si="136"/>
        <v>-</v>
      </c>
      <c r="AX138" s="2301" t="str">
        <f t="shared" si="136"/>
        <v>-</v>
      </c>
      <c r="AY138" s="1728" t="str">
        <f t="shared" si="136"/>
        <v>-</v>
      </c>
      <c r="AZ138" s="1728" t="str">
        <f t="shared" si="136"/>
        <v>-</v>
      </c>
      <c r="BA138" s="1728" t="str">
        <f t="shared" si="136"/>
        <v>-</v>
      </c>
      <c r="BB138" s="1729" t="str">
        <f t="shared" si="136"/>
        <v>-</v>
      </c>
      <c r="BC138" s="1728" t="str">
        <f t="shared" si="136"/>
        <v>-</v>
      </c>
      <c r="BD138" s="1728" t="str">
        <f t="shared" si="136"/>
        <v>-</v>
      </c>
      <c r="BE138" s="1728" t="str">
        <f t="shared" si="136"/>
        <v>-</v>
      </c>
      <c r="BF138" s="1728" t="str">
        <f t="shared" si="136"/>
        <v>-</v>
      </c>
      <c r="BG138" s="1729" t="str">
        <f t="shared" si="136"/>
        <v>-</v>
      </c>
      <c r="BH138" s="1048"/>
      <c r="BI138" s="2297" t="str">
        <f t="shared" si="59"/>
        <v>Price</v>
      </c>
      <c r="BJ138" s="2298" t="str">
        <f t="shared" si="59"/>
        <v>[Service]</v>
      </c>
      <c r="BK138" s="1719" t="str">
        <f t="shared" si="59"/>
        <v>[Price]</v>
      </c>
      <c r="BL138" s="2299" t="str">
        <f t="shared" ref="BL138:BZ138" si="138">IF(OR(X138="",X138=0),"-",IFERROR((X138/W138-1)*(W140/W$13),"-"))</f>
        <v>-</v>
      </c>
      <c r="BM138" s="1053" t="str">
        <f t="shared" si="138"/>
        <v>-</v>
      </c>
      <c r="BN138" s="1053" t="str">
        <f t="shared" si="138"/>
        <v>-</v>
      </c>
      <c r="BO138" s="2302" t="str">
        <f t="shared" si="138"/>
        <v>-</v>
      </c>
      <c r="BP138" s="1053" t="str">
        <f t="shared" si="138"/>
        <v>-</v>
      </c>
      <c r="BQ138" s="2303" t="str">
        <f t="shared" si="138"/>
        <v>-</v>
      </c>
      <c r="BR138" s="1053" t="str">
        <f t="shared" si="138"/>
        <v>-</v>
      </c>
      <c r="BS138" s="1053" t="str">
        <f t="shared" si="138"/>
        <v>-</v>
      </c>
      <c r="BT138" s="1053" t="str">
        <f t="shared" si="138"/>
        <v>-</v>
      </c>
      <c r="BU138" s="1054" t="str">
        <f t="shared" si="138"/>
        <v>-</v>
      </c>
      <c r="BV138" s="1053" t="str">
        <f t="shared" si="138"/>
        <v>-</v>
      </c>
      <c r="BW138" s="1053" t="str">
        <f t="shared" si="138"/>
        <v>-</v>
      </c>
      <c r="BX138" s="1053" t="str">
        <f t="shared" si="138"/>
        <v>-</v>
      </c>
      <c r="BY138" s="1053" t="str">
        <f t="shared" si="138"/>
        <v>-</v>
      </c>
      <c r="BZ138" s="1054" t="str">
        <f t="shared" si="138"/>
        <v>-</v>
      </c>
    </row>
    <row r="139" spans="3:78" x14ac:dyDescent="0.3">
      <c r="C139" s="126"/>
      <c r="D139" s="126"/>
      <c r="E139" s="558" t="s">
        <v>46</v>
      </c>
      <c r="F139" s="1722" t="str">
        <f>+F138</f>
        <v>[Service]</v>
      </c>
      <c r="G139" s="1724">
        <f>+G138</f>
        <v>0</v>
      </c>
      <c r="H139" s="1724">
        <f>+H138</f>
        <v>0</v>
      </c>
      <c r="I139" s="1725" t="str">
        <f>+I138</f>
        <v>[Price]</v>
      </c>
      <c r="J139" s="574" t="s">
        <v>323</v>
      </c>
      <c r="K139" s="1973"/>
      <c r="L139" s="1974"/>
      <c r="M139" s="1974"/>
      <c r="N139" s="1975"/>
      <c r="O139" s="1974"/>
      <c r="P139" s="1974"/>
      <c r="Q139" s="1974"/>
      <c r="R139" s="1976"/>
      <c r="S139" s="1980"/>
      <c r="T139" s="1976"/>
      <c r="U139" s="1976"/>
      <c r="V139" s="1976"/>
      <c r="W139" s="578"/>
      <c r="X139" s="1239"/>
      <c r="Y139" s="578"/>
      <c r="Z139" s="578"/>
      <c r="AA139" s="578"/>
      <c r="AB139" s="1143"/>
      <c r="AC139" s="578"/>
      <c r="AD139" s="578"/>
      <c r="AE139" s="578"/>
      <c r="AF139" s="578"/>
      <c r="AG139" s="580"/>
      <c r="AH139" s="579"/>
      <c r="AI139" s="578"/>
      <c r="AJ139" s="578"/>
      <c r="AK139" s="578"/>
      <c r="AL139" s="580"/>
      <c r="AN139" s="991"/>
      <c r="AP139" s="2285" t="str">
        <f t="shared" si="128"/>
        <v>Qty</v>
      </c>
      <c r="AQ139" s="2286" t="str">
        <f t="shared" si="128"/>
        <v>[Service]</v>
      </c>
      <c r="AR139" s="2287" t="str">
        <f t="shared" si="129"/>
        <v>[Price]</v>
      </c>
      <c r="AS139" s="2288" t="str">
        <f t="shared" si="136"/>
        <v>-</v>
      </c>
      <c r="AT139" s="1720" t="str">
        <f t="shared" si="136"/>
        <v>-</v>
      </c>
      <c r="AU139" s="1720" t="str">
        <f t="shared" si="136"/>
        <v>-</v>
      </c>
      <c r="AV139" s="2289" t="str">
        <f t="shared" si="136"/>
        <v>-</v>
      </c>
      <c r="AW139" s="1720" t="str">
        <f t="shared" si="136"/>
        <v>-</v>
      </c>
      <c r="AX139" s="2290" t="str">
        <f t="shared" si="136"/>
        <v>-</v>
      </c>
      <c r="AY139" s="1720" t="str">
        <f t="shared" si="136"/>
        <v>-</v>
      </c>
      <c r="AZ139" s="1720" t="str">
        <f t="shared" si="136"/>
        <v>-</v>
      </c>
      <c r="BA139" s="1720" t="str">
        <f t="shared" si="136"/>
        <v>-</v>
      </c>
      <c r="BB139" s="1721" t="str">
        <f t="shared" si="136"/>
        <v>-</v>
      </c>
      <c r="BC139" s="1720" t="str">
        <f t="shared" si="136"/>
        <v>-</v>
      </c>
      <c r="BD139" s="1720" t="str">
        <f t="shared" si="136"/>
        <v>-</v>
      </c>
      <c r="BE139" s="1720" t="str">
        <f t="shared" si="136"/>
        <v>-</v>
      </c>
      <c r="BF139" s="1720" t="str">
        <f t="shared" si="136"/>
        <v>-</v>
      </c>
      <c r="BG139" s="1721" t="str">
        <f t="shared" si="136"/>
        <v>-</v>
      </c>
      <c r="BH139" s="1048"/>
      <c r="BI139" s="2285" t="str">
        <f t="shared" si="59"/>
        <v>Qty</v>
      </c>
      <c r="BJ139" s="2286" t="str">
        <f t="shared" si="59"/>
        <v>[Service]</v>
      </c>
      <c r="BK139" s="2287" t="str">
        <f t="shared" si="59"/>
        <v>[Price]</v>
      </c>
      <c r="BL139" s="2288" t="str">
        <f t="shared" ref="BL139:BZ139" si="139">IF(OR(X139="",X139=0),"-",IFERROR((X139/W139-1)*(W140/W$13),"-"))</f>
        <v>-</v>
      </c>
      <c r="BM139" s="1720" t="str">
        <f t="shared" si="139"/>
        <v>-</v>
      </c>
      <c r="BN139" s="1720" t="str">
        <f t="shared" si="139"/>
        <v>-</v>
      </c>
      <c r="BO139" s="2289" t="str">
        <f t="shared" si="139"/>
        <v>-</v>
      </c>
      <c r="BP139" s="1720" t="str">
        <f t="shared" si="139"/>
        <v>-</v>
      </c>
      <c r="BQ139" s="2290" t="str">
        <f t="shared" si="139"/>
        <v>-</v>
      </c>
      <c r="BR139" s="1720" t="str">
        <f t="shared" si="139"/>
        <v>-</v>
      </c>
      <c r="BS139" s="1720" t="str">
        <f t="shared" si="139"/>
        <v>-</v>
      </c>
      <c r="BT139" s="1720" t="str">
        <f t="shared" si="139"/>
        <v>-</v>
      </c>
      <c r="BU139" s="1721" t="str">
        <f t="shared" si="139"/>
        <v>-</v>
      </c>
      <c r="BV139" s="1720" t="str">
        <f t="shared" si="139"/>
        <v>-</v>
      </c>
      <c r="BW139" s="1720" t="str">
        <f t="shared" si="139"/>
        <v>-</v>
      </c>
      <c r="BX139" s="1720" t="str">
        <f t="shared" si="139"/>
        <v>-</v>
      </c>
      <c r="BY139" s="1720" t="str">
        <f t="shared" si="139"/>
        <v>-</v>
      </c>
      <c r="BZ139" s="1721" t="str">
        <f t="shared" si="139"/>
        <v>-</v>
      </c>
    </row>
    <row r="140" spans="3:78" ht="12.5" thickBot="1" x14ac:dyDescent="0.35">
      <c r="C140" s="126"/>
      <c r="D140" s="126"/>
      <c r="E140" s="559" t="s">
        <v>47</v>
      </c>
      <c r="F140" s="1723" t="str">
        <f>+F138</f>
        <v>[Service]</v>
      </c>
      <c r="G140" s="1726">
        <f>+G138</f>
        <v>0</v>
      </c>
      <c r="H140" s="1726">
        <f>+H138</f>
        <v>0</v>
      </c>
      <c r="I140" s="1727" t="str">
        <f>+I138</f>
        <v>[Price]</v>
      </c>
      <c r="J140" s="556" t="s">
        <v>347</v>
      </c>
      <c r="K140" s="1977"/>
      <c r="L140" s="1206"/>
      <c r="M140" s="1206"/>
      <c r="N140" s="1978"/>
      <c r="O140" s="1206"/>
      <c r="P140" s="1206"/>
      <c r="Q140" s="1206"/>
      <c r="R140" s="1206"/>
      <c r="S140" s="1978"/>
      <c r="T140" s="1206"/>
      <c r="U140" s="1206"/>
      <c r="V140" s="1206"/>
      <c r="W140" s="1731">
        <f t="shared" ref="W140:AG140" si="140">W138*W139/10^6</f>
        <v>0</v>
      </c>
      <c r="X140" s="1730">
        <f t="shared" si="140"/>
        <v>0</v>
      </c>
      <c r="Y140" s="1731">
        <f t="shared" si="140"/>
        <v>0</v>
      </c>
      <c r="Z140" s="1731">
        <f t="shared" si="140"/>
        <v>0</v>
      </c>
      <c r="AA140" s="1731">
        <f t="shared" si="140"/>
        <v>0</v>
      </c>
      <c r="AB140" s="1733">
        <f t="shared" si="140"/>
        <v>0</v>
      </c>
      <c r="AC140" s="1731">
        <f t="shared" si="140"/>
        <v>0</v>
      </c>
      <c r="AD140" s="1731">
        <f t="shared" si="140"/>
        <v>0</v>
      </c>
      <c r="AE140" s="1731">
        <f t="shared" si="140"/>
        <v>0</v>
      </c>
      <c r="AF140" s="1731">
        <f t="shared" si="140"/>
        <v>0</v>
      </c>
      <c r="AG140" s="1733">
        <f t="shared" si="140"/>
        <v>0</v>
      </c>
      <c r="AH140" s="1732">
        <f>AH138*AH139/10^6</f>
        <v>0</v>
      </c>
      <c r="AI140" s="1731">
        <f>AI138*AI139/10^6</f>
        <v>0</v>
      </c>
      <c r="AJ140" s="1731">
        <f>AJ138*AJ139/10^6</f>
        <v>0</v>
      </c>
      <c r="AK140" s="1731">
        <f>AK138*AK139/10^6</f>
        <v>0</v>
      </c>
      <c r="AL140" s="1733">
        <f>AL138*AL139/10^6</f>
        <v>0</v>
      </c>
      <c r="AN140" s="991"/>
      <c r="AP140" s="2304" t="str">
        <f t="shared" si="128"/>
        <v>Rev</v>
      </c>
      <c r="AQ140" s="2305" t="str">
        <f t="shared" si="128"/>
        <v>[Service]</v>
      </c>
      <c r="AR140" s="2306" t="str">
        <f t="shared" si="129"/>
        <v>[Price]</v>
      </c>
      <c r="AS140" s="2307" t="str">
        <f t="shared" si="136"/>
        <v>-</v>
      </c>
      <c r="AT140" s="1055" t="str">
        <f t="shared" si="136"/>
        <v>-</v>
      </c>
      <c r="AU140" s="1055" t="str">
        <f t="shared" si="136"/>
        <v>-</v>
      </c>
      <c r="AV140" s="2308" t="str">
        <f t="shared" si="136"/>
        <v>-</v>
      </c>
      <c r="AW140" s="1055" t="str">
        <f t="shared" si="136"/>
        <v>-</v>
      </c>
      <c r="AX140" s="2309" t="str">
        <f t="shared" si="136"/>
        <v>-</v>
      </c>
      <c r="AY140" s="1055" t="str">
        <f t="shared" si="136"/>
        <v>-</v>
      </c>
      <c r="AZ140" s="1055" t="str">
        <f t="shared" si="136"/>
        <v>-</v>
      </c>
      <c r="BA140" s="1055" t="str">
        <f t="shared" si="136"/>
        <v>-</v>
      </c>
      <c r="BB140" s="1056" t="str">
        <f t="shared" si="136"/>
        <v>-</v>
      </c>
      <c r="BC140" s="1055" t="str">
        <f t="shared" si="136"/>
        <v>-</v>
      </c>
      <c r="BD140" s="1055" t="str">
        <f t="shared" si="136"/>
        <v>-</v>
      </c>
      <c r="BE140" s="1055" t="str">
        <f t="shared" si="136"/>
        <v>-</v>
      </c>
      <c r="BF140" s="1055" t="str">
        <f t="shared" si="136"/>
        <v>-</v>
      </c>
      <c r="BG140" s="1056" t="str">
        <f t="shared" si="136"/>
        <v>-</v>
      </c>
      <c r="BH140" s="1048"/>
      <c r="BI140" s="2304" t="str">
        <f t="shared" si="59"/>
        <v>Rev</v>
      </c>
      <c r="BJ140" s="2305" t="str">
        <f t="shared" si="59"/>
        <v>[Service]</v>
      </c>
      <c r="BK140" s="2306" t="str">
        <f t="shared" si="59"/>
        <v>[Price]</v>
      </c>
      <c r="BL140" s="2307" t="str">
        <f t="shared" ref="BL140:BZ140" si="141">IF(OR(X140="",X140=0),"-",IFERROR((X140/W140-1)*(W140/W$13),"-"))</f>
        <v>-</v>
      </c>
      <c r="BM140" s="1055" t="str">
        <f t="shared" si="141"/>
        <v>-</v>
      </c>
      <c r="BN140" s="1055" t="str">
        <f t="shared" si="141"/>
        <v>-</v>
      </c>
      <c r="BO140" s="2308" t="str">
        <f t="shared" si="141"/>
        <v>-</v>
      </c>
      <c r="BP140" s="1055" t="str">
        <f t="shared" si="141"/>
        <v>-</v>
      </c>
      <c r="BQ140" s="2309" t="str">
        <f t="shared" si="141"/>
        <v>-</v>
      </c>
      <c r="BR140" s="1055" t="str">
        <f t="shared" si="141"/>
        <v>-</v>
      </c>
      <c r="BS140" s="1055" t="str">
        <f t="shared" si="141"/>
        <v>-</v>
      </c>
      <c r="BT140" s="1055" t="str">
        <f t="shared" si="141"/>
        <v>-</v>
      </c>
      <c r="BU140" s="1056" t="str">
        <f t="shared" si="141"/>
        <v>-</v>
      </c>
      <c r="BV140" s="1055" t="str">
        <f t="shared" si="141"/>
        <v>-</v>
      </c>
      <c r="BW140" s="1055" t="str">
        <f t="shared" si="141"/>
        <v>-</v>
      </c>
      <c r="BX140" s="1055" t="str">
        <f t="shared" si="141"/>
        <v>-</v>
      </c>
      <c r="BY140" s="1055" t="str">
        <f t="shared" si="141"/>
        <v>-</v>
      </c>
      <c r="BZ140" s="1056" t="str">
        <f t="shared" si="141"/>
        <v>-</v>
      </c>
    </row>
    <row r="141" spans="3:78" x14ac:dyDescent="0.3">
      <c r="C141" s="126"/>
      <c r="D141" s="126">
        <f>D138+1</f>
        <v>25</v>
      </c>
      <c r="E141" s="553" t="s">
        <v>45</v>
      </c>
      <c r="F141" s="581" t="s">
        <v>28</v>
      </c>
      <c r="G141" s="581"/>
      <c r="H141" s="581"/>
      <c r="I141" s="573" t="s">
        <v>319</v>
      </c>
      <c r="J141" s="573" t="s">
        <v>348</v>
      </c>
      <c r="K141" s="1969"/>
      <c r="L141" s="1970"/>
      <c r="M141" s="1970"/>
      <c r="N141" s="1971"/>
      <c r="O141" s="1970"/>
      <c r="P141" s="1970"/>
      <c r="Q141" s="1970"/>
      <c r="R141" s="1972"/>
      <c r="S141" s="1979"/>
      <c r="T141" s="1972"/>
      <c r="U141" s="1972"/>
      <c r="V141" s="1972"/>
      <c r="W141" s="575"/>
      <c r="X141" s="1238"/>
      <c r="Y141" s="575"/>
      <c r="Z141" s="575"/>
      <c r="AA141" s="575"/>
      <c r="AB141" s="1142"/>
      <c r="AC141" s="575"/>
      <c r="AD141" s="575"/>
      <c r="AE141" s="575"/>
      <c r="AF141" s="575"/>
      <c r="AG141" s="577"/>
      <c r="AH141" s="576"/>
      <c r="AI141" s="575"/>
      <c r="AJ141" s="575"/>
      <c r="AK141" s="575"/>
      <c r="AL141" s="577"/>
      <c r="AN141" s="1052"/>
      <c r="AP141" s="2297" t="str">
        <f t="shared" si="128"/>
        <v>Price</v>
      </c>
      <c r="AQ141" s="2298" t="str">
        <f t="shared" si="128"/>
        <v>[Service]</v>
      </c>
      <c r="AR141" s="1719" t="str">
        <f t="shared" si="129"/>
        <v>[Price]</v>
      </c>
      <c r="AS141" s="2299" t="str">
        <f t="shared" si="136"/>
        <v>-</v>
      </c>
      <c r="AT141" s="1728" t="str">
        <f t="shared" si="136"/>
        <v>-</v>
      </c>
      <c r="AU141" s="1728" t="str">
        <f t="shared" si="136"/>
        <v>-</v>
      </c>
      <c r="AV141" s="2300" t="str">
        <f t="shared" si="136"/>
        <v>-</v>
      </c>
      <c r="AW141" s="1728" t="str">
        <f t="shared" si="136"/>
        <v>-</v>
      </c>
      <c r="AX141" s="2301" t="str">
        <f t="shared" si="136"/>
        <v>-</v>
      </c>
      <c r="AY141" s="1728" t="str">
        <f t="shared" si="136"/>
        <v>-</v>
      </c>
      <c r="AZ141" s="1728" t="str">
        <f t="shared" si="136"/>
        <v>-</v>
      </c>
      <c r="BA141" s="1728" t="str">
        <f t="shared" si="136"/>
        <v>-</v>
      </c>
      <c r="BB141" s="1729" t="str">
        <f t="shared" si="136"/>
        <v>-</v>
      </c>
      <c r="BC141" s="1728" t="str">
        <f t="shared" si="136"/>
        <v>-</v>
      </c>
      <c r="BD141" s="1728" t="str">
        <f t="shared" si="136"/>
        <v>-</v>
      </c>
      <c r="BE141" s="1728" t="str">
        <f t="shared" si="136"/>
        <v>-</v>
      </c>
      <c r="BF141" s="1728" t="str">
        <f t="shared" si="136"/>
        <v>-</v>
      </c>
      <c r="BG141" s="1729" t="str">
        <f t="shared" si="136"/>
        <v>-</v>
      </c>
      <c r="BH141" s="1048"/>
      <c r="BI141" s="2297" t="str">
        <f t="shared" si="59"/>
        <v>Price</v>
      </c>
      <c r="BJ141" s="2298" t="str">
        <f t="shared" si="59"/>
        <v>[Service]</v>
      </c>
      <c r="BK141" s="1719" t="str">
        <f t="shared" si="59"/>
        <v>[Price]</v>
      </c>
      <c r="BL141" s="2299" t="str">
        <f t="shared" ref="BL141:BZ141" si="142">IF(OR(X141="",X141=0),"-",IFERROR((X141/W141-1)*(W143/W$13),"-"))</f>
        <v>-</v>
      </c>
      <c r="BM141" s="1053" t="str">
        <f t="shared" si="142"/>
        <v>-</v>
      </c>
      <c r="BN141" s="1053" t="str">
        <f t="shared" si="142"/>
        <v>-</v>
      </c>
      <c r="BO141" s="2302" t="str">
        <f t="shared" si="142"/>
        <v>-</v>
      </c>
      <c r="BP141" s="1053" t="str">
        <f t="shared" si="142"/>
        <v>-</v>
      </c>
      <c r="BQ141" s="2303" t="str">
        <f t="shared" si="142"/>
        <v>-</v>
      </c>
      <c r="BR141" s="1053" t="str">
        <f t="shared" si="142"/>
        <v>-</v>
      </c>
      <c r="BS141" s="1053" t="str">
        <f t="shared" si="142"/>
        <v>-</v>
      </c>
      <c r="BT141" s="1053" t="str">
        <f t="shared" si="142"/>
        <v>-</v>
      </c>
      <c r="BU141" s="1054" t="str">
        <f t="shared" si="142"/>
        <v>-</v>
      </c>
      <c r="BV141" s="1053" t="str">
        <f t="shared" si="142"/>
        <v>-</v>
      </c>
      <c r="BW141" s="1053" t="str">
        <f t="shared" si="142"/>
        <v>-</v>
      </c>
      <c r="BX141" s="1053" t="str">
        <f t="shared" si="142"/>
        <v>-</v>
      </c>
      <c r="BY141" s="1053" t="str">
        <f t="shared" si="142"/>
        <v>-</v>
      </c>
      <c r="BZ141" s="1054" t="str">
        <f t="shared" si="142"/>
        <v>-</v>
      </c>
    </row>
    <row r="142" spans="3:78" x14ac:dyDescent="0.3">
      <c r="C142" s="126"/>
      <c r="D142" s="126"/>
      <c r="E142" s="558" t="s">
        <v>46</v>
      </c>
      <c r="F142" s="1722" t="str">
        <f>+F141</f>
        <v>[Service]</v>
      </c>
      <c r="G142" s="1724">
        <f>+G141</f>
        <v>0</v>
      </c>
      <c r="H142" s="1724">
        <f>+H141</f>
        <v>0</v>
      </c>
      <c r="I142" s="1725" t="str">
        <f>+I141</f>
        <v>[Price]</v>
      </c>
      <c r="J142" s="574" t="s">
        <v>323</v>
      </c>
      <c r="K142" s="1973"/>
      <c r="L142" s="1974"/>
      <c r="M142" s="1974"/>
      <c r="N142" s="1975"/>
      <c r="O142" s="1974"/>
      <c r="P142" s="1974"/>
      <c r="Q142" s="1974"/>
      <c r="R142" s="1976"/>
      <c r="S142" s="1980"/>
      <c r="T142" s="1976"/>
      <c r="U142" s="1976"/>
      <c r="V142" s="1976"/>
      <c r="W142" s="578"/>
      <c r="X142" s="1239"/>
      <c r="Y142" s="578"/>
      <c r="Z142" s="578"/>
      <c r="AA142" s="578"/>
      <c r="AB142" s="1143"/>
      <c r="AC142" s="578"/>
      <c r="AD142" s="578"/>
      <c r="AE142" s="578"/>
      <c r="AF142" s="578"/>
      <c r="AG142" s="580"/>
      <c r="AH142" s="579"/>
      <c r="AI142" s="578"/>
      <c r="AJ142" s="578"/>
      <c r="AK142" s="578"/>
      <c r="AL142" s="580"/>
      <c r="AN142" s="991"/>
      <c r="AP142" s="2285" t="str">
        <f t="shared" si="128"/>
        <v>Qty</v>
      </c>
      <c r="AQ142" s="2286" t="str">
        <f t="shared" si="128"/>
        <v>[Service]</v>
      </c>
      <c r="AR142" s="2287" t="str">
        <f t="shared" si="129"/>
        <v>[Price]</v>
      </c>
      <c r="AS142" s="2288" t="str">
        <f t="shared" si="136"/>
        <v>-</v>
      </c>
      <c r="AT142" s="1720" t="str">
        <f t="shared" si="136"/>
        <v>-</v>
      </c>
      <c r="AU142" s="1720" t="str">
        <f t="shared" si="136"/>
        <v>-</v>
      </c>
      <c r="AV142" s="2289" t="str">
        <f t="shared" si="136"/>
        <v>-</v>
      </c>
      <c r="AW142" s="1720" t="str">
        <f t="shared" si="136"/>
        <v>-</v>
      </c>
      <c r="AX142" s="2290" t="str">
        <f t="shared" si="136"/>
        <v>-</v>
      </c>
      <c r="AY142" s="1720" t="str">
        <f t="shared" si="136"/>
        <v>-</v>
      </c>
      <c r="AZ142" s="1720" t="str">
        <f t="shared" si="136"/>
        <v>-</v>
      </c>
      <c r="BA142" s="1720" t="str">
        <f t="shared" si="136"/>
        <v>-</v>
      </c>
      <c r="BB142" s="1721" t="str">
        <f t="shared" si="136"/>
        <v>-</v>
      </c>
      <c r="BC142" s="1720" t="str">
        <f t="shared" si="136"/>
        <v>-</v>
      </c>
      <c r="BD142" s="1720" t="str">
        <f t="shared" si="136"/>
        <v>-</v>
      </c>
      <c r="BE142" s="1720" t="str">
        <f t="shared" si="136"/>
        <v>-</v>
      </c>
      <c r="BF142" s="1720" t="str">
        <f t="shared" si="136"/>
        <v>-</v>
      </c>
      <c r="BG142" s="1721" t="str">
        <f t="shared" si="136"/>
        <v>-</v>
      </c>
      <c r="BH142" s="1048"/>
      <c r="BI142" s="2285" t="str">
        <f t="shared" si="59"/>
        <v>Qty</v>
      </c>
      <c r="BJ142" s="2286" t="str">
        <f t="shared" si="59"/>
        <v>[Service]</v>
      </c>
      <c r="BK142" s="2287" t="str">
        <f t="shared" si="59"/>
        <v>[Price]</v>
      </c>
      <c r="BL142" s="2288" t="str">
        <f t="shared" ref="BL142:BZ142" si="143">IF(OR(X142="",X142=0),"-",IFERROR((X142/W142-1)*(W143/W$13),"-"))</f>
        <v>-</v>
      </c>
      <c r="BM142" s="1720" t="str">
        <f t="shared" si="143"/>
        <v>-</v>
      </c>
      <c r="BN142" s="1720" t="str">
        <f t="shared" si="143"/>
        <v>-</v>
      </c>
      <c r="BO142" s="2289" t="str">
        <f t="shared" si="143"/>
        <v>-</v>
      </c>
      <c r="BP142" s="1720" t="str">
        <f t="shared" si="143"/>
        <v>-</v>
      </c>
      <c r="BQ142" s="2290" t="str">
        <f t="shared" si="143"/>
        <v>-</v>
      </c>
      <c r="BR142" s="1720" t="str">
        <f t="shared" si="143"/>
        <v>-</v>
      </c>
      <c r="BS142" s="1720" t="str">
        <f t="shared" si="143"/>
        <v>-</v>
      </c>
      <c r="BT142" s="1720" t="str">
        <f t="shared" si="143"/>
        <v>-</v>
      </c>
      <c r="BU142" s="1721" t="str">
        <f t="shared" si="143"/>
        <v>-</v>
      </c>
      <c r="BV142" s="1720" t="str">
        <f t="shared" si="143"/>
        <v>-</v>
      </c>
      <c r="BW142" s="1720" t="str">
        <f t="shared" si="143"/>
        <v>-</v>
      </c>
      <c r="BX142" s="1720" t="str">
        <f t="shared" si="143"/>
        <v>-</v>
      </c>
      <c r="BY142" s="1720" t="str">
        <f t="shared" si="143"/>
        <v>-</v>
      </c>
      <c r="BZ142" s="1721" t="str">
        <f t="shared" si="143"/>
        <v>-</v>
      </c>
    </row>
    <row r="143" spans="3:78" ht="12.5" thickBot="1" x14ac:dyDescent="0.35">
      <c r="C143" s="126"/>
      <c r="D143" s="126"/>
      <c r="E143" s="559" t="s">
        <v>47</v>
      </c>
      <c r="F143" s="1723" t="str">
        <f>+F141</f>
        <v>[Service]</v>
      </c>
      <c r="G143" s="1726">
        <f>+G141</f>
        <v>0</v>
      </c>
      <c r="H143" s="1726">
        <f>+H141</f>
        <v>0</v>
      </c>
      <c r="I143" s="1727" t="str">
        <f>+I141</f>
        <v>[Price]</v>
      </c>
      <c r="J143" s="556" t="s">
        <v>347</v>
      </c>
      <c r="K143" s="1977"/>
      <c r="L143" s="1206"/>
      <c r="M143" s="1206"/>
      <c r="N143" s="1978"/>
      <c r="O143" s="1206"/>
      <c r="P143" s="1206"/>
      <c r="Q143" s="1206"/>
      <c r="R143" s="1206"/>
      <c r="S143" s="1978"/>
      <c r="T143" s="1206"/>
      <c r="U143" s="1206"/>
      <c r="V143" s="1206"/>
      <c r="W143" s="1731">
        <f t="shared" ref="W143:AG143" si="144">W141*W142/10^6</f>
        <v>0</v>
      </c>
      <c r="X143" s="1730">
        <f t="shared" si="144"/>
        <v>0</v>
      </c>
      <c r="Y143" s="1731">
        <f t="shared" si="144"/>
        <v>0</v>
      </c>
      <c r="Z143" s="1731">
        <f t="shared" si="144"/>
        <v>0</v>
      </c>
      <c r="AA143" s="1731">
        <f t="shared" si="144"/>
        <v>0</v>
      </c>
      <c r="AB143" s="1733">
        <f t="shared" si="144"/>
        <v>0</v>
      </c>
      <c r="AC143" s="1731">
        <f t="shared" si="144"/>
        <v>0</v>
      </c>
      <c r="AD143" s="1731">
        <f t="shared" si="144"/>
        <v>0</v>
      </c>
      <c r="AE143" s="1731">
        <f t="shared" si="144"/>
        <v>0</v>
      </c>
      <c r="AF143" s="1731">
        <f t="shared" si="144"/>
        <v>0</v>
      </c>
      <c r="AG143" s="1733">
        <f t="shared" si="144"/>
        <v>0</v>
      </c>
      <c r="AH143" s="1732">
        <f>AH141*AH142/10^6</f>
        <v>0</v>
      </c>
      <c r="AI143" s="1731">
        <f>AI141*AI142/10^6</f>
        <v>0</v>
      </c>
      <c r="AJ143" s="1731">
        <f>AJ141*AJ142/10^6</f>
        <v>0</v>
      </c>
      <c r="AK143" s="1731">
        <f>AK141*AK142/10^6</f>
        <v>0</v>
      </c>
      <c r="AL143" s="1733">
        <f>AL141*AL142/10^6</f>
        <v>0</v>
      </c>
      <c r="AN143" s="991"/>
      <c r="AP143" s="2304" t="str">
        <f t="shared" si="128"/>
        <v>Rev</v>
      </c>
      <c r="AQ143" s="2305" t="str">
        <f t="shared" si="128"/>
        <v>[Service]</v>
      </c>
      <c r="AR143" s="2306" t="str">
        <f t="shared" si="129"/>
        <v>[Price]</v>
      </c>
      <c r="AS143" s="2307" t="str">
        <f t="shared" si="136"/>
        <v>-</v>
      </c>
      <c r="AT143" s="1055" t="str">
        <f t="shared" si="136"/>
        <v>-</v>
      </c>
      <c r="AU143" s="1055" t="str">
        <f t="shared" si="136"/>
        <v>-</v>
      </c>
      <c r="AV143" s="2308" t="str">
        <f t="shared" si="136"/>
        <v>-</v>
      </c>
      <c r="AW143" s="1055" t="str">
        <f t="shared" si="136"/>
        <v>-</v>
      </c>
      <c r="AX143" s="2309" t="str">
        <f t="shared" si="136"/>
        <v>-</v>
      </c>
      <c r="AY143" s="1055" t="str">
        <f t="shared" si="136"/>
        <v>-</v>
      </c>
      <c r="AZ143" s="1055" t="str">
        <f t="shared" si="136"/>
        <v>-</v>
      </c>
      <c r="BA143" s="1055" t="str">
        <f t="shared" si="136"/>
        <v>-</v>
      </c>
      <c r="BB143" s="1056" t="str">
        <f t="shared" si="136"/>
        <v>-</v>
      </c>
      <c r="BC143" s="1055" t="str">
        <f t="shared" si="136"/>
        <v>-</v>
      </c>
      <c r="BD143" s="1055" t="str">
        <f t="shared" si="136"/>
        <v>-</v>
      </c>
      <c r="BE143" s="1055" t="str">
        <f t="shared" si="136"/>
        <v>-</v>
      </c>
      <c r="BF143" s="1055" t="str">
        <f t="shared" si="136"/>
        <v>-</v>
      </c>
      <c r="BG143" s="1056" t="str">
        <f t="shared" si="136"/>
        <v>-</v>
      </c>
      <c r="BH143" s="1048"/>
      <c r="BI143" s="2304" t="str">
        <f t="shared" si="59"/>
        <v>Rev</v>
      </c>
      <c r="BJ143" s="2305" t="str">
        <f t="shared" si="59"/>
        <v>[Service]</v>
      </c>
      <c r="BK143" s="2306" t="str">
        <f t="shared" si="59"/>
        <v>[Price]</v>
      </c>
      <c r="BL143" s="2307" t="str">
        <f t="shared" ref="BL143:BZ143" si="145">IF(OR(X143="",X143=0),"-",IFERROR((X143/W143-1)*(W143/W$13),"-"))</f>
        <v>-</v>
      </c>
      <c r="BM143" s="1055" t="str">
        <f t="shared" si="145"/>
        <v>-</v>
      </c>
      <c r="BN143" s="1055" t="str">
        <f t="shared" si="145"/>
        <v>-</v>
      </c>
      <c r="BO143" s="2308" t="str">
        <f t="shared" si="145"/>
        <v>-</v>
      </c>
      <c r="BP143" s="1055" t="str">
        <f t="shared" si="145"/>
        <v>-</v>
      </c>
      <c r="BQ143" s="2309" t="str">
        <f t="shared" si="145"/>
        <v>-</v>
      </c>
      <c r="BR143" s="1055" t="str">
        <f t="shared" si="145"/>
        <v>-</v>
      </c>
      <c r="BS143" s="1055" t="str">
        <f t="shared" si="145"/>
        <v>-</v>
      </c>
      <c r="BT143" s="1055" t="str">
        <f t="shared" si="145"/>
        <v>-</v>
      </c>
      <c r="BU143" s="1056" t="str">
        <f t="shared" si="145"/>
        <v>-</v>
      </c>
      <c r="BV143" s="1055" t="str">
        <f t="shared" si="145"/>
        <v>-</v>
      </c>
      <c r="BW143" s="1055" t="str">
        <f t="shared" si="145"/>
        <v>-</v>
      </c>
      <c r="BX143" s="1055" t="str">
        <f t="shared" si="145"/>
        <v>-</v>
      </c>
      <c r="BY143" s="1055" t="str">
        <f t="shared" si="145"/>
        <v>-</v>
      </c>
      <c r="BZ143" s="1056" t="str">
        <f t="shared" si="145"/>
        <v>-</v>
      </c>
    </row>
    <row r="144" spans="3:78" x14ac:dyDescent="0.3">
      <c r="C144" s="126"/>
      <c r="D144" s="126">
        <f>D141+1</f>
        <v>26</v>
      </c>
      <c r="E144" s="553" t="s">
        <v>45</v>
      </c>
      <c r="F144" s="581" t="s">
        <v>28</v>
      </c>
      <c r="G144" s="581"/>
      <c r="H144" s="581"/>
      <c r="I144" s="573" t="s">
        <v>319</v>
      </c>
      <c r="J144" s="573" t="s">
        <v>348</v>
      </c>
      <c r="K144" s="1969"/>
      <c r="L144" s="1970"/>
      <c r="M144" s="1970"/>
      <c r="N144" s="1971"/>
      <c r="O144" s="1970"/>
      <c r="P144" s="1970"/>
      <c r="Q144" s="1970"/>
      <c r="R144" s="1972"/>
      <c r="S144" s="1979"/>
      <c r="T144" s="1972"/>
      <c r="U144" s="1972"/>
      <c r="V144" s="1972"/>
      <c r="W144" s="575"/>
      <c r="X144" s="1238"/>
      <c r="Y144" s="575"/>
      <c r="Z144" s="575"/>
      <c r="AA144" s="575"/>
      <c r="AB144" s="1142"/>
      <c r="AC144" s="575"/>
      <c r="AD144" s="575"/>
      <c r="AE144" s="575"/>
      <c r="AF144" s="575"/>
      <c r="AG144" s="577"/>
      <c r="AH144" s="576"/>
      <c r="AI144" s="575"/>
      <c r="AJ144" s="575"/>
      <c r="AK144" s="575"/>
      <c r="AL144" s="577"/>
      <c r="AN144" s="1052"/>
      <c r="AP144" s="2297" t="str">
        <f t="shared" si="128"/>
        <v>Price</v>
      </c>
      <c r="AQ144" s="2298" t="str">
        <f t="shared" si="128"/>
        <v>[Service]</v>
      </c>
      <c r="AR144" s="1719" t="str">
        <f t="shared" si="129"/>
        <v>[Price]</v>
      </c>
      <c r="AS144" s="2299" t="str">
        <f t="shared" si="136"/>
        <v>-</v>
      </c>
      <c r="AT144" s="1728" t="str">
        <f t="shared" si="136"/>
        <v>-</v>
      </c>
      <c r="AU144" s="1728" t="str">
        <f t="shared" si="136"/>
        <v>-</v>
      </c>
      <c r="AV144" s="2300" t="str">
        <f t="shared" si="136"/>
        <v>-</v>
      </c>
      <c r="AW144" s="1728" t="str">
        <f t="shared" si="136"/>
        <v>-</v>
      </c>
      <c r="AX144" s="2301" t="str">
        <f t="shared" si="136"/>
        <v>-</v>
      </c>
      <c r="AY144" s="1728" t="str">
        <f t="shared" si="136"/>
        <v>-</v>
      </c>
      <c r="AZ144" s="1728" t="str">
        <f t="shared" si="136"/>
        <v>-</v>
      </c>
      <c r="BA144" s="1728" t="str">
        <f t="shared" si="136"/>
        <v>-</v>
      </c>
      <c r="BB144" s="1729" t="str">
        <f t="shared" si="136"/>
        <v>-</v>
      </c>
      <c r="BC144" s="1728" t="str">
        <f t="shared" si="136"/>
        <v>-</v>
      </c>
      <c r="BD144" s="1728" t="str">
        <f t="shared" si="136"/>
        <v>-</v>
      </c>
      <c r="BE144" s="1728" t="str">
        <f t="shared" si="136"/>
        <v>-</v>
      </c>
      <c r="BF144" s="1728" t="str">
        <f t="shared" si="136"/>
        <v>-</v>
      </c>
      <c r="BG144" s="1729" t="str">
        <f t="shared" si="136"/>
        <v>-</v>
      </c>
      <c r="BH144" s="1048"/>
      <c r="BI144" s="2297" t="str">
        <f t="shared" si="59"/>
        <v>Price</v>
      </c>
      <c r="BJ144" s="2298" t="str">
        <f t="shared" si="59"/>
        <v>[Service]</v>
      </c>
      <c r="BK144" s="1719" t="str">
        <f t="shared" si="59"/>
        <v>[Price]</v>
      </c>
      <c r="BL144" s="2299" t="str">
        <f t="shared" ref="BL144:BZ144" si="146">IF(OR(X144="",X144=0),"-",IFERROR((X144/W144-1)*(W146/W$13),"-"))</f>
        <v>-</v>
      </c>
      <c r="BM144" s="1053" t="str">
        <f t="shared" si="146"/>
        <v>-</v>
      </c>
      <c r="BN144" s="1053" t="str">
        <f t="shared" si="146"/>
        <v>-</v>
      </c>
      <c r="BO144" s="2302" t="str">
        <f t="shared" si="146"/>
        <v>-</v>
      </c>
      <c r="BP144" s="1053" t="str">
        <f t="shared" si="146"/>
        <v>-</v>
      </c>
      <c r="BQ144" s="2303" t="str">
        <f t="shared" si="146"/>
        <v>-</v>
      </c>
      <c r="BR144" s="1053" t="str">
        <f t="shared" si="146"/>
        <v>-</v>
      </c>
      <c r="BS144" s="1053" t="str">
        <f t="shared" si="146"/>
        <v>-</v>
      </c>
      <c r="BT144" s="1053" t="str">
        <f t="shared" si="146"/>
        <v>-</v>
      </c>
      <c r="BU144" s="1054" t="str">
        <f t="shared" si="146"/>
        <v>-</v>
      </c>
      <c r="BV144" s="1053" t="str">
        <f t="shared" si="146"/>
        <v>-</v>
      </c>
      <c r="BW144" s="1053" t="str">
        <f t="shared" si="146"/>
        <v>-</v>
      </c>
      <c r="BX144" s="1053" t="str">
        <f t="shared" si="146"/>
        <v>-</v>
      </c>
      <c r="BY144" s="1053" t="str">
        <f t="shared" si="146"/>
        <v>-</v>
      </c>
      <c r="BZ144" s="1054" t="str">
        <f t="shared" si="146"/>
        <v>-</v>
      </c>
    </row>
    <row r="145" spans="3:78" x14ac:dyDescent="0.3">
      <c r="C145" s="126"/>
      <c r="D145" s="126"/>
      <c r="E145" s="558" t="s">
        <v>46</v>
      </c>
      <c r="F145" s="1722" t="str">
        <f>+F144</f>
        <v>[Service]</v>
      </c>
      <c r="G145" s="1724">
        <f>+G144</f>
        <v>0</v>
      </c>
      <c r="H145" s="1724">
        <f>+H144</f>
        <v>0</v>
      </c>
      <c r="I145" s="1725" t="str">
        <f>+I144</f>
        <v>[Price]</v>
      </c>
      <c r="J145" s="574" t="s">
        <v>323</v>
      </c>
      <c r="K145" s="1973"/>
      <c r="L145" s="1974"/>
      <c r="M145" s="1974"/>
      <c r="N145" s="1975"/>
      <c r="O145" s="1974"/>
      <c r="P145" s="1974"/>
      <c r="Q145" s="1974"/>
      <c r="R145" s="1976"/>
      <c r="S145" s="1980"/>
      <c r="T145" s="1976"/>
      <c r="U145" s="1976"/>
      <c r="V145" s="1976"/>
      <c r="W145" s="578"/>
      <c r="X145" s="1239"/>
      <c r="Y145" s="578"/>
      <c r="Z145" s="578"/>
      <c r="AA145" s="578"/>
      <c r="AB145" s="1143"/>
      <c r="AC145" s="578"/>
      <c r="AD145" s="578"/>
      <c r="AE145" s="578"/>
      <c r="AF145" s="578"/>
      <c r="AG145" s="580"/>
      <c r="AH145" s="579"/>
      <c r="AI145" s="578"/>
      <c r="AJ145" s="578"/>
      <c r="AK145" s="578"/>
      <c r="AL145" s="580"/>
      <c r="AN145" s="991"/>
      <c r="AP145" s="2285" t="str">
        <f t="shared" si="128"/>
        <v>Qty</v>
      </c>
      <c r="AQ145" s="2286" t="str">
        <f t="shared" si="128"/>
        <v>[Service]</v>
      </c>
      <c r="AR145" s="2287" t="str">
        <f t="shared" si="129"/>
        <v>[Price]</v>
      </c>
      <c r="AS145" s="2288" t="str">
        <f t="shared" si="136"/>
        <v>-</v>
      </c>
      <c r="AT145" s="1720" t="str">
        <f t="shared" si="136"/>
        <v>-</v>
      </c>
      <c r="AU145" s="1720" t="str">
        <f t="shared" si="136"/>
        <v>-</v>
      </c>
      <c r="AV145" s="2289" t="str">
        <f t="shared" si="136"/>
        <v>-</v>
      </c>
      <c r="AW145" s="1720" t="str">
        <f t="shared" si="136"/>
        <v>-</v>
      </c>
      <c r="AX145" s="2290" t="str">
        <f t="shared" si="136"/>
        <v>-</v>
      </c>
      <c r="AY145" s="1720" t="str">
        <f t="shared" si="136"/>
        <v>-</v>
      </c>
      <c r="AZ145" s="1720" t="str">
        <f t="shared" si="136"/>
        <v>-</v>
      </c>
      <c r="BA145" s="1720" t="str">
        <f t="shared" si="136"/>
        <v>-</v>
      </c>
      <c r="BB145" s="1721" t="str">
        <f t="shared" si="136"/>
        <v>-</v>
      </c>
      <c r="BC145" s="1720" t="str">
        <f t="shared" si="136"/>
        <v>-</v>
      </c>
      <c r="BD145" s="1720" t="str">
        <f t="shared" si="136"/>
        <v>-</v>
      </c>
      <c r="BE145" s="1720" t="str">
        <f t="shared" si="136"/>
        <v>-</v>
      </c>
      <c r="BF145" s="1720" t="str">
        <f t="shared" si="136"/>
        <v>-</v>
      </c>
      <c r="BG145" s="1721" t="str">
        <f t="shared" si="136"/>
        <v>-</v>
      </c>
      <c r="BH145" s="1048"/>
      <c r="BI145" s="2285" t="str">
        <f t="shared" si="59"/>
        <v>Qty</v>
      </c>
      <c r="BJ145" s="2286" t="str">
        <f t="shared" si="59"/>
        <v>[Service]</v>
      </c>
      <c r="BK145" s="2287" t="str">
        <f t="shared" si="59"/>
        <v>[Price]</v>
      </c>
      <c r="BL145" s="2288" t="str">
        <f t="shared" ref="BL145:BZ145" si="147">IF(OR(X145="",X145=0),"-",IFERROR((X145/W145-1)*(W146/W$13),"-"))</f>
        <v>-</v>
      </c>
      <c r="BM145" s="1720" t="str">
        <f t="shared" si="147"/>
        <v>-</v>
      </c>
      <c r="BN145" s="1720" t="str">
        <f t="shared" si="147"/>
        <v>-</v>
      </c>
      <c r="BO145" s="2289" t="str">
        <f t="shared" si="147"/>
        <v>-</v>
      </c>
      <c r="BP145" s="1720" t="str">
        <f t="shared" si="147"/>
        <v>-</v>
      </c>
      <c r="BQ145" s="2290" t="str">
        <f t="shared" si="147"/>
        <v>-</v>
      </c>
      <c r="BR145" s="1720" t="str">
        <f t="shared" si="147"/>
        <v>-</v>
      </c>
      <c r="BS145" s="1720" t="str">
        <f t="shared" si="147"/>
        <v>-</v>
      </c>
      <c r="BT145" s="1720" t="str">
        <f t="shared" si="147"/>
        <v>-</v>
      </c>
      <c r="BU145" s="1721" t="str">
        <f t="shared" si="147"/>
        <v>-</v>
      </c>
      <c r="BV145" s="1720" t="str">
        <f t="shared" si="147"/>
        <v>-</v>
      </c>
      <c r="BW145" s="1720" t="str">
        <f t="shared" si="147"/>
        <v>-</v>
      </c>
      <c r="BX145" s="1720" t="str">
        <f t="shared" si="147"/>
        <v>-</v>
      </c>
      <c r="BY145" s="1720" t="str">
        <f t="shared" si="147"/>
        <v>-</v>
      </c>
      <c r="BZ145" s="1721" t="str">
        <f t="shared" si="147"/>
        <v>-</v>
      </c>
    </row>
    <row r="146" spans="3:78" ht="12.5" thickBot="1" x14ac:dyDescent="0.35">
      <c r="C146" s="126"/>
      <c r="D146" s="126"/>
      <c r="E146" s="559" t="s">
        <v>47</v>
      </c>
      <c r="F146" s="1723" t="str">
        <f>+F144</f>
        <v>[Service]</v>
      </c>
      <c r="G146" s="1726">
        <f>+G144</f>
        <v>0</v>
      </c>
      <c r="H146" s="1726">
        <f>+H144</f>
        <v>0</v>
      </c>
      <c r="I146" s="1727" t="str">
        <f>+I144</f>
        <v>[Price]</v>
      </c>
      <c r="J146" s="556" t="s">
        <v>347</v>
      </c>
      <c r="K146" s="1977"/>
      <c r="L146" s="1206"/>
      <c r="M146" s="1206"/>
      <c r="N146" s="1978"/>
      <c r="O146" s="1206"/>
      <c r="P146" s="1206"/>
      <c r="Q146" s="1206"/>
      <c r="R146" s="1206"/>
      <c r="S146" s="1978"/>
      <c r="T146" s="1206"/>
      <c r="U146" s="1206"/>
      <c r="V146" s="1206"/>
      <c r="W146" s="1731">
        <f t="shared" ref="W146:AG146" si="148">W144*W145/10^6</f>
        <v>0</v>
      </c>
      <c r="X146" s="1730">
        <f t="shared" si="148"/>
        <v>0</v>
      </c>
      <c r="Y146" s="1731">
        <f t="shared" si="148"/>
        <v>0</v>
      </c>
      <c r="Z146" s="1731">
        <f t="shared" si="148"/>
        <v>0</v>
      </c>
      <c r="AA146" s="1731">
        <f t="shared" si="148"/>
        <v>0</v>
      </c>
      <c r="AB146" s="1733">
        <f t="shared" si="148"/>
        <v>0</v>
      </c>
      <c r="AC146" s="1731">
        <f t="shared" si="148"/>
        <v>0</v>
      </c>
      <c r="AD146" s="1731">
        <f t="shared" si="148"/>
        <v>0</v>
      </c>
      <c r="AE146" s="1731">
        <f t="shared" si="148"/>
        <v>0</v>
      </c>
      <c r="AF146" s="1731">
        <f t="shared" si="148"/>
        <v>0</v>
      </c>
      <c r="AG146" s="1733">
        <f t="shared" si="148"/>
        <v>0</v>
      </c>
      <c r="AH146" s="1732">
        <f>AH144*AH145/10^6</f>
        <v>0</v>
      </c>
      <c r="AI146" s="1731">
        <f>AI144*AI145/10^6</f>
        <v>0</v>
      </c>
      <c r="AJ146" s="1731">
        <f>AJ144*AJ145/10^6</f>
        <v>0</v>
      </c>
      <c r="AK146" s="1731">
        <f>AK144*AK145/10^6</f>
        <v>0</v>
      </c>
      <c r="AL146" s="1733">
        <f>AL144*AL145/10^6</f>
        <v>0</v>
      </c>
      <c r="AN146" s="991"/>
      <c r="AP146" s="2304" t="str">
        <f t="shared" si="128"/>
        <v>Rev</v>
      </c>
      <c r="AQ146" s="2305" t="str">
        <f t="shared" si="128"/>
        <v>[Service]</v>
      </c>
      <c r="AR146" s="2306" t="str">
        <f t="shared" si="129"/>
        <v>[Price]</v>
      </c>
      <c r="AS146" s="2307" t="str">
        <f t="shared" si="136"/>
        <v>-</v>
      </c>
      <c r="AT146" s="1055" t="str">
        <f t="shared" si="136"/>
        <v>-</v>
      </c>
      <c r="AU146" s="1055" t="str">
        <f t="shared" si="136"/>
        <v>-</v>
      </c>
      <c r="AV146" s="2308" t="str">
        <f t="shared" si="136"/>
        <v>-</v>
      </c>
      <c r="AW146" s="1055" t="str">
        <f t="shared" si="136"/>
        <v>-</v>
      </c>
      <c r="AX146" s="2309" t="str">
        <f t="shared" si="136"/>
        <v>-</v>
      </c>
      <c r="AY146" s="1055" t="str">
        <f t="shared" si="136"/>
        <v>-</v>
      </c>
      <c r="AZ146" s="1055" t="str">
        <f t="shared" si="136"/>
        <v>-</v>
      </c>
      <c r="BA146" s="1055" t="str">
        <f t="shared" si="136"/>
        <v>-</v>
      </c>
      <c r="BB146" s="1056" t="str">
        <f t="shared" si="136"/>
        <v>-</v>
      </c>
      <c r="BC146" s="1055" t="str">
        <f t="shared" si="136"/>
        <v>-</v>
      </c>
      <c r="BD146" s="1055" t="str">
        <f t="shared" si="136"/>
        <v>-</v>
      </c>
      <c r="BE146" s="1055" t="str">
        <f t="shared" si="136"/>
        <v>-</v>
      </c>
      <c r="BF146" s="1055" t="str">
        <f t="shared" si="136"/>
        <v>-</v>
      </c>
      <c r="BG146" s="1056" t="str">
        <f t="shared" si="136"/>
        <v>-</v>
      </c>
      <c r="BH146" s="1048"/>
      <c r="BI146" s="2304" t="str">
        <f t="shared" si="59"/>
        <v>Rev</v>
      </c>
      <c r="BJ146" s="2305" t="str">
        <f t="shared" si="59"/>
        <v>[Service]</v>
      </c>
      <c r="BK146" s="2306" t="str">
        <f t="shared" si="59"/>
        <v>[Price]</v>
      </c>
      <c r="BL146" s="2307" t="str">
        <f t="shared" ref="BL146:BZ146" si="149">IF(OR(X146="",X146=0),"-",IFERROR((X146/W146-1)*(W146/W$13),"-"))</f>
        <v>-</v>
      </c>
      <c r="BM146" s="1055" t="str">
        <f t="shared" si="149"/>
        <v>-</v>
      </c>
      <c r="BN146" s="1055" t="str">
        <f t="shared" si="149"/>
        <v>-</v>
      </c>
      <c r="BO146" s="2308" t="str">
        <f t="shared" si="149"/>
        <v>-</v>
      </c>
      <c r="BP146" s="1055" t="str">
        <f t="shared" si="149"/>
        <v>-</v>
      </c>
      <c r="BQ146" s="2309" t="str">
        <f t="shared" si="149"/>
        <v>-</v>
      </c>
      <c r="BR146" s="1055" t="str">
        <f t="shared" si="149"/>
        <v>-</v>
      </c>
      <c r="BS146" s="1055" t="str">
        <f t="shared" si="149"/>
        <v>-</v>
      </c>
      <c r="BT146" s="1055" t="str">
        <f t="shared" si="149"/>
        <v>-</v>
      </c>
      <c r="BU146" s="1056" t="str">
        <f t="shared" si="149"/>
        <v>-</v>
      </c>
      <c r="BV146" s="1055" t="str">
        <f t="shared" si="149"/>
        <v>-</v>
      </c>
      <c r="BW146" s="1055" t="str">
        <f t="shared" si="149"/>
        <v>-</v>
      </c>
      <c r="BX146" s="1055" t="str">
        <f t="shared" si="149"/>
        <v>-</v>
      </c>
      <c r="BY146" s="1055" t="str">
        <f t="shared" si="149"/>
        <v>-</v>
      </c>
      <c r="BZ146" s="1056" t="str">
        <f t="shared" si="149"/>
        <v>-</v>
      </c>
    </row>
    <row r="147" spans="3:78" x14ac:dyDescent="0.3">
      <c r="C147" s="126"/>
      <c r="D147" s="126">
        <f>D144+1</f>
        <v>27</v>
      </c>
      <c r="E147" s="553" t="s">
        <v>45</v>
      </c>
      <c r="F147" s="581" t="s">
        <v>28</v>
      </c>
      <c r="G147" s="581"/>
      <c r="H147" s="581"/>
      <c r="I147" s="573" t="s">
        <v>319</v>
      </c>
      <c r="J147" s="573" t="s">
        <v>348</v>
      </c>
      <c r="K147" s="1969"/>
      <c r="L147" s="1970"/>
      <c r="M147" s="1970"/>
      <c r="N147" s="1971"/>
      <c r="O147" s="1970"/>
      <c r="P147" s="1970"/>
      <c r="Q147" s="1970"/>
      <c r="R147" s="1972"/>
      <c r="S147" s="1979"/>
      <c r="T147" s="1972"/>
      <c r="U147" s="1972"/>
      <c r="V147" s="1972"/>
      <c r="W147" s="575"/>
      <c r="X147" s="1238"/>
      <c r="Y147" s="575"/>
      <c r="Z147" s="575"/>
      <c r="AA147" s="575"/>
      <c r="AB147" s="1142"/>
      <c r="AC147" s="575"/>
      <c r="AD147" s="575"/>
      <c r="AE147" s="575"/>
      <c r="AF147" s="575"/>
      <c r="AG147" s="577"/>
      <c r="AH147" s="576"/>
      <c r="AI147" s="575"/>
      <c r="AJ147" s="575"/>
      <c r="AK147" s="575"/>
      <c r="AL147" s="577"/>
      <c r="AN147" s="1052"/>
      <c r="AP147" s="2297" t="str">
        <f t="shared" si="128"/>
        <v>Price</v>
      </c>
      <c r="AQ147" s="2298" t="str">
        <f t="shared" si="128"/>
        <v>[Service]</v>
      </c>
      <c r="AR147" s="1719" t="str">
        <f t="shared" si="129"/>
        <v>[Price]</v>
      </c>
      <c r="AS147" s="2299" t="str">
        <f t="shared" si="136"/>
        <v>-</v>
      </c>
      <c r="AT147" s="1728" t="str">
        <f t="shared" si="136"/>
        <v>-</v>
      </c>
      <c r="AU147" s="1728" t="str">
        <f t="shared" si="136"/>
        <v>-</v>
      </c>
      <c r="AV147" s="2300" t="str">
        <f t="shared" si="136"/>
        <v>-</v>
      </c>
      <c r="AW147" s="1728" t="str">
        <f t="shared" si="136"/>
        <v>-</v>
      </c>
      <c r="AX147" s="2301" t="str">
        <f t="shared" si="136"/>
        <v>-</v>
      </c>
      <c r="AY147" s="1728" t="str">
        <f t="shared" si="136"/>
        <v>-</v>
      </c>
      <c r="AZ147" s="1728" t="str">
        <f t="shared" si="136"/>
        <v>-</v>
      </c>
      <c r="BA147" s="1728" t="str">
        <f t="shared" si="136"/>
        <v>-</v>
      </c>
      <c r="BB147" s="1729" t="str">
        <f t="shared" si="136"/>
        <v>-</v>
      </c>
      <c r="BC147" s="1728" t="str">
        <f t="shared" si="136"/>
        <v>-</v>
      </c>
      <c r="BD147" s="1728" t="str">
        <f t="shared" si="136"/>
        <v>-</v>
      </c>
      <c r="BE147" s="1728" t="str">
        <f t="shared" si="136"/>
        <v>-</v>
      </c>
      <c r="BF147" s="1728" t="str">
        <f t="shared" si="136"/>
        <v>-</v>
      </c>
      <c r="BG147" s="1729" t="str">
        <f t="shared" si="136"/>
        <v>-</v>
      </c>
      <c r="BH147" s="1048"/>
      <c r="BI147" s="2297" t="str">
        <f t="shared" si="59"/>
        <v>Price</v>
      </c>
      <c r="BJ147" s="2298" t="str">
        <f t="shared" si="59"/>
        <v>[Service]</v>
      </c>
      <c r="BK147" s="1719" t="str">
        <f t="shared" si="59"/>
        <v>[Price]</v>
      </c>
      <c r="BL147" s="2299" t="str">
        <f t="shared" ref="BL147:BZ147" si="150">IF(OR(X147="",X147=0),"-",IFERROR((X147/W147-1)*(W149/W$13),"-"))</f>
        <v>-</v>
      </c>
      <c r="BM147" s="1053" t="str">
        <f t="shared" si="150"/>
        <v>-</v>
      </c>
      <c r="BN147" s="1053" t="str">
        <f t="shared" si="150"/>
        <v>-</v>
      </c>
      <c r="BO147" s="2302" t="str">
        <f t="shared" si="150"/>
        <v>-</v>
      </c>
      <c r="BP147" s="1053" t="str">
        <f t="shared" si="150"/>
        <v>-</v>
      </c>
      <c r="BQ147" s="2303" t="str">
        <f t="shared" si="150"/>
        <v>-</v>
      </c>
      <c r="BR147" s="1053" t="str">
        <f t="shared" si="150"/>
        <v>-</v>
      </c>
      <c r="BS147" s="1053" t="str">
        <f t="shared" si="150"/>
        <v>-</v>
      </c>
      <c r="BT147" s="1053" t="str">
        <f t="shared" si="150"/>
        <v>-</v>
      </c>
      <c r="BU147" s="1054" t="str">
        <f t="shared" si="150"/>
        <v>-</v>
      </c>
      <c r="BV147" s="1053" t="str">
        <f t="shared" si="150"/>
        <v>-</v>
      </c>
      <c r="BW147" s="1053" t="str">
        <f t="shared" si="150"/>
        <v>-</v>
      </c>
      <c r="BX147" s="1053" t="str">
        <f t="shared" si="150"/>
        <v>-</v>
      </c>
      <c r="BY147" s="1053" t="str">
        <f t="shared" si="150"/>
        <v>-</v>
      </c>
      <c r="BZ147" s="1054" t="str">
        <f t="shared" si="150"/>
        <v>-</v>
      </c>
    </row>
    <row r="148" spans="3:78" x14ac:dyDescent="0.3">
      <c r="C148" s="126"/>
      <c r="D148" s="126"/>
      <c r="E148" s="558" t="s">
        <v>46</v>
      </c>
      <c r="F148" s="1722" t="str">
        <f>+F147</f>
        <v>[Service]</v>
      </c>
      <c r="G148" s="1724">
        <f>+G147</f>
        <v>0</v>
      </c>
      <c r="H148" s="1724">
        <f>+H147</f>
        <v>0</v>
      </c>
      <c r="I148" s="1725" t="str">
        <f>+I147</f>
        <v>[Price]</v>
      </c>
      <c r="J148" s="574" t="s">
        <v>323</v>
      </c>
      <c r="K148" s="1973"/>
      <c r="L148" s="1974"/>
      <c r="M148" s="1974"/>
      <c r="N148" s="1975"/>
      <c r="O148" s="1974"/>
      <c r="P148" s="1974"/>
      <c r="Q148" s="1974"/>
      <c r="R148" s="1976"/>
      <c r="S148" s="1980"/>
      <c r="T148" s="1976"/>
      <c r="U148" s="1976"/>
      <c r="V148" s="1976"/>
      <c r="W148" s="578"/>
      <c r="X148" s="1239"/>
      <c r="Y148" s="578"/>
      <c r="Z148" s="578"/>
      <c r="AA148" s="578"/>
      <c r="AB148" s="1143"/>
      <c r="AC148" s="578"/>
      <c r="AD148" s="578"/>
      <c r="AE148" s="578"/>
      <c r="AF148" s="578"/>
      <c r="AG148" s="580"/>
      <c r="AH148" s="579"/>
      <c r="AI148" s="578"/>
      <c r="AJ148" s="578"/>
      <c r="AK148" s="578"/>
      <c r="AL148" s="580"/>
      <c r="AN148" s="991"/>
      <c r="AP148" s="2285" t="str">
        <f t="shared" si="128"/>
        <v>Qty</v>
      </c>
      <c r="AQ148" s="2286" t="str">
        <f t="shared" si="128"/>
        <v>[Service]</v>
      </c>
      <c r="AR148" s="2287" t="str">
        <f t="shared" si="129"/>
        <v>[Price]</v>
      </c>
      <c r="AS148" s="2288" t="str">
        <f t="shared" si="136"/>
        <v>-</v>
      </c>
      <c r="AT148" s="1720" t="str">
        <f t="shared" si="136"/>
        <v>-</v>
      </c>
      <c r="AU148" s="1720" t="str">
        <f t="shared" si="136"/>
        <v>-</v>
      </c>
      <c r="AV148" s="2289" t="str">
        <f t="shared" si="136"/>
        <v>-</v>
      </c>
      <c r="AW148" s="1720" t="str">
        <f t="shared" si="136"/>
        <v>-</v>
      </c>
      <c r="AX148" s="2290" t="str">
        <f t="shared" si="136"/>
        <v>-</v>
      </c>
      <c r="AY148" s="1720" t="str">
        <f t="shared" si="136"/>
        <v>-</v>
      </c>
      <c r="AZ148" s="1720" t="str">
        <f t="shared" si="136"/>
        <v>-</v>
      </c>
      <c r="BA148" s="1720" t="str">
        <f t="shared" si="136"/>
        <v>-</v>
      </c>
      <c r="BB148" s="1721" t="str">
        <f t="shared" si="136"/>
        <v>-</v>
      </c>
      <c r="BC148" s="1720" t="str">
        <f t="shared" si="136"/>
        <v>-</v>
      </c>
      <c r="BD148" s="1720" t="str">
        <f t="shared" si="136"/>
        <v>-</v>
      </c>
      <c r="BE148" s="1720" t="str">
        <f t="shared" si="136"/>
        <v>-</v>
      </c>
      <c r="BF148" s="1720" t="str">
        <f t="shared" si="136"/>
        <v>-</v>
      </c>
      <c r="BG148" s="1721" t="str">
        <f t="shared" si="136"/>
        <v>-</v>
      </c>
      <c r="BH148" s="1048"/>
      <c r="BI148" s="2285" t="str">
        <f t="shared" ref="BI148:BK211" si="151">AP148</f>
        <v>Qty</v>
      </c>
      <c r="BJ148" s="2286" t="str">
        <f t="shared" si="151"/>
        <v>[Service]</v>
      </c>
      <c r="BK148" s="2287" t="str">
        <f t="shared" si="151"/>
        <v>[Price]</v>
      </c>
      <c r="BL148" s="2288" t="str">
        <f t="shared" ref="BL148:BZ148" si="152">IF(OR(X148="",X148=0),"-",IFERROR((X148/W148-1)*(W149/W$13),"-"))</f>
        <v>-</v>
      </c>
      <c r="BM148" s="1720" t="str">
        <f t="shared" si="152"/>
        <v>-</v>
      </c>
      <c r="BN148" s="1720" t="str">
        <f t="shared" si="152"/>
        <v>-</v>
      </c>
      <c r="BO148" s="2289" t="str">
        <f t="shared" si="152"/>
        <v>-</v>
      </c>
      <c r="BP148" s="1720" t="str">
        <f t="shared" si="152"/>
        <v>-</v>
      </c>
      <c r="BQ148" s="2290" t="str">
        <f t="shared" si="152"/>
        <v>-</v>
      </c>
      <c r="BR148" s="1720" t="str">
        <f t="shared" si="152"/>
        <v>-</v>
      </c>
      <c r="BS148" s="1720" t="str">
        <f t="shared" si="152"/>
        <v>-</v>
      </c>
      <c r="BT148" s="1720" t="str">
        <f t="shared" si="152"/>
        <v>-</v>
      </c>
      <c r="BU148" s="1721" t="str">
        <f t="shared" si="152"/>
        <v>-</v>
      </c>
      <c r="BV148" s="1720" t="str">
        <f t="shared" si="152"/>
        <v>-</v>
      </c>
      <c r="BW148" s="1720" t="str">
        <f t="shared" si="152"/>
        <v>-</v>
      </c>
      <c r="BX148" s="1720" t="str">
        <f t="shared" si="152"/>
        <v>-</v>
      </c>
      <c r="BY148" s="1720" t="str">
        <f t="shared" si="152"/>
        <v>-</v>
      </c>
      <c r="BZ148" s="1721" t="str">
        <f t="shared" si="152"/>
        <v>-</v>
      </c>
    </row>
    <row r="149" spans="3:78" ht="12.5" thickBot="1" x14ac:dyDescent="0.35">
      <c r="C149" s="126"/>
      <c r="D149" s="126"/>
      <c r="E149" s="559" t="s">
        <v>47</v>
      </c>
      <c r="F149" s="1723" t="str">
        <f>+F147</f>
        <v>[Service]</v>
      </c>
      <c r="G149" s="1726">
        <f>+G147</f>
        <v>0</v>
      </c>
      <c r="H149" s="1726">
        <f>+H147</f>
        <v>0</v>
      </c>
      <c r="I149" s="1727" t="str">
        <f>+I147</f>
        <v>[Price]</v>
      </c>
      <c r="J149" s="556" t="s">
        <v>347</v>
      </c>
      <c r="K149" s="1977"/>
      <c r="L149" s="1206"/>
      <c r="M149" s="1206"/>
      <c r="N149" s="1978"/>
      <c r="O149" s="1206"/>
      <c r="P149" s="1206"/>
      <c r="Q149" s="1206"/>
      <c r="R149" s="1206"/>
      <c r="S149" s="1978"/>
      <c r="T149" s="1206"/>
      <c r="U149" s="1206"/>
      <c r="V149" s="1206"/>
      <c r="W149" s="1731">
        <f t="shared" ref="W149:AG149" si="153">W147*W148/10^6</f>
        <v>0</v>
      </c>
      <c r="X149" s="1730">
        <f t="shared" si="153"/>
        <v>0</v>
      </c>
      <c r="Y149" s="1731">
        <f t="shared" si="153"/>
        <v>0</v>
      </c>
      <c r="Z149" s="1731">
        <f t="shared" si="153"/>
        <v>0</v>
      </c>
      <c r="AA149" s="1731">
        <f t="shared" si="153"/>
        <v>0</v>
      </c>
      <c r="AB149" s="1733">
        <f t="shared" si="153"/>
        <v>0</v>
      </c>
      <c r="AC149" s="1731">
        <f t="shared" si="153"/>
        <v>0</v>
      </c>
      <c r="AD149" s="1731">
        <f t="shared" si="153"/>
        <v>0</v>
      </c>
      <c r="AE149" s="1731">
        <f t="shared" si="153"/>
        <v>0</v>
      </c>
      <c r="AF149" s="1731">
        <f t="shared" si="153"/>
        <v>0</v>
      </c>
      <c r="AG149" s="1733">
        <f t="shared" si="153"/>
        <v>0</v>
      </c>
      <c r="AH149" s="1732">
        <f>AH147*AH148/10^6</f>
        <v>0</v>
      </c>
      <c r="AI149" s="1731">
        <f>AI147*AI148/10^6</f>
        <v>0</v>
      </c>
      <c r="AJ149" s="1731">
        <f>AJ147*AJ148/10^6</f>
        <v>0</v>
      </c>
      <c r="AK149" s="1731">
        <f>AK147*AK148/10^6</f>
        <v>0</v>
      </c>
      <c r="AL149" s="1733">
        <f>AL147*AL148/10^6</f>
        <v>0</v>
      </c>
      <c r="AN149" s="991"/>
      <c r="AP149" s="2304" t="str">
        <f t="shared" si="128"/>
        <v>Rev</v>
      </c>
      <c r="AQ149" s="2305" t="str">
        <f t="shared" si="128"/>
        <v>[Service]</v>
      </c>
      <c r="AR149" s="2306" t="str">
        <f t="shared" si="129"/>
        <v>[Price]</v>
      </c>
      <c r="AS149" s="2307" t="str">
        <f t="shared" si="136"/>
        <v>-</v>
      </c>
      <c r="AT149" s="1055" t="str">
        <f t="shared" si="136"/>
        <v>-</v>
      </c>
      <c r="AU149" s="1055" t="str">
        <f t="shared" si="136"/>
        <v>-</v>
      </c>
      <c r="AV149" s="2308" t="str">
        <f t="shared" si="136"/>
        <v>-</v>
      </c>
      <c r="AW149" s="1055" t="str">
        <f t="shared" si="136"/>
        <v>-</v>
      </c>
      <c r="AX149" s="2309" t="str">
        <f t="shared" si="136"/>
        <v>-</v>
      </c>
      <c r="AY149" s="1055" t="str">
        <f t="shared" si="136"/>
        <v>-</v>
      </c>
      <c r="AZ149" s="1055" t="str">
        <f t="shared" si="136"/>
        <v>-</v>
      </c>
      <c r="BA149" s="1055" t="str">
        <f t="shared" si="136"/>
        <v>-</v>
      </c>
      <c r="BB149" s="1056" t="str">
        <f t="shared" si="136"/>
        <v>-</v>
      </c>
      <c r="BC149" s="1055" t="str">
        <f t="shared" si="136"/>
        <v>-</v>
      </c>
      <c r="BD149" s="1055" t="str">
        <f t="shared" si="136"/>
        <v>-</v>
      </c>
      <c r="BE149" s="1055" t="str">
        <f t="shared" si="136"/>
        <v>-</v>
      </c>
      <c r="BF149" s="1055" t="str">
        <f t="shared" si="136"/>
        <v>-</v>
      </c>
      <c r="BG149" s="1056" t="str">
        <f t="shared" si="136"/>
        <v>-</v>
      </c>
      <c r="BH149" s="1048"/>
      <c r="BI149" s="2304" t="str">
        <f t="shared" si="151"/>
        <v>Rev</v>
      </c>
      <c r="BJ149" s="2305" t="str">
        <f t="shared" si="151"/>
        <v>[Service]</v>
      </c>
      <c r="BK149" s="2306" t="str">
        <f t="shared" si="151"/>
        <v>[Price]</v>
      </c>
      <c r="BL149" s="2307" t="str">
        <f t="shared" ref="BL149:BZ149" si="154">IF(OR(X149="",X149=0),"-",IFERROR((X149/W149-1)*(W149/W$13),"-"))</f>
        <v>-</v>
      </c>
      <c r="BM149" s="1055" t="str">
        <f t="shared" si="154"/>
        <v>-</v>
      </c>
      <c r="BN149" s="1055" t="str">
        <f t="shared" si="154"/>
        <v>-</v>
      </c>
      <c r="BO149" s="2308" t="str">
        <f t="shared" si="154"/>
        <v>-</v>
      </c>
      <c r="BP149" s="1055" t="str">
        <f t="shared" si="154"/>
        <v>-</v>
      </c>
      <c r="BQ149" s="2309" t="str">
        <f t="shared" si="154"/>
        <v>-</v>
      </c>
      <c r="BR149" s="1055" t="str">
        <f t="shared" si="154"/>
        <v>-</v>
      </c>
      <c r="BS149" s="1055" t="str">
        <f t="shared" si="154"/>
        <v>-</v>
      </c>
      <c r="BT149" s="1055" t="str">
        <f t="shared" si="154"/>
        <v>-</v>
      </c>
      <c r="BU149" s="1056" t="str">
        <f t="shared" si="154"/>
        <v>-</v>
      </c>
      <c r="BV149" s="1055" t="str">
        <f t="shared" si="154"/>
        <v>-</v>
      </c>
      <c r="BW149" s="1055" t="str">
        <f t="shared" si="154"/>
        <v>-</v>
      </c>
      <c r="BX149" s="1055" t="str">
        <f t="shared" si="154"/>
        <v>-</v>
      </c>
      <c r="BY149" s="1055" t="str">
        <f t="shared" si="154"/>
        <v>-</v>
      </c>
      <c r="BZ149" s="1056" t="str">
        <f t="shared" si="154"/>
        <v>-</v>
      </c>
    </row>
    <row r="150" spans="3:78" x14ac:dyDescent="0.3">
      <c r="C150" s="126"/>
      <c r="D150" s="126">
        <f>D147+1</f>
        <v>28</v>
      </c>
      <c r="E150" s="553" t="s">
        <v>45</v>
      </c>
      <c r="F150" s="581" t="s">
        <v>28</v>
      </c>
      <c r="G150" s="581"/>
      <c r="H150" s="581"/>
      <c r="I150" s="573" t="s">
        <v>319</v>
      </c>
      <c r="J150" s="573" t="s">
        <v>348</v>
      </c>
      <c r="K150" s="1969"/>
      <c r="L150" s="1970"/>
      <c r="M150" s="1970"/>
      <c r="N150" s="1971"/>
      <c r="O150" s="1970"/>
      <c r="P150" s="1970"/>
      <c r="Q150" s="1970"/>
      <c r="R150" s="1972"/>
      <c r="S150" s="1979"/>
      <c r="T150" s="1972"/>
      <c r="U150" s="1972"/>
      <c r="V150" s="1972"/>
      <c r="W150" s="575"/>
      <c r="X150" s="1238"/>
      <c r="Y150" s="575"/>
      <c r="Z150" s="575"/>
      <c r="AA150" s="575"/>
      <c r="AB150" s="1142"/>
      <c r="AC150" s="575"/>
      <c r="AD150" s="575"/>
      <c r="AE150" s="575"/>
      <c r="AF150" s="575"/>
      <c r="AG150" s="577"/>
      <c r="AH150" s="576"/>
      <c r="AI150" s="575"/>
      <c r="AJ150" s="575"/>
      <c r="AK150" s="575"/>
      <c r="AL150" s="577"/>
      <c r="AN150" s="1052"/>
      <c r="AP150" s="2297" t="str">
        <f t="shared" si="128"/>
        <v>Price</v>
      </c>
      <c r="AQ150" s="2298" t="str">
        <f t="shared" si="128"/>
        <v>[Service]</v>
      </c>
      <c r="AR150" s="1719" t="str">
        <f t="shared" si="129"/>
        <v>[Price]</v>
      </c>
      <c r="AS150" s="2299" t="str">
        <f t="shared" si="136"/>
        <v>-</v>
      </c>
      <c r="AT150" s="1728" t="str">
        <f t="shared" si="136"/>
        <v>-</v>
      </c>
      <c r="AU150" s="1728" t="str">
        <f t="shared" si="136"/>
        <v>-</v>
      </c>
      <c r="AV150" s="2300" t="str">
        <f t="shared" si="136"/>
        <v>-</v>
      </c>
      <c r="AW150" s="1728" t="str">
        <f t="shared" si="136"/>
        <v>-</v>
      </c>
      <c r="AX150" s="2301" t="str">
        <f t="shared" si="136"/>
        <v>-</v>
      </c>
      <c r="AY150" s="1728" t="str">
        <f t="shared" si="136"/>
        <v>-</v>
      </c>
      <c r="AZ150" s="1728" t="str">
        <f t="shared" si="136"/>
        <v>-</v>
      </c>
      <c r="BA150" s="1728" t="str">
        <f t="shared" si="136"/>
        <v>-</v>
      </c>
      <c r="BB150" s="1729" t="str">
        <f t="shared" si="136"/>
        <v>-</v>
      </c>
      <c r="BC150" s="1728" t="str">
        <f t="shared" si="136"/>
        <v>-</v>
      </c>
      <c r="BD150" s="1728" t="str">
        <f t="shared" si="136"/>
        <v>-</v>
      </c>
      <c r="BE150" s="1728" t="str">
        <f t="shared" si="136"/>
        <v>-</v>
      </c>
      <c r="BF150" s="1728" t="str">
        <f t="shared" si="136"/>
        <v>-</v>
      </c>
      <c r="BG150" s="1729" t="str">
        <f t="shared" si="136"/>
        <v>-</v>
      </c>
      <c r="BH150" s="1048"/>
      <c r="BI150" s="2297" t="str">
        <f t="shared" si="151"/>
        <v>Price</v>
      </c>
      <c r="BJ150" s="2298" t="str">
        <f t="shared" si="151"/>
        <v>[Service]</v>
      </c>
      <c r="BK150" s="1719" t="str">
        <f t="shared" si="151"/>
        <v>[Price]</v>
      </c>
      <c r="BL150" s="2299" t="str">
        <f t="shared" ref="BL150:BZ150" si="155">IF(OR(X150="",X150=0),"-",IFERROR((X150/W150-1)*(W152/W$13),"-"))</f>
        <v>-</v>
      </c>
      <c r="BM150" s="1053" t="str">
        <f t="shared" si="155"/>
        <v>-</v>
      </c>
      <c r="BN150" s="1053" t="str">
        <f t="shared" si="155"/>
        <v>-</v>
      </c>
      <c r="BO150" s="2302" t="str">
        <f t="shared" si="155"/>
        <v>-</v>
      </c>
      <c r="BP150" s="1053" t="str">
        <f t="shared" si="155"/>
        <v>-</v>
      </c>
      <c r="BQ150" s="2303" t="str">
        <f t="shared" si="155"/>
        <v>-</v>
      </c>
      <c r="BR150" s="1053" t="str">
        <f t="shared" si="155"/>
        <v>-</v>
      </c>
      <c r="BS150" s="1053" t="str">
        <f t="shared" si="155"/>
        <v>-</v>
      </c>
      <c r="BT150" s="1053" t="str">
        <f t="shared" si="155"/>
        <v>-</v>
      </c>
      <c r="BU150" s="1054" t="str">
        <f t="shared" si="155"/>
        <v>-</v>
      </c>
      <c r="BV150" s="1053" t="str">
        <f t="shared" si="155"/>
        <v>-</v>
      </c>
      <c r="BW150" s="1053" t="str">
        <f t="shared" si="155"/>
        <v>-</v>
      </c>
      <c r="BX150" s="1053" t="str">
        <f t="shared" si="155"/>
        <v>-</v>
      </c>
      <c r="BY150" s="1053" t="str">
        <f t="shared" si="155"/>
        <v>-</v>
      </c>
      <c r="BZ150" s="1054" t="str">
        <f t="shared" si="155"/>
        <v>-</v>
      </c>
    </row>
    <row r="151" spans="3:78" x14ac:dyDescent="0.3">
      <c r="C151" s="126"/>
      <c r="D151" s="126"/>
      <c r="E151" s="558" t="s">
        <v>46</v>
      </c>
      <c r="F151" s="1722" t="str">
        <f>+F150</f>
        <v>[Service]</v>
      </c>
      <c r="G151" s="1724">
        <f>+G150</f>
        <v>0</v>
      </c>
      <c r="H151" s="1724">
        <f>+H150</f>
        <v>0</v>
      </c>
      <c r="I151" s="1725" t="str">
        <f>+I150</f>
        <v>[Price]</v>
      </c>
      <c r="J151" s="574" t="s">
        <v>323</v>
      </c>
      <c r="K151" s="1973"/>
      <c r="L151" s="1974"/>
      <c r="M151" s="1974"/>
      <c r="N151" s="1975"/>
      <c r="O151" s="1974"/>
      <c r="P151" s="1974"/>
      <c r="Q151" s="1974"/>
      <c r="R151" s="1976"/>
      <c r="S151" s="1980"/>
      <c r="T151" s="1976"/>
      <c r="U151" s="1976"/>
      <c r="V151" s="1976"/>
      <c r="W151" s="578"/>
      <c r="X151" s="1239"/>
      <c r="Y151" s="578"/>
      <c r="Z151" s="578"/>
      <c r="AA151" s="578"/>
      <c r="AB151" s="1143"/>
      <c r="AC151" s="578"/>
      <c r="AD151" s="578"/>
      <c r="AE151" s="578"/>
      <c r="AF151" s="578"/>
      <c r="AG151" s="580"/>
      <c r="AH151" s="579"/>
      <c r="AI151" s="578"/>
      <c r="AJ151" s="578"/>
      <c r="AK151" s="578"/>
      <c r="AL151" s="580"/>
      <c r="AN151" s="991"/>
      <c r="AP151" s="2285" t="str">
        <f t="shared" si="128"/>
        <v>Qty</v>
      </c>
      <c r="AQ151" s="2286" t="str">
        <f t="shared" si="128"/>
        <v>[Service]</v>
      </c>
      <c r="AR151" s="2287" t="str">
        <f t="shared" si="129"/>
        <v>[Price]</v>
      </c>
      <c r="AS151" s="2288" t="str">
        <f t="shared" si="136"/>
        <v>-</v>
      </c>
      <c r="AT151" s="1720" t="str">
        <f t="shared" si="136"/>
        <v>-</v>
      </c>
      <c r="AU151" s="1720" t="str">
        <f t="shared" si="136"/>
        <v>-</v>
      </c>
      <c r="AV151" s="2289" t="str">
        <f t="shared" si="136"/>
        <v>-</v>
      </c>
      <c r="AW151" s="1720" t="str">
        <f t="shared" si="136"/>
        <v>-</v>
      </c>
      <c r="AX151" s="2290" t="str">
        <f t="shared" si="136"/>
        <v>-</v>
      </c>
      <c r="AY151" s="1720" t="str">
        <f t="shared" si="136"/>
        <v>-</v>
      </c>
      <c r="AZ151" s="1720" t="str">
        <f t="shared" si="136"/>
        <v>-</v>
      </c>
      <c r="BA151" s="1720" t="str">
        <f t="shared" si="136"/>
        <v>-</v>
      </c>
      <c r="BB151" s="1721" t="str">
        <f t="shared" si="136"/>
        <v>-</v>
      </c>
      <c r="BC151" s="1720" t="str">
        <f t="shared" si="136"/>
        <v>-</v>
      </c>
      <c r="BD151" s="1720" t="str">
        <f t="shared" si="136"/>
        <v>-</v>
      </c>
      <c r="BE151" s="1720" t="str">
        <f t="shared" si="136"/>
        <v>-</v>
      </c>
      <c r="BF151" s="1720" t="str">
        <f t="shared" si="136"/>
        <v>-</v>
      </c>
      <c r="BG151" s="1721" t="str">
        <f t="shared" si="136"/>
        <v>-</v>
      </c>
      <c r="BH151" s="1048"/>
      <c r="BI151" s="2285" t="str">
        <f t="shared" si="151"/>
        <v>Qty</v>
      </c>
      <c r="BJ151" s="2286" t="str">
        <f t="shared" si="151"/>
        <v>[Service]</v>
      </c>
      <c r="BK151" s="2287" t="str">
        <f t="shared" si="151"/>
        <v>[Price]</v>
      </c>
      <c r="BL151" s="2288" t="str">
        <f t="shared" ref="BL151:BZ151" si="156">IF(OR(X151="",X151=0),"-",IFERROR((X151/W151-1)*(W152/W$13),"-"))</f>
        <v>-</v>
      </c>
      <c r="BM151" s="1720" t="str">
        <f t="shared" si="156"/>
        <v>-</v>
      </c>
      <c r="BN151" s="1720" t="str">
        <f t="shared" si="156"/>
        <v>-</v>
      </c>
      <c r="BO151" s="2289" t="str">
        <f t="shared" si="156"/>
        <v>-</v>
      </c>
      <c r="BP151" s="1720" t="str">
        <f t="shared" si="156"/>
        <v>-</v>
      </c>
      <c r="BQ151" s="2290" t="str">
        <f t="shared" si="156"/>
        <v>-</v>
      </c>
      <c r="BR151" s="1720" t="str">
        <f t="shared" si="156"/>
        <v>-</v>
      </c>
      <c r="BS151" s="1720" t="str">
        <f t="shared" si="156"/>
        <v>-</v>
      </c>
      <c r="BT151" s="1720" t="str">
        <f t="shared" si="156"/>
        <v>-</v>
      </c>
      <c r="BU151" s="1721" t="str">
        <f t="shared" si="156"/>
        <v>-</v>
      </c>
      <c r="BV151" s="1720" t="str">
        <f t="shared" si="156"/>
        <v>-</v>
      </c>
      <c r="BW151" s="1720" t="str">
        <f t="shared" si="156"/>
        <v>-</v>
      </c>
      <c r="BX151" s="1720" t="str">
        <f t="shared" si="156"/>
        <v>-</v>
      </c>
      <c r="BY151" s="1720" t="str">
        <f t="shared" si="156"/>
        <v>-</v>
      </c>
      <c r="BZ151" s="1721" t="str">
        <f t="shared" si="156"/>
        <v>-</v>
      </c>
    </row>
    <row r="152" spans="3:78" ht="12.5" thickBot="1" x14ac:dyDescent="0.35">
      <c r="C152" s="126"/>
      <c r="D152" s="126"/>
      <c r="E152" s="559" t="s">
        <v>47</v>
      </c>
      <c r="F152" s="1723" t="str">
        <f>+F150</f>
        <v>[Service]</v>
      </c>
      <c r="G152" s="1726">
        <f>+G150</f>
        <v>0</v>
      </c>
      <c r="H152" s="1726">
        <f>+H150</f>
        <v>0</v>
      </c>
      <c r="I152" s="1727" t="str">
        <f>+I150</f>
        <v>[Price]</v>
      </c>
      <c r="J152" s="556" t="s">
        <v>347</v>
      </c>
      <c r="K152" s="1977"/>
      <c r="L152" s="1206"/>
      <c r="M152" s="1206"/>
      <c r="N152" s="1978"/>
      <c r="O152" s="1206"/>
      <c r="P152" s="1206"/>
      <c r="Q152" s="1206"/>
      <c r="R152" s="1206"/>
      <c r="S152" s="1978"/>
      <c r="T152" s="1206"/>
      <c r="U152" s="1206"/>
      <c r="V152" s="1206"/>
      <c r="W152" s="1731">
        <f t="shared" ref="W152:AG152" si="157">W150*W151/10^6</f>
        <v>0</v>
      </c>
      <c r="X152" s="1730">
        <f t="shared" si="157"/>
        <v>0</v>
      </c>
      <c r="Y152" s="1731">
        <f t="shared" si="157"/>
        <v>0</v>
      </c>
      <c r="Z152" s="1731">
        <f t="shared" si="157"/>
        <v>0</v>
      </c>
      <c r="AA152" s="1731">
        <f t="shared" si="157"/>
        <v>0</v>
      </c>
      <c r="AB152" s="1733">
        <f t="shared" si="157"/>
        <v>0</v>
      </c>
      <c r="AC152" s="1731">
        <f t="shared" si="157"/>
        <v>0</v>
      </c>
      <c r="AD152" s="1731">
        <f t="shared" si="157"/>
        <v>0</v>
      </c>
      <c r="AE152" s="1731">
        <f t="shared" si="157"/>
        <v>0</v>
      </c>
      <c r="AF152" s="1731">
        <f t="shared" si="157"/>
        <v>0</v>
      </c>
      <c r="AG152" s="1733">
        <f t="shared" si="157"/>
        <v>0</v>
      </c>
      <c r="AH152" s="1732">
        <f>AH150*AH151/10^6</f>
        <v>0</v>
      </c>
      <c r="AI152" s="1731">
        <f>AI150*AI151/10^6</f>
        <v>0</v>
      </c>
      <c r="AJ152" s="1731">
        <f>AJ150*AJ151/10^6</f>
        <v>0</v>
      </c>
      <c r="AK152" s="1731">
        <f>AK150*AK151/10^6</f>
        <v>0</v>
      </c>
      <c r="AL152" s="1733">
        <f>AL150*AL151/10^6</f>
        <v>0</v>
      </c>
      <c r="AN152" s="991"/>
      <c r="AP152" s="2304" t="str">
        <f t="shared" si="128"/>
        <v>Rev</v>
      </c>
      <c r="AQ152" s="2305" t="str">
        <f t="shared" si="128"/>
        <v>[Service]</v>
      </c>
      <c r="AR152" s="2306" t="str">
        <f t="shared" si="129"/>
        <v>[Price]</v>
      </c>
      <c r="AS152" s="2307" t="str">
        <f t="shared" si="136"/>
        <v>-</v>
      </c>
      <c r="AT152" s="1055" t="str">
        <f t="shared" si="136"/>
        <v>-</v>
      </c>
      <c r="AU152" s="1055" t="str">
        <f t="shared" si="136"/>
        <v>-</v>
      </c>
      <c r="AV152" s="2308" t="str">
        <f t="shared" si="136"/>
        <v>-</v>
      </c>
      <c r="AW152" s="1055" t="str">
        <f t="shared" si="136"/>
        <v>-</v>
      </c>
      <c r="AX152" s="2309" t="str">
        <f t="shared" si="136"/>
        <v>-</v>
      </c>
      <c r="AY152" s="1055" t="str">
        <f t="shared" si="136"/>
        <v>-</v>
      </c>
      <c r="AZ152" s="1055" t="str">
        <f t="shared" si="136"/>
        <v>-</v>
      </c>
      <c r="BA152" s="1055" t="str">
        <f t="shared" si="136"/>
        <v>-</v>
      </c>
      <c r="BB152" s="1056" t="str">
        <f t="shared" si="136"/>
        <v>-</v>
      </c>
      <c r="BC152" s="1055" t="str">
        <f t="shared" si="136"/>
        <v>-</v>
      </c>
      <c r="BD152" s="1055" t="str">
        <f t="shared" si="136"/>
        <v>-</v>
      </c>
      <c r="BE152" s="1055" t="str">
        <f t="shared" si="136"/>
        <v>-</v>
      </c>
      <c r="BF152" s="1055" t="str">
        <f t="shared" si="136"/>
        <v>-</v>
      </c>
      <c r="BG152" s="1056" t="str">
        <f t="shared" si="136"/>
        <v>-</v>
      </c>
      <c r="BH152" s="1048"/>
      <c r="BI152" s="2304" t="str">
        <f t="shared" si="151"/>
        <v>Rev</v>
      </c>
      <c r="BJ152" s="2305" t="str">
        <f t="shared" si="151"/>
        <v>[Service]</v>
      </c>
      <c r="BK152" s="2306" t="str">
        <f t="shared" si="151"/>
        <v>[Price]</v>
      </c>
      <c r="BL152" s="2307" t="str">
        <f t="shared" ref="BL152:BZ152" si="158">IF(OR(X152="",X152=0),"-",IFERROR((X152/W152-1)*(W152/W$13),"-"))</f>
        <v>-</v>
      </c>
      <c r="BM152" s="1055" t="str">
        <f t="shared" si="158"/>
        <v>-</v>
      </c>
      <c r="BN152" s="1055" t="str">
        <f t="shared" si="158"/>
        <v>-</v>
      </c>
      <c r="BO152" s="2308" t="str">
        <f t="shared" si="158"/>
        <v>-</v>
      </c>
      <c r="BP152" s="1055" t="str">
        <f t="shared" si="158"/>
        <v>-</v>
      </c>
      <c r="BQ152" s="2309" t="str">
        <f t="shared" si="158"/>
        <v>-</v>
      </c>
      <c r="BR152" s="1055" t="str">
        <f t="shared" si="158"/>
        <v>-</v>
      </c>
      <c r="BS152" s="1055" t="str">
        <f t="shared" si="158"/>
        <v>-</v>
      </c>
      <c r="BT152" s="1055" t="str">
        <f t="shared" si="158"/>
        <v>-</v>
      </c>
      <c r="BU152" s="1056" t="str">
        <f t="shared" si="158"/>
        <v>-</v>
      </c>
      <c r="BV152" s="1055" t="str">
        <f t="shared" si="158"/>
        <v>-</v>
      </c>
      <c r="BW152" s="1055" t="str">
        <f t="shared" si="158"/>
        <v>-</v>
      </c>
      <c r="BX152" s="1055" t="str">
        <f t="shared" si="158"/>
        <v>-</v>
      </c>
      <c r="BY152" s="1055" t="str">
        <f t="shared" si="158"/>
        <v>-</v>
      </c>
      <c r="BZ152" s="1056" t="str">
        <f t="shared" si="158"/>
        <v>-</v>
      </c>
    </row>
    <row r="153" spans="3:78" x14ac:dyDescent="0.3">
      <c r="C153" s="126"/>
      <c r="D153" s="126">
        <f>D150+1</f>
        <v>29</v>
      </c>
      <c r="E153" s="553" t="s">
        <v>45</v>
      </c>
      <c r="F153" s="581" t="s">
        <v>28</v>
      </c>
      <c r="G153" s="581"/>
      <c r="H153" s="581"/>
      <c r="I153" s="573" t="s">
        <v>319</v>
      </c>
      <c r="J153" s="573" t="s">
        <v>348</v>
      </c>
      <c r="K153" s="1969"/>
      <c r="L153" s="1970"/>
      <c r="M153" s="1970"/>
      <c r="N153" s="1971"/>
      <c r="O153" s="1970"/>
      <c r="P153" s="1970"/>
      <c r="Q153" s="1970"/>
      <c r="R153" s="1972"/>
      <c r="S153" s="1979"/>
      <c r="T153" s="1972"/>
      <c r="U153" s="1972"/>
      <c r="V153" s="1972"/>
      <c r="W153" s="575"/>
      <c r="X153" s="1238"/>
      <c r="Y153" s="575"/>
      <c r="Z153" s="575"/>
      <c r="AA153" s="575"/>
      <c r="AB153" s="1142"/>
      <c r="AC153" s="575"/>
      <c r="AD153" s="575"/>
      <c r="AE153" s="575"/>
      <c r="AF153" s="575"/>
      <c r="AG153" s="577"/>
      <c r="AH153" s="576"/>
      <c r="AI153" s="575"/>
      <c r="AJ153" s="575"/>
      <c r="AK153" s="575"/>
      <c r="AL153" s="577"/>
      <c r="AN153" s="1052"/>
      <c r="AP153" s="2297" t="str">
        <f t="shared" si="128"/>
        <v>Price</v>
      </c>
      <c r="AQ153" s="2298" t="str">
        <f t="shared" si="128"/>
        <v>[Service]</v>
      </c>
      <c r="AR153" s="1719" t="str">
        <f t="shared" si="129"/>
        <v>[Price]</v>
      </c>
      <c r="AS153" s="2299" t="str">
        <f t="shared" si="136"/>
        <v>-</v>
      </c>
      <c r="AT153" s="1728" t="str">
        <f t="shared" si="136"/>
        <v>-</v>
      </c>
      <c r="AU153" s="1728" t="str">
        <f t="shared" si="136"/>
        <v>-</v>
      </c>
      <c r="AV153" s="2300" t="str">
        <f t="shared" si="136"/>
        <v>-</v>
      </c>
      <c r="AW153" s="1728" t="str">
        <f t="shared" si="136"/>
        <v>-</v>
      </c>
      <c r="AX153" s="2301" t="str">
        <f t="shared" si="136"/>
        <v>-</v>
      </c>
      <c r="AY153" s="1728" t="str">
        <f t="shared" si="136"/>
        <v>-</v>
      </c>
      <c r="AZ153" s="1728" t="str">
        <f t="shared" si="136"/>
        <v>-</v>
      </c>
      <c r="BA153" s="1728" t="str">
        <f t="shared" si="136"/>
        <v>-</v>
      </c>
      <c r="BB153" s="1729" t="str">
        <f t="shared" si="136"/>
        <v>-</v>
      </c>
      <c r="BC153" s="1728" t="str">
        <f t="shared" si="136"/>
        <v>-</v>
      </c>
      <c r="BD153" s="1728" t="str">
        <f t="shared" si="136"/>
        <v>-</v>
      </c>
      <c r="BE153" s="1728" t="str">
        <f t="shared" si="136"/>
        <v>-</v>
      </c>
      <c r="BF153" s="1728" t="str">
        <f t="shared" si="136"/>
        <v>-</v>
      </c>
      <c r="BG153" s="1729" t="str">
        <f t="shared" si="136"/>
        <v>-</v>
      </c>
      <c r="BH153" s="1048"/>
      <c r="BI153" s="2297" t="str">
        <f t="shared" si="151"/>
        <v>Price</v>
      </c>
      <c r="BJ153" s="2298" t="str">
        <f t="shared" si="151"/>
        <v>[Service]</v>
      </c>
      <c r="BK153" s="1719" t="str">
        <f t="shared" si="151"/>
        <v>[Price]</v>
      </c>
      <c r="BL153" s="2299" t="str">
        <f t="shared" ref="BL153:BZ153" si="159">IF(OR(X153="",X153=0),"-",IFERROR((X153/W153-1)*(W155/W$13),"-"))</f>
        <v>-</v>
      </c>
      <c r="BM153" s="1053" t="str">
        <f t="shared" si="159"/>
        <v>-</v>
      </c>
      <c r="BN153" s="1053" t="str">
        <f t="shared" si="159"/>
        <v>-</v>
      </c>
      <c r="BO153" s="2302" t="str">
        <f t="shared" si="159"/>
        <v>-</v>
      </c>
      <c r="BP153" s="1053" t="str">
        <f t="shared" si="159"/>
        <v>-</v>
      </c>
      <c r="BQ153" s="2303" t="str">
        <f t="shared" si="159"/>
        <v>-</v>
      </c>
      <c r="BR153" s="1053" t="str">
        <f t="shared" si="159"/>
        <v>-</v>
      </c>
      <c r="BS153" s="1053" t="str">
        <f t="shared" si="159"/>
        <v>-</v>
      </c>
      <c r="BT153" s="1053" t="str">
        <f t="shared" si="159"/>
        <v>-</v>
      </c>
      <c r="BU153" s="1054" t="str">
        <f t="shared" si="159"/>
        <v>-</v>
      </c>
      <c r="BV153" s="1053" t="str">
        <f t="shared" si="159"/>
        <v>-</v>
      </c>
      <c r="BW153" s="1053" t="str">
        <f t="shared" si="159"/>
        <v>-</v>
      </c>
      <c r="BX153" s="1053" t="str">
        <f t="shared" si="159"/>
        <v>-</v>
      </c>
      <c r="BY153" s="1053" t="str">
        <f t="shared" si="159"/>
        <v>-</v>
      </c>
      <c r="BZ153" s="1054" t="str">
        <f t="shared" si="159"/>
        <v>-</v>
      </c>
    </row>
    <row r="154" spans="3:78" x14ac:dyDescent="0.3">
      <c r="C154" s="126"/>
      <c r="D154" s="126"/>
      <c r="E154" s="558" t="s">
        <v>46</v>
      </c>
      <c r="F154" s="1722" t="str">
        <f>+F153</f>
        <v>[Service]</v>
      </c>
      <c r="G154" s="1724">
        <f>+G153</f>
        <v>0</v>
      </c>
      <c r="H154" s="1724">
        <f>+H153</f>
        <v>0</v>
      </c>
      <c r="I154" s="1725" t="str">
        <f>+I153</f>
        <v>[Price]</v>
      </c>
      <c r="J154" s="574" t="s">
        <v>323</v>
      </c>
      <c r="K154" s="1973"/>
      <c r="L154" s="1974"/>
      <c r="M154" s="1974"/>
      <c r="N154" s="1975"/>
      <c r="O154" s="1974"/>
      <c r="P154" s="1974"/>
      <c r="Q154" s="1974"/>
      <c r="R154" s="1976"/>
      <c r="S154" s="1980"/>
      <c r="T154" s="1976"/>
      <c r="U154" s="1976"/>
      <c r="V154" s="1976"/>
      <c r="W154" s="578"/>
      <c r="X154" s="1239"/>
      <c r="Y154" s="578"/>
      <c r="Z154" s="578"/>
      <c r="AA154" s="578"/>
      <c r="AB154" s="1143"/>
      <c r="AC154" s="578"/>
      <c r="AD154" s="578"/>
      <c r="AE154" s="578"/>
      <c r="AF154" s="578"/>
      <c r="AG154" s="580"/>
      <c r="AH154" s="579"/>
      <c r="AI154" s="578"/>
      <c r="AJ154" s="578"/>
      <c r="AK154" s="578"/>
      <c r="AL154" s="580"/>
      <c r="AN154" s="991"/>
      <c r="AP154" s="2285" t="str">
        <f t="shared" si="128"/>
        <v>Qty</v>
      </c>
      <c r="AQ154" s="2286" t="str">
        <f t="shared" si="128"/>
        <v>[Service]</v>
      </c>
      <c r="AR154" s="2287" t="str">
        <f t="shared" si="129"/>
        <v>[Price]</v>
      </c>
      <c r="AS154" s="2288" t="str">
        <f t="shared" ref="AS154:BG170" si="160">IF(OR(X154="",X154=0),"-",IFERROR(X154/W154-1,"-"))</f>
        <v>-</v>
      </c>
      <c r="AT154" s="1720" t="str">
        <f t="shared" si="160"/>
        <v>-</v>
      </c>
      <c r="AU154" s="1720" t="str">
        <f t="shared" si="160"/>
        <v>-</v>
      </c>
      <c r="AV154" s="2289" t="str">
        <f t="shared" si="160"/>
        <v>-</v>
      </c>
      <c r="AW154" s="1720" t="str">
        <f t="shared" si="160"/>
        <v>-</v>
      </c>
      <c r="AX154" s="2290" t="str">
        <f t="shared" si="160"/>
        <v>-</v>
      </c>
      <c r="AY154" s="1720" t="str">
        <f t="shared" si="160"/>
        <v>-</v>
      </c>
      <c r="AZ154" s="1720" t="str">
        <f t="shared" si="160"/>
        <v>-</v>
      </c>
      <c r="BA154" s="1720" t="str">
        <f t="shared" si="160"/>
        <v>-</v>
      </c>
      <c r="BB154" s="1721" t="str">
        <f t="shared" si="160"/>
        <v>-</v>
      </c>
      <c r="BC154" s="1720" t="str">
        <f t="shared" si="160"/>
        <v>-</v>
      </c>
      <c r="BD154" s="1720" t="str">
        <f t="shared" si="160"/>
        <v>-</v>
      </c>
      <c r="BE154" s="1720" t="str">
        <f t="shared" si="160"/>
        <v>-</v>
      </c>
      <c r="BF154" s="1720" t="str">
        <f t="shared" si="160"/>
        <v>-</v>
      </c>
      <c r="BG154" s="1721" t="str">
        <f t="shared" si="160"/>
        <v>-</v>
      </c>
      <c r="BH154" s="1048"/>
      <c r="BI154" s="2285" t="str">
        <f t="shared" si="151"/>
        <v>Qty</v>
      </c>
      <c r="BJ154" s="2286" t="str">
        <f t="shared" si="151"/>
        <v>[Service]</v>
      </c>
      <c r="BK154" s="2287" t="str">
        <f t="shared" si="151"/>
        <v>[Price]</v>
      </c>
      <c r="BL154" s="2288" t="str">
        <f t="shared" ref="BL154:BZ154" si="161">IF(OR(X154="",X154=0),"-",IFERROR((X154/W154-1)*(W155/W$13),"-"))</f>
        <v>-</v>
      </c>
      <c r="BM154" s="1720" t="str">
        <f t="shared" si="161"/>
        <v>-</v>
      </c>
      <c r="BN154" s="1720" t="str">
        <f t="shared" si="161"/>
        <v>-</v>
      </c>
      <c r="BO154" s="2289" t="str">
        <f t="shared" si="161"/>
        <v>-</v>
      </c>
      <c r="BP154" s="1720" t="str">
        <f t="shared" si="161"/>
        <v>-</v>
      </c>
      <c r="BQ154" s="2290" t="str">
        <f t="shared" si="161"/>
        <v>-</v>
      </c>
      <c r="BR154" s="1720" t="str">
        <f t="shared" si="161"/>
        <v>-</v>
      </c>
      <c r="BS154" s="1720" t="str">
        <f t="shared" si="161"/>
        <v>-</v>
      </c>
      <c r="BT154" s="1720" t="str">
        <f t="shared" si="161"/>
        <v>-</v>
      </c>
      <c r="BU154" s="1721" t="str">
        <f t="shared" si="161"/>
        <v>-</v>
      </c>
      <c r="BV154" s="1720" t="str">
        <f t="shared" si="161"/>
        <v>-</v>
      </c>
      <c r="BW154" s="1720" t="str">
        <f t="shared" si="161"/>
        <v>-</v>
      </c>
      <c r="BX154" s="1720" t="str">
        <f t="shared" si="161"/>
        <v>-</v>
      </c>
      <c r="BY154" s="1720" t="str">
        <f t="shared" si="161"/>
        <v>-</v>
      </c>
      <c r="BZ154" s="1721" t="str">
        <f t="shared" si="161"/>
        <v>-</v>
      </c>
    </row>
    <row r="155" spans="3:78" ht="12.5" thickBot="1" x14ac:dyDescent="0.35">
      <c r="C155" s="126"/>
      <c r="D155" s="126"/>
      <c r="E155" s="559" t="s">
        <v>47</v>
      </c>
      <c r="F155" s="1723" t="str">
        <f>+F153</f>
        <v>[Service]</v>
      </c>
      <c r="G155" s="1726">
        <f>+G153</f>
        <v>0</v>
      </c>
      <c r="H155" s="1726">
        <f>+H153</f>
        <v>0</v>
      </c>
      <c r="I155" s="1727" t="str">
        <f>+I153</f>
        <v>[Price]</v>
      </c>
      <c r="J155" s="556" t="s">
        <v>347</v>
      </c>
      <c r="K155" s="1977"/>
      <c r="L155" s="1206"/>
      <c r="M155" s="1206"/>
      <c r="N155" s="1978"/>
      <c r="O155" s="1206"/>
      <c r="P155" s="1206"/>
      <c r="Q155" s="1206"/>
      <c r="R155" s="1206"/>
      <c r="S155" s="1978"/>
      <c r="T155" s="1206"/>
      <c r="U155" s="1206"/>
      <c r="V155" s="1206"/>
      <c r="W155" s="1731">
        <f t="shared" ref="W155:AG155" si="162">W153*W154/10^6</f>
        <v>0</v>
      </c>
      <c r="X155" s="1730">
        <f t="shared" si="162"/>
        <v>0</v>
      </c>
      <c r="Y155" s="1731">
        <f t="shared" si="162"/>
        <v>0</v>
      </c>
      <c r="Z155" s="1731">
        <f t="shared" si="162"/>
        <v>0</v>
      </c>
      <c r="AA155" s="1731">
        <f t="shared" si="162"/>
        <v>0</v>
      </c>
      <c r="AB155" s="1733">
        <f t="shared" si="162"/>
        <v>0</v>
      </c>
      <c r="AC155" s="1731">
        <f t="shared" si="162"/>
        <v>0</v>
      </c>
      <c r="AD155" s="1731">
        <f t="shared" si="162"/>
        <v>0</v>
      </c>
      <c r="AE155" s="1731">
        <f t="shared" si="162"/>
        <v>0</v>
      </c>
      <c r="AF155" s="1731">
        <f t="shared" si="162"/>
        <v>0</v>
      </c>
      <c r="AG155" s="1733">
        <f t="shared" si="162"/>
        <v>0</v>
      </c>
      <c r="AH155" s="1732">
        <f>AH153*AH154/10^6</f>
        <v>0</v>
      </c>
      <c r="AI155" s="1731">
        <f>AI153*AI154/10^6</f>
        <v>0</v>
      </c>
      <c r="AJ155" s="1731">
        <f>AJ153*AJ154/10^6</f>
        <v>0</v>
      </c>
      <c r="AK155" s="1731">
        <f>AK153*AK154/10^6</f>
        <v>0</v>
      </c>
      <c r="AL155" s="1733">
        <f>AL153*AL154/10^6</f>
        <v>0</v>
      </c>
      <c r="AN155" s="991"/>
      <c r="AP155" s="2304" t="str">
        <f t="shared" si="128"/>
        <v>Rev</v>
      </c>
      <c r="AQ155" s="2305" t="str">
        <f t="shared" si="128"/>
        <v>[Service]</v>
      </c>
      <c r="AR155" s="2306" t="str">
        <f t="shared" si="129"/>
        <v>[Price]</v>
      </c>
      <c r="AS155" s="2307" t="str">
        <f t="shared" si="160"/>
        <v>-</v>
      </c>
      <c r="AT155" s="1055" t="str">
        <f t="shared" si="160"/>
        <v>-</v>
      </c>
      <c r="AU155" s="1055" t="str">
        <f t="shared" si="160"/>
        <v>-</v>
      </c>
      <c r="AV155" s="2308" t="str">
        <f t="shared" si="160"/>
        <v>-</v>
      </c>
      <c r="AW155" s="1055" t="str">
        <f t="shared" si="160"/>
        <v>-</v>
      </c>
      <c r="AX155" s="2309" t="str">
        <f t="shared" si="160"/>
        <v>-</v>
      </c>
      <c r="AY155" s="1055" t="str">
        <f t="shared" si="160"/>
        <v>-</v>
      </c>
      <c r="AZ155" s="1055" t="str">
        <f t="shared" si="160"/>
        <v>-</v>
      </c>
      <c r="BA155" s="1055" t="str">
        <f t="shared" si="160"/>
        <v>-</v>
      </c>
      <c r="BB155" s="1056" t="str">
        <f t="shared" si="160"/>
        <v>-</v>
      </c>
      <c r="BC155" s="1055" t="str">
        <f t="shared" si="160"/>
        <v>-</v>
      </c>
      <c r="BD155" s="1055" t="str">
        <f t="shared" si="160"/>
        <v>-</v>
      </c>
      <c r="BE155" s="1055" t="str">
        <f t="shared" si="160"/>
        <v>-</v>
      </c>
      <c r="BF155" s="1055" t="str">
        <f t="shared" si="160"/>
        <v>-</v>
      </c>
      <c r="BG155" s="1056" t="str">
        <f t="shared" si="160"/>
        <v>-</v>
      </c>
      <c r="BH155" s="1048"/>
      <c r="BI155" s="2304" t="str">
        <f t="shared" si="151"/>
        <v>Rev</v>
      </c>
      <c r="BJ155" s="2305" t="str">
        <f t="shared" si="151"/>
        <v>[Service]</v>
      </c>
      <c r="BK155" s="2306" t="str">
        <f t="shared" si="151"/>
        <v>[Price]</v>
      </c>
      <c r="BL155" s="2307" t="str">
        <f t="shared" ref="BL155:BZ155" si="163">IF(OR(X155="",X155=0),"-",IFERROR((X155/W155-1)*(W155/W$13),"-"))</f>
        <v>-</v>
      </c>
      <c r="BM155" s="1055" t="str">
        <f t="shared" si="163"/>
        <v>-</v>
      </c>
      <c r="BN155" s="1055" t="str">
        <f t="shared" si="163"/>
        <v>-</v>
      </c>
      <c r="BO155" s="2308" t="str">
        <f t="shared" si="163"/>
        <v>-</v>
      </c>
      <c r="BP155" s="1055" t="str">
        <f t="shared" si="163"/>
        <v>-</v>
      </c>
      <c r="BQ155" s="2309" t="str">
        <f t="shared" si="163"/>
        <v>-</v>
      </c>
      <c r="BR155" s="1055" t="str">
        <f t="shared" si="163"/>
        <v>-</v>
      </c>
      <c r="BS155" s="1055" t="str">
        <f t="shared" si="163"/>
        <v>-</v>
      </c>
      <c r="BT155" s="1055" t="str">
        <f t="shared" si="163"/>
        <v>-</v>
      </c>
      <c r="BU155" s="1056" t="str">
        <f t="shared" si="163"/>
        <v>-</v>
      </c>
      <c r="BV155" s="1055" t="str">
        <f t="shared" si="163"/>
        <v>-</v>
      </c>
      <c r="BW155" s="1055" t="str">
        <f t="shared" si="163"/>
        <v>-</v>
      </c>
      <c r="BX155" s="1055" t="str">
        <f t="shared" si="163"/>
        <v>-</v>
      </c>
      <c r="BY155" s="1055" t="str">
        <f t="shared" si="163"/>
        <v>-</v>
      </c>
      <c r="BZ155" s="1056" t="str">
        <f t="shared" si="163"/>
        <v>-</v>
      </c>
    </row>
    <row r="156" spans="3:78" x14ac:dyDescent="0.3">
      <c r="C156" s="126"/>
      <c r="D156" s="126">
        <f>D153+1</f>
        <v>30</v>
      </c>
      <c r="E156" s="553" t="s">
        <v>45</v>
      </c>
      <c r="F156" s="581" t="s">
        <v>28</v>
      </c>
      <c r="G156" s="581"/>
      <c r="H156" s="581"/>
      <c r="I156" s="573" t="s">
        <v>319</v>
      </c>
      <c r="J156" s="573" t="s">
        <v>348</v>
      </c>
      <c r="K156" s="1969"/>
      <c r="L156" s="1970"/>
      <c r="M156" s="1970"/>
      <c r="N156" s="1971"/>
      <c r="O156" s="1970"/>
      <c r="P156" s="1970"/>
      <c r="Q156" s="1970"/>
      <c r="R156" s="1972"/>
      <c r="S156" s="1979"/>
      <c r="T156" s="1972"/>
      <c r="U156" s="1972"/>
      <c r="V156" s="1972"/>
      <c r="W156" s="575"/>
      <c r="X156" s="1238"/>
      <c r="Y156" s="575"/>
      <c r="Z156" s="575"/>
      <c r="AA156" s="575"/>
      <c r="AB156" s="1142"/>
      <c r="AC156" s="575"/>
      <c r="AD156" s="575"/>
      <c r="AE156" s="575"/>
      <c r="AF156" s="575"/>
      <c r="AG156" s="577"/>
      <c r="AH156" s="576"/>
      <c r="AI156" s="575"/>
      <c r="AJ156" s="575"/>
      <c r="AK156" s="575"/>
      <c r="AL156" s="577"/>
      <c r="AN156" s="1052"/>
      <c r="AP156" s="2297" t="str">
        <f t="shared" si="128"/>
        <v>Price</v>
      </c>
      <c r="AQ156" s="2298" t="str">
        <f t="shared" si="128"/>
        <v>[Service]</v>
      </c>
      <c r="AR156" s="1719" t="str">
        <f t="shared" si="129"/>
        <v>[Price]</v>
      </c>
      <c r="AS156" s="2299" t="str">
        <f t="shared" si="160"/>
        <v>-</v>
      </c>
      <c r="AT156" s="1728" t="str">
        <f t="shared" si="160"/>
        <v>-</v>
      </c>
      <c r="AU156" s="1728" t="str">
        <f t="shared" si="160"/>
        <v>-</v>
      </c>
      <c r="AV156" s="2300" t="str">
        <f t="shared" si="160"/>
        <v>-</v>
      </c>
      <c r="AW156" s="1728" t="str">
        <f t="shared" si="160"/>
        <v>-</v>
      </c>
      <c r="AX156" s="2301" t="str">
        <f t="shared" si="160"/>
        <v>-</v>
      </c>
      <c r="AY156" s="1728" t="str">
        <f t="shared" si="160"/>
        <v>-</v>
      </c>
      <c r="AZ156" s="1728" t="str">
        <f t="shared" si="160"/>
        <v>-</v>
      </c>
      <c r="BA156" s="1728" t="str">
        <f t="shared" si="160"/>
        <v>-</v>
      </c>
      <c r="BB156" s="1729" t="str">
        <f t="shared" si="160"/>
        <v>-</v>
      </c>
      <c r="BC156" s="1728" t="str">
        <f t="shared" si="160"/>
        <v>-</v>
      </c>
      <c r="BD156" s="1728" t="str">
        <f t="shared" si="160"/>
        <v>-</v>
      </c>
      <c r="BE156" s="1728" t="str">
        <f t="shared" si="160"/>
        <v>-</v>
      </c>
      <c r="BF156" s="1728" t="str">
        <f t="shared" si="160"/>
        <v>-</v>
      </c>
      <c r="BG156" s="1729" t="str">
        <f t="shared" si="160"/>
        <v>-</v>
      </c>
      <c r="BH156" s="1048"/>
      <c r="BI156" s="2297" t="str">
        <f t="shared" si="151"/>
        <v>Price</v>
      </c>
      <c r="BJ156" s="2298" t="str">
        <f t="shared" si="151"/>
        <v>[Service]</v>
      </c>
      <c r="BK156" s="1719" t="str">
        <f t="shared" si="151"/>
        <v>[Price]</v>
      </c>
      <c r="BL156" s="2299" t="str">
        <f t="shared" ref="BL156:BZ156" si="164">IF(OR(X156="",X156=0),"-",IFERROR((X156/W156-1)*(W158/W$13),"-"))</f>
        <v>-</v>
      </c>
      <c r="BM156" s="1053" t="str">
        <f t="shared" si="164"/>
        <v>-</v>
      </c>
      <c r="BN156" s="1053" t="str">
        <f t="shared" si="164"/>
        <v>-</v>
      </c>
      <c r="BO156" s="2302" t="str">
        <f t="shared" si="164"/>
        <v>-</v>
      </c>
      <c r="BP156" s="1053" t="str">
        <f t="shared" si="164"/>
        <v>-</v>
      </c>
      <c r="BQ156" s="2303" t="str">
        <f t="shared" si="164"/>
        <v>-</v>
      </c>
      <c r="BR156" s="1053" t="str">
        <f t="shared" si="164"/>
        <v>-</v>
      </c>
      <c r="BS156" s="1053" t="str">
        <f t="shared" si="164"/>
        <v>-</v>
      </c>
      <c r="BT156" s="1053" t="str">
        <f t="shared" si="164"/>
        <v>-</v>
      </c>
      <c r="BU156" s="1054" t="str">
        <f t="shared" si="164"/>
        <v>-</v>
      </c>
      <c r="BV156" s="1053" t="str">
        <f t="shared" si="164"/>
        <v>-</v>
      </c>
      <c r="BW156" s="1053" t="str">
        <f t="shared" si="164"/>
        <v>-</v>
      </c>
      <c r="BX156" s="1053" t="str">
        <f t="shared" si="164"/>
        <v>-</v>
      </c>
      <c r="BY156" s="1053" t="str">
        <f t="shared" si="164"/>
        <v>-</v>
      </c>
      <c r="BZ156" s="1054" t="str">
        <f t="shared" si="164"/>
        <v>-</v>
      </c>
    </row>
    <row r="157" spans="3:78" x14ac:dyDescent="0.3">
      <c r="C157" s="126"/>
      <c r="D157" s="126"/>
      <c r="E157" s="558" t="s">
        <v>46</v>
      </c>
      <c r="F157" s="1722" t="str">
        <f>+F156</f>
        <v>[Service]</v>
      </c>
      <c r="G157" s="1724">
        <f>+G156</f>
        <v>0</v>
      </c>
      <c r="H157" s="1724">
        <f>+H156</f>
        <v>0</v>
      </c>
      <c r="I157" s="1725" t="str">
        <f>+I156</f>
        <v>[Price]</v>
      </c>
      <c r="J157" s="574" t="s">
        <v>323</v>
      </c>
      <c r="K157" s="1973"/>
      <c r="L157" s="1974"/>
      <c r="M157" s="1974"/>
      <c r="N157" s="1975"/>
      <c r="O157" s="1974"/>
      <c r="P157" s="1974"/>
      <c r="Q157" s="1974"/>
      <c r="R157" s="1976"/>
      <c r="S157" s="1980"/>
      <c r="T157" s="1976"/>
      <c r="U157" s="1976"/>
      <c r="V157" s="1976"/>
      <c r="W157" s="578"/>
      <c r="X157" s="1239"/>
      <c r="Y157" s="578"/>
      <c r="Z157" s="578"/>
      <c r="AA157" s="578"/>
      <c r="AB157" s="1143"/>
      <c r="AC157" s="578"/>
      <c r="AD157" s="578"/>
      <c r="AE157" s="578"/>
      <c r="AF157" s="578"/>
      <c r="AG157" s="580"/>
      <c r="AH157" s="579"/>
      <c r="AI157" s="578"/>
      <c r="AJ157" s="578"/>
      <c r="AK157" s="578"/>
      <c r="AL157" s="580"/>
      <c r="AN157" s="991"/>
      <c r="AP157" s="2285" t="str">
        <f t="shared" si="128"/>
        <v>Qty</v>
      </c>
      <c r="AQ157" s="2286" t="str">
        <f t="shared" si="128"/>
        <v>[Service]</v>
      </c>
      <c r="AR157" s="2287" t="str">
        <f t="shared" si="129"/>
        <v>[Price]</v>
      </c>
      <c r="AS157" s="2288" t="str">
        <f t="shared" si="160"/>
        <v>-</v>
      </c>
      <c r="AT157" s="1720" t="str">
        <f t="shared" si="160"/>
        <v>-</v>
      </c>
      <c r="AU157" s="1720" t="str">
        <f t="shared" si="160"/>
        <v>-</v>
      </c>
      <c r="AV157" s="2289" t="str">
        <f t="shared" si="160"/>
        <v>-</v>
      </c>
      <c r="AW157" s="1720" t="str">
        <f t="shared" si="160"/>
        <v>-</v>
      </c>
      <c r="AX157" s="2290" t="str">
        <f t="shared" si="160"/>
        <v>-</v>
      </c>
      <c r="AY157" s="1720" t="str">
        <f t="shared" si="160"/>
        <v>-</v>
      </c>
      <c r="AZ157" s="1720" t="str">
        <f t="shared" si="160"/>
        <v>-</v>
      </c>
      <c r="BA157" s="1720" t="str">
        <f t="shared" si="160"/>
        <v>-</v>
      </c>
      <c r="BB157" s="1721" t="str">
        <f t="shared" si="160"/>
        <v>-</v>
      </c>
      <c r="BC157" s="1720" t="str">
        <f t="shared" si="160"/>
        <v>-</v>
      </c>
      <c r="BD157" s="1720" t="str">
        <f t="shared" si="160"/>
        <v>-</v>
      </c>
      <c r="BE157" s="1720" t="str">
        <f t="shared" si="160"/>
        <v>-</v>
      </c>
      <c r="BF157" s="1720" t="str">
        <f t="shared" si="160"/>
        <v>-</v>
      </c>
      <c r="BG157" s="1721" t="str">
        <f t="shared" si="160"/>
        <v>-</v>
      </c>
      <c r="BH157" s="1048"/>
      <c r="BI157" s="2285" t="str">
        <f t="shared" si="151"/>
        <v>Qty</v>
      </c>
      <c r="BJ157" s="2286" t="str">
        <f t="shared" si="151"/>
        <v>[Service]</v>
      </c>
      <c r="BK157" s="2287" t="str">
        <f t="shared" si="151"/>
        <v>[Price]</v>
      </c>
      <c r="BL157" s="2288" t="str">
        <f t="shared" ref="BL157:BZ157" si="165">IF(OR(X157="",X157=0),"-",IFERROR((X157/W157-1)*(W158/W$13),"-"))</f>
        <v>-</v>
      </c>
      <c r="BM157" s="1720" t="str">
        <f t="shared" si="165"/>
        <v>-</v>
      </c>
      <c r="BN157" s="1720" t="str">
        <f t="shared" si="165"/>
        <v>-</v>
      </c>
      <c r="BO157" s="2289" t="str">
        <f t="shared" si="165"/>
        <v>-</v>
      </c>
      <c r="BP157" s="1720" t="str">
        <f t="shared" si="165"/>
        <v>-</v>
      </c>
      <c r="BQ157" s="2290" t="str">
        <f t="shared" si="165"/>
        <v>-</v>
      </c>
      <c r="BR157" s="1720" t="str">
        <f t="shared" si="165"/>
        <v>-</v>
      </c>
      <c r="BS157" s="1720" t="str">
        <f t="shared" si="165"/>
        <v>-</v>
      </c>
      <c r="BT157" s="1720" t="str">
        <f t="shared" si="165"/>
        <v>-</v>
      </c>
      <c r="BU157" s="1721" t="str">
        <f t="shared" si="165"/>
        <v>-</v>
      </c>
      <c r="BV157" s="1720" t="str">
        <f t="shared" si="165"/>
        <v>-</v>
      </c>
      <c r="BW157" s="1720" t="str">
        <f t="shared" si="165"/>
        <v>-</v>
      </c>
      <c r="BX157" s="1720" t="str">
        <f t="shared" si="165"/>
        <v>-</v>
      </c>
      <c r="BY157" s="1720" t="str">
        <f t="shared" si="165"/>
        <v>-</v>
      </c>
      <c r="BZ157" s="1721" t="str">
        <f t="shared" si="165"/>
        <v>-</v>
      </c>
    </row>
    <row r="158" spans="3:78" ht="12.5" thickBot="1" x14ac:dyDescent="0.35">
      <c r="C158" s="126"/>
      <c r="D158" s="126"/>
      <c r="E158" s="559" t="s">
        <v>47</v>
      </c>
      <c r="F158" s="1723" t="str">
        <f>+F156</f>
        <v>[Service]</v>
      </c>
      <c r="G158" s="1726">
        <f>+G156</f>
        <v>0</v>
      </c>
      <c r="H158" s="1726">
        <f>+H156</f>
        <v>0</v>
      </c>
      <c r="I158" s="1727" t="str">
        <f>+I156</f>
        <v>[Price]</v>
      </c>
      <c r="J158" s="556" t="s">
        <v>347</v>
      </c>
      <c r="K158" s="1977"/>
      <c r="L158" s="1206"/>
      <c r="M158" s="1206"/>
      <c r="N158" s="1978"/>
      <c r="O158" s="1206"/>
      <c r="P158" s="1206"/>
      <c r="Q158" s="1206"/>
      <c r="R158" s="1206"/>
      <c r="S158" s="1978"/>
      <c r="T158" s="1206"/>
      <c r="U158" s="1206"/>
      <c r="V158" s="1206"/>
      <c r="W158" s="1731">
        <f t="shared" ref="W158:AG158" si="166">W156*W157/10^6</f>
        <v>0</v>
      </c>
      <c r="X158" s="1730">
        <f t="shared" si="166"/>
        <v>0</v>
      </c>
      <c r="Y158" s="1731">
        <f t="shared" si="166"/>
        <v>0</v>
      </c>
      <c r="Z158" s="1731">
        <f t="shared" si="166"/>
        <v>0</v>
      </c>
      <c r="AA158" s="1731">
        <f t="shared" si="166"/>
        <v>0</v>
      </c>
      <c r="AB158" s="1733">
        <f t="shared" si="166"/>
        <v>0</v>
      </c>
      <c r="AC158" s="1731">
        <f t="shared" si="166"/>
        <v>0</v>
      </c>
      <c r="AD158" s="1731">
        <f t="shared" si="166"/>
        <v>0</v>
      </c>
      <c r="AE158" s="1731">
        <f t="shared" si="166"/>
        <v>0</v>
      </c>
      <c r="AF158" s="1731">
        <f t="shared" si="166"/>
        <v>0</v>
      </c>
      <c r="AG158" s="1733">
        <f t="shared" si="166"/>
        <v>0</v>
      </c>
      <c r="AH158" s="1732">
        <f>AH156*AH157/10^6</f>
        <v>0</v>
      </c>
      <c r="AI158" s="1731">
        <f>AI156*AI157/10^6</f>
        <v>0</v>
      </c>
      <c r="AJ158" s="1731">
        <f>AJ156*AJ157/10^6</f>
        <v>0</v>
      </c>
      <c r="AK158" s="1731">
        <f>AK156*AK157/10^6</f>
        <v>0</v>
      </c>
      <c r="AL158" s="1733">
        <f>AL156*AL157/10^6</f>
        <v>0</v>
      </c>
      <c r="AN158" s="991"/>
      <c r="AP158" s="2304" t="str">
        <f t="shared" si="128"/>
        <v>Rev</v>
      </c>
      <c r="AQ158" s="2305" t="str">
        <f t="shared" si="128"/>
        <v>[Service]</v>
      </c>
      <c r="AR158" s="2306" t="str">
        <f t="shared" si="129"/>
        <v>[Price]</v>
      </c>
      <c r="AS158" s="2307" t="str">
        <f t="shared" si="160"/>
        <v>-</v>
      </c>
      <c r="AT158" s="1055" t="str">
        <f t="shared" si="160"/>
        <v>-</v>
      </c>
      <c r="AU158" s="1055" t="str">
        <f t="shared" si="160"/>
        <v>-</v>
      </c>
      <c r="AV158" s="2308" t="str">
        <f t="shared" si="160"/>
        <v>-</v>
      </c>
      <c r="AW158" s="1055" t="str">
        <f t="shared" si="160"/>
        <v>-</v>
      </c>
      <c r="AX158" s="2309" t="str">
        <f t="shared" si="160"/>
        <v>-</v>
      </c>
      <c r="AY158" s="1055" t="str">
        <f t="shared" si="160"/>
        <v>-</v>
      </c>
      <c r="AZ158" s="1055" t="str">
        <f t="shared" si="160"/>
        <v>-</v>
      </c>
      <c r="BA158" s="1055" t="str">
        <f t="shared" si="160"/>
        <v>-</v>
      </c>
      <c r="BB158" s="1056" t="str">
        <f t="shared" si="160"/>
        <v>-</v>
      </c>
      <c r="BC158" s="1055" t="str">
        <f t="shared" si="160"/>
        <v>-</v>
      </c>
      <c r="BD158" s="1055" t="str">
        <f t="shared" si="160"/>
        <v>-</v>
      </c>
      <c r="BE158" s="1055" t="str">
        <f t="shared" si="160"/>
        <v>-</v>
      </c>
      <c r="BF158" s="1055" t="str">
        <f t="shared" si="160"/>
        <v>-</v>
      </c>
      <c r="BG158" s="1056" t="str">
        <f t="shared" si="160"/>
        <v>-</v>
      </c>
      <c r="BH158" s="1048"/>
      <c r="BI158" s="2304" t="str">
        <f t="shared" si="151"/>
        <v>Rev</v>
      </c>
      <c r="BJ158" s="2305" t="str">
        <f t="shared" si="151"/>
        <v>[Service]</v>
      </c>
      <c r="BK158" s="2306" t="str">
        <f t="shared" si="151"/>
        <v>[Price]</v>
      </c>
      <c r="BL158" s="2307" t="str">
        <f t="shared" ref="BL158:BZ158" si="167">IF(OR(X158="",X158=0),"-",IFERROR((X158/W158-1)*(W158/W$13),"-"))</f>
        <v>-</v>
      </c>
      <c r="BM158" s="1055" t="str">
        <f t="shared" si="167"/>
        <v>-</v>
      </c>
      <c r="BN158" s="1055" t="str">
        <f t="shared" si="167"/>
        <v>-</v>
      </c>
      <c r="BO158" s="2308" t="str">
        <f t="shared" si="167"/>
        <v>-</v>
      </c>
      <c r="BP158" s="1055" t="str">
        <f t="shared" si="167"/>
        <v>-</v>
      </c>
      <c r="BQ158" s="2309" t="str">
        <f t="shared" si="167"/>
        <v>-</v>
      </c>
      <c r="BR158" s="1055" t="str">
        <f t="shared" si="167"/>
        <v>-</v>
      </c>
      <c r="BS158" s="1055" t="str">
        <f t="shared" si="167"/>
        <v>-</v>
      </c>
      <c r="BT158" s="1055" t="str">
        <f t="shared" si="167"/>
        <v>-</v>
      </c>
      <c r="BU158" s="1056" t="str">
        <f t="shared" si="167"/>
        <v>-</v>
      </c>
      <c r="BV158" s="1055" t="str">
        <f t="shared" si="167"/>
        <v>-</v>
      </c>
      <c r="BW158" s="1055" t="str">
        <f t="shared" si="167"/>
        <v>-</v>
      </c>
      <c r="BX158" s="1055" t="str">
        <f t="shared" si="167"/>
        <v>-</v>
      </c>
      <c r="BY158" s="1055" t="str">
        <f t="shared" si="167"/>
        <v>-</v>
      </c>
      <c r="BZ158" s="1056" t="str">
        <f t="shared" si="167"/>
        <v>-</v>
      </c>
    </row>
    <row r="159" spans="3:78" x14ac:dyDescent="0.3">
      <c r="C159" s="126"/>
      <c r="D159" s="126">
        <f>D156+1</f>
        <v>31</v>
      </c>
      <c r="E159" s="553" t="s">
        <v>45</v>
      </c>
      <c r="F159" s="581" t="s">
        <v>28</v>
      </c>
      <c r="G159" s="581"/>
      <c r="H159" s="581"/>
      <c r="I159" s="573" t="s">
        <v>319</v>
      </c>
      <c r="J159" s="573" t="s">
        <v>348</v>
      </c>
      <c r="K159" s="1969"/>
      <c r="L159" s="1970"/>
      <c r="M159" s="1970"/>
      <c r="N159" s="1971"/>
      <c r="O159" s="1970"/>
      <c r="P159" s="1970"/>
      <c r="Q159" s="1970"/>
      <c r="R159" s="1972"/>
      <c r="S159" s="1979"/>
      <c r="T159" s="1972"/>
      <c r="U159" s="1972"/>
      <c r="V159" s="1972"/>
      <c r="W159" s="575"/>
      <c r="X159" s="1238"/>
      <c r="Y159" s="575"/>
      <c r="Z159" s="575"/>
      <c r="AA159" s="575"/>
      <c r="AB159" s="1142"/>
      <c r="AC159" s="575"/>
      <c r="AD159" s="575"/>
      <c r="AE159" s="575"/>
      <c r="AF159" s="575"/>
      <c r="AG159" s="577"/>
      <c r="AH159" s="576"/>
      <c r="AI159" s="575"/>
      <c r="AJ159" s="575"/>
      <c r="AK159" s="575"/>
      <c r="AL159" s="577"/>
      <c r="AN159" s="1052"/>
      <c r="AP159" s="2297" t="str">
        <f t="shared" si="128"/>
        <v>Price</v>
      </c>
      <c r="AQ159" s="2298" t="str">
        <f t="shared" si="128"/>
        <v>[Service]</v>
      </c>
      <c r="AR159" s="1719" t="str">
        <f t="shared" si="129"/>
        <v>[Price]</v>
      </c>
      <c r="AS159" s="2299" t="str">
        <f t="shared" si="160"/>
        <v>-</v>
      </c>
      <c r="AT159" s="1728" t="str">
        <f t="shared" si="160"/>
        <v>-</v>
      </c>
      <c r="AU159" s="1728" t="str">
        <f t="shared" si="160"/>
        <v>-</v>
      </c>
      <c r="AV159" s="2300" t="str">
        <f t="shared" si="160"/>
        <v>-</v>
      </c>
      <c r="AW159" s="1728" t="str">
        <f t="shared" si="160"/>
        <v>-</v>
      </c>
      <c r="AX159" s="2301" t="str">
        <f t="shared" si="160"/>
        <v>-</v>
      </c>
      <c r="AY159" s="1728" t="str">
        <f t="shared" si="160"/>
        <v>-</v>
      </c>
      <c r="AZ159" s="1728" t="str">
        <f t="shared" si="160"/>
        <v>-</v>
      </c>
      <c r="BA159" s="1728" t="str">
        <f t="shared" si="160"/>
        <v>-</v>
      </c>
      <c r="BB159" s="1729" t="str">
        <f t="shared" si="160"/>
        <v>-</v>
      </c>
      <c r="BC159" s="1728" t="str">
        <f t="shared" si="160"/>
        <v>-</v>
      </c>
      <c r="BD159" s="1728" t="str">
        <f t="shared" si="160"/>
        <v>-</v>
      </c>
      <c r="BE159" s="1728" t="str">
        <f t="shared" si="160"/>
        <v>-</v>
      </c>
      <c r="BF159" s="1728" t="str">
        <f t="shared" si="160"/>
        <v>-</v>
      </c>
      <c r="BG159" s="1729" t="str">
        <f t="shared" si="160"/>
        <v>-</v>
      </c>
      <c r="BH159" s="1048"/>
      <c r="BI159" s="2297" t="str">
        <f t="shared" si="151"/>
        <v>Price</v>
      </c>
      <c r="BJ159" s="2298" t="str">
        <f t="shared" si="151"/>
        <v>[Service]</v>
      </c>
      <c r="BK159" s="1719" t="str">
        <f t="shared" si="151"/>
        <v>[Price]</v>
      </c>
      <c r="BL159" s="2299" t="str">
        <f t="shared" ref="BL159:BZ159" si="168">IF(OR(X159="",X159=0),"-",IFERROR((X159/W159-1)*(W161/W$13),"-"))</f>
        <v>-</v>
      </c>
      <c r="BM159" s="1053" t="str">
        <f t="shared" si="168"/>
        <v>-</v>
      </c>
      <c r="BN159" s="1053" t="str">
        <f t="shared" si="168"/>
        <v>-</v>
      </c>
      <c r="BO159" s="2302" t="str">
        <f t="shared" si="168"/>
        <v>-</v>
      </c>
      <c r="BP159" s="1053" t="str">
        <f t="shared" si="168"/>
        <v>-</v>
      </c>
      <c r="BQ159" s="2303" t="str">
        <f t="shared" si="168"/>
        <v>-</v>
      </c>
      <c r="BR159" s="1053" t="str">
        <f t="shared" si="168"/>
        <v>-</v>
      </c>
      <c r="BS159" s="1053" t="str">
        <f t="shared" si="168"/>
        <v>-</v>
      </c>
      <c r="BT159" s="1053" t="str">
        <f t="shared" si="168"/>
        <v>-</v>
      </c>
      <c r="BU159" s="1054" t="str">
        <f t="shared" si="168"/>
        <v>-</v>
      </c>
      <c r="BV159" s="1053" t="str">
        <f t="shared" si="168"/>
        <v>-</v>
      </c>
      <c r="BW159" s="1053" t="str">
        <f t="shared" si="168"/>
        <v>-</v>
      </c>
      <c r="BX159" s="1053" t="str">
        <f t="shared" si="168"/>
        <v>-</v>
      </c>
      <c r="BY159" s="1053" t="str">
        <f t="shared" si="168"/>
        <v>-</v>
      </c>
      <c r="BZ159" s="1054" t="str">
        <f t="shared" si="168"/>
        <v>-</v>
      </c>
    </row>
    <row r="160" spans="3:78" x14ac:dyDescent="0.3">
      <c r="C160" s="126"/>
      <c r="D160" s="126"/>
      <c r="E160" s="558" t="s">
        <v>46</v>
      </c>
      <c r="F160" s="1722" t="str">
        <f>+F159</f>
        <v>[Service]</v>
      </c>
      <c r="G160" s="1724">
        <f>+G159</f>
        <v>0</v>
      </c>
      <c r="H160" s="1724">
        <f>+H159</f>
        <v>0</v>
      </c>
      <c r="I160" s="1725" t="str">
        <f>+I159</f>
        <v>[Price]</v>
      </c>
      <c r="J160" s="574" t="s">
        <v>323</v>
      </c>
      <c r="K160" s="1973"/>
      <c r="L160" s="1974"/>
      <c r="M160" s="1974"/>
      <c r="N160" s="1975"/>
      <c r="O160" s="1974"/>
      <c r="P160" s="1974"/>
      <c r="Q160" s="1974"/>
      <c r="R160" s="1976"/>
      <c r="S160" s="1980"/>
      <c r="T160" s="1976"/>
      <c r="U160" s="1976"/>
      <c r="V160" s="1976"/>
      <c r="W160" s="578"/>
      <c r="X160" s="1239"/>
      <c r="Y160" s="578"/>
      <c r="Z160" s="578"/>
      <c r="AA160" s="578"/>
      <c r="AB160" s="1143"/>
      <c r="AC160" s="578"/>
      <c r="AD160" s="578"/>
      <c r="AE160" s="578"/>
      <c r="AF160" s="578"/>
      <c r="AG160" s="580"/>
      <c r="AH160" s="579"/>
      <c r="AI160" s="578"/>
      <c r="AJ160" s="578"/>
      <c r="AK160" s="578"/>
      <c r="AL160" s="580"/>
      <c r="AN160" s="991"/>
      <c r="AP160" s="2285" t="str">
        <f t="shared" si="128"/>
        <v>Qty</v>
      </c>
      <c r="AQ160" s="2286" t="str">
        <f t="shared" si="128"/>
        <v>[Service]</v>
      </c>
      <c r="AR160" s="2287" t="str">
        <f t="shared" si="129"/>
        <v>[Price]</v>
      </c>
      <c r="AS160" s="2288" t="str">
        <f t="shared" si="160"/>
        <v>-</v>
      </c>
      <c r="AT160" s="1720" t="str">
        <f t="shared" si="160"/>
        <v>-</v>
      </c>
      <c r="AU160" s="1720" t="str">
        <f t="shared" si="160"/>
        <v>-</v>
      </c>
      <c r="AV160" s="2289" t="str">
        <f t="shared" si="160"/>
        <v>-</v>
      </c>
      <c r="AW160" s="1720" t="str">
        <f t="shared" si="160"/>
        <v>-</v>
      </c>
      <c r="AX160" s="2290" t="str">
        <f t="shared" si="160"/>
        <v>-</v>
      </c>
      <c r="AY160" s="1720" t="str">
        <f t="shared" si="160"/>
        <v>-</v>
      </c>
      <c r="AZ160" s="1720" t="str">
        <f t="shared" si="160"/>
        <v>-</v>
      </c>
      <c r="BA160" s="1720" t="str">
        <f t="shared" si="160"/>
        <v>-</v>
      </c>
      <c r="BB160" s="1721" t="str">
        <f t="shared" si="160"/>
        <v>-</v>
      </c>
      <c r="BC160" s="1720" t="str">
        <f t="shared" si="160"/>
        <v>-</v>
      </c>
      <c r="BD160" s="1720" t="str">
        <f t="shared" si="160"/>
        <v>-</v>
      </c>
      <c r="BE160" s="1720" t="str">
        <f t="shared" si="160"/>
        <v>-</v>
      </c>
      <c r="BF160" s="1720" t="str">
        <f t="shared" si="160"/>
        <v>-</v>
      </c>
      <c r="BG160" s="1721" t="str">
        <f t="shared" si="160"/>
        <v>-</v>
      </c>
      <c r="BH160" s="1048"/>
      <c r="BI160" s="2285" t="str">
        <f t="shared" si="151"/>
        <v>Qty</v>
      </c>
      <c r="BJ160" s="2286" t="str">
        <f t="shared" si="151"/>
        <v>[Service]</v>
      </c>
      <c r="BK160" s="2287" t="str">
        <f t="shared" si="151"/>
        <v>[Price]</v>
      </c>
      <c r="BL160" s="2288" t="str">
        <f t="shared" ref="BL160:BZ160" si="169">IF(OR(X160="",X160=0),"-",IFERROR((X160/W160-1)*(W161/W$13),"-"))</f>
        <v>-</v>
      </c>
      <c r="BM160" s="1720" t="str">
        <f t="shared" si="169"/>
        <v>-</v>
      </c>
      <c r="BN160" s="1720" t="str">
        <f t="shared" si="169"/>
        <v>-</v>
      </c>
      <c r="BO160" s="2289" t="str">
        <f t="shared" si="169"/>
        <v>-</v>
      </c>
      <c r="BP160" s="1720" t="str">
        <f t="shared" si="169"/>
        <v>-</v>
      </c>
      <c r="BQ160" s="2290" t="str">
        <f t="shared" si="169"/>
        <v>-</v>
      </c>
      <c r="BR160" s="1720" t="str">
        <f t="shared" si="169"/>
        <v>-</v>
      </c>
      <c r="BS160" s="1720" t="str">
        <f t="shared" si="169"/>
        <v>-</v>
      </c>
      <c r="BT160" s="1720" t="str">
        <f t="shared" si="169"/>
        <v>-</v>
      </c>
      <c r="BU160" s="1721" t="str">
        <f t="shared" si="169"/>
        <v>-</v>
      </c>
      <c r="BV160" s="1720" t="str">
        <f t="shared" si="169"/>
        <v>-</v>
      </c>
      <c r="BW160" s="1720" t="str">
        <f t="shared" si="169"/>
        <v>-</v>
      </c>
      <c r="BX160" s="1720" t="str">
        <f t="shared" si="169"/>
        <v>-</v>
      </c>
      <c r="BY160" s="1720" t="str">
        <f t="shared" si="169"/>
        <v>-</v>
      </c>
      <c r="BZ160" s="1721" t="str">
        <f t="shared" si="169"/>
        <v>-</v>
      </c>
    </row>
    <row r="161" spans="3:78" ht="12.5" thickBot="1" x14ac:dyDescent="0.35">
      <c r="C161" s="126"/>
      <c r="D161" s="126"/>
      <c r="E161" s="559" t="s">
        <v>47</v>
      </c>
      <c r="F161" s="1723" t="str">
        <f>+F159</f>
        <v>[Service]</v>
      </c>
      <c r="G161" s="1726">
        <f>+G159</f>
        <v>0</v>
      </c>
      <c r="H161" s="1726">
        <f>+H159</f>
        <v>0</v>
      </c>
      <c r="I161" s="1727" t="str">
        <f>+I159</f>
        <v>[Price]</v>
      </c>
      <c r="J161" s="556" t="s">
        <v>347</v>
      </c>
      <c r="K161" s="1977"/>
      <c r="L161" s="1206"/>
      <c r="M161" s="1206"/>
      <c r="N161" s="1978"/>
      <c r="O161" s="1206"/>
      <c r="P161" s="1206"/>
      <c r="Q161" s="1206"/>
      <c r="R161" s="1206"/>
      <c r="S161" s="1978"/>
      <c r="T161" s="1206"/>
      <c r="U161" s="1206"/>
      <c r="V161" s="1206"/>
      <c r="W161" s="1731">
        <f t="shared" ref="W161:AG161" si="170">W159*W160/10^6</f>
        <v>0</v>
      </c>
      <c r="X161" s="1730">
        <f t="shared" si="170"/>
        <v>0</v>
      </c>
      <c r="Y161" s="1731">
        <f t="shared" si="170"/>
        <v>0</v>
      </c>
      <c r="Z161" s="1731">
        <f t="shared" si="170"/>
        <v>0</v>
      </c>
      <c r="AA161" s="1731">
        <f t="shared" si="170"/>
        <v>0</v>
      </c>
      <c r="AB161" s="1733">
        <f t="shared" si="170"/>
        <v>0</v>
      </c>
      <c r="AC161" s="1731">
        <f t="shared" si="170"/>
        <v>0</v>
      </c>
      <c r="AD161" s="1731">
        <f t="shared" si="170"/>
        <v>0</v>
      </c>
      <c r="AE161" s="1731">
        <f t="shared" si="170"/>
        <v>0</v>
      </c>
      <c r="AF161" s="1731">
        <f t="shared" si="170"/>
        <v>0</v>
      </c>
      <c r="AG161" s="1733">
        <f t="shared" si="170"/>
        <v>0</v>
      </c>
      <c r="AH161" s="1732">
        <f>AH159*AH160/10^6</f>
        <v>0</v>
      </c>
      <c r="AI161" s="1731">
        <f>AI159*AI160/10^6</f>
        <v>0</v>
      </c>
      <c r="AJ161" s="1731">
        <f>AJ159*AJ160/10^6</f>
        <v>0</v>
      </c>
      <c r="AK161" s="1731">
        <f>AK159*AK160/10^6</f>
        <v>0</v>
      </c>
      <c r="AL161" s="1733">
        <f>AL159*AL160/10^6</f>
        <v>0</v>
      </c>
      <c r="AN161" s="991"/>
      <c r="AP161" s="2304" t="str">
        <f t="shared" si="128"/>
        <v>Rev</v>
      </c>
      <c r="AQ161" s="2305" t="str">
        <f t="shared" si="128"/>
        <v>[Service]</v>
      </c>
      <c r="AR161" s="2306" t="str">
        <f t="shared" si="129"/>
        <v>[Price]</v>
      </c>
      <c r="AS161" s="2307" t="str">
        <f t="shared" si="160"/>
        <v>-</v>
      </c>
      <c r="AT161" s="1055" t="str">
        <f t="shared" si="160"/>
        <v>-</v>
      </c>
      <c r="AU161" s="1055" t="str">
        <f t="shared" si="160"/>
        <v>-</v>
      </c>
      <c r="AV161" s="2308" t="str">
        <f t="shared" si="160"/>
        <v>-</v>
      </c>
      <c r="AW161" s="1055" t="str">
        <f t="shared" si="160"/>
        <v>-</v>
      </c>
      <c r="AX161" s="2309" t="str">
        <f t="shared" si="160"/>
        <v>-</v>
      </c>
      <c r="AY161" s="1055" t="str">
        <f t="shared" si="160"/>
        <v>-</v>
      </c>
      <c r="AZ161" s="1055" t="str">
        <f t="shared" si="160"/>
        <v>-</v>
      </c>
      <c r="BA161" s="1055" t="str">
        <f t="shared" si="160"/>
        <v>-</v>
      </c>
      <c r="BB161" s="1056" t="str">
        <f t="shared" si="160"/>
        <v>-</v>
      </c>
      <c r="BC161" s="1055" t="str">
        <f t="shared" si="160"/>
        <v>-</v>
      </c>
      <c r="BD161" s="1055" t="str">
        <f t="shared" si="160"/>
        <v>-</v>
      </c>
      <c r="BE161" s="1055" t="str">
        <f t="shared" si="160"/>
        <v>-</v>
      </c>
      <c r="BF161" s="1055" t="str">
        <f t="shared" si="160"/>
        <v>-</v>
      </c>
      <c r="BG161" s="1056" t="str">
        <f t="shared" si="160"/>
        <v>-</v>
      </c>
      <c r="BH161" s="1048"/>
      <c r="BI161" s="2304" t="str">
        <f t="shared" si="151"/>
        <v>Rev</v>
      </c>
      <c r="BJ161" s="2305" t="str">
        <f t="shared" si="151"/>
        <v>[Service]</v>
      </c>
      <c r="BK161" s="2306" t="str">
        <f t="shared" si="151"/>
        <v>[Price]</v>
      </c>
      <c r="BL161" s="2307" t="str">
        <f t="shared" ref="BL161:BZ161" si="171">IF(OR(X161="",X161=0),"-",IFERROR((X161/W161-1)*(W161/W$13),"-"))</f>
        <v>-</v>
      </c>
      <c r="BM161" s="1055" t="str">
        <f t="shared" si="171"/>
        <v>-</v>
      </c>
      <c r="BN161" s="1055" t="str">
        <f t="shared" si="171"/>
        <v>-</v>
      </c>
      <c r="BO161" s="2308" t="str">
        <f t="shared" si="171"/>
        <v>-</v>
      </c>
      <c r="BP161" s="1055" t="str">
        <f t="shared" si="171"/>
        <v>-</v>
      </c>
      <c r="BQ161" s="2309" t="str">
        <f t="shared" si="171"/>
        <v>-</v>
      </c>
      <c r="BR161" s="1055" t="str">
        <f t="shared" si="171"/>
        <v>-</v>
      </c>
      <c r="BS161" s="1055" t="str">
        <f t="shared" si="171"/>
        <v>-</v>
      </c>
      <c r="BT161" s="1055" t="str">
        <f t="shared" si="171"/>
        <v>-</v>
      </c>
      <c r="BU161" s="1056" t="str">
        <f t="shared" si="171"/>
        <v>-</v>
      </c>
      <c r="BV161" s="1055" t="str">
        <f t="shared" si="171"/>
        <v>-</v>
      </c>
      <c r="BW161" s="1055" t="str">
        <f t="shared" si="171"/>
        <v>-</v>
      </c>
      <c r="BX161" s="1055" t="str">
        <f t="shared" si="171"/>
        <v>-</v>
      </c>
      <c r="BY161" s="1055" t="str">
        <f t="shared" si="171"/>
        <v>-</v>
      </c>
      <c r="BZ161" s="1056" t="str">
        <f t="shared" si="171"/>
        <v>-</v>
      </c>
    </row>
    <row r="162" spans="3:78" x14ac:dyDescent="0.3">
      <c r="C162" s="126"/>
      <c r="D162" s="126">
        <f>D159+1</f>
        <v>32</v>
      </c>
      <c r="E162" s="553" t="s">
        <v>45</v>
      </c>
      <c r="F162" s="581" t="s">
        <v>28</v>
      </c>
      <c r="G162" s="581"/>
      <c r="H162" s="581"/>
      <c r="I162" s="573" t="s">
        <v>319</v>
      </c>
      <c r="J162" s="573" t="s">
        <v>348</v>
      </c>
      <c r="K162" s="1969"/>
      <c r="L162" s="1970"/>
      <c r="M162" s="1970"/>
      <c r="N162" s="1971"/>
      <c r="O162" s="1970"/>
      <c r="P162" s="1970"/>
      <c r="Q162" s="1970"/>
      <c r="R162" s="1972"/>
      <c r="S162" s="1979"/>
      <c r="T162" s="1972"/>
      <c r="U162" s="1972"/>
      <c r="V162" s="1972"/>
      <c r="W162" s="575"/>
      <c r="X162" s="1238"/>
      <c r="Y162" s="575"/>
      <c r="Z162" s="575"/>
      <c r="AA162" s="575"/>
      <c r="AB162" s="1142"/>
      <c r="AC162" s="575"/>
      <c r="AD162" s="575"/>
      <c r="AE162" s="575"/>
      <c r="AF162" s="575"/>
      <c r="AG162" s="577"/>
      <c r="AH162" s="576"/>
      <c r="AI162" s="575"/>
      <c r="AJ162" s="575"/>
      <c r="AK162" s="575"/>
      <c r="AL162" s="577"/>
      <c r="AN162" s="1052"/>
      <c r="AP162" s="2297" t="str">
        <f t="shared" si="128"/>
        <v>Price</v>
      </c>
      <c r="AQ162" s="2298" t="str">
        <f t="shared" si="128"/>
        <v>[Service]</v>
      </c>
      <c r="AR162" s="1719" t="str">
        <f t="shared" si="129"/>
        <v>[Price]</v>
      </c>
      <c r="AS162" s="2299" t="str">
        <f t="shared" si="160"/>
        <v>-</v>
      </c>
      <c r="AT162" s="1728" t="str">
        <f t="shared" si="160"/>
        <v>-</v>
      </c>
      <c r="AU162" s="1728" t="str">
        <f t="shared" si="160"/>
        <v>-</v>
      </c>
      <c r="AV162" s="2300" t="str">
        <f t="shared" si="160"/>
        <v>-</v>
      </c>
      <c r="AW162" s="1728" t="str">
        <f t="shared" si="160"/>
        <v>-</v>
      </c>
      <c r="AX162" s="2301" t="str">
        <f t="shared" si="160"/>
        <v>-</v>
      </c>
      <c r="AY162" s="1728" t="str">
        <f t="shared" si="160"/>
        <v>-</v>
      </c>
      <c r="AZ162" s="1728" t="str">
        <f t="shared" si="160"/>
        <v>-</v>
      </c>
      <c r="BA162" s="1728" t="str">
        <f t="shared" si="160"/>
        <v>-</v>
      </c>
      <c r="BB162" s="1729" t="str">
        <f t="shared" si="160"/>
        <v>-</v>
      </c>
      <c r="BC162" s="1728" t="str">
        <f t="shared" si="160"/>
        <v>-</v>
      </c>
      <c r="BD162" s="1728" t="str">
        <f t="shared" si="160"/>
        <v>-</v>
      </c>
      <c r="BE162" s="1728" t="str">
        <f t="shared" si="160"/>
        <v>-</v>
      </c>
      <c r="BF162" s="1728" t="str">
        <f t="shared" si="160"/>
        <v>-</v>
      </c>
      <c r="BG162" s="1729" t="str">
        <f t="shared" si="160"/>
        <v>-</v>
      </c>
      <c r="BH162" s="1048"/>
      <c r="BI162" s="2297" t="str">
        <f t="shared" si="151"/>
        <v>Price</v>
      </c>
      <c r="BJ162" s="2298" t="str">
        <f t="shared" si="151"/>
        <v>[Service]</v>
      </c>
      <c r="BK162" s="1719" t="str">
        <f t="shared" si="151"/>
        <v>[Price]</v>
      </c>
      <c r="BL162" s="2299" t="str">
        <f t="shared" ref="BL162:BZ162" si="172">IF(OR(X162="",X162=0),"-",IFERROR((X162/W162-1)*(W164/W$13),"-"))</f>
        <v>-</v>
      </c>
      <c r="BM162" s="1053" t="str">
        <f t="shared" si="172"/>
        <v>-</v>
      </c>
      <c r="BN162" s="1053" t="str">
        <f t="shared" si="172"/>
        <v>-</v>
      </c>
      <c r="BO162" s="2302" t="str">
        <f t="shared" si="172"/>
        <v>-</v>
      </c>
      <c r="BP162" s="1053" t="str">
        <f t="shared" si="172"/>
        <v>-</v>
      </c>
      <c r="BQ162" s="2303" t="str">
        <f t="shared" si="172"/>
        <v>-</v>
      </c>
      <c r="BR162" s="1053" t="str">
        <f t="shared" si="172"/>
        <v>-</v>
      </c>
      <c r="BS162" s="1053" t="str">
        <f t="shared" si="172"/>
        <v>-</v>
      </c>
      <c r="BT162" s="1053" t="str">
        <f t="shared" si="172"/>
        <v>-</v>
      </c>
      <c r="BU162" s="1054" t="str">
        <f t="shared" si="172"/>
        <v>-</v>
      </c>
      <c r="BV162" s="1053" t="str">
        <f t="shared" si="172"/>
        <v>-</v>
      </c>
      <c r="BW162" s="1053" t="str">
        <f t="shared" si="172"/>
        <v>-</v>
      </c>
      <c r="BX162" s="1053" t="str">
        <f t="shared" si="172"/>
        <v>-</v>
      </c>
      <c r="BY162" s="1053" t="str">
        <f t="shared" si="172"/>
        <v>-</v>
      </c>
      <c r="BZ162" s="1054" t="str">
        <f t="shared" si="172"/>
        <v>-</v>
      </c>
    </row>
    <row r="163" spans="3:78" x14ac:dyDescent="0.3">
      <c r="C163" s="126"/>
      <c r="D163" s="126"/>
      <c r="E163" s="558" t="s">
        <v>46</v>
      </c>
      <c r="F163" s="1722" t="str">
        <f>+F162</f>
        <v>[Service]</v>
      </c>
      <c r="G163" s="1724">
        <f>+G162</f>
        <v>0</v>
      </c>
      <c r="H163" s="1724">
        <f>+H162</f>
        <v>0</v>
      </c>
      <c r="I163" s="1725" t="str">
        <f>+I162</f>
        <v>[Price]</v>
      </c>
      <c r="J163" s="574" t="s">
        <v>323</v>
      </c>
      <c r="K163" s="1973"/>
      <c r="L163" s="1974"/>
      <c r="M163" s="1974"/>
      <c r="N163" s="1975"/>
      <c r="O163" s="1974"/>
      <c r="P163" s="1974"/>
      <c r="Q163" s="1974"/>
      <c r="R163" s="1976"/>
      <c r="S163" s="1980"/>
      <c r="T163" s="1976"/>
      <c r="U163" s="1976"/>
      <c r="V163" s="1976"/>
      <c r="W163" s="578"/>
      <c r="X163" s="1239"/>
      <c r="Y163" s="578"/>
      <c r="Z163" s="578"/>
      <c r="AA163" s="578"/>
      <c r="AB163" s="1143"/>
      <c r="AC163" s="578"/>
      <c r="AD163" s="578"/>
      <c r="AE163" s="578"/>
      <c r="AF163" s="578"/>
      <c r="AG163" s="580"/>
      <c r="AH163" s="579"/>
      <c r="AI163" s="578"/>
      <c r="AJ163" s="578"/>
      <c r="AK163" s="578"/>
      <c r="AL163" s="580"/>
      <c r="AN163" s="991"/>
      <c r="AP163" s="2285" t="str">
        <f t="shared" si="128"/>
        <v>Qty</v>
      </c>
      <c r="AQ163" s="2286" t="str">
        <f t="shared" si="128"/>
        <v>[Service]</v>
      </c>
      <c r="AR163" s="2287" t="str">
        <f t="shared" si="129"/>
        <v>[Price]</v>
      </c>
      <c r="AS163" s="2288" t="str">
        <f t="shared" si="160"/>
        <v>-</v>
      </c>
      <c r="AT163" s="1720" t="str">
        <f t="shared" si="160"/>
        <v>-</v>
      </c>
      <c r="AU163" s="1720" t="str">
        <f t="shared" si="160"/>
        <v>-</v>
      </c>
      <c r="AV163" s="2289" t="str">
        <f t="shared" si="160"/>
        <v>-</v>
      </c>
      <c r="AW163" s="1720" t="str">
        <f t="shared" si="160"/>
        <v>-</v>
      </c>
      <c r="AX163" s="2290" t="str">
        <f t="shared" si="160"/>
        <v>-</v>
      </c>
      <c r="AY163" s="1720" t="str">
        <f t="shared" si="160"/>
        <v>-</v>
      </c>
      <c r="AZ163" s="1720" t="str">
        <f t="shared" si="160"/>
        <v>-</v>
      </c>
      <c r="BA163" s="1720" t="str">
        <f t="shared" si="160"/>
        <v>-</v>
      </c>
      <c r="BB163" s="1721" t="str">
        <f t="shared" si="160"/>
        <v>-</v>
      </c>
      <c r="BC163" s="1720" t="str">
        <f t="shared" si="160"/>
        <v>-</v>
      </c>
      <c r="BD163" s="1720" t="str">
        <f t="shared" si="160"/>
        <v>-</v>
      </c>
      <c r="BE163" s="1720" t="str">
        <f t="shared" si="160"/>
        <v>-</v>
      </c>
      <c r="BF163" s="1720" t="str">
        <f t="shared" si="160"/>
        <v>-</v>
      </c>
      <c r="BG163" s="1721" t="str">
        <f t="shared" si="160"/>
        <v>-</v>
      </c>
      <c r="BH163" s="1048"/>
      <c r="BI163" s="2285" t="str">
        <f t="shared" si="151"/>
        <v>Qty</v>
      </c>
      <c r="BJ163" s="2286" t="str">
        <f t="shared" si="151"/>
        <v>[Service]</v>
      </c>
      <c r="BK163" s="2287" t="str">
        <f t="shared" si="151"/>
        <v>[Price]</v>
      </c>
      <c r="BL163" s="2288" t="str">
        <f t="shared" ref="BL163:BZ163" si="173">IF(OR(X163="",X163=0),"-",IFERROR((X163/W163-1)*(W164/W$13),"-"))</f>
        <v>-</v>
      </c>
      <c r="BM163" s="1720" t="str">
        <f t="shared" si="173"/>
        <v>-</v>
      </c>
      <c r="BN163" s="1720" t="str">
        <f t="shared" si="173"/>
        <v>-</v>
      </c>
      <c r="BO163" s="2289" t="str">
        <f t="shared" si="173"/>
        <v>-</v>
      </c>
      <c r="BP163" s="1720" t="str">
        <f t="shared" si="173"/>
        <v>-</v>
      </c>
      <c r="BQ163" s="2290" t="str">
        <f t="shared" si="173"/>
        <v>-</v>
      </c>
      <c r="BR163" s="1720" t="str">
        <f t="shared" si="173"/>
        <v>-</v>
      </c>
      <c r="BS163" s="1720" t="str">
        <f t="shared" si="173"/>
        <v>-</v>
      </c>
      <c r="BT163" s="1720" t="str">
        <f t="shared" si="173"/>
        <v>-</v>
      </c>
      <c r="BU163" s="1721" t="str">
        <f t="shared" si="173"/>
        <v>-</v>
      </c>
      <c r="BV163" s="1720" t="str">
        <f t="shared" si="173"/>
        <v>-</v>
      </c>
      <c r="BW163" s="1720" t="str">
        <f t="shared" si="173"/>
        <v>-</v>
      </c>
      <c r="BX163" s="1720" t="str">
        <f t="shared" si="173"/>
        <v>-</v>
      </c>
      <c r="BY163" s="1720" t="str">
        <f t="shared" si="173"/>
        <v>-</v>
      </c>
      <c r="BZ163" s="1721" t="str">
        <f t="shared" si="173"/>
        <v>-</v>
      </c>
    </row>
    <row r="164" spans="3:78" ht="12.5" thickBot="1" x14ac:dyDescent="0.35">
      <c r="C164" s="126"/>
      <c r="D164" s="126"/>
      <c r="E164" s="559" t="s">
        <v>47</v>
      </c>
      <c r="F164" s="1723" t="str">
        <f>+F162</f>
        <v>[Service]</v>
      </c>
      <c r="G164" s="1726">
        <f>+G162</f>
        <v>0</v>
      </c>
      <c r="H164" s="1726">
        <f>+H162</f>
        <v>0</v>
      </c>
      <c r="I164" s="1727" t="str">
        <f>+I162</f>
        <v>[Price]</v>
      </c>
      <c r="J164" s="556" t="s">
        <v>347</v>
      </c>
      <c r="K164" s="1977"/>
      <c r="L164" s="1206"/>
      <c r="M164" s="1206"/>
      <c r="N164" s="1978"/>
      <c r="O164" s="1206"/>
      <c r="P164" s="1206"/>
      <c r="Q164" s="1206"/>
      <c r="R164" s="1206"/>
      <c r="S164" s="1978"/>
      <c r="T164" s="1206"/>
      <c r="U164" s="1206"/>
      <c r="V164" s="1206"/>
      <c r="W164" s="1731">
        <f t="shared" ref="W164:AG164" si="174">W162*W163/10^6</f>
        <v>0</v>
      </c>
      <c r="X164" s="1730">
        <f t="shared" si="174"/>
        <v>0</v>
      </c>
      <c r="Y164" s="1731">
        <f t="shared" si="174"/>
        <v>0</v>
      </c>
      <c r="Z164" s="1731">
        <f t="shared" si="174"/>
        <v>0</v>
      </c>
      <c r="AA164" s="1731">
        <f t="shared" si="174"/>
        <v>0</v>
      </c>
      <c r="AB164" s="1733">
        <f t="shared" si="174"/>
        <v>0</v>
      </c>
      <c r="AC164" s="1731">
        <f t="shared" si="174"/>
        <v>0</v>
      </c>
      <c r="AD164" s="1731">
        <f t="shared" si="174"/>
        <v>0</v>
      </c>
      <c r="AE164" s="1731">
        <f t="shared" si="174"/>
        <v>0</v>
      </c>
      <c r="AF164" s="1731">
        <f t="shared" si="174"/>
        <v>0</v>
      </c>
      <c r="AG164" s="1733">
        <f t="shared" si="174"/>
        <v>0</v>
      </c>
      <c r="AH164" s="1732">
        <f>AH162*AH163/10^6</f>
        <v>0</v>
      </c>
      <c r="AI164" s="1731">
        <f>AI162*AI163/10^6</f>
        <v>0</v>
      </c>
      <c r="AJ164" s="1731">
        <f>AJ162*AJ163/10^6</f>
        <v>0</v>
      </c>
      <c r="AK164" s="1731">
        <f>AK162*AK163/10^6</f>
        <v>0</v>
      </c>
      <c r="AL164" s="1733">
        <f>AL162*AL163/10^6</f>
        <v>0</v>
      </c>
      <c r="AN164" s="991"/>
      <c r="AP164" s="2304" t="str">
        <f t="shared" si="128"/>
        <v>Rev</v>
      </c>
      <c r="AQ164" s="2305" t="str">
        <f t="shared" si="128"/>
        <v>[Service]</v>
      </c>
      <c r="AR164" s="2306" t="str">
        <f t="shared" si="129"/>
        <v>[Price]</v>
      </c>
      <c r="AS164" s="2307" t="str">
        <f t="shared" si="160"/>
        <v>-</v>
      </c>
      <c r="AT164" s="1055" t="str">
        <f t="shared" si="160"/>
        <v>-</v>
      </c>
      <c r="AU164" s="1055" t="str">
        <f t="shared" si="160"/>
        <v>-</v>
      </c>
      <c r="AV164" s="2308" t="str">
        <f t="shared" si="160"/>
        <v>-</v>
      </c>
      <c r="AW164" s="1055" t="str">
        <f t="shared" si="160"/>
        <v>-</v>
      </c>
      <c r="AX164" s="2309" t="str">
        <f t="shared" si="160"/>
        <v>-</v>
      </c>
      <c r="AY164" s="1055" t="str">
        <f t="shared" si="160"/>
        <v>-</v>
      </c>
      <c r="AZ164" s="1055" t="str">
        <f t="shared" si="160"/>
        <v>-</v>
      </c>
      <c r="BA164" s="1055" t="str">
        <f t="shared" si="160"/>
        <v>-</v>
      </c>
      <c r="BB164" s="1056" t="str">
        <f t="shared" si="160"/>
        <v>-</v>
      </c>
      <c r="BC164" s="1055" t="str">
        <f t="shared" si="160"/>
        <v>-</v>
      </c>
      <c r="BD164" s="1055" t="str">
        <f t="shared" si="160"/>
        <v>-</v>
      </c>
      <c r="BE164" s="1055" t="str">
        <f t="shared" si="160"/>
        <v>-</v>
      </c>
      <c r="BF164" s="1055" t="str">
        <f t="shared" si="160"/>
        <v>-</v>
      </c>
      <c r="BG164" s="1056" t="str">
        <f t="shared" si="160"/>
        <v>-</v>
      </c>
      <c r="BH164" s="1048"/>
      <c r="BI164" s="2304" t="str">
        <f t="shared" si="151"/>
        <v>Rev</v>
      </c>
      <c r="BJ164" s="2305" t="str">
        <f t="shared" si="151"/>
        <v>[Service]</v>
      </c>
      <c r="BK164" s="2306" t="str">
        <f t="shared" si="151"/>
        <v>[Price]</v>
      </c>
      <c r="BL164" s="2307" t="str">
        <f t="shared" ref="BL164:BZ164" si="175">IF(OR(X164="",X164=0),"-",IFERROR((X164/W164-1)*(W164/W$13),"-"))</f>
        <v>-</v>
      </c>
      <c r="BM164" s="1055" t="str">
        <f t="shared" si="175"/>
        <v>-</v>
      </c>
      <c r="BN164" s="1055" t="str">
        <f t="shared" si="175"/>
        <v>-</v>
      </c>
      <c r="BO164" s="2308" t="str">
        <f t="shared" si="175"/>
        <v>-</v>
      </c>
      <c r="BP164" s="1055" t="str">
        <f t="shared" si="175"/>
        <v>-</v>
      </c>
      <c r="BQ164" s="2309" t="str">
        <f t="shared" si="175"/>
        <v>-</v>
      </c>
      <c r="BR164" s="1055" t="str">
        <f t="shared" si="175"/>
        <v>-</v>
      </c>
      <c r="BS164" s="1055" t="str">
        <f t="shared" si="175"/>
        <v>-</v>
      </c>
      <c r="BT164" s="1055" t="str">
        <f t="shared" si="175"/>
        <v>-</v>
      </c>
      <c r="BU164" s="1056" t="str">
        <f t="shared" si="175"/>
        <v>-</v>
      </c>
      <c r="BV164" s="1055" t="str">
        <f t="shared" si="175"/>
        <v>-</v>
      </c>
      <c r="BW164" s="1055" t="str">
        <f t="shared" si="175"/>
        <v>-</v>
      </c>
      <c r="BX164" s="1055" t="str">
        <f t="shared" si="175"/>
        <v>-</v>
      </c>
      <c r="BY164" s="1055" t="str">
        <f t="shared" si="175"/>
        <v>-</v>
      </c>
      <c r="BZ164" s="1056" t="str">
        <f t="shared" si="175"/>
        <v>-</v>
      </c>
    </row>
    <row r="165" spans="3:78" x14ac:dyDescent="0.3">
      <c r="C165" s="126"/>
      <c r="D165" s="126">
        <f>D162+1</f>
        <v>33</v>
      </c>
      <c r="E165" s="553" t="s">
        <v>45</v>
      </c>
      <c r="F165" s="581" t="s">
        <v>28</v>
      </c>
      <c r="G165" s="581"/>
      <c r="H165" s="581"/>
      <c r="I165" s="573" t="s">
        <v>319</v>
      </c>
      <c r="J165" s="573" t="s">
        <v>348</v>
      </c>
      <c r="K165" s="1969"/>
      <c r="L165" s="1970"/>
      <c r="M165" s="1970"/>
      <c r="N165" s="1971"/>
      <c r="O165" s="1970"/>
      <c r="P165" s="1970"/>
      <c r="Q165" s="1970"/>
      <c r="R165" s="1972"/>
      <c r="S165" s="1979"/>
      <c r="T165" s="1972"/>
      <c r="U165" s="1972"/>
      <c r="V165" s="1972"/>
      <c r="W165" s="575"/>
      <c r="X165" s="1238"/>
      <c r="Y165" s="575"/>
      <c r="Z165" s="575"/>
      <c r="AA165" s="575"/>
      <c r="AB165" s="1142"/>
      <c r="AC165" s="575"/>
      <c r="AD165" s="575"/>
      <c r="AE165" s="575"/>
      <c r="AF165" s="575"/>
      <c r="AG165" s="577"/>
      <c r="AH165" s="576"/>
      <c r="AI165" s="575"/>
      <c r="AJ165" s="575"/>
      <c r="AK165" s="575"/>
      <c r="AL165" s="577"/>
      <c r="AN165" s="1052"/>
      <c r="AP165" s="2297" t="str">
        <f t="shared" si="128"/>
        <v>Price</v>
      </c>
      <c r="AQ165" s="2298" t="str">
        <f t="shared" si="128"/>
        <v>[Service]</v>
      </c>
      <c r="AR165" s="1719" t="str">
        <f t="shared" si="129"/>
        <v>[Price]</v>
      </c>
      <c r="AS165" s="2299" t="str">
        <f t="shared" si="160"/>
        <v>-</v>
      </c>
      <c r="AT165" s="1728" t="str">
        <f t="shared" si="160"/>
        <v>-</v>
      </c>
      <c r="AU165" s="1728" t="str">
        <f t="shared" si="160"/>
        <v>-</v>
      </c>
      <c r="AV165" s="2300" t="str">
        <f t="shared" si="160"/>
        <v>-</v>
      </c>
      <c r="AW165" s="1728" t="str">
        <f t="shared" si="160"/>
        <v>-</v>
      </c>
      <c r="AX165" s="2301" t="str">
        <f t="shared" si="160"/>
        <v>-</v>
      </c>
      <c r="AY165" s="1728" t="str">
        <f t="shared" si="160"/>
        <v>-</v>
      </c>
      <c r="AZ165" s="1728" t="str">
        <f t="shared" si="160"/>
        <v>-</v>
      </c>
      <c r="BA165" s="1728" t="str">
        <f t="shared" si="160"/>
        <v>-</v>
      </c>
      <c r="BB165" s="1729" t="str">
        <f t="shared" si="160"/>
        <v>-</v>
      </c>
      <c r="BC165" s="1728" t="str">
        <f t="shared" si="160"/>
        <v>-</v>
      </c>
      <c r="BD165" s="1728" t="str">
        <f t="shared" si="160"/>
        <v>-</v>
      </c>
      <c r="BE165" s="1728" t="str">
        <f t="shared" si="160"/>
        <v>-</v>
      </c>
      <c r="BF165" s="1728" t="str">
        <f t="shared" si="160"/>
        <v>-</v>
      </c>
      <c r="BG165" s="1729" t="str">
        <f t="shared" si="160"/>
        <v>-</v>
      </c>
      <c r="BH165" s="1048"/>
      <c r="BI165" s="2297" t="str">
        <f t="shared" si="151"/>
        <v>Price</v>
      </c>
      <c r="BJ165" s="2298" t="str">
        <f t="shared" si="151"/>
        <v>[Service]</v>
      </c>
      <c r="BK165" s="1719" t="str">
        <f t="shared" si="151"/>
        <v>[Price]</v>
      </c>
      <c r="BL165" s="2299" t="str">
        <f t="shared" ref="BL165:BZ165" si="176">IF(OR(X165="",X165=0),"-",IFERROR((X165/W165-1)*(W167/W$13),"-"))</f>
        <v>-</v>
      </c>
      <c r="BM165" s="1053" t="str">
        <f t="shared" si="176"/>
        <v>-</v>
      </c>
      <c r="BN165" s="1053" t="str">
        <f t="shared" si="176"/>
        <v>-</v>
      </c>
      <c r="BO165" s="2302" t="str">
        <f t="shared" si="176"/>
        <v>-</v>
      </c>
      <c r="BP165" s="1053" t="str">
        <f t="shared" si="176"/>
        <v>-</v>
      </c>
      <c r="BQ165" s="2303" t="str">
        <f t="shared" si="176"/>
        <v>-</v>
      </c>
      <c r="BR165" s="1053" t="str">
        <f t="shared" si="176"/>
        <v>-</v>
      </c>
      <c r="BS165" s="1053" t="str">
        <f t="shared" si="176"/>
        <v>-</v>
      </c>
      <c r="BT165" s="1053" t="str">
        <f t="shared" si="176"/>
        <v>-</v>
      </c>
      <c r="BU165" s="1054" t="str">
        <f t="shared" si="176"/>
        <v>-</v>
      </c>
      <c r="BV165" s="1053" t="str">
        <f t="shared" si="176"/>
        <v>-</v>
      </c>
      <c r="BW165" s="1053" t="str">
        <f t="shared" si="176"/>
        <v>-</v>
      </c>
      <c r="BX165" s="1053" t="str">
        <f t="shared" si="176"/>
        <v>-</v>
      </c>
      <c r="BY165" s="1053" t="str">
        <f t="shared" si="176"/>
        <v>-</v>
      </c>
      <c r="BZ165" s="1054" t="str">
        <f t="shared" si="176"/>
        <v>-</v>
      </c>
    </row>
    <row r="166" spans="3:78" x14ac:dyDescent="0.3">
      <c r="C166" s="126"/>
      <c r="D166" s="126"/>
      <c r="E166" s="558" t="s">
        <v>46</v>
      </c>
      <c r="F166" s="1722" t="str">
        <f>+F165</f>
        <v>[Service]</v>
      </c>
      <c r="G166" s="1724">
        <f>+G165</f>
        <v>0</v>
      </c>
      <c r="H166" s="1724">
        <f>+H165</f>
        <v>0</v>
      </c>
      <c r="I166" s="1725" t="str">
        <f>+I165</f>
        <v>[Price]</v>
      </c>
      <c r="J166" s="574" t="s">
        <v>323</v>
      </c>
      <c r="K166" s="1973"/>
      <c r="L166" s="1974"/>
      <c r="M166" s="1974"/>
      <c r="N166" s="1975"/>
      <c r="O166" s="1974"/>
      <c r="P166" s="1974"/>
      <c r="Q166" s="1974"/>
      <c r="R166" s="1976"/>
      <c r="S166" s="1980"/>
      <c r="T166" s="1976"/>
      <c r="U166" s="1976"/>
      <c r="V166" s="1976"/>
      <c r="W166" s="578"/>
      <c r="X166" s="1239"/>
      <c r="Y166" s="578"/>
      <c r="Z166" s="578"/>
      <c r="AA166" s="578"/>
      <c r="AB166" s="1143"/>
      <c r="AC166" s="578"/>
      <c r="AD166" s="578"/>
      <c r="AE166" s="578"/>
      <c r="AF166" s="578"/>
      <c r="AG166" s="580"/>
      <c r="AH166" s="579"/>
      <c r="AI166" s="578"/>
      <c r="AJ166" s="578"/>
      <c r="AK166" s="578"/>
      <c r="AL166" s="580"/>
      <c r="AN166" s="991"/>
      <c r="AP166" s="2285" t="str">
        <f t="shared" si="128"/>
        <v>Qty</v>
      </c>
      <c r="AQ166" s="2286" t="str">
        <f t="shared" si="128"/>
        <v>[Service]</v>
      </c>
      <c r="AR166" s="2287" t="str">
        <f t="shared" si="129"/>
        <v>[Price]</v>
      </c>
      <c r="AS166" s="2288" t="str">
        <f t="shared" si="160"/>
        <v>-</v>
      </c>
      <c r="AT166" s="1720" t="str">
        <f t="shared" si="160"/>
        <v>-</v>
      </c>
      <c r="AU166" s="1720" t="str">
        <f t="shared" si="160"/>
        <v>-</v>
      </c>
      <c r="AV166" s="2289" t="str">
        <f t="shared" si="160"/>
        <v>-</v>
      </c>
      <c r="AW166" s="1720" t="str">
        <f t="shared" si="160"/>
        <v>-</v>
      </c>
      <c r="AX166" s="2290" t="str">
        <f t="shared" si="160"/>
        <v>-</v>
      </c>
      <c r="AY166" s="1720" t="str">
        <f t="shared" si="160"/>
        <v>-</v>
      </c>
      <c r="AZ166" s="1720" t="str">
        <f t="shared" si="160"/>
        <v>-</v>
      </c>
      <c r="BA166" s="1720" t="str">
        <f t="shared" si="160"/>
        <v>-</v>
      </c>
      <c r="BB166" s="1721" t="str">
        <f t="shared" si="160"/>
        <v>-</v>
      </c>
      <c r="BC166" s="1720" t="str">
        <f t="shared" si="160"/>
        <v>-</v>
      </c>
      <c r="BD166" s="1720" t="str">
        <f t="shared" si="160"/>
        <v>-</v>
      </c>
      <c r="BE166" s="1720" t="str">
        <f t="shared" si="160"/>
        <v>-</v>
      </c>
      <c r="BF166" s="1720" t="str">
        <f t="shared" si="160"/>
        <v>-</v>
      </c>
      <c r="BG166" s="1721" t="str">
        <f t="shared" si="160"/>
        <v>-</v>
      </c>
      <c r="BH166" s="1048"/>
      <c r="BI166" s="2285" t="str">
        <f t="shared" si="151"/>
        <v>Qty</v>
      </c>
      <c r="BJ166" s="2286" t="str">
        <f t="shared" si="151"/>
        <v>[Service]</v>
      </c>
      <c r="BK166" s="2287" t="str">
        <f t="shared" si="151"/>
        <v>[Price]</v>
      </c>
      <c r="BL166" s="2288" t="str">
        <f t="shared" ref="BL166:BZ166" si="177">IF(OR(X166="",X166=0),"-",IFERROR((X166/W166-1)*(W167/W$13),"-"))</f>
        <v>-</v>
      </c>
      <c r="BM166" s="1720" t="str">
        <f t="shared" si="177"/>
        <v>-</v>
      </c>
      <c r="BN166" s="1720" t="str">
        <f t="shared" si="177"/>
        <v>-</v>
      </c>
      <c r="BO166" s="2289" t="str">
        <f t="shared" si="177"/>
        <v>-</v>
      </c>
      <c r="BP166" s="1720" t="str">
        <f t="shared" si="177"/>
        <v>-</v>
      </c>
      <c r="BQ166" s="2290" t="str">
        <f t="shared" si="177"/>
        <v>-</v>
      </c>
      <c r="BR166" s="1720" t="str">
        <f t="shared" si="177"/>
        <v>-</v>
      </c>
      <c r="BS166" s="1720" t="str">
        <f t="shared" si="177"/>
        <v>-</v>
      </c>
      <c r="BT166" s="1720" t="str">
        <f t="shared" si="177"/>
        <v>-</v>
      </c>
      <c r="BU166" s="1721" t="str">
        <f t="shared" si="177"/>
        <v>-</v>
      </c>
      <c r="BV166" s="1720" t="str">
        <f t="shared" si="177"/>
        <v>-</v>
      </c>
      <c r="BW166" s="1720" t="str">
        <f t="shared" si="177"/>
        <v>-</v>
      </c>
      <c r="BX166" s="1720" t="str">
        <f t="shared" si="177"/>
        <v>-</v>
      </c>
      <c r="BY166" s="1720" t="str">
        <f t="shared" si="177"/>
        <v>-</v>
      </c>
      <c r="BZ166" s="1721" t="str">
        <f t="shared" si="177"/>
        <v>-</v>
      </c>
    </row>
    <row r="167" spans="3:78" ht="12.5" thickBot="1" x14ac:dyDescent="0.35">
      <c r="C167" s="126"/>
      <c r="D167" s="126"/>
      <c r="E167" s="559" t="s">
        <v>47</v>
      </c>
      <c r="F167" s="1723" t="str">
        <f>+F165</f>
        <v>[Service]</v>
      </c>
      <c r="G167" s="1726">
        <f>+G165</f>
        <v>0</v>
      </c>
      <c r="H167" s="1726">
        <f>+H165</f>
        <v>0</v>
      </c>
      <c r="I167" s="1727" t="str">
        <f>+I165</f>
        <v>[Price]</v>
      </c>
      <c r="J167" s="556" t="s">
        <v>347</v>
      </c>
      <c r="K167" s="1977"/>
      <c r="L167" s="1206"/>
      <c r="M167" s="1206"/>
      <c r="N167" s="1978"/>
      <c r="O167" s="1206"/>
      <c r="P167" s="1206"/>
      <c r="Q167" s="1206"/>
      <c r="R167" s="1206"/>
      <c r="S167" s="1978"/>
      <c r="T167" s="1206"/>
      <c r="U167" s="1206"/>
      <c r="V167" s="1206"/>
      <c r="W167" s="1731">
        <f t="shared" ref="W167:AG167" si="178">W165*W166/10^6</f>
        <v>0</v>
      </c>
      <c r="X167" s="1730">
        <f t="shared" si="178"/>
        <v>0</v>
      </c>
      <c r="Y167" s="1731">
        <f t="shared" si="178"/>
        <v>0</v>
      </c>
      <c r="Z167" s="1731">
        <f t="shared" si="178"/>
        <v>0</v>
      </c>
      <c r="AA167" s="1731">
        <f t="shared" si="178"/>
        <v>0</v>
      </c>
      <c r="AB167" s="1733">
        <f t="shared" si="178"/>
        <v>0</v>
      </c>
      <c r="AC167" s="1731">
        <f t="shared" si="178"/>
        <v>0</v>
      </c>
      <c r="AD167" s="1731">
        <f t="shared" si="178"/>
        <v>0</v>
      </c>
      <c r="AE167" s="1731">
        <f t="shared" si="178"/>
        <v>0</v>
      </c>
      <c r="AF167" s="1731">
        <f t="shared" si="178"/>
        <v>0</v>
      </c>
      <c r="AG167" s="1733">
        <f t="shared" si="178"/>
        <v>0</v>
      </c>
      <c r="AH167" s="1732">
        <f>AH165*AH166/10^6</f>
        <v>0</v>
      </c>
      <c r="AI167" s="1731">
        <f>AI165*AI166/10^6</f>
        <v>0</v>
      </c>
      <c r="AJ167" s="1731">
        <f>AJ165*AJ166/10^6</f>
        <v>0</v>
      </c>
      <c r="AK167" s="1731">
        <f>AK165*AK166/10^6</f>
        <v>0</v>
      </c>
      <c r="AL167" s="1733">
        <f>AL165*AL166/10^6</f>
        <v>0</v>
      </c>
      <c r="AN167" s="991"/>
      <c r="AP167" s="2304" t="str">
        <f t="shared" si="128"/>
        <v>Rev</v>
      </c>
      <c r="AQ167" s="2305" t="str">
        <f t="shared" si="128"/>
        <v>[Service]</v>
      </c>
      <c r="AR167" s="2306" t="str">
        <f t="shared" si="129"/>
        <v>[Price]</v>
      </c>
      <c r="AS167" s="2307" t="str">
        <f t="shared" si="160"/>
        <v>-</v>
      </c>
      <c r="AT167" s="1055" t="str">
        <f t="shared" si="160"/>
        <v>-</v>
      </c>
      <c r="AU167" s="1055" t="str">
        <f t="shared" si="160"/>
        <v>-</v>
      </c>
      <c r="AV167" s="2308" t="str">
        <f t="shared" si="160"/>
        <v>-</v>
      </c>
      <c r="AW167" s="1055" t="str">
        <f t="shared" si="160"/>
        <v>-</v>
      </c>
      <c r="AX167" s="2309" t="str">
        <f t="shared" si="160"/>
        <v>-</v>
      </c>
      <c r="AY167" s="1055" t="str">
        <f t="shared" si="160"/>
        <v>-</v>
      </c>
      <c r="AZ167" s="1055" t="str">
        <f t="shared" si="160"/>
        <v>-</v>
      </c>
      <c r="BA167" s="1055" t="str">
        <f t="shared" si="160"/>
        <v>-</v>
      </c>
      <c r="BB167" s="1056" t="str">
        <f t="shared" si="160"/>
        <v>-</v>
      </c>
      <c r="BC167" s="1055" t="str">
        <f t="shared" si="160"/>
        <v>-</v>
      </c>
      <c r="BD167" s="1055" t="str">
        <f t="shared" si="160"/>
        <v>-</v>
      </c>
      <c r="BE167" s="1055" t="str">
        <f t="shared" si="160"/>
        <v>-</v>
      </c>
      <c r="BF167" s="1055" t="str">
        <f t="shared" si="160"/>
        <v>-</v>
      </c>
      <c r="BG167" s="1056" t="str">
        <f t="shared" si="160"/>
        <v>-</v>
      </c>
      <c r="BH167" s="1048"/>
      <c r="BI167" s="2304" t="str">
        <f t="shared" si="151"/>
        <v>Rev</v>
      </c>
      <c r="BJ167" s="2305" t="str">
        <f t="shared" si="151"/>
        <v>[Service]</v>
      </c>
      <c r="BK167" s="2306" t="str">
        <f t="shared" si="151"/>
        <v>[Price]</v>
      </c>
      <c r="BL167" s="2307" t="str">
        <f t="shared" ref="BL167:BZ167" si="179">IF(OR(X167="",X167=0),"-",IFERROR((X167/W167-1)*(W167/W$13),"-"))</f>
        <v>-</v>
      </c>
      <c r="BM167" s="1055" t="str">
        <f t="shared" si="179"/>
        <v>-</v>
      </c>
      <c r="BN167" s="1055" t="str">
        <f t="shared" si="179"/>
        <v>-</v>
      </c>
      <c r="BO167" s="2308" t="str">
        <f t="shared" si="179"/>
        <v>-</v>
      </c>
      <c r="BP167" s="1055" t="str">
        <f t="shared" si="179"/>
        <v>-</v>
      </c>
      <c r="BQ167" s="2309" t="str">
        <f t="shared" si="179"/>
        <v>-</v>
      </c>
      <c r="BR167" s="1055" t="str">
        <f t="shared" si="179"/>
        <v>-</v>
      </c>
      <c r="BS167" s="1055" t="str">
        <f t="shared" si="179"/>
        <v>-</v>
      </c>
      <c r="BT167" s="1055" t="str">
        <f t="shared" si="179"/>
        <v>-</v>
      </c>
      <c r="BU167" s="1056" t="str">
        <f t="shared" si="179"/>
        <v>-</v>
      </c>
      <c r="BV167" s="1055" t="str">
        <f t="shared" si="179"/>
        <v>-</v>
      </c>
      <c r="BW167" s="1055" t="str">
        <f t="shared" si="179"/>
        <v>-</v>
      </c>
      <c r="BX167" s="1055" t="str">
        <f t="shared" si="179"/>
        <v>-</v>
      </c>
      <c r="BY167" s="1055" t="str">
        <f t="shared" si="179"/>
        <v>-</v>
      </c>
      <c r="BZ167" s="1056" t="str">
        <f t="shared" si="179"/>
        <v>-</v>
      </c>
    </row>
    <row r="168" spans="3:78" x14ac:dyDescent="0.3">
      <c r="C168" s="126"/>
      <c r="D168" s="126">
        <f>D165+1</f>
        <v>34</v>
      </c>
      <c r="E168" s="553" t="s">
        <v>45</v>
      </c>
      <c r="F168" s="581" t="s">
        <v>28</v>
      </c>
      <c r="G168" s="581"/>
      <c r="H168" s="581"/>
      <c r="I168" s="573" t="s">
        <v>319</v>
      </c>
      <c r="J168" s="573" t="s">
        <v>348</v>
      </c>
      <c r="K168" s="1969"/>
      <c r="L168" s="1970"/>
      <c r="M168" s="1970"/>
      <c r="N168" s="1971"/>
      <c r="O168" s="1970"/>
      <c r="P168" s="1970"/>
      <c r="Q168" s="1970"/>
      <c r="R168" s="1972"/>
      <c r="S168" s="1979"/>
      <c r="T168" s="1972"/>
      <c r="U168" s="1972"/>
      <c r="V168" s="1972"/>
      <c r="W168" s="575"/>
      <c r="X168" s="1238"/>
      <c r="Y168" s="575"/>
      <c r="Z168" s="575"/>
      <c r="AA168" s="575"/>
      <c r="AB168" s="1142"/>
      <c r="AC168" s="575"/>
      <c r="AD168" s="575"/>
      <c r="AE168" s="575"/>
      <c r="AF168" s="575"/>
      <c r="AG168" s="577"/>
      <c r="AH168" s="576"/>
      <c r="AI168" s="575"/>
      <c r="AJ168" s="575"/>
      <c r="AK168" s="575"/>
      <c r="AL168" s="577"/>
      <c r="AN168" s="1052"/>
      <c r="AP168" s="2297" t="str">
        <f t="shared" si="128"/>
        <v>Price</v>
      </c>
      <c r="AQ168" s="2298" t="str">
        <f t="shared" si="128"/>
        <v>[Service]</v>
      </c>
      <c r="AR168" s="1719" t="str">
        <f t="shared" si="129"/>
        <v>[Price]</v>
      </c>
      <c r="AS168" s="2299" t="str">
        <f t="shared" si="160"/>
        <v>-</v>
      </c>
      <c r="AT168" s="1728" t="str">
        <f t="shared" si="160"/>
        <v>-</v>
      </c>
      <c r="AU168" s="1728" t="str">
        <f t="shared" si="160"/>
        <v>-</v>
      </c>
      <c r="AV168" s="2300" t="str">
        <f t="shared" si="160"/>
        <v>-</v>
      </c>
      <c r="AW168" s="1728" t="str">
        <f t="shared" si="160"/>
        <v>-</v>
      </c>
      <c r="AX168" s="2301" t="str">
        <f t="shared" si="160"/>
        <v>-</v>
      </c>
      <c r="AY168" s="1728" t="str">
        <f t="shared" si="160"/>
        <v>-</v>
      </c>
      <c r="AZ168" s="1728" t="str">
        <f t="shared" si="160"/>
        <v>-</v>
      </c>
      <c r="BA168" s="1728" t="str">
        <f t="shared" si="160"/>
        <v>-</v>
      </c>
      <c r="BB168" s="1729" t="str">
        <f t="shared" si="160"/>
        <v>-</v>
      </c>
      <c r="BC168" s="1728" t="str">
        <f t="shared" si="160"/>
        <v>-</v>
      </c>
      <c r="BD168" s="1728" t="str">
        <f t="shared" si="160"/>
        <v>-</v>
      </c>
      <c r="BE168" s="1728" t="str">
        <f t="shared" si="160"/>
        <v>-</v>
      </c>
      <c r="BF168" s="1728" t="str">
        <f t="shared" si="160"/>
        <v>-</v>
      </c>
      <c r="BG168" s="1729" t="str">
        <f t="shared" si="160"/>
        <v>-</v>
      </c>
      <c r="BH168" s="1048"/>
      <c r="BI168" s="2297" t="str">
        <f t="shared" si="151"/>
        <v>Price</v>
      </c>
      <c r="BJ168" s="2298" t="str">
        <f t="shared" si="151"/>
        <v>[Service]</v>
      </c>
      <c r="BK168" s="1719" t="str">
        <f t="shared" si="151"/>
        <v>[Price]</v>
      </c>
      <c r="BL168" s="2299" t="str">
        <f t="shared" ref="BL168:BZ168" si="180">IF(OR(X168="",X168=0),"-",IFERROR((X168/W168-1)*(W170/W$13),"-"))</f>
        <v>-</v>
      </c>
      <c r="BM168" s="1053" t="str">
        <f t="shared" si="180"/>
        <v>-</v>
      </c>
      <c r="BN168" s="1053" t="str">
        <f t="shared" si="180"/>
        <v>-</v>
      </c>
      <c r="BO168" s="2302" t="str">
        <f t="shared" si="180"/>
        <v>-</v>
      </c>
      <c r="BP168" s="1053" t="str">
        <f t="shared" si="180"/>
        <v>-</v>
      </c>
      <c r="BQ168" s="2303" t="str">
        <f t="shared" si="180"/>
        <v>-</v>
      </c>
      <c r="BR168" s="1053" t="str">
        <f t="shared" si="180"/>
        <v>-</v>
      </c>
      <c r="BS168" s="1053" t="str">
        <f t="shared" si="180"/>
        <v>-</v>
      </c>
      <c r="BT168" s="1053" t="str">
        <f t="shared" si="180"/>
        <v>-</v>
      </c>
      <c r="BU168" s="1054" t="str">
        <f t="shared" si="180"/>
        <v>-</v>
      </c>
      <c r="BV168" s="1053" t="str">
        <f t="shared" si="180"/>
        <v>-</v>
      </c>
      <c r="BW168" s="1053" t="str">
        <f t="shared" si="180"/>
        <v>-</v>
      </c>
      <c r="BX168" s="1053" t="str">
        <f t="shared" si="180"/>
        <v>-</v>
      </c>
      <c r="BY168" s="1053" t="str">
        <f t="shared" si="180"/>
        <v>-</v>
      </c>
      <c r="BZ168" s="1054" t="str">
        <f t="shared" si="180"/>
        <v>-</v>
      </c>
    </row>
    <row r="169" spans="3:78" x14ac:dyDescent="0.3">
      <c r="C169" s="126"/>
      <c r="D169" s="126"/>
      <c r="E169" s="558" t="s">
        <v>46</v>
      </c>
      <c r="F169" s="1722" t="str">
        <f>+F168</f>
        <v>[Service]</v>
      </c>
      <c r="G169" s="1724">
        <f>+G168</f>
        <v>0</v>
      </c>
      <c r="H169" s="1724">
        <f>+H168</f>
        <v>0</v>
      </c>
      <c r="I169" s="1725" t="str">
        <f>+I168</f>
        <v>[Price]</v>
      </c>
      <c r="J169" s="574" t="s">
        <v>323</v>
      </c>
      <c r="K169" s="1973"/>
      <c r="L169" s="1974"/>
      <c r="M169" s="1974"/>
      <c r="N169" s="1975"/>
      <c r="O169" s="1974"/>
      <c r="P169" s="1974"/>
      <c r="Q169" s="1974"/>
      <c r="R169" s="1976"/>
      <c r="S169" s="1980"/>
      <c r="T169" s="1976"/>
      <c r="U169" s="1976"/>
      <c r="V169" s="1976"/>
      <c r="W169" s="578"/>
      <c r="X169" s="1239"/>
      <c r="Y169" s="578"/>
      <c r="Z169" s="578"/>
      <c r="AA169" s="578"/>
      <c r="AB169" s="1143"/>
      <c r="AC169" s="578"/>
      <c r="AD169" s="578"/>
      <c r="AE169" s="578"/>
      <c r="AF169" s="578"/>
      <c r="AG169" s="580"/>
      <c r="AH169" s="579"/>
      <c r="AI169" s="578"/>
      <c r="AJ169" s="578"/>
      <c r="AK169" s="578"/>
      <c r="AL169" s="580"/>
      <c r="AN169" s="991"/>
      <c r="AP169" s="2285" t="str">
        <f t="shared" si="128"/>
        <v>Qty</v>
      </c>
      <c r="AQ169" s="2286" t="str">
        <f t="shared" si="128"/>
        <v>[Service]</v>
      </c>
      <c r="AR169" s="2287" t="str">
        <f t="shared" si="129"/>
        <v>[Price]</v>
      </c>
      <c r="AS169" s="2288" t="str">
        <f t="shared" si="160"/>
        <v>-</v>
      </c>
      <c r="AT169" s="1720" t="str">
        <f t="shared" si="160"/>
        <v>-</v>
      </c>
      <c r="AU169" s="1720" t="str">
        <f t="shared" si="160"/>
        <v>-</v>
      </c>
      <c r="AV169" s="2289" t="str">
        <f t="shared" si="160"/>
        <v>-</v>
      </c>
      <c r="AW169" s="1720" t="str">
        <f t="shared" si="160"/>
        <v>-</v>
      </c>
      <c r="AX169" s="2290" t="str">
        <f t="shared" si="160"/>
        <v>-</v>
      </c>
      <c r="AY169" s="1720" t="str">
        <f t="shared" si="160"/>
        <v>-</v>
      </c>
      <c r="AZ169" s="1720" t="str">
        <f t="shared" si="160"/>
        <v>-</v>
      </c>
      <c r="BA169" s="1720" t="str">
        <f t="shared" si="160"/>
        <v>-</v>
      </c>
      <c r="BB169" s="1721" t="str">
        <f t="shared" si="160"/>
        <v>-</v>
      </c>
      <c r="BC169" s="1720" t="str">
        <f t="shared" si="160"/>
        <v>-</v>
      </c>
      <c r="BD169" s="1720" t="str">
        <f t="shared" si="160"/>
        <v>-</v>
      </c>
      <c r="BE169" s="1720" t="str">
        <f t="shared" si="160"/>
        <v>-</v>
      </c>
      <c r="BF169" s="1720" t="str">
        <f t="shared" si="160"/>
        <v>-</v>
      </c>
      <c r="BG169" s="1721" t="str">
        <f t="shared" si="160"/>
        <v>-</v>
      </c>
      <c r="BH169" s="1048"/>
      <c r="BI169" s="2285" t="str">
        <f t="shared" si="151"/>
        <v>Qty</v>
      </c>
      <c r="BJ169" s="2286" t="str">
        <f t="shared" si="151"/>
        <v>[Service]</v>
      </c>
      <c r="BK169" s="2287" t="str">
        <f t="shared" si="151"/>
        <v>[Price]</v>
      </c>
      <c r="BL169" s="2288" t="str">
        <f t="shared" ref="BL169:BZ169" si="181">IF(OR(X169="",X169=0),"-",IFERROR((X169/W169-1)*(W170/W$13),"-"))</f>
        <v>-</v>
      </c>
      <c r="BM169" s="1720" t="str">
        <f t="shared" si="181"/>
        <v>-</v>
      </c>
      <c r="BN169" s="1720" t="str">
        <f t="shared" si="181"/>
        <v>-</v>
      </c>
      <c r="BO169" s="2289" t="str">
        <f t="shared" si="181"/>
        <v>-</v>
      </c>
      <c r="BP169" s="1720" t="str">
        <f t="shared" si="181"/>
        <v>-</v>
      </c>
      <c r="BQ169" s="2290" t="str">
        <f t="shared" si="181"/>
        <v>-</v>
      </c>
      <c r="BR169" s="1720" t="str">
        <f t="shared" si="181"/>
        <v>-</v>
      </c>
      <c r="BS169" s="1720" t="str">
        <f t="shared" si="181"/>
        <v>-</v>
      </c>
      <c r="BT169" s="1720" t="str">
        <f t="shared" si="181"/>
        <v>-</v>
      </c>
      <c r="BU169" s="1721" t="str">
        <f t="shared" si="181"/>
        <v>-</v>
      </c>
      <c r="BV169" s="1720" t="str">
        <f t="shared" si="181"/>
        <v>-</v>
      </c>
      <c r="BW169" s="1720" t="str">
        <f t="shared" si="181"/>
        <v>-</v>
      </c>
      <c r="BX169" s="1720" t="str">
        <f t="shared" si="181"/>
        <v>-</v>
      </c>
      <c r="BY169" s="1720" t="str">
        <f t="shared" si="181"/>
        <v>-</v>
      </c>
      <c r="BZ169" s="1721" t="str">
        <f t="shared" si="181"/>
        <v>-</v>
      </c>
    </row>
    <row r="170" spans="3:78" ht="12.5" thickBot="1" x14ac:dyDescent="0.35">
      <c r="C170" s="126"/>
      <c r="D170" s="126"/>
      <c r="E170" s="559" t="s">
        <v>47</v>
      </c>
      <c r="F170" s="1723" t="str">
        <f>+F168</f>
        <v>[Service]</v>
      </c>
      <c r="G170" s="1726">
        <f>+G168</f>
        <v>0</v>
      </c>
      <c r="H170" s="1726">
        <f>+H168</f>
        <v>0</v>
      </c>
      <c r="I170" s="1727" t="str">
        <f>+I168</f>
        <v>[Price]</v>
      </c>
      <c r="J170" s="556" t="s">
        <v>347</v>
      </c>
      <c r="K170" s="1977"/>
      <c r="L170" s="1206"/>
      <c r="M170" s="1206"/>
      <c r="N170" s="1978"/>
      <c r="O170" s="1206"/>
      <c r="P170" s="1206"/>
      <c r="Q170" s="1206"/>
      <c r="R170" s="1206"/>
      <c r="S170" s="1978"/>
      <c r="T170" s="1206"/>
      <c r="U170" s="1206"/>
      <c r="V170" s="1206"/>
      <c r="W170" s="1731">
        <f t="shared" ref="W170:AG170" si="182">W168*W169/10^6</f>
        <v>0</v>
      </c>
      <c r="X170" s="1730">
        <f t="shared" si="182"/>
        <v>0</v>
      </c>
      <c r="Y170" s="1731">
        <f t="shared" si="182"/>
        <v>0</v>
      </c>
      <c r="Z170" s="1731">
        <f t="shared" si="182"/>
        <v>0</v>
      </c>
      <c r="AA170" s="1731">
        <f t="shared" si="182"/>
        <v>0</v>
      </c>
      <c r="AB170" s="1733">
        <f t="shared" si="182"/>
        <v>0</v>
      </c>
      <c r="AC170" s="1731">
        <f t="shared" si="182"/>
        <v>0</v>
      </c>
      <c r="AD170" s="1731">
        <f t="shared" si="182"/>
        <v>0</v>
      </c>
      <c r="AE170" s="1731">
        <f t="shared" si="182"/>
        <v>0</v>
      </c>
      <c r="AF170" s="1731">
        <f t="shared" si="182"/>
        <v>0</v>
      </c>
      <c r="AG170" s="1733">
        <f t="shared" si="182"/>
        <v>0</v>
      </c>
      <c r="AH170" s="1732">
        <f>AH168*AH169/10^6</f>
        <v>0</v>
      </c>
      <c r="AI170" s="1731">
        <f>AI168*AI169/10^6</f>
        <v>0</v>
      </c>
      <c r="AJ170" s="1731">
        <f>AJ168*AJ169/10^6</f>
        <v>0</v>
      </c>
      <c r="AK170" s="1731">
        <f>AK168*AK169/10^6</f>
        <v>0</v>
      </c>
      <c r="AL170" s="1733">
        <f>AL168*AL169/10^6</f>
        <v>0</v>
      </c>
      <c r="AN170" s="991"/>
      <c r="AP170" s="2304" t="str">
        <f t="shared" si="128"/>
        <v>Rev</v>
      </c>
      <c r="AQ170" s="2305" t="str">
        <f t="shared" si="128"/>
        <v>[Service]</v>
      </c>
      <c r="AR170" s="2306" t="str">
        <f t="shared" si="129"/>
        <v>[Price]</v>
      </c>
      <c r="AS170" s="2307" t="str">
        <f t="shared" si="160"/>
        <v>-</v>
      </c>
      <c r="AT170" s="1055" t="str">
        <f t="shared" si="160"/>
        <v>-</v>
      </c>
      <c r="AU170" s="1055" t="str">
        <f t="shared" si="160"/>
        <v>-</v>
      </c>
      <c r="AV170" s="2308" t="str">
        <f t="shared" si="160"/>
        <v>-</v>
      </c>
      <c r="AW170" s="1055" t="str">
        <f t="shared" si="160"/>
        <v>-</v>
      </c>
      <c r="AX170" s="2309" t="str">
        <f t="shared" si="160"/>
        <v>-</v>
      </c>
      <c r="AY170" s="1055" t="str">
        <f t="shared" si="160"/>
        <v>-</v>
      </c>
      <c r="AZ170" s="1055" t="str">
        <f t="shared" si="160"/>
        <v>-</v>
      </c>
      <c r="BA170" s="1055" t="str">
        <f t="shared" si="160"/>
        <v>-</v>
      </c>
      <c r="BB170" s="1056" t="str">
        <f t="shared" si="160"/>
        <v>-</v>
      </c>
      <c r="BC170" s="1055" t="str">
        <f t="shared" si="160"/>
        <v>-</v>
      </c>
      <c r="BD170" s="1055" t="str">
        <f t="shared" si="160"/>
        <v>-</v>
      </c>
      <c r="BE170" s="1055" t="str">
        <f t="shared" si="160"/>
        <v>-</v>
      </c>
      <c r="BF170" s="1055" t="str">
        <f t="shared" si="160"/>
        <v>-</v>
      </c>
      <c r="BG170" s="1056" t="str">
        <f t="shared" si="160"/>
        <v>-</v>
      </c>
      <c r="BH170" s="1048"/>
      <c r="BI170" s="2304" t="str">
        <f t="shared" si="151"/>
        <v>Rev</v>
      </c>
      <c r="BJ170" s="2305" t="str">
        <f t="shared" si="151"/>
        <v>[Service]</v>
      </c>
      <c r="BK170" s="2306" t="str">
        <f t="shared" si="151"/>
        <v>[Price]</v>
      </c>
      <c r="BL170" s="2307" t="str">
        <f t="shared" ref="BL170:BZ170" si="183">IF(OR(X170="",X170=0),"-",IFERROR((X170/W170-1)*(W170/W$13),"-"))</f>
        <v>-</v>
      </c>
      <c r="BM170" s="1055" t="str">
        <f t="shared" si="183"/>
        <v>-</v>
      </c>
      <c r="BN170" s="1055" t="str">
        <f t="shared" si="183"/>
        <v>-</v>
      </c>
      <c r="BO170" s="2308" t="str">
        <f t="shared" si="183"/>
        <v>-</v>
      </c>
      <c r="BP170" s="1055" t="str">
        <f t="shared" si="183"/>
        <v>-</v>
      </c>
      <c r="BQ170" s="2309" t="str">
        <f t="shared" si="183"/>
        <v>-</v>
      </c>
      <c r="BR170" s="1055" t="str">
        <f t="shared" si="183"/>
        <v>-</v>
      </c>
      <c r="BS170" s="1055" t="str">
        <f t="shared" si="183"/>
        <v>-</v>
      </c>
      <c r="BT170" s="1055" t="str">
        <f t="shared" si="183"/>
        <v>-</v>
      </c>
      <c r="BU170" s="1056" t="str">
        <f t="shared" si="183"/>
        <v>-</v>
      </c>
      <c r="BV170" s="1055" t="str">
        <f t="shared" si="183"/>
        <v>-</v>
      </c>
      <c r="BW170" s="1055" t="str">
        <f t="shared" si="183"/>
        <v>-</v>
      </c>
      <c r="BX170" s="1055" t="str">
        <f t="shared" si="183"/>
        <v>-</v>
      </c>
      <c r="BY170" s="1055" t="str">
        <f t="shared" si="183"/>
        <v>-</v>
      </c>
      <c r="BZ170" s="1056" t="str">
        <f t="shared" si="183"/>
        <v>-</v>
      </c>
    </row>
    <row r="171" spans="3:78" x14ac:dyDescent="0.3">
      <c r="C171" s="126"/>
      <c r="D171" s="126">
        <f>D168+1</f>
        <v>35</v>
      </c>
      <c r="E171" s="553" t="s">
        <v>45</v>
      </c>
      <c r="F171" s="581" t="s">
        <v>28</v>
      </c>
      <c r="G171" s="581"/>
      <c r="H171" s="581"/>
      <c r="I171" s="573" t="s">
        <v>319</v>
      </c>
      <c r="J171" s="573" t="s">
        <v>348</v>
      </c>
      <c r="K171" s="1969"/>
      <c r="L171" s="1970"/>
      <c r="M171" s="1970"/>
      <c r="N171" s="1971"/>
      <c r="O171" s="1970"/>
      <c r="P171" s="1970"/>
      <c r="Q171" s="1970"/>
      <c r="R171" s="1972"/>
      <c r="S171" s="1979"/>
      <c r="T171" s="1972"/>
      <c r="U171" s="1972"/>
      <c r="V171" s="1972"/>
      <c r="W171" s="575"/>
      <c r="X171" s="1238"/>
      <c r="Y171" s="575"/>
      <c r="Z171" s="575"/>
      <c r="AA171" s="575"/>
      <c r="AB171" s="1142"/>
      <c r="AC171" s="575"/>
      <c r="AD171" s="575"/>
      <c r="AE171" s="575"/>
      <c r="AF171" s="575"/>
      <c r="AG171" s="577"/>
      <c r="AH171" s="576"/>
      <c r="AI171" s="575"/>
      <c r="AJ171" s="575"/>
      <c r="AK171" s="575"/>
      <c r="AL171" s="577"/>
      <c r="AN171" s="1052"/>
      <c r="AP171" s="2297" t="str">
        <f t="shared" si="128"/>
        <v>Price</v>
      </c>
      <c r="AQ171" s="2298" t="str">
        <f t="shared" si="128"/>
        <v>[Service]</v>
      </c>
      <c r="AR171" s="1719" t="str">
        <f t="shared" si="129"/>
        <v>[Price]</v>
      </c>
      <c r="AS171" s="2299" t="str">
        <f t="shared" ref="AS171:BG187" si="184">IF(OR(X171="",X171=0),"-",IFERROR(X171/W171-1,"-"))</f>
        <v>-</v>
      </c>
      <c r="AT171" s="1728" t="str">
        <f t="shared" si="184"/>
        <v>-</v>
      </c>
      <c r="AU171" s="1728" t="str">
        <f t="shared" si="184"/>
        <v>-</v>
      </c>
      <c r="AV171" s="2300" t="str">
        <f t="shared" si="184"/>
        <v>-</v>
      </c>
      <c r="AW171" s="1728" t="str">
        <f t="shared" si="184"/>
        <v>-</v>
      </c>
      <c r="AX171" s="2301" t="str">
        <f t="shared" si="184"/>
        <v>-</v>
      </c>
      <c r="AY171" s="1728" t="str">
        <f t="shared" si="184"/>
        <v>-</v>
      </c>
      <c r="AZ171" s="1728" t="str">
        <f t="shared" si="184"/>
        <v>-</v>
      </c>
      <c r="BA171" s="1728" t="str">
        <f t="shared" si="184"/>
        <v>-</v>
      </c>
      <c r="BB171" s="1729" t="str">
        <f t="shared" si="184"/>
        <v>-</v>
      </c>
      <c r="BC171" s="1728" t="str">
        <f t="shared" si="184"/>
        <v>-</v>
      </c>
      <c r="BD171" s="1728" t="str">
        <f t="shared" si="184"/>
        <v>-</v>
      </c>
      <c r="BE171" s="1728" t="str">
        <f t="shared" si="184"/>
        <v>-</v>
      </c>
      <c r="BF171" s="1728" t="str">
        <f t="shared" si="184"/>
        <v>-</v>
      </c>
      <c r="BG171" s="1729" t="str">
        <f t="shared" si="184"/>
        <v>-</v>
      </c>
      <c r="BH171" s="1048"/>
      <c r="BI171" s="2297" t="str">
        <f t="shared" si="151"/>
        <v>Price</v>
      </c>
      <c r="BJ171" s="2298" t="str">
        <f t="shared" si="151"/>
        <v>[Service]</v>
      </c>
      <c r="BK171" s="1719" t="str">
        <f t="shared" si="151"/>
        <v>[Price]</v>
      </c>
      <c r="BL171" s="2299" t="str">
        <f t="shared" ref="BL171:BZ171" si="185">IF(OR(X171="",X171=0),"-",IFERROR((X171/W171-1)*(W173/W$13),"-"))</f>
        <v>-</v>
      </c>
      <c r="BM171" s="1053" t="str">
        <f t="shared" si="185"/>
        <v>-</v>
      </c>
      <c r="BN171" s="1053" t="str">
        <f t="shared" si="185"/>
        <v>-</v>
      </c>
      <c r="BO171" s="2302" t="str">
        <f t="shared" si="185"/>
        <v>-</v>
      </c>
      <c r="BP171" s="1053" t="str">
        <f t="shared" si="185"/>
        <v>-</v>
      </c>
      <c r="BQ171" s="2303" t="str">
        <f t="shared" si="185"/>
        <v>-</v>
      </c>
      <c r="BR171" s="1053" t="str">
        <f t="shared" si="185"/>
        <v>-</v>
      </c>
      <c r="BS171" s="1053" t="str">
        <f t="shared" si="185"/>
        <v>-</v>
      </c>
      <c r="BT171" s="1053" t="str">
        <f t="shared" si="185"/>
        <v>-</v>
      </c>
      <c r="BU171" s="1054" t="str">
        <f t="shared" si="185"/>
        <v>-</v>
      </c>
      <c r="BV171" s="1053" t="str">
        <f t="shared" si="185"/>
        <v>-</v>
      </c>
      <c r="BW171" s="1053" t="str">
        <f t="shared" si="185"/>
        <v>-</v>
      </c>
      <c r="BX171" s="1053" t="str">
        <f t="shared" si="185"/>
        <v>-</v>
      </c>
      <c r="BY171" s="1053" t="str">
        <f t="shared" si="185"/>
        <v>-</v>
      </c>
      <c r="BZ171" s="1054" t="str">
        <f t="shared" si="185"/>
        <v>-</v>
      </c>
    </row>
    <row r="172" spans="3:78" x14ac:dyDescent="0.3">
      <c r="C172" s="126"/>
      <c r="D172" s="126"/>
      <c r="E172" s="558" t="s">
        <v>46</v>
      </c>
      <c r="F172" s="1722" t="str">
        <f>+F171</f>
        <v>[Service]</v>
      </c>
      <c r="G172" s="1724">
        <f>+G171</f>
        <v>0</v>
      </c>
      <c r="H172" s="1724">
        <f>+H171</f>
        <v>0</v>
      </c>
      <c r="I172" s="1725" t="str">
        <f>+I171</f>
        <v>[Price]</v>
      </c>
      <c r="J172" s="574" t="s">
        <v>323</v>
      </c>
      <c r="K172" s="1973"/>
      <c r="L172" s="1974"/>
      <c r="M172" s="1974"/>
      <c r="N172" s="1975"/>
      <c r="O172" s="1974"/>
      <c r="P172" s="1974"/>
      <c r="Q172" s="1974"/>
      <c r="R172" s="1976"/>
      <c r="S172" s="1980"/>
      <c r="T172" s="1976"/>
      <c r="U172" s="1976"/>
      <c r="V172" s="1976"/>
      <c r="W172" s="578"/>
      <c r="X172" s="1239"/>
      <c r="Y172" s="578"/>
      <c r="Z172" s="578"/>
      <c r="AA172" s="578"/>
      <c r="AB172" s="1143"/>
      <c r="AC172" s="578"/>
      <c r="AD172" s="578"/>
      <c r="AE172" s="578"/>
      <c r="AF172" s="578"/>
      <c r="AG172" s="580"/>
      <c r="AH172" s="579"/>
      <c r="AI172" s="578"/>
      <c r="AJ172" s="578"/>
      <c r="AK172" s="578"/>
      <c r="AL172" s="580"/>
      <c r="AN172" s="991"/>
      <c r="AP172" s="2285" t="str">
        <f t="shared" si="128"/>
        <v>Qty</v>
      </c>
      <c r="AQ172" s="2286" t="str">
        <f t="shared" si="128"/>
        <v>[Service]</v>
      </c>
      <c r="AR172" s="2287" t="str">
        <f t="shared" si="129"/>
        <v>[Price]</v>
      </c>
      <c r="AS172" s="2288" t="str">
        <f t="shared" si="184"/>
        <v>-</v>
      </c>
      <c r="AT172" s="1720" t="str">
        <f t="shared" si="184"/>
        <v>-</v>
      </c>
      <c r="AU172" s="1720" t="str">
        <f t="shared" si="184"/>
        <v>-</v>
      </c>
      <c r="AV172" s="2289" t="str">
        <f t="shared" si="184"/>
        <v>-</v>
      </c>
      <c r="AW172" s="1720" t="str">
        <f t="shared" si="184"/>
        <v>-</v>
      </c>
      <c r="AX172" s="2290" t="str">
        <f t="shared" si="184"/>
        <v>-</v>
      </c>
      <c r="AY172" s="1720" t="str">
        <f t="shared" si="184"/>
        <v>-</v>
      </c>
      <c r="AZ172" s="1720" t="str">
        <f t="shared" si="184"/>
        <v>-</v>
      </c>
      <c r="BA172" s="1720" t="str">
        <f t="shared" si="184"/>
        <v>-</v>
      </c>
      <c r="BB172" s="1721" t="str">
        <f t="shared" si="184"/>
        <v>-</v>
      </c>
      <c r="BC172" s="1720" t="str">
        <f t="shared" si="184"/>
        <v>-</v>
      </c>
      <c r="BD172" s="1720" t="str">
        <f t="shared" si="184"/>
        <v>-</v>
      </c>
      <c r="BE172" s="1720" t="str">
        <f t="shared" si="184"/>
        <v>-</v>
      </c>
      <c r="BF172" s="1720" t="str">
        <f t="shared" si="184"/>
        <v>-</v>
      </c>
      <c r="BG172" s="1721" t="str">
        <f t="shared" si="184"/>
        <v>-</v>
      </c>
      <c r="BH172" s="1048"/>
      <c r="BI172" s="2285" t="str">
        <f t="shared" si="151"/>
        <v>Qty</v>
      </c>
      <c r="BJ172" s="2286" t="str">
        <f t="shared" si="151"/>
        <v>[Service]</v>
      </c>
      <c r="BK172" s="2287" t="str">
        <f t="shared" si="151"/>
        <v>[Price]</v>
      </c>
      <c r="BL172" s="2288" t="str">
        <f t="shared" ref="BL172:BZ172" si="186">IF(OR(X172="",X172=0),"-",IFERROR((X172/W172-1)*(W173/W$13),"-"))</f>
        <v>-</v>
      </c>
      <c r="BM172" s="1720" t="str">
        <f t="shared" si="186"/>
        <v>-</v>
      </c>
      <c r="BN172" s="1720" t="str">
        <f t="shared" si="186"/>
        <v>-</v>
      </c>
      <c r="BO172" s="2289" t="str">
        <f t="shared" si="186"/>
        <v>-</v>
      </c>
      <c r="BP172" s="1720" t="str">
        <f t="shared" si="186"/>
        <v>-</v>
      </c>
      <c r="BQ172" s="2290" t="str">
        <f t="shared" si="186"/>
        <v>-</v>
      </c>
      <c r="BR172" s="1720" t="str">
        <f t="shared" si="186"/>
        <v>-</v>
      </c>
      <c r="BS172" s="1720" t="str">
        <f t="shared" si="186"/>
        <v>-</v>
      </c>
      <c r="BT172" s="1720" t="str">
        <f t="shared" si="186"/>
        <v>-</v>
      </c>
      <c r="BU172" s="1721" t="str">
        <f t="shared" si="186"/>
        <v>-</v>
      </c>
      <c r="BV172" s="1720" t="str">
        <f t="shared" si="186"/>
        <v>-</v>
      </c>
      <c r="BW172" s="1720" t="str">
        <f t="shared" si="186"/>
        <v>-</v>
      </c>
      <c r="BX172" s="1720" t="str">
        <f t="shared" si="186"/>
        <v>-</v>
      </c>
      <c r="BY172" s="1720" t="str">
        <f t="shared" si="186"/>
        <v>-</v>
      </c>
      <c r="BZ172" s="1721" t="str">
        <f t="shared" si="186"/>
        <v>-</v>
      </c>
    </row>
    <row r="173" spans="3:78" ht="12.5" thickBot="1" x14ac:dyDescent="0.35">
      <c r="C173" s="126"/>
      <c r="D173" s="126"/>
      <c r="E173" s="559" t="s">
        <v>47</v>
      </c>
      <c r="F173" s="1723" t="str">
        <f>+F171</f>
        <v>[Service]</v>
      </c>
      <c r="G173" s="1726">
        <f>+G171</f>
        <v>0</v>
      </c>
      <c r="H173" s="1726">
        <f>+H171</f>
        <v>0</v>
      </c>
      <c r="I173" s="1727" t="str">
        <f>+I171</f>
        <v>[Price]</v>
      </c>
      <c r="J173" s="556" t="s">
        <v>347</v>
      </c>
      <c r="K173" s="1977"/>
      <c r="L173" s="1206"/>
      <c r="M173" s="1206"/>
      <c r="N173" s="1978"/>
      <c r="O173" s="1206"/>
      <c r="P173" s="1206"/>
      <c r="Q173" s="1206"/>
      <c r="R173" s="1206"/>
      <c r="S173" s="1978"/>
      <c r="T173" s="1206"/>
      <c r="U173" s="1206"/>
      <c r="V173" s="1206"/>
      <c r="W173" s="1731">
        <f t="shared" ref="W173:AG173" si="187">W171*W172/10^6</f>
        <v>0</v>
      </c>
      <c r="X173" s="1730">
        <f t="shared" si="187"/>
        <v>0</v>
      </c>
      <c r="Y173" s="1731">
        <f t="shared" si="187"/>
        <v>0</v>
      </c>
      <c r="Z173" s="1731">
        <f t="shared" si="187"/>
        <v>0</v>
      </c>
      <c r="AA173" s="1731">
        <f t="shared" si="187"/>
        <v>0</v>
      </c>
      <c r="AB173" s="1733">
        <f t="shared" si="187"/>
        <v>0</v>
      </c>
      <c r="AC173" s="1731">
        <f t="shared" si="187"/>
        <v>0</v>
      </c>
      <c r="AD173" s="1731">
        <f t="shared" si="187"/>
        <v>0</v>
      </c>
      <c r="AE173" s="1731">
        <f t="shared" si="187"/>
        <v>0</v>
      </c>
      <c r="AF173" s="1731">
        <f t="shared" si="187"/>
        <v>0</v>
      </c>
      <c r="AG173" s="1733">
        <f t="shared" si="187"/>
        <v>0</v>
      </c>
      <c r="AH173" s="1732">
        <f>AH171*AH172/10^6</f>
        <v>0</v>
      </c>
      <c r="AI173" s="1731">
        <f>AI171*AI172/10^6</f>
        <v>0</v>
      </c>
      <c r="AJ173" s="1731">
        <f>AJ171*AJ172/10^6</f>
        <v>0</v>
      </c>
      <c r="AK173" s="1731">
        <f>AK171*AK172/10^6</f>
        <v>0</v>
      </c>
      <c r="AL173" s="1733">
        <f>AL171*AL172/10^6</f>
        <v>0</v>
      </c>
      <c r="AN173" s="991"/>
      <c r="AP173" s="2304" t="str">
        <f t="shared" si="128"/>
        <v>Rev</v>
      </c>
      <c r="AQ173" s="2305" t="str">
        <f t="shared" si="128"/>
        <v>[Service]</v>
      </c>
      <c r="AR173" s="2306" t="str">
        <f t="shared" si="129"/>
        <v>[Price]</v>
      </c>
      <c r="AS173" s="2307" t="str">
        <f t="shared" si="184"/>
        <v>-</v>
      </c>
      <c r="AT173" s="1055" t="str">
        <f t="shared" si="184"/>
        <v>-</v>
      </c>
      <c r="AU173" s="1055" t="str">
        <f t="shared" si="184"/>
        <v>-</v>
      </c>
      <c r="AV173" s="2308" t="str">
        <f t="shared" si="184"/>
        <v>-</v>
      </c>
      <c r="AW173" s="1055" t="str">
        <f t="shared" si="184"/>
        <v>-</v>
      </c>
      <c r="AX173" s="2309" t="str">
        <f t="shared" si="184"/>
        <v>-</v>
      </c>
      <c r="AY173" s="1055" t="str">
        <f t="shared" si="184"/>
        <v>-</v>
      </c>
      <c r="AZ173" s="1055" t="str">
        <f t="shared" si="184"/>
        <v>-</v>
      </c>
      <c r="BA173" s="1055" t="str">
        <f t="shared" si="184"/>
        <v>-</v>
      </c>
      <c r="BB173" s="1056" t="str">
        <f t="shared" si="184"/>
        <v>-</v>
      </c>
      <c r="BC173" s="1055" t="str">
        <f t="shared" si="184"/>
        <v>-</v>
      </c>
      <c r="BD173" s="1055" t="str">
        <f t="shared" si="184"/>
        <v>-</v>
      </c>
      <c r="BE173" s="1055" t="str">
        <f t="shared" si="184"/>
        <v>-</v>
      </c>
      <c r="BF173" s="1055" t="str">
        <f t="shared" si="184"/>
        <v>-</v>
      </c>
      <c r="BG173" s="1056" t="str">
        <f t="shared" si="184"/>
        <v>-</v>
      </c>
      <c r="BH173" s="1048"/>
      <c r="BI173" s="2304" t="str">
        <f t="shared" si="151"/>
        <v>Rev</v>
      </c>
      <c r="BJ173" s="2305" t="str">
        <f t="shared" si="151"/>
        <v>[Service]</v>
      </c>
      <c r="BK173" s="2306" t="str">
        <f t="shared" si="151"/>
        <v>[Price]</v>
      </c>
      <c r="BL173" s="2307" t="str">
        <f t="shared" ref="BL173:BZ173" si="188">IF(OR(X173="",X173=0),"-",IFERROR((X173/W173-1)*(W173/W$13),"-"))</f>
        <v>-</v>
      </c>
      <c r="BM173" s="1055" t="str">
        <f t="shared" si="188"/>
        <v>-</v>
      </c>
      <c r="BN173" s="1055" t="str">
        <f t="shared" si="188"/>
        <v>-</v>
      </c>
      <c r="BO173" s="2308" t="str">
        <f t="shared" si="188"/>
        <v>-</v>
      </c>
      <c r="BP173" s="1055" t="str">
        <f t="shared" si="188"/>
        <v>-</v>
      </c>
      <c r="BQ173" s="2309" t="str">
        <f t="shared" si="188"/>
        <v>-</v>
      </c>
      <c r="BR173" s="1055" t="str">
        <f t="shared" si="188"/>
        <v>-</v>
      </c>
      <c r="BS173" s="1055" t="str">
        <f t="shared" si="188"/>
        <v>-</v>
      </c>
      <c r="BT173" s="1055" t="str">
        <f t="shared" si="188"/>
        <v>-</v>
      </c>
      <c r="BU173" s="1056" t="str">
        <f t="shared" si="188"/>
        <v>-</v>
      </c>
      <c r="BV173" s="1055" t="str">
        <f t="shared" si="188"/>
        <v>-</v>
      </c>
      <c r="BW173" s="1055" t="str">
        <f t="shared" si="188"/>
        <v>-</v>
      </c>
      <c r="BX173" s="1055" t="str">
        <f t="shared" si="188"/>
        <v>-</v>
      </c>
      <c r="BY173" s="1055" t="str">
        <f t="shared" si="188"/>
        <v>-</v>
      </c>
      <c r="BZ173" s="1056" t="str">
        <f t="shared" si="188"/>
        <v>-</v>
      </c>
    </row>
    <row r="174" spans="3:78" x14ac:dyDescent="0.3">
      <c r="C174" s="126"/>
      <c r="D174" s="126">
        <f>D171+1</f>
        <v>36</v>
      </c>
      <c r="E174" s="553" t="s">
        <v>45</v>
      </c>
      <c r="F174" s="581" t="s">
        <v>28</v>
      </c>
      <c r="G174" s="581"/>
      <c r="H174" s="581"/>
      <c r="I174" s="573" t="s">
        <v>319</v>
      </c>
      <c r="J174" s="573" t="s">
        <v>348</v>
      </c>
      <c r="K174" s="1969"/>
      <c r="L174" s="1970"/>
      <c r="M174" s="1970"/>
      <c r="N174" s="1971"/>
      <c r="O174" s="1970"/>
      <c r="P174" s="1970"/>
      <c r="Q174" s="1970"/>
      <c r="R174" s="1972"/>
      <c r="S174" s="1979"/>
      <c r="T174" s="1972"/>
      <c r="U174" s="1972"/>
      <c r="V174" s="1972"/>
      <c r="W174" s="575"/>
      <c r="X174" s="1238"/>
      <c r="Y174" s="575"/>
      <c r="Z174" s="575"/>
      <c r="AA174" s="575"/>
      <c r="AB174" s="1142"/>
      <c r="AC174" s="575"/>
      <c r="AD174" s="575"/>
      <c r="AE174" s="575"/>
      <c r="AF174" s="575"/>
      <c r="AG174" s="577"/>
      <c r="AH174" s="576"/>
      <c r="AI174" s="575"/>
      <c r="AJ174" s="575"/>
      <c r="AK174" s="575"/>
      <c r="AL174" s="577"/>
      <c r="AN174" s="1052"/>
      <c r="AP174" s="2297" t="str">
        <f t="shared" si="128"/>
        <v>Price</v>
      </c>
      <c r="AQ174" s="2298" t="str">
        <f t="shared" si="128"/>
        <v>[Service]</v>
      </c>
      <c r="AR174" s="1719" t="str">
        <f t="shared" si="129"/>
        <v>[Price]</v>
      </c>
      <c r="AS174" s="2299" t="str">
        <f t="shared" si="184"/>
        <v>-</v>
      </c>
      <c r="AT174" s="1728" t="str">
        <f t="shared" si="184"/>
        <v>-</v>
      </c>
      <c r="AU174" s="1728" t="str">
        <f t="shared" si="184"/>
        <v>-</v>
      </c>
      <c r="AV174" s="2300" t="str">
        <f t="shared" si="184"/>
        <v>-</v>
      </c>
      <c r="AW174" s="1728" t="str">
        <f t="shared" si="184"/>
        <v>-</v>
      </c>
      <c r="AX174" s="2301" t="str">
        <f t="shared" si="184"/>
        <v>-</v>
      </c>
      <c r="AY174" s="1728" t="str">
        <f t="shared" si="184"/>
        <v>-</v>
      </c>
      <c r="AZ174" s="1728" t="str">
        <f t="shared" si="184"/>
        <v>-</v>
      </c>
      <c r="BA174" s="1728" t="str">
        <f t="shared" si="184"/>
        <v>-</v>
      </c>
      <c r="BB174" s="1729" t="str">
        <f t="shared" si="184"/>
        <v>-</v>
      </c>
      <c r="BC174" s="1728" t="str">
        <f t="shared" si="184"/>
        <v>-</v>
      </c>
      <c r="BD174" s="1728" t="str">
        <f t="shared" si="184"/>
        <v>-</v>
      </c>
      <c r="BE174" s="1728" t="str">
        <f t="shared" si="184"/>
        <v>-</v>
      </c>
      <c r="BF174" s="1728" t="str">
        <f t="shared" si="184"/>
        <v>-</v>
      </c>
      <c r="BG174" s="1729" t="str">
        <f t="shared" si="184"/>
        <v>-</v>
      </c>
      <c r="BH174" s="1048"/>
      <c r="BI174" s="2297" t="str">
        <f t="shared" si="151"/>
        <v>Price</v>
      </c>
      <c r="BJ174" s="2298" t="str">
        <f t="shared" si="151"/>
        <v>[Service]</v>
      </c>
      <c r="BK174" s="1719" t="str">
        <f t="shared" si="151"/>
        <v>[Price]</v>
      </c>
      <c r="BL174" s="2299" t="str">
        <f t="shared" ref="BL174:BZ174" si="189">IF(OR(X174="",X174=0),"-",IFERROR((X174/W174-1)*(W176/W$13),"-"))</f>
        <v>-</v>
      </c>
      <c r="BM174" s="1053" t="str">
        <f t="shared" si="189"/>
        <v>-</v>
      </c>
      <c r="BN174" s="1053" t="str">
        <f t="shared" si="189"/>
        <v>-</v>
      </c>
      <c r="BO174" s="2302" t="str">
        <f t="shared" si="189"/>
        <v>-</v>
      </c>
      <c r="BP174" s="1053" t="str">
        <f t="shared" si="189"/>
        <v>-</v>
      </c>
      <c r="BQ174" s="2303" t="str">
        <f t="shared" si="189"/>
        <v>-</v>
      </c>
      <c r="BR174" s="1053" t="str">
        <f t="shared" si="189"/>
        <v>-</v>
      </c>
      <c r="BS174" s="1053" t="str">
        <f t="shared" si="189"/>
        <v>-</v>
      </c>
      <c r="BT174" s="1053" t="str">
        <f t="shared" si="189"/>
        <v>-</v>
      </c>
      <c r="BU174" s="1054" t="str">
        <f t="shared" si="189"/>
        <v>-</v>
      </c>
      <c r="BV174" s="1053" t="str">
        <f t="shared" si="189"/>
        <v>-</v>
      </c>
      <c r="BW174" s="1053" t="str">
        <f t="shared" si="189"/>
        <v>-</v>
      </c>
      <c r="BX174" s="1053" t="str">
        <f t="shared" si="189"/>
        <v>-</v>
      </c>
      <c r="BY174" s="1053" t="str">
        <f t="shared" si="189"/>
        <v>-</v>
      </c>
      <c r="BZ174" s="1054" t="str">
        <f t="shared" si="189"/>
        <v>-</v>
      </c>
    </row>
    <row r="175" spans="3:78" x14ac:dyDescent="0.3">
      <c r="C175" s="126"/>
      <c r="D175" s="126"/>
      <c r="E175" s="558" t="s">
        <v>46</v>
      </c>
      <c r="F175" s="1722" t="str">
        <f>+F174</f>
        <v>[Service]</v>
      </c>
      <c r="G175" s="1724">
        <f>+G174</f>
        <v>0</v>
      </c>
      <c r="H175" s="1724">
        <f>+H174</f>
        <v>0</v>
      </c>
      <c r="I175" s="1725" t="str">
        <f>+I174</f>
        <v>[Price]</v>
      </c>
      <c r="J175" s="574" t="s">
        <v>323</v>
      </c>
      <c r="K175" s="1973"/>
      <c r="L175" s="1974"/>
      <c r="M175" s="1974"/>
      <c r="N175" s="1975"/>
      <c r="O175" s="1974"/>
      <c r="P175" s="1974"/>
      <c r="Q175" s="1974"/>
      <c r="R175" s="1976"/>
      <c r="S175" s="1980"/>
      <c r="T175" s="1976"/>
      <c r="U175" s="1976"/>
      <c r="V175" s="1976"/>
      <c r="W175" s="578"/>
      <c r="X175" s="1239"/>
      <c r="Y175" s="578"/>
      <c r="Z175" s="578"/>
      <c r="AA175" s="578"/>
      <c r="AB175" s="1143"/>
      <c r="AC175" s="578"/>
      <c r="AD175" s="578"/>
      <c r="AE175" s="578"/>
      <c r="AF175" s="578"/>
      <c r="AG175" s="580"/>
      <c r="AH175" s="579"/>
      <c r="AI175" s="578"/>
      <c r="AJ175" s="578"/>
      <c r="AK175" s="578"/>
      <c r="AL175" s="580"/>
      <c r="AN175" s="991"/>
      <c r="AP175" s="2285" t="str">
        <f t="shared" si="128"/>
        <v>Qty</v>
      </c>
      <c r="AQ175" s="2286" t="str">
        <f t="shared" si="128"/>
        <v>[Service]</v>
      </c>
      <c r="AR175" s="2287" t="str">
        <f t="shared" si="129"/>
        <v>[Price]</v>
      </c>
      <c r="AS175" s="2288" t="str">
        <f t="shared" si="184"/>
        <v>-</v>
      </c>
      <c r="AT175" s="1720" t="str">
        <f t="shared" si="184"/>
        <v>-</v>
      </c>
      <c r="AU175" s="1720" t="str">
        <f t="shared" si="184"/>
        <v>-</v>
      </c>
      <c r="AV175" s="2289" t="str">
        <f t="shared" si="184"/>
        <v>-</v>
      </c>
      <c r="AW175" s="1720" t="str">
        <f t="shared" si="184"/>
        <v>-</v>
      </c>
      <c r="AX175" s="2290" t="str">
        <f t="shared" si="184"/>
        <v>-</v>
      </c>
      <c r="AY175" s="1720" t="str">
        <f t="shared" si="184"/>
        <v>-</v>
      </c>
      <c r="AZ175" s="1720" t="str">
        <f t="shared" si="184"/>
        <v>-</v>
      </c>
      <c r="BA175" s="1720" t="str">
        <f t="shared" si="184"/>
        <v>-</v>
      </c>
      <c r="BB175" s="1721" t="str">
        <f t="shared" si="184"/>
        <v>-</v>
      </c>
      <c r="BC175" s="1720" t="str">
        <f t="shared" si="184"/>
        <v>-</v>
      </c>
      <c r="BD175" s="1720" t="str">
        <f t="shared" si="184"/>
        <v>-</v>
      </c>
      <c r="BE175" s="1720" t="str">
        <f t="shared" si="184"/>
        <v>-</v>
      </c>
      <c r="BF175" s="1720" t="str">
        <f t="shared" si="184"/>
        <v>-</v>
      </c>
      <c r="BG175" s="1721" t="str">
        <f t="shared" si="184"/>
        <v>-</v>
      </c>
      <c r="BH175" s="1048"/>
      <c r="BI175" s="2285" t="str">
        <f t="shared" si="151"/>
        <v>Qty</v>
      </c>
      <c r="BJ175" s="2286" t="str">
        <f t="shared" si="151"/>
        <v>[Service]</v>
      </c>
      <c r="BK175" s="2287" t="str">
        <f t="shared" si="151"/>
        <v>[Price]</v>
      </c>
      <c r="BL175" s="2288" t="str">
        <f t="shared" ref="BL175:BZ175" si="190">IF(OR(X175="",X175=0),"-",IFERROR((X175/W175-1)*(W176/W$13),"-"))</f>
        <v>-</v>
      </c>
      <c r="BM175" s="1720" t="str">
        <f t="shared" si="190"/>
        <v>-</v>
      </c>
      <c r="BN175" s="1720" t="str">
        <f t="shared" si="190"/>
        <v>-</v>
      </c>
      <c r="BO175" s="2289" t="str">
        <f t="shared" si="190"/>
        <v>-</v>
      </c>
      <c r="BP175" s="1720" t="str">
        <f t="shared" si="190"/>
        <v>-</v>
      </c>
      <c r="BQ175" s="2290" t="str">
        <f t="shared" si="190"/>
        <v>-</v>
      </c>
      <c r="BR175" s="1720" t="str">
        <f t="shared" si="190"/>
        <v>-</v>
      </c>
      <c r="BS175" s="1720" t="str">
        <f t="shared" si="190"/>
        <v>-</v>
      </c>
      <c r="BT175" s="1720" t="str">
        <f t="shared" si="190"/>
        <v>-</v>
      </c>
      <c r="BU175" s="1721" t="str">
        <f t="shared" si="190"/>
        <v>-</v>
      </c>
      <c r="BV175" s="1720" t="str">
        <f t="shared" si="190"/>
        <v>-</v>
      </c>
      <c r="BW175" s="1720" t="str">
        <f t="shared" si="190"/>
        <v>-</v>
      </c>
      <c r="BX175" s="1720" t="str">
        <f t="shared" si="190"/>
        <v>-</v>
      </c>
      <c r="BY175" s="1720" t="str">
        <f t="shared" si="190"/>
        <v>-</v>
      </c>
      <c r="BZ175" s="1721" t="str">
        <f t="shared" si="190"/>
        <v>-</v>
      </c>
    </row>
    <row r="176" spans="3:78" ht="12.5" thickBot="1" x14ac:dyDescent="0.35">
      <c r="C176" s="126"/>
      <c r="D176" s="126"/>
      <c r="E176" s="559" t="s">
        <v>47</v>
      </c>
      <c r="F176" s="1723" t="str">
        <f>+F174</f>
        <v>[Service]</v>
      </c>
      <c r="G176" s="1726">
        <f>+G174</f>
        <v>0</v>
      </c>
      <c r="H176" s="1726">
        <f>+H174</f>
        <v>0</v>
      </c>
      <c r="I176" s="1727" t="str">
        <f>+I174</f>
        <v>[Price]</v>
      </c>
      <c r="J176" s="556" t="s">
        <v>347</v>
      </c>
      <c r="K176" s="1977"/>
      <c r="L176" s="1206"/>
      <c r="M176" s="1206"/>
      <c r="N176" s="1978"/>
      <c r="O176" s="1206"/>
      <c r="P176" s="1206"/>
      <c r="Q176" s="1206"/>
      <c r="R176" s="1206"/>
      <c r="S176" s="1978"/>
      <c r="T176" s="1206"/>
      <c r="U176" s="1206"/>
      <c r="V176" s="1206"/>
      <c r="W176" s="1731">
        <f t="shared" ref="W176:AG176" si="191">W174*W175/10^6</f>
        <v>0</v>
      </c>
      <c r="X176" s="1730">
        <f t="shared" si="191"/>
        <v>0</v>
      </c>
      <c r="Y176" s="1731">
        <f t="shared" si="191"/>
        <v>0</v>
      </c>
      <c r="Z176" s="1731">
        <f t="shared" si="191"/>
        <v>0</v>
      </c>
      <c r="AA176" s="1731">
        <f t="shared" si="191"/>
        <v>0</v>
      </c>
      <c r="AB176" s="1733">
        <f t="shared" si="191"/>
        <v>0</v>
      </c>
      <c r="AC176" s="1731">
        <f t="shared" si="191"/>
        <v>0</v>
      </c>
      <c r="AD176" s="1731">
        <f t="shared" si="191"/>
        <v>0</v>
      </c>
      <c r="AE176" s="1731">
        <f t="shared" si="191"/>
        <v>0</v>
      </c>
      <c r="AF176" s="1731">
        <f t="shared" si="191"/>
        <v>0</v>
      </c>
      <c r="AG176" s="1733">
        <f t="shared" si="191"/>
        <v>0</v>
      </c>
      <c r="AH176" s="1732">
        <f>AH174*AH175/10^6</f>
        <v>0</v>
      </c>
      <c r="AI176" s="1731">
        <f>AI174*AI175/10^6</f>
        <v>0</v>
      </c>
      <c r="AJ176" s="1731">
        <f>AJ174*AJ175/10^6</f>
        <v>0</v>
      </c>
      <c r="AK176" s="1731">
        <f>AK174*AK175/10^6</f>
        <v>0</v>
      </c>
      <c r="AL176" s="1733">
        <f>AL174*AL175/10^6</f>
        <v>0</v>
      </c>
      <c r="AN176" s="991"/>
      <c r="AP176" s="2304" t="str">
        <f t="shared" si="128"/>
        <v>Rev</v>
      </c>
      <c r="AQ176" s="2305" t="str">
        <f t="shared" si="128"/>
        <v>[Service]</v>
      </c>
      <c r="AR176" s="2306" t="str">
        <f t="shared" si="129"/>
        <v>[Price]</v>
      </c>
      <c r="AS176" s="2307" t="str">
        <f t="shared" si="184"/>
        <v>-</v>
      </c>
      <c r="AT176" s="1055" t="str">
        <f t="shared" si="184"/>
        <v>-</v>
      </c>
      <c r="AU176" s="1055" t="str">
        <f t="shared" si="184"/>
        <v>-</v>
      </c>
      <c r="AV176" s="2308" t="str">
        <f t="shared" si="184"/>
        <v>-</v>
      </c>
      <c r="AW176" s="1055" t="str">
        <f t="shared" si="184"/>
        <v>-</v>
      </c>
      <c r="AX176" s="2309" t="str">
        <f t="shared" si="184"/>
        <v>-</v>
      </c>
      <c r="AY176" s="1055" t="str">
        <f t="shared" si="184"/>
        <v>-</v>
      </c>
      <c r="AZ176" s="1055" t="str">
        <f t="shared" si="184"/>
        <v>-</v>
      </c>
      <c r="BA176" s="1055" t="str">
        <f t="shared" si="184"/>
        <v>-</v>
      </c>
      <c r="BB176" s="1056" t="str">
        <f t="shared" si="184"/>
        <v>-</v>
      </c>
      <c r="BC176" s="1055" t="str">
        <f t="shared" si="184"/>
        <v>-</v>
      </c>
      <c r="BD176" s="1055" t="str">
        <f t="shared" si="184"/>
        <v>-</v>
      </c>
      <c r="BE176" s="1055" t="str">
        <f t="shared" si="184"/>
        <v>-</v>
      </c>
      <c r="BF176" s="1055" t="str">
        <f t="shared" si="184"/>
        <v>-</v>
      </c>
      <c r="BG176" s="1056" t="str">
        <f t="shared" si="184"/>
        <v>-</v>
      </c>
      <c r="BH176" s="1048"/>
      <c r="BI176" s="2304" t="str">
        <f t="shared" si="151"/>
        <v>Rev</v>
      </c>
      <c r="BJ176" s="2305" t="str">
        <f t="shared" si="151"/>
        <v>[Service]</v>
      </c>
      <c r="BK176" s="2306" t="str">
        <f t="shared" si="151"/>
        <v>[Price]</v>
      </c>
      <c r="BL176" s="2307" t="str">
        <f t="shared" ref="BL176:BZ176" si="192">IF(OR(X176="",X176=0),"-",IFERROR((X176/W176-1)*(W176/W$13),"-"))</f>
        <v>-</v>
      </c>
      <c r="BM176" s="1055" t="str">
        <f t="shared" si="192"/>
        <v>-</v>
      </c>
      <c r="BN176" s="1055" t="str">
        <f t="shared" si="192"/>
        <v>-</v>
      </c>
      <c r="BO176" s="2308" t="str">
        <f t="shared" si="192"/>
        <v>-</v>
      </c>
      <c r="BP176" s="1055" t="str">
        <f t="shared" si="192"/>
        <v>-</v>
      </c>
      <c r="BQ176" s="2309" t="str">
        <f t="shared" si="192"/>
        <v>-</v>
      </c>
      <c r="BR176" s="1055" t="str">
        <f t="shared" si="192"/>
        <v>-</v>
      </c>
      <c r="BS176" s="1055" t="str">
        <f t="shared" si="192"/>
        <v>-</v>
      </c>
      <c r="BT176" s="1055" t="str">
        <f t="shared" si="192"/>
        <v>-</v>
      </c>
      <c r="BU176" s="1056" t="str">
        <f t="shared" si="192"/>
        <v>-</v>
      </c>
      <c r="BV176" s="1055" t="str">
        <f t="shared" si="192"/>
        <v>-</v>
      </c>
      <c r="BW176" s="1055" t="str">
        <f t="shared" si="192"/>
        <v>-</v>
      </c>
      <c r="BX176" s="1055" t="str">
        <f t="shared" si="192"/>
        <v>-</v>
      </c>
      <c r="BY176" s="1055" t="str">
        <f t="shared" si="192"/>
        <v>-</v>
      </c>
      <c r="BZ176" s="1056" t="str">
        <f t="shared" si="192"/>
        <v>-</v>
      </c>
    </row>
    <row r="177" spans="3:78" x14ac:dyDescent="0.3">
      <c r="C177" s="126"/>
      <c r="D177" s="126">
        <f>D174+1</f>
        <v>37</v>
      </c>
      <c r="E177" s="553" t="s">
        <v>45</v>
      </c>
      <c r="F177" s="581" t="s">
        <v>28</v>
      </c>
      <c r="G177" s="581"/>
      <c r="H177" s="581"/>
      <c r="I177" s="573" t="s">
        <v>319</v>
      </c>
      <c r="J177" s="573" t="s">
        <v>348</v>
      </c>
      <c r="K177" s="1969"/>
      <c r="L177" s="1970"/>
      <c r="M177" s="1970"/>
      <c r="N177" s="1971"/>
      <c r="O177" s="1970"/>
      <c r="P177" s="1970"/>
      <c r="Q177" s="1970"/>
      <c r="R177" s="1972"/>
      <c r="S177" s="1979"/>
      <c r="T177" s="1972"/>
      <c r="U177" s="1972"/>
      <c r="V177" s="1972"/>
      <c r="W177" s="575"/>
      <c r="X177" s="1238"/>
      <c r="Y177" s="575"/>
      <c r="Z177" s="575"/>
      <c r="AA177" s="575"/>
      <c r="AB177" s="1142"/>
      <c r="AC177" s="575"/>
      <c r="AD177" s="575"/>
      <c r="AE177" s="575"/>
      <c r="AF177" s="575"/>
      <c r="AG177" s="577"/>
      <c r="AH177" s="576"/>
      <c r="AI177" s="575"/>
      <c r="AJ177" s="575"/>
      <c r="AK177" s="575"/>
      <c r="AL177" s="577"/>
      <c r="AN177" s="1052"/>
      <c r="AP177" s="2297" t="str">
        <f t="shared" si="128"/>
        <v>Price</v>
      </c>
      <c r="AQ177" s="2298" t="str">
        <f t="shared" si="128"/>
        <v>[Service]</v>
      </c>
      <c r="AR177" s="1719" t="str">
        <f t="shared" si="129"/>
        <v>[Price]</v>
      </c>
      <c r="AS177" s="2299" t="str">
        <f t="shared" si="184"/>
        <v>-</v>
      </c>
      <c r="AT177" s="1728" t="str">
        <f t="shared" si="184"/>
        <v>-</v>
      </c>
      <c r="AU177" s="1728" t="str">
        <f t="shared" si="184"/>
        <v>-</v>
      </c>
      <c r="AV177" s="2300" t="str">
        <f t="shared" si="184"/>
        <v>-</v>
      </c>
      <c r="AW177" s="1728" t="str">
        <f t="shared" si="184"/>
        <v>-</v>
      </c>
      <c r="AX177" s="2301" t="str">
        <f t="shared" si="184"/>
        <v>-</v>
      </c>
      <c r="AY177" s="1728" t="str">
        <f t="shared" si="184"/>
        <v>-</v>
      </c>
      <c r="AZ177" s="1728" t="str">
        <f t="shared" si="184"/>
        <v>-</v>
      </c>
      <c r="BA177" s="1728" t="str">
        <f t="shared" si="184"/>
        <v>-</v>
      </c>
      <c r="BB177" s="1729" t="str">
        <f t="shared" si="184"/>
        <v>-</v>
      </c>
      <c r="BC177" s="1728" t="str">
        <f t="shared" si="184"/>
        <v>-</v>
      </c>
      <c r="BD177" s="1728" t="str">
        <f t="shared" si="184"/>
        <v>-</v>
      </c>
      <c r="BE177" s="1728" t="str">
        <f t="shared" si="184"/>
        <v>-</v>
      </c>
      <c r="BF177" s="1728" t="str">
        <f t="shared" si="184"/>
        <v>-</v>
      </c>
      <c r="BG177" s="1729" t="str">
        <f t="shared" si="184"/>
        <v>-</v>
      </c>
      <c r="BH177" s="1048"/>
      <c r="BI177" s="2297" t="str">
        <f t="shared" si="151"/>
        <v>Price</v>
      </c>
      <c r="BJ177" s="2298" t="str">
        <f t="shared" si="151"/>
        <v>[Service]</v>
      </c>
      <c r="BK177" s="1719" t="str">
        <f t="shared" si="151"/>
        <v>[Price]</v>
      </c>
      <c r="BL177" s="2299" t="str">
        <f t="shared" ref="BL177:BZ177" si="193">IF(OR(X177="",X177=0),"-",IFERROR((X177/W177-1)*(W179/W$13),"-"))</f>
        <v>-</v>
      </c>
      <c r="BM177" s="1053" t="str">
        <f t="shared" si="193"/>
        <v>-</v>
      </c>
      <c r="BN177" s="1053" t="str">
        <f t="shared" si="193"/>
        <v>-</v>
      </c>
      <c r="BO177" s="2302" t="str">
        <f t="shared" si="193"/>
        <v>-</v>
      </c>
      <c r="BP177" s="1053" t="str">
        <f t="shared" si="193"/>
        <v>-</v>
      </c>
      <c r="BQ177" s="2303" t="str">
        <f t="shared" si="193"/>
        <v>-</v>
      </c>
      <c r="BR177" s="1053" t="str">
        <f t="shared" si="193"/>
        <v>-</v>
      </c>
      <c r="BS177" s="1053" t="str">
        <f t="shared" si="193"/>
        <v>-</v>
      </c>
      <c r="BT177" s="1053" t="str">
        <f t="shared" si="193"/>
        <v>-</v>
      </c>
      <c r="BU177" s="1054" t="str">
        <f t="shared" si="193"/>
        <v>-</v>
      </c>
      <c r="BV177" s="1053" t="str">
        <f t="shared" si="193"/>
        <v>-</v>
      </c>
      <c r="BW177" s="1053" t="str">
        <f t="shared" si="193"/>
        <v>-</v>
      </c>
      <c r="BX177" s="1053" t="str">
        <f t="shared" si="193"/>
        <v>-</v>
      </c>
      <c r="BY177" s="1053" t="str">
        <f t="shared" si="193"/>
        <v>-</v>
      </c>
      <c r="BZ177" s="1054" t="str">
        <f t="shared" si="193"/>
        <v>-</v>
      </c>
    </row>
    <row r="178" spans="3:78" x14ac:dyDescent="0.3">
      <c r="C178" s="126"/>
      <c r="D178" s="126"/>
      <c r="E178" s="558" t="s">
        <v>46</v>
      </c>
      <c r="F178" s="1722" t="str">
        <f>+F177</f>
        <v>[Service]</v>
      </c>
      <c r="G178" s="1724">
        <f>+G177</f>
        <v>0</v>
      </c>
      <c r="H178" s="1724">
        <f>+H177</f>
        <v>0</v>
      </c>
      <c r="I178" s="1725" t="str">
        <f>+I177</f>
        <v>[Price]</v>
      </c>
      <c r="J178" s="574" t="s">
        <v>323</v>
      </c>
      <c r="K178" s="1973"/>
      <c r="L178" s="1974"/>
      <c r="M178" s="1974"/>
      <c r="N178" s="1975"/>
      <c r="O178" s="1974"/>
      <c r="P178" s="1974"/>
      <c r="Q178" s="1974"/>
      <c r="R178" s="1976"/>
      <c r="S178" s="1980"/>
      <c r="T178" s="1976"/>
      <c r="U178" s="1976"/>
      <c r="V178" s="1976"/>
      <c r="W178" s="578"/>
      <c r="X178" s="1239"/>
      <c r="Y178" s="578"/>
      <c r="Z178" s="578"/>
      <c r="AA178" s="578"/>
      <c r="AB178" s="1143"/>
      <c r="AC178" s="578"/>
      <c r="AD178" s="578"/>
      <c r="AE178" s="578"/>
      <c r="AF178" s="578"/>
      <c r="AG178" s="580"/>
      <c r="AH178" s="579"/>
      <c r="AI178" s="578"/>
      <c r="AJ178" s="578"/>
      <c r="AK178" s="578"/>
      <c r="AL178" s="580"/>
      <c r="AN178" s="991"/>
      <c r="AP178" s="2285" t="str">
        <f t="shared" si="128"/>
        <v>Qty</v>
      </c>
      <c r="AQ178" s="2286" t="str">
        <f t="shared" si="128"/>
        <v>[Service]</v>
      </c>
      <c r="AR178" s="2287" t="str">
        <f t="shared" si="129"/>
        <v>[Price]</v>
      </c>
      <c r="AS178" s="2288" t="str">
        <f t="shared" si="184"/>
        <v>-</v>
      </c>
      <c r="AT178" s="1720" t="str">
        <f t="shared" si="184"/>
        <v>-</v>
      </c>
      <c r="AU178" s="1720" t="str">
        <f t="shared" si="184"/>
        <v>-</v>
      </c>
      <c r="AV178" s="2289" t="str">
        <f t="shared" si="184"/>
        <v>-</v>
      </c>
      <c r="AW178" s="1720" t="str">
        <f t="shared" si="184"/>
        <v>-</v>
      </c>
      <c r="AX178" s="2290" t="str">
        <f t="shared" si="184"/>
        <v>-</v>
      </c>
      <c r="AY178" s="1720" t="str">
        <f t="shared" si="184"/>
        <v>-</v>
      </c>
      <c r="AZ178" s="1720" t="str">
        <f t="shared" si="184"/>
        <v>-</v>
      </c>
      <c r="BA178" s="1720" t="str">
        <f t="shared" si="184"/>
        <v>-</v>
      </c>
      <c r="BB178" s="1721" t="str">
        <f t="shared" si="184"/>
        <v>-</v>
      </c>
      <c r="BC178" s="1720" t="str">
        <f t="shared" si="184"/>
        <v>-</v>
      </c>
      <c r="BD178" s="1720" t="str">
        <f t="shared" si="184"/>
        <v>-</v>
      </c>
      <c r="BE178" s="1720" t="str">
        <f t="shared" si="184"/>
        <v>-</v>
      </c>
      <c r="BF178" s="1720" t="str">
        <f t="shared" si="184"/>
        <v>-</v>
      </c>
      <c r="BG178" s="1721" t="str">
        <f t="shared" si="184"/>
        <v>-</v>
      </c>
      <c r="BH178" s="1048"/>
      <c r="BI178" s="2285" t="str">
        <f t="shared" si="151"/>
        <v>Qty</v>
      </c>
      <c r="BJ178" s="2286" t="str">
        <f t="shared" si="151"/>
        <v>[Service]</v>
      </c>
      <c r="BK178" s="2287" t="str">
        <f t="shared" si="151"/>
        <v>[Price]</v>
      </c>
      <c r="BL178" s="2288" t="str">
        <f t="shared" ref="BL178:BZ178" si="194">IF(OR(X178="",X178=0),"-",IFERROR((X178/W178-1)*(W179/W$13),"-"))</f>
        <v>-</v>
      </c>
      <c r="BM178" s="1720" t="str">
        <f t="shared" si="194"/>
        <v>-</v>
      </c>
      <c r="BN178" s="1720" t="str">
        <f t="shared" si="194"/>
        <v>-</v>
      </c>
      <c r="BO178" s="2289" t="str">
        <f t="shared" si="194"/>
        <v>-</v>
      </c>
      <c r="BP178" s="1720" t="str">
        <f t="shared" si="194"/>
        <v>-</v>
      </c>
      <c r="BQ178" s="2290" t="str">
        <f t="shared" si="194"/>
        <v>-</v>
      </c>
      <c r="BR178" s="1720" t="str">
        <f t="shared" si="194"/>
        <v>-</v>
      </c>
      <c r="BS178" s="1720" t="str">
        <f t="shared" si="194"/>
        <v>-</v>
      </c>
      <c r="BT178" s="1720" t="str">
        <f t="shared" si="194"/>
        <v>-</v>
      </c>
      <c r="BU178" s="1721" t="str">
        <f t="shared" si="194"/>
        <v>-</v>
      </c>
      <c r="BV178" s="1720" t="str">
        <f t="shared" si="194"/>
        <v>-</v>
      </c>
      <c r="BW178" s="1720" t="str">
        <f t="shared" si="194"/>
        <v>-</v>
      </c>
      <c r="BX178" s="1720" t="str">
        <f t="shared" si="194"/>
        <v>-</v>
      </c>
      <c r="BY178" s="1720" t="str">
        <f t="shared" si="194"/>
        <v>-</v>
      </c>
      <c r="BZ178" s="1721" t="str">
        <f t="shared" si="194"/>
        <v>-</v>
      </c>
    </row>
    <row r="179" spans="3:78" ht="12.5" thickBot="1" x14ac:dyDescent="0.35">
      <c r="C179" s="126"/>
      <c r="D179" s="126"/>
      <c r="E179" s="559" t="s">
        <v>47</v>
      </c>
      <c r="F179" s="1723" t="str">
        <f>+F177</f>
        <v>[Service]</v>
      </c>
      <c r="G179" s="1726">
        <f>+G177</f>
        <v>0</v>
      </c>
      <c r="H179" s="1726">
        <f>+H177</f>
        <v>0</v>
      </c>
      <c r="I179" s="1727" t="str">
        <f>+I177</f>
        <v>[Price]</v>
      </c>
      <c r="J179" s="556" t="s">
        <v>347</v>
      </c>
      <c r="K179" s="1977"/>
      <c r="L179" s="1206"/>
      <c r="M179" s="1206"/>
      <c r="N179" s="1978"/>
      <c r="O179" s="1206"/>
      <c r="P179" s="1206"/>
      <c r="Q179" s="1206"/>
      <c r="R179" s="1206"/>
      <c r="S179" s="1978"/>
      <c r="T179" s="1206"/>
      <c r="U179" s="1206"/>
      <c r="V179" s="1206"/>
      <c r="W179" s="1731">
        <f t="shared" ref="W179:AG179" si="195">W177*W178/10^6</f>
        <v>0</v>
      </c>
      <c r="X179" s="1730">
        <f t="shared" si="195"/>
        <v>0</v>
      </c>
      <c r="Y179" s="1731">
        <f t="shared" si="195"/>
        <v>0</v>
      </c>
      <c r="Z179" s="1731">
        <f t="shared" si="195"/>
        <v>0</v>
      </c>
      <c r="AA179" s="1731">
        <f t="shared" si="195"/>
        <v>0</v>
      </c>
      <c r="AB179" s="1733">
        <f t="shared" si="195"/>
        <v>0</v>
      </c>
      <c r="AC179" s="1731">
        <f t="shared" si="195"/>
        <v>0</v>
      </c>
      <c r="AD179" s="1731">
        <f t="shared" si="195"/>
        <v>0</v>
      </c>
      <c r="AE179" s="1731">
        <f t="shared" si="195"/>
        <v>0</v>
      </c>
      <c r="AF179" s="1731">
        <f t="shared" si="195"/>
        <v>0</v>
      </c>
      <c r="AG179" s="1733">
        <f t="shared" si="195"/>
        <v>0</v>
      </c>
      <c r="AH179" s="1732">
        <f>AH177*AH178/10^6</f>
        <v>0</v>
      </c>
      <c r="AI179" s="1731">
        <f>AI177*AI178/10^6</f>
        <v>0</v>
      </c>
      <c r="AJ179" s="1731">
        <f>AJ177*AJ178/10^6</f>
        <v>0</v>
      </c>
      <c r="AK179" s="1731">
        <f>AK177*AK178/10^6</f>
        <v>0</v>
      </c>
      <c r="AL179" s="1733">
        <f>AL177*AL178/10^6</f>
        <v>0</v>
      </c>
      <c r="AN179" s="991"/>
      <c r="AP179" s="2304" t="str">
        <f t="shared" si="128"/>
        <v>Rev</v>
      </c>
      <c r="AQ179" s="2305" t="str">
        <f t="shared" si="128"/>
        <v>[Service]</v>
      </c>
      <c r="AR179" s="2306" t="str">
        <f t="shared" si="129"/>
        <v>[Price]</v>
      </c>
      <c r="AS179" s="2307" t="str">
        <f t="shared" si="184"/>
        <v>-</v>
      </c>
      <c r="AT179" s="1055" t="str">
        <f t="shared" si="184"/>
        <v>-</v>
      </c>
      <c r="AU179" s="1055" t="str">
        <f t="shared" si="184"/>
        <v>-</v>
      </c>
      <c r="AV179" s="2308" t="str">
        <f t="shared" si="184"/>
        <v>-</v>
      </c>
      <c r="AW179" s="1055" t="str">
        <f t="shared" si="184"/>
        <v>-</v>
      </c>
      <c r="AX179" s="2309" t="str">
        <f t="shared" si="184"/>
        <v>-</v>
      </c>
      <c r="AY179" s="1055" t="str">
        <f t="shared" si="184"/>
        <v>-</v>
      </c>
      <c r="AZ179" s="1055" t="str">
        <f t="shared" si="184"/>
        <v>-</v>
      </c>
      <c r="BA179" s="1055" t="str">
        <f t="shared" si="184"/>
        <v>-</v>
      </c>
      <c r="BB179" s="1056" t="str">
        <f t="shared" si="184"/>
        <v>-</v>
      </c>
      <c r="BC179" s="1055" t="str">
        <f t="shared" si="184"/>
        <v>-</v>
      </c>
      <c r="BD179" s="1055" t="str">
        <f t="shared" si="184"/>
        <v>-</v>
      </c>
      <c r="BE179" s="1055" t="str">
        <f t="shared" si="184"/>
        <v>-</v>
      </c>
      <c r="BF179" s="1055" t="str">
        <f t="shared" si="184"/>
        <v>-</v>
      </c>
      <c r="BG179" s="1056" t="str">
        <f t="shared" si="184"/>
        <v>-</v>
      </c>
      <c r="BH179" s="1048"/>
      <c r="BI179" s="2304" t="str">
        <f t="shared" si="151"/>
        <v>Rev</v>
      </c>
      <c r="BJ179" s="2305" t="str">
        <f t="shared" si="151"/>
        <v>[Service]</v>
      </c>
      <c r="BK179" s="2306" t="str">
        <f t="shared" si="151"/>
        <v>[Price]</v>
      </c>
      <c r="BL179" s="2307" t="str">
        <f t="shared" ref="BL179:BZ179" si="196">IF(OR(X179="",X179=0),"-",IFERROR((X179/W179-1)*(W179/W$13),"-"))</f>
        <v>-</v>
      </c>
      <c r="BM179" s="1055" t="str">
        <f t="shared" si="196"/>
        <v>-</v>
      </c>
      <c r="BN179" s="1055" t="str">
        <f t="shared" si="196"/>
        <v>-</v>
      </c>
      <c r="BO179" s="2308" t="str">
        <f t="shared" si="196"/>
        <v>-</v>
      </c>
      <c r="BP179" s="1055" t="str">
        <f t="shared" si="196"/>
        <v>-</v>
      </c>
      <c r="BQ179" s="2309" t="str">
        <f t="shared" si="196"/>
        <v>-</v>
      </c>
      <c r="BR179" s="1055" t="str">
        <f t="shared" si="196"/>
        <v>-</v>
      </c>
      <c r="BS179" s="1055" t="str">
        <f t="shared" si="196"/>
        <v>-</v>
      </c>
      <c r="BT179" s="1055" t="str">
        <f t="shared" si="196"/>
        <v>-</v>
      </c>
      <c r="BU179" s="1056" t="str">
        <f t="shared" si="196"/>
        <v>-</v>
      </c>
      <c r="BV179" s="1055" t="str">
        <f t="shared" si="196"/>
        <v>-</v>
      </c>
      <c r="BW179" s="1055" t="str">
        <f t="shared" si="196"/>
        <v>-</v>
      </c>
      <c r="BX179" s="1055" t="str">
        <f t="shared" si="196"/>
        <v>-</v>
      </c>
      <c r="BY179" s="1055" t="str">
        <f t="shared" si="196"/>
        <v>-</v>
      </c>
      <c r="BZ179" s="1056" t="str">
        <f t="shared" si="196"/>
        <v>-</v>
      </c>
    </row>
    <row r="180" spans="3:78" x14ac:dyDescent="0.3">
      <c r="C180" s="126"/>
      <c r="D180" s="126">
        <f>D177+1</f>
        <v>38</v>
      </c>
      <c r="E180" s="553" t="s">
        <v>45</v>
      </c>
      <c r="F180" s="581" t="s">
        <v>28</v>
      </c>
      <c r="G180" s="581"/>
      <c r="H180" s="581"/>
      <c r="I180" s="573" t="s">
        <v>319</v>
      </c>
      <c r="J180" s="573" t="s">
        <v>348</v>
      </c>
      <c r="K180" s="1969"/>
      <c r="L180" s="1970"/>
      <c r="M180" s="1970"/>
      <c r="N180" s="1971"/>
      <c r="O180" s="1970"/>
      <c r="P180" s="1970"/>
      <c r="Q180" s="1970"/>
      <c r="R180" s="1972"/>
      <c r="S180" s="1979"/>
      <c r="T180" s="1972"/>
      <c r="U180" s="1972"/>
      <c r="V180" s="1972"/>
      <c r="W180" s="575"/>
      <c r="X180" s="1238"/>
      <c r="Y180" s="575"/>
      <c r="Z180" s="575"/>
      <c r="AA180" s="575"/>
      <c r="AB180" s="1142"/>
      <c r="AC180" s="575"/>
      <c r="AD180" s="575"/>
      <c r="AE180" s="575"/>
      <c r="AF180" s="575"/>
      <c r="AG180" s="577"/>
      <c r="AH180" s="576"/>
      <c r="AI180" s="575"/>
      <c r="AJ180" s="575"/>
      <c r="AK180" s="575"/>
      <c r="AL180" s="577"/>
      <c r="AN180" s="1052"/>
      <c r="AP180" s="2297" t="str">
        <f t="shared" si="128"/>
        <v>Price</v>
      </c>
      <c r="AQ180" s="2298" t="str">
        <f t="shared" si="128"/>
        <v>[Service]</v>
      </c>
      <c r="AR180" s="1719" t="str">
        <f t="shared" si="129"/>
        <v>[Price]</v>
      </c>
      <c r="AS180" s="2299" t="str">
        <f t="shared" si="184"/>
        <v>-</v>
      </c>
      <c r="AT180" s="1728" t="str">
        <f t="shared" si="184"/>
        <v>-</v>
      </c>
      <c r="AU180" s="1728" t="str">
        <f t="shared" si="184"/>
        <v>-</v>
      </c>
      <c r="AV180" s="2300" t="str">
        <f t="shared" si="184"/>
        <v>-</v>
      </c>
      <c r="AW180" s="1728" t="str">
        <f t="shared" si="184"/>
        <v>-</v>
      </c>
      <c r="AX180" s="2301" t="str">
        <f t="shared" si="184"/>
        <v>-</v>
      </c>
      <c r="AY180" s="1728" t="str">
        <f t="shared" si="184"/>
        <v>-</v>
      </c>
      <c r="AZ180" s="1728" t="str">
        <f t="shared" si="184"/>
        <v>-</v>
      </c>
      <c r="BA180" s="1728" t="str">
        <f t="shared" si="184"/>
        <v>-</v>
      </c>
      <c r="BB180" s="1729" t="str">
        <f t="shared" si="184"/>
        <v>-</v>
      </c>
      <c r="BC180" s="1728" t="str">
        <f t="shared" si="184"/>
        <v>-</v>
      </c>
      <c r="BD180" s="1728" t="str">
        <f t="shared" si="184"/>
        <v>-</v>
      </c>
      <c r="BE180" s="1728" t="str">
        <f t="shared" si="184"/>
        <v>-</v>
      </c>
      <c r="BF180" s="1728" t="str">
        <f t="shared" si="184"/>
        <v>-</v>
      </c>
      <c r="BG180" s="1729" t="str">
        <f t="shared" si="184"/>
        <v>-</v>
      </c>
      <c r="BH180" s="1048"/>
      <c r="BI180" s="2297" t="str">
        <f t="shared" si="151"/>
        <v>Price</v>
      </c>
      <c r="BJ180" s="2298" t="str">
        <f t="shared" si="151"/>
        <v>[Service]</v>
      </c>
      <c r="BK180" s="1719" t="str">
        <f t="shared" si="151"/>
        <v>[Price]</v>
      </c>
      <c r="BL180" s="2299" t="str">
        <f t="shared" ref="BL180:BZ180" si="197">IF(OR(X180="",X180=0),"-",IFERROR((X180/W180-1)*(W182/W$13),"-"))</f>
        <v>-</v>
      </c>
      <c r="BM180" s="1053" t="str">
        <f t="shared" si="197"/>
        <v>-</v>
      </c>
      <c r="BN180" s="1053" t="str">
        <f t="shared" si="197"/>
        <v>-</v>
      </c>
      <c r="BO180" s="2302" t="str">
        <f t="shared" si="197"/>
        <v>-</v>
      </c>
      <c r="BP180" s="1053" t="str">
        <f t="shared" si="197"/>
        <v>-</v>
      </c>
      <c r="BQ180" s="2303" t="str">
        <f t="shared" si="197"/>
        <v>-</v>
      </c>
      <c r="BR180" s="1053" t="str">
        <f t="shared" si="197"/>
        <v>-</v>
      </c>
      <c r="BS180" s="1053" t="str">
        <f t="shared" si="197"/>
        <v>-</v>
      </c>
      <c r="BT180" s="1053" t="str">
        <f t="shared" si="197"/>
        <v>-</v>
      </c>
      <c r="BU180" s="1054" t="str">
        <f t="shared" si="197"/>
        <v>-</v>
      </c>
      <c r="BV180" s="1053" t="str">
        <f t="shared" si="197"/>
        <v>-</v>
      </c>
      <c r="BW180" s="1053" t="str">
        <f t="shared" si="197"/>
        <v>-</v>
      </c>
      <c r="BX180" s="1053" t="str">
        <f t="shared" si="197"/>
        <v>-</v>
      </c>
      <c r="BY180" s="1053" t="str">
        <f t="shared" si="197"/>
        <v>-</v>
      </c>
      <c r="BZ180" s="1054" t="str">
        <f t="shared" si="197"/>
        <v>-</v>
      </c>
    </row>
    <row r="181" spans="3:78" x14ac:dyDescent="0.3">
      <c r="C181" s="126"/>
      <c r="D181" s="126"/>
      <c r="E181" s="558" t="s">
        <v>46</v>
      </c>
      <c r="F181" s="1722" t="str">
        <f>+F180</f>
        <v>[Service]</v>
      </c>
      <c r="G181" s="1724">
        <f>+G180</f>
        <v>0</v>
      </c>
      <c r="H181" s="1724">
        <f>+H180</f>
        <v>0</v>
      </c>
      <c r="I181" s="1725" t="str">
        <f>+I180</f>
        <v>[Price]</v>
      </c>
      <c r="J181" s="574" t="s">
        <v>323</v>
      </c>
      <c r="K181" s="1973"/>
      <c r="L181" s="1974"/>
      <c r="M181" s="1974"/>
      <c r="N181" s="1975"/>
      <c r="O181" s="1974"/>
      <c r="P181" s="1974"/>
      <c r="Q181" s="1974"/>
      <c r="R181" s="1976"/>
      <c r="S181" s="1980"/>
      <c r="T181" s="1976"/>
      <c r="U181" s="1976"/>
      <c r="V181" s="1976"/>
      <c r="W181" s="578"/>
      <c r="X181" s="1239"/>
      <c r="Y181" s="578"/>
      <c r="Z181" s="578"/>
      <c r="AA181" s="578"/>
      <c r="AB181" s="1143"/>
      <c r="AC181" s="578"/>
      <c r="AD181" s="578"/>
      <c r="AE181" s="578"/>
      <c r="AF181" s="578"/>
      <c r="AG181" s="580"/>
      <c r="AH181" s="579"/>
      <c r="AI181" s="578"/>
      <c r="AJ181" s="578"/>
      <c r="AK181" s="578"/>
      <c r="AL181" s="580"/>
      <c r="AN181" s="991"/>
      <c r="AP181" s="2285" t="str">
        <f t="shared" si="128"/>
        <v>Qty</v>
      </c>
      <c r="AQ181" s="2286" t="str">
        <f t="shared" si="128"/>
        <v>[Service]</v>
      </c>
      <c r="AR181" s="2287" t="str">
        <f t="shared" si="129"/>
        <v>[Price]</v>
      </c>
      <c r="AS181" s="2288" t="str">
        <f t="shared" si="184"/>
        <v>-</v>
      </c>
      <c r="AT181" s="1720" t="str">
        <f t="shared" si="184"/>
        <v>-</v>
      </c>
      <c r="AU181" s="1720" t="str">
        <f t="shared" si="184"/>
        <v>-</v>
      </c>
      <c r="AV181" s="2289" t="str">
        <f t="shared" si="184"/>
        <v>-</v>
      </c>
      <c r="AW181" s="1720" t="str">
        <f t="shared" si="184"/>
        <v>-</v>
      </c>
      <c r="AX181" s="2290" t="str">
        <f t="shared" si="184"/>
        <v>-</v>
      </c>
      <c r="AY181" s="1720" t="str">
        <f t="shared" si="184"/>
        <v>-</v>
      </c>
      <c r="AZ181" s="1720" t="str">
        <f t="shared" si="184"/>
        <v>-</v>
      </c>
      <c r="BA181" s="1720" t="str">
        <f t="shared" si="184"/>
        <v>-</v>
      </c>
      <c r="BB181" s="1721" t="str">
        <f t="shared" si="184"/>
        <v>-</v>
      </c>
      <c r="BC181" s="1720" t="str">
        <f t="shared" si="184"/>
        <v>-</v>
      </c>
      <c r="BD181" s="1720" t="str">
        <f t="shared" si="184"/>
        <v>-</v>
      </c>
      <c r="BE181" s="1720" t="str">
        <f t="shared" si="184"/>
        <v>-</v>
      </c>
      <c r="BF181" s="1720" t="str">
        <f t="shared" si="184"/>
        <v>-</v>
      </c>
      <c r="BG181" s="1721" t="str">
        <f t="shared" si="184"/>
        <v>-</v>
      </c>
      <c r="BH181" s="1048"/>
      <c r="BI181" s="2285" t="str">
        <f t="shared" si="151"/>
        <v>Qty</v>
      </c>
      <c r="BJ181" s="2286" t="str">
        <f t="shared" si="151"/>
        <v>[Service]</v>
      </c>
      <c r="BK181" s="2287" t="str">
        <f t="shared" si="151"/>
        <v>[Price]</v>
      </c>
      <c r="BL181" s="2288" t="str">
        <f t="shared" ref="BL181:BZ181" si="198">IF(OR(X181="",X181=0),"-",IFERROR((X181/W181-1)*(W182/W$13),"-"))</f>
        <v>-</v>
      </c>
      <c r="BM181" s="1720" t="str">
        <f t="shared" si="198"/>
        <v>-</v>
      </c>
      <c r="BN181" s="1720" t="str">
        <f t="shared" si="198"/>
        <v>-</v>
      </c>
      <c r="BO181" s="2289" t="str">
        <f t="shared" si="198"/>
        <v>-</v>
      </c>
      <c r="BP181" s="1720" t="str">
        <f t="shared" si="198"/>
        <v>-</v>
      </c>
      <c r="BQ181" s="2290" t="str">
        <f t="shared" si="198"/>
        <v>-</v>
      </c>
      <c r="BR181" s="1720" t="str">
        <f t="shared" si="198"/>
        <v>-</v>
      </c>
      <c r="BS181" s="1720" t="str">
        <f t="shared" si="198"/>
        <v>-</v>
      </c>
      <c r="BT181" s="1720" t="str">
        <f t="shared" si="198"/>
        <v>-</v>
      </c>
      <c r="BU181" s="1721" t="str">
        <f t="shared" si="198"/>
        <v>-</v>
      </c>
      <c r="BV181" s="1720" t="str">
        <f t="shared" si="198"/>
        <v>-</v>
      </c>
      <c r="BW181" s="1720" t="str">
        <f t="shared" si="198"/>
        <v>-</v>
      </c>
      <c r="BX181" s="1720" t="str">
        <f t="shared" si="198"/>
        <v>-</v>
      </c>
      <c r="BY181" s="1720" t="str">
        <f t="shared" si="198"/>
        <v>-</v>
      </c>
      <c r="BZ181" s="1721" t="str">
        <f t="shared" si="198"/>
        <v>-</v>
      </c>
    </row>
    <row r="182" spans="3:78" ht="12.5" thickBot="1" x14ac:dyDescent="0.35">
      <c r="C182" s="126"/>
      <c r="D182" s="126"/>
      <c r="E182" s="559" t="s">
        <v>47</v>
      </c>
      <c r="F182" s="1723" t="str">
        <f>+F180</f>
        <v>[Service]</v>
      </c>
      <c r="G182" s="1726">
        <f>+G180</f>
        <v>0</v>
      </c>
      <c r="H182" s="1726">
        <f>+H180</f>
        <v>0</v>
      </c>
      <c r="I182" s="1727" t="str">
        <f>+I180</f>
        <v>[Price]</v>
      </c>
      <c r="J182" s="556" t="s">
        <v>347</v>
      </c>
      <c r="K182" s="1977"/>
      <c r="L182" s="1206"/>
      <c r="M182" s="1206"/>
      <c r="N182" s="1978"/>
      <c r="O182" s="1206"/>
      <c r="P182" s="1206"/>
      <c r="Q182" s="1206"/>
      <c r="R182" s="1206"/>
      <c r="S182" s="1978"/>
      <c r="T182" s="1206"/>
      <c r="U182" s="1206"/>
      <c r="V182" s="1206"/>
      <c r="W182" s="1731">
        <f t="shared" ref="W182:AG182" si="199">W180*W181/10^6</f>
        <v>0</v>
      </c>
      <c r="X182" s="1730">
        <f t="shared" si="199"/>
        <v>0</v>
      </c>
      <c r="Y182" s="1731">
        <f t="shared" si="199"/>
        <v>0</v>
      </c>
      <c r="Z182" s="1731">
        <f t="shared" si="199"/>
        <v>0</v>
      </c>
      <c r="AA182" s="1731">
        <f t="shared" si="199"/>
        <v>0</v>
      </c>
      <c r="AB182" s="1733">
        <f t="shared" si="199"/>
        <v>0</v>
      </c>
      <c r="AC182" s="1731">
        <f t="shared" si="199"/>
        <v>0</v>
      </c>
      <c r="AD182" s="1731">
        <f t="shared" si="199"/>
        <v>0</v>
      </c>
      <c r="AE182" s="1731">
        <f t="shared" si="199"/>
        <v>0</v>
      </c>
      <c r="AF182" s="1731">
        <f t="shared" si="199"/>
        <v>0</v>
      </c>
      <c r="AG182" s="1733">
        <f t="shared" si="199"/>
        <v>0</v>
      </c>
      <c r="AH182" s="1732">
        <f>AH180*AH181/10^6</f>
        <v>0</v>
      </c>
      <c r="AI182" s="1731">
        <f>AI180*AI181/10^6</f>
        <v>0</v>
      </c>
      <c r="AJ182" s="1731">
        <f>AJ180*AJ181/10^6</f>
        <v>0</v>
      </c>
      <c r="AK182" s="1731">
        <f>AK180*AK181/10^6</f>
        <v>0</v>
      </c>
      <c r="AL182" s="1733">
        <f>AL180*AL181/10^6</f>
        <v>0</v>
      </c>
      <c r="AN182" s="991"/>
      <c r="AP182" s="2304" t="str">
        <f t="shared" si="128"/>
        <v>Rev</v>
      </c>
      <c r="AQ182" s="2305" t="str">
        <f t="shared" si="128"/>
        <v>[Service]</v>
      </c>
      <c r="AR182" s="2306" t="str">
        <f t="shared" si="129"/>
        <v>[Price]</v>
      </c>
      <c r="AS182" s="2307" t="str">
        <f t="shared" si="184"/>
        <v>-</v>
      </c>
      <c r="AT182" s="1055" t="str">
        <f t="shared" si="184"/>
        <v>-</v>
      </c>
      <c r="AU182" s="1055" t="str">
        <f t="shared" si="184"/>
        <v>-</v>
      </c>
      <c r="AV182" s="2308" t="str">
        <f t="shared" si="184"/>
        <v>-</v>
      </c>
      <c r="AW182" s="1055" t="str">
        <f t="shared" si="184"/>
        <v>-</v>
      </c>
      <c r="AX182" s="2309" t="str">
        <f t="shared" si="184"/>
        <v>-</v>
      </c>
      <c r="AY182" s="1055" t="str">
        <f t="shared" si="184"/>
        <v>-</v>
      </c>
      <c r="AZ182" s="1055" t="str">
        <f t="shared" si="184"/>
        <v>-</v>
      </c>
      <c r="BA182" s="1055" t="str">
        <f t="shared" si="184"/>
        <v>-</v>
      </c>
      <c r="BB182" s="1056" t="str">
        <f t="shared" si="184"/>
        <v>-</v>
      </c>
      <c r="BC182" s="1055" t="str">
        <f t="shared" si="184"/>
        <v>-</v>
      </c>
      <c r="BD182" s="1055" t="str">
        <f t="shared" si="184"/>
        <v>-</v>
      </c>
      <c r="BE182" s="1055" t="str">
        <f t="shared" si="184"/>
        <v>-</v>
      </c>
      <c r="BF182" s="1055" t="str">
        <f t="shared" si="184"/>
        <v>-</v>
      </c>
      <c r="BG182" s="1056" t="str">
        <f t="shared" si="184"/>
        <v>-</v>
      </c>
      <c r="BH182" s="1048"/>
      <c r="BI182" s="2304" t="str">
        <f t="shared" si="151"/>
        <v>Rev</v>
      </c>
      <c r="BJ182" s="2305" t="str">
        <f t="shared" si="151"/>
        <v>[Service]</v>
      </c>
      <c r="BK182" s="2306" t="str">
        <f t="shared" si="151"/>
        <v>[Price]</v>
      </c>
      <c r="BL182" s="2307" t="str">
        <f t="shared" ref="BL182:BZ182" si="200">IF(OR(X182="",X182=0),"-",IFERROR((X182/W182-1)*(W182/W$13),"-"))</f>
        <v>-</v>
      </c>
      <c r="BM182" s="1055" t="str">
        <f t="shared" si="200"/>
        <v>-</v>
      </c>
      <c r="BN182" s="1055" t="str">
        <f t="shared" si="200"/>
        <v>-</v>
      </c>
      <c r="BO182" s="2308" t="str">
        <f t="shared" si="200"/>
        <v>-</v>
      </c>
      <c r="BP182" s="1055" t="str">
        <f t="shared" si="200"/>
        <v>-</v>
      </c>
      <c r="BQ182" s="2309" t="str">
        <f t="shared" si="200"/>
        <v>-</v>
      </c>
      <c r="BR182" s="1055" t="str">
        <f t="shared" si="200"/>
        <v>-</v>
      </c>
      <c r="BS182" s="1055" t="str">
        <f t="shared" si="200"/>
        <v>-</v>
      </c>
      <c r="BT182" s="1055" t="str">
        <f t="shared" si="200"/>
        <v>-</v>
      </c>
      <c r="BU182" s="1056" t="str">
        <f t="shared" si="200"/>
        <v>-</v>
      </c>
      <c r="BV182" s="1055" t="str">
        <f t="shared" si="200"/>
        <v>-</v>
      </c>
      <c r="BW182" s="1055" t="str">
        <f t="shared" si="200"/>
        <v>-</v>
      </c>
      <c r="BX182" s="1055" t="str">
        <f t="shared" si="200"/>
        <v>-</v>
      </c>
      <c r="BY182" s="1055" t="str">
        <f t="shared" si="200"/>
        <v>-</v>
      </c>
      <c r="BZ182" s="1056" t="str">
        <f t="shared" si="200"/>
        <v>-</v>
      </c>
    </row>
    <row r="183" spans="3:78" x14ac:dyDescent="0.3">
      <c r="C183" s="126"/>
      <c r="D183" s="126">
        <f>D180+1</f>
        <v>39</v>
      </c>
      <c r="E183" s="553" t="s">
        <v>45</v>
      </c>
      <c r="F183" s="581" t="s">
        <v>28</v>
      </c>
      <c r="G183" s="581"/>
      <c r="H183" s="581"/>
      <c r="I183" s="573" t="s">
        <v>319</v>
      </c>
      <c r="J183" s="573" t="s">
        <v>348</v>
      </c>
      <c r="K183" s="1969"/>
      <c r="L183" s="1970"/>
      <c r="M183" s="1970"/>
      <c r="N183" s="1971"/>
      <c r="O183" s="1970"/>
      <c r="P183" s="1970"/>
      <c r="Q183" s="1970"/>
      <c r="R183" s="1972"/>
      <c r="S183" s="1979"/>
      <c r="T183" s="1972"/>
      <c r="U183" s="1972"/>
      <c r="V183" s="1972"/>
      <c r="W183" s="575"/>
      <c r="X183" s="1238"/>
      <c r="Y183" s="575"/>
      <c r="Z183" s="575"/>
      <c r="AA183" s="575"/>
      <c r="AB183" s="1142"/>
      <c r="AC183" s="575"/>
      <c r="AD183" s="575"/>
      <c r="AE183" s="575"/>
      <c r="AF183" s="575"/>
      <c r="AG183" s="577"/>
      <c r="AH183" s="576"/>
      <c r="AI183" s="575"/>
      <c r="AJ183" s="575"/>
      <c r="AK183" s="575"/>
      <c r="AL183" s="577"/>
      <c r="AN183" s="1052"/>
      <c r="AP183" s="2297" t="str">
        <f t="shared" si="128"/>
        <v>Price</v>
      </c>
      <c r="AQ183" s="2298" t="str">
        <f t="shared" si="128"/>
        <v>[Service]</v>
      </c>
      <c r="AR183" s="1719" t="str">
        <f t="shared" si="129"/>
        <v>[Price]</v>
      </c>
      <c r="AS183" s="2299" t="str">
        <f t="shared" si="184"/>
        <v>-</v>
      </c>
      <c r="AT183" s="1728" t="str">
        <f t="shared" si="184"/>
        <v>-</v>
      </c>
      <c r="AU183" s="1728" t="str">
        <f t="shared" si="184"/>
        <v>-</v>
      </c>
      <c r="AV183" s="2300" t="str">
        <f t="shared" si="184"/>
        <v>-</v>
      </c>
      <c r="AW183" s="1728" t="str">
        <f t="shared" si="184"/>
        <v>-</v>
      </c>
      <c r="AX183" s="2301" t="str">
        <f t="shared" si="184"/>
        <v>-</v>
      </c>
      <c r="AY183" s="1728" t="str">
        <f t="shared" si="184"/>
        <v>-</v>
      </c>
      <c r="AZ183" s="1728" t="str">
        <f t="shared" si="184"/>
        <v>-</v>
      </c>
      <c r="BA183" s="1728" t="str">
        <f t="shared" si="184"/>
        <v>-</v>
      </c>
      <c r="BB183" s="1729" t="str">
        <f t="shared" si="184"/>
        <v>-</v>
      </c>
      <c r="BC183" s="1728" t="str">
        <f t="shared" si="184"/>
        <v>-</v>
      </c>
      <c r="BD183" s="1728" t="str">
        <f t="shared" si="184"/>
        <v>-</v>
      </c>
      <c r="BE183" s="1728" t="str">
        <f t="shared" si="184"/>
        <v>-</v>
      </c>
      <c r="BF183" s="1728" t="str">
        <f t="shared" si="184"/>
        <v>-</v>
      </c>
      <c r="BG183" s="1729" t="str">
        <f t="shared" si="184"/>
        <v>-</v>
      </c>
      <c r="BH183" s="1048"/>
      <c r="BI183" s="2297" t="str">
        <f t="shared" si="151"/>
        <v>Price</v>
      </c>
      <c r="BJ183" s="2298" t="str">
        <f t="shared" si="151"/>
        <v>[Service]</v>
      </c>
      <c r="BK183" s="1719" t="str">
        <f t="shared" si="151"/>
        <v>[Price]</v>
      </c>
      <c r="BL183" s="2299" t="str">
        <f t="shared" ref="BL183:BZ183" si="201">IF(OR(X183="",X183=0),"-",IFERROR((X183/W183-1)*(W185/W$13),"-"))</f>
        <v>-</v>
      </c>
      <c r="BM183" s="1053" t="str">
        <f t="shared" si="201"/>
        <v>-</v>
      </c>
      <c r="BN183" s="1053" t="str">
        <f t="shared" si="201"/>
        <v>-</v>
      </c>
      <c r="BO183" s="2302" t="str">
        <f t="shared" si="201"/>
        <v>-</v>
      </c>
      <c r="BP183" s="1053" t="str">
        <f t="shared" si="201"/>
        <v>-</v>
      </c>
      <c r="BQ183" s="2303" t="str">
        <f t="shared" si="201"/>
        <v>-</v>
      </c>
      <c r="BR183" s="1053" t="str">
        <f t="shared" si="201"/>
        <v>-</v>
      </c>
      <c r="BS183" s="1053" t="str">
        <f t="shared" si="201"/>
        <v>-</v>
      </c>
      <c r="BT183" s="1053" t="str">
        <f t="shared" si="201"/>
        <v>-</v>
      </c>
      <c r="BU183" s="1054" t="str">
        <f t="shared" si="201"/>
        <v>-</v>
      </c>
      <c r="BV183" s="1053" t="str">
        <f t="shared" si="201"/>
        <v>-</v>
      </c>
      <c r="BW183" s="1053" t="str">
        <f t="shared" si="201"/>
        <v>-</v>
      </c>
      <c r="BX183" s="1053" t="str">
        <f t="shared" si="201"/>
        <v>-</v>
      </c>
      <c r="BY183" s="1053" t="str">
        <f t="shared" si="201"/>
        <v>-</v>
      </c>
      <c r="BZ183" s="1054" t="str">
        <f t="shared" si="201"/>
        <v>-</v>
      </c>
    </row>
    <row r="184" spans="3:78" x14ac:dyDescent="0.3">
      <c r="C184" s="126"/>
      <c r="D184" s="126"/>
      <c r="E184" s="558" t="s">
        <v>46</v>
      </c>
      <c r="F184" s="1722" t="str">
        <f>+F183</f>
        <v>[Service]</v>
      </c>
      <c r="G184" s="1724">
        <f>+G183</f>
        <v>0</v>
      </c>
      <c r="H184" s="1724">
        <f>+H183</f>
        <v>0</v>
      </c>
      <c r="I184" s="1725" t="str">
        <f>+I183</f>
        <v>[Price]</v>
      </c>
      <c r="J184" s="574" t="s">
        <v>323</v>
      </c>
      <c r="K184" s="1973"/>
      <c r="L184" s="1974"/>
      <c r="M184" s="1974"/>
      <c r="N184" s="1975"/>
      <c r="O184" s="1974"/>
      <c r="P184" s="1974"/>
      <c r="Q184" s="1974"/>
      <c r="R184" s="1976"/>
      <c r="S184" s="1980"/>
      <c r="T184" s="1976"/>
      <c r="U184" s="1976"/>
      <c r="V184" s="1976"/>
      <c r="W184" s="578"/>
      <c r="X184" s="1239"/>
      <c r="Y184" s="578"/>
      <c r="Z184" s="578"/>
      <c r="AA184" s="578"/>
      <c r="AB184" s="1143"/>
      <c r="AC184" s="578"/>
      <c r="AD184" s="578"/>
      <c r="AE184" s="578"/>
      <c r="AF184" s="578"/>
      <c r="AG184" s="580"/>
      <c r="AH184" s="579"/>
      <c r="AI184" s="578"/>
      <c r="AJ184" s="578"/>
      <c r="AK184" s="578"/>
      <c r="AL184" s="580"/>
      <c r="AN184" s="991"/>
      <c r="AP184" s="2285" t="str">
        <f t="shared" si="128"/>
        <v>Qty</v>
      </c>
      <c r="AQ184" s="2286" t="str">
        <f t="shared" si="128"/>
        <v>[Service]</v>
      </c>
      <c r="AR184" s="2287" t="str">
        <f t="shared" si="129"/>
        <v>[Price]</v>
      </c>
      <c r="AS184" s="2288" t="str">
        <f t="shared" si="184"/>
        <v>-</v>
      </c>
      <c r="AT184" s="1720" t="str">
        <f t="shared" si="184"/>
        <v>-</v>
      </c>
      <c r="AU184" s="1720" t="str">
        <f t="shared" si="184"/>
        <v>-</v>
      </c>
      <c r="AV184" s="2289" t="str">
        <f t="shared" si="184"/>
        <v>-</v>
      </c>
      <c r="AW184" s="1720" t="str">
        <f t="shared" si="184"/>
        <v>-</v>
      </c>
      <c r="AX184" s="2290" t="str">
        <f t="shared" si="184"/>
        <v>-</v>
      </c>
      <c r="AY184" s="1720" t="str">
        <f t="shared" si="184"/>
        <v>-</v>
      </c>
      <c r="AZ184" s="1720" t="str">
        <f t="shared" si="184"/>
        <v>-</v>
      </c>
      <c r="BA184" s="1720" t="str">
        <f t="shared" si="184"/>
        <v>-</v>
      </c>
      <c r="BB184" s="1721" t="str">
        <f t="shared" si="184"/>
        <v>-</v>
      </c>
      <c r="BC184" s="1720" t="str">
        <f t="shared" si="184"/>
        <v>-</v>
      </c>
      <c r="BD184" s="1720" t="str">
        <f t="shared" si="184"/>
        <v>-</v>
      </c>
      <c r="BE184" s="1720" t="str">
        <f t="shared" si="184"/>
        <v>-</v>
      </c>
      <c r="BF184" s="1720" t="str">
        <f t="shared" si="184"/>
        <v>-</v>
      </c>
      <c r="BG184" s="1721" t="str">
        <f t="shared" si="184"/>
        <v>-</v>
      </c>
      <c r="BH184" s="1048"/>
      <c r="BI184" s="2285" t="str">
        <f t="shared" si="151"/>
        <v>Qty</v>
      </c>
      <c r="BJ184" s="2286" t="str">
        <f t="shared" si="151"/>
        <v>[Service]</v>
      </c>
      <c r="BK184" s="2287" t="str">
        <f t="shared" si="151"/>
        <v>[Price]</v>
      </c>
      <c r="BL184" s="2288" t="str">
        <f t="shared" ref="BL184:BZ184" si="202">IF(OR(X184="",X184=0),"-",IFERROR((X184/W184-1)*(W185/W$13),"-"))</f>
        <v>-</v>
      </c>
      <c r="BM184" s="1720" t="str">
        <f t="shared" si="202"/>
        <v>-</v>
      </c>
      <c r="BN184" s="1720" t="str">
        <f t="shared" si="202"/>
        <v>-</v>
      </c>
      <c r="BO184" s="2289" t="str">
        <f t="shared" si="202"/>
        <v>-</v>
      </c>
      <c r="BP184" s="1720" t="str">
        <f t="shared" si="202"/>
        <v>-</v>
      </c>
      <c r="BQ184" s="2290" t="str">
        <f t="shared" si="202"/>
        <v>-</v>
      </c>
      <c r="BR184" s="1720" t="str">
        <f t="shared" si="202"/>
        <v>-</v>
      </c>
      <c r="BS184" s="1720" t="str">
        <f t="shared" si="202"/>
        <v>-</v>
      </c>
      <c r="BT184" s="1720" t="str">
        <f t="shared" si="202"/>
        <v>-</v>
      </c>
      <c r="BU184" s="1721" t="str">
        <f t="shared" si="202"/>
        <v>-</v>
      </c>
      <c r="BV184" s="1720" t="str">
        <f t="shared" si="202"/>
        <v>-</v>
      </c>
      <c r="BW184" s="1720" t="str">
        <f t="shared" si="202"/>
        <v>-</v>
      </c>
      <c r="BX184" s="1720" t="str">
        <f t="shared" si="202"/>
        <v>-</v>
      </c>
      <c r="BY184" s="1720" t="str">
        <f t="shared" si="202"/>
        <v>-</v>
      </c>
      <c r="BZ184" s="1721" t="str">
        <f t="shared" si="202"/>
        <v>-</v>
      </c>
    </row>
    <row r="185" spans="3:78" ht="12.5" thickBot="1" x14ac:dyDescent="0.35">
      <c r="C185" s="126"/>
      <c r="D185" s="126"/>
      <c r="E185" s="559" t="s">
        <v>47</v>
      </c>
      <c r="F185" s="1723" t="str">
        <f>+F183</f>
        <v>[Service]</v>
      </c>
      <c r="G185" s="1726">
        <f>+G183</f>
        <v>0</v>
      </c>
      <c r="H185" s="1726">
        <f>+H183</f>
        <v>0</v>
      </c>
      <c r="I185" s="1727" t="str">
        <f>+I183</f>
        <v>[Price]</v>
      </c>
      <c r="J185" s="556" t="s">
        <v>347</v>
      </c>
      <c r="K185" s="1977"/>
      <c r="L185" s="1206"/>
      <c r="M185" s="1206"/>
      <c r="N185" s="1978"/>
      <c r="O185" s="1206"/>
      <c r="P185" s="1206"/>
      <c r="Q185" s="1206"/>
      <c r="R185" s="1206"/>
      <c r="S185" s="1978"/>
      <c r="T185" s="1206"/>
      <c r="U185" s="1206"/>
      <c r="V185" s="1206"/>
      <c r="W185" s="1731">
        <f t="shared" ref="W185:AG185" si="203">W183*W184/10^6</f>
        <v>0</v>
      </c>
      <c r="X185" s="1730">
        <f t="shared" si="203"/>
        <v>0</v>
      </c>
      <c r="Y185" s="1731">
        <f t="shared" si="203"/>
        <v>0</v>
      </c>
      <c r="Z185" s="1731">
        <f t="shared" si="203"/>
        <v>0</v>
      </c>
      <c r="AA185" s="1731">
        <f t="shared" si="203"/>
        <v>0</v>
      </c>
      <c r="AB185" s="1733">
        <f t="shared" si="203"/>
        <v>0</v>
      </c>
      <c r="AC185" s="1731">
        <f t="shared" si="203"/>
        <v>0</v>
      </c>
      <c r="AD185" s="1731">
        <f t="shared" si="203"/>
        <v>0</v>
      </c>
      <c r="AE185" s="1731">
        <f t="shared" si="203"/>
        <v>0</v>
      </c>
      <c r="AF185" s="1731">
        <f t="shared" si="203"/>
        <v>0</v>
      </c>
      <c r="AG185" s="1733">
        <f t="shared" si="203"/>
        <v>0</v>
      </c>
      <c r="AH185" s="1732">
        <f>AH183*AH184/10^6</f>
        <v>0</v>
      </c>
      <c r="AI185" s="1731">
        <f>AI183*AI184/10^6</f>
        <v>0</v>
      </c>
      <c r="AJ185" s="1731">
        <f>AJ183*AJ184/10^6</f>
        <v>0</v>
      </c>
      <c r="AK185" s="1731">
        <f>AK183*AK184/10^6</f>
        <v>0</v>
      </c>
      <c r="AL185" s="1733">
        <f>AL183*AL184/10^6</f>
        <v>0</v>
      </c>
      <c r="AN185" s="991"/>
      <c r="AP185" s="2304" t="str">
        <f t="shared" si="128"/>
        <v>Rev</v>
      </c>
      <c r="AQ185" s="2305" t="str">
        <f t="shared" si="128"/>
        <v>[Service]</v>
      </c>
      <c r="AR185" s="2306" t="str">
        <f t="shared" si="129"/>
        <v>[Price]</v>
      </c>
      <c r="AS185" s="2307" t="str">
        <f t="shared" si="184"/>
        <v>-</v>
      </c>
      <c r="AT185" s="1055" t="str">
        <f t="shared" si="184"/>
        <v>-</v>
      </c>
      <c r="AU185" s="1055" t="str">
        <f t="shared" si="184"/>
        <v>-</v>
      </c>
      <c r="AV185" s="2308" t="str">
        <f t="shared" si="184"/>
        <v>-</v>
      </c>
      <c r="AW185" s="1055" t="str">
        <f t="shared" si="184"/>
        <v>-</v>
      </c>
      <c r="AX185" s="2309" t="str">
        <f t="shared" si="184"/>
        <v>-</v>
      </c>
      <c r="AY185" s="1055" t="str">
        <f t="shared" si="184"/>
        <v>-</v>
      </c>
      <c r="AZ185" s="1055" t="str">
        <f t="shared" si="184"/>
        <v>-</v>
      </c>
      <c r="BA185" s="1055" t="str">
        <f t="shared" si="184"/>
        <v>-</v>
      </c>
      <c r="BB185" s="1056" t="str">
        <f t="shared" si="184"/>
        <v>-</v>
      </c>
      <c r="BC185" s="1055" t="str">
        <f t="shared" si="184"/>
        <v>-</v>
      </c>
      <c r="BD185" s="1055" t="str">
        <f t="shared" si="184"/>
        <v>-</v>
      </c>
      <c r="BE185" s="1055" t="str">
        <f t="shared" si="184"/>
        <v>-</v>
      </c>
      <c r="BF185" s="1055" t="str">
        <f t="shared" si="184"/>
        <v>-</v>
      </c>
      <c r="BG185" s="1056" t="str">
        <f t="shared" si="184"/>
        <v>-</v>
      </c>
      <c r="BH185" s="1048"/>
      <c r="BI185" s="2304" t="str">
        <f t="shared" si="151"/>
        <v>Rev</v>
      </c>
      <c r="BJ185" s="2305" t="str">
        <f t="shared" si="151"/>
        <v>[Service]</v>
      </c>
      <c r="BK185" s="2306" t="str">
        <f t="shared" si="151"/>
        <v>[Price]</v>
      </c>
      <c r="BL185" s="2307" t="str">
        <f t="shared" ref="BL185:BZ185" si="204">IF(OR(X185="",X185=0),"-",IFERROR((X185/W185-1)*(W185/W$13),"-"))</f>
        <v>-</v>
      </c>
      <c r="BM185" s="1055" t="str">
        <f t="shared" si="204"/>
        <v>-</v>
      </c>
      <c r="BN185" s="1055" t="str">
        <f t="shared" si="204"/>
        <v>-</v>
      </c>
      <c r="BO185" s="2308" t="str">
        <f t="shared" si="204"/>
        <v>-</v>
      </c>
      <c r="BP185" s="1055" t="str">
        <f t="shared" si="204"/>
        <v>-</v>
      </c>
      <c r="BQ185" s="2309" t="str">
        <f t="shared" si="204"/>
        <v>-</v>
      </c>
      <c r="BR185" s="1055" t="str">
        <f t="shared" si="204"/>
        <v>-</v>
      </c>
      <c r="BS185" s="1055" t="str">
        <f t="shared" si="204"/>
        <v>-</v>
      </c>
      <c r="BT185" s="1055" t="str">
        <f t="shared" si="204"/>
        <v>-</v>
      </c>
      <c r="BU185" s="1056" t="str">
        <f t="shared" si="204"/>
        <v>-</v>
      </c>
      <c r="BV185" s="1055" t="str">
        <f t="shared" si="204"/>
        <v>-</v>
      </c>
      <c r="BW185" s="1055" t="str">
        <f t="shared" si="204"/>
        <v>-</v>
      </c>
      <c r="BX185" s="1055" t="str">
        <f t="shared" si="204"/>
        <v>-</v>
      </c>
      <c r="BY185" s="1055" t="str">
        <f t="shared" si="204"/>
        <v>-</v>
      </c>
      <c r="BZ185" s="1056" t="str">
        <f t="shared" si="204"/>
        <v>-</v>
      </c>
    </row>
    <row r="186" spans="3:78" x14ac:dyDescent="0.3">
      <c r="C186" s="126"/>
      <c r="D186" s="126">
        <f>D183+1</f>
        <v>40</v>
      </c>
      <c r="E186" s="553" t="s">
        <v>45</v>
      </c>
      <c r="F186" s="581" t="s">
        <v>28</v>
      </c>
      <c r="G186" s="581"/>
      <c r="H186" s="581"/>
      <c r="I186" s="573" t="s">
        <v>319</v>
      </c>
      <c r="J186" s="573" t="s">
        <v>348</v>
      </c>
      <c r="K186" s="1969"/>
      <c r="L186" s="1970"/>
      <c r="M186" s="1970"/>
      <c r="N186" s="1971"/>
      <c r="O186" s="1970"/>
      <c r="P186" s="1970"/>
      <c r="Q186" s="1970"/>
      <c r="R186" s="1972"/>
      <c r="S186" s="1979"/>
      <c r="T186" s="1972"/>
      <c r="U186" s="1972"/>
      <c r="V186" s="1972"/>
      <c r="W186" s="575"/>
      <c r="X186" s="1238"/>
      <c r="Y186" s="575"/>
      <c r="Z186" s="575"/>
      <c r="AA186" s="575"/>
      <c r="AB186" s="1142"/>
      <c r="AC186" s="575"/>
      <c r="AD186" s="575"/>
      <c r="AE186" s="575"/>
      <c r="AF186" s="575"/>
      <c r="AG186" s="577"/>
      <c r="AH186" s="576"/>
      <c r="AI186" s="575"/>
      <c r="AJ186" s="575"/>
      <c r="AK186" s="575"/>
      <c r="AL186" s="577"/>
      <c r="AN186" s="1052"/>
      <c r="AP186" s="2297" t="str">
        <f t="shared" si="128"/>
        <v>Price</v>
      </c>
      <c r="AQ186" s="2298" t="str">
        <f t="shared" si="128"/>
        <v>[Service]</v>
      </c>
      <c r="AR186" s="1719" t="str">
        <f t="shared" si="129"/>
        <v>[Price]</v>
      </c>
      <c r="AS186" s="2299" t="str">
        <f t="shared" si="184"/>
        <v>-</v>
      </c>
      <c r="AT186" s="1728" t="str">
        <f t="shared" si="184"/>
        <v>-</v>
      </c>
      <c r="AU186" s="1728" t="str">
        <f t="shared" si="184"/>
        <v>-</v>
      </c>
      <c r="AV186" s="2300" t="str">
        <f t="shared" si="184"/>
        <v>-</v>
      </c>
      <c r="AW186" s="1728" t="str">
        <f t="shared" si="184"/>
        <v>-</v>
      </c>
      <c r="AX186" s="2301" t="str">
        <f t="shared" si="184"/>
        <v>-</v>
      </c>
      <c r="AY186" s="1728" t="str">
        <f t="shared" si="184"/>
        <v>-</v>
      </c>
      <c r="AZ186" s="1728" t="str">
        <f t="shared" si="184"/>
        <v>-</v>
      </c>
      <c r="BA186" s="1728" t="str">
        <f t="shared" si="184"/>
        <v>-</v>
      </c>
      <c r="BB186" s="1729" t="str">
        <f t="shared" si="184"/>
        <v>-</v>
      </c>
      <c r="BC186" s="1728" t="str">
        <f t="shared" si="184"/>
        <v>-</v>
      </c>
      <c r="BD186" s="1728" t="str">
        <f t="shared" si="184"/>
        <v>-</v>
      </c>
      <c r="BE186" s="1728" t="str">
        <f t="shared" si="184"/>
        <v>-</v>
      </c>
      <c r="BF186" s="1728" t="str">
        <f t="shared" si="184"/>
        <v>-</v>
      </c>
      <c r="BG186" s="1729" t="str">
        <f t="shared" si="184"/>
        <v>-</v>
      </c>
      <c r="BH186" s="1048"/>
      <c r="BI186" s="2297" t="str">
        <f t="shared" si="151"/>
        <v>Price</v>
      </c>
      <c r="BJ186" s="2298" t="str">
        <f t="shared" si="151"/>
        <v>[Service]</v>
      </c>
      <c r="BK186" s="1719" t="str">
        <f t="shared" si="151"/>
        <v>[Price]</v>
      </c>
      <c r="BL186" s="2299" t="str">
        <f t="shared" ref="BL186:BZ186" si="205">IF(OR(X186="",X186=0),"-",IFERROR((X186/W186-1)*(W188/W$13),"-"))</f>
        <v>-</v>
      </c>
      <c r="BM186" s="1053" t="str">
        <f t="shared" si="205"/>
        <v>-</v>
      </c>
      <c r="BN186" s="1053" t="str">
        <f t="shared" si="205"/>
        <v>-</v>
      </c>
      <c r="BO186" s="2302" t="str">
        <f t="shared" si="205"/>
        <v>-</v>
      </c>
      <c r="BP186" s="1053" t="str">
        <f t="shared" si="205"/>
        <v>-</v>
      </c>
      <c r="BQ186" s="2303" t="str">
        <f t="shared" si="205"/>
        <v>-</v>
      </c>
      <c r="BR186" s="1053" t="str">
        <f t="shared" si="205"/>
        <v>-</v>
      </c>
      <c r="BS186" s="1053" t="str">
        <f t="shared" si="205"/>
        <v>-</v>
      </c>
      <c r="BT186" s="1053" t="str">
        <f t="shared" si="205"/>
        <v>-</v>
      </c>
      <c r="BU186" s="1054" t="str">
        <f t="shared" si="205"/>
        <v>-</v>
      </c>
      <c r="BV186" s="1053" t="str">
        <f t="shared" si="205"/>
        <v>-</v>
      </c>
      <c r="BW186" s="1053" t="str">
        <f t="shared" si="205"/>
        <v>-</v>
      </c>
      <c r="BX186" s="1053" t="str">
        <f t="shared" si="205"/>
        <v>-</v>
      </c>
      <c r="BY186" s="1053" t="str">
        <f t="shared" si="205"/>
        <v>-</v>
      </c>
      <c r="BZ186" s="1054" t="str">
        <f t="shared" si="205"/>
        <v>-</v>
      </c>
    </row>
    <row r="187" spans="3:78" x14ac:dyDescent="0.3">
      <c r="C187" s="126"/>
      <c r="D187" s="126"/>
      <c r="E187" s="558" t="s">
        <v>46</v>
      </c>
      <c r="F187" s="1722" t="str">
        <f>+F186</f>
        <v>[Service]</v>
      </c>
      <c r="G187" s="1724">
        <f>+G186</f>
        <v>0</v>
      </c>
      <c r="H187" s="1724">
        <f>+H186</f>
        <v>0</v>
      </c>
      <c r="I187" s="1725" t="str">
        <f>+I186</f>
        <v>[Price]</v>
      </c>
      <c r="J187" s="574" t="s">
        <v>323</v>
      </c>
      <c r="K187" s="1973"/>
      <c r="L187" s="1974"/>
      <c r="M187" s="1974"/>
      <c r="N187" s="1975"/>
      <c r="O187" s="1974"/>
      <c r="P187" s="1974"/>
      <c r="Q187" s="1974"/>
      <c r="R187" s="1976"/>
      <c r="S187" s="1980"/>
      <c r="T187" s="1976"/>
      <c r="U187" s="1976"/>
      <c r="V187" s="1976"/>
      <c r="W187" s="578"/>
      <c r="X187" s="1239"/>
      <c r="Y187" s="578"/>
      <c r="Z187" s="578"/>
      <c r="AA187" s="578"/>
      <c r="AB187" s="1143"/>
      <c r="AC187" s="578"/>
      <c r="AD187" s="578"/>
      <c r="AE187" s="578"/>
      <c r="AF187" s="578"/>
      <c r="AG187" s="580"/>
      <c r="AH187" s="579"/>
      <c r="AI187" s="578"/>
      <c r="AJ187" s="578"/>
      <c r="AK187" s="578"/>
      <c r="AL187" s="580"/>
      <c r="AN187" s="991"/>
      <c r="AP187" s="2285" t="str">
        <f t="shared" si="128"/>
        <v>Qty</v>
      </c>
      <c r="AQ187" s="2286" t="str">
        <f t="shared" si="128"/>
        <v>[Service]</v>
      </c>
      <c r="AR187" s="2287" t="str">
        <f t="shared" si="129"/>
        <v>[Price]</v>
      </c>
      <c r="AS187" s="2288" t="str">
        <f t="shared" si="184"/>
        <v>-</v>
      </c>
      <c r="AT187" s="1720" t="str">
        <f t="shared" si="184"/>
        <v>-</v>
      </c>
      <c r="AU187" s="1720" t="str">
        <f t="shared" si="184"/>
        <v>-</v>
      </c>
      <c r="AV187" s="2289" t="str">
        <f t="shared" si="184"/>
        <v>-</v>
      </c>
      <c r="AW187" s="1720" t="str">
        <f t="shared" si="184"/>
        <v>-</v>
      </c>
      <c r="AX187" s="2290" t="str">
        <f t="shared" si="184"/>
        <v>-</v>
      </c>
      <c r="AY187" s="1720" t="str">
        <f t="shared" si="184"/>
        <v>-</v>
      </c>
      <c r="AZ187" s="1720" t="str">
        <f t="shared" si="184"/>
        <v>-</v>
      </c>
      <c r="BA187" s="1720" t="str">
        <f t="shared" si="184"/>
        <v>-</v>
      </c>
      <c r="BB187" s="1721" t="str">
        <f t="shared" si="184"/>
        <v>-</v>
      </c>
      <c r="BC187" s="1720" t="str">
        <f t="shared" si="184"/>
        <v>-</v>
      </c>
      <c r="BD187" s="1720" t="str">
        <f t="shared" si="184"/>
        <v>-</v>
      </c>
      <c r="BE187" s="1720" t="str">
        <f t="shared" si="184"/>
        <v>-</v>
      </c>
      <c r="BF187" s="1720" t="str">
        <f t="shared" si="184"/>
        <v>-</v>
      </c>
      <c r="BG187" s="1721" t="str">
        <f t="shared" si="184"/>
        <v>-</v>
      </c>
      <c r="BH187" s="1048"/>
      <c r="BI187" s="2285" t="str">
        <f t="shared" si="151"/>
        <v>Qty</v>
      </c>
      <c r="BJ187" s="2286" t="str">
        <f t="shared" si="151"/>
        <v>[Service]</v>
      </c>
      <c r="BK187" s="2287" t="str">
        <f t="shared" si="151"/>
        <v>[Price]</v>
      </c>
      <c r="BL187" s="2288" t="str">
        <f t="shared" ref="BL187:BZ187" si="206">IF(OR(X187="",X187=0),"-",IFERROR((X187/W187-1)*(W188/W$13),"-"))</f>
        <v>-</v>
      </c>
      <c r="BM187" s="1720" t="str">
        <f t="shared" si="206"/>
        <v>-</v>
      </c>
      <c r="BN187" s="1720" t="str">
        <f t="shared" si="206"/>
        <v>-</v>
      </c>
      <c r="BO187" s="2289" t="str">
        <f t="shared" si="206"/>
        <v>-</v>
      </c>
      <c r="BP187" s="1720" t="str">
        <f t="shared" si="206"/>
        <v>-</v>
      </c>
      <c r="BQ187" s="2290" t="str">
        <f t="shared" si="206"/>
        <v>-</v>
      </c>
      <c r="BR187" s="1720" t="str">
        <f t="shared" si="206"/>
        <v>-</v>
      </c>
      <c r="BS187" s="1720" t="str">
        <f t="shared" si="206"/>
        <v>-</v>
      </c>
      <c r="BT187" s="1720" t="str">
        <f t="shared" si="206"/>
        <v>-</v>
      </c>
      <c r="BU187" s="1721" t="str">
        <f t="shared" si="206"/>
        <v>-</v>
      </c>
      <c r="BV187" s="1720" t="str">
        <f t="shared" si="206"/>
        <v>-</v>
      </c>
      <c r="BW187" s="1720" t="str">
        <f t="shared" si="206"/>
        <v>-</v>
      </c>
      <c r="BX187" s="1720" t="str">
        <f t="shared" si="206"/>
        <v>-</v>
      </c>
      <c r="BY187" s="1720" t="str">
        <f t="shared" si="206"/>
        <v>-</v>
      </c>
      <c r="BZ187" s="1721" t="str">
        <f t="shared" si="206"/>
        <v>-</v>
      </c>
    </row>
    <row r="188" spans="3:78" ht="12.5" thickBot="1" x14ac:dyDescent="0.35">
      <c r="C188" s="126"/>
      <c r="D188" s="126"/>
      <c r="E188" s="559" t="s">
        <v>47</v>
      </c>
      <c r="F188" s="1723" t="str">
        <f>+F186</f>
        <v>[Service]</v>
      </c>
      <c r="G188" s="1726">
        <f>+G186</f>
        <v>0</v>
      </c>
      <c r="H188" s="1726">
        <f>+H186</f>
        <v>0</v>
      </c>
      <c r="I188" s="1727" t="str">
        <f>+I186</f>
        <v>[Price]</v>
      </c>
      <c r="J188" s="556" t="s">
        <v>347</v>
      </c>
      <c r="K188" s="1977"/>
      <c r="L188" s="1206"/>
      <c r="M188" s="1206"/>
      <c r="N188" s="1978"/>
      <c r="O188" s="1206"/>
      <c r="P188" s="1206"/>
      <c r="Q188" s="1206"/>
      <c r="R188" s="1206"/>
      <c r="S188" s="1978"/>
      <c r="T188" s="1206"/>
      <c r="U188" s="1206"/>
      <c r="V188" s="1206"/>
      <c r="W188" s="1731">
        <f t="shared" ref="W188:AG188" si="207">W186*W187/10^6</f>
        <v>0</v>
      </c>
      <c r="X188" s="1730">
        <f t="shared" si="207"/>
        <v>0</v>
      </c>
      <c r="Y188" s="1731">
        <f t="shared" si="207"/>
        <v>0</v>
      </c>
      <c r="Z188" s="1731">
        <f t="shared" si="207"/>
        <v>0</v>
      </c>
      <c r="AA188" s="1731">
        <f t="shared" si="207"/>
        <v>0</v>
      </c>
      <c r="AB188" s="1733">
        <f t="shared" si="207"/>
        <v>0</v>
      </c>
      <c r="AC188" s="1731">
        <f t="shared" si="207"/>
        <v>0</v>
      </c>
      <c r="AD188" s="1731">
        <f t="shared" si="207"/>
        <v>0</v>
      </c>
      <c r="AE188" s="1731">
        <f t="shared" si="207"/>
        <v>0</v>
      </c>
      <c r="AF188" s="1731">
        <f t="shared" si="207"/>
        <v>0</v>
      </c>
      <c r="AG188" s="1733">
        <f t="shared" si="207"/>
        <v>0</v>
      </c>
      <c r="AH188" s="1732">
        <f>AH186*AH187/10^6</f>
        <v>0</v>
      </c>
      <c r="AI188" s="1731">
        <f>AI186*AI187/10^6</f>
        <v>0</v>
      </c>
      <c r="AJ188" s="1731">
        <f>AJ186*AJ187/10^6</f>
        <v>0</v>
      </c>
      <c r="AK188" s="1731">
        <f>AK186*AK187/10^6</f>
        <v>0</v>
      </c>
      <c r="AL188" s="1733">
        <f>AL186*AL187/10^6</f>
        <v>0</v>
      </c>
      <c r="AN188" s="991"/>
      <c r="AP188" s="2304" t="str">
        <f t="shared" si="128"/>
        <v>Rev</v>
      </c>
      <c r="AQ188" s="2305" t="str">
        <f t="shared" si="128"/>
        <v>[Service]</v>
      </c>
      <c r="AR188" s="2306" t="str">
        <f t="shared" si="129"/>
        <v>[Price]</v>
      </c>
      <c r="AS188" s="2307" t="str">
        <f t="shared" ref="AS188:BG204" si="208">IF(OR(X188="",X188=0),"-",IFERROR(X188/W188-1,"-"))</f>
        <v>-</v>
      </c>
      <c r="AT188" s="1055" t="str">
        <f t="shared" si="208"/>
        <v>-</v>
      </c>
      <c r="AU188" s="1055" t="str">
        <f t="shared" si="208"/>
        <v>-</v>
      </c>
      <c r="AV188" s="2308" t="str">
        <f t="shared" si="208"/>
        <v>-</v>
      </c>
      <c r="AW188" s="1055" t="str">
        <f t="shared" si="208"/>
        <v>-</v>
      </c>
      <c r="AX188" s="2309" t="str">
        <f t="shared" si="208"/>
        <v>-</v>
      </c>
      <c r="AY188" s="1055" t="str">
        <f t="shared" si="208"/>
        <v>-</v>
      </c>
      <c r="AZ188" s="1055" t="str">
        <f t="shared" si="208"/>
        <v>-</v>
      </c>
      <c r="BA188" s="1055" t="str">
        <f t="shared" si="208"/>
        <v>-</v>
      </c>
      <c r="BB188" s="1056" t="str">
        <f t="shared" si="208"/>
        <v>-</v>
      </c>
      <c r="BC188" s="1055" t="str">
        <f t="shared" si="208"/>
        <v>-</v>
      </c>
      <c r="BD188" s="1055" t="str">
        <f t="shared" si="208"/>
        <v>-</v>
      </c>
      <c r="BE188" s="1055" t="str">
        <f t="shared" si="208"/>
        <v>-</v>
      </c>
      <c r="BF188" s="1055" t="str">
        <f t="shared" si="208"/>
        <v>-</v>
      </c>
      <c r="BG188" s="1056" t="str">
        <f t="shared" si="208"/>
        <v>-</v>
      </c>
      <c r="BH188" s="1048"/>
      <c r="BI188" s="2304" t="str">
        <f t="shared" si="151"/>
        <v>Rev</v>
      </c>
      <c r="BJ188" s="2305" t="str">
        <f t="shared" si="151"/>
        <v>[Service]</v>
      </c>
      <c r="BK188" s="2306" t="str">
        <f t="shared" si="151"/>
        <v>[Price]</v>
      </c>
      <c r="BL188" s="2307" t="str">
        <f t="shared" ref="BL188:BZ188" si="209">IF(OR(X188="",X188=0),"-",IFERROR((X188/W188-1)*(W188/W$13),"-"))</f>
        <v>-</v>
      </c>
      <c r="BM188" s="1055" t="str">
        <f t="shared" si="209"/>
        <v>-</v>
      </c>
      <c r="BN188" s="1055" t="str">
        <f t="shared" si="209"/>
        <v>-</v>
      </c>
      <c r="BO188" s="2308" t="str">
        <f t="shared" si="209"/>
        <v>-</v>
      </c>
      <c r="BP188" s="1055" t="str">
        <f t="shared" si="209"/>
        <v>-</v>
      </c>
      <c r="BQ188" s="2309" t="str">
        <f t="shared" si="209"/>
        <v>-</v>
      </c>
      <c r="BR188" s="1055" t="str">
        <f t="shared" si="209"/>
        <v>-</v>
      </c>
      <c r="BS188" s="1055" t="str">
        <f t="shared" si="209"/>
        <v>-</v>
      </c>
      <c r="BT188" s="1055" t="str">
        <f t="shared" si="209"/>
        <v>-</v>
      </c>
      <c r="BU188" s="1056" t="str">
        <f t="shared" si="209"/>
        <v>-</v>
      </c>
      <c r="BV188" s="1055" t="str">
        <f t="shared" si="209"/>
        <v>-</v>
      </c>
      <c r="BW188" s="1055" t="str">
        <f t="shared" si="209"/>
        <v>-</v>
      </c>
      <c r="BX188" s="1055" t="str">
        <f t="shared" si="209"/>
        <v>-</v>
      </c>
      <c r="BY188" s="1055" t="str">
        <f t="shared" si="209"/>
        <v>-</v>
      </c>
      <c r="BZ188" s="1056" t="str">
        <f t="shared" si="209"/>
        <v>-</v>
      </c>
    </row>
    <row r="189" spans="3:78" x14ac:dyDescent="0.3">
      <c r="C189" s="126"/>
      <c r="D189" s="126">
        <f>D186+1</f>
        <v>41</v>
      </c>
      <c r="E189" s="553" t="s">
        <v>45</v>
      </c>
      <c r="F189" s="581" t="s">
        <v>28</v>
      </c>
      <c r="G189" s="581"/>
      <c r="H189" s="581"/>
      <c r="I189" s="573" t="s">
        <v>319</v>
      </c>
      <c r="J189" s="573" t="s">
        <v>348</v>
      </c>
      <c r="K189" s="1969"/>
      <c r="L189" s="1970"/>
      <c r="M189" s="1970"/>
      <c r="N189" s="1971"/>
      <c r="O189" s="1970"/>
      <c r="P189" s="1970"/>
      <c r="Q189" s="1970"/>
      <c r="R189" s="1972"/>
      <c r="S189" s="1979"/>
      <c r="T189" s="1972"/>
      <c r="U189" s="1972"/>
      <c r="V189" s="1972"/>
      <c r="W189" s="575"/>
      <c r="X189" s="1238"/>
      <c r="Y189" s="575"/>
      <c r="Z189" s="575"/>
      <c r="AA189" s="575"/>
      <c r="AB189" s="1142"/>
      <c r="AC189" s="575"/>
      <c r="AD189" s="575"/>
      <c r="AE189" s="575"/>
      <c r="AF189" s="575"/>
      <c r="AG189" s="577"/>
      <c r="AH189" s="576"/>
      <c r="AI189" s="575"/>
      <c r="AJ189" s="575"/>
      <c r="AK189" s="575"/>
      <c r="AL189" s="577"/>
      <c r="AN189" s="1052"/>
      <c r="AP189" s="2297" t="str">
        <f t="shared" si="128"/>
        <v>Price</v>
      </c>
      <c r="AQ189" s="2298" t="str">
        <f t="shared" si="128"/>
        <v>[Service]</v>
      </c>
      <c r="AR189" s="1719" t="str">
        <f t="shared" si="129"/>
        <v>[Price]</v>
      </c>
      <c r="AS189" s="2299" t="str">
        <f t="shared" si="208"/>
        <v>-</v>
      </c>
      <c r="AT189" s="1728" t="str">
        <f t="shared" si="208"/>
        <v>-</v>
      </c>
      <c r="AU189" s="1728" t="str">
        <f t="shared" si="208"/>
        <v>-</v>
      </c>
      <c r="AV189" s="2300" t="str">
        <f t="shared" si="208"/>
        <v>-</v>
      </c>
      <c r="AW189" s="1728" t="str">
        <f t="shared" si="208"/>
        <v>-</v>
      </c>
      <c r="AX189" s="2301" t="str">
        <f t="shared" si="208"/>
        <v>-</v>
      </c>
      <c r="AY189" s="1728" t="str">
        <f t="shared" si="208"/>
        <v>-</v>
      </c>
      <c r="AZ189" s="1728" t="str">
        <f t="shared" si="208"/>
        <v>-</v>
      </c>
      <c r="BA189" s="1728" t="str">
        <f t="shared" si="208"/>
        <v>-</v>
      </c>
      <c r="BB189" s="1729" t="str">
        <f t="shared" si="208"/>
        <v>-</v>
      </c>
      <c r="BC189" s="1728" t="str">
        <f t="shared" si="208"/>
        <v>-</v>
      </c>
      <c r="BD189" s="1728" t="str">
        <f t="shared" si="208"/>
        <v>-</v>
      </c>
      <c r="BE189" s="1728" t="str">
        <f t="shared" si="208"/>
        <v>-</v>
      </c>
      <c r="BF189" s="1728" t="str">
        <f t="shared" si="208"/>
        <v>-</v>
      </c>
      <c r="BG189" s="1729" t="str">
        <f t="shared" si="208"/>
        <v>-</v>
      </c>
      <c r="BH189" s="1048"/>
      <c r="BI189" s="2297" t="str">
        <f t="shared" si="151"/>
        <v>Price</v>
      </c>
      <c r="BJ189" s="2298" t="str">
        <f t="shared" si="151"/>
        <v>[Service]</v>
      </c>
      <c r="BK189" s="1719" t="str">
        <f t="shared" si="151"/>
        <v>[Price]</v>
      </c>
      <c r="BL189" s="2299" t="str">
        <f t="shared" ref="BL189:BZ189" si="210">IF(OR(X189="",X189=0),"-",IFERROR((X189/W189-1)*(W191/W$13),"-"))</f>
        <v>-</v>
      </c>
      <c r="BM189" s="1053" t="str">
        <f t="shared" si="210"/>
        <v>-</v>
      </c>
      <c r="BN189" s="1053" t="str">
        <f t="shared" si="210"/>
        <v>-</v>
      </c>
      <c r="BO189" s="2302" t="str">
        <f t="shared" si="210"/>
        <v>-</v>
      </c>
      <c r="BP189" s="1053" t="str">
        <f t="shared" si="210"/>
        <v>-</v>
      </c>
      <c r="BQ189" s="2303" t="str">
        <f t="shared" si="210"/>
        <v>-</v>
      </c>
      <c r="BR189" s="1053" t="str">
        <f t="shared" si="210"/>
        <v>-</v>
      </c>
      <c r="BS189" s="1053" t="str">
        <f t="shared" si="210"/>
        <v>-</v>
      </c>
      <c r="BT189" s="1053" t="str">
        <f t="shared" si="210"/>
        <v>-</v>
      </c>
      <c r="BU189" s="1054" t="str">
        <f t="shared" si="210"/>
        <v>-</v>
      </c>
      <c r="BV189" s="1053" t="str">
        <f t="shared" si="210"/>
        <v>-</v>
      </c>
      <c r="BW189" s="1053" t="str">
        <f t="shared" si="210"/>
        <v>-</v>
      </c>
      <c r="BX189" s="1053" t="str">
        <f t="shared" si="210"/>
        <v>-</v>
      </c>
      <c r="BY189" s="1053" t="str">
        <f t="shared" si="210"/>
        <v>-</v>
      </c>
      <c r="BZ189" s="1054" t="str">
        <f t="shared" si="210"/>
        <v>-</v>
      </c>
    </row>
    <row r="190" spans="3:78" x14ac:dyDescent="0.3">
      <c r="C190" s="126"/>
      <c r="D190" s="126"/>
      <c r="E190" s="558" t="s">
        <v>46</v>
      </c>
      <c r="F190" s="1722" t="str">
        <f>+F189</f>
        <v>[Service]</v>
      </c>
      <c r="G190" s="1724">
        <f>+G189</f>
        <v>0</v>
      </c>
      <c r="H190" s="1724">
        <f>+H189</f>
        <v>0</v>
      </c>
      <c r="I190" s="1725" t="str">
        <f>+I189</f>
        <v>[Price]</v>
      </c>
      <c r="J190" s="574" t="s">
        <v>323</v>
      </c>
      <c r="K190" s="1973"/>
      <c r="L190" s="1974"/>
      <c r="M190" s="1974"/>
      <c r="N190" s="1975"/>
      <c r="O190" s="1974"/>
      <c r="P190" s="1974"/>
      <c r="Q190" s="1974"/>
      <c r="R190" s="1976"/>
      <c r="S190" s="1980"/>
      <c r="T190" s="1976"/>
      <c r="U190" s="1976"/>
      <c r="V190" s="1976"/>
      <c r="W190" s="578"/>
      <c r="X190" s="1239"/>
      <c r="Y190" s="578"/>
      <c r="Z190" s="578"/>
      <c r="AA190" s="578"/>
      <c r="AB190" s="1143"/>
      <c r="AC190" s="578"/>
      <c r="AD190" s="578"/>
      <c r="AE190" s="578"/>
      <c r="AF190" s="578"/>
      <c r="AG190" s="580"/>
      <c r="AH190" s="579"/>
      <c r="AI190" s="578"/>
      <c r="AJ190" s="578"/>
      <c r="AK190" s="578"/>
      <c r="AL190" s="580"/>
      <c r="AN190" s="991"/>
      <c r="AP190" s="2285" t="str">
        <f t="shared" si="128"/>
        <v>Qty</v>
      </c>
      <c r="AQ190" s="2286" t="str">
        <f t="shared" si="128"/>
        <v>[Service]</v>
      </c>
      <c r="AR190" s="2287" t="str">
        <f t="shared" si="129"/>
        <v>[Price]</v>
      </c>
      <c r="AS190" s="2288" t="str">
        <f t="shared" si="208"/>
        <v>-</v>
      </c>
      <c r="AT190" s="1720" t="str">
        <f t="shared" si="208"/>
        <v>-</v>
      </c>
      <c r="AU190" s="1720" t="str">
        <f t="shared" si="208"/>
        <v>-</v>
      </c>
      <c r="AV190" s="2289" t="str">
        <f t="shared" si="208"/>
        <v>-</v>
      </c>
      <c r="AW190" s="1720" t="str">
        <f t="shared" si="208"/>
        <v>-</v>
      </c>
      <c r="AX190" s="2290" t="str">
        <f t="shared" si="208"/>
        <v>-</v>
      </c>
      <c r="AY190" s="1720" t="str">
        <f t="shared" si="208"/>
        <v>-</v>
      </c>
      <c r="AZ190" s="1720" t="str">
        <f t="shared" si="208"/>
        <v>-</v>
      </c>
      <c r="BA190" s="1720" t="str">
        <f t="shared" si="208"/>
        <v>-</v>
      </c>
      <c r="BB190" s="1721" t="str">
        <f t="shared" si="208"/>
        <v>-</v>
      </c>
      <c r="BC190" s="1720" t="str">
        <f t="shared" si="208"/>
        <v>-</v>
      </c>
      <c r="BD190" s="1720" t="str">
        <f t="shared" si="208"/>
        <v>-</v>
      </c>
      <c r="BE190" s="1720" t="str">
        <f t="shared" si="208"/>
        <v>-</v>
      </c>
      <c r="BF190" s="1720" t="str">
        <f t="shared" si="208"/>
        <v>-</v>
      </c>
      <c r="BG190" s="1721" t="str">
        <f t="shared" si="208"/>
        <v>-</v>
      </c>
      <c r="BH190" s="1048"/>
      <c r="BI190" s="2285" t="str">
        <f t="shared" si="151"/>
        <v>Qty</v>
      </c>
      <c r="BJ190" s="2286" t="str">
        <f t="shared" si="151"/>
        <v>[Service]</v>
      </c>
      <c r="BK190" s="2287" t="str">
        <f t="shared" si="151"/>
        <v>[Price]</v>
      </c>
      <c r="BL190" s="2288" t="str">
        <f t="shared" ref="BL190:BZ190" si="211">IF(OR(X190="",X190=0),"-",IFERROR((X190/W190-1)*(W191/W$13),"-"))</f>
        <v>-</v>
      </c>
      <c r="BM190" s="1720" t="str">
        <f t="shared" si="211"/>
        <v>-</v>
      </c>
      <c r="BN190" s="1720" t="str">
        <f t="shared" si="211"/>
        <v>-</v>
      </c>
      <c r="BO190" s="2289" t="str">
        <f t="shared" si="211"/>
        <v>-</v>
      </c>
      <c r="BP190" s="1720" t="str">
        <f t="shared" si="211"/>
        <v>-</v>
      </c>
      <c r="BQ190" s="2290" t="str">
        <f t="shared" si="211"/>
        <v>-</v>
      </c>
      <c r="BR190" s="1720" t="str">
        <f t="shared" si="211"/>
        <v>-</v>
      </c>
      <c r="BS190" s="1720" t="str">
        <f t="shared" si="211"/>
        <v>-</v>
      </c>
      <c r="BT190" s="1720" t="str">
        <f t="shared" si="211"/>
        <v>-</v>
      </c>
      <c r="BU190" s="1721" t="str">
        <f t="shared" si="211"/>
        <v>-</v>
      </c>
      <c r="BV190" s="1720" t="str">
        <f t="shared" si="211"/>
        <v>-</v>
      </c>
      <c r="BW190" s="1720" t="str">
        <f t="shared" si="211"/>
        <v>-</v>
      </c>
      <c r="BX190" s="1720" t="str">
        <f t="shared" si="211"/>
        <v>-</v>
      </c>
      <c r="BY190" s="1720" t="str">
        <f t="shared" si="211"/>
        <v>-</v>
      </c>
      <c r="BZ190" s="1721" t="str">
        <f t="shared" si="211"/>
        <v>-</v>
      </c>
    </row>
    <row r="191" spans="3:78" ht="12.5" thickBot="1" x14ac:dyDescent="0.35">
      <c r="C191" s="126"/>
      <c r="D191" s="126"/>
      <c r="E191" s="559" t="s">
        <v>47</v>
      </c>
      <c r="F191" s="1723" t="str">
        <f>+F189</f>
        <v>[Service]</v>
      </c>
      <c r="G191" s="1726">
        <f>+G189</f>
        <v>0</v>
      </c>
      <c r="H191" s="1726">
        <f>+H189</f>
        <v>0</v>
      </c>
      <c r="I191" s="1727" t="str">
        <f>+I189</f>
        <v>[Price]</v>
      </c>
      <c r="J191" s="556" t="s">
        <v>347</v>
      </c>
      <c r="K191" s="1977"/>
      <c r="L191" s="1206"/>
      <c r="M191" s="1206"/>
      <c r="N191" s="1978"/>
      <c r="O191" s="1206"/>
      <c r="P191" s="1206"/>
      <c r="Q191" s="1206"/>
      <c r="R191" s="1206"/>
      <c r="S191" s="1978"/>
      <c r="T191" s="1206"/>
      <c r="U191" s="1206"/>
      <c r="V191" s="1206"/>
      <c r="W191" s="1731">
        <f t="shared" ref="W191:AG191" si="212">W189*W190/10^6</f>
        <v>0</v>
      </c>
      <c r="X191" s="1730">
        <f t="shared" si="212"/>
        <v>0</v>
      </c>
      <c r="Y191" s="1731">
        <f t="shared" si="212"/>
        <v>0</v>
      </c>
      <c r="Z191" s="1731">
        <f t="shared" si="212"/>
        <v>0</v>
      </c>
      <c r="AA191" s="1731">
        <f t="shared" si="212"/>
        <v>0</v>
      </c>
      <c r="AB191" s="1733">
        <f t="shared" si="212"/>
        <v>0</v>
      </c>
      <c r="AC191" s="1731">
        <f t="shared" si="212"/>
        <v>0</v>
      </c>
      <c r="AD191" s="1731">
        <f t="shared" si="212"/>
        <v>0</v>
      </c>
      <c r="AE191" s="1731">
        <f t="shared" si="212"/>
        <v>0</v>
      </c>
      <c r="AF191" s="1731">
        <f t="shared" si="212"/>
        <v>0</v>
      </c>
      <c r="AG191" s="1733">
        <f t="shared" si="212"/>
        <v>0</v>
      </c>
      <c r="AH191" s="1732">
        <f>AH189*AH190/10^6</f>
        <v>0</v>
      </c>
      <c r="AI191" s="1731">
        <f>AI189*AI190/10^6</f>
        <v>0</v>
      </c>
      <c r="AJ191" s="1731">
        <f>AJ189*AJ190/10^6</f>
        <v>0</v>
      </c>
      <c r="AK191" s="1731">
        <f>AK189*AK190/10^6</f>
        <v>0</v>
      </c>
      <c r="AL191" s="1733">
        <f>AL189*AL190/10^6</f>
        <v>0</v>
      </c>
      <c r="AN191" s="991"/>
      <c r="AP191" s="2304" t="str">
        <f t="shared" si="128"/>
        <v>Rev</v>
      </c>
      <c r="AQ191" s="2305" t="str">
        <f t="shared" si="128"/>
        <v>[Service]</v>
      </c>
      <c r="AR191" s="2306" t="str">
        <f t="shared" si="129"/>
        <v>[Price]</v>
      </c>
      <c r="AS191" s="2307" t="str">
        <f t="shared" si="208"/>
        <v>-</v>
      </c>
      <c r="AT191" s="1055" t="str">
        <f t="shared" si="208"/>
        <v>-</v>
      </c>
      <c r="AU191" s="1055" t="str">
        <f t="shared" si="208"/>
        <v>-</v>
      </c>
      <c r="AV191" s="2308" t="str">
        <f t="shared" si="208"/>
        <v>-</v>
      </c>
      <c r="AW191" s="1055" t="str">
        <f t="shared" si="208"/>
        <v>-</v>
      </c>
      <c r="AX191" s="2309" t="str">
        <f t="shared" si="208"/>
        <v>-</v>
      </c>
      <c r="AY191" s="1055" t="str">
        <f t="shared" si="208"/>
        <v>-</v>
      </c>
      <c r="AZ191" s="1055" t="str">
        <f t="shared" si="208"/>
        <v>-</v>
      </c>
      <c r="BA191" s="1055" t="str">
        <f t="shared" si="208"/>
        <v>-</v>
      </c>
      <c r="BB191" s="1056" t="str">
        <f t="shared" si="208"/>
        <v>-</v>
      </c>
      <c r="BC191" s="1055" t="str">
        <f t="shared" si="208"/>
        <v>-</v>
      </c>
      <c r="BD191" s="1055" t="str">
        <f t="shared" si="208"/>
        <v>-</v>
      </c>
      <c r="BE191" s="1055" t="str">
        <f t="shared" si="208"/>
        <v>-</v>
      </c>
      <c r="BF191" s="1055" t="str">
        <f t="shared" si="208"/>
        <v>-</v>
      </c>
      <c r="BG191" s="1056" t="str">
        <f t="shared" si="208"/>
        <v>-</v>
      </c>
      <c r="BH191" s="1048"/>
      <c r="BI191" s="2304" t="str">
        <f t="shared" si="151"/>
        <v>Rev</v>
      </c>
      <c r="BJ191" s="2305" t="str">
        <f t="shared" si="151"/>
        <v>[Service]</v>
      </c>
      <c r="BK191" s="2306" t="str">
        <f t="shared" si="151"/>
        <v>[Price]</v>
      </c>
      <c r="BL191" s="2307" t="str">
        <f t="shared" ref="BL191:BZ191" si="213">IF(OR(X191="",X191=0),"-",IFERROR((X191/W191-1)*(W191/W$13),"-"))</f>
        <v>-</v>
      </c>
      <c r="BM191" s="1055" t="str">
        <f t="shared" si="213"/>
        <v>-</v>
      </c>
      <c r="BN191" s="1055" t="str">
        <f t="shared" si="213"/>
        <v>-</v>
      </c>
      <c r="BO191" s="2308" t="str">
        <f t="shared" si="213"/>
        <v>-</v>
      </c>
      <c r="BP191" s="1055" t="str">
        <f t="shared" si="213"/>
        <v>-</v>
      </c>
      <c r="BQ191" s="2309" t="str">
        <f t="shared" si="213"/>
        <v>-</v>
      </c>
      <c r="BR191" s="1055" t="str">
        <f t="shared" si="213"/>
        <v>-</v>
      </c>
      <c r="BS191" s="1055" t="str">
        <f t="shared" si="213"/>
        <v>-</v>
      </c>
      <c r="BT191" s="1055" t="str">
        <f t="shared" si="213"/>
        <v>-</v>
      </c>
      <c r="BU191" s="1056" t="str">
        <f t="shared" si="213"/>
        <v>-</v>
      </c>
      <c r="BV191" s="1055" t="str">
        <f t="shared" si="213"/>
        <v>-</v>
      </c>
      <c r="BW191" s="1055" t="str">
        <f t="shared" si="213"/>
        <v>-</v>
      </c>
      <c r="BX191" s="1055" t="str">
        <f t="shared" si="213"/>
        <v>-</v>
      </c>
      <c r="BY191" s="1055" t="str">
        <f t="shared" si="213"/>
        <v>-</v>
      </c>
      <c r="BZ191" s="1056" t="str">
        <f t="shared" si="213"/>
        <v>-</v>
      </c>
    </row>
    <row r="192" spans="3:78" x14ac:dyDescent="0.3">
      <c r="C192" s="126"/>
      <c r="D192" s="126">
        <f>D189+1</f>
        <v>42</v>
      </c>
      <c r="E192" s="553" t="s">
        <v>45</v>
      </c>
      <c r="F192" s="581" t="s">
        <v>28</v>
      </c>
      <c r="G192" s="581"/>
      <c r="H192" s="581"/>
      <c r="I192" s="573" t="s">
        <v>319</v>
      </c>
      <c r="J192" s="573" t="s">
        <v>348</v>
      </c>
      <c r="K192" s="1969"/>
      <c r="L192" s="1970"/>
      <c r="M192" s="1970"/>
      <c r="N192" s="1971"/>
      <c r="O192" s="1970"/>
      <c r="P192" s="1970"/>
      <c r="Q192" s="1970"/>
      <c r="R192" s="1972"/>
      <c r="S192" s="1979"/>
      <c r="T192" s="1972"/>
      <c r="U192" s="1972"/>
      <c r="V192" s="1972"/>
      <c r="W192" s="575"/>
      <c r="X192" s="1238"/>
      <c r="Y192" s="575"/>
      <c r="Z192" s="575"/>
      <c r="AA192" s="575"/>
      <c r="AB192" s="1142"/>
      <c r="AC192" s="575"/>
      <c r="AD192" s="575"/>
      <c r="AE192" s="575"/>
      <c r="AF192" s="575"/>
      <c r="AG192" s="577"/>
      <c r="AH192" s="576"/>
      <c r="AI192" s="575"/>
      <c r="AJ192" s="575"/>
      <c r="AK192" s="575"/>
      <c r="AL192" s="577"/>
      <c r="AN192" s="1052"/>
      <c r="AP192" s="2297" t="str">
        <f t="shared" si="128"/>
        <v>Price</v>
      </c>
      <c r="AQ192" s="2298" t="str">
        <f t="shared" si="128"/>
        <v>[Service]</v>
      </c>
      <c r="AR192" s="1719" t="str">
        <f t="shared" si="129"/>
        <v>[Price]</v>
      </c>
      <c r="AS192" s="2299" t="str">
        <f t="shared" si="208"/>
        <v>-</v>
      </c>
      <c r="AT192" s="1728" t="str">
        <f t="shared" si="208"/>
        <v>-</v>
      </c>
      <c r="AU192" s="1728" t="str">
        <f t="shared" si="208"/>
        <v>-</v>
      </c>
      <c r="AV192" s="2300" t="str">
        <f t="shared" si="208"/>
        <v>-</v>
      </c>
      <c r="AW192" s="1728" t="str">
        <f t="shared" si="208"/>
        <v>-</v>
      </c>
      <c r="AX192" s="2301" t="str">
        <f t="shared" si="208"/>
        <v>-</v>
      </c>
      <c r="AY192" s="1728" t="str">
        <f t="shared" si="208"/>
        <v>-</v>
      </c>
      <c r="AZ192" s="1728" t="str">
        <f t="shared" si="208"/>
        <v>-</v>
      </c>
      <c r="BA192" s="1728" t="str">
        <f t="shared" si="208"/>
        <v>-</v>
      </c>
      <c r="BB192" s="1729" t="str">
        <f t="shared" si="208"/>
        <v>-</v>
      </c>
      <c r="BC192" s="1728" t="str">
        <f t="shared" si="208"/>
        <v>-</v>
      </c>
      <c r="BD192" s="1728" t="str">
        <f t="shared" si="208"/>
        <v>-</v>
      </c>
      <c r="BE192" s="1728" t="str">
        <f t="shared" si="208"/>
        <v>-</v>
      </c>
      <c r="BF192" s="1728" t="str">
        <f t="shared" si="208"/>
        <v>-</v>
      </c>
      <c r="BG192" s="1729" t="str">
        <f t="shared" si="208"/>
        <v>-</v>
      </c>
      <c r="BH192" s="1048"/>
      <c r="BI192" s="2297" t="str">
        <f t="shared" si="151"/>
        <v>Price</v>
      </c>
      <c r="BJ192" s="2298" t="str">
        <f t="shared" si="151"/>
        <v>[Service]</v>
      </c>
      <c r="BK192" s="1719" t="str">
        <f t="shared" si="151"/>
        <v>[Price]</v>
      </c>
      <c r="BL192" s="2299" t="str">
        <f t="shared" ref="BL192:BZ192" si="214">IF(OR(X192="",X192=0),"-",IFERROR((X192/W192-1)*(W194/W$13),"-"))</f>
        <v>-</v>
      </c>
      <c r="BM192" s="1053" t="str">
        <f t="shared" si="214"/>
        <v>-</v>
      </c>
      <c r="BN192" s="1053" t="str">
        <f t="shared" si="214"/>
        <v>-</v>
      </c>
      <c r="BO192" s="2302" t="str">
        <f t="shared" si="214"/>
        <v>-</v>
      </c>
      <c r="BP192" s="1053" t="str">
        <f t="shared" si="214"/>
        <v>-</v>
      </c>
      <c r="BQ192" s="2303" t="str">
        <f t="shared" si="214"/>
        <v>-</v>
      </c>
      <c r="BR192" s="1053" t="str">
        <f t="shared" si="214"/>
        <v>-</v>
      </c>
      <c r="BS192" s="1053" t="str">
        <f t="shared" si="214"/>
        <v>-</v>
      </c>
      <c r="BT192" s="1053" t="str">
        <f t="shared" si="214"/>
        <v>-</v>
      </c>
      <c r="BU192" s="1054" t="str">
        <f t="shared" si="214"/>
        <v>-</v>
      </c>
      <c r="BV192" s="1053" t="str">
        <f t="shared" si="214"/>
        <v>-</v>
      </c>
      <c r="BW192" s="1053" t="str">
        <f t="shared" si="214"/>
        <v>-</v>
      </c>
      <c r="BX192" s="1053" t="str">
        <f t="shared" si="214"/>
        <v>-</v>
      </c>
      <c r="BY192" s="1053" t="str">
        <f t="shared" si="214"/>
        <v>-</v>
      </c>
      <c r="BZ192" s="1054" t="str">
        <f t="shared" si="214"/>
        <v>-</v>
      </c>
    </row>
    <row r="193" spans="3:78" x14ac:dyDescent="0.3">
      <c r="C193" s="126"/>
      <c r="D193" s="126"/>
      <c r="E193" s="558" t="s">
        <v>46</v>
      </c>
      <c r="F193" s="1722" t="str">
        <f>+F192</f>
        <v>[Service]</v>
      </c>
      <c r="G193" s="1724">
        <f>+G192</f>
        <v>0</v>
      </c>
      <c r="H193" s="1724">
        <f>+H192</f>
        <v>0</v>
      </c>
      <c r="I193" s="1725" t="str">
        <f>+I192</f>
        <v>[Price]</v>
      </c>
      <c r="J193" s="574" t="s">
        <v>323</v>
      </c>
      <c r="K193" s="1973"/>
      <c r="L193" s="1974"/>
      <c r="M193" s="1974"/>
      <c r="N193" s="1975"/>
      <c r="O193" s="1974"/>
      <c r="P193" s="1974"/>
      <c r="Q193" s="1974"/>
      <c r="R193" s="1976"/>
      <c r="S193" s="1980"/>
      <c r="T193" s="1976"/>
      <c r="U193" s="1976"/>
      <c r="V193" s="1976"/>
      <c r="W193" s="578"/>
      <c r="X193" s="1239"/>
      <c r="Y193" s="578"/>
      <c r="Z193" s="578"/>
      <c r="AA193" s="578"/>
      <c r="AB193" s="1143"/>
      <c r="AC193" s="578"/>
      <c r="AD193" s="578"/>
      <c r="AE193" s="578"/>
      <c r="AF193" s="578"/>
      <c r="AG193" s="580"/>
      <c r="AH193" s="579"/>
      <c r="AI193" s="578"/>
      <c r="AJ193" s="578"/>
      <c r="AK193" s="578"/>
      <c r="AL193" s="580"/>
      <c r="AN193" s="991"/>
      <c r="AP193" s="2285" t="str">
        <f t="shared" si="128"/>
        <v>Qty</v>
      </c>
      <c r="AQ193" s="2286" t="str">
        <f t="shared" si="128"/>
        <v>[Service]</v>
      </c>
      <c r="AR193" s="2287" t="str">
        <f t="shared" si="129"/>
        <v>[Price]</v>
      </c>
      <c r="AS193" s="2288" t="str">
        <f t="shared" si="208"/>
        <v>-</v>
      </c>
      <c r="AT193" s="1720" t="str">
        <f t="shared" si="208"/>
        <v>-</v>
      </c>
      <c r="AU193" s="1720" t="str">
        <f t="shared" si="208"/>
        <v>-</v>
      </c>
      <c r="AV193" s="2289" t="str">
        <f t="shared" si="208"/>
        <v>-</v>
      </c>
      <c r="AW193" s="1720" t="str">
        <f t="shared" si="208"/>
        <v>-</v>
      </c>
      <c r="AX193" s="2290" t="str">
        <f t="shared" si="208"/>
        <v>-</v>
      </c>
      <c r="AY193" s="1720" t="str">
        <f t="shared" si="208"/>
        <v>-</v>
      </c>
      <c r="AZ193" s="1720" t="str">
        <f t="shared" si="208"/>
        <v>-</v>
      </c>
      <c r="BA193" s="1720" t="str">
        <f t="shared" si="208"/>
        <v>-</v>
      </c>
      <c r="BB193" s="1721" t="str">
        <f t="shared" si="208"/>
        <v>-</v>
      </c>
      <c r="BC193" s="1720" t="str">
        <f t="shared" si="208"/>
        <v>-</v>
      </c>
      <c r="BD193" s="1720" t="str">
        <f t="shared" si="208"/>
        <v>-</v>
      </c>
      <c r="BE193" s="1720" t="str">
        <f t="shared" si="208"/>
        <v>-</v>
      </c>
      <c r="BF193" s="1720" t="str">
        <f t="shared" si="208"/>
        <v>-</v>
      </c>
      <c r="BG193" s="1721" t="str">
        <f t="shared" si="208"/>
        <v>-</v>
      </c>
      <c r="BH193" s="1048"/>
      <c r="BI193" s="2285" t="str">
        <f t="shared" si="151"/>
        <v>Qty</v>
      </c>
      <c r="BJ193" s="2286" t="str">
        <f t="shared" si="151"/>
        <v>[Service]</v>
      </c>
      <c r="BK193" s="2287" t="str">
        <f t="shared" si="151"/>
        <v>[Price]</v>
      </c>
      <c r="BL193" s="2288" t="str">
        <f t="shared" ref="BL193:BZ193" si="215">IF(OR(X193="",X193=0),"-",IFERROR((X193/W193-1)*(W194/W$13),"-"))</f>
        <v>-</v>
      </c>
      <c r="BM193" s="1720" t="str">
        <f t="shared" si="215"/>
        <v>-</v>
      </c>
      <c r="BN193" s="1720" t="str">
        <f t="shared" si="215"/>
        <v>-</v>
      </c>
      <c r="BO193" s="2289" t="str">
        <f t="shared" si="215"/>
        <v>-</v>
      </c>
      <c r="BP193" s="1720" t="str">
        <f t="shared" si="215"/>
        <v>-</v>
      </c>
      <c r="BQ193" s="2290" t="str">
        <f t="shared" si="215"/>
        <v>-</v>
      </c>
      <c r="BR193" s="1720" t="str">
        <f t="shared" si="215"/>
        <v>-</v>
      </c>
      <c r="BS193" s="1720" t="str">
        <f t="shared" si="215"/>
        <v>-</v>
      </c>
      <c r="BT193" s="1720" t="str">
        <f t="shared" si="215"/>
        <v>-</v>
      </c>
      <c r="BU193" s="1721" t="str">
        <f t="shared" si="215"/>
        <v>-</v>
      </c>
      <c r="BV193" s="1720" t="str">
        <f t="shared" si="215"/>
        <v>-</v>
      </c>
      <c r="BW193" s="1720" t="str">
        <f t="shared" si="215"/>
        <v>-</v>
      </c>
      <c r="BX193" s="1720" t="str">
        <f t="shared" si="215"/>
        <v>-</v>
      </c>
      <c r="BY193" s="1720" t="str">
        <f t="shared" si="215"/>
        <v>-</v>
      </c>
      <c r="BZ193" s="1721" t="str">
        <f t="shared" si="215"/>
        <v>-</v>
      </c>
    </row>
    <row r="194" spans="3:78" ht="12.5" thickBot="1" x14ac:dyDescent="0.35">
      <c r="C194" s="126"/>
      <c r="D194" s="126"/>
      <c r="E194" s="559" t="s">
        <v>47</v>
      </c>
      <c r="F194" s="1723" t="str">
        <f>+F192</f>
        <v>[Service]</v>
      </c>
      <c r="G194" s="1726">
        <f>+G192</f>
        <v>0</v>
      </c>
      <c r="H194" s="1726">
        <f>+H192</f>
        <v>0</v>
      </c>
      <c r="I194" s="1727" t="str">
        <f>+I192</f>
        <v>[Price]</v>
      </c>
      <c r="J194" s="556" t="s">
        <v>347</v>
      </c>
      <c r="K194" s="1977"/>
      <c r="L194" s="1206"/>
      <c r="M194" s="1206"/>
      <c r="N194" s="1978"/>
      <c r="O194" s="1206"/>
      <c r="P194" s="1206"/>
      <c r="Q194" s="1206"/>
      <c r="R194" s="1206"/>
      <c r="S194" s="1978"/>
      <c r="T194" s="1206"/>
      <c r="U194" s="1206"/>
      <c r="V194" s="1206"/>
      <c r="W194" s="1731">
        <f t="shared" ref="W194:AG194" si="216">W192*W193/10^6</f>
        <v>0</v>
      </c>
      <c r="X194" s="1730">
        <f t="shared" si="216"/>
        <v>0</v>
      </c>
      <c r="Y194" s="1731">
        <f t="shared" si="216"/>
        <v>0</v>
      </c>
      <c r="Z194" s="1731">
        <f t="shared" si="216"/>
        <v>0</v>
      </c>
      <c r="AA194" s="1731">
        <f t="shared" si="216"/>
        <v>0</v>
      </c>
      <c r="AB194" s="1733">
        <f t="shared" si="216"/>
        <v>0</v>
      </c>
      <c r="AC194" s="1731">
        <f t="shared" si="216"/>
        <v>0</v>
      </c>
      <c r="AD194" s="1731">
        <f t="shared" si="216"/>
        <v>0</v>
      </c>
      <c r="AE194" s="1731">
        <f t="shared" si="216"/>
        <v>0</v>
      </c>
      <c r="AF194" s="1731">
        <f t="shared" si="216"/>
        <v>0</v>
      </c>
      <c r="AG194" s="1733">
        <f t="shared" si="216"/>
        <v>0</v>
      </c>
      <c r="AH194" s="1732">
        <f>AH192*AH193/10^6</f>
        <v>0</v>
      </c>
      <c r="AI194" s="1731">
        <f>AI192*AI193/10^6</f>
        <v>0</v>
      </c>
      <c r="AJ194" s="1731">
        <f>AJ192*AJ193/10^6</f>
        <v>0</v>
      </c>
      <c r="AK194" s="1731">
        <f>AK192*AK193/10^6</f>
        <v>0</v>
      </c>
      <c r="AL194" s="1733">
        <f>AL192*AL193/10^6</f>
        <v>0</v>
      </c>
      <c r="AN194" s="991"/>
      <c r="AP194" s="2304" t="str">
        <f t="shared" si="128"/>
        <v>Rev</v>
      </c>
      <c r="AQ194" s="2305" t="str">
        <f t="shared" si="128"/>
        <v>[Service]</v>
      </c>
      <c r="AR194" s="2306" t="str">
        <f t="shared" si="129"/>
        <v>[Price]</v>
      </c>
      <c r="AS194" s="2307" t="str">
        <f t="shared" si="208"/>
        <v>-</v>
      </c>
      <c r="AT194" s="1055" t="str">
        <f t="shared" si="208"/>
        <v>-</v>
      </c>
      <c r="AU194" s="1055" t="str">
        <f t="shared" si="208"/>
        <v>-</v>
      </c>
      <c r="AV194" s="2308" t="str">
        <f t="shared" si="208"/>
        <v>-</v>
      </c>
      <c r="AW194" s="1055" t="str">
        <f t="shared" si="208"/>
        <v>-</v>
      </c>
      <c r="AX194" s="2309" t="str">
        <f t="shared" si="208"/>
        <v>-</v>
      </c>
      <c r="AY194" s="1055" t="str">
        <f t="shared" si="208"/>
        <v>-</v>
      </c>
      <c r="AZ194" s="1055" t="str">
        <f t="shared" si="208"/>
        <v>-</v>
      </c>
      <c r="BA194" s="1055" t="str">
        <f t="shared" si="208"/>
        <v>-</v>
      </c>
      <c r="BB194" s="1056" t="str">
        <f t="shared" si="208"/>
        <v>-</v>
      </c>
      <c r="BC194" s="1055" t="str">
        <f t="shared" si="208"/>
        <v>-</v>
      </c>
      <c r="BD194" s="1055" t="str">
        <f t="shared" si="208"/>
        <v>-</v>
      </c>
      <c r="BE194" s="1055" t="str">
        <f t="shared" si="208"/>
        <v>-</v>
      </c>
      <c r="BF194" s="1055" t="str">
        <f t="shared" si="208"/>
        <v>-</v>
      </c>
      <c r="BG194" s="1056" t="str">
        <f t="shared" si="208"/>
        <v>-</v>
      </c>
      <c r="BH194" s="1048"/>
      <c r="BI194" s="2304" t="str">
        <f t="shared" si="151"/>
        <v>Rev</v>
      </c>
      <c r="BJ194" s="2305" t="str">
        <f t="shared" si="151"/>
        <v>[Service]</v>
      </c>
      <c r="BK194" s="2306" t="str">
        <f t="shared" si="151"/>
        <v>[Price]</v>
      </c>
      <c r="BL194" s="2307" t="str">
        <f t="shared" ref="BL194:BZ194" si="217">IF(OR(X194="",X194=0),"-",IFERROR((X194/W194-1)*(W194/W$13),"-"))</f>
        <v>-</v>
      </c>
      <c r="BM194" s="1055" t="str">
        <f t="shared" si="217"/>
        <v>-</v>
      </c>
      <c r="BN194" s="1055" t="str">
        <f t="shared" si="217"/>
        <v>-</v>
      </c>
      <c r="BO194" s="2308" t="str">
        <f t="shared" si="217"/>
        <v>-</v>
      </c>
      <c r="BP194" s="1055" t="str">
        <f t="shared" si="217"/>
        <v>-</v>
      </c>
      <c r="BQ194" s="2309" t="str">
        <f t="shared" si="217"/>
        <v>-</v>
      </c>
      <c r="BR194" s="1055" t="str">
        <f t="shared" si="217"/>
        <v>-</v>
      </c>
      <c r="BS194" s="1055" t="str">
        <f t="shared" si="217"/>
        <v>-</v>
      </c>
      <c r="BT194" s="1055" t="str">
        <f t="shared" si="217"/>
        <v>-</v>
      </c>
      <c r="BU194" s="1056" t="str">
        <f t="shared" si="217"/>
        <v>-</v>
      </c>
      <c r="BV194" s="1055" t="str">
        <f t="shared" si="217"/>
        <v>-</v>
      </c>
      <c r="BW194" s="1055" t="str">
        <f t="shared" si="217"/>
        <v>-</v>
      </c>
      <c r="BX194" s="1055" t="str">
        <f t="shared" si="217"/>
        <v>-</v>
      </c>
      <c r="BY194" s="1055" t="str">
        <f t="shared" si="217"/>
        <v>-</v>
      </c>
      <c r="BZ194" s="1056" t="str">
        <f t="shared" si="217"/>
        <v>-</v>
      </c>
    </row>
    <row r="195" spans="3:78" x14ac:dyDescent="0.3">
      <c r="C195" s="126"/>
      <c r="D195" s="126">
        <f>D192+1</f>
        <v>43</v>
      </c>
      <c r="E195" s="553" t="s">
        <v>45</v>
      </c>
      <c r="F195" s="581" t="s">
        <v>28</v>
      </c>
      <c r="G195" s="581"/>
      <c r="H195" s="581"/>
      <c r="I195" s="573" t="s">
        <v>319</v>
      </c>
      <c r="J195" s="573" t="s">
        <v>348</v>
      </c>
      <c r="K195" s="1969"/>
      <c r="L195" s="1970"/>
      <c r="M195" s="1970"/>
      <c r="N195" s="1971"/>
      <c r="O195" s="1970"/>
      <c r="P195" s="1970"/>
      <c r="Q195" s="1970"/>
      <c r="R195" s="1972"/>
      <c r="S195" s="1979"/>
      <c r="T195" s="1972"/>
      <c r="U195" s="1972"/>
      <c r="V195" s="1972"/>
      <c r="W195" s="575"/>
      <c r="X195" s="1238"/>
      <c r="Y195" s="575"/>
      <c r="Z195" s="575"/>
      <c r="AA195" s="575"/>
      <c r="AB195" s="1142"/>
      <c r="AC195" s="575"/>
      <c r="AD195" s="575"/>
      <c r="AE195" s="575"/>
      <c r="AF195" s="575"/>
      <c r="AG195" s="577"/>
      <c r="AH195" s="576"/>
      <c r="AI195" s="575"/>
      <c r="AJ195" s="575"/>
      <c r="AK195" s="575"/>
      <c r="AL195" s="577"/>
      <c r="AN195" s="1052"/>
      <c r="AP195" s="2297" t="str">
        <f t="shared" si="128"/>
        <v>Price</v>
      </c>
      <c r="AQ195" s="2298" t="str">
        <f t="shared" si="128"/>
        <v>[Service]</v>
      </c>
      <c r="AR195" s="1719" t="str">
        <f t="shared" si="129"/>
        <v>[Price]</v>
      </c>
      <c r="AS195" s="2299" t="str">
        <f t="shared" si="208"/>
        <v>-</v>
      </c>
      <c r="AT195" s="1728" t="str">
        <f t="shared" si="208"/>
        <v>-</v>
      </c>
      <c r="AU195" s="1728" t="str">
        <f t="shared" si="208"/>
        <v>-</v>
      </c>
      <c r="AV195" s="2300" t="str">
        <f t="shared" si="208"/>
        <v>-</v>
      </c>
      <c r="AW195" s="1728" t="str">
        <f t="shared" si="208"/>
        <v>-</v>
      </c>
      <c r="AX195" s="2301" t="str">
        <f t="shared" si="208"/>
        <v>-</v>
      </c>
      <c r="AY195" s="1728" t="str">
        <f t="shared" si="208"/>
        <v>-</v>
      </c>
      <c r="AZ195" s="1728" t="str">
        <f t="shared" si="208"/>
        <v>-</v>
      </c>
      <c r="BA195" s="1728" t="str">
        <f t="shared" si="208"/>
        <v>-</v>
      </c>
      <c r="BB195" s="1729" t="str">
        <f t="shared" si="208"/>
        <v>-</v>
      </c>
      <c r="BC195" s="1728" t="str">
        <f t="shared" si="208"/>
        <v>-</v>
      </c>
      <c r="BD195" s="1728" t="str">
        <f t="shared" si="208"/>
        <v>-</v>
      </c>
      <c r="BE195" s="1728" t="str">
        <f t="shared" si="208"/>
        <v>-</v>
      </c>
      <c r="BF195" s="1728" t="str">
        <f t="shared" si="208"/>
        <v>-</v>
      </c>
      <c r="BG195" s="1729" t="str">
        <f t="shared" si="208"/>
        <v>-</v>
      </c>
      <c r="BH195" s="1048"/>
      <c r="BI195" s="2297" t="str">
        <f t="shared" si="151"/>
        <v>Price</v>
      </c>
      <c r="BJ195" s="2298" t="str">
        <f t="shared" si="151"/>
        <v>[Service]</v>
      </c>
      <c r="BK195" s="1719" t="str">
        <f t="shared" si="151"/>
        <v>[Price]</v>
      </c>
      <c r="BL195" s="2299" t="str">
        <f t="shared" ref="BL195:BZ195" si="218">IF(OR(X195="",X195=0),"-",IFERROR((X195/W195-1)*(W197/W$13),"-"))</f>
        <v>-</v>
      </c>
      <c r="BM195" s="1053" t="str">
        <f t="shared" si="218"/>
        <v>-</v>
      </c>
      <c r="BN195" s="1053" t="str">
        <f t="shared" si="218"/>
        <v>-</v>
      </c>
      <c r="BO195" s="2302" t="str">
        <f t="shared" si="218"/>
        <v>-</v>
      </c>
      <c r="BP195" s="1053" t="str">
        <f t="shared" si="218"/>
        <v>-</v>
      </c>
      <c r="BQ195" s="2303" t="str">
        <f t="shared" si="218"/>
        <v>-</v>
      </c>
      <c r="BR195" s="1053" t="str">
        <f t="shared" si="218"/>
        <v>-</v>
      </c>
      <c r="BS195" s="1053" t="str">
        <f t="shared" si="218"/>
        <v>-</v>
      </c>
      <c r="BT195" s="1053" t="str">
        <f t="shared" si="218"/>
        <v>-</v>
      </c>
      <c r="BU195" s="1054" t="str">
        <f t="shared" si="218"/>
        <v>-</v>
      </c>
      <c r="BV195" s="1053" t="str">
        <f t="shared" si="218"/>
        <v>-</v>
      </c>
      <c r="BW195" s="1053" t="str">
        <f t="shared" si="218"/>
        <v>-</v>
      </c>
      <c r="BX195" s="1053" t="str">
        <f t="shared" si="218"/>
        <v>-</v>
      </c>
      <c r="BY195" s="1053" t="str">
        <f t="shared" si="218"/>
        <v>-</v>
      </c>
      <c r="BZ195" s="1054" t="str">
        <f t="shared" si="218"/>
        <v>-</v>
      </c>
    </row>
    <row r="196" spans="3:78" x14ac:dyDescent="0.3">
      <c r="C196" s="126"/>
      <c r="D196" s="126"/>
      <c r="E196" s="558" t="s">
        <v>46</v>
      </c>
      <c r="F196" s="1722" t="str">
        <f>+F195</f>
        <v>[Service]</v>
      </c>
      <c r="G196" s="1724">
        <f>+G195</f>
        <v>0</v>
      </c>
      <c r="H196" s="1724">
        <f>+H195</f>
        <v>0</v>
      </c>
      <c r="I196" s="1725" t="str">
        <f>+I195</f>
        <v>[Price]</v>
      </c>
      <c r="J196" s="574" t="s">
        <v>323</v>
      </c>
      <c r="K196" s="1973"/>
      <c r="L196" s="1974"/>
      <c r="M196" s="1974"/>
      <c r="N196" s="1975"/>
      <c r="O196" s="1974"/>
      <c r="P196" s="1974"/>
      <c r="Q196" s="1974"/>
      <c r="R196" s="1976"/>
      <c r="S196" s="1980"/>
      <c r="T196" s="1976"/>
      <c r="U196" s="1976"/>
      <c r="V196" s="1976"/>
      <c r="W196" s="578"/>
      <c r="X196" s="1239"/>
      <c r="Y196" s="578"/>
      <c r="Z196" s="578"/>
      <c r="AA196" s="578"/>
      <c r="AB196" s="1143"/>
      <c r="AC196" s="578"/>
      <c r="AD196" s="578"/>
      <c r="AE196" s="578"/>
      <c r="AF196" s="578"/>
      <c r="AG196" s="580"/>
      <c r="AH196" s="579"/>
      <c r="AI196" s="578"/>
      <c r="AJ196" s="578"/>
      <c r="AK196" s="578"/>
      <c r="AL196" s="580"/>
      <c r="AN196" s="991"/>
      <c r="AP196" s="2285" t="str">
        <f t="shared" si="128"/>
        <v>Qty</v>
      </c>
      <c r="AQ196" s="2286" t="str">
        <f t="shared" si="128"/>
        <v>[Service]</v>
      </c>
      <c r="AR196" s="2287" t="str">
        <f t="shared" si="129"/>
        <v>[Price]</v>
      </c>
      <c r="AS196" s="2288" t="str">
        <f t="shared" si="208"/>
        <v>-</v>
      </c>
      <c r="AT196" s="1720" t="str">
        <f t="shared" si="208"/>
        <v>-</v>
      </c>
      <c r="AU196" s="1720" t="str">
        <f t="shared" si="208"/>
        <v>-</v>
      </c>
      <c r="AV196" s="2289" t="str">
        <f t="shared" si="208"/>
        <v>-</v>
      </c>
      <c r="AW196" s="1720" t="str">
        <f t="shared" si="208"/>
        <v>-</v>
      </c>
      <c r="AX196" s="2290" t="str">
        <f t="shared" si="208"/>
        <v>-</v>
      </c>
      <c r="AY196" s="1720" t="str">
        <f t="shared" si="208"/>
        <v>-</v>
      </c>
      <c r="AZ196" s="1720" t="str">
        <f t="shared" si="208"/>
        <v>-</v>
      </c>
      <c r="BA196" s="1720" t="str">
        <f t="shared" si="208"/>
        <v>-</v>
      </c>
      <c r="BB196" s="1721" t="str">
        <f t="shared" si="208"/>
        <v>-</v>
      </c>
      <c r="BC196" s="1720" t="str">
        <f t="shared" si="208"/>
        <v>-</v>
      </c>
      <c r="BD196" s="1720" t="str">
        <f t="shared" si="208"/>
        <v>-</v>
      </c>
      <c r="BE196" s="1720" t="str">
        <f t="shared" si="208"/>
        <v>-</v>
      </c>
      <c r="BF196" s="1720" t="str">
        <f t="shared" si="208"/>
        <v>-</v>
      </c>
      <c r="BG196" s="1721" t="str">
        <f t="shared" si="208"/>
        <v>-</v>
      </c>
      <c r="BH196" s="1048"/>
      <c r="BI196" s="2285" t="str">
        <f t="shared" si="151"/>
        <v>Qty</v>
      </c>
      <c r="BJ196" s="2286" t="str">
        <f t="shared" si="151"/>
        <v>[Service]</v>
      </c>
      <c r="BK196" s="2287" t="str">
        <f t="shared" si="151"/>
        <v>[Price]</v>
      </c>
      <c r="BL196" s="2288" t="str">
        <f t="shared" ref="BL196:BZ196" si="219">IF(OR(X196="",X196=0),"-",IFERROR((X196/W196-1)*(W197/W$13),"-"))</f>
        <v>-</v>
      </c>
      <c r="BM196" s="1720" t="str">
        <f t="shared" si="219"/>
        <v>-</v>
      </c>
      <c r="BN196" s="1720" t="str">
        <f t="shared" si="219"/>
        <v>-</v>
      </c>
      <c r="BO196" s="2289" t="str">
        <f t="shared" si="219"/>
        <v>-</v>
      </c>
      <c r="BP196" s="1720" t="str">
        <f t="shared" si="219"/>
        <v>-</v>
      </c>
      <c r="BQ196" s="2290" t="str">
        <f t="shared" si="219"/>
        <v>-</v>
      </c>
      <c r="BR196" s="1720" t="str">
        <f t="shared" si="219"/>
        <v>-</v>
      </c>
      <c r="BS196" s="1720" t="str">
        <f t="shared" si="219"/>
        <v>-</v>
      </c>
      <c r="BT196" s="1720" t="str">
        <f t="shared" si="219"/>
        <v>-</v>
      </c>
      <c r="BU196" s="1721" t="str">
        <f t="shared" si="219"/>
        <v>-</v>
      </c>
      <c r="BV196" s="1720" t="str">
        <f t="shared" si="219"/>
        <v>-</v>
      </c>
      <c r="BW196" s="1720" t="str">
        <f t="shared" si="219"/>
        <v>-</v>
      </c>
      <c r="BX196" s="1720" t="str">
        <f t="shared" si="219"/>
        <v>-</v>
      </c>
      <c r="BY196" s="1720" t="str">
        <f t="shared" si="219"/>
        <v>-</v>
      </c>
      <c r="BZ196" s="1721" t="str">
        <f t="shared" si="219"/>
        <v>-</v>
      </c>
    </row>
    <row r="197" spans="3:78" ht="12.5" thickBot="1" x14ac:dyDescent="0.35">
      <c r="C197" s="126"/>
      <c r="D197" s="126"/>
      <c r="E197" s="559" t="s">
        <v>47</v>
      </c>
      <c r="F197" s="1723" t="str">
        <f>+F195</f>
        <v>[Service]</v>
      </c>
      <c r="G197" s="1726">
        <f>+G195</f>
        <v>0</v>
      </c>
      <c r="H197" s="1726">
        <f>+H195</f>
        <v>0</v>
      </c>
      <c r="I197" s="1727" t="str">
        <f>+I195</f>
        <v>[Price]</v>
      </c>
      <c r="J197" s="556" t="s">
        <v>347</v>
      </c>
      <c r="K197" s="1977"/>
      <c r="L197" s="1206"/>
      <c r="M197" s="1206"/>
      <c r="N197" s="1978"/>
      <c r="O197" s="1206"/>
      <c r="P197" s="1206"/>
      <c r="Q197" s="1206"/>
      <c r="R197" s="1206"/>
      <c r="S197" s="1978"/>
      <c r="T197" s="1206"/>
      <c r="U197" s="1206"/>
      <c r="V197" s="1206"/>
      <c r="W197" s="1731">
        <f t="shared" ref="W197:AG197" si="220">W195*W196/10^6</f>
        <v>0</v>
      </c>
      <c r="X197" s="1730">
        <f t="shared" si="220"/>
        <v>0</v>
      </c>
      <c r="Y197" s="1731">
        <f t="shared" si="220"/>
        <v>0</v>
      </c>
      <c r="Z197" s="1731">
        <f t="shared" si="220"/>
        <v>0</v>
      </c>
      <c r="AA197" s="1731">
        <f t="shared" si="220"/>
        <v>0</v>
      </c>
      <c r="AB197" s="1733">
        <f t="shared" si="220"/>
        <v>0</v>
      </c>
      <c r="AC197" s="1731">
        <f t="shared" si="220"/>
        <v>0</v>
      </c>
      <c r="AD197" s="1731">
        <f t="shared" si="220"/>
        <v>0</v>
      </c>
      <c r="AE197" s="1731">
        <f t="shared" si="220"/>
        <v>0</v>
      </c>
      <c r="AF197" s="1731">
        <f t="shared" si="220"/>
        <v>0</v>
      </c>
      <c r="AG197" s="1733">
        <f t="shared" si="220"/>
        <v>0</v>
      </c>
      <c r="AH197" s="1732">
        <f>AH195*AH196/10^6</f>
        <v>0</v>
      </c>
      <c r="AI197" s="1731">
        <f>AI195*AI196/10^6</f>
        <v>0</v>
      </c>
      <c r="AJ197" s="1731">
        <f>AJ195*AJ196/10^6</f>
        <v>0</v>
      </c>
      <c r="AK197" s="1731">
        <f>AK195*AK196/10^6</f>
        <v>0</v>
      </c>
      <c r="AL197" s="1733">
        <f>AL195*AL196/10^6</f>
        <v>0</v>
      </c>
      <c r="AN197" s="991"/>
      <c r="AP197" s="2304" t="str">
        <f t="shared" ref="AP197:AQ260" si="221">E197</f>
        <v>Rev</v>
      </c>
      <c r="AQ197" s="2305" t="str">
        <f t="shared" si="221"/>
        <v>[Service]</v>
      </c>
      <c r="AR197" s="2306" t="str">
        <f t="shared" ref="AR197:AR260" si="222">I197</f>
        <v>[Price]</v>
      </c>
      <c r="AS197" s="2307" t="str">
        <f t="shared" si="208"/>
        <v>-</v>
      </c>
      <c r="AT197" s="1055" t="str">
        <f t="shared" si="208"/>
        <v>-</v>
      </c>
      <c r="AU197" s="1055" t="str">
        <f t="shared" si="208"/>
        <v>-</v>
      </c>
      <c r="AV197" s="2308" t="str">
        <f t="shared" si="208"/>
        <v>-</v>
      </c>
      <c r="AW197" s="1055" t="str">
        <f t="shared" si="208"/>
        <v>-</v>
      </c>
      <c r="AX197" s="2309" t="str">
        <f t="shared" si="208"/>
        <v>-</v>
      </c>
      <c r="AY197" s="1055" t="str">
        <f t="shared" si="208"/>
        <v>-</v>
      </c>
      <c r="AZ197" s="1055" t="str">
        <f t="shared" si="208"/>
        <v>-</v>
      </c>
      <c r="BA197" s="1055" t="str">
        <f t="shared" si="208"/>
        <v>-</v>
      </c>
      <c r="BB197" s="1056" t="str">
        <f t="shared" si="208"/>
        <v>-</v>
      </c>
      <c r="BC197" s="1055" t="str">
        <f t="shared" si="208"/>
        <v>-</v>
      </c>
      <c r="BD197" s="1055" t="str">
        <f t="shared" si="208"/>
        <v>-</v>
      </c>
      <c r="BE197" s="1055" t="str">
        <f t="shared" si="208"/>
        <v>-</v>
      </c>
      <c r="BF197" s="1055" t="str">
        <f t="shared" si="208"/>
        <v>-</v>
      </c>
      <c r="BG197" s="1056" t="str">
        <f t="shared" si="208"/>
        <v>-</v>
      </c>
      <c r="BH197" s="1048"/>
      <c r="BI197" s="2304" t="str">
        <f t="shared" si="151"/>
        <v>Rev</v>
      </c>
      <c r="BJ197" s="2305" t="str">
        <f t="shared" si="151"/>
        <v>[Service]</v>
      </c>
      <c r="BK197" s="2306" t="str">
        <f t="shared" si="151"/>
        <v>[Price]</v>
      </c>
      <c r="BL197" s="2307" t="str">
        <f t="shared" ref="BL197:BZ197" si="223">IF(OR(X197="",X197=0),"-",IFERROR((X197/W197-1)*(W197/W$13),"-"))</f>
        <v>-</v>
      </c>
      <c r="BM197" s="1055" t="str">
        <f t="shared" si="223"/>
        <v>-</v>
      </c>
      <c r="BN197" s="1055" t="str">
        <f t="shared" si="223"/>
        <v>-</v>
      </c>
      <c r="BO197" s="2308" t="str">
        <f t="shared" si="223"/>
        <v>-</v>
      </c>
      <c r="BP197" s="1055" t="str">
        <f t="shared" si="223"/>
        <v>-</v>
      </c>
      <c r="BQ197" s="2309" t="str">
        <f t="shared" si="223"/>
        <v>-</v>
      </c>
      <c r="BR197" s="1055" t="str">
        <f t="shared" si="223"/>
        <v>-</v>
      </c>
      <c r="BS197" s="1055" t="str">
        <f t="shared" si="223"/>
        <v>-</v>
      </c>
      <c r="BT197" s="1055" t="str">
        <f t="shared" si="223"/>
        <v>-</v>
      </c>
      <c r="BU197" s="1056" t="str">
        <f t="shared" si="223"/>
        <v>-</v>
      </c>
      <c r="BV197" s="1055" t="str">
        <f t="shared" si="223"/>
        <v>-</v>
      </c>
      <c r="BW197" s="1055" t="str">
        <f t="shared" si="223"/>
        <v>-</v>
      </c>
      <c r="BX197" s="1055" t="str">
        <f t="shared" si="223"/>
        <v>-</v>
      </c>
      <c r="BY197" s="1055" t="str">
        <f t="shared" si="223"/>
        <v>-</v>
      </c>
      <c r="BZ197" s="1056" t="str">
        <f t="shared" si="223"/>
        <v>-</v>
      </c>
    </row>
    <row r="198" spans="3:78" x14ac:dyDescent="0.3">
      <c r="C198" s="126"/>
      <c r="D198" s="126">
        <f>D195+1</f>
        <v>44</v>
      </c>
      <c r="E198" s="553" t="s">
        <v>45</v>
      </c>
      <c r="F198" s="581" t="s">
        <v>28</v>
      </c>
      <c r="G198" s="581"/>
      <c r="H198" s="581"/>
      <c r="I198" s="573" t="s">
        <v>319</v>
      </c>
      <c r="J198" s="573" t="s">
        <v>348</v>
      </c>
      <c r="K198" s="1969"/>
      <c r="L198" s="1970"/>
      <c r="M198" s="1970"/>
      <c r="N198" s="1971"/>
      <c r="O198" s="1970"/>
      <c r="P198" s="1970"/>
      <c r="Q198" s="1970"/>
      <c r="R198" s="1972"/>
      <c r="S198" s="1979"/>
      <c r="T198" s="1972"/>
      <c r="U198" s="1972"/>
      <c r="V198" s="1972"/>
      <c r="W198" s="575"/>
      <c r="X198" s="1238"/>
      <c r="Y198" s="575"/>
      <c r="Z198" s="575"/>
      <c r="AA198" s="575"/>
      <c r="AB198" s="1142"/>
      <c r="AC198" s="575"/>
      <c r="AD198" s="575"/>
      <c r="AE198" s="575"/>
      <c r="AF198" s="575"/>
      <c r="AG198" s="577"/>
      <c r="AH198" s="576"/>
      <c r="AI198" s="575"/>
      <c r="AJ198" s="575"/>
      <c r="AK198" s="575"/>
      <c r="AL198" s="577"/>
      <c r="AN198" s="1052"/>
      <c r="AP198" s="2297" t="str">
        <f t="shared" si="221"/>
        <v>Price</v>
      </c>
      <c r="AQ198" s="2298" t="str">
        <f t="shared" si="221"/>
        <v>[Service]</v>
      </c>
      <c r="AR198" s="1719" t="str">
        <f t="shared" si="222"/>
        <v>[Price]</v>
      </c>
      <c r="AS198" s="2299" t="str">
        <f t="shared" si="208"/>
        <v>-</v>
      </c>
      <c r="AT198" s="1728" t="str">
        <f t="shared" si="208"/>
        <v>-</v>
      </c>
      <c r="AU198" s="1728" t="str">
        <f t="shared" si="208"/>
        <v>-</v>
      </c>
      <c r="AV198" s="2300" t="str">
        <f t="shared" si="208"/>
        <v>-</v>
      </c>
      <c r="AW198" s="1728" t="str">
        <f t="shared" si="208"/>
        <v>-</v>
      </c>
      <c r="AX198" s="2301" t="str">
        <f t="shared" si="208"/>
        <v>-</v>
      </c>
      <c r="AY198" s="1728" t="str">
        <f t="shared" si="208"/>
        <v>-</v>
      </c>
      <c r="AZ198" s="1728" t="str">
        <f t="shared" si="208"/>
        <v>-</v>
      </c>
      <c r="BA198" s="1728" t="str">
        <f t="shared" si="208"/>
        <v>-</v>
      </c>
      <c r="BB198" s="1729" t="str">
        <f t="shared" si="208"/>
        <v>-</v>
      </c>
      <c r="BC198" s="1728" t="str">
        <f t="shared" si="208"/>
        <v>-</v>
      </c>
      <c r="BD198" s="1728" t="str">
        <f t="shared" si="208"/>
        <v>-</v>
      </c>
      <c r="BE198" s="1728" t="str">
        <f t="shared" si="208"/>
        <v>-</v>
      </c>
      <c r="BF198" s="1728" t="str">
        <f t="shared" si="208"/>
        <v>-</v>
      </c>
      <c r="BG198" s="1729" t="str">
        <f t="shared" si="208"/>
        <v>-</v>
      </c>
      <c r="BH198" s="1048"/>
      <c r="BI198" s="2297" t="str">
        <f t="shared" si="151"/>
        <v>Price</v>
      </c>
      <c r="BJ198" s="2298" t="str">
        <f t="shared" si="151"/>
        <v>[Service]</v>
      </c>
      <c r="BK198" s="1719" t="str">
        <f t="shared" si="151"/>
        <v>[Price]</v>
      </c>
      <c r="BL198" s="2299" t="str">
        <f t="shared" ref="BL198:BZ198" si="224">IF(OR(X198="",X198=0),"-",IFERROR((X198/W198-1)*(W200/W$13),"-"))</f>
        <v>-</v>
      </c>
      <c r="BM198" s="1053" t="str">
        <f t="shared" si="224"/>
        <v>-</v>
      </c>
      <c r="BN198" s="1053" t="str">
        <f t="shared" si="224"/>
        <v>-</v>
      </c>
      <c r="BO198" s="2302" t="str">
        <f t="shared" si="224"/>
        <v>-</v>
      </c>
      <c r="BP198" s="1053" t="str">
        <f t="shared" si="224"/>
        <v>-</v>
      </c>
      <c r="BQ198" s="2303" t="str">
        <f t="shared" si="224"/>
        <v>-</v>
      </c>
      <c r="BR198" s="1053" t="str">
        <f t="shared" si="224"/>
        <v>-</v>
      </c>
      <c r="BS198" s="1053" t="str">
        <f t="shared" si="224"/>
        <v>-</v>
      </c>
      <c r="BT198" s="1053" t="str">
        <f t="shared" si="224"/>
        <v>-</v>
      </c>
      <c r="BU198" s="1054" t="str">
        <f t="shared" si="224"/>
        <v>-</v>
      </c>
      <c r="BV198" s="1053" t="str">
        <f t="shared" si="224"/>
        <v>-</v>
      </c>
      <c r="BW198" s="1053" t="str">
        <f t="shared" si="224"/>
        <v>-</v>
      </c>
      <c r="BX198" s="1053" t="str">
        <f t="shared" si="224"/>
        <v>-</v>
      </c>
      <c r="BY198" s="1053" t="str">
        <f t="shared" si="224"/>
        <v>-</v>
      </c>
      <c r="BZ198" s="1054" t="str">
        <f t="shared" si="224"/>
        <v>-</v>
      </c>
    </row>
    <row r="199" spans="3:78" x14ac:dyDescent="0.3">
      <c r="C199" s="126"/>
      <c r="D199" s="126"/>
      <c r="E199" s="558" t="s">
        <v>46</v>
      </c>
      <c r="F199" s="1722" t="str">
        <f>+F198</f>
        <v>[Service]</v>
      </c>
      <c r="G199" s="1724">
        <f>+G198</f>
        <v>0</v>
      </c>
      <c r="H199" s="1724">
        <f>+H198</f>
        <v>0</v>
      </c>
      <c r="I199" s="1725" t="str">
        <f>+I198</f>
        <v>[Price]</v>
      </c>
      <c r="J199" s="574" t="s">
        <v>323</v>
      </c>
      <c r="K199" s="1973"/>
      <c r="L199" s="1974"/>
      <c r="M199" s="1974"/>
      <c r="N199" s="1975"/>
      <c r="O199" s="1974"/>
      <c r="P199" s="1974"/>
      <c r="Q199" s="1974"/>
      <c r="R199" s="1976"/>
      <c r="S199" s="1980"/>
      <c r="T199" s="1976"/>
      <c r="U199" s="1976"/>
      <c r="V199" s="1976"/>
      <c r="W199" s="578"/>
      <c r="X199" s="1239"/>
      <c r="Y199" s="578"/>
      <c r="Z199" s="578"/>
      <c r="AA199" s="578"/>
      <c r="AB199" s="1143"/>
      <c r="AC199" s="578"/>
      <c r="AD199" s="578"/>
      <c r="AE199" s="578"/>
      <c r="AF199" s="578"/>
      <c r="AG199" s="580"/>
      <c r="AH199" s="579"/>
      <c r="AI199" s="578"/>
      <c r="AJ199" s="578"/>
      <c r="AK199" s="578"/>
      <c r="AL199" s="580"/>
      <c r="AN199" s="991"/>
      <c r="AP199" s="2285" t="str">
        <f t="shared" si="221"/>
        <v>Qty</v>
      </c>
      <c r="AQ199" s="2286" t="str">
        <f t="shared" si="221"/>
        <v>[Service]</v>
      </c>
      <c r="AR199" s="2287" t="str">
        <f t="shared" si="222"/>
        <v>[Price]</v>
      </c>
      <c r="AS199" s="2288" t="str">
        <f t="shared" si="208"/>
        <v>-</v>
      </c>
      <c r="AT199" s="1720" t="str">
        <f t="shared" si="208"/>
        <v>-</v>
      </c>
      <c r="AU199" s="1720" t="str">
        <f t="shared" si="208"/>
        <v>-</v>
      </c>
      <c r="AV199" s="2289" t="str">
        <f t="shared" si="208"/>
        <v>-</v>
      </c>
      <c r="AW199" s="1720" t="str">
        <f t="shared" si="208"/>
        <v>-</v>
      </c>
      <c r="AX199" s="2290" t="str">
        <f t="shared" si="208"/>
        <v>-</v>
      </c>
      <c r="AY199" s="1720" t="str">
        <f t="shared" si="208"/>
        <v>-</v>
      </c>
      <c r="AZ199" s="1720" t="str">
        <f t="shared" si="208"/>
        <v>-</v>
      </c>
      <c r="BA199" s="1720" t="str">
        <f t="shared" si="208"/>
        <v>-</v>
      </c>
      <c r="BB199" s="1721" t="str">
        <f t="shared" si="208"/>
        <v>-</v>
      </c>
      <c r="BC199" s="1720" t="str">
        <f t="shared" si="208"/>
        <v>-</v>
      </c>
      <c r="BD199" s="1720" t="str">
        <f t="shared" si="208"/>
        <v>-</v>
      </c>
      <c r="BE199" s="1720" t="str">
        <f t="shared" si="208"/>
        <v>-</v>
      </c>
      <c r="BF199" s="1720" t="str">
        <f t="shared" si="208"/>
        <v>-</v>
      </c>
      <c r="BG199" s="1721" t="str">
        <f t="shared" si="208"/>
        <v>-</v>
      </c>
      <c r="BH199" s="1048"/>
      <c r="BI199" s="2285" t="str">
        <f t="shared" si="151"/>
        <v>Qty</v>
      </c>
      <c r="BJ199" s="2286" t="str">
        <f t="shared" si="151"/>
        <v>[Service]</v>
      </c>
      <c r="BK199" s="2287" t="str">
        <f t="shared" si="151"/>
        <v>[Price]</v>
      </c>
      <c r="BL199" s="2288" t="str">
        <f t="shared" ref="BL199:BZ199" si="225">IF(OR(X199="",X199=0),"-",IFERROR((X199/W199-1)*(W200/W$13),"-"))</f>
        <v>-</v>
      </c>
      <c r="BM199" s="1720" t="str">
        <f t="shared" si="225"/>
        <v>-</v>
      </c>
      <c r="BN199" s="1720" t="str">
        <f t="shared" si="225"/>
        <v>-</v>
      </c>
      <c r="BO199" s="2289" t="str">
        <f t="shared" si="225"/>
        <v>-</v>
      </c>
      <c r="BP199" s="1720" t="str">
        <f t="shared" si="225"/>
        <v>-</v>
      </c>
      <c r="BQ199" s="2290" t="str">
        <f t="shared" si="225"/>
        <v>-</v>
      </c>
      <c r="BR199" s="1720" t="str">
        <f t="shared" si="225"/>
        <v>-</v>
      </c>
      <c r="BS199" s="1720" t="str">
        <f t="shared" si="225"/>
        <v>-</v>
      </c>
      <c r="BT199" s="1720" t="str">
        <f t="shared" si="225"/>
        <v>-</v>
      </c>
      <c r="BU199" s="1721" t="str">
        <f t="shared" si="225"/>
        <v>-</v>
      </c>
      <c r="BV199" s="1720" t="str">
        <f t="shared" si="225"/>
        <v>-</v>
      </c>
      <c r="BW199" s="1720" t="str">
        <f t="shared" si="225"/>
        <v>-</v>
      </c>
      <c r="BX199" s="1720" t="str">
        <f t="shared" si="225"/>
        <v>-</v>
      </c>
      <c r="BY199" s="1720" t="str">
        <f t="shared" si="225"/>
        <v>-</v>
      </c>
      <c r="BZ199" s="1721" t="str">
        <f t="shared" si="225"/>
        <v>-</v>
      </c>
    </row>
    <row r="200" spans="3:78" ht="12.5" thickBot="1" x14ac:dyDescent="0.35">
      <c r="C200" s="126"/>
      <c r="D200" s="126"/>
      <c r="E200" s="559" t="s">
        <v>47</v>
      </c>
      <c r="F200" s="1723" t="str">
        <f>+F198</f>
        <v>[Service]</v>
      </c>
      <c r="G200" s="1726">
        <f>+G198</f>
        <v>0</v>
      </c>
      <c r="H200" s="1726">
        <f>+H198</f>
        <v>0</v>
      </c>
      <c r="I200" s="1727" t="str">
        <f>+I198</f>
        <v>[Price]</v>
      </c>
      <c r="J200" s="556" t="s">
        <v>347</v>
      </c>
      <c r="K200" s="1977"/>
      <c r="L200" s="1206"/>
      <c r="M200" s="1206"/>
      <c r="N200" s="1978"/>
      <c r="O200" s="1206"/>
      <c r="P200" s="1206"/>
      <c r="Q200" s="1206"/>
      <c r="R200" s="1206"/>
      <c r="S200" s="1978"/>
      <c r="T200" s="1206"/>
      <c r="U200" s="1206"/>
      <c r="V200" s="1206"/>
      <c r="W200" s="1731">
        <f t="shared" ref="W200:AG200" si="226">W198*W199/10^6</f>
        <v>0</v>
      </c>
      <c r="X200" s="1730">
        <f t="shared" si="226"/>
        <v>0</v>
      </c>
      <c r="Y200" s="1731">
        <f t="shared" si="226"/>
        <v>0</v>
      </c>
      <c r="Z200" s="1731">
        <f t="shared" si="226"/>
        <v>0</v>
      </c>
      <c r="AA200" s="1731">
        <f t="shared" si="226"/>
        <v>0</v>
      </c>
      <c r="AB200" s="1733">
        <f t="shared" si="226"/>
        <v>0</v>
      </c>
      <c r="AC200" s="1731">
        <f t="shared" si="226"/>
        <v>0</v>
      </c>
      <c r="AD200" s="1731">
        <f t="shared" si="226"/>
        <v>0</v>
      </c>
      <c r="AE200" s="1731">
        <f t="shared" si="226"/>
        <v>0</v>
      </c>
      <c r="AF200" s="1731">
        <f t="shared" si="226"/>
        <v>0</v>
      </c>
      <c r="AG200" s="1733">
        <f t="shared" si="226"/>
        <v>0</v>
      </c>
      <c r="AH200" s="1732">
        <f>AH198*AH199/10^6</f>
        <v>0</v>
      </c>
      <c r="AI200" s="1731">
        <f>AI198*AI199/10^6</f>
        <v>0</v>
      </c>
      <c r="AJ200" s="1731">
        <f>AJ198*AJ199/10^6</f>
        <v>0</v>
      </c>
      <c r="AK200" s="1731">
        <f>AK198*AK199/10^6</f>
        <v>0</v>
      </c>
      <c r="AL200" s="1733">
        <f>AL198*AL199/10^6</f>
        <v>0</v>
      </c>
      <c r="AN200" s="991"/>
      <c r="AP200" s="2304" t="str">
        <f t="shared" si="221"/>
        <v>Rev</v>
      </c>
      <c r="AQ200" s="2305" t="str">
        <f t="shared" si="221"/>
        <v>[Service]</v>
      </c>
      <c r="AR200" s="2306" t="str">
        <f t="shared" si="222"/>
        <v>[Price]</v>
      </c>
      <c r="AS200" s="2307" t="str">
        <f t="shared" si="208"/>
        <v>-</v>
      </c>
      <c r="AT200" s="1055" t="str">
        <f t="shared" si="208"/>
        <v>-</v>
      </c>
      <c r="AU200" s="1055" t="str">
        <f t="shared" si="208"/>
        <v>-</v>
      </c>
      <c r="AV200" s="2308" t="str">
        <f t="shared" si="208"/>
        <v>-</v>
      </c>
      <c r="AW200" s="1055" t="str">
        <f t="shared" si="208"/>
        <v>-</v>
      </c>
      <c r="AX200" s="2309" t="str">
        <f t="shared" si="208"/>
        <v>-</v>
      </c>
      <c r="AY200" s="1055" t="str">
        <f t="shared" si="208"/>
        <v>-</v>
      </c>
      <c r="AZ200" s="1055" t="str">
        <f t="shared" si="208"/>
        <v>-</v>
      </c>
      <c r="BA200" s="1055" t="str">
        <f t="shared" si="208"/>
        <v>-</v>
      </c>
      <c r="BB200" s="1056" t="str">
        <f t="shared" si="208"/>
        <v>-</v>
      </c>
      <c r="BC200" s="1055" t="str">
        <f t="shared" si="208"/>
        <v>-</v>
      </c>
      <c r="BD200" s="1055" t="str">
        <f t="shared" si="208"/>
        <v>-</v>
      </c>
      <c r="BE200" s="1055" t="str">
        <f t="shared" si="208"/>
        <v>-</v>
      </c>
      <c r="BF200" s="1055" t="str">
        <f t="shared" si="208"/>
        <v>-</v>
      </c>
      <c r="BG200" s="1056" t="str">
        <f t="shared" si="208"/>
        <v>-</v>
      </c>
      <c r="BH200" s="1048"/>
      <c r="BI200" s="2304" t="str">
        <f t="shared" si="151"/>
        <v>Rev</v>
      </c>
      <c r="BJ200" s="2305" t="str">
        <f t="shared" si="151"/>
        <v>[Service]</v>
      </c>
      <c r="BK200" s="2306" t="str">
        <f t="shared" si="151"/>
        <v>[Price]</v>
      </c>
      <c r="BL200" s="2307" t="str">
        <f t="shared" ref="BL200:BZ200" si="227">IF(OR(X200="",X200=0),"-",IFERROR((X200/W200-1)*(W200/W$13),"-"))</f>
        <v>-</v>
      </c>
      <c r="BM200" s="1055" t="str">
        <f t="shared" si="227"/>
        <v>-</v>
      </c>
      <c r="BN200" s="1055" t="str">
        <f t="shared" si="227"/>
        <v>-</v>
      </c>
      <c r="BO200" s="2308" t="str">
        <f t="shared" si="227"/>
        <v>-</v>
      </c>
      <c r="BP200" s="1055" t="str">
        <f t="shared" si="227"/>
        <v>-</v>
      </c>
      <c r="BQ200" s="2309" t="str">
        <f t="shared" si="227"/>
        <v>-</v>
      </c>
      <c r="BR200" s="1055" t="str">
        <f t="shared" si="227"/>
        <v>-</v>
      </c>
      <c r="BS200" s="1055" t="str">
        <f t="shared" si="227"/>
        <v>-</v>
      </c>
      <c r="BT200" s="1055" t="str">
        <f t="shared" si="227"/>
        <v>-</v>
      </c>
      <c r="BU200" s="1056" t="str">
        <f t="shared" si="227"/>
        <v>-</v>
      </c>
      <c r="BV200" s="1055" t="str">
        <f t="shared" si="227"/>
        <v>-</v>
      </c>
      <c r="BW200" s="1055" t="str">
        <f t="shared" si="227"/>
        <v>-</v>
      </c>
      <c r="BX200" s="1055" t="str">
        <f t="shared" si="227"/>
        <v>-</v>
      </c>
      <c r="BY200" s="1055" t="str">
        <f t="shared" si="227"/>
        <v>-</v>
      </c>
      <c r="BZ200" s="1056" t="str">
        <f t="shared" si="227"/>
        <v>-</v>
      </c>
    </row>
    <row r="201" spans="3:78" x14ac:dyDescent="0.3">
      <c r="C201" s="126"/>
      <c r="D201" s="126">
        <f>D198+1</f>
        <v>45</v>
      </c>
      <c r="E201" s="553" t="s">
        <v>45</v>
      </c>
      <c r="F201" s="581" t="s">
        <v>28</v>
      </c>
      <c r="G201" s="581"/>
      <c r="H201" s="581"/>
      <c r="I201" s="573" t="s">
        <v>319</v>
      </c>
      <c r="J201" s="573" t="s">
        <v>348</v>
      </c>
      <c r="K201" s="1969"/>
      <c r="L201" s="1970"/>
      <c r="M201" s="1970"/>
      <c r="N201" s="1971"/>
      <c r="O201" s="1970"/>
      <c r="P201" s="1970"/>
      <c r="Q201" s="1970"/>
      <c r="R201" s="1972"/>
      <c r="S201" s="1979"/>
      <c r="T201" s="1972"/>
      <c r="U201" s="1972"/>
      <c r="V201" s="1972"/>
      <c r="W201" s="575"/>
      <c r="X201" s="1238"/>
      <c r="Y201" s="575"/>
      <c r="Z201" s="575"/>
      <c r="AA201" s="575"/>
      <c r="AB201" s="1142"/>
      <c r="AC201" s="575"/>
      <c r="AD201" s="575"/>
      <c r="AE201" s="575"/>
      <c r="AF201" s="575"/>
      <c r="AG201" s="577"/>
      <c r="AH201" s="576"/>
      <c r="AI201" s="575"/>
      <c r="AJ201" s="575"/>
      <c r="AK201" s="575"/>
      <c r="AL201" s="577"/>
      <c r="AN201" s="1052"/>
      <c r="AP201" s="2297" t="str">
        <f t="shared" si="221"/>
        <v>Price</v>
      </c>
      <c r="AQ201" s="2298" t="str">
        <f t="shared" si="221"/>
        <v>[Service]</v>
      </c>
      <c r="AR201" s="1719" t="str">
        <f t="shared" si="222"/>
        <v>[Price]</v>
      </c>
      <c r="AS201" s="2299" t="str">
        <f t="shared" si="208"/>
        <v>-</v>
      </c>
      <c r="AT201" s="1728" t="str">
        <f t="shared" si="208"/>
        <v>-</v>
      </c>
      <c r="AU201" s="1728" t="str">
        <f t="shared" si="208"/>
        <v>-</v>
      </c>
      <c r="AV201" s="2300" t="str">
        <f t="shared" si="208"/>
        <v>-</v>
      </c>
      <c r="AW201" s="1728" t="str">
        <f t="shared" si="208"/>
        <v>-</v>
      </c>
      <c r="AX201" s="2301" t="str">
        <f t="shared" si="208"/>
        <v>-</v>
      </c>
      <c r="AY201" s="1728" t="str">
        <f t="shared" si="208"/>
        <v>-</v>
      </c>
      <c r="AZ201" s="1728" t="str">
        <f t="shared" si="208"/>
        <v>-</v>
      </c>
      <c r="BA201" s="1728" t="str">
        <f t="shared" si="208"/>
        <v>-</v>
      </c>
      <c r="BB201" s="1729" t="str">
        <f t="shared" si="208"/>
        <v>-</v>
      </c>
      <c r="BC201" s="1728" t="str">
        <f t="shared" si="208"/>
        <v>-</v>
      </c>
      <c r="BD201" s="1728" t="str">
        <f t="shared" si="208"/>
        <v>-</v>
      </c>
      <c r="BE201" s="1728" t="str">
        <f t="shared" si="208"/>
        <v>-</v>
      </c>
      <c r="BF201" s="1728" t="str">
        <f t="shared" si="208"/>
        <v>-</v>
      </c>
      <c r="BG201" s="1729" t="str">
        <f t="shared" si="208"/>
        <v>-</v>
      </c>
      <c r="BH201" s="1048"/>
      <c r="BI201" s="2297" t="str">
        <f t="shared" si="151"/>
        <v>Price</v>
      </c>
      <c r="BJ201" s="2298" t="str">
        <f t="shared" si="151"/>
        <v>[Service]</v>
      </c>
      <c r="BK201" s="1719" t="str">
        <f t="shared" si="151"/>
        <v>[Price]</v>
      </c>
      <c r="BL201" s="2299" t="str">
        <f t="shared" ref="BL201:BZ201" si="228">IF(OR(X201="",X201=0),"-",IFERROR((X201/W201-1)*(W203/W$13),"-"))</f>
        <v>-</v>
      </c>
      <c r="BM201" s="1053" t="str">
        <f t="shared" si="228"/>
        <v>-</v>
      </c>
      <c r="BN201" s="1053" t="str">
        <f t="shared" si="228"/>
        <v>-</v>
      </c>
      <c r="BO201" s="2302" t="str">
        <f t="shared" si="228"/>
        <v>-</v>
      </c>
      <c r="BP201" s="1053" t="str">
        <f t="shared" si="228"/>
        <v>-</v>
      </c>
      <c r="BQ201" s="2303" t="str">
        <f t="shared" si="228"/>
        <v>-</v>
      </c>
      <c r="BR201" s="1053" t="str">
        <f t="shared" si="228"/>
        <v>-</v>
      </c>
      <c r="BS201" s="1053" t="str">
        <f t="shared" si="228"/>
        <v>-</v>
      </c>
      <c r="BT201" s="1053" t="str">
        <f t="shared" si="228"/>
        <v>-</v>
      </c>
      <c r="BU201" s="1054" t="str">
        <f t="shared" si="228"/>
        <v>-</v>
      </c>
      <c r="BV201" s="1053" t="str">
        <f t="shared" si="228"/>
        <v>-</v>
      </c>
      <c r="BW201" s="1053" t="str">
        <f t="shared" si="228"/>
        <v>-</v>
      </c>
      <c r="BX201" s="1053" t="str">
        <f t="shared" si="228"/>
        <v>-</v>
      </c>
      <c r="BY201" s="1053" t="str">
        <f t="shared" si="228"/>
        <v>-</v>
      </c>
      <c r="BZ201" s="1054" t="str">
        <f t="shared" si="228"/>
        <v>-</v>
      </c>
    </row>
    <row r="202" spans="3:78" x14ac:dyDescent="0.3">
      <c r="C202" s="126"/>
      <c r="D202" s="126"/>
      <c r="E202" s="558" t="s">
        <v>46</v>
      </c>
      <c r="F202" s="1722" t="str">
        <f>+F201</f>
        <v>[Service]</v>
      </c>
      <c r="G202" s="1724">
        <f>+G201</f>
        <v>0</v>
      </c>
      <c r="H202" s="1724">
        <f>+H201</f>
        <v>0</v>
      </c>
      <c r="I202" s="1725" t="str">
        <f>+I201</f>
        <v>[Price]</v>
      </c>
      <c r="J202" s="574" t="s">
        <v>323</v>
      </c>
      <c r="K202" s="1973"/>
      <c r="L202" s="1974"/>
      <c r="M202" s="1974"/>
      <c r="N202" s="1975"/>
      <c r="O202" s="1974"/>
      <c r="P202" s="1974"/>
      <c r="Q202" s="1974"/>
      <c r="R202" s="1976"/>
      <c r="S202" s="1980"/>
      <c r="T202" s="1976"/>
      <c r="U202" s="1976"/>
      <c r="V202" s="1976"/>
      <c r="W202" s="578"/>
      <c r="X202" s="1239"/>
      <c r="Y202" s="578"/>
      <c r="Z202" s="578"/>
      <c r="AA202" s="578"/>
      <c r="AB202" s="1143"/>
      <c r="AC202" s="578"/>
      <c r="AD202" s="578"/>
      <c r="AE202" s="578"/>
      <c r="AF202" s="578"/>
      <c r="AG202" s="580"/>
      <c r="AH202" s="579"/>
      <c r="AI202" s="578"/>
      <c r="AJ202" s="578"/>
      <c r="AK202" s="578"/>
      <c r="AL202" s="580"/>
      <c r="AN202" s="991"/>
      <c r="AP202" s="2285" t="str">
        <f t="shared" si="221"/>
        <v>Qty</v>
      </c>
      <c r="AQ202" s="2286" t="str">
        <f t="shared" si="221"/>
        <v>[Service]</v>
      </c>
      <c r="AR202" s="2287" t="str">
        <f t="shared" si="222"/>
        <v>[Price]</v>
      </c>
      <c r="AS202" s="2288" t="str">
        <f t="shared" si="208"/>
        <v>-</v>
      </c>
      <c r="AT202" s="1720" t="str">
        <f t="shared" si="208"/>
        <v>-</v>
      </c>
      <c r="AU202" s="1720" t="str">
        <f t="shared" si="208"/>
        <v>-</v>
      </c>
      <c r="AV202" s="2289" t="str">
        <f t="shared" si="208"/>
        <v>-</v>
      </c>
      <c r="AW202" s="1720" t="str">
        <f t="shared" si="208"/>
        <v>-</v>
      </c>
      <c r="AX202" s="2290" t="str">
        <f t="shared" si="208"/>
        <v>-</v>
      </c>
      <c r="AY202" s="1720" t="str">
        <f t="shared" si="208"/>
        <v>-</v>
      </c>
      <c r="AZ202" s="1720" t="str">
        <f t="shared" si="208"/>
        <v>-</v>
      </c>
      <c r="BA202" s="1720" t="str">
        <f t="shared" si="208"/>
        <v>-</v>
      </c>
      <c r="BB202" s="1721" t="str">
        <f t="shared" si="208"/>
        <v>-</v>
      </c>
      <c r="BC202" s="1720" t="str">
        <f t="shared" si="208"/>
        <v>-</v>
      </c>
      <c r="BD202" s="1720" t="str">
        <f t="shared" si="208"/>
        <v>-</v>
      </c>
      <c r="BE202" s="1720" t="str">
        <f t="shared" si="208"/>
        <v>-</v>
      </c>
      <c r="BF202" s="1720" t="str">
        <f t="shared" si="208"/>
        <v>-</v>
      </c>
      <c r="BG202" s="1721" t="str">
        <f t="shared" si="208"/>
        <v>-</v>
      </c>
      <c r="BH202" s="1048"/>
      <c r="BI202" s="2285" t="str">
        <f t="shared" si="151"/>
        <v>Qty</v>
      </c>
      <c r="BJ202" s="2286" t="str">
        <f t="shared" si="151"/>
        <v>[Service]</v>
      </c>
      <c r="BK202" s="2287" t="str">
        <f t="shared" si="151"/>
        <v>[Price]</v>
      </c>
      <c r="BL202" s="2288" t="str">
        <f t="shared" ref="BL202:BZ202" si="229">IF(OR(X202="",X202=0),"-",IFERROR((X202/W202-1)*(W203/W$13),"-"))</f>
        <v>-</v>
      </c>
      <c r="BM202" s="1720" t="str">
        <f t="shared" si="229"/>
        <v>-</v>
      </c>
      <c r="BN202" s="1720" t="str">
        <f t="shared" si="229"/>
        <v>-</v>
      </c>
      <c r="BO202" s="2289" t="str">
        <f t="shared" si="229"/>
        <v>-</v>
      </c>
      <c r="BP202" s="1720" t="str">
        <f t="shared" si="229"/>
        <v>-</v>
      </c>
      <c r="BQ202" s="2290" t="str">
        <f t="shared" si="229"/>
        <v>-</v>
      </c>
      <c r="BR202" s="1720" t="str">
        <f t="shared" si="229"/>
        <v>-</v>
      </c>
      <c r="BS202" s="1720" t="str">
        <f t="shared" si="229"/>
        <v>-</v>
      </c>
      <c r="BT202" s="1720" t="str">
        <f t="shared" si="229"/>
        <v>-</v>
      </c>
      <c r="BU202" s="1721" t="str">
        <f t="shared" si="229"/>
        <v>-</v>
      </c>
      <c r="BV202" s="1720" t="str">
        <f t="shared" si="229"/>
        <v>-</v>
      </c>
      <c r="BW202" s="1720" t="str">
        <f t="shared" si="229"/>
        <v>-</v>
      </c>
      <c r="BX202" s="1720" t="str">
        <f t="shared" si="229"/>
        <v>-</v>
      </c>
      <c r="BY202" s="1720" t="str">
        <f t="shared" si="229"/>
        <v>-</v>
      </c>
      <c r="BZ202" s="1721" t="str">
        <f t="shared" si="229"/>
        <v>-</v>
      </c>
    </row>
    <row r="203" spans="3:78" ht="12.5" thickBot="1" x14ac:dyDescent="0.35">
      <c r="C203" s="126"/>
      <c r="D203" s="126"/>
      <c r="E203" s="559" t="s">
        <v>47</v>
      </c>
      <c r="F203" s="1723" t="str">
        <f>+F201</f>
        <v>[Service]</v>
      </c>
      <c r="G203" s="1726">
        <f>+G201</f>
        <v>0</v>
      </c>
      <c r="H203" s="1726">
        <f>+H201</f>
        <v>0</v>
      </c>
      <c r="I203" s="1727" t="str">
        <f>+I201</f>
        <v>[Price]</v>
      </c>
      <c r="J203" s="556" t="s">
        <v>347</v>
      </c>
      <c r="K203" s="1977"/>
      <c r="L203" s="1206"/>
      <c r="M203" s="1206"/>
      <c r="N203" s="1978"/>
      <c r="O203" s="1206"/>
      <c r="P203" s="1206"/>
      <c r="Q203" s="1206"/>
      <c r="R203" s="1206"/>
      <c r="S203" s="1978"/>
      <c r="T203" s="1206"/>
      <c r="U203" s="1206"/>
      <c r="V203" s="1206"/>
      <c r="W203" s="1731">
        <f t="shared" ref="W203:AG203" si="230">W201*W202/10^6</f>
        <v>0</v>
      </c>
      <c r="X203" s="1730">
        <f t="shared" si="230"/>
        <v>0</v>
      </c>
      <c r="Y203" s="1731">
        <f t="shared" si="230"/>
        <v>0</v>
      </c>
      <c r="Z203" s="1731">
        <f t="shared" si="230"/>
        <v>0</v>
      </c>
      <c r="AA203" s="1731">
        <f t="shared" si="230"/>
        <v>0</v>
      </c>
      <c r="AB203" s="1733">
        <f t="shared" si="230"/>
        <v>0</v>
      </c>
      <c r="AC203" s="1731">
        <f t="shared" si="230"/>
        <v>0</v>
      </c>
      <c r="AD203" s="1731">
        <f t="shared" si="230"/>
        <v>0</v>
      </c>
      <c r="AE203" s="1731">
        <f t="shared" si="230"/>
        <v>0</v>
      </c>
      <c r="AF203" s="1731">
        <f t="shared" si="230"/>
        <v>0</v>
      </c>
      <c r="AG203" s="1733">
        <f t="shared" si="230"/>
        <v>0</v>
      </c>
      <c r="AH203" s="1732">
        <f>AH201*AH202/10^6</f>
        <v>0</v>
      </c>
      <c r="AI203" s="1731">
        <f>AI201*AI202/10^6</f>
        <v>0</v>
      </c>
      <c r="AJ203" s="1731">
        <f>AJ201*AJ202/10^6</f>
        <v>0</v>
      </c>
      <c r="AK203" s="1731">
        <f>AK201*AK202/10^6</f>
        <v>0</v>
      </c>
      <c r="AL203" s="1733">
        <f>AL201*AL202/10^6</f>
        <v>0</v>
      </c>
      <c r="AN203" s="991"/>
      <c r="AP203" s="2304" t="str">
        <f t="shared" si="221"/>
        <v>Rev</v>
      </c>
      <c r="AQ203" s="2305" t="str">
        <f t="shared" si="221"/>
        <v>[Service]</v>
      </c>
      <c r="AR203" s="2306" t="str">
        <f t="shared" si="222"/>
        <v>[Price]</v>
      </c>
      <c r="AS203" s="2307" t="str">
        <f t="shared" si="208"/>
        <v>-</v>
      </c>
      <c r="AT203" s="1055" t="str">
        <f t="shared" si="208"/>
        <v>-</v>
      </c>
      <c r="AU203" s="1055" t="str">
        <f t="shared" si="208"/>
        <v>-</v>
      </c>
      <c r="AV203" s="2308" t="str">
        <f t="shared" si="208"/>
        <v>-</v>
      </c>
      <c r="AW203" s="1055" t="str">
        <f t="shared" si="208"/>
        <v>-</v>
      </c>
      <c r="AX203" s="2309" t="str">
        <f t="shared" si="208"/>
        <v>-</v>
      </c>
      <c r="AY203" s="1055" t="str">
        <f t="shared" si="208"/>
        <v>-</v>
      </c>
      <c r="AZ203" s="1055" t="str">
        <f t="shared" si="208"/>
        <v>-</v>
      </c>
      <c r="BA203" s="1055" t="str">
        <f t="shared" si="208"/>
        <v>-</v>
      </c>
      <c r="BB203" s="1056" t="str">
        <f t="shared" si="208"/>
        <v>-</v>
      </c>
      <c r="BC203" s="1055" t="str">
        <f t="shared" si="208"/>
        <v>-</v>
      </c>
      <c r="BD203" s="1055" t="str">
        <f t="shared" si="208"/>
        <v>-</v>
      </c>
      <c r="BE203" s="1055" t="str">
        <f t="shared" si="208"/>
        <v>-</v>
      </c>
      <c r="BF203" s="1055" t="str">
        <f t="shared" si="208"/>
        <v>-</v>
      </c>
      <c r="BG203" s="1056" t="str">
        <f t="shared" si="208"/>
        <v>-</v>
      </c>
      <c r="BH203" s="1048"/>
      <c r="BI203" s="2304" t="str">
        <f t="shared" si="151"/>
        <v>Rev</v>
      </c>
      <c r="BJ203" s="2305" t="str">
        <f t="shared" si="151"/>
        <v>[Service]</v>
      </c>
      <c r="BK203" s="2306" t="str">
        <f t="shared" si="151"/>
        <v>[Price]</v>
      </c>
      <c r="BL203" s="2307" t="str">
        <f t="shared" ref="BL203:BZ203" si="231">IF(OR(X203="",X203=0),"-",IFERROR((X203/W203-1)*(W203/W$13),"-"))</f>
        <v>-</v>
      </c>
      <c r="BM203" s="1055" t="str">
        <f t="shared" si="231"/>
        <v>-</v>
      </c>
      <c r="BN203" s="1055" t="str">
        <f t="shared" si="231"/>
        <v>-</v>
      </c>
      <c r="BO203" s="2308" t="str">
        <f t="shared" si="231"/>
        <v>-</v>
      </c>
      <c r="BP203" s="1055" t="str">
        <f t="shared" si="231"/>
        <v>-</v>
      </c>
      <c r="BQ203" s="2309" t="str">
        <f t="shared" si="231"/>
        <v>-</v>
      </c>
      <c r="BR203" s="1055" t="str">
        <f t="shared" si="231"/>
        <v>-</v>
      </c>
      <c r="BS203" s="1055" t="str">
        <f t="shared" si="231"/>
        <v>-</v>
      </c>
      <c r="BT203" s="1055" t="str">
        <f t="shared" si="231"/>
        <v>-</v>
      </c>
      <c r="BU203" s="1056" t="str">
        <f t="shared" si="231"/>
        <v>-</v>
      </c>
      <c r="BV203" s="1055" t="str">
        <f t="shared" si="231"/>
        <v>-</v>
      </c>
      <c r="BW203" s="1055" t="str">
        <f t="shared" si="231"/>
        <v>-</v>
      </c>
      <c r="BX203" s="1055" t="str">
        <f t="shared" si="231"/>
        <v>-</v>
      </c>
      <c r="BY203" s="1055" t="str">
        <f t="shared" si="231"/>
        <v>-</v>
      </c>
      <c r="BZ203" s="1056" t="str">
        <f t="shared" si="231"/>
        <v>-</v>
      </c>
    </row>
    <row r="204" spans="3:78" x14ac:dyDescent="0.3">
      <c r="C204" s="126"/>
      <c r="D204" s="126">
        <f>D201+1</f>
        <v>46</v>
      </c>
      <c r="E204" s="553" t="s">
        <v>45</v>
      </c>
      <c r="F204" s="581" t="s">
        <v>28</v>
      </c>
      <c r="G204" s="581"/>
      <c r="H204" s="581"/>
      <c r="I204" s="573" t="s">
        <v>319</v>
      </c>
      <c r="J204" s="573" t="s">
        <v>348</v>
      </c>
      <c r="K204" s="1969"/>
      <c r="L204" s="1970"/>
      <c r="M204" s="1970"/>
      <c r="N204" s="1971"/>
      <c r="O204" s="1970"/>
      <c r="P204" s="1970"/>
      <c r="Q204" s="1970"/>
      <c r="R204" s="1972"/>
      <c r="S204" s="1979"/>
      <c r="T204" s="1972"/>
      <c r="U204" s="1972"/>
      <c r="V204" s="1972"/>
      <c r="W204" s="575"/>
      <c r="X204" s="1238"/>
      <c r="Y204" s="575"/>
      <c r="Z204" s="575"/>
      <c r="AA204" s="575"/>
      <c r="AB204" s="1142"/>
      <c r="AC204" s="575"/>
      <c r="AD204" s="575"/>
      <c r="AE204" s="575"/>
      <c r="AF204" s="575"/>
      <c r="AG204" s="577"/>
      <c r="AH204" s="576"/>
      <c r="AI204" s="575"/>
      <c r="AJ204" s="575"/>
      <c r="AK204" s="575"/>
      <c r="AL204" s="577"/>
      <c r="AN204" s="1052"/>
      <c r="AP204" s="2297" t="str">
        <f t="shared" si="221"/>
        <v>Price</v>
      </c>
      <c r="AQ204" s="2298" t="str">
        <f t="shared" si="221"/>
        <v>[Service]</v>
      </c>
      <c r="AR204" s="1719" t="str">
        <f t="shared" si="222"/>
        <v>[Price]</v>
      </c>
      <c r="AS204" s="2299" t="str">
        <f t="shared" si="208"/>
        <v>-</v>
      </c>
      <c r="AT204" s="1728" t="str">
        <f t="shared" si="208"/>
        <v>-</v>
      </c>
      <c r="AU204" s="1728" t="str">
        <f t="shared" si="208"/>
        <v>-</v>
      </c>
      <c r="AV204" s="2300" t="str">
        <f t="shared" si="208"/>
        <v>-</v>
      </c>
      <c r="AW204" s="1728" t="str">
        <f t="shared" si="208"/>
        <v>-</v>
      </c>
      <c r="AX204" s="2301" t="str">
        <f t="shared" si="208"/>
        <v>-</v>
      </c>
      <c r="AY204" s="1728" t="str">
        <f t="shared" si="208"/>
        <v>-</v>
      </c>
      <c r="AZ204" s="1728" t="str">
        <f t="shared" si="208"/>
        <v>-</v>
      </c>
      <c r="BA204" s="1728" t="str">
        <f t="shared" si="208"/>
        <v>-</v>
      </c>
      <c r="BB204" s="1729" t="str">
        <f t="shared" si="208"/>
        <v>-</v>
      </c>
      <c r="BC204" s="1728" t="str">
        <f t="shared" si="208"/>
        <v>-</v>
      </c>
      <c r="BD204" s="1728" t="str">
        <f t="shared" si="208"/>
        <v>-</v>
      </c>
      <c r="BE204" s="1728" t="str">
        <f t="shared" si="208"/>
        <v>-</v>
      </c>
      <c r="BF204" s="1728" t="str">
        <f t="shared" si="208"/>
        <v>-</v>
      </c>
      <c r="BG204" s="1729" t="str">
        <f t="shared" si="208"/>
        <v>-</v>
      </c>
      <c r="BH204" s="1048"/>
      <c r="BI204" s="2297" t="str">
        <f t="shared" si="151"/>
        <v>Price</v>
      </c>
      <c r="BJ204" s="2298" t="str">
        <f t="shared" si="151"/>
        <v>[Service]</v>
      </c>
      <c r="BK204" s="1719" t="str">
        <f t="shared" si="151"/>
        <v>[Price]</v>
      </c>
      <c r="BL204" s="2299" t="str">
        <f t="shared" ref="BL204:BZ204" si="232">IF(OR(X204="",X204=0),"-",IFERROR((X204/W204-1)*(W206/W$13),"-"))</f>
        <v>-</v>
      </c>
      <c r="BM204" s="1053" t="str">
        <f t="shared" si="232"/>
        <v>-</v>
      </c>
      <c r="BN204" s="1053" t="str">
        <f t="shared" si="232"/>
        <v>-</v>
      </c>
      <c r="BO204" s="2302" t="str">
        <f t="shared" si="232"/>
        <v>-</v>
      </c>
      <c r="BP204" s="1053" t="str">
        <f t="shared" si="232"/>
        <v>-</v>
      </c>
      <c r="BQ204" s="2303" t="str">
        <f t="shared" si="232"/>
        <v>-</v>
      </c>
      <c r="BR204" s="1053" t="str">
        <f t="shared" si="232"/>
        <v>-</v>
      </c>
      <c r="BS204" s="1053" t="str">
        <f t="shared" si="232"/>
        <v>-</v>
      </c>
      <c r="BT204" s="1053" t="str">
        <f t="shared" si="232"/>
        <v>-</v>
      </c>
      <c r="BU204" s="1054" t="str">
        <f t="shared" si="232"/>
        <v>-</v>
      </c>
      <c r="BV204" s="1053" t="str">
        <f t="shared" si="232"/>
        <v>-</v>
      </c>
      <c r="BW204" s="1053" t="str">
        <f t="shared" si="232"/>
        <v>-</v>
      </c>
      <c r="BX204" s="1053" t="str">
        <f t="shared" si="232"/>
        <v>-</v>
      </c>
      <c r="BY204" s="1053" t="str">
        <f t="shared" si="232"/>
        <v>-</v>
      </c>
      <c r="BZ204" s="1054" t="str">
        <f t="shared" si="232"/>
        <v>-</v>
      </c>
    </row>
    <row r="205" spans="3:78" x14ac:dyDescent="0.3">
      <c r="C205" s="126"/>
      <c r="D205" s="126"/>
      <c r="E205" s="558" t="s">
        <v>46</v>
      </c>
      <c r="F205" s="1722" t="str">
        <f>+F204</f>
        <v>[Service]</v>
      </c>
      <c r="G205" s="1724">
        <f>+G204</f>
        <v>0</v>
      </c>
      <c r="H205" s="1724">
        <f>+H204</f>
        <v>0</v>
      </c>
      <c r="I205" s="1725" t="str">
        <f>+I204</f>
        <v>[Price]</v>
      </c>
      <c r="J205" s="574" t="s">
        <v>323</v>
      </c>
      <c r="K205" s="1973"/>
      <c r="L205" s="1974"/>
      <c r="M205" s="1974"/>
      <c r="N205" s="1975"/>
      <c r="O205" s="1974"/>
      <c r="P205" s="1974"/>
      <c r="Q205" s="1974"/>
      <c r="R205" s="1976"/>
      <c r="S205" s="1980"/>
      <c r="T205" s="1976"/>
      <c r="U205" s="1976"/>
      <c r="V205" s="1976"/>
      <c r="W205" s="578"/>
      <c r="X205" s="1239"/>
      <c r="Y205" s="578"/>
      <c r="Z205" s="578"/>
      <c r="AA205" s="578"/>
      <c r="AB205" s="1143"/>
      <c r="AC205" s="578"/>
      <c r="AD205" s="578"/>
      <c r="AE205" s="578"/>
      <c r="AF205" s="578"/>
      <c r="AG205" s="580"/>
      <c r="AH205" s="579"/>
      <c r="AI205" s="578"/>
      <c r="AJ205" s="578"/>
      <c r="AK205" s="578"/>
      <c r="AL205" s="580"/>
      <c r="AN205" s="991"/>
      <c r="AP205" s="2285" t="str">
        <f t="shared" si="221"/>
        <v>Qty</v>
      </c>
      <c r="AQ205" s="2286" t="str">
        <f t="shared" si="221"/>
        <v>[Service]</v>
      </c>
      <c r="AR205" s="2287" t="str">
        <f t="shared" si="222"/>
        <v>[Price]</v>
      </c>
      <c r="AS205" s="2288" t="str">
        <f t="shared" ref="AS205:BG221" si="233">IF(OR(X205="",X205=0),"-",IFERROR(X205/W205-1,"-"))</f>
        <v>-</v>
      </c>
      <c r="AT205" s="1720" t="str">
        <f t="shared" si="233"/>
        <v>-</v>
      </c>
      <c r="AU205" s="1720" t="str">
        <f t="shared" si="233"/>
        <v>-</v>
      </c>
      <c r="AV205" s="2289" t="str">
        <f t="shared" si="233"/>
        <v>-</v>
      </c>
      <c r="AW205" s="1720" t="str">
        <f t="shared" si="233"/>
        <v>-</v>
      </c>
      <c r="AX205" s="2290" t="str">
        <f t="shared" si="233"/>
        <v>-</v>
      </c>
      <c r="AY205" s="1720" t="str">
        <f t="shared" si="233"/>
        <v>-</v>
      </c>
      <c r="AZ205" s="1720" t="str">
        <f t="shared" si="233"/>
        <v>-</v>
      </c>
      <c r="BA205" s="1720" t="str">
        <f t="shared" si="233"/>
        <v>-</v>
      </c>
      <c r="BB205" s="1721" t="str">
        <f t="shared" si="233"/>
        <v>-</v>
      </c>
      <c r="BC205" s="1720" t="str">
        <f t="shared" si="233"/>
        <v>-</v>
      </c>
      <c r="BD205" s="1720" t="str">
        <f t="shared" si="233"/>
        <v>-</v>
      </c>
      <c r="BE205" s="1720" t="str">
        <f t="shared" si="233"/>
        <v>-</v>
      </c>
      <c r="BF205" s="1720" t="str">
        <f t="shared" si="233"/>
        <v>-</v>
      </c>
      <c r="BG205" s="1721" t="str">
        <f t="shared" si="233"/>
        <v>-</v>
      </c>
      <c r="BH205" s="1048"/>
      <c r="BI205" s="2285" t="str">
        <f t="shared" si="151"/>
        <v>Qty</v>
      </c>
      <c r="BJ205" s="2286" t="str">
        <f t="shared" si="151"/>
        <v>[Service]</v>
      </c>
      <c r="BK205" s="2287" t="str">
        <f t="shared" si="151"/>
        <v>[Price]</v>
      </c>
      <c r="BL205" s="2288" t="str">
        <f t="shared" ref="BL205:BZ205" si="234">IF(OR(X205="",X205=0),"-",IFERROR((X205/W205-1)*(W206/W$13),"-"))</f>
        <v>-</v>
      </c>
      <c r="BM205" s="1720" t="str">
        <f t="shared" si="234"/>
        <v>-</v>
      </c>
      <c r="BN205" s="1720" t="str">
        <f t="shared" si="234"/>
        <v>-</v>
      </c>
      <c r="BO205" s="2289" t="str">
        <f t="shared" si="234"/>
        <v>-</v>
      </c>
      <c r="BP205" s="1720" t="str">
        <f t="shared" si="234"/>
        <v>-</v>
      </c>
      <c r="BQ205" s="2290" t="str">
        <f t="shared" si="234"/>
        <v>-</v>
      </c>
      <c r="BR205" s="1720" t="str">
        <f t="shared" si="234"/>
        <v>-</v>
      </c>
      <c r="BS205" s="1720" t="str">
        <f t="shared" si="234"/>
        <v>-</v>
      </c>
      <c r="BT205" s="1720" t="str">
        <f t="shared" si="234"/>
        <v>-</v>
      </c>
      <c r="BU205" s="1721" t="str">
        <f t="shared" si="234"/>
        <v>-</v>
      </c>
      <c r="BV205" s="1720" t="str">
        <f t="shared" si="234"/>
        <v>-</v>
      </c>
      <c r="BW205" s="1720" t="str">
        <f t="shared" si="234"/>
        <v>-</v>
      </c>
      <c r="BX205" s="1720" t="str">
        <f t="shared" si="234"/>
        <v>-</v>
      </c>
      <c r="BY205" s="1720" t="str">
        <f t="shared" si="234"/>
        <v>-</v>
      </c>
      <c r="BZ205" s="1721" t="str">
        <f t="shared" si="234"/>
        <v>-</v>
      </c>
    </row>
    <row r="206" spans="3:78" ht="12.5" thickBot="1" x14ac:dyDescent="0.35">
      <c r="C206" s="126"/>
      <c r="D206" s="126"/>
      <c r="E206" s="559" t="s">
        <v>47</v>
      </c>
      <c r="F206" s="1723" t="str">
        <f>+F204</f>
        <v>[Service]</v>
      </c>
      <c r="G206" s="1726">
        <f>+G204</f>
        <v>0</v>
      </c>
      <c r="H206" s="1726">
        <f>+H204</f>
        <v>0</v>
      </c>
      <c r="I206" s="1727" t="str">
        <f>+I204</f>
        <v>[Price]</v>
      </c>
      <c r="J206" s="556" t="s">
        <v>347</v>
      </c>
      <c r="K206" s="1977"/>
      <c r="L206" s="1206"/>
      <c r="M206" s="1206"/>
      <c r="N206" s="1978"/>
      <c r="O206" s="1206"/>
      <c r="P206" s="1206"/>
      <c r="Q206" s="1206"/>
      <c r="R206" s="1206"/>
      <c r="S206" s="1978"/>
      <c r="T206" s="1206"/>
      <c r="U206" s="1206"/>
      <c r="V206" s="1206"/>
      <c r="W206" s="1731">
        <f t="shared" ref="W206:AG206" si="235">W204*W205/10^6</f>
        <v>0</v>
      </c>
      <c r="X206" s="1730">
        <f t="shared" si="235"/>
        <v>0</v>
      </c>
      <c r="Y206" s="1731">
        <f t="shared" si="235"/>
        <v>0</v>
      </c>
      <c r="Z206" s="1731">
        <f t="shared" si="235"/>
        <v>0</v>
      </c>
      <c r="AA206" s="1731">
        <f t="shared" si="235"/>
        <v>0</v>
      </c>
      <c r="AB206" s="1733">
        <f t="shared" si="235"/>
        <v>0</v>
      </c>
      <c r="AC206" s="1731">
        <f t="shared" si="235"/>
        <v>0</v>
      </c>
      <c r="AD206" s="1731">
        <f t="shared" si="235"/>
        <v>0</v>
      </c>
      <c r="AE206" s="1731">
        <f t="shared" si="235"/>
        <v>0</v>
      </c>
      <c r="AF206" s="1731">
        <f t="shared" si="235"/>
        <v>0</v>
      </c>
      <c r="AG206" s="1733">
        <f t="shared" si="235"/>
        <v>0</v>
      </c>
      <c r="AH206" s="1732">
        <f>AH204*AH205/10^6</f>
        <v>0</v>
      </c>
      <c r="AI206" s="1731">
        <f>AI204*AI205/10^6</f>
        <v>0</v>
      </c>
      <c r="AJ206" s="1731">
        <f>AJ204*AJ205/10^6</f>
        <v>0</v>
      </c>
      <c r="AK206" s="1731">
        <f>AK204*AK205/10^6</f>
        <v>0</v>
      </c>
      <c r="AL206" s="1733">
        <f>AL204*AL205/10^6</f>
        <v>0</v>
      </c>
      <c r="AN206" s="991"/>
      <c r="AP206" s="2304" t="str">
        <f t="shared" si="221"/>
        <v>Rev</v>
      </c>
      <c r="AQ206" s="2305" t="str">
        <f t="shared" si="221"/>
        <v>[Service]</v>
      </c>
      <c r="AR206" s="2306" t="str">
        <f t="shared" si="222"/>
        <v>[Price]</v>
      </c>
      <c r="AS206" s="2307" t="str">
        <f t="shared" si="233"/>
        <v>-</v>
      </c>
      <c r="AT206" s="1055" t="str">
        <f t="shared" si="233"/>
        <v>-</v>
      </c>
      <c r="AU206" s="1055" t="str">
        <f t="shared" si="233"/>
        <v>-</v>
      </c>
      <c r="AV206" s="2308" t="str">
        <f t="shared" si="233"/>
        <v>-</v>
      </c>
      <c r="AW206" s="1055" t="str">
        <f t="shared" si="233"/>
        <v>-</v>
      </c>
      <c r="AX206" s="2309" t="str">
        <f t="shared" si="233"/>
        <v>-</v>
      </c>
      <c r="AY206" s="1055" t="str">
        <f t="shared" si="233"/>
        <v>-</v>
      </c>
      <c r="AZ206" s="1055" t="str">
        <f t="shared" si="233"/>
        <v>-</v>
      </c>
      <c r="BA206" s="1055" t="str">
        <f t="shared" si="233"/>
        <v>-</v>
      </c>
      <c r="BB206" s="1056" t="str">
        <f t="shared" si="233"/>
        <v>-</v>
      </c>
      <c r="BC206" s="1055" t="str">
        <f t="shared" si="233"/>
        <v>-</v>
      </c>
      <c r="BD206" s="1055" t="str">
        <f t="shared" si="233"/>
        <v>-</v>
      </c>
      <c r="BE206" s="1055" t="str">
        <f t="shared" si="233"/>
        <v>-</v>
      </c>
      <c r="BF206" s="1055" t="str">
        <f t="shared" si="233"/>
        <v>-</v>
      </c>
      <c r="BG206" s="1056" t="str">
        <f t="shared" si="233"/>
        <v>-</v>
      </c>
      <c r="BH206" s="1048"/>
      <c r="BI206" s="2304" t="str">
        <f t="shared" si="151"/>
        <v>Rev</v>
      </c>
      <c r="BJ206" s="2305" t="str">
        <f t="shared" si="151"/>
        <v>[Service]</v>
      </c>
      <c r="BK206" s="2306" t="str">
        <f t="shared" si="151"/>
        <v>[Price]</v>
      </c>
      <c r="BL206" s="2307" t="str">
        <f t="shared" ref="BL206:BZ206" si="236">IF(OR(X206="",X206=0),"-",IFERROR((X206/W206-1)*(W206/W$13),"-"))</f>
        <v>-</v>
      </c>
      <c r="BM206" s="1055" t="str">
        <f t="shared" si="236"/>
        <v>-</v>
      </c>
      <c r="BN206" s="1055" t="str">
        <f t="shared" si="236"/>
        <v>-</v>
      </c>
      <c r="BO206" s="2308" t="str">
        <f t="shared" si="236"/>
        <v>-</v>
      </c>
      <c r="BP206" s="1055" t="str">
        <f t="shared" si="236"/>
        <v>-</v>
      </c>
      <c r="BQ206" s="2309" t="str">
        <f t="shared" si="236"/>
        <v>-</v>
      </c>
      <c r="BR206" s="1055" t="str">
        <f t="shared" si="236"/>
        <v>-</v>
      </c>
      <c r="BS206" s="1055" t="str">
        <f t="shared" si="236"/>
        <v>-</v>
      </c>
      <c r="BT206" s="1055" t="str">
        <f t="shared" si="236"/>
        <v>-</v>
      </c>
      <c r="BU206" s="1056" t="str">
        <f t="shared" si="236"/>
        <v>-</v>
      </c>
      <c r="BV206" s="1055" t="str">
        <f t="shared" si="236"/>
        <v>-</v>
      </c>
      <c r="BW206" s="1055" t="str">
        <f t="shared" si="236"/>
        <v>-</v>
      </c>
      <c r="BX206" s="1055" t="str">
        <f t="shared" si="236"/>
        <v>-</v>
      </c>
      <c r="BY206" s="1055" t="str">
        <f t="shared" si="236"/>
        <v>-</v>
      </c>
      <c r="BZ206" s="1056" t="str">
        <f t="shared" si="236"/>
        <v>-</v>
      </c>
    </row>
    <row r="207" spans="3:78" x14ac:dyDescent="0.3">
      <c r="C207" s="126"/>
      <c r="D207" s="126">
        <f>D204+1</f>
        <v>47</v>
      </c>
      <c r="E207" s="553" t="s">
        <v>45</v>
      </c>
      <c r="F207" s="581" t="s">
        <v>28</v>
      </c>
      <c r="G207" s="581"/>
      <c r="H207" s="581"/>
      <c r="I207" s="573" t="s">
        <v>319</v>
      </c>
      <c r="J207" s="573" t="s">
        <v>348</v>
      </c>
      <c r="K207" s="1969"/>
      <c r="L207" s="1970"/>
      <c r="M207" s="1970"/>
      <c r="N207" s="1971"/>
      <c r="O207" s="1970"/>
      <c r="P207" s="1970"/>
      <c r="Q207" s="1970"/>
      <c r="R207" s="1972"/>
      <c r="S207" s="1979"/>
      <c r="T207" s="1972"/>
      <c r="U207" s="1972"/>
      <c r="V207" s="1972"/>
      <c r="W207" s="575"/>
      <c r="X207" s="1238"/>
      <c r="Y207" s="575"/>
      <c r="Z207" s="575"/>
      <c r="AA207" s="575"/>
      <c r="AB207" s="1142"/>
      <c r="AC207" s="575"/>
      <c r="AD207" s="575"/>
      <c r="AE207" s="575"/>
      <c r="AF207" s="575"/>
      <c r="AG207" s="577"/>
      <c r="AH207" s="576"/>
      <c r="AI207" s="575"/>
      <c r="AJ207" s="575"/>
      <c r="AK207" s="575"/>
      <c r="AL207" s="577"/>
      <c r="AN207" s="1052"/>
      <c r="AP207" s="2297" t="str">
        <f t="shared" si="221"/>
        <v>Price</v>
      </c>
      <c r="AQ207" s="2298" t="str">
        <f t="shared" si="221"/>
        <v>[Service]</v>
      </c>
      <c r="AR207" s="1719" t="str">
        <f t="shared" si="222"/>
        <v>[Price]</v>
      </c>
      <c r="AS207" s="2299" t="str">
        <f t="shared" si="233"/>
        <v>-</v>
      </c>
      <c r="AT207" s="1728" t="str">
        <f t="shared" si="233"/>
        <v>-</v>
      </c>
      <c r="AU207" s="1728" t="str">
        <f t="shared" si="233"/>
        <v>-</v>
      </c>
      <c r="AV207" s="2300" t="str">
        <f t="shared" si="233"/>
        <v>-</v>
      </c>
      <c r="AW207" s="1728" t="str">
        <f t="shared" si="233"/>
        <v>-</v>
      </c>
      <c r="AX207" s="2301" t="str">
        <f t="shared" si="233"/>
        <v>-</v>
      </c>
      <c r="AY207" s="1728" t="str">
        <f t="shared" si="233"/>
        <v>-</v>
      </c>
      <c r="AZ207" s="1728" t="str">
        <f t="shared" si="233"/>
        <v>-</v>
      </c>
      <c r="BA207" s="1728" t="str">
        <f t="shared" si="233"/>
        <v>-</v>
      </c>
      <c r="BB207" s="1729" t="str">
        <f t="shared" si="233"/>
        <v>-</v>
      </c>
      <c r="BC207" s="1728" t="str">
        <f t="shared" si="233"/>
        <v>-</v>
      </c>
      <c r="BD207" s="1728" t="str">
        <f t="shared" si="233"/>
        <v>-</v>
      </c>
      <c r="BE207" s="1728" t="str">
        <f t="shared" si="233"/>
        <v>-</v>
      </c>
      <c r="BF207" s="1728" t="str">
        <f t="shared" si="233"/>
        <v>-</v>
      </c>
      <c r="BG207" s="1729" t="str">
        <f t="shared" si="233"/>
        <v>-</v>
      </c>
      <c r="BH207" s="1048"/>
      <c r="BI207" s="2297" t="str">
        <f t="shared" si="151"/>
        <v>Price</v>
      </c>
      <c r="BJ207" s="2298" t="str">
        <f t="shared" si="151"/>
        <v>[Service]</v>
      </c>
      <c r="BK207" s="1719" t="str">
        <f t="shared" si="151"/>
        <v>[Price]</v>
      </c>
      <c r="BL207" s="2299" t="str">
        <f t="shared" ref="BL207:BZ207" si="237">IF(OR(X207="",X207=0),"-",IFERROR((X207/W207-1)*(W209/W$13),"-"))</f>
        <v>-</v>
      </c>
      <c r="BM207" s="1053" t="str">
        <f t="shared" si="237"/>
        <v>-</v>
      </c>
      <c r="BN207" s="1053" t="str">
        <f t="shared" si="237"/>
        <v>-</v>
      </c>
      <c r="BO207" s="2302" t="str">
        <f t="shared" si="237"/>
        <v>-</v>
      </c>
      <c r="BP207" s="1053" t="str">
        <f t="shared" si="237"/>
        <v>-</v>
      </c>
      <c r="BQ207" s="2303" t="str">
        <f t="shared" si="237"/>
        <v>-</v>
      </c>
      <c r="BR207" s="1053" t="str">
        <f t="shared" si="237"/>
        <v>-</v>
      </c>
      <c r="BS207" s="1053" t="str">
        <f t="shared" si="237"/>
        <v>-</v>
      </c>
      <c r="BT207" s="1053" t="str">
        <f t="shared" si="237"/>
        <v>-</v>
      </c>
      <c r="BU207" s="1054" t="str">
        <f t="shared" si="237"/>
        <v>-</v>
      </c>
      <c r="BV207" s="1053" t="str">
        <f t="shared" si="237"/>
        <v>-</v>
      </c>
      <c r="BW207" s="1053" t="str">
        <f t="shared" si="237"/>
        <v>-</v>
      </c>
      <c r="BX207" s="1053" t="str">
        <f t="shared" si="237"/>
        <v>-</v>
      </c>
      <c r="BY207" s="1053" t="str">
        <f t="shared" si="237"/>
        <v>-</v>
      </c>
      <c r="BZ207" s="1054" t="str">
        <f t="shared" si="237"/>
        <v>-</v>
      </c>
    </row>
    <row r="208" spans="3:78" x14ac:dyDescent="0.3">
      <c r="C208" s="126"/>
      <c r="D208" s="126"/>
      <c r="E208" s="558" t="s">
        <v>46</v>
      </c>
      <c r="F208" s="1722" t="str">
        <f>+F207</f>
        <v>[Service]</v>
      </c>
      <c r="G208" s="1724">
        <f>+G207</f>
        <v>0</v>
      </c>
      <c r="H208" s="1724">
        <f>+H207</f>
        <v>0</v>
      </c>
      <c r="I208" s="1725" t="str">
        <f>+I207</f>
        <v>[Price]</v>
      </c>
      <c r="J208" s="574" t="s">
        <v>323</v>
      </c>
      <c r="K208" s="1973"/>
      <c r="L208" s="1974"/>
      <c r="M208" s="1974"/>
      <c r="N208" s="1975"/>
      <c r="O208" s="1974"/>
      <c r="P208" s="1974"/>
      <c r="Q208" s="1974"/>
      <c r="R208" s="1976"/>
      <c r="S208" s="1980"/>
      <c r="T208" s="1976"/>
      <c r="U208" s="1976"/>
      <c r="V208" s="1976"/>
      <c r="W208" s="578"/>
      <c r="X208" s="1239"/>
      <c r="Y208" s="578"/>
      <c r="Z208" s="578"/>
      <c r="AA208" s="578"/>
      <c r="AB208" s="1143"/>
      <c r="AC208" s="578"/>
      <c r="AD208" s="578"/>
      <c r="AE208" s="578"/>
      <c r="AF208" s="578"/>
      <c r="AG208" s="580"/>
      <c r="AH208" s="579"/>
      <c r="AI208" s="578"/>
      <c r="AJ208" s="578"/>
      <c r="AK208" s="578"/>
      <c r="AL208" s="580"/>
      <c r="AN208" s="991"/>
      <c r="AP208" s="2285" t="str">
        <f t="shared" si="221"/>
        <v>Qty</v>
      </c>
      <c r="AQ208" s="2286" t="str">
        <f t="shared" si="221"/>
        <v>[Service]</v>
      </c>
      <c r="AR208" s="2287" t="str">
        <f t="shared" si="222"/>
        <v>[Price]</v>
      </c>
      <c r="AS208" s="2288" t="str">
        <f t="shared" si="233"/>
        <v>-</v>
      </c>
      <c r="AT208" s="1720" t="str">
        <f t="shared" si="233"/>
        <v>-</v>
      </c>
      <c r="AU208" s="1720" t="str">
        <f t="shared" si="233"/>
        <v>-</v>
      </c>
      <c r="AV208" s="2289" t="str">
        <f t="shared" si="233"/>
        <v>-</v>
      </c>
      <c r="AW208" s="1720" t="str">
        <f t="shared" si="233"/>
        <v>-</v>
      </c>
      <c r="AX208" s="2290" t="str">
        <f t="shared" si="233"/>
        <v>-</v>
      </c>
      <c r="AY208" s="1720" t="str">
        <f t="shared" si="233"/>
        <v>-</v>
      </c>
      <c r="AZ208" s="1720" t="str">
        <f t="shared" si="233"/>
        <v>-</v>
      </c>
      <c r="BA208" s="1720" t="str">
        <f t="shared" si="233"/>
        <v>-</v>
      </c>
      <c r="BB208" s="1721" t="str">
        <f t="shared" si="233"/>
        <v>-</v>
      </c>
      <c r="BC208" s="1720" t="str">
        <f t="shared" si="233"/>
        <v>-</v>
      </c>
      <c r="BD208" s="1720" t="str">
        <f t="shared" si="233"/>
        <v>-</v>
      </c>
      <c r="BE208" s="1720" t="str">
        <f t="shared" si="233"/>
        <v>-</v>
      </c>
      <c r="BF208" s="1720" t="str">
        <f t="shared" si="233"/>
        <v>-</v>
      </c>
      <c r="BG208" s="1721" t="str">
        <f t="shared" si="233"/>
        <v>-</v>
      </c>
      <c r="BH208" s="1048"/>
      <c r="BI208" s="2285" t="str">
        <f t="shared" si="151"/>
        <v>Qty</v>
      </c>
      <c r="BJ208" s="2286" t="str">
        <f t="shared" si="151"/>
        <v>[Service]</v>
      </c>
      <c r="BK208" s="2287" t="str">
        <f t="shared" si="151"/>
        <v>[Price]</v>
      </c>
      <c r="BL208" s="2288" t="str">
        <f t="shared" ref="BL208:BZ208" si="238">IF(OR(X208="",X208=0),"-",IFERROR((X208/W208-1)*(W209/W$13),"-"))</f>
        <v>-</v>
      </c>
      <c r="BM208" s="1720" t="str">
        <f t="shared" si="238"/>
        <v>-</v>
      </c>
      <c r="BN208" s="1720" t="str">
        <f t="shared" si="238"/>
        <v>-</v>
      </c>
      <c r="BO208" s="2289" t="str">
        <f t="shared" si="238"/>
        <v>-</v>
      </c>
      <c r="BP208" s="1720" t="str">
        <f t="shared" si="238"/>
        <v>-</v>
      </c>
      <c r="BQ208" s="2290" t="str">
        <f t="shared" si="238"/>
        <v>-</v>
      </c>
      <c r="BR208" s="1720" t="str">
        <f t="shared" si="238"/>
        <v>-</v>
      </c>
      <c r="BS208" s="1720" t="str">
        <f t="shared" si="238"/>
        <v>-</v>
      </c>
      <c r="BT208" s="1720" t="str">
        <f t="shared" si="238"/>
        <v>-</v>
      </c>
      <c r="BU208" s="1721" t="str">
        <f t="shared" si="238"/>
        <v>-</v>
      </c>
      <c r="BV208" s="1720" t="str">
        <f t="shared" si="238"/>
        <v>-</v>
      </c>
      <c r="BW208" s="1720" t="str">
        <f t="shared" si="238"/>
        <v>-</v>
      </c>
      <c r="BX208" s="1720" t="str">
        <f t="shared" si="238"/>
        <v>-</v>
      </c>
      <c r="BY208" s="1720" t="str">
        <f t="shared" si="238"/>
        <v>-</v>
      </c>
      <c r="BZ208" s="1721" t="str">
        <f t="shared" si="238"/>
        <v>-</v>
      </c>
    </row>
    <row r="209" spans="3:78" ht="12.5" thickBot="1" x14ac:dyDescent="0.35">
      <c r="C209" s="126"/>
      <c r="D209" s="126"/>
      <c r="E209" s="559" t="s">
        <v>47</v>
      </c>
      <c r="F209" s="1723" t="str">
        <f>+F207</f>
        <v>[Service]</v>
      </c>
      <c r="G209" s="1726">
        <f>+G207</f>
        <v>0</v>
      </c>
      <c r="H209" s="1726">
        <f>+H207</f>
        <v>0</v>
      </c>
      <c r="I209" s="1727" t="str">
        <f>+I207</f>
        <v>[Price]</v>
      </c>
      <c r="J209" s="556" t="s">
        <v>347</v>
      </c>
      <c r="K209" s="1977"/>
      <c r="L209" s="1206"/>
      <c r="M209" s="1206"/>
      <c r="N209" s="1978"/>
      <c r="O209" s="1206"/>
      <c r="P209" s="1206"/>
      <c r="Q209" s="1206"/>
      <c r="R209" s="1206"/>
      <c r="S209" s="1978"/>
      <c r="T209" s="1206"/>
      <c r="U209" s="1206"/>
      <c r="V209" s="1206"/>
      <c r="W209" s="1731">
        <f t="shared" ref="W209:AG209" si="239">W207*W208/10^6</f>
        <v>0</v>
      </c>
      <c r="X209" s="1730">
        <f t="shared" si="239"/>
        <v>0</v>
      </c>
      <c r="Y209" s="1731">
        <f t="shared" si="239"/>
        <v>0</v>
      </c>
      <c r="Z209" s="1731">
        <f t="shared" si="239"/>
        <v>0</v>
      </c>
      <c r="AA209" s="1731">
        <f t="shared" si="239"/>
        <v>0</v>
      </c>
      <c r="AB209" s="1733">
        <f t="shared" si="239"/>
        <v>0</v>
      </c>
      <c r="AC209" s="1731">
        <f t="shared" si="239"/>
        <v>0</v>
      </c>
      <c r="AD209" s="1731">
        <f t="shared" si="239"/>
        <v>0</v>
      </c>
      <c r="AE209" s="1731">
        <f t="shared" si="239"/>
        <v>0</v>
      </c>
      <c r="AF209" s="1731">
        <f t="shared" si="239"/>
        <v>0</v>
      </c>
      <c r="AG209" s="1733">
        <f t="shared" si="239"/>
        <v>0</v>
      </c>
      <c r="AH209" s="1732">
        <f>AH207*AH208/10^6</f>
        <v>0</v>
      </c>
      <c r="AI209" s="1731">
        <f>AI207*AI208/10^6</f>
        <v>0</v>
      </c>
      <c r="AJ209" s="1731">
        <f>AJ207*AJ208/10^6</f>
        <v>0</v>
      </c>
      <c r="AK209" s="1731">
        <f>AK207*AK208/10^6</f>
        <v>0</v>
      </c>
      <c r="AL209" s="1733">
        <f>AL207*AL208/10^6</f>
        <v>0</v>
      </c>
      <c r="AN209" s="991"/>
      <c r="AP209" s="2304" t="str">
        <f t="shared" si="221"/>
        <v>Rev</v>
      </c>
      <c r="AQ209" s="2305" t="str">
        <f t="shared" si="221"/>
        <v>[Service]</v>
      </c>
      <c r="AR209" s="2306" t="str">
        <f t="shared" si="222"/>
        <v>[Price]</v>
      </c>
      <c r="AS209" s="2307" t="str">
        <f t="shared" si="233"/>
        <v>-</v>
      </c>
      <c r="AT209" s="1055" t="str">
        <f t="shared" si="233"/>
        <v>-</v>
      </c>
      <c r="AU209" s="1055" t="str">
        <f t="shared" si="233"/>
        <v>-</v>
      </c>
      <c r="AV209" s="2308" t="str">
        <f t="shared" si="233"/>
        <v>-</v>
      </c>
      <c r="AW209" s="1055" t="str">
        <f t="shared" si="233"/>
        <v>-</v>
      </c>
      <c r="AX209" s="2309" t="str">
        <f t="shared" si="233"/>
        <v>-</v>
      </c>
      <c r="AY209" s="1055" t="str">
        <f t="shared" si="233"/>
        <v>-</v>
      </c>
      <c r="AZ209" s="1055" t="str">
        <f t="shared" si="233"/>
        <v>-</v>
      </c>
      <c r="BA209" s="1055" t="str">
        <f t="shared" si="233"/>
        <v>-</v>
      </c>
      <c r="BB209" s="1056" t="str">
        <f t="shared" si="233"/>
        <v>-</v>
      </c>
      <c r="BC209" s="1055" t="str">
        <f t="shared" si="233"/>
        <v>-</v>
      </c>
      <c r="BD209" s="1055" t="str">
        <f t="shared" si="233"/>
        <v>-</v>
      </c>
      <c r="BE209" s="1055" t="str">
        <f t="shared" si="233"/>
        <v>-</v>
      </c>
      <c r="BF209" s="1055" t="str">
        <f t="shared" si="233"/>
        <v>-</v>
      </c>
      <c r="BG209" s="1056" t="str">
        <f t="shared" si="233"/>
        <v>-</v>
      </c>
      <c r="BH209" s="1048"/>
      <c r="BI209" s="2304" t="str">
        <f t="shared" si="151"/>
        <v>Rev</v>
      </c>
      <c r="BJ209" s="2305" t="str">
        <f t="shared" si="151"/>
        <v>[Service]</v>
      </c>
      <c r="BK209" s="2306" t="str">
        <f t="shared" si="151"/>
        <v>[Price]</v>
      </c>
      <c r="BL209" s="2307" t="str">
        <f t="shared" ref="BL209:BZ209" si="240">IF(OR(X209="",X209=0),"-",IFERROR((X209/W209-1)*(W209/W$13),"-"))</f>
        <v>-</v>
      </c>
      <c r="BM209" s="1055" t="str">
        <f t="shared" si="240"/>
        <v>-</v>
      </c>
      <c r="BN209" s="1055" t="str">
        <f t="shared" si="240"/>
        <v>-</v>
      </c>
      <c r="BO209" s="2308" t="str">
        <f t="shared" si="240"/>
        <v>-</v>
      </c>
      <c r="BP209" s="1055" t="str">
        <f t="shared" si="240"/>
        <v>-</v>
      </c>
      <c r="BQ209" s="2309" t="str">
        <f t="shared" si="240"/>
        <v>-</v>
      </c>
      <c r="BR209" s="1055" t="str">
        <f t="shared" si="240"/>
        <v>-</v>
      </c>
      <c r="BS209" s="1055" t="str">
        <f t="shared" si="240"/>
        <v>-</v>
      </c>
      <c r="BT209" s="1055" t="str">
        <f t="shared" si="240"/>
        <v>-</v>
      </c>
      <c r="BU209" s="1056" t="str">
        <f t="shared" si="240"/>
        <v>-</v>
      </c>
      <c r="BV209" s="1055" t="str">
        <f t="shared" si="240"/>
        <v>-</v>
      </c>
      <c r="BW209" s="1055" t="str">
        <f t="shared" si="240"/>
        <v>-</v>
      </c>
      <c r="BX209" s="1055" t="str">
        <f t="shared" si="240"/>
        <v>-</v>
      </c>
      <c r="BY209" s="1055" t="str">
        <f t="shared" si="240"/>
        <v>-</v>
      </c>
      <c r="BZ209" s="1056" t="str">
        <f t="shared" si="240"/>
        <v>-</v>
      </c>
    </row>
    <row r="210" spans="3:78" x14ac:dyDescent="0.3">
      <c r="C210" s="126"/>
      <c r="D210" s="126">
        <f>D207+1</f>
        <v>48</v>
      </c>
      <c r="E210" s="553" t="s">
        <v>45</v>
      </c>
      <c r="F210" s="581" t="s">
        <v>28</v>
      </c>
      <c r="G210" s="581"/>
      <c r="H210" s="581"/>
      <c r="I210" s="573" t="s">
        <v>319</v>
      </c>
      <c r="J210" s="573" t="s">
        <v>348</v>
      </c>
      <c r="K210" s="1969"/>
      <c r="L210" s="1970"/>
      <c r="M210" s="1970"/>
      <c r="N210" s="1971"/>
      <c r="O210" s="1970"/>
      <c r="P210" s="1970"/>
      <c r="Q210" s="1970"/>
      <c r="R210" s="1972"/>
      <c r="S210" s="1979"/>
      <c r="T210" s="1972"/>
      <c r="U210" s="1972"/>
      <c r="V210" s="1972"/>
      <c r="W210" s="575"/>
      <c r="X210" s="1238"/>
      <c r="Y210" s="575"/>
      <c r="Z210" s="575"/>
      <c r="AA210" s="575"/>
      <c r="AB210" s="1142"/>
      <c r="AC210" s="575"/>
      <c r="AD210" s="575"/>
      <c r="AE210" s="575"/>
      <c r="AF210" s="575"/>
      <c r="AG210" s="577"/>
      <c r="AH210" s="576"/>
      <c r="AI210" s="575"/>
      <c r="AJ210" s="575"/>
      <c r="AK210" s="575"/>
      <c r="AL210" s="577"/>
      <c r="AN210" s="1052"/>
      <c r="AP210" s="2297" t="str">
        <f t="shared" si="221"/>
        <v>Price</v>
      </c>
      <c r="AQ210" s="2298" t="str">
        <f t="shared" si="221"/>
        <v>[Service]</v>
      </c>
      <c r="AR210" s="1719" t="str">
        <f t="shared" si="222"/>
        <v>[Price]</v>
      </c>
      <c r="AS210" s="2299" t="str">
        <f t="shared" si="233"/>
        <v>-</v>
      </c>
      <c r="AT210" s="1728" t="str">
        <f t="shared" si="233"/>
        <v>-</v>
      </c>
      <c r="AU210" s="1728" t="str">
        <f t="shared" si="233"/>
        <v>-</v>
      </c>
      <c r="AV210" s="2300" t="str">
        <f t="shared" si="233"/>
        <v>-</v>
      </c>
      <c r="AW210" s="1728" t="str">
        <f t="shared" si="233"/>
        <v>-</v>
      </c>
      <c r="AX210" s="2301" t="str">
        <f t="shared" si="233"/>
        <v>-</v>
      </c>
      <c r="AY210" s="1728" t="str">
        <f t="shared" si="233"/>
        <v>-</v>
      </c>
      <c r="AZ210" s="1728" t="str">
        <f t="shared" si="233"/>
        <v>-</v>
      </c>
      <c r="BA210" s="1728" t="str">
        <f t="shared" si="233"/>
        <v>-</v>
      </c>
      <c r="BB210" s="1729" t="str">
        <f t="shared" si="233"/>
        <v>-</v>
      </c>
      <c r="BC210" s="1728" t="str">
        <f t="shared" si="233"/>
        <v>-</v>
      </c>
      <c r="BD210" s="1728" t="str">
        <f t="shared" si="233"/>
        <v>-</v>
      </c>
      <c r="BE210" s="1728" t="str">
        <f t="shared" si="233"/>
        <v>-</v>
      </c>
      <c r="BF210" s="1728" t="str">
        <f t="shared" si="233"/>
        <v>-</v>
      </c>
      <c r="BG210" s="1729" t="str">
        <f t="shared" si="233"/>
        <v>-</v>
      </c>
      <c r="BH210" s="1048"/>
      <c r="BI210" s="2297" t="str">
        <f t="shared" si="151"/>
        <v>Price</v>
      </c>
      <c r="BJ210" s="2298" t="str">
        <f t="shared" si="151"/>
        <v>[Service]</v>
      </c>
      <c r="BK210" s="1719" t="str">
        <f t="shared" si="151"/>
        <v>[Price]</v>
      </c>
      <c r="BL210" s="2299" t="str">
        <f t="shared" ref="BL210:BZ210" si="241">IF(OR(X210="",X210=0),"-",IFERROR((X210/W210-1)*(W212/W$13),"-"))</f>
        <v>-</v>
      </c>
      <c r="BM210" s="1053" t="str">
        <f t="shared" si="241"/>
        <v>-</v>
      </c>
      <c r="BN210" s="1053" t="str">
        <f t="shared" si="241"/>
        <v>-</v>
      </c>
      <c r="BO210" s="2302" t="str">
        <f t="shared" si="241"/>
        <v>-</v>
      </c>
      <c r="BP210" s="1053" t="str">
        <f t="shared" si="241"/>
        <v>-</v>
      </c>
      <c r="BQ210" s="2303" t="str">
        <f t="shared" si="241"/>
        <v>-</v>
      </c>
      <c r="BR210" s="1053" t="str">
        <f t="shared" si="241"/>
        <v>-</v>
      </c>
      <c r="BS210" s="1053" t="str">
        <f t="shared" si="241"/>
        <v>-</v>
      </c>
      <c r="BT210" s="1053" t="str">
        <f t="shared" si="241"/>
        <v>-</v>
      </c>
      <c r="BU210" s="1054" t="str">
        <f t="shared" si="241"/>
        <v>-</v>
      </c>
      <c r="BV210" s="1053" t="str">
        <f t="shared" si="241"/>
        <v>-</v>
      </c>
      <c r="BW210" s="1053" t="str">
        <f t="shared" si="241"/>
        <v>-</v>
      </c>
      <c r="BX210" s="1053" t="str">
        <f t="shared" si="241"/>
        <v>-</v>
      </c>
      <c r="BY210" s="1053" t="str">
        <f t="shared" si="241"/>
        <v>-</v>
      </c>
      <c r="BZ210" s="1054" t="str">
        <f t="shared" si="241"/>
        <v>-</v>
      </c>
    </row>
    <row r="211" spans="3:78" x14ac:dyDescent="0.3">
      <c r="C211" s="126"/>
      <c r="D211" s="126"/>
      <c r="E211" s="558" t="s">
        <v>46</v>
      </c>
      <c r="F211" s="1722" t="str">
        <f>+F210</f>
        <v>[Service]</v>
      </c>
      <c r="G211" s="1724">
        <f>+G210</f>
        <v>0</v>
      </c>
      <c r="H211" s="1724">
        <f>+H210</f>
        <v>0</v>
      </c>
      <c r="I211" s="1725" t="str">
        <f>+I210</f>
        <v>[Price]</v>
      </c>
      <c r="J211" s="574" t="s">
        <v>323</v>
      </c>
      <c r="K211" s="1973"/>
      <c r="L211" s="1974"/>
      <c r="M211" s="1974"/>
      <c r="N211" s="1975"/>
      <c r="O211" s="1974"/>
      <c r="P211" s="1974"/>
      <c r="Q211" s="1974"/>
      <c r="R211" s="1976"/>
      <c r="S211" s="1980"/>
      <c r="T211" s="1976"/>
      <c r="U211" s="1976"/>
      <c r="V211" s="1976"/>
      <c r="W211" s="578"/>
      <c r="X211" s="1239"/>
      <c r="Y211" s="578"/>
      <c r="Z211" s="578"/>
      <c r="AA211" s="578"/>
      <c r="AB211" s="1143"/>
      <c r="AC211" s="578"/>
      <c r="AD211" s="578"/>
      <c r="AE211" s="578"/>
      <c r="AF211" s="578"/>
      <c r="AG211" s="580"/>
      <c r="AH211" s="579"/>
      <c r="AI211" s="578"/>
      <c r="AJ211" s="578"/>
      <c r="AK211" s="578"/>
      <c r="AL211" s="580"/>
      <c r="AN211" s="991"/>
      <c r="AP211" s="2285" t="str">
        <f t="shared" si="221"/>
        <v>Qty</v>
      </c>
      <c r="AQ211" s="2286" t="str">
        <f t="shared" si="221"/>
        <v>[Service]</v>
      </c>
      <c r="AR211" s="2287" t="str">
        <f t="shared" si="222"/>
        <v>[Price]</v>
      </c>
      <c r="AS211" s="2288" t="str">
        <f t="shared" si="233"/>
        <v>-</v>
      </c>
      <c r="AT211" s="1720" t="str">
        <f t="shared" si="233"/>
        <v>-</v>
      </c>
      <c r="AU211" s="1720" t="str">
        <f t="shared" si="233"/>
        <v>-</v>
      </c>
      <c r="AV211" s="2289" t="str">
        <f t="shared" si="233"/>
        <v>-</v>
      </c>
      <c r="AW211" s="1720" t="str">
        <f t="shared" si="233"/>
        <v>-</v>
      </c>
      <c r="AX211" s="2290" t="str">
        <f t="shared" si="233"/>
        <v>-</v>
      </c>
      <c r="AY211" s="1720" t="str">
        <f t="shared" si="233"/>
        <v>-</v>
      </c>
      <c r="AZ211" s="1720" t="str">
        <f t="shared" si="233"/>
        <v>-</v>
      </c>
      <c r="BA211" s="1720" t="str">
        <f t="shared" si="233"/>
        <v>-</v>
      </c>
      <c r="BB211" s="1721" t="str">
        <f t="shared" si="233"/>
        <v>-</v>
      </c>
      <c r="BC211" s="1720" t="str">
        <f t="shared" si="233"/>
        <v>-</v>
      </c>
      <c r="BD211" s="1720" t="str">
        <f t="shared" si="233"/>
        <v>-</v>
      </c>
      <c r="BE211" s="1720" t="str">
        <f t="shared" si="233"/>
        <v>-</v>
      </c>
      <c r="BF211" s="1720" t="str">
        <f t="shared" si="233"/>
        <v>-</v>
      </c>
      <c r="BG211" s="1721" t="str">
        <f t="shared" si="233"/>
        <v>-</v>
      </c>
      <c r="BH211" s="1048"/>
      <c r="BI211" s="2285" t="str">
        <f t="shared" si="151"/>
        <v>Qty</v>
      </c>
      <c r="BJ211" s="2286" t="str">
        <f t="shared" si="151"/>
        <v>[Service]</v>
      </c>
      <c r="BK211" s="2287" t="str">
        <f t="shared" si="151"/>
        <v>[Price]</v>
      </c>
      <c r="BL211" s="2288" t="str">
        <f t="shared" ref="BL211:BZ211" si="242">IF(OR(X211="",X211=0),"-",IFERROR((X211/W211-1)*(W212/W$13),"-"))</f>
        <v>-</v>
      </c>
      <c r="BM211" s="1720" t="str">
        <f t="shared" si="242"/>
        <v>-</v>
      </c>
      <c r="BN211" s="1720" t="str">
        <f t="shared" si="242"/>
        <v>-</v>
      </c>
      <c r="BO211" s="2289" t="str">
        <f t="shared" si="242"/>
        <v>-</v>
      </c>
      <c r="BP211" s="1720" t="str">
        <f t="shared" si="242"/>
        <v>-</v>
      </c>
      <c r="BQ211" s="2290" t="str">
        <f t="shared" si="242"/>
        <v>-</v>
      </c>
      <c r="BR211" s="1720" t="str">
        <f t="shared" si="242"/>
        <v>-</v>
      </c>
      <c r="BS211" s="1720" t="str">
        <f t="shared" si="242"/>
        <v>-</v>
      </c>
      <c r="BT211" s="1720" t="str">
        <f t="shared" si="242"/>
        <v>-</v>
      </c>
      <c r="BU211" s="1721" t="str">
        <f t="shared" si="242"/>
        <v>-</v>
      </c>
      <c r="BV211" s="1720" t="str">
        <f t="shared" si="242"/>
        <v>-</v>
      </c>
      <c r="BW211" s="1720" t="str">
        <f t="shared" si="242"/>
        <v>-</v>
      </c>
      <c r="BX211" s="1720" t="str">
        <f t="shared" si="242"/>
        <v>-</v>
      </c>
      <c r="BY211" s="1720" t="str">
        <f t="shared" si="242"/>
        <v>-</v>
      </c>
      <c r="BZ211" s="1721" t="str">
        <f t="shared" si="242"/>
        <v>-</v>
      </c>
    </row>
    <row r="212" spans="3:78" ht="12.5" thickBot="1" x14ac:dyDescent="0.35">
      <c r="C212" s="126"/>
      <c r="D212" s="126"/>
      <c r="E212" s="559" t="s">
        <v>47</v>
      </c>
      <c r="F212" s="1723" t="str">
        <f>+F210</f>
        <v>[Service]</v>
      </c>
      <c r="G212" s="1726">
        <f>+G210</f>
        <v>0</v>
      </c>
      <c r="H212" s="1726">
        <f>+H210</f>
        <v>0</v>
      </c>
      <c r="I212" s="1727" t="str">
        <f>+I210</f>
        <v>[Price]</v>
      </c>
      <c r="J212" s="556" t="s">
        <v>347</v>
      </c>
      <c r="K212" s="1977"/>
      <c r="L212" s="1206"/>
      <c r="M212" s="1206"/>
      <c r="N212" s="1978"/>
      <c r="O212" s="1206"/>
      <c r="P212" s="1206"/>
      <c r="Q212" s="1206"/>
      <c r="R212" s="1206"/>
      <c r="S212" s="1978"/>
      <c r="T212" s="1206"/>
      <c r="U212" s="1206"/>
      <c r="V212" s="1206"/>
      <c r="W212" s="1731">
        <f t="shared" ref="W212:AG212" si="243">W210*W211/10^6</f>
        <v>0</v>
      </c>
      <c r="X212" s="1730">
        <f t="shared" si="243"/>
        <v>0</v>
      </c>
      <c r="Y212" s="1731">
        <f t="shared" si="243"/>
        <v>0</v>
      </c>
      <c r="Z212" s="1731">
        <f t="shared" si="243"/>
        <v>0</v>
      </c>
      <c r="AA212" s="1731">
        <f t="shared" si="243"/>
        <v>0</v>
      </c>
      <c r="AB212" s="1733">
        <f t="shared" si="243"/>
        <v>0</v>
      </c>
      <c r="AC212" s="1731">
        <f t="shared" si="243"/>
        <v>0</v>
      </c>
      <c r="AD212" s="1731">
        <f t="shared" si="243"/>
        <v>0</v>
      </c>
      <c r="AE212" s="1731">
        <f t="shared" si="243"/>
        <v>0</v>
      </c>
      <c r="AF212" s="1731">
        <f t="shared" si="243"/>
        <v>0</v>
      </c>
      <c r="AG212" s="1733">
        <f t="shared" si="243"/>
        <v>0</v>
      </c>
      <c r="AH212" s="1732">
        <f>AH210*AH211/10^6</f>
        <v>0</v>
      </c>
      <c r="AI212" s="1731">
        <f>AI210*AI211/10^6</f>
        <v>0</v>
      </c>
      <c r="AJ212" s="1731">
        <f>AJ210*AJ211/10^6</f>
        <v>0</v>
      </c>
      <c r="AK212" s="1731">
        <f>AK210*AK211/10^6</f>
        <v>0</v>
      </c>
      <c r="AL212" s="1733">
        <f>AL210*AL211/10^6</f>
        <v>0</v>
      </c>
      <c r="AN212" s="991"/>
      <c r="AP212" s="2304" t="str">
        <f t="shared" si="221"/>
        <v>Rev</v>
      </c>
      <c r="AQ212" s="2305" t="str">
        <f t="shared" si="221"/>
        <v>[Service]</v>
      </c>
      <c r="AR212" s="2306" t="str">
        <f t="shared" si="222"/>
        <v>[Price]</v>
      </c>
      <c r="AS212" s="2307" t="str">
        <f t="shared" si="233"/>
        <v>-</v>
      </c>
      <c r="AT212" s="1055" t="str">
        <f t="shared" si="233"/>
        <v>-</v>
      </c>
      <c r="AU212" s="1055" t="str">
        <f t="shared" si="233"/>
        <v>-</v>
      </c>
      <c r="AV212" s="2308" t="str">
        <f t="shared" si="233"/>
        <v>-</v>
      </c>
      <c r="AW212" s="1055" t="str">
        <f t="shared" si="233"/>
        <v>-</v>
      </c>
      <c r="AX212" s="2309" t="str">
        <f t="shared" si="233"/>
        <v>-</v>
      </c>
      <c r="AY212" s="1055" t="str">
        <f t="shared" si="233"/>
        <v>-</v>
      </c>
      <c r="AZ212" s="1055" t="str">
        <f t="shared" si="233"/>
        <v>-</v>
      </c>
      <c r="BA212" s="1055" t="str">
        <f t="shared" si="233"/>
        <v>-</v>
      </c>
      <c r="BB212" s="1056" t="str">
        <f t="shared" si="233"/>
        <v>-</v>
      </c>
      <c r="BC212" s="1055" t="str">
        <f t="shared" si="233"/>
        <v>-</v>
      </c>
      <c r="BD212" s="1055" t="str">
        <f t="shared" si="233"/>
        <v>-</v>
      </c>
      <c r="BE212" s="1055" t="str">
        <f t="shared" si="233"/>
        <v>-</v>
      </c>
      <c r="BF212" s="1055" t="str">
        <f t="shared" si="233"/>
        <v>-</v>
      </c>
      <c r="BG212" s="1056" t="str">
        <f t="shared" si="233"/>
        <v>-</v>
      </c>
      <c r="BH212" s="1048"/>
      <c r="BI212" s="2304" t="str">
        <f t="shared" ref="BI212:BK275" si="244">AP212</f>
        <v>Rev</v>
      </c>
      <c r="BJ212" s="2305" t="str">
        <f t="shared" si="244"/>
        <v>[Service]</v>
      </c>
      <c r="BK212" s="2306" t="str">
        <f t="shared" si="244"/>
        <v>[Price]</v>
      </c>
      <c r="BL212" s="2307" t="str">
        <f t="shared" ref="BL212:BZ212" si="245">IF(OR(X212="",X212=0),"-",IFERROR((X212/W212-1)*(W212/W$13),"-"))</f>
        <v>-</v>
      </c>
      <c r="BM212" s="1055" t="str">
        <f t="shared" si="245"/>
        <v>-</v>
      </c>
      <c r="BN212" s="1055" t="str">
        <f t="shared" si="245"/>
        <v>-</v>
      </c>
      <c r="BO212" s="2308" t="str">
        <f t="shared" si="245"/>
        <v>-</v>
      </c>
      <c r="BP212" s="1055" t="str">
        <f t="shared" si="245"/>
        <v>-</v>
      </c>
      <c r="BQ212" s="2309" t="str">
        <f t="shared" si="245"/>
        <v>-</v>
      </c>
      <c r="BR212" s="1055" t="str">
        <f t="shared" si="245"/>
        <v>-</v>
      </c>
      <c r="BS212" s="1055" t="str">
        <f t="shared" si="245"/>
        <v>-</v>
      </c>
      <c r="BT212" s="1055" t="str">
        <f t="shared" si="245"/>
        <v>-</v>
      </c>
      <c r="BU212" s="1056" t="str">
        <f t="shared" si="245"/>
        <v>-</v>
      </c>
      <c r="BV212" s="1055" t="str">
        <f t="shared" si="245"/>
        <v>-</v>
      </c>
      <c r="BW212" s="1055" t="str">
        <f t="shared" si="245"/>
        <v>-</v>
      </c>
      <c r="BX212" s="1055" t="str">
        <f t="shared" si="245"/>
        <v>-</v>
      </c>
      <c r="BY212" s="1055" t="str">
        <f t="shared" si="245"/>
        <v>-</v>
      </c>
      <c r="BZ212" s="1056" t="str">
        <f t="shared" si="245"/>
        <v>-</v>
      </c>
    </row>
    <row r="213" spans="3:78" x14ac:dyDescent="0.3">
      <c r="C213" s="126"/>
      <c r="D213" s="126">
        <f>D210+1</f>
        <v>49</v>
      </c>
      <c r="E213" s="553" t="s">
        <v>45</v>
      </c>
      <c r="F213" s="581" t="s">
        <v>28</v>
      </c>
      <c r="G213" s="581"/>
      <c r="H213" s="581"/>
      <c r="I213" s="573" t="s">
        <v>319</v>
      </c>
      <c r="J213" s="573" t="s">
        <v>348</v>
      </c>
      <c r="K213" s="1969"/>
      <c r="L213" s="1970"/>
      <c r="M213" s="1970"/>
      <c r="N213" s="1971"/>
      <c r="O213" s="1970"/>
      <c r="P213" s="1970"/>
      <c r="Q213" s="1970"/>
      <c r="R213" s="1972"/>
      <c r="S213" s="1979"/>
      <c r="T213" s="1972"/>
      <c r="U213" s="1972"/>
      <c r="V213" s="1972"/>
      <c r="W213" s="575"/>
      <c r="X213" s="1238"/>
      <c r="Y213" s="575"/>
      <c r="Z213" s="575"/>
      <c r="AA213" s="575"/>
      <c r="AB213" s="1142"/>
      <c r="AC213" s="575"/>
      <c r="AD213" s="575"/>
      <c r="AE213" s="575"/>
      <c r="AF213" s="575"/>
      <c r="AG213" s="577"/>
      <c r="AH213" s="576"/>
      <c r="AI213" s="575"/>
      <c r="AJ213" s="575"/>
      <c r="AK213" s="575"/>
      <c r="AL213" s="577"/>
      <c r="AN213" s="1052"/>
      <c r="AP213" s="2297" t="str">
        <f t="shared" si="221"/>
        <v>Price</v>
      </c>
      <c r="AQ213" s="2298" t="str">
        <f t="shared" si="221"/>
        <v>[Service]</v>
      </c>
      <c r="AR213" s="1719" t="str">
        <f t="shared" si="222"/>
        <v>[Price]</v>
      </c>
      <c r="AS213" s="2299" t="str">
        <f t="shared" si="233"/>
        <v>-</v>
      </c>
      <c r="AT213" s="1728" t="str">
        <f t="shared" si="233"/>
        <v>-</v>
      </c>
      <c r="AU213" s="1728" t="str">
        <f t="shared" si="233"/>
        <v>-</v>
      </c>
      <c r="AV213" s="2300" t="str">
        <f t="shared" si="233"/>
        <v>-</v>
      </c>
      <c r="AW213" s="1728" t="str">
        <f t="shared" si="233"/>
        <v>-</v>
      </c>
      <c r="AX213" s="2301" t="str">
        <f t="shared" si="233"/>
        <v>-</v>
      </c>
      <c r="AY213" s="1728" t="str">
        <f t="shared" si="233"/>
        <v>-</v>
      </c>
      <c r="AZ213" s="1728" t="str">
        <f t="shared" si="233"/>
        <v>-</v>
      </c>
      <c r="BA213" s="1728" t="str">
        <f t="shared" si="233"/>
        <v>-</v>
      </c>
      <c r="BB213" s="1729" t="str">
        <f t="shared" si="233"/>
        <v>-</v>
      </c>
      <c r="BC213" s="1728" t="str">
        <f t="shared" si="233"/>
        <v>-</v>
      </c>
      <c r="BD213" s="1728" t="str">
        <f t="shared" si="233"/>
        <v>-</v>
      </c>
      <c r="BE213" s="1728" t="str">
        <f t="shared" si="233"/>
        <v>-</v>
      </c>
      <c r="BF213" s="1728" t="str">
        <f t="shared" si="233"/>
        <v>-</v>
      </c>
      <c r="BG213" s="1729" t="str">
        <f t="shared" si="233"/>
        <v>-</v>
      </c>
      <c r="BH213" s="1048"/>
      <c r="BI213" s="2297" t="str">
        <f t="shared" si="244"/>
        <v>Price</v>
      </c>
      <c r="BJ213" s="2298" t="str">
        <f t="shared" si="244"/>
        <v>[Service]</v>
      </c>
      <c r="BK213" s="1719" t="str">
        <f t="shared" si="244"/>
        <v>[Price]</v>
      </c>
      <c r="BL213" s="2299" t="str">
        <f t="shared" ref="BL213:BZ213" si="246">IF(OR(X213="",X213=0),"-",IFERROR((X213/W213-1)*(W215/W$13),"-"))</f>
        <v>-</v>
      </c>
      <c r="BM213" s="1053" t="str">
        <f t="shared" si="246"/>
        <v>-</v>
      </c>
      <c r="BN213" s="1053" t="str">
        <f t="shared" si="246"/>
        <v>-</v>
      </c>
      <c r="BO213" s="2302" t="str">
        <f t="shared" si="246"/>
        <v>-</v>
      </c>
      <c r="BP213" s="1053" t="str">
        <f t="shared" si="246"/>
        <v>-</v>
      </c>
      <c r="BQ213" s="2303" t="str">
        <f t="shared" si="246"/>
        <v>-</v>
      </c>
      <c r="BR213" s="1053" t="str">
        <f t="shared" si="246"/>
        <v>-</v>
      </c>
      <c r="BS213" s="1053" t="str">
        <f t="shared" si="246"/>
        <v>-</v>
      </c>
      <c r="BT213" s="1053" t="str">
        <f t="shared" si="246"/>
        <v>-</v>
      </c>
      <c r="BU213" s="1054" t="str">
        <f t="shared" si="246"/>
        <v>-</v>
      </c>
      <c r="BV213" s="1053" t="str">
        <f t="shared" si="246"/>
        <v>-</v>
      </c>
      <c r="BW213" s="1053" t="str">
        <f t="shared" si="246"/>
        <v>-</v>
      </c>
      <c r="BX213" s="1053" t="str">
        <f t="shared" si="246"/>
        <v>-</v>
      </c>
      <c r="BY213" s="1053" t="str">
        <f t="shared" si="246"/>
        <v>-</v>
      </c>
      <c r="BZ213" s="1054" t="str">
        <f t="shared" si="246"/>
        <v>-</v>
      </c>
    </row>
    <row r="214" spans="3:78" x14ac:dyDescent="0.3">
      <c r="C214" s="126"/>
      <c r="D214" s="126"/>
      <c r="E214" s="558" t="s">
        <v>46</v>
      </c>
      <c r="F214" s="1722" t="str">
        <f>+F213</f>
        <v>[Service]</v>
      </c>
      <c r="G214" s="1724">
        <f>+G213</f>
        <v>0</v>
      </c>
      <c r="H214" s="1724">
        <f>+H213</f>
        <v>0</v>
      </c>
      <c r="I214" s="1725" t="str">
        <f>+I213</f>
        <v>[Price]</v>
      </c>
      <c r="J214" s="574" t="s">
        <v>323</v>
      </c>
      <c r="K214" s="1973"/>
      <c r="L214" s="1974"/>
      <c r="M214" s="1974"/>
      <c r="N214" s="1975"/>
      <c r="O214" s="1974"/>
      <c r="P214" s="1974"/>
      <c r="Q214" s="1974"/>
      <c r="R214" s="1976"/>
      <c r="S214" s="1980"/>
      <c r="T214" s="1976"/>
      <c r="U214" s="1976"/>
      <c r="V214" s="1976"/>
      <c r="W214" s="578"/>
      <c r="X214" s="1239"/>
      <c r="Y214" s="578"/>
      <c r="Z214" s="578"/>
      <c r="AA214" s="578"/>
      <c r="AB214" s="1143"/>
      <c r="AC214" s="578"/>
      <c r="AD214" s="578"/>
      <c r="AE214" s="578"/>
      <c r="AF214" s="578"/>
      <c r="AG214" s="580"/>
      <c r="AH214" s="579"/>
      <c r="AI214" s="578"/>
      <c r="AJ214" s="578"/>
      <c r="AK214" s="578"/>
      <c r="AL214" s="580"/>
      <c r="AN214" s="991"/>
      <c r="AP214" s="2285" t="str">
        <f t="shared" si="221"/>
        <v>Qty</v>
      </c>
      <c r="AQ214" s="2286" t="str">
        <f t="shared" si="221"/>
        <v>[Service]</v>
      </c>
      <c r="AR214" s="2287" t="str">
        <f t="shared" si="222"/>
        <v>[Price]</v>
      </c>
      <c r="AS214" s="2288" t="str">
        <f t="shared" si="233"/>
        <v>-</v>
      </c>
      <c r="AT214" s="1720" t="str">
        <f t="shared" si="233"/>
        <v>-</v>
      </c>
      <c r="AU214" s="1720" t="str">
        <f t="shared" si="233"/>
        <v>-</v>
      </c>
      <c r="AV214" s="2289" t="str">
        <f t="shared" si="233"/>
        <v>-</v>
      </c>
      <c r="AW214" s="1720" t="str">
        <f t="shared" si="233"/>
        <v>-</v>
      </c>
      <c r="AX214" s="2290" t="str">
        <f t="shared" si="233"/>
        <v>-</v>
      </c>
      <c r="AY214" s="1720" t="str">
        <f t="shared" si="233"/>
        <v>-</v>
      </c>
      <c r="AZ214" s="1720" t="str">
        <f t="shared" si="233"/>
        <v>-</v>
      </c>
      <c r="BA214" s="1720" t="str">
        <f t="shared" si="233"/>
        <v>-</v>
      </c>
      <c r="BB214" s="1721" t="str">
        <f t="shared" si="233"/>
        <v>-</v>
      </c>
      <c r="BC214" s="1720" t="str">
        <f t="shared" si="233"/>
        <v>-</v>
      </c>
      <c r="BD214" s="1720" t="str">
        <f t="shared" si="233"/>
        <v>-</v>
      </c>
      <c r="BE214" s="1720" t="str">
        <f t="shared" si="233"/>
        <v>-</v>
      </c>
      <c r="BF214" s="1720" t="str">
        <f t="shared" si="233"/>
        <v>-</v>
      </c>
      <c r="BG214" s="1721" t="str">
        <f t="shared" si="233"/>
        <v>-</v>
      </c>
      <c r="BH214" s="1048"/>
      <c r="BI214" s="2285" t="str">
        <f t="shared" si="244"/>
        <v>Qty</v>
      </c>
      <c r="BJ214" s="2286" t="str">
        <f t="shared" si="244"/>
        <v>[Service]</v>
      </c>
      <c r="BK214" s="2287" t="str">
        <f t="shared" si="244"/>
        <v>[Price]</v>
      </c>
      <c r="BL214" s="2288" t="str">
        <f t="shared" ref="BL214:BZ214" si="247">IF(OR(X214="",X214=0),"-",IFERROR((X214/W214-1)*(W215/W$13),"-"))</f>
        <v>-</v>
      </c>
      <c r="BM214" s="1720" t="str">
        <f t="shared" si="247"/>
        <v>-</v>
      </c>
      <c r="BN214" s="1720" t="str">
        <f t="shared" si="247"/>
        <v>-</v>
      </c>
      <c r="BO214" s="2289" t="str">
        <f t="shared" si="247"/>
        <v>-</v>
      </c>
      <c r="BP214" s="1720" t="str">
        <f t="shared" si="247"/>
        <v>-</v>
      </c>
      <c r="BQ214" s="2290" t="str">
        <f t="shared" si="247"/>
        <v>-</v>
      </c>
      <c r="BR214" s="1720" t="str">
        <f t="shared" si="247"/>
        <v>-</v>
      </c>
      <c r="BS214" s="1720" t="str">
        <f t="shared" si="247"/>
        <v>-</v>
      </c>
      <c r="BT214" s="1720" t="str">
        <f t="shared" si="247"/>
        <v>-</v>
      </c>
      <c r="BU214" s="1721" t="str">
        <f t="shared" si="247"/>
        <v>-</v>
      </c>
      <c r="BV214" s="1720" t="str">
        <f t="shared" si="247"/>
        <v>-</v>
      </c>
      <c r="BW214" s="1720" t="str">
        <f t="shared" si="247"/>
        <v>-</v>
      </c>
      <c r="BX214" s="1720" t="str">
        <f t="shared" si="247"/>
        <v>-</v>
      </c>
      <c r="BY214" s="1720" t="str">
        <f t="shared" si="247"/>
        <v>-</v>
      </c>
      <c r="BZ214" s="1721" t="str">
        <f t="shared" si="247"/>
        <v>-</v>
      </c>
    </row>
    <row r="215" spans="3:78" ht="12.5" thickBot="1" x14ac:dyDescent="0.35">
      <c r="C215" s="126"/>
      <c r="D215" s="126"/>
      <c r="E215" s="559" t="s">
        <v>47</v>
      </c>
      <c r="F215" s="1723" t="str">
        <f>+F213</f>
        <v>[Service]</v>
      </c>
      <c r="G215" s="1726">
        <f>+G213</f>
        <v>0</v>
      </c>
      <c r="H215" s="1726">
        <f>+H213</f>
        <v>0</v>
      </c>
      <c r="I215" s="1727" t="str">
        <f>+I213</f>
        <v>[Price]</v>
      </c>
      <c r="J215" s="556" t="s">
        <v>347</v>
      </c>
      <c r="K215" s="1977"/>
      <c r="L215" s="1206"/>
      <c r="M215" s="1206"/>
      <c r="N215" s="1978"/>
      <c r="O215" s="1206"/>
      <c r="P215" s="1206"/>
      <c r="Q215" s="1206"/>
      <c r="R215" s="1206"/>
      <c r="S215" s="1978"/>
      <c r="T215" s="1206"/>
      <c r="U215" s="1206"/>
      <c r="V215" s="1206"/>
      <c r="W215" s="1731">
        <f t="shared" ref="W215:AG215" si="248">W213*W214/10^6</f>
        <v>0</v>
      </c>
      <c r="X215" s="1730">
        <f t="shared" si="248"/>
        <v>0</v>
      </c>
      <c r="Y215" s="1731">
        <f t="shared" si="248"/>
        <v>0</v>
      </c>
      <c r="Z215" s="1731">
        <f t="shared" si="248"/>
        <v>0</v>
      </c>
      <c r="AA215" s="1731">
        <f t="shared" si="248"/>
        <v>0</v>
      </c>
      <c r="AB215" s="1733">
        <f t="shared" si="248"/>
        <v>0</v>
      </c>
      <c r="AC215" s="1731">
        <f t="shared" si="248"/>
        <v>0</v>
      </c>
      <c r="AD215" s="1731">
        <f t="shared" si="248"/>
        <v>0</v>
      </c>
      <c r="AE215" s="1731">
        <f t="shared" si="248"/>
        <v>0</v>
      </c>
      <c r="AF215" s="1731">
        <f t="shared" si="248"/>
        <v>0</v>
      </c>
      <c r="AG215" s="1733">
        <f t="shared" si="248"/>
        <v>0</v>
      </c>
      <c r="AH215" s="1732">
        <f>AH213*AH214/10^6</f>
        <v>0</v>
      </c>
      <c r="AI215" s="1731">
        <f>AI213*AI214/10^6</f>
        <v>0</v>
      </c>
      <c r="AJ215" s="1731">
        <f>AJ213*AJ214/10^6</f>
        <v>0</v>
      </c>
      <c r="AK215" s="1731">
        <f>AK213*AK214/10^6</f>
        <v>0</v>
      </c>
      <c r="AL215" s="1733">
        <f>AL213*AL214/10^6</f>
        <v>0</v>
      </c>
      <c r="AN215" s="991"/>
      <c r="AP215" s="2304" t="str">
        <f t="shared" si="221"/>
        <v>Rev</v>
      </c>
      <c r="AQ215" s="2305" t="str">
        <f t="shared" si="221"/>
        <v>[Service]</v>
      </c>
      <c r="AR215" s="2306" t="str">
        <f t="shared" si="222"/>
        <v>[Price]</v>
      </c>
      <c r="AS215" s="2307" t="str">
        <f t="shared" si="233"/>
        <v>-</v>
      </c>
      <c r="AT215" s="1055" t="str">
        <f t="shared" si="233"/>
        <v>-</v>
      </c>
      <c r="AU215" s="1055" t="str">
        <f t="shared" si="233"/>
        <v>-</v>
      </c>
      <c r="AV215" s="2308" t="str">
        <f t="shared" si="233"/>
        <v>-</v>
      </c>
      <c r="AW215" s="1055" t="str">
        <f t="shared" si="233"/>
        <v>-</v>
      </c>
      <c r="AX215" s="2309" t="str">
        <f t="shared" si="233"/>
        <v>-</v>
      </c>
      <c r="AY215" s="1055" t="str">
        <f t="shared" si="233"/>
        <v>-</v>
      </c>
      <c r="AZ215" s="1055" t="str">
        <f t="shared" si="233"/>
        <v>-</v>
      </c>
      <c r="BA215" s="1055" t="str">
        <f t="shared" si="233"/>
        <v>-</v>
      </c>
      <c r="BB215" s="1056" t="str">
        <f t="shared" si="233"/>
        <v>-</v>
      </c>
      <c r="BC215" s="1055" t="str">
        <f t="shared" si="233"/>
        <v>-</v>
      </c>
      <c r="BD215" s="1055" t="str">
        <f t="shared" si="233"/>
        <v>-</v>
      </c>
      <c r="BE215" s="1055" t="str">
        <f t="shared" si="233"/>
        <v>-</v>
      </c>
      <c r="BF215" s="1055" t="str">
        <f t="shared" si="233"/>
        <v>-</v>
      </c>
      <c r="BG215" s="1056" t="str">
        <f t="shared" si="233"/>
        <v>-</v>
      </c>
      <c r="BH215" s="1048"/>
      <c r="BI215" s="2304" t="str">
        <f t="shared" si="244"/>
        <v>Rev</v>
      </c>
      <c r="BJ215" s="2305" t="str">
        <f t="shared" si="244"/>
        <v>[Service]</v>
      </c>
      <c r="BK215" s="2306" t="str">
        <f t="shared" si="244"/>
        <v>[Price]</v>
      </c>
      <c r="BL215" s="2307" t="str">
        <f t="shared" ref="BL215:BZ215" si="249">IF(OR(X215="",X215=0),"-",IFERROR((X215/W215-1)*(W215/W$13),"-"))</f>
        <v>-</v>
      </c>
      <c r="BM215" s="1055" t="str">
        <f t="shared" si="249"/>
        <v>-</v>
      </c>
      <c r="BN215" s="1055" t="str">
        <f t="shared" si="249"/>
        <v>-</v>
      </c>
      <c r="BO215" s="2308" t="str">
        <f t="shared" si="249"/>
        <v>-</v>
      </c>
      <c r="BP215" s="1055" t="str">
        <f t="shared" si="249"/>
        <v>-</v>
      </c>
      <c r="BQ215" s="2309" t="str">
        <f t="shared" si="249"/>
        <v>-</v>
      </c>
      <c r="BR215" s="1055" t="str">
        <f t="shared" si="249"/>
        <v>-</v>
      </c>
      <c r="BS215" s="1055" t="str">
        <f t="shared" si="249"/>
        <v>-</v>
      </c>
      <c r="BT215" s="1055" t="str">
        <f t="shared" si="249"/>
        <v>-</v>
      </c>
      <c r="BU215" s="1056" t="str">
        <f t="shared" si="249"/>
        <v>-</v>
      </c>
      <c r="BV215" s="1055" t="str">
        <f t="shared" si="249"/>
        <v>-</v>
      </c>
      <c r="BW215" s="1055" t="str">
        <f t="shared" si="249"/>
        <v>-</v>
      </c>
      <c r="BX215" s="1055" t="str">
        <f t="shared" si="249"/>
        <v>-</v>
      </c>
      <c r="BY215" s="1055" t="str">
        <f t="shared" si="249"/>
        <v>-</v>
      </c>
      <c r="BZ215" s="1056" t="str">
        <f t="shared" si="249"/>
        <v>-</v>
      </c>
    </row>
    <row r="216" spans="3:78" x14ac:dyDescent="0.3">
      <c r="C216" s="126"/>
      <c r="D216" s="126">
        <f>D213+1</f>
        <v>50</v>
      </c>
      <c r="E216" s="553" t="s">
        <v>45</v>
      </c>
      <c r="F216" s="581" t="s">
        <v>28</v>
      </c>
      <c r="G216" s="581"/>
      <c r="H216" s="581"/>
      <c r="I216" s="573" t="s">
        <v>319</v>
      </c>
      <c r="J216" s="573" t="s">
        <v>348</v>
      </c>
      <c r="K216" s="1969"/>
      <c r="L216" s="1970"/>
      <c r="M216" s="1970"/>
      <c r="N216" s="1971"/>
      <c r="O216" s="1970"/>
      <c r="P216" s="1970"/>
      <c r="Q216" s="1970"/>
      <c r="R216" s="1972"/>
      <c r="S216" s="1979"/>
      <c r="T216" s="1972"/>
      <c r="U216" s="1972"/>
      <c r="V216" s="1972"/>
      <c r="W216" s="575"/>
      <c r="X216" s="1238"/>
      <c r="Y216" s="575"/>
      <c r="Z216" s="575"/>
      <c r="AA216" s="575"/>
      <c r="AB216" s="1142"/>
      <c r="AC216" s="575"/>
      <c r="AD216" s="575"/>
      <c r="AE216" s="575"/>
      <c r="AF216" s="575"/>
      <c r="AG216" s="577"/>
      <c r="AH216" s="576"/>
      <c r="AI216" s="575"/>
      <c r="AJ216" s="575"/>
      <c r="AK216" s="575"/>
      <c r="AL216" s="577"/>
      <c r="AN216" s="1052"/>
      <c r="AP216" s="2297" t="str">
        <f t="shared" si="221"/>
        <v>Price</v>
      </c>
      <c r="AQ216" s="2298" t="str">
        <f t="shared" si="221"/>
        <v>[Service]</v>
      </c>
      <c r="AR216" s="1719" t="str">
        <f t="shared" si="222"/>
        <v>[Price]</v>
      </c>
      <c r="AS216" s="2299" t="str">
        <f t="shared" si="233"/>
        <v>-</v>
      </c>
      <c r="AT216" s="1728" t="str">
        <f t="shared" si="233"/>
        <v>-</v>
      </c>
      <c r="AU216" s="1728" t="str">
        <f t="shared" si="233"/>
        <v>-</v>
      </c>
      <c r="AV216" s="2300" t="str">
        <f t="shared" si="233"/>
        <v>-</v>
      </c>
      <c r="AW216" s="1728" t="str">
        <f t="shared" si="233"/>
        <v>-</v>
      </c>
      <c r="AX216" s="2301" t="str">
        <f t="shared" si="233"/>
        <v>-</v>
      </c>
      <c r="AY216" s="1728" t="str">
        <f t="shared" si="233"/>
        <v>-</v>
      </c>
      <c r="AZ216" s="1728" t="str">
        <f t="shared" si="233"/>
        <v>-</v>
      </c>
      <c r="BA216" s="1728" t="str">
        <f t="shared" si="233"/>
        <v>-</v>
      </c>
      <c r="BB216" s="1729" t="str">
        <f t="shared" si="233"/>
        <v>-</v>
      </c>
      <c r="BC216" s="1728" t="str">
        <f t="shared" si="233"/>
        <v>-</v>
      </c>
      <c r="BD216" s="1728" t="str">
        <f t="shared" si="233"/>
        <v>-</v>
      </c>
      <c r="BE216" s="1728" t="str">
        <f t="shared" si="233"/>
        <v>-</v>
      </c>
      <c r="BF216" s="1728" t="str">
        <f t="shared" si="233"/>
        <v>-</v>
      </c>
      <c r="BG216" s="1729" t="str">
        <f t="shared" si="233"/>
        <v>-</v>
      </c>
      <c r="BH216" s="1048"/>
      <c r="BI216" s="2297" t="str">
        <f t="shared" si="244"/>
        <v>Price</v>
      </c>
      <c r="BJ216" s="2298" t="str">
        <f t="shared" si="244"/>
        <v>[Service]</v>
      </c>
      <c r="BK216" s="1719" t="str">
        <f t="shared" si="244"/>
        <v>[Price]</v>
      </c>
      <c r="BL216" s="2299" t="str">
        <f t="shared" ref="BL216:BZ216" si="250">IF(OR(X216="",X216=0),"-",IFERROR((X216/W216-1)*(W218/W$13),"-"))</f>
        <v>-</v>
      </c>
      <c r="BM216" s="1053" t="str">
        <f t="shared" si="250"/>
        <v>-</v>
      </c>
      <c r="BN216" s="1053" t="str">
        <f t="shared" si="250"/>
        <v>-</v>
      </c>
      <c r="BO216" s="2302" t="str">
        <f t="shared" si="250"/>
        <v>-</v>
      </c>
      <c r="BP216" s="1053" t="str">
        <f t="shared" si="250"/>
        <v>-</v>
      </c>
      <c r="BQ216" s="2303" t="str">
        <f t="shared" si="250"/>
        <v>-</v>
      </c>
      <c r="BR216" s="1053" t="str">
        <f t="shared" si="250"/>
        <v>-</v>
      </c>
      <c r="BS216" s="1053" t="str">
        <f t="shared" si="250"/>
        <v>-</v>
      </c>
      <c r="BT216" s="1053" t="str">
        <f t="shared" si="250"/>
        <v>-</v>
      </c>
      <c r="BU216" s="1054" t="str">
        <f t="shared" si="250"/>
        <v>-</v>
      </c>
      <c r="BV216" s="1053" t="str">
        <f t="shared" si="250"/>
        <v>-</v>
      </c>
      <c r="BW216" s="1053" t="str">
        <f t="shared" si="250"/>
        <v>-</v>
      </c>
      <c r="BX216" s="1053" t="str">
        <f t="shared" si="250"/>
        <v>-</v>
      </c>
      <c r="BY216" s="1053" t="str">
        <f t="shared" si="250"/>
        <v>-</v>
      </c>
      <c r="BZ216" s="1054" t="str">
        <f t="shared" si="250"/>
        <v>-</v>
      </c>
    </row>
    <row r="217" spans="3:78" x14ac:dyDescent="0.3">
      <c r="C217" s="126"/>
      <c r="D217" s="126"/>
      <c r="E217" s="558" t="s">
        <v>46</v>
      </c>
      <c r="F217" s="1722" t="str">
        <f>+F216</f>
        <v>[Service]</v>
      </c>
      <c r="G217" s="1724">
        <f>+G216</f>
        <v>0</v>
      </c>
      <c r="H217" s="1724">
        <f>+H216</f>
        <v>0</v>
      </c>
      <c r="I217" s="1725" t="str">
        <f>+I216</f>
        <v>[Price]</v>
      </c>
      <c r="J217" s="574" t="s">
        <v>323</v>
      </c>
      <c r="K217" s="1973"/>
      <c r="L217" s="1974"/>
      <c r="M217" s="1974"/>
      <c r="N217" s="1975"/>
      <c r="O217" s="1974"/>
      <c r="P217" s="1974"/>
      <c r="Q217" s="1974"/>
      <c r="R217" s="1976"/>
      <c r="S217" s="1980"/>
      <c r="T217" s="1976"/>
      <c r="U217" s="1976"/>
      <c r="V217" s="1976"/>
      <c r="W217" s="578"/>
      <c r="X217" s="1239"/>
      <c r="Y217" s="578"/>
      <c r="Z217" s="578"/>
      <c r="AA217" s="578"/>
      <c r="AB217" s="1143"/>
      <c r="AC217" s="578"/>
      <c r="AD217" s="578"/>
      <c r="AE217" s="578"/>
      <c r="AF217" s="578"/>
      <c r="AG217" s="580"/>
      <c r="AH217" s="579"/>
      <c r="AI217" s="578"/>
      <c r="AJ217" s="578"/>
      <c r="AK217" s="578"/>
      <c r="AL217" s="580"/>
      <c r="AN217" s="991"/>
      <c r="AP217" s="2285" t="str">
        <f t="shared" si="221"/>
        <v>Qty</v>
      </c>
      <c r="AQ217" s="2286" t="str">
        <f t="shared" si="221"/>
        <v>[Service]</v>
      </c>
      <c r="AR217" s="2287" t="str">
        <f t="shared" si="222"/>
        <v>[Price]</v>
      </c>
      <c r="AS217" s="2288" t="str">
        <f t="shared" si="233"/>
        <v>-</v>
      </c>
      <c r="AT217" s="1720" t="str">
        <f t="shared" si="233"/>
        <v>-</v>
      </c>
      <c r="AU217" s="1720" t="str">
        <f t="shared" si="233"/>
        <v>-</v>
      </c>
      <c r="AV217" s="2289" t="str">
        <f t="shared" si="233"/>
        <v>-</v>
      </c>
      <c r="AW217" s="1720" t="str">
        <f t="shared" si="233"/>
        <v>-</v>
      </c>
      <c r="AX217" s="2290" t="str">
        <f t="shared" si="233"/>
        <v>-</v>
      </c>
      <c r="AY217" s="1720" t="str">
        <f t="shared" si="233"/>
        <v>-</v>
      </c>
      <c r="AZ217" s="1720" t="str">
        <f t="shared" si="233"/>
        <v>-</v>
      </c>
      <c r="BA217" s="1720" t="str">
        <f t="shared" si="233"/>
        <v>-</v>
      </c>
      <c r="BB217" s="1721" t="str">
        <f t="shared" si="233"/>
        <v>-</v>
      </c>
      <c r="BC217" s="1720" t="str">
        <f t="shared" si="233"/>
        <v>-</v>
      </c>
      <c r="BD217" s="1720" t="str">
        <f t="shared" si="233"/>
        <v>-</v>
      </c>
      <c r="BE217" s="1720" t="str">
        <f t="shared" si="233"/>
        <v>-</v>
      </c>
      <c r="BF217" s="1720" t="str">
        <f t="shared" si="233"/>
        <v>-</v>
      </c>
      <c r="BG217" s="1721" t="str">
        <f t="shared" si="233"/>
        <v>-</v>
      </c>
      <c r="BH217" s="1048"/>
      <c r="BI217" s="2285" t="str">
        <f t="shared" si="244"/>
        <v>Qty</v>
      </c>
      <c r="BJ217" s="2286" t="str">
        <f t="shared" si="244"/>
        <v>[Service]</v>
      </c>
      <c r="BK217" s="2287" t="str">
        <f t="shared" si="244"/>
        <v>[Price]</v>
      </c>
      <c r="BL217" s="2288" t="str">
        <f t="shared" ref="BL217:BZ217" si="251">IF(OR(X217="",X217=0),"-",IFERROR((X217/W217-1)*(W218/W$13),"-"))</f>
        <v>-</v>
      </c>
      <c r="BM217" s="1720" t="str">
        <f t="shared" si="251"/>
        <v>-</v>
      </c>
      <c r="BN217" s="1720" t="str">
        <f t="shared" si="251"/>
        <v>-</v>
      </c>
      <c r="BO217" s="2289" t="str">
        <f t="shared" si="251"/>
        <v>-</v>
      </c>
      <c r="BP217" s="1720" t="str">
        <f t="shared" si="251"/>
        <v>-</v>
      </c>
      <c r="BQ217" s="2290" t="str">
        <f t="shared" si="251"/>
        <v>-</v>
      </c>
      <c r="BR217" s="1720" t="str">
        <f t="shared" si="251"/>
        <v>-</v>
      </c>
      <c r="BS217" s="1720" t="str">
        <f t="shared" si="251"/>
        <v>-</v>
      </c>
      <c r="BT217" s="1720" t="str">
        <f t="shared" si="251"/>
        <v>-</v>
      </c>
      <c r="BU217" s="1721" t="str">
        <f t="shared" si="251"/>
        <v>-</v>
      </c>
      <c r="BV217" s="1720" t="str">
        <f t="shared" si="251"/>
        <v>-</v>
      </c>
      <c r="BW217" s="1720" t="str">
        <f t="shared" si="251"/>
        <v>-</v>
      </c>
      <c r="BX217" s="1720" t="str">
        <f t="shared" si="251"/>
        <v>-</v>
      </c>
      <c r="BY217" s="1720" t="str">
        <f t="shared" si="251"/>
        <v>-</v>
      </c>
      <c r="BZ217" s="1721" t="str">
        <f t="shared" si="251"/>
        <v>-</v>
      </c>
    </row>
    <row r="218" spans="3:78" ht="12.5" thickBot="1" x14ac:dyDescent="0.35">
      <c r="C218" s="126"/>
      <c r="D218" s="126"/>
      <c r="E218" s="559" t="s">
        <v>47</v>
      </c>
      <c r="F218" s="1723" t="str">
        <f>+F216</f>
        <v>[Service]</v>
      </c>
      <c r="G218" s="1726">
        <f>+G216</f>
        <v>0</v>
      </c>
      <c r="H218" s="1726">
        <f>+H216</f>
        <v>0</v>
      </c>
      <c r="I218" s="1727" t="str">
        <f>+I216</f>
        <v>[Price]</v>
      </c>
      <c r="J218" s="556" t="s">
        <v>347</v>
      </c>
      <c r="K218" s="1977"/>
      <c r="L218" s="1206"/>
      <c r="M218" s="1206"/>
      <c r="N218" s="1978"/>
      <c r="O218" s="1206"/>
      <c r="P218" s="1206"/>
      <c r="Q218" s="1206"/>
      <c r="R218" s="1206"/>
      <c r="S218" s="1978"/>
      <c r="T218" s="1206"/>
      <c r="U218" s="1206"/>
      <c r="V218" s="1206"/>
      <c r="W218" s="1731">
        <f t="shared" ref="W218:AG218" si="252">W216*W217/10^6</f>
        <v>0</v>
      </c>
      <c r="X218" s="1730">
        <f t="shared" si="252"/>
        <v>0</v>
      </c>
      <c r="Y218" s="1731">
        <f t="shared" si="252"/>
        <v>0</v>
      </c>
      <c r="Z218" s="1731">
        <f t="shared" si="252"/>
        <v>0</v>
      </c>
      <c r="AA218" s="1731">
        <f t="shared" si="252"/>
        <v>0</v>
      </c>
      <c r="AB218" s="1733">
        <f t="shared" si="252"/>
        <v>0</v>
      </c>
      <c r="AC218" s="1731">
        <f t="shared" si="252"/>
        <v>0</v>
      </c>
      <c r="AD218" s="1731">
        <f t="shared" si="252"/>
        <v>0</v>
      </c>
      <c r="AE218" s="1731">
        <f t="shared" si="252"/>
        <v>0</v>
      </c>
      <c r="AF218" s="1731">
        <f t="shared" si="252"/>
        <v>0</v>
      </c>
      <c r="AG218" s="1733">
        <f t="shared" si="252"/>
        <v>0</v>
      </c>
      <c r="AH218" s="1732">
        <f>AH216*AH217/10^6</f>
        <v>0</v>
      </c>
      <c r="AI218" s="1731">
        <f>AI216*AI217/10^6</f>
        <v>0</v>
      </c>
      <c r="AJ218" s="1731">
        <f>AJ216*AJ217/10^6</f>
        <v>0</v>
      </c>
      <c r="AK218" s="1731">
        <f>AK216*AK217/10^6</f>
        <v>0</v>
      </c>
      <c r="AL218" s="1733">
        <f>AL216*AL217/10^6</f>
        <v>0</v>
      </c>
      <c r="AN218" s="991"/>
      <c r="AP218" s="2304" t="str">
        <f t="shared" si="221"/>
        <v>Rev</v>
      </c>
      <c r="AQ218" s="2305" t="str">
        <f t="shared" si="221"/>
        <v>[Service]</v>
      </c>
      <c r="AR218" s="2306" t="str">
        <f t="shared" si="222"/>
        <v>[Price]</v>
      </c>
      <c r="AS218" s="2307" t="str">
        <f t="shared" si="233"/>
        <v>-</v>
      </c>
      <c r="AT218" s="1055" t="str">
        <f t="shared" si="233"/>
        <v>-</v>
      </c>
      <c r="AU218" s="1055" t="str">
        <f t="shared" si="233"/>
        <v>-</v>
      </c>
      <c r="AV218" s="2308" t="str">
        <f t="shared" si="233"/>
        <v>-</v>
      </c>
      <c r="AW218" s="1055" t="str">
        <f t="shared" si="233"/>
        <v>-</v>
      </c>
      <c r="AX218" s="2309" t="str">
        <f t="shared" si="233"/>
        <v>-</v>
      </c>
      <c r="AY218" s="1055" t="str">
        <f t="shared" si="233"/>
        <v>-</v>
      </c>
      <c r="AZ218" s="1055" t="str">
        <f t="shared" si="233"/>
        <v>-</v>
      </c>
      <c r="BA218" s="1055" t="str">
        <f t="shared" si="233"/>
        <v>-</v>
      </c>
      <c r="BB218" s="1056" t="str">
        <f t="shared" si="233"/>
        <v>-</v>
      </c>
      <c r="BC218" s="1055" t="str">
        <f t="shared" si="233"/>
        <v>-</v>
      </c>
      <c r="BD218" s="1055" t="str">
        <f t="shared" si="233"/>
        <v>-</v>
      </c>
      <c r="BE218" s="1055" t="str">
        <f t="shared" si="233"/>
        <v>-</v>
      </c>
      <c r="BF218" s="1055" t="str">
        <f t="shared" si="233"/>
        <v>-</v>
      </c>
      <c r="BG218" s="1056" t="str">
        <f t="shared" si="233"/>
        <v>-</v>
      </c>
      <c r="BH218" s="1048"/>
      <c r="BI218" s="2304" t="str">
        <f t="shared" si="244"/>
        <v>Rev</v>
      </c>
      <c r="BJ218" s="2305" t="str">
        <f t="shared" si="244"/>
        <v>[Service]</v>
      </c>
      <c r="BK218" s="2306" t="str">
        <f t="shared" si="244"/>
        <v>[Price]</v>
      </c>
      <c r="BL218" s="2307" t="str">
        <f t="shared" ref="BL218:BZ218" si="253">IF(OR(X218="",X218=0),"-",IFERROR((X218/W218-1)*(W218/W$13),"-"))</f>
        <v>-</v>
      </c>
      <c r="BM218" s="1055" t="str">
        <f t="shared" si="253"/>
        <v>-</v>
      </c>
      <c r="BN218" s="1055" t="str">
        <f t="shared" si="253"/>
        <v>-</v>
      </c>
      <c r="BO218" s="2308" t="str">
        <f t="shared" si="253"/>
        <v>-</v>
      </c>
      <c r="BP218" s="1055" t="str">
        <f t="shared" si="253"/>
        <v>-</v>
      </c>
      <c r="BQ218" s="2309" t="str">
        <f t="shared" si="253"/>
        <v>-</v>
      </c>
      <c r="BR218" s="1055" t="str">
        <f t="shared" si="253"/>
        <v>-</v>
      </c>
      <c r="BS218" s="1055" t="str">
        <f t="shared" si="253"/>
        <v>-</v>
      </c>
      <c r="BT218" s="1055" t="str">
        <f t="shared" si="253"/>
        <v>-</v>
      </c>
      <c r="BU218" s="1056" t="str">
        <f t="shared" si="253"/>
        <v>-</v>
      </c>
      <c r="BV218" s="1055" t="str">
        <f t="shared" si="253"/>
        <v>-</v>
      </c>
      <c r="BW218" s="1055" t="str">
        <f t="shared" si="253"/>
        <v>-</v>
      </c>
      <c r="BX218" s="1055" t="str">
        <f t="shared" si="253"/>
        <v>-</v>
      </c>
      <c r="BY218" s="1055" t="str">
        <f t="shared" si="253"/>
        <v>-</v>
      </c>
      <c r="BZ218" s="1056" t="str">
        <f t="shared" si="253"/>
        <v>-</v>
      </c>
    </row>
    <row r="219" spans="3:78" x14ac:dyDescent="0.3">
      <c r="C219" s="126"/>
      <c r="D219" s="126">
        <f>D216+1</f>
        <v>51</v>
      </c>
      <c r="E219" s="553" t="s">
        <v>45</v>
      </c>
      <c r="F219" s="581" t="s">
        <v>28</v>
      </c>
      <c r="G219" s="581"/>
      <c r="H219" s="581"/>
      <c r="I219" s="573" t="s">
        <v>319</v>
      </c>
      <c r="J219" s="573" t="s">
        <v>348</v>
      </c>
      <c r="K219" s="1969"/>
      <c r="L219" s="1970"/>
      <c r="M219" s="1970"/>
      <c r="N219" s="1971"/>
      <c r="O219" s="1970"/>
      <c r="P219" s="1970"/>
      <c r="Q219" s="1970"/>
      <c r="R219" s="1972"/>
      <c r="S219" s="1979"/>
      <c r="T219" s="1972"/>
      <c r="U219" s="1972"/>
      <c r="V219" s="1972"/>
      <c r="W219" s="575"/>
      <c r="X219" s="1238"/>
      <c r="Y219" s="575"/>
      <c r="Z219" s="575"/>
      <c r="AA219" s="575"/>
      <c r="AB219" s="1142"/>
      <c r="AC219" s="575"/>
      <c r="AD219" s="575"/>
      <c r="AE219" s="575"/>
      <c r="AF219" s="575"/>
      <c r="AG219" s="577"/>
      <c r="AH219" s="576"/>
      <c r="AI219" s="575"/>
      <c r="AJ219" s="575"/>
      <c r="AK219" s="575"/>
      <c r="AL219" s="577"/>
      <c r="AN219" s="1052"/>
      <c r="AP219" s="2297" t="str">
        <f t="shared" si="221"/>
        <v>Price</v>
      </c>
      <c r="AQ219" s="2298" t="str">
        <f t="shared" si="221"/>
        <v>[Service]</v>
      </c>
      <c r="AR219" s="1719" t="str">
        <f t="shared" si="222"/>
        <v>[Price]</v>
      </c>
      <c r="AS219" s="2299" t="str">
        <f t="shared" si="233"/>
        <v>-</v>
      </c>
      <c r="AT219" s="1728" t="str">
        <f t="shared" si="233"/>
        <v>-</v>
      </c>
      <c r="AU219" s="1728" t="str">
        <f t="shared" si="233"/>
        <v>-</v>
      </c>
      <c r="AV219" s="2300" t="str">
        <f t="shared" si="233"/>
        <v>-</v>
      </c>
      <c r="AW219" s="1728" t="str">
        <f t="shared" si="233"/>
        <v>-</v>
      </c>
      <c r="AX219" s="2301" t="str">
        <f t="shared" si="233"/>
        <v>-</v>
      </c>
      <c r="AY219" s="1728" t="str">
        <f t="shared" si="233"/>
        <v>-</v>
      </c>
      <c r="AZ219" s="1728" t="str">
        <f t="shared" si="233"/>
        <v>-</v>
      </c>
      <c r="BA219" s="1728" t="str">
        <f t="shared" si="233"/>
        <v>-</v>
      </c>
      <c r="BB219" s="1729" t="str">
        <f t="shared" si="233"/>
        <v>-</v>
      </c>
      <c r="BC219" s="1728" t="str">
        <f t="shared" si="233"/>
        <v>-</v>
      </c>
      <c r="BD219" s="1728" t="str">
        <f t="shared" si="233"/>
        <v>-</v>
      </c>
      <c r="BE219" s="1728" t="str">
        <f t="shared" si="233"/>
        <v>-</v>
      </c>
      <c r="BF219" s="1728" t="str">
        <f t="shared" si="233"/>
        <v>-</v>
      </c>
      <c r="BG219" s="1729" t="str">
        <f t="shared" si="233"/>
        <v>-</v>
      </c>
      <c r="BH219" s="1048"/>
      <c r="BI219" s="2297" t="str">
        <f t="shared" si="244"/>
        <v>Price</v>
      </c>
      <c r="BJ219" s="2298" t="str">
        <f t="shared" si="244"/>
        <v>[Service]</v>
      </c>
      <c r="BK219" s="1719" t="str">
        <f t="shared" si="244"/>
        <v>[Price]</v>
      </c>
      <c r="BL219" s="2299" t="str">
        <f t="shared" ref="BL219:BZ219" si="254">IF(OR(X219="",X219=0),"-",IFERROR((X219/W219-1)*(W221/W$13),"-"))</f>
        <v>-</v>
      </c>
      <c r="BM219" s="1053" t="str">
        <f t="shared" si="254"/>
        <v>-</v>
      </c>
      <c r="BN219" s="1053" t="str">
        <f t="shared" si="254"/>
        <v>-</v>
      </c>
      <c r="BO219" s="2302" t="str">
        <f t="shared" si="254"/>
        <v>-</v>
      </c>
      <c r="BP219" s="1053" t="str">
        <f t="shared" si="254"/>
        <v>-</v>
      </c>
      <c r="BQ219" s="2303" t="str">
        <f t="shared" si="254"/>
        <v>-</v>
      </c>
      <c r="BR219" s="1053" t="str">
        <f t="shared" si="254"/>
        <v>-</v>
      </c>
      <c r="BS219" s="1053" t="str">
        <f t="shared" si="254"/>
        <v>-</v>
      </c>
      <c r="BT219" s="1053" t="str">
        <f t="shared" si="254"/>
        <v>-</v>
      </c>
      <c r="BU219" s="1054" t="str">
        <f t="shared" si="254"/>
        <v>-</v>
      </c>
      <c r="BV219" s="1053" t="str">
        <f t="shared" si="254"/>
        <v>-</v>
      </c>
      <c r="BW219" s="1053" t="str">
        <f t="shared" si="254"/>
        <v>-</v>
      </c>
      <c r="BX219" s="1053" t="str">
        <f t="shared" si="254"/>
        <v>-</v>
      </c>
      <c r="BY219" s="1053" t="str">
        <f t="shared" si="254"/>
        <v>-</v>
      </c>
      <c r="BZ219" s="1054" t="str">
        <f t="shared" si="254"/>
        <v>-</v>
      </c>
    </row>
    <row r="220" spans="3:78" x14ac:dyDescent="0.3">
      <c r="C220" s="126"/>
      <c r="D220" s="126"/>
      <c r="E220" s="558" t="s">
        <v>46</v>
      </c>
      <c r="F220" s="1722" t="str">
        <f>+F219</f>
        <v>[Service]</v>
      </c>
      <c r="G220" s="1724">
        <f>+G219</f>
        <v>0</v>
      </c>
      <c r="H220" s="1724">
        <f>+H219</f>
        <v>0</v>
      </c>
      <c r="I220" s="1725" t="str">
        <f>+I219</f>
        <v>[Price]</v>
      </c>
      <c r="J220" s="574" t="s">
        <v>323</v>
      </c>
      <c r="K220" s="1973"/>
      <c r="L220" s="1974"/>
      <c r="M220" s="1974"/>
      <c r="N220" s="1975"/>
      <c r="O220" s="1974"/>
      <c r="P220" s="1974"/>
      <c r="Q220" s="1974"/>
      <c r="R220" s="1976"/>
      <c r="S220" s="1980"/>
      <c r="T220" s="1976"/>
      <c r="U220" s="1976"/>
      <c r="V220" s="1976"/>
      <c r="W220" s="578"/>
      <c r="X220" s="1239"/>
      <c r="Y220" s="578"/>
      <c r="Z220" s="578"/>
      <c r="AA220" s="578"/>
      <c r="AB220" s="1143"/>
      <c r="AC220" s="578"/>
      <c r="AD220" s="578"/>
      <c r="AE220" s="578"/>
      <c r="AF220" s="578"/>
      <c r="AG220" s="580"/>
      <c r="AH220" s="579"/>
      <c r="AI220" s="578"/>
      <c r="AJ220" s="578"/>
      <c r="AK220" s="578"/>
      <c r="AL220" s="580"/>
      <c r="AN220" s="991"/>
      <c r="AP220" s="2285" t="str">
        <f t="shared" si="221"/>
        <v>Qty</v>
      </c>
      <c r="AQ220" s="2286" t="str">
        <f t="shared" si="221"/>
        <v>[Service]</v>
      </c>
      <c r="AR220" s="2287" t="str">
        <f t="shared" si="222"/>
        <v>[Price]</v>
      </c>
      <c r="AS220" s="2288" t="str">
        <f t="shared" si="233"/>
        <v>-</v>
      </c>
      <c r="AT220" s="1720" t="str">
        <f t="shared" si="233"/>
        <v>-</v>
      </c>
      <c r="AU220" s="1720" t="str">
        <f t="shared" si="233"/>
        <v>-</v>
      </c>
      <c r="AV220" s="2289" t="str">
        <f t="shared" si="233"/>
        <v>-</v>
      </c>
      <c r="AW220" s="1720" t="str">
        <f t="shared" si="233"/>
        <v>-</v>
      </c>
      <c r="AX220" s="2290" t="str">
        <f t="shared" si="233"/>
        <v>-</v>
      </c>
      <c r="AY220" s="1720" t="str">
        <f t="shared" si="233"/>
        <v>-</v>
      </c>
      <c r="AZ220" s="1720" t="str">
        <f t="shared" si="233"/>
        <v>-</v>
      </c>
      <c r="BA220" s="1720" t="str">
        <f t="shared" si="233"/>
        <v>-</v>
      </c>
      <c r="BB220" s="1721" t="str">
        <f t="shared" si="233"/>
        <v>-</v>
      </c>
      <c r="BC220" s="1720" t="str">
        <f t="shared" si="233"/>
        <v>-</v>
      </c>
      <c r="BD220" s="1720" t="str">
        <f t="shared" si="233"/>
        <v>-</v>
      </c>
      <c r="BE220" s="1720" t="str">
        <f t="shared" si="233"/>
        <v>-</v>
      </c>
      <c r="BF220" s="1720" t="str">
        <f t="shared" si="233"/>
        <v>-</v>
      </c>
      <c r="BG220" s="1721" t="str">
        <f t="shared" si="233"/>
        <v>-</v>
      </c>
      <c r="BH220" s="1048"/>
      <c r="BI220" s="2285" t="str">
        <f t="shared" si="244"/>
        <v>Qty</v>
      </c>
      <c r="BJ220" s="2286" t="str">
        <f t="shared" si="244"/>
        <v>[Service]</v>
      </c>
      <c r="BK220" s="2287" t="str">
        <f t="shared" si="244"/>
        <v>[Price]</v>
      </c>
      <c r="BL220" s="2288" t="str">
        <f t="shared" ref="BL220:BZ220" si="255">IF(OR(X220="",X220=0),"-",IFERROR((X220/W220-1)*(W221/W$13),"-"))</f>
        <v>-</v>
      </c>
      <c r="BM220" s="1720" t="str">
        <f t="shared" si="255"/>
        <v>-</v>
      </c>
      <c r="BN220" s="1720" t="str">
        <f t="shared" si="255"/>
        <v>-</v>
      </c>
      <c r="BO220" s="2289" t="str">
        <f t="shared" si="255"/>
        <v>-</v>
      </c>
      <c r="BP220" s="1720" t="str">
        <f t="shared" si="255"/>
        <v>-</v>
      </c>
      <c r="BQ220" s="2290" t="str">
        <f t="shared" si="255"/>
        <v>-</v>
      </c>
      <c r="BR220" s="1720" t="str">
        <f t="shared" si="255"/>
        <v>-</v>
      </c>
      <c r="BS220" s="1720" t="str">
        <f t="shared" si="255"/>
        <v>-</v>
      </c>
      <c r="BT220" s="1720" t="str">
        <f t="shared" si="255"/>
        <v>-</v>
      </c>
      <c r="BU220" s="1721" t="str">
        <f t="shared" si="255"/>
        <v>-</v>
      </c>
      <c r="BV220" s="1720" t="str">
        <f t="shared" si="255"/>
        <v>-</v>
      </c>
      <c r="BW220" s="1720" t="str">
        <f t="shared" si="255"/>
        <v>-</v>
      </c>
      <c r="BX220" s="1720" t="str">
        <f t="shared" si="255"/>
        <v>-</v>
      </c>
      <c r="BY220" s="1720" t="str">
        <f t="shared" si="255"/>
        <v>-</v>
      </c>
      <c r="BZ220" s="1721" t="str">
        <f t="shared" si="255"/>
        <v>-</v>
      </c>
    </row>
    <row r="221" spans="3:78" ht="12.5" thickBot="1" x14ac:dyDescent="0.35">
      <c r="C221" s="126"/>
      <c r="D221" s="126"/>
      <c r="E221" s="559" t="s">
        <v>47</v>
      </c>
      <c r="F221" s="1723" t="str">
        <f>+F219</f>
        <v>[Service]</v>
      </c>
      <c r="G221" s="1726">
        <f>+G219</f>
        <v>0</v>
      </c>
      <c r="H221" s="1726">
        <f>+H219</f>
        <v>0</v>
      </c>
      <c r="I221" s="1727" t="str">
        <f>+I219</f>
        <v>[Price]</v>
      </c>
      <c r="J221" s="556" t="s">
        <v>347</v>
      </c>
      <c r="K221" s="1977"/>
      <c r="L221" s="1206"/>
      <c r="M221" s="1206"/>
      <c r="N221" s="1978"/>
      <c r="O221" s="1206"/>
      <c r="P221" s="1206"/>
      <c r="Q221" s="1206"/>
      <c r="R221" s="1206"/>
      <c r="S221" s="1978"/>
      <c r="T221" s="1206"/>
      <c r="U221" s="1206"/>
      <c r="V221" s="1206"/>
      <c r="W221" s="1731">
        <f t="shared" ref="W221:AG221" si="256">W219*W220/10^6</f>
        <v>0</v>
      </c>
      <c r="X221" s="1730">
        <f t="shared" si="256"/>
        <v>0</v>
      </c>
      <c r="Y221" s="1731">
        <f t="shared" si="256"/>
        <v>0</v>
      </c>
      <c r="Z221" s="1731">
        <f t="shared" si="256"/>
        <v>0</v>
      </c>
      <c r="AA221" s="1731">
        <f t="shared" si="256"/>
        <v>0</v>
      </c>
      <c r="AB221" s="1733">
        <f t="shared" si="256"/>
        <v>0</v>
      </c>
      <c r="AC221" s="1731">
        <f t="shared" si="256"/>
        <v>0</v>
      </c>
      <c r="AD221" s="1731">
        <f t="shared" si="256"/>
        <v>0</v>
      </c>
      <c r="AE221" s="1731">
        <f t="shared" si="256"/>
        <v>0</v>
      </c>
      <c r="AF221" s="1731">
        <f t="shared" si="256"/>
        <v>0</v>
      </c>
      <c r="AG221" s="1733">
        <f t="shared" si="256"/>
        <v>0</v>
      </c>
      <c r="AH221" s="1732">
        <f>AH219*AH220/10^6</f>
        <v>0</v>
      </c>
      <c r="AI221" s="1731">
        <f>AI219*AI220/10^6</f>
        <v>0</v>
      </c>
      <c r="AJ221" s="1731">
        <f>AJ219*AJ220/10^6</f>
        <v>0</v>
      </c>
      <c r="AK221" s="1731">
        <f>AK219*AK220/10^6</f>
        <v>0</v>
      </c>
      <c r="AL221" s="1733">
        <f>AL219*AL220/10^6</f>
        <v>0</v>
      </c>
      <c r="AN221" s="991"/>
      <c r="AP221" s="2304" t="str">
        <f t="shared" si="221"/>
        <v>Rev</v>
      </c>
      <c r="AQ221" s="2305" t="str">
        <f t="shared" si="221"/>
        <v>[Service]</v>
      </c>
      <c r="AR221" s="2306" t="str">
        <f t="shared" si="222"/>
        <v>[Price]</v>
      </c>
      <c r="AS221" s="2307" t="str">
        <f t="shared" si="233"/>
        <v>-</v>
      </c>
      <c r="AT221" s="1055" t="str">
        <f t="shared" si="233"/>
        <v>-</v>
      </c>
      <c r="AU221" s="1055" t="str">
        <f t="shared" si="233"/>
        <v>-</v>
      </c>
      <c r="AV221" s="2308" t="str">
        <f t="shared" si="233"/>
        <v>-</v>
      </c>
      <c r="AW221" s="1055" t="str">
        <f t="shared" si="233"/>
        <v>-</v>
      </c>
      <c r="AX221" s="2309" t="str">
        <f t="shared" si="233"/>
        <v>-</v>
      </c>
      <c r="AY221" s="1055" t="str">
        <f t="shared" si="233"/>
        <v>-</v>
      </c>
      <c r="AZ221" s="1055" t="str">
        <f t="shared" si="233"/>
        <v>-</v>
      </c>
      <c r="BA221" s="1055" t="str">
        <f t="shared" si="233"/>
        <v>-</v>
      </c>
      <c r="BB221" s="1056" t="str">
        <f t="shared" si="233"/>
        <v>-</v>
      </c>
      <c r="BC221" s="1055" t="str">
        <f t="shared" si="233"/>
        <v>-</v>
      </c>
      <c r="BD221" s="1055" t="str">
        <f t="shared" si="233"/>
        <v>-</v>
      </c>
      <c r="BE221" s="1055" t="str">
        <f t="shared" si="233"/>
        <v>-</v>
      </c>
      <c r="BF221" s="1055" t="str">
        <f t="shared" si="233"/>
        <v>-</v>
      </c>
      <c r="BG221" s="1056" t="str">
        <f t="shared" si="233"/>
        <v>-</v>
      </c>
      <c r="BH221" s="1048"/>
      <c r="BI221" s="2304" t="str">
        <f t="shared" si="244"/>
        <v>Rev</v>
      </c>
      <c r="BJ221" s="2305" t="str">
        <f t="shared" si="244"/>
        <v>[Service]</v>
      </c>
      <c r="BK221" s="2306" t="str">
        <f t="shared" si="244"/>
        <v>[Price]</v>
      </c>
      <c r="BL221" s="2307" t="str">
        <f t="shared" ref="BL221:BZ221" si="257">IF(OR(X221="",X221=0),"-",IFERROR((X221/W221-1)*(W221/W$13),"-"))</f>
        <v>-</v>
      </c>
      <c r="BM221" s="1055" t="str">
        <f t="shared" si="257"/>
        <v>-</v>
      </c>
      <c r="BN221" s="1055" t="str">
        <f t="shared" si="257"/>
        <v>-</v>
      </c>
      <c r="BO221" s="2308" t="str">
        <f t="shared" si="257"/>
        <v>-</v>
      </c>
      <c r="BP221" s="1055" t="str">
        <f t="shared" si="257"/>
        <v>-</v>
      </c>
      <c r="BQ221" s="2309" t="str">
        <f t="shared" si="257"/>
        <v>-</v>
      </c>
      <c r="BR221" s="1055" t="str">
        <f t="shared" si="257"/>
        <v>-</v>
      </c>
      <c r="BS221" s="1055" t="str">
        <f t="shared" si="257"/>
        <v>-</v>
      </c>
      <c r="BT221" s="1055" t="str">
        <f t="shared" si="257"/>
        <v>-</v>
      </c>
      <c r="BU221" s="1056" t="str">
        <f t="shared" si="257"/>
        <v>-</v>
      </c>
      <c r="BV221" s="1055" t="str">
        <f t="shared" si="257"/>
        <v>-</v>
      </c>
      <c r="BW221" s="1055" t="str">
        <f t="shared" si="257"/>
        <v>-</v>
      </c>
      <c r="BX221" s="1055" t="str">
        <f t="shared" si="257"/>
        <v>-</v>
      </c>
      <c r="BY221" s="1055" t="str">
        <f t="shared" si="257"/>
        <v>-</v>
      </c>
      <c r="BZ221" s="1056" t="str">
        <f t="shared" si="257"/>
        <v>-</v>
      </c>
    </row>
    <row r="222" spans="3:78" x14ac:dyDescent="0.3">
      <c r="C222" s="126"/>
      <c r="D222" s="126">
        <f>D219+1</f>
        <v>52</v>
      </c>
      <c r="E222" s="553" t="s">
        <v>45</v>
      </c>
      <c r="F222" s="581" t="s">
        <v>28</v>
      </c>
      <c r="G222" s="581"/>
      <c r="H222" s="581"/>
      <c r="I222" s="573" t="s">
        <v>319</v>
      </c>
      <c r="J222" s="573" t="s">
        <v>348</v>
      </c>
      <c r="K222" s="1969"/>
      <c r="L222" s="1970"/>
      <c r="M222" s="1970"/>
      <c r="N222" s="1971"/>
      <c r="O222" s="1970"/>
      <c r="P222" s="1970"/>
      <c r="Q222" s="1970"/>
      <c r="R222" s="1972"/>
      <c r="S222" s="1979"/>
      <c r="T222" s="1972"/>
      <c r="U222" s="1972"/>
      <c r="V222" s="1972"/>
      <c r="W222" s="575"/>
      <c r="X222" s="1238"/>
      <c r="Y222" s="575"/>
      <c r="Z222" s="575"/>
      <c r="AA222" s="575"/>
      <c r="AB222" s="1142"/>
      <c r="AC222" s="575"/>
      <c r="AD222" s="575"/>
      <c r="AE222" s="575"/>
      <c r="AF222" s="575"/>
      <c r="AG222" s="577"/>
      <c r="AH222" s="576"/>
      <c r="AI222" s="575"/>
      <c r="AJ222" s="575"/>
      <c r="AK222" s="575"/>
      <c r="AL222" s="577"/>
      <c r="AN222" s="1052"/>
      <c r="AP222" s="2297" t="str">
        <f t="shared" si="221"/>
        <v>Price</v>
      </c>
      <c r="AQ222" s="2298" t="str">
        <f t="shared" si="221"/>
        <v>[Service]</v>
      </c>
      <c r="AR222" s="1719" t="str">
        <f t="shared" si="222"/>
        <v>[Price]</v>
      </c>
      <c r="AS222" s="2299" t="str">
        <f t="shared" ref="AS222:BG238" si="258">IF(OR(X222="",X222=0),"-",IFERROR(X222/W222-1,"-"))</f>
        <v>-</v>
      </c>
      <c r="AT222" s="1728" t="str">
        <f t="shared" si="258"/>
        <v>-</v>
      </c>
      <c r="AU222" s="1728" t="str">
        <f t="shared" si="258"/>
        <v>-</v>
      </c>
      <c r="AV222" s="2300" t="str">
        <f t="shared" si="258"/>
        <v>-</v>
      </c>
      <c r="AW222" s="1728" t="str">
        <f t="shared" si="258"/>
        <v>-</v>
      </c>
      <c r="AX222" s="2301" t="str">
        <f t="shared" si="258"/>
        <v>-</v>
      </c>
      <c r="AY222" s="1728" t="str">
        <f t="shared" si="258"/>
        <v>-</v>
      </c>
      <c r="AZ222" s="1728" t="str">
        <f t="shared" si="258"/>
        <v>-</v>
      </c>
      <c r="BA222" s="1728" t="str">
        <f t="shared" si="258"/>
        <v>-</v>
      </c>
      <c r="BB222" s="1729" t="str">
        <f t="shared" si="258"/>
        <v>-</v>
      </c>
      <c r="BC222" s="1728" t="str">
        <f t="shared" si="258"/>
        <v>-</v>
      </c>
      <c r="BD222" s="1728" t="str">
        <f t="shared" si="258"/>
        <v>-</v>
      </c>
      <c r="BE222" s="1728" t="str">
        <f t="shared" si="258"/>
        <v>-</v>
      </c>
      <c r="BF222" s="1728" t="str">
        <f t="shared" si="258"/>
        <v>-</v>
      </c>
      <c r="BG222" s="1729" t="str">
        <f t="shared" si="258"/>
        <v>-</v>
      </c>
      <c r="BH222" s="1048"/>
      <c r="BI222" s="2297" t="str">
        <f t="shared" si="244"/>
        <v>Price</v>
      </c>
      <c r="BJ222" s="2298" t="str">
        <f t="shared" si="244"/>
        <v>[Service]</v>
      </c>
      <c r="BK222" s="1719" t="str">
        <f t="shared" si="244"/>
        <v>[Price]</v>
      </c>
      <c r="BL222" s="2299" t="str">
        <f t="shared" ref="BL222:BZ222" si="259">IF(OR(X222="",X222=0),"-",IFERROR((X222/W222-1)*(W224/W$13),"-"))</f>
        <v>-</v>
      </c>
      <c r="BM222" s="1053" t="str">
        <f t="shared" si="259"/>
        <v>-</v>
      </c>
      <c r="BN222" s="1053" t="str">
        <f t="shared" si="259"/>
        <v>-</v>
      </c>
      <c r="BO222" s="2302" t="str">
        <f t="shared" si="259"/>
        <v>-</v>
      </c>
      <c r="BP222" s="1053" t="str">
        <f t="shared" si="259"/>
        <v>-</v>
      </c>
      <c r="BQ222" s="2303" t="str">
        <f t="shared" si="259"/>
        <v>-</v>
      </c>
      <c r="BR222" s="1053" t="str">
        <f t="shared" si="259"/>
        <v>-</v>
      </c>
      <c r="BS222" s="1053" t="str">
        <f t="shared" si="259"/>
        <v>-</v>
      </c>
      <c r="BT222" s="1053" t="str">
        <f t="shared" si="259"/>
        <v>-</v>
      </c>
      <c r="BU222" s="1054" t="str">
        <f t="shared" si="259"/>
        <v>-</v>
      </c>
      <c r="BV222" s="1053" t="str">
        <f t="shared" si="259"/>
        <v>-</v>
      </c>
      <c r="BW222" s="1053" t="str">
        <f t="shared" si="259"/>
        <v>-</v>
      </c>
      <c r="BX222" s="1053" t="str">
        <f t="shared" si="259"/>
        <v>-</v>
      </c>
      <c r="BY222" s="1053" t="str">
        <f t="shared" si="259"/>
        <v>-</v>
      </c>
      <c r="BZ222" s="1054" t="str">
        <f t="shared" si="259"/>
        <v>-</v>
      </c>
    </row>
    <row r="223" spans="3:78" x14ac:dyDescent="0.3">
      <c r="C223" s="126"/>
      <c r="D223" s="126"/>
      <c r="E223" s="558" t="s">
        <v>46</v>
      </c>
      <c r="F223" s="1722" t="str">
        <f>+F222</f>
        <v>[Service]</v>
      </c>
      <c r="G223" s="1724">
        <f>+G222</f>
        <v>0</v>
      </c>
      <c r="H223" s="1724">
        <f>+H222</f>
        <v>0</v>
      </c>
      <c r="I223" s="1725" t="str">
        <f>+I222</f>
        <v>[Price]</v>
      </c>
      <c r="J223" s="574" t="s">
        <v>323</v>
      </c>
      <c r="K223" s="1973"/>
      <c r="L223" s="1974"/>
      <c r="M223" s="1974"/>
      <c r="N223" s="1975"/>
      <c r="O223" s="1974"/>
      <c r="P223" s="1974"/>
      <c r="Q223" s="1974"/>
      <c r="R223" s="1976"/>
      <c r="S223" s="1980"/>
      <c r="T223" s="1976"/>
      <c r="U223" s="1976"/>
      <c r="V223" s="1976"/>
      <c r="W223" s="578"/>
      <c r="X223" s="1239"/>
      <c r="Y223" s="578"/>
      <c r="Z223" s="578"/>
      <c r="AA223" s="578"/>
      <c r="AB223" s="1143"/>
      <c r="AC223" s="578"/>
      <c r="AD223" s="578"/>
      <c r="AE223" s="578"/>
      <c r="AF223" s="578"/>
      <c r="AG223" s="580"/>
      <c r="AH223" s="579"/>
      <c r="AI223" s="578"/>
      <c r="AJ223" s="578"/>
      <c r="AK223" s="578"/>
      <c r="AL223" s="580"/>
      <c r="AN223" s="991"/>
      <c r="AP223" s="2285" t="str">
        <f t="shared" si="221"/>
        <v>Qty</v>
      </c>
      <c r="AQ223" s="2286" t="str">
        <f t="shared" si="221"/>
        <v>[Service]</v>
      </c>
      <c r="AR223" s="2287" t="str">
        <f t="shared" si="222"/>
        <v>[Price]</v>
      </c>
      <c r="AS223" s="2288" t="str">
        <f t="shared" si="258"/>
        <v>-</v>
      </c>
      <c r="AT223" s="1720" t="str">
        <f t="shared" si="258"/>
        <v>-</v>
      </c>
      <c r="AU223" s="1720" t="str">
        <f t="shared" si="258"/>
        <v>-</v>
      </c>
      <c r="AV223" s="2289" t="str">
        <f t="shared" si="258"/>
        <v>-</v>
      </c>
      <c r="AW223" s="1720" t="str">
        <f t="shared" si="258"/>
        <v>-</v>
      </c>
      <c r="AX223" s="2290" t="str">
        <f t="shared" si="258"/>
        <v>-</v>
      </c>
      <c r="AY223" s="1720" t="str">
        <f t="shared" si="258"/>
        <v>-</v>
      </c>
      <c r="AZ223" s="1720" t="str">
        <f t="shared" si="258"/>
        <v>-</v>
      </c>
      <c r="BA223" s="1720" t="str">
        <f t="shared" si="258"/>
        <v>-</v>
      </c>
      <c r="BB223" s="1721" t="str">
        <f t="shared" si="258"/>
        <v>-</v>
      </c>
      <c r="BC223" s="1720" t="str">
        <f t="shared" si="258"/>
        <v>-</v>
      </c>
      <c r="BD223" s="1720" t="str">
        <f t="shared" si="258"/>
        <v>-</v>
      </c>
      <c r="BE223" s="1720" t="str">
        <f t="shared" si="258"/>
        <v>-</v>
      </c>
      <c r="BF223" s="1720" t="str">
        <f t="shared" si="258"/>
        <v>-</v>
      </c>
      <c r="BG223" s="1721" t="str">
        <f t="shared" si="258"/>
        <v>-</v>
      </c>
      <c r="BH223" s="1048"/>
      <c r="BI223" s="2285" t="str">
        <f t="shared" si="244"/>
        <v>Qty</v>
      </c>
      <c r="BJ223" s="2286" t="str">
        <f t="shared" si="244"/>
        <v>[Service]</v>
      </c>
      <c r="BK223" s="2287" t="str">
        <f t="shared" si="244"/>
        <v>[Price]</v>
      </c>
      <c r="BL223" s="2288" t="str">
        <f t="shared" ref="BL223:BZ223" si="260">IF(OR(X223="",X223=0),"-",IFERROR((X223/W223-1)*(W224/W$13),"-"))</f>
        <v>-</v>
      </c>
      <c r="BM223" s="1720" t="str">
        <f t="shared" si="260"/>
        <v>-</v>
      </c>
      <c r="BN223" s="1720" t="str">
        <f t="shared" si="260"/>
        <v>-</v>
      </c>
      <c r="BO223" s="2289" t="str">
        <f t="shared" si="260"/>
        <v>-</v>
      </c>
      <c r="BP223" s="1720" t="str">
        <f t="shared" si="260"/>
        <v>-</v>
      </c>
      <c r="BQ223" s="2290" t="str">
        <f t="shared" si="260"/>
        <v>-</v>
      </c>
      <c r="BR223" s="1720" t="str">
        <f t="shared" si="260"/>
        <v>-</v>
      </c>
      <c r="BS223" s="1720" t="str">
        <f t="shared" si="260"/>
        <v>-</v>
      </c>
      <c r="BT223" s="1720" t="str">
        <f t="shared" si="260"/>
        <v>-</v>
      </c>
      <c r="BU223" s="1721" t="str">
        <f t="shared" si="260"/>
        <v>-</v>
      </c>
      <c r="BV223" s="1720" t="str">
        <f t="shared" si="260"/>
        <v>-</v>
      </c>
      <c r="BW223" s="1720" t="str">
        <f t="shared" si="260"/>
        <v>-</v>
      </c>
      <c r="BX223" s="1720" t="str">
        <f t="shared" si="260"/>
        <v>-</v>
      </c>
      <c r="BY223" s="1720" t="str">
        <f t="shared" si="260"/>
        <v>-</v>
      </c>
      <c r="BZ223" s="1721" t="str">
        <f t="shared" si="260"/>
        <v>-</v>
      </c>
    </row>
    <row r="224" spans="3:78" ht="12.5" thickBot="1" x14ac:dyDescent="0.35">
      <c r="C224" s="126"/>
      <c r="D224" s="126"/>
      <c r="E224" s="559" t="s">
        <v>47</v>
      </c>
      <c r="F224" s="1723" t="str">
        <f>+F222</f>
        <v>[Service]</v>
      </c>
      <c r="G224" s="1726">
        <f>+G222</f>
        <v>0</v>
      </c>
      <c r="H224" s="1726">
        <f>+H222</f>
        <v>0</v>
      </c>
      <c r="I224" s="1727" t="str">
        <f>+I222</f>
        <v>[Price]</v>
      </c>
      <c r="J224" s="556" t="s">
        <v>347</v>
      </c>
      <c r="K224" s="1977"/>
      <c r="L224" s="1206"/>
      <c r="M224" s="1206"/>
      <c r="N224" s="1978"/>
      <c r="O224" s="1206"/>
      <c r="P224" s="1206"/>
      <c r="Q224" s="1206"/>
      <c r="R224" s="1206"/>
      <c r="S224" s="1978"/>
      <c r="T224" s="1206"/>
      <c r="U224" s="1206"/>
      <c r="V224" s="1206"/>
      <c r="W224" s="1731">
        <f t="shared" ref="W224:AG224" si="261">W222*W223/10^6</f>
        <v>0</v>
      </c>
      <c r="X224" s="1730">
        <f t="shared" si="261"/>
        <v>0</v>
      </c>
      <c r="Y224" s="1731">
        <f t="shared" si="261"/>
        <v>0</v>
      </c>
      <c r="Z224" s="1731">
        <f t="shared" si="261"/>
        <v>0</v>
      </c>
      <c r="AA224" s="1731">
        <f t="shared" si="261"/>
        <v>0</v>
      </c>
      <c r="AB224" s="1733">
        <f t="shared" si="261"/>
        <v>0</v>
      </c>
      <c r="AC224" s="1731">
        <f t="shared" si="261"/>
        <v>0</v>
      </c>
      <c r="AD224" s="1731">
        <f t="shared" si="261"/>
        <v>0</v>
      </c>
      <c r="AE224" s="1731">
        <f t="shared" si="261"/>
        <v>0</v>
      </c>
      <c r="AF224" s="1731">
        <f t="shared" si="261"/>
        <v>0</v>
      </c>
      <c r="AG224" s="1733">
        <f t="shared" si="261"/>
        <v>0</v>
      </c>
      <c r="AH224" s="1732">
        <f>AH222*AH223/10^6</f>
        <v>0</v>
      </c>
      <c r="AI224" s="1731">
        <f>AI222*AI223/10^6</f>
        <v>0</v>
      </c>
      <c r="AJ224" s="1731">
        <f>AJ222*AJ223/10^6</f>
        <v>0</v>
      </c>
      <c r="AK224" s="1731">
        <f>AK222*AK223/10^6</f>
        <v>0</v>
      </c>
      <c r="AL224" s="1733">
        <f>AL222*AL223/10^6</f>
        <v>0</v>
      </c>
      <c r="AN224" s="991"/>
      <c r="AP224" s="2304" t="str">
        <f t="shared" si="221"/>
        <v>Rev</v>
      </c>
      <c r="AQ224" s="2305" t="str">
        <f t="shared" si="221"/>
        <v>[Service]</v>
      </c>
      <c r="AR224" s="2306" t="str">
        <f t="shared" si="222"/>
        <v>[Price]</v>
      </c>
      <c r="AS224" s="2307" t="str">
        <f t="shared" si="258"/>
        <v>-</v>
      </c>
      <c r="AT224" s="1055" t="str">
        <f t="shared" si="258"/>
        <v>-</v>
      </c>
      <c r="AU224" s="1055" t="str">
        <f t="shared" si="258"/>
        <v>-</v>
      </c>
      <c r="AV224" s="2308" t="str">
        <f t="shared" si="258"/>
        <v>-</v>
      </c>
      <c r="AW224" s="1055" t="str">
        <f t="shared" si="258"/>
        <v>-</v>
      </c>
      <c r="AX224" s="2309" t="str">
        <f t="shared" si="258"/>
        <v>-</v>
      </c>
      <c r="AY224" s="1055" t="str">
        <f t="shared" si="258"/>
        <v>-</v>
      </c>
      <c r="AZ224" s="1055" t="str">
        <f t="shared" si="258"/>
        <v>-</v>
      </c>
      <c r="BA224" s="1055" t="str">
        <f t="shared" si="258"/>
        <v>-</v>
      </c>
      <c r="BB224" s="1056" t="str">
        <f t="shared" si="258"/>
        <v>-</v>
      </c>
      <c r="BC224" s="1055" t="str">
        <f t="shared" si="258"/>
        <v>-</v>
      </c>
      <c r="BD224" s="1055" t="str">
        <f t="shared" si="258"/>
        <v>-</v>
      </c>
      <c r="BE224" s="1055" t="str">
        <f t="shared" si="258"/>
        <v>-</v>
      </c>
      <c r="BF224" s="1055" t="str">
        <f t="shared" si="258"/>
        <v>-</v>
      </c>
      <c r="BG224" s="1056" t="str">
        <f t="shared" si="258"/>
        <v>-</v>
      </c>
      <c r="BH224" s="1048"/>
      <c r="BI224" s="2304" t="str">
        <f t="shared" si="244"/>
        <v>Rev</v>
      </c>
      <c r="BJ224" s="2305" t="str">
        <f t="shared" si="244"/>
        <v>[Service]</v>
      </c>
      <c r="BK224" s="2306" t="str">
        <f t="shared" si="244"/>
        <v>[Price]</v>
      </c>
      <c r="BL224" s="2307" t="str">
        <f t="shared" ref="BL224:BZ224" si="262">IF(OR(X224="",X224=0),"-",IFERROR((X224/W224-1)*(W224/W$13),"-"))</f>
        <v>-</v>
      </c>
      <c r="BM224" s="1055" t="str">
        <f t="shared" si="262"/>
        <v>-</v>
      </c>
      <c r="BN224" s="1055" t="str">
        <f t="shared" si="262"/>
        <v>-</v>
      </c>
      <c r="BO224" s="2308" t="str">
        <f t="shared" si="262"/>
        <v>-</v>
      </c>
      <c r="BP224" s="1055" t="str">
        <f t="shared" si="262"/>
        <v>-</v>
      </c>
      <c r="BQ224" s="2309" t="str">
        <f t="shared" si="262"/>
        <v>-</v>
      </c>
      <c r="BR224" s="1055" t="str">
        <f t="shared" si="262"/>
        <v>-</v>
      </c>
      <c r="BS224" s="1055" t="str">
        <f t="shared" si="262"/>
        <v>-</v>
      </c>
      <c r="BT224" s="1055" t="str">
        <f t="shared" si="262"/>
        <v>-</v>
      </c>
      <c r="BU224" s="1056" t="str">
        <f t="shared" si="262"/>
        <v>-</v>
      </c>
      <c r="BV224" s="1055" t="str">
        <f t="shared" si="262"/>
        <v>-</v>
      </c>
      <c r="BW224" s="1055" t="str">
        <f t="shared" si="262"/>
        <v>-</v>
      </c>
      <c r="BX224" s="1055" t="str">
        <f t="shared" si="262"/>
        <v>-</v>
      </c>
      <c r="BY224" s="1055" t="str">
        <f t="shared" si="262"/>
        <v>-</v>
      </c>
      <c r="BZ224" s="1056" t="str">
        <f t="shared" si="262"/>
        <v>-</v>
      </c>
    </row>
    <row r="225" spans="3:78" x14ac:dyDescent="0.3">
      <c r="C225" s="126"/>
      <c r="D225" s="126">
        <f>D222+1</f>
        <v>53</v>
      </c>
      <c r="E225" s="553" t="s">
        <v>45</v>
      </c>
      <c r="F225" s="581" t="s">
        <v>28</v>
      </c>
      <c r="G225" s="581"/>
      <c r="H225" s="581"/>
      <c r="I225" s="573" t="s">
        <v>319</v>
      </c>
      <c r="J225" s="573" t="s">
        <v>348</v>
      </c>
      <c r="K225" s="1969"/>
      <c r="L225" s="1970"/>
      <c r="M225" s="1970"/>
      <c r="N225" s="1971"/>
      <c r="O225" s="1970"/>
      <c r="P225" s="1970"/>
      <c r="Q225" s="1970"/>
      <c r="R225" s="1972"/>
      <c r="S225" s="1979"/>
      <c r="T225" s="1972"/>
      <c r="U225" s="1972"/>
      <c r="V225" s="1972"/>
      <c r="W225" s="575"/>
      <c r="X225" s="1238"/>
      <c r="Y225" s="575"/>
      <c r="Z225" s="575"/>
      <c r="AA225" s="575"/>
      <c r="AB225" s="1142"/>
      <c r="AC225" s="575"/>
      <c r="AD225" s="575"/>
      <c r="AE225" s="575"/>
      <c r="AF225" s="575"/>
      <c r="AG225" s="577"/>
      <c r="AH225" s="576"/>
      <c r="AI225" s="575"/>
      <c r="AJ225" s="575"/>
      <c r="AK225" s="575"/>
      <c r="AL225" s="577"/>
      <c r="AN225" s="1052"/>
      <c r="AP225" s="2297" t="str">
        <f t="shared" si="221"/>
        <v>Price</v>
      </c>
      <c r="AQ225" s="2298" t="str">
        <f t="shared" si="221"/>
        <v>[Service]</v>
      </c>
      <c r="AR225" s="1719" t="str">
        <f t="shared" si="222"/>
        <v>[Price]</v>
      </c>
      <c r="AS225" s="2299" t="str">
        <f t="shared" si="258"/>
        <v>-</v>
      </c>
      <c r="AT225" s="1728" t="str">
        <f t="shared" si="258"/>
        <v>-</v>
      </c>
      <c r="AU225" s="1728" t="str">
        <f t="shared" si="258"/>
        <v>-</v>
      </c>
      <c r="AV225" s="2300" t="str">
        <f t="shared" si="258"/>
        <v>-</v>
      </c>
      <c r="AW225" s="1728" t="str">
        <f t="shared" si="258"/>
        <v>-</v>
      </c>
      <c r="AX225" s="2301" t="str">
        <f t="shared" si="258"/>
        <v>-</v>
      </c>
      <c r="AY225" s="1728" t="str">
        <f t="shared" si="258"/>
        <v>-</v>
      </c>
      <c r="AZ225" s="1728" t="str">
        <f t="shared" si="258"/>
        <v>-</v>
      </c>
      <c r="BA225" s="1728" t="str">
        <f t="shared" si="258"/>
        <v>-</v>
      </c>
      <c r="BB225" s="1729" t="str">
        <f t="shared" si="258"/>
        <v>-</v>
      </c>
      <c r="BC225" s="1728" t="str">
        <f t="shared" si="258"/>
        <v>-</v>
      </c>
      <c r="BD225" s="1728" t="str">
        <f t="shared" si="258"/>
        <v>-</v>
      </c>
      <c r="BE225" s="1728" t="str">
        <f t="shared" si="258"/>
        <v>-</v>
      </c>
      <c r="BF225" s="1728" t="str">
        <f t="shared" si="258"/>
        <v>-</v>
      </c>
      <c r="BG225" s="1729" t="str">
        <f t="shared" si="258"/>
        <v>-</v>
      </c>
      <c r="BH225" s="1048"/>
      <c r="BI225" s="2297" t="str">
        <f t="shared" si="244"/>
        <v>Price</v>
      </c>
      <c r="BJ225" s="2298" t="str">
        <f t="shared" si="244"/>
        <v>[Service]</v>
      </c>
      <c r="BK225" s="1719" t="str">
        <f t="shared" si="244"/>
        <v>[Price]</v>
      </c>
      <c r="BL225" s="2299" t="str">
        <f t="shared" ref="BL225:BZ225" si="263">IF(OR(X225="",X225=0),"-",IFERROR((X225/W225-1)*(W227/W$13),"-"))</f>
        <v>-</v>
      </c>
      <c r="BM225" s="1053" t="str">
        <f t="shared" si="263"/>
        <v>-</v>
      </c>
      <c r="BN225" s="1053" t="str">
        <f t="shared" si="263"/>
        <v>-</v>
      </c>
      <c r="BO225" s="2302" t="str">
        <f t="shared" si="263"/>
        <v>-</v>
      </c>
      <c r="BP225" s="1053" t="str">
        <f t="shared" si="263"/>
        <v>-</v>
      </c>
      <c r="BQ225" s="2303" t="str">
        <f t="shared" si="263"/>
        <v>-</v>
      </c>
      <c r="BR225" s="1053" t="str">
        <f t="shared" si="263"/>
        <v>-</v>
      </c>
      <c r="BS225" s="1053" t="str">
        <f t="shared" si="263"/>
        <v>-</v>
      </c>
      <c r="BT225" s="1053" t="str">
        <f t="shared" si="263"/>
        <v>-</v>
      </c>
      <c r="BU225" s="1054" t="str">
        <f t="shared" si="263"/>
        <v>-</v>
      </c>
      <c r="BV225" s="1053" t="str">
        <f t="shared" si="263"/>
        <v>-</v>
      </c>
      <c r="BW225" s="1053" t="str">
        <f t="shared" si="263"/>
        <v>-</v>
      </c>
      <c r="BX225" s="1053" t="str">
        <f t="shared" si="263"/>
        <v>-</v>
      </c>
      <c r="BY225" s="1053" t="str">
        <f t="shared" si="263"/>
        <v>-</v>
      </c>
      <c r="BZ225" s="1054" t="str">
        <f t="shared" si="263"/>
        <v>-</v>
      </c>
    </row>
    <row r="226" spans="3:78" x14ac:dyDescent="0.3">
      <c r="C226" s="126"/>
      <c r="D226" s="126"/>
      <c r="E226" s="558" t="s">
        <v>46</v>
      </c>
      <c r="F226" s="1722" t="str">
        <f>+F225</f>
        <v>[Service]</v>
      </c>
      <c r="G226" s="1724">
        <f>+G225</f>
        <v>0</v>
      </c>
      <c r="H226" s="1724">
        <f>+H225</f>
        <v>0</v>
      </c>
      <c r="I226" s="1725" t="str">
        <f>+I225</f>
        <v>[Price]</v>
      </c>
      <c r="J226" s="574" t="s">
        <v>323</v>
      </c>
      <c r="K226" s="1973"/>
      <c r="L226" s="1974"/>
      <c r="M226" s="1974"/>
      <c r="N226" s="1975"/>
      <c r="O226" s="1974"/>
      <c r="P226" s="1974"/>
      <c r="Q226" s="1974"/>
      <c r="R226" s="1976"/>
      <c r="S226" s="1980"/>
      <c r="T226" s="1976"/>
      <c r="U226" s="1976"/>
      <c r="V226" s="1976"/>
      <c r="W226" s="578"/>
      <c r="X226" s="1239"/>
      <c r="Y226" s="578"/>
      <c r="Z226" s="578"/>
      <c r="AA226" s="578"/>
      <c r="AB226" s="1143"/>
      <c r="AC226" s="578"/>
      <c r="AD226" s="578"/>
      <c r="AE226" s="578"/>
      <c r="AF226" s="578"/>
      <c r="AG226" s="580"/>
      <c r="AH226" s="579"/>
      <c r="AI226" s="578"/>
      <c r="AJ226" s="578"/>
      <c r="AK226" s="578"/>
      <c r="AL226" s="580"/>
      <c r="AN226" s="991"/>
      <c r="AP226" s="2285" t="str">
        <f t="shared" si="221"/>
        <v>Qty</v>
      </c>
      <c r="AQ226" s="2286" t="str">
        <f t="shared" si="221"/>
        <v>[Service]</v>
      </c>
      <c r="AR226" s="2287" t="str">
        <f t="shared" si="222"/>
        <v>[Price]</v>
      </c>
      <c r="AS226" s="2288" t="str">
        <f t="shared" si="258"/>
        <v>-</v>
      </c>
      <c r="AT226" s="1720" t="str">
        <f t="shared" si="258"/>
        <v>-</v>
      </c>
      <c r="AU226" s="1720" t="str">
        <f t="shared" si="258"/>
        <v>-</v>
      </c>
      <c r="AV226" s="2289" t="str">
        <f t="shared" si="258"/>
        <v>-</v>
      </c>
      <c r="AW226" s="1720" t="str">
        <f t="shared" si="258"/>
        <v>-</v>
      </c>
      <c r="AX226" s="2290" t="str">
        <f t="shared" si="258"/>
        <v>-</v>
      </c>
      <c r="AY226" s="1720" t="str">
        <f t="shared" si="258"/>
        <v>-</v>
      </c>
      <c r="AZ226" s="1720" t="str">
        <f t="shared" si="258"/>
        <v>-</v>
      </c>
      <c r="BA226" s="1720" t="str">
        <f t="shared" si="258"/>
        <v>-</v>
      </c>
      <c r="BB226" s="1721" t="str">
        <f t="shared" si="258"/>
        <v>-</v>
      </c>
      <c r="BC226" s="1720" t="str">
        <f t="shared" si="258"/>
        <v>-</v>
      </c>
      <c r="BD226" s="1720" t="str">
        <f t="shared" si="258"/>
        <v>-</v>
      </c>
      <c r="BE226" s="1720" t="str">
        <f t="shared" si="258"/>
        <v>-</v>
      </c>
      <c r="BF226" s="1720" t="str">
        <f t="shared" si="258"/>
        <v>-</v>
      </c>
      <c r="BG226" s="1721" t="str">
        <f t="shared" si="258"/>
        <v>-</v>
      </c>
      <c r="BH226" s="1048"/>
      <c r="BI226" s="2285" t="str">
        <f t="shared" si="244"/>
        <v>Qty</v>
      </c>
      <c r="BJ226" s="2286" t="str">
        <f t="shared" si="244"/>
        <v>[Service]</v>
      </c>
      <c r="BK226" s="2287" t="str">
        <f t="shared" si="244"/>
        <v>[Price]</v>
      </c>
      <c r="BL226" s="2288" t="str">
        <f t="shared" ref="BL226:BZ226" si="264">IF(OR(X226="",X226=0),"-",IFERROR((X226/W226-1)*(W227/W$13),"-"))</f>
        <v>-</v>
      </c>
      <c r="BM226" s="1720" t="str">
        <f t="shared" si="264"/>
        <v>-</v>
      </c>
      <c r="BN226" s="1720" t="str">
        <f t="shared" si="264"/>
        <v>-</v>
      </c>
      <c r="BO226" s="2289" t="str">
        <f t="shared" si="264"/>
        <v>-</v>
      </c>
      <c r="BP226" s="1720" t="str">
        <f t="shared" si="264"/>
        <v>-</v>
      </c>
      <c r="BQ226" s="2290" t="str">
        <f t="shared" si="264"/>
        <v>-</v>
      </c>
      <c r="BR226" s="1720" t="str">
        <f t="shared" si="264"/>
        <v>-</v>
      </c>
      <c r="BS226" s="1720" t="str">
        <f t="shared" si="264"/>
        <v>-</v>
      </c>
      <c r="BT226" s="1720" t="str">
        <f t="shared" si="264"/>
        <v>-</v>
      </c>
      <c r="BU226" s="1721" t="str">
        <f t="shared" si="264"/>
        <v>-</v>
      </c>
      <c r="BV226" s="1720" t="str">
        <f t="shared" si="264"/>
        <v>-</v>
      </c>
      <c r="BW226" s="1720" t="str">
        <f t="shared" si="264"/>
        <v>-</v>
      </c>
      <c r="BX226" s="1720" t="str">
        <f t="shared" si="264"/>
        <v>-</v>
      </c>
      <c r="BY226" s="1720" t="str">
        <f t="shared" si="264"/>
        <v>-</v>
      </c>
      <c r="BZ226" s="1721" t="str">
        <f t="shared" si="264"/>
        <v>-</v>
      </c>
    </row>
    <row r="227" spans="3:78" ht="12.5" thickBot="1" x14ac:dyDescent="0.35">
      <c r="C227" s="126"/>
      <c r="D227" s="126"/>
      <c r="E227" s="559" t="s">
        <v>47</v>
      </c>
      <c r="F227" s="1723" t="str">
        <f>+F225</f>
        <v>[Service]</v>
      </c>
      <c r="G227" s="1726">
        <f>+G225</f>
        <v>0</v>
      </c>
      <c r="H227" s="1726">
        <f>+H225</f>
        <v>0</v>
      </c>
      <c r="I227" s="1727" t="str">
        <f>+I225</f>
        <v>[Price]</v>
      </c>
      <c r="J227" s="556" t="s">
        <v>347</v>
      </c>
      <c r="K227" s="1977"/>
      <c r="L227" s="1206"/>
      <c r="M227" s="1206"/>
      <c r="N227" s="1978"/>
      <c r="O227" s="1206"/>
      <c r="P227" s="1206"/>
      <c r="Q227" s="1206"/>
      <c r="R227" s="1206"/>
      <c r="S227" s="1978"/>
      <c r="T227" s="1206"/>
      <c r="U227" s="1206"/>
      <c r="V227" s="1206"/>
      <c r="W227" s="1731">
        <f t="shared" ref="W227:AG227" si="265">W225*W226/10^6</f>
        <v>0</v>
      </c>
      <c r="X227" s="1730">
        <f t="shared" si="265"/>
        <v>0</v>
      </c>
      <c r="Y227" s="1731">
        <f t="shared" si="265"/>
        <v>0</v>
      </c>
      <c r="Z227" s="1731">
        <f t="shared" si="265"/>
        <v>0</v>
      </c>
      <c r="AA227" s="1731">
        <f t="shared" si="265"/>
        <v>0</v>
      </c>
      <c r="AB227" s="1733">
        <f t="shared" si="265"/>
        <v>0</v>
      </c>
      <c r="AC227" s="1731">
        <f t="shared" si="265"/>
        <v>0</v>
      </c>
      <c r="AD227" s="1731">
        <f t="shared" si="265"/>
        <v>0</v>
      </c>
      <c r="AE227" s="1731">
        <f t="shared" si="265"/>
        <v>0</v>
      </c>
      <c r="AF227" s="1731">
        <f t="shared" si="265"/>
        <v>0</v>
      </c>
      <c r="AG227" s="1733">
        <f t="shared" si="265"/>
        <v>0</v>
      </c>
      <c r="AH227" s="1732">
        <f>AH225*AH226/10^6</f>
        <v>0</v>
      </c>
      <c r="AI227" s="1731">
        <f>AI225*AI226/10^6</f>
        <v>0</v>
      </c>
      <c r="AJ227" s="1731">
        <f>AJ225*AJ226/10^6</f>
        <v>0</v>
      </c>
      <c r="AK227" s="1731">
        <f>AK225*AK226/10^6</f>
        <v>0</v>
      </c>
      <c r="AL227" s="1733">
        <f>AL225*AL226/10^6</f>
        <v>0</v>
      </c>
      <c r="AN227" s="991"/>
      <c r="AP227" s="2304" t="str">
        <f t="shared" si="221"/>
        <v>Rev</v>
      </c>
      <c r="AQ227" s="2305" t="str">
        <f t="shared" si="221"/>
        <v>[Service]</v>
      </c>
      <c r="AR227" s="2306" t="str">
        <f t="shared" si="222"/>
        <v>[Price]</v>
      </c>
      <c r="AS227" s="2307" t="str">
        <f t="shared" si="258"/>
        <v>-</v>
      </c>
      <c r="AT227" s="1055" t="str">
        <f t="shared" si="258"/>
        <v>-</v>
      </c>
      <c r="AU227" s="1055" t="str">
        <f t="shared" si="258"/>
        <v>-</v>
      </c>
      <c r="AV227" s="2308" t="str">
        <f t="shared" si="258"/>
        <v>-</v>
      </c>
      <c r="AW227" s="1055" t="str">
        <f t="shared" si="258"/>
        <v>-</v>
      </c>
      <c r="AX227" s="2309" t="str">
        <f t="shared" si="258"/>
        <v>-</v>
      </c>
      <c r="AY227" s="1055" t="str">
        <f t="shared" si="258"/>
        <v>-</v>
      </c>
      <c r="AZ227" s="1055" t="str">
        <f t="shared" si="258"/>
        <v>-</v>
      </c>
      <c r="BA227" s="1055" t="str">
        <f t="shared" si="258"/>
        <v>-</v>
      </c>
      <c r="BB227" s="1056" t="str">
        <f t="shared" si="258"/>
        <v>-</v>
      </c>
      <c r="BC227" s="1055" t="str">
        <f t="shared" si="258"/>
        <v>-</v>
      </c>
      <c r="BD227" s="1055" t="str">
        <f t="shared" si="258"/>
        <v>-</v>
      </c>
      <c r="BE227" s="1055" t="str">
        <f t="shared" si="258"/>
        <v>-</v>
      </c>
      <c r="BF227" s="1055" t="str">
        <f t="shared" si="258"/>
        <v>-</v>
      </c>
      <c r="BG227" s="1056" t="str">
        <f t="shared" si="258"/>
        <v>-</v>
      </c>
      <c r="BH227" s="1048"/>
      <c r="BI227" s="2304" t="str">
        <f t="shared" si="244"/>
        <v>Rev</v>
      </c>
      <c r="BJ227" s="2305" t="str">
        <f t="shared" si="244"/>
        <v>[Service]</v>
      </c>
      <c r="BK227" s="2306" t="str">
        <f t="shared" si="244"/>
        <v>[Price]</v>
      </c>
      <c r="BL227" s="2307" t="str">
        <f t="shared" ref="BL227:BZ227" si="266">IF(OR(X227="",X227=0),"-",IFERROR((X227/W227-1)*(W227/W$13),"-"))</f>
        <v>-</v>
      </c>
      <c r="BM227" s="1055" t="str">
        <f t="shared" si="266"/>
        <v>-</v>
      </c>
      <c r="BN227" s="1055" t="str">
        <f t="shared" si="266"/>
        <v>-</v>
      </c>
      <c r="BO227" s="2308" t="str">
        <f t="shared" si="266"/>
        <v>-</v>
      </c>
      <c r="BP227" s="1055" t="str">
        <f t="shared" si="266"/>
        <v>-</v>
      </c>
      <c r="BQ227" s="2309" t="str">
        <f t="shared" si="266"/>
        <v>-</v>
      </c>
      <c r="BR227" s="1055" t="str">
        <f t="shared" si="266"/>
        <v>-</v>
      </c>
      <c r="BS227" s="1055" t="str">
        <f t="shared" si="266"/>
        <v>-</v>
      </c>
      <c r="BT227" s="1055" t="str">
        <f t="shared" si="266"/>
        <v>-</v>
      </c>
      <c r="BU227" s="1056" t="str">
        <f t="shared" si="266"/>
        <v>-</v>
      </c>
      <c r="BV227" s="1055" t="str">
        <f t="shared" si="266"/>
        <v>-</v>
      </c>
      <c r="BW227" s="1055" t="str">
        <f t="shared" si="266"/>
        <v>-</v>
      </c>
      <c r="BX227" s="1055" t="str">
        <f t="shared" si="266"/>
        <v>-</v>
      </c>
      <c r="BY227" s="1055" t="str">
        <f t="shared" si="266"/>
        <v>-</v>
      </c>
      <c r="BZ227" s="1056" t="str">
        <f t="shared" si="266"/>
        <v>-</v>
      </c>
    </row>
    <row r="228" spans="3:78" x14ac:dyDescent="0.3">
      <c r="C228" s="126"/>
      <c r="D228" s="126">
        <f>D225+1</f>
        <v>54</v>
      </c>
      <c r="E228" s="553" t="s">
        <v>45</v>
      </c>
      <c r="F228" s="581" t="s">
        <v>28</v>
      </c>
      <c r="G228" s="581"/>
      <c r="H228" s="581"/>
      <c r="I228" s="573" t="s">
        <v>319</v>
      </c>
      <c r="J228" s="573" t="s">
        <v>348</v>
      </c>
      <c r="K228" s="1969"/>
      <c r="L228" s="1970"/>
      <c r="M228" s="1970"/>
      <c r="N228" s="1971"/>
      <c r="O228" s="1970"/>
      <c r="P228" s="1970"/>
      <c r="Q228" s="1970"/>
      <c r="R228" s="1972"/>
      <c r="S228" s="1979"/>
      <c r="T228" s="1972"/>
      <c r="U228" s="1972"/>
      <c r="V228" s="1972"/>
      <c r="W228" s="575"/>
      <c r="X228" s="1238"/>
      <c r="Y228" s="575"/>
      <c r="Z228" s="575"/>
      <c r="AA228" s="575"/>
      <c r="AB228" s="1142"/>
      <c r="AC228" s="575"/>
      <c r="AD228" s="575"/>
      <c r="AE228" s="575"/>
      <c r="AF228" s="575"/>
      <c r="AG228" s="577"/>
      <c r="AH228" s="576"/>
      <c r="AI228" s="575"/>
      <c r="AJ228" s="575"/>
      <c r="AK228" s="575"/>
      <c r="AL228" s="577"/>
      <c r="AN228" s="1052"/>
      <c r="AP228" s="2297" t="str">
        <f t="shared" si="221"/>
        <v>Price</v>
      </c>
      <c r="AQ228" s="2298" t="str">
        <f t="shared" si="221"/>
        <v>[Service]</v>
      </c>
      <c r="AR228" s="1719" t="str">
        <f t="shared" si="222"/>
        <v>[Price]</v>
      </c>
      <c r="AS228" s="2299" t="str">
        <f t="shared" si="258"/>
        <v>-</v>
      </c>
      <c r="AT228" s="1728" t="str">
        <f t="shared" si="258"/>
        <v>-</v>
      </c>
      <c r="AU228" s="1728" t="str">
        <f t="shared" si="258"/>
        <v>-</v>
      </c>
      <c r="AV228" s="2300" t="str">
        <f t="shared" si="258"/>
        <v>-</v>
      </c>
      <c r="AW228" s="1728" t="str">
        <f t="shared" si="258"/>
        <v>-</v>
      </c>
      <c r="AX228" s="2301" t="str">
        <f t="shared" si="258"/>
        <v>-</v>
      </c>
      <c r="AY228" s="1728" t="str">
        <f t="shared" si="258"/>
        <v>-</v>
      </c>
      <c r="AZ228" s="1728" t="str">
        <f t="shared" si="258"/>
        <v>-</v>
      </c>
      <c r="BA228" s="1728" t="str">
        <f t="shared" si="258"/>
        <v>-</v>
      </c>
      <c r="BB228" s="1729" t="str">
        <f t="shared" si="258"/>
        <v>-</v>
      </c>
      <c r="BC228" s="1728" t="str">
        <f t="shared" si="258"/>
        <v>-</v>
      </c>
      <c r="BD228" s="1728" t="str">
        <f t="shared" si="258"/>
        <v>-</v>
      </c>
      <c r="BE228" s="1728" t="str">
        <f t="shared" si="258"/>
        <v>-</v>
      </c>
      <c r="BF228" s="1728" t="str">
        <f t="shared" si="258"/>
        <v>-</v>
      </c>
      <c r="BG228" s="1729" t="str">
        <f t="shared" si="258"/>
        <v>-</v>
      </c>
      <c r="BH228" s="1048"/>
      <c r="BI228" s="2297" t="str">
        <f t="shared" si="244"/>
        <v>Price</v>
      </c>
      <c r="BJ228" s="2298" t="str">
        <f t="shared" si="244"/>
        <v>[Service]</v>
      </c>
      <c r="BK228" s="1719" t="str">
        <f t="shared" si="244"/>
        <v>[Price]</v>
      </c>
      <c r="BL228" s="2299" t="str">
        <f t="shared" ref="BL228:BZ228" si="267">IF(OR(X228="",X228=0),"-",IFERROR((X228/W228-1)*(W230/W$13),"-"))</f>
        <v>-</v>
      </c>
      <c r="BM228" s="1053" t="str">
        <f t="shared" si="267"/>
        <v>-</v>
      </c>
      <c r="BN228" s="1053" t="str">
        <f t="shared" si="267"/>
        <v>-</v>
      </c>
      <c r="BO228" s="2302" t="str">
        <f t="shared" si="267"/>
        <v>-</v>
      </c>
      <c r="BP228" s="1053" t="str">
        <f t="shared" si="267"/>
        <v>-</v>
      </c>
      <c r="BQ228" s="2303" t="str">
        <f t="shared" si="267"/>
        <v>-</v>
      </c>
      <c r="BR228" s="1053" t="str">
        <f t="shared" si="267"/>
        <v>-</v>
      </c>
      <c r="BS228" s="1053" t="str">
        <f t="shared" si="267"/>
        <v>-</v>
      </c>
      <c r="BT228" s="1053" t="str">
        <f t="shared" si="267"/>
        <v>-</v>
      </c>
      <c r="BU228" s="1054" t="str">
        <f t="shared" si="267"/>
        <v>-</v>
      </c>
      <c r="BV228" s="1053" t="str">
        <f t="shared" si="267"/>
        <v>-</v>
      </c>
      <c r="BW228" s="1053" t="str">
        <f t="shared" si="267"/>
        <v>-</v>
      </c>
      <c r="BX228" s="1053" t="str">
        <f t="shared" si="267"/>
        <v>-</v>
      </c>
      <c r="BY228" s="1053" t="str">
        <f t="shared" si="267"/>
        <v>-</v>
      </c>
      <c r="BZ228" s="1054" t="str">
        <f t="shared" si="267"/>
        <v>-</v>
      </c>
    </row>
    <row r="229" spans="3:78" x14ac:dyDescent="0.3">
      <c r="C229" s="126"/>
      <c r="D229" s="126"/>
      <c r="E229" s="558" t="s">
        <v>46</v>
      </c>
      <c r="F229" s="1722" t="str">
        <f>+F228</f>
        <v>[Service]</v>
      </c>
      <c r="G229" s="1724">
        <f>+G228</f>
        <v>0</v>
      </c>
      <c r="H229" s="1724">
        <f>+H228</f>
        <v>0</v>
      </c>
      <c r="I229" s="1725" t="str">
        <f>+I228</f>
        <v>[Price]</v>
      </c>
      <c r="J229" s="574" t="s">
        <v>323</v>
      </c>
      <c r="K229" s="1973"/>
      <c r="L229" s="1974"/>
      <c r="M229" s="1974"/>
      <c r="N229" s="1975"/>
      <c r="O229" s="1974"/>
      <c r="P229" s="1974"/>
      <c r="Q229" s="1974"/>
      <c r="R229" s="1976"/>
      <c r="S229" s="1980"/>
      <c r="T229" s="1976"/>
      <c r="U229" s="1976"/>
      <c r="V229" s="1976"/>
      <c r="W229" s="578"/>
      <c r="X229" s="1239"/>
      <c r="Y229" s="578"/>
      <c r="Z229" s="578"/>
      <c r="AA229" s="578"/>
      <c r="AB229" s="1143"/>
      <c r="AC229" s="578"/>
      <c r="AD229" s="578"/>
      <c r="AE229" s="578"/>
      <c r="AF229" s="578"/>
      <c r="AG229" s="580"/>
      <c r="AH229" s="579"/>
      <c r="AI229" s="578"/>
      <c r="AJ229" s="578"/>
      <c r="AK229" s="578"/>
      <c r="AL229" s="580"/>
      <c r="AN229" s="991"/>
      <c r="AP229" s="2285" t="str">
        <f t="shared" si="221"/>
        <v>Qty</v>
      </c>
      <c r="AQ229" s="2286" t="str">
        <f t="shared" si="221"/>
        <v>[Service]</v>
      </c>
      <c r="AR229" s="2287" t="str">
        <f t="shared" si="222"/>
        <v>[Price]</v>
      </c>
      <c r="AS229" s="2288" t="str">
        <f t="shared" si="258"/>
        <v>-</v>
      </c>
      <c r="AT229" s="1720" t="str">
        <f t="shared" si="258"/>
        <v>-</v>
      </c>
      <c r="AU229" s="1720" t="str">
        <f t="shared" si="258"/>
        <v>-</v>
      </c>
      <c r="AV229" s="2289" t="str">
        <f t="shared" si="258"/>
        <v>-</v>
      </c>
      <c r="AW229" s="1720" t="str">
        <f t="shared" si="258"/>
        <v>-</v>
      </c>
      <c r="AX229" s="2290" t="str">
        <f t="shared" si="258"/>
        <v>-</v>
      </c>
      <c r="AY229" s="1720" t="str">
        <f t="shared" si="258"/>
        <v>-</v>
      </c>
      <c r="AZ229" s="1720" t="str">
        <f t="shared" si="258"/>
        <v>-</v>
      </c>
      <c r="BA229" s="1720" t="str">
        <f t="shared" si="258"/>
        <v>-</v>
      </c>
      <c r="BB229" s="1721" t="str">
        <f t="shared" si="258"/>
        <v>-</v>
      </c>
      <c r="BC229" s="1720" t="str">
        <f t="shared" si="258"/>
        <v>-</v>
      </c>
      <c r="BD229" s="1720" t="str">
        <f t="shared" si="258"/>
        <v>-</v>
      </c>
      <c r="BE229" s="1720" t="str">
        <f t="shared" si="258"/>
        <v>-</v>
      </c>
      <c r="BF229" s="1720" t="str">
        <f t="shared" si="258"/>
        <v>-</v>
      </c>
      <c r="BG229" s="1721" t="str">
        <f t="shared" si="258"/>
        <v>-</v>
      </c>
      <c r="BH229" s="1048"/>
      <c r="BI229" s="2285" t="str">
        <f t="shared" si="244"/>
        <v>Qty</v>
      </c>
      <c r="BJ229" s="2286" t="str">
        <f t="shared" si="244"/>
        <v>[Service]</v>
      </c>
      <c r="BK229" s="2287" t="str">
        <f t="shared" si="244"/>
        <v>[Price]</v>
      </c>
      <c r="BL229" s="2288" t="str">
        <f t="shared" ref="BL229:BZ229" si="268">IF(OR(X229="",X229=0),"-",IFERROR((X229/W229-1)*(W230/W$13),"-"))</f>
        <v>-</v>
      </c>
      <c r="BM229" s="1720" t="str">
        <f t="shared" si="268"/>
        <v>-</v>
      </c>
      <c r="BN229" s="1720" t="str">
        <f t="shared" si="268"/>
        <v>-</v>
      </c>
      <c r="BO229" s="2289" t="str">
        <f t="shared" si="268"/>
        <v>-</v>
      </c>
      <c r="BP229" s="1720" t="str">
        <f t="shared" si="268"/>
        <v>-</v>
      </c>
      <c r="BQ229" s="2290" t="str">
        <f t="shared" si="268"/>
        <v>-</v>
      </c>
      <c r="BR229" s="1720" t="str">
        <f t="shared" si="268"/>
        <v>-</v>
      </c>
      <c r="BS229" s="1720" t="str">
        <f t="shared" si="268"/>
        <v>-</v>
      </c>
      <c r="BT229" s="1720" t="str">
        <f t="shared" si="268"/>
        <v>-</v>
      </c>
      <c r="BU229" s="1721" t="str">
        <f t="shared" si="268"/>
        <v>-</v>
      </c>
      <c r="BV229" s="1720" t="str">
        <f t="shared" si="268"/>
        <v>-</v>
      </c>
      <c r="BW229" s="1720" t="str">
        <f t="shared" si="268"/>
        <v>-</v>
      </c>
      <c r="BX229" s="1720" t="str">
        <f t="shared" si="268"/>
        <v>-</v>
      </c>
      <c r="BY229" s="1720" t="str">
        <f t="shared" si="268"/>
        <v>-</v>
      </c>
      <c r="BZ229" s="1721" t="str">
        <f t="shared" si="268"/>
        <v>-</v>
      </c>
    </row>
    <row r="230" spans="3:78" ht="12.5" thickBot="1" x14ac:dyDescent="0.35">
      <c r="C230" s="126"/>
      <c r="D230" s="126"/>
      <c r="E230" s="559" t="s">
        <v>47</v>
      </c>
      <c r="F230" s="1723" t="str">
        <f>+F228</f>
        <v>[Service]</v>
      </c>
      <c r="G230" s="1726">
        <f>+G228</f>
        <v>0</v>
      </c>
      <c r="H230" s="1726">
        <f>+H228</f>
        <v>0</v>
      </c>
      <c r="I230" s="1727" t="str">
        <f>+I228</f>
        <v>[Price]</v>
      </c>
      <c r="J230" s="556" t="s">
        <v>347</v>
      </c>
      <c r="K230" s="1977"/>
      <c r="L230" s="1206"/>
      <c r="M230" s="1206"/>
      <c r="N230" s="1978"/>
      <c r="O230" s="1206"/>
      <c r="P230" s="1206"/>
      <c r="Q230" s="1206"/>
      <c r="R230" s="1206"/>
      <c r="S230" s="1978"/>
      <c r="T230" s="1206"/>
      <c r="U230" s="1206"/>
      <c r="V230" s="1206"/>
      <c r="W230" s="1731">
        <f t="shared" ref="W230:AG230" si="269">W228*W229/10^6</f>
        <v>0</v>
      </c>
      <c r="X230" s="1730">
        <f t="shared" si="269"/>
        <v>0</v>
      </c>
      <c r="Y230" s="1731">
        <f t="shared" si="269"/>
        <v>0</v>
      </c>
      <c r="Z230" s="1731">
        <f t="shared" si="269"/>
        <v>0</v>
      </c>
      <c r="AA230" s="1731">
        <f t="shared" si="269"/>
        <v>0</v>
      </c>
      <c r="AB230" s="1733">
        <f t="shared" si="269"/>
        <v>0</v>
      </c>
      <c r="AC230" s="1731">
        <f t="shared" si="269"/>
        <v>0</v>
      </c>
      <c r="AD230" s="1731">
        <f t="shared" si="269"/>
        <v>0</v>
      </c>
      <c r="AE230" s="1731">
        <f t="shared" si="269"/>
        <v>0</v>
      </c>
      <c r="AF230" s="1731">
        <f t="shared" si="269"/>
        <v>0</v>
      </c>
      <c r="AG230" s="1733">
        <f t="shared" si="269"/>
        <v>0</v>
      </c>
      <c r="AH230" s="1732">
        <f>AH228*AH229/10^6</f>
        <v>0</v>
      </c>
      <c r="AI230" s="1731">
        <f>AI228*AI229/10^6</f>
        <v>0</v>
      </c>
      <c r="AJ230" s="1731">
        <f>AJ228*AJ229/10^6</f>
        <v>0</v>
      </c>
      <c r="AK230" s="1731">
        <f>AK228*AK229/10^6</f>
        <v>0</v>
      </c>
      <c r="AL230" s="1733">
        <f>AL228*AL229/10^6</f>
        <v>0</v>
      </c>
      <c r="AN230" s="991"/>
      <c r="AP230" s="2304" t="str">
        <f t="shared" si="221"/>
        <v>Rev</v>
      </c>
      <c r="AQ230" s="2305" t="str">
        <f t="shared" si="221"/>
        <v>[Service]</v>
      </c>
      <c r="AR230" s="2306" t="str">
        <f t="shared" si="222"/>
        <v>[Price]</v>
      </c>
      <c r="AS230" s="2307" t="str">
        <f t="shared" si="258"/>
        <v>-</v>
      </c>
      <c r="AT230" s="1055" t="str">
        <f t="shared" si="258"/>
        <v>-</v>
      </c>
      <c r="AU230" s="1055" t="str">
        <f t="shared" si="258"/>
        <v>-</v>
      </c>
      <c r="AV230" s="2308" t="str">
        <f t="shared" si="258"/>
        <v>-</v>
      </c>
      <c r="AW230" s="1055" t="str">
        <f t="shared" si="258"/>
        <v>-</v>
      </c>
      <c r="AX230" s="2309" t="str">
        <f t="shared" si="258"/>
        <v>-</v>
      </c>
      <c r="AY230" s="1055" t="str">
        <f t="shared" si="258"/>
        <v>-</v>
      </c>
      <c r="AZ230" s="1055" t="str">
        <f t="shared" si="258"/>
        <v>-</v>
      </c>
      <c r="BA230" s="1055" t="str">
        <f t="shared" si="258"/>
        <v>-</v>
      </c>
      <c r="BB230" s="1056" t="str">
        <f t="shared" si="258"/>
        <v>-</v>
      </c>
      <c r="BC230" s="1055" t="str">
        <f t="shared" si="258"/>
        <v>-</v>
      </c>
      <c r="BD230" s="1055" t="str">
        <f t="shared" si="258"/>
        <v>-</v>
      </c>
      <c r="BE230" s="1055" t="str">
        <f t="shared" si="258"/>
        <v>-</v>
      </c>
      <c r="BF230" s="1055" t="str">
        <f t="shared" si="258"/>
        <v>-</v>
      </c>
      <c r="BG230" s="1056" t="str">
        <f t="shared" si="258"/>
        <v>-</v>
      </c>
      <c r="BH230" s="1048"/>
      <c r="BI230" s="2304" t="str">
        <f t="shared" si="244"/>
        <v>Rev</v>
      </c>
      <c r="BJ230" s="2305" t="str">
        <f t="shared" si="244"/>
        <v>[Service]</v>
      </c>
      <c r="BK230" s="2306" t="str">
        <f t="shared" si="244"/>
        <v>[Price]</v>
      </c>
      <c r="BL230" s="2307" t="str">
        <f t="shared" ref="BL230:BZ230" si="270">IF(OR(X230="",X230=0),"-",IFERROR((X230/W230-1)*(W230/W$13),"-"))</f>
        <v>-</v>
      </c>
      <c r="BM230" s="1055" t="str">
        <f t="shared" si="270"/>
        <v>-</v>
      </c>
      <c r="BN230" s="1055" t="str">
        <f t="shared" si="270"/>
        <v>-</v>
      </c>
      <c r="BO230" s="2308" t="str">
        <f t="shared" si="270"/>
        <v>-</v>
      </c>
      <c r="BP230" s="1055" t="str">
        <f t="shared" si="270"/>
        <v>-</v>
      </c>
      <c r="BQ230" s="2309" t="str">
        <f t="shared" si="270"/>
        <v>-</v>
      </c>
      <c r="BR230" s="1055" t="str">
        <f t="shared" si="270"/>
        <v>-</v>
      </c>
      <c r="BS230" s="1055" t="str">
        <f t="shared" si="270"/>
        <v>-</v>
      </c>
      <c r="BT230" s="1055" t="str">
        <f t="shared" si="270"/>
        <v>-</v>
      </c>
      <c r="BU230" s="1056" t="str">
        <f t="shared" si="270"/>
        <v>-</v>
      </c>
      <c r="BV230" s="1055" t="str">
        <f t="shared" si="270"/>
        <v>-</v>
      </c>
      <c r="BW230" s="1055" t="str">
        <f t="shared" si="270"/>
        <v>-</v>
      </c>
      <c r="BX230" s="1055" t="str">
        <f t="shared" si="270"/>
        <v>-</v>
      </c>
      <c r="BY230" s="1055" t="str">
        <f t="shared" si="270"/>
        <v>-</v>
      </c>
      <c r="BZ230" s="1056" t="str">
        <f t="shared" si="270"/>
        <v>-</v>
      </c>
    </row>
    <row r="231" spans="3:78" x14ac:dyDescent="0.3">
      <c r="C231" s="126"/>
      <c r="D231" s="126">
        <f>D228+1</f>
        <v>55</v>
      </c>
      <c r="E231" s="553" t="s">
        <v>45</v>
      </c>
      <c r="F231" s="581" t="s">
        <v>28</v>
      </c>
      <c r="G231" s="581"/>
      <c r="H231" s="581"/>
      <c r="I231" s="573" t="s">
        <v>319</v>
      </c>
      <c r="J231" s="573" t="s">
        <v>348</v>
      </c>
      <c r="K231" s="1969"/>
      <c r="L231" s="1970"/>
      <c r="M231" s="1970"/>
      <c r="N231" s="1971"/>
      <c r="O231" s="1970"/>
      <c r="P231" s="1970"/>
      <c r="Q231" s="1970"/>
      <c r="R231" s="1972"/>
      <c r="S231" s="1979"/>
      <c r="T231" s="1972"/>
      <c r="U231" s="1972"/>
      <c r="V231" s="1972"/>
      <c r="W231" s="575"/>
      <c r="X231" s="1238"/>
      <c r="Y231" s="575"/>
      <c r="Z231" s="575"/>
      <c r="AA231" s="575"/>
      <c r="AB231" s="1142"/>
      <c r="AC231" s="575"/>
      <c r="AD231" s="575"/>
      <c r="AE231" s="575"/>
      <c r="AF231" s="575"/>
      <c r="AG231" s="577"/>
      <c r="AH231" s="576"/>
      <c r="AI231" s="575"/>
      <c r="AJ231" s="575"/>
      <c r="AK231" s="575"/>
      <c r="AL231" s="577"/>
      <c r="AN231" s="1052"/>
      <c r="AP231" s="2297" t="str">
        <f t="shared" si="221"/>
        <v>Price</v>
      </c>
      <c r="AQ231" s="2298" t="str">
        <f t="shared" si="221"/>
        <v>[Service]</v>
      </c>
      <c r="AR231" s="1719" t="str">
        <f t="shared" si="222"/>
        <v>[Price]</v>
      </c>
      <c r="AS231" s="2299" t="str">
        <f t="shared" si="258"/>
        <v>-</v>
      </c>
      <c r="AT231" s="1728" t="str">
        <f t="shared" si="258"/>
        <v>-</v>
      </c>
      <c r="AU231" s="1728" t="str">
        <f t="shared" si="258"/>
        <v>-</v>
      </c>
      <c r="AV231" s="2300" t="str">
        <f t="shared" si="258"/>
        <v>-</v>
      </c>
      <c r="AW231" s="1728" t="str">
        <f t="shared" si="258"/>
        <v>-</v>
      </c>
      <c r="AX231" s="2301" t="str">
        <f t="shared" si="258"/>
        <v>-</v>
      </c>
      <c r="AY231" s="1728" t="str">
        <f t="shared" si="258"/>
        <v>-</v>
      </c>
      <c r="AZ231" s="1728" t="str">
        <f t="shared" si="258"/>
        <v>-</v>
      </c>
      <c r="BA231" s="1728" t="str">
        <f t="shared" si="258"/>
        <v>-</v>
      </c>
      <c r="BB231" s="1729" t="str">
        <f t="shared" si="258"/>
        <v>-</v>
      </c>
      <c r="BC231" s="1728" t="str">
        <f t="shared" si="258"/>
        <v>-</v>
      </c>
      <c r="BD231" s="1728" t="str">
        <f t="shared" si="258"/>
        <v>-</v>
      </c>
      <c r="BE231" s="1728" t="str">
        <f t="shared" si="258"/>
        <v>-</v>
      </c>
      <c r="BF231" s="1728" t="str">
        <f t="shared" si="258"/>
        <v>-</v>
      </c>
      <c r="BG231" s="1729" t="str">
        <f t="shared" si="258"/>
        <v>-</v>
      </c>
      <c r="BH231" s="1048"/>
      <c r="BI231" s="2297" t="str">
        <f t="shared" si="244"/>
        <v>Price</v>
      </c>
      <c r="BJ231" s="2298" t="str">
        <f t="shared" si="244"/>
        <v>[Service]</v>
      </c>
      <c r="BK231" s="1719" t="str">
        <f t="shared" si="244"/>
        <v>[Price]</v>
      </c>
      <c r="BL231" s="2299" t="str">
        <f t="shared" ref="BL231:BZ231" si="271">IF(OR(X231="",X231=0),"-",IFERROR((X231/W231-1)*(W233/W$13),"-"))</f>
        <v>-</v>
      </c>
      <c r="BM231" s="1053" t="str">
        <f t="shared" si="271"/>
        <v>-</v>
      </c>
      <c r="BN231" s="1053" t="str">
        <f t="shared" si="271"/>
        <v>-</v>
      </c>
      <c r="BO231" s="2302" t="str">
        <f t="shared" si="271"/>
        <v>-</v>
      </c>
      <c r="BP231" s="1053" t="str">
        <f t="shared" si="271"/>
        <v>-</v>
      </c>
      <c r="BQ231" s="2303" t="str">
        <f t="shared" si="271"/>
        <v>-</v>
      </c>
      <c r="BR231" s="1053" t="str">
        <f t="shared" si="271"/>
        <v>-</v>
      </c>
      <c r="BS231" s="1053" t="str">
        <f t="shared" si="271"/>
        <v>-</v>
      </c>
      <c r="BT231" s="1053" t="str">
        <f t="shared" si="271"/>
        <v>-</v>
      </c>
      <c r="BU231" s="1054" t="str">
        <f t="shared" si="271"/>
        <v>-</v>
      </c>
      <c r="BV231" s="1053" t="str">
        <f t="shared" si="271"/>
        <v>-</v>
      </c>
      <c r="BW231" s="1053" t="str">
        <f t="shared" si="271"/>
        <v>-</v>
      </c>
      <c r="BX231" s="1053" t="str">
        <f t="shared" si="271"/>
        <v>-</v>
      </c>
      <c r="BY231" s="1053" t="str">
        <f t="shared" si="271"/>
        <v>-</v>
      </c>
      <c r="BZ231" s="1054" t="str">
        <f t="shared" si="271"/>
        <v>-</v>
      </c>
    </row>
    <row r="232" spans="3:78" x14ac:dyDescent="0.3">
      <c r="C232" s="126"/>
      <c r="D232" s="126"/>
      <c r="E232" s="558" t="s">
        <v>46</v>
      </c>
      <c r="F232" s="1722" t="str">
        <f>+F231</f>
        <v>[Service]</v>
      </c>
      <c r="G232" s="1724">
        <f>+G231</f>
        <v>0</v>
      </c>
      <c r="H232" s="1724">
        <f>+H231</f>
        <v>0</v>
      </c>
      <c r="I232" s="1725" t="str">
        <f>+I231</f>
        <v>[Price]</v>
      </c>
      <c r="J232" s="574" t="s">
        <v>323</v>
      </c>
      <c r="K232" s="1973"/>
      <c r="L232" s="1974"/>
      <c r="M232" s="1974"/>
      <c r="N232" s="1975"/>
      <c r="O232" s="1974"/>
      <c r="P232" s="1974"/>
      <c r="Q232" s="1974"/>
      <c r="R232" s="1976"/>
      <c r="S232" s="1980"/>
      <c r="T232" s="1976"/>
      <c r="U232" s="1976"/>
      <c r="V232" s="1976"/>
      <c r="W232" s="578"/>
      <c r="X232" s="1239"/>
      <c r="Y232" s="578"/>
      <c r="Z232" s="578"/>
      <c r="AA232" s="578"/>
      <c r="AB232" s="1143"/>
      <c r="AC232" s="578"/>
      <c r="AD232" s="578"/>
      <c r="AE232" s="578"/>
      <c r="AF232" s="578"/>
      <c r="AG232" s="580"/>
      <c r="AH232" s="579"/>
      <c r="AI232" s="578"/>
      <c r="AJ232" s="578"/>
      <c r="AK232" s="578"/>
      <c r="AL232" s="580"/>
      <c r="AN232" s="991"/>
      <c r="AP232" s="2285" t="str">
        <f t="shared" si="221"/>
        <v>Qty</v>
      </c>
      <c r="AQ232" s="2286" t="str">
        <f t="shared" si="221"/>
        <v>[Service]</v>
      </c>
      <c r="AR232" s="2287" t="str">
        <f t="shared" si="222"/>
        <v>[Price]</v>
      </c>
      <c r="AS232" s="2288" t="str">
        <f t="shared" si="258"/>
        <v>-</v>
      </c>
      <c r="AT232" s="1720" t="str">
        <f t="shared" si="258"/>
        <v>-</v>
      </c>
      <c r="AU232" s="1720" t="str">
        <f t="shared" si="258"/>
        <v>-</v>
      </c>
      <c r="AV232" s="2289" t="str">
        <f t="shared" si="258"/>
        <v>-</v>
      </c>
      <c r="AW232" s="1720" t="str">
        <f t="shared" si="258"/>
        <v>-</v>
      </c>
      <c r="AX232" s="2290" t="str">
        <f t="shared" si="258"/>
        <v>-</v>
      </c>
      <c r="AY232" s="1720" t="str">
        <f t="shared" si="258"/>
        <v>-</v>
      </c>
      <c r="AZ232" s="1720" t="str">
        <f t="shared" si="258"/>
        <v>-</v>
      </c>
      <c r="BA232" s="1720" t="str">
        <f t="shared" si="258"/>
        <v>-</v>
      </c>
      <c r="BB232" s="1721" t="str">
        <f t="shared" si="258"/>
        <v>-</v>
      </c>
      <c r="BC232" s="1720" t="str">
        <f t="shared" si="258"/>
        <v>-</v>
      </c>
      <c r="BD232" s="1720" t="str">
        <f t="shared" si="258"/>
        <v>-</v>
      </c>
      <c r="BE232" s="1720" t="str">
        <f t="shared" si="258"/>
        <v>-</v>
      </c>
      <c r="BF232" s="1720" t="str">
        <f t="shared" si="258"/>
        <v>-</v>
      </c>
      <c r="BG232" s="1721" t="str">
        <f t="shared" si="258"/>
        <v>-</v>
      </c>
      <c r="BH232" s="1048"/>
      <c r="BI232" s="2285" t="str">
        <f t="shared" si="244"/>
        <v>Qty</v>
      </c>
      <c r="BJ232" s="2286" t="str">
        <f t="shared" si="244"/>
        <v>[Service]</v>
      </c>
      <c r="BK232" s="2287" t="str">
        <f t="shared" si="244"/>
        <v>[Price]</v>
      </c>
      <c r="BL232" s="2288" t="str">
        <f t="shared" ref="BL232:BZ232" si="272">IF(OR(X232="",X232=0),"-",IFERROR((X232/W232-1)*(W233/W$13),"-"))</f>
        <v>-</v>
      </c>
      <c r="BM232" s="1720" t="str">
        <f t="shared" si="272"/>
        <v>-</v>
      </c>
      <c r="BN232" s="1720" t="str">
        <f t="shared" si="272"/>
        <v>-</v>
      </c>
      <c r="BO232" s="2289" t="str">
        <f t="shared" si="272"/>
        <v>-</v>
      </c>
      <c r="BP232" s="1720" t="str">
        <f t="shared" si="272"/>
        <v>-</v>
      </c>
      <c r="BQ232" s="2290" t="str">
        <f t="shared" si="272"/>
        <v>-</v>
      </c>
      <c r="BR232" s="1720" t="str">
        <f t="shared" si="272"/>
        <v>-</v>
      </c>
      <c r="BS232" s="1720" t="str">
        <f t="shared" si="272"/>
        <v>-</v>
      </c>
      <c r="BT232" s="1720" t="str">
        <f t="shared" si="272"/>
        <v>-</v>
      </c>
      <c r="BU232" s="1721" t="str">
        <f t="shared" si="272"/>
        <v>-</v>
      </c>
      <c r="BV232" s="1720" t="str">
        <f t="shared" si="272"/>
        <v>-</v>
      </c>
      <c r="BW232" s="1720" t="str">
        <f t="shared" si="272"/>
        <v>-</v>
      </c>
      <c r="BX232" s="1720" t="str">
        <f t="shared" si="272"/>
        <v>-</v>
      </c>
      <c r="BY232" s="1720" t="str">
        <f t="shared" si="272"/>
        <v>-</v>
      </c>
      <c r="BZ232" s="1721" t="str">
        <f t="shared" si="272"/>
        <v>-</v>
      </c>
    </row>
    <row r="233" spans="3:78" ht="12.5" thickBot="1" x14ac:dyDescent="0.35">
      <c r="C233" s="126"/>
      <c r="D233" s="126"/>
      <c r="E233" s="559" t="s">
        <v>47</v>
      </c>
      <c r="F233" s="1723" t="str">
        <f>+F231</f>
        <v>[Service]</v>
      </c>
      <c r="G233" s="1726">
        <f>+G231</f>
        <v>0</v>
      </c>
      <c r="H233" s="1726">
        <f>+H231</f>
        <v>0</v>
      </c>
      <c r="I233" s="1727" t="str">
        <f>+I231</f>
        <v>[Price]</v>
      </c>
      <c r="J233" s="556" t="s">
        <v>347</v>
      </c>
      <c r="K233" s="1977"/>
      <c r="L233" s="1206"/>
      <c r="M233" s="1206"/>
      <c r="N233" s="1978"/>
      <c r="O233" s="1206"/>
      <c r="P233" s="1206"/>
      <c r="Q233" s="1206"/>
      <c r="R233" s="1206"/>
      <c r="S233" s="1978"/>
      <c r="T233" s="1206"/>
      <c r="U233" s="1206"/>
      <c r="V233" s="1206"/>
      <c r="W233" s="1731">
        <f t="shared" ref="W233:AG233" si="273">W231*W232/10^6</f>
        <v>0</v>
      </c>
      <c r="X233" s="1730">
        <f t="shared" si="273"/>
        <v>0</v>
      </c>
      <c r="Y233" s="1731">
        <f t="shared" si="273"/>
        <v>0</v>
      </c>
      <c r="Z233" s="1731">
        <f t="shared" si="273"/>
        <v>0</v>
      </c>
      <c r="AA233" s="1731">
        <f t="shared" si="273"/>
        <v>0</v>
      </c>
      <c r="AB233" s="1733">
        <f t="shared" si="273"/>
        <v>0</v>
      </c>
      <c r="AC233" s="1731">
        <f t="shared" si="273"/>
        <v>0</v>
      </c>
      <c r="AD233" s="1731">
        <f t="shared" si="273"/>
        <v>0</v>
      </c>
      <c r="AE233" s="1731">
        <f t="shared" si="273"/>
        <v>0</v>
      </c>
      <c r="AF233" s="1731">
        <f t="shared" si="273"/>
        <v>0</v>
      </c>
      <c r="AG233" s="1733">
        <f t="shared" si="273"/>
        <v>0</v>
      </c>
      <c r="AH233" s="1732">
        <f>AH231*AH232/10^6</f>
        <v>0</v>
      </c>
      <c r="AI233" s="1731">
        <f>AI231*AI232/10^6</f>
        <v>0</v>
      </c>
      <c r="AJ233" s="1731">
        <f>AJ231*AJ232/10^6</f>
        <v>0</v>
      </c>
      <c r="AK233" s="1731">
        <f>AK231*AK232/10^6</f>
        <v>0</v>
      </c>
      <c r="AL233" s="1733">
        <f>AL231*AL232/10^6</f>
        <v>0</v>
      </c>
      <c r="AN233" s="991"/>
      <c r="AP233" s="2304" t="str">
        <f t="shared" si="221"/>
        <v>Rev</v>
      </c>
      <c r="AQ233" s="2305" t="str">
        <f t="shared" si="221"/>
        <v>[Service]</v>
      </c>
      <c r="AR233" s="2306" t="str">
        <f t="shared" si="222"/>
        <v>[Price]</v>
      </c>
      <c r="AS233" s="2307" t="str">
        <f t="shared" si="258"/>
        <v>-</v>
      </c>
      <c r="AT233" s="1055" t="str">
        <f t="shared" si="258"/>
        <v>-</v>
      </c>
      <c r="AU233" s="1055" t="str">
        <f t="shared" si="258"/>
        <v>-</v>
      </c>
      <c r="AV233" s="2308" t="str">
        <f t="shared" si="258"/>
        <v>-</v>
      </c>
      <c r="AW233" s="1055" t="str">
        <f t="shared" si="258"/>
        <v>-</v>
      </c>
      <c r="AX233" s="2309" t="str">
        <f t="shared" si="258"/>
        <v>-</v>
      </c>
      <c r="AY233" s="1055" t="str">
        <f t="shared" si="258"/>
        <v>-</v>
      </c>
      <c r="AZ233" s="1055" t="str">
        <f t="shared" si="258"/>
        <v>-</v>
      </c>
      <c r="BA233" s="1055" t="str">
        <f t="shared" si="258"/>
        <v>-</v>
      </c>
      <c r="BB233" s="1056" t="str">
        <f t="shared" si="258"/>
        <v>-</v>
      </c>
      <c r="BC233" s="1055" t="str">
        <f t="shared" si="258"/>
        <v>-</v>
      </c>
      <c r="BD233" s="1055" t="str">
        <f t="shared" si="258"/>
        <v>-</v>
      </c>
      <c r="BE233" s="1055" t="str">
        <f t="shared" si="258"/>
        <v>-</v>
      </c>
      <c r="BF233" s="1055" t="str">
        <f t="shared" si="258"/>
        <v>-</v>
      </c>
      <c r="BG233" s="1056" t="str">
        <f t="shared" si="258"/>
        <v>-</v>
      </c>
      <c r="BH233" s="1048"/>
      <c r="BI233" s="2304" t="str">
        <f t="shared" si="244"/>
        <v>Rev</v>
      </c>
      <c r="BJ233" s="2305" t="str">
        <f t="shared" si="244"/>
        <v>[Service]</v>
      </c>
      <c r="BK233" s="2306" t="str">
        <f t="shared" si="244"/>
        <v>[Price]</v>
      </c>
      <c r="BL233" s="2307" t="str">
        <f t="shared" ref="BL233:BZ233" si="274">IF(OR(X233="",X233=0),"-",IFERROR((X233/W233-1)*(W233/W$13),"-"))</f>
        <v>-</v>
      </c>
      <c r="BM233" s="1055" t="str">
        <f t="shared" si="274"/>
        <v>-</v>
      </c>
      <c r="BN233" s="1055" t="str">
        <f t="shared" si="274"/>
        <v>-</v>
      </c>
      <c r="BO233" s="2308" t="str">
        <f t="shared" si="274"/>
        <v>-</v>
      </c>
      <c r="BP233" s="1055" t="str">
        <f t="shared" si="274"/>
        <v>-</v>
      </c>
      <c r="BQ233" s="2309" t="str">
        <f t="shared" si="274"/>
        <v>-</v>
      </c>
      <c r="BR233" s="1055" t="str">
        <f t="shared" si="274"/>
        <v>-</v>
      </c>
      <c r="BS233" s="1055" t="str">
        <f t="shared" si="274"/>
        <v>-</v>
      </c>
      <c r="BT233" s="1055" t="str">
        <f t="shared" si="274"/>
        <v>-</v>
      </c>
      <c r="BU233" s="1056" t="str">
        <f t="shared" si="274"/>
        <v>-</v>
      </c>
      <c r="BV233" s="1055" t="str">
        <f t="shared" si="274"/>
        <v>-</v>
      </c>
      <c r="BW233" s="1055" t="str">
        <f t="shared" si="274"/>
        <v>-</v>
      </c>
      <c r="BX233" s="1055" t="str">
        <f t="shared" si="274"/>
        <v>-</v>
      </c>
      <c r="BY233" s="1055" t="str">
        <f t="shared" si="274"/>
        <v>-</v>
      </c>
      <c r="BZ233" s="1056" t="str">
        <f t="shared" si="274"/>
        <v>-</v>
      </c>
    </row>
    <row r="234" spans="3:78" x14ac:dyDescent="0.3">
      <c r="C234" s="126"/>
      <c r="D234" s="126">
        <f>D231+1</f>
        <v>56</v>
      </c>
      <c r="E234" s="553" t="s">
        <v>45</v>
      </c>
      <c r="F234" s="581" t="s">
        <v>28</v>
      </c>
      <c r="G234" s="581"/>
      <c r="H234" s="581"/>
      <c r="I234" s="573" t="s">
        <v>319</v>
      </c>
      <c r="J234" s="573" t="s">
        <v>348</v>
      </c>
      <c r="K234" s="1969"/>
      <c r="L234" s="1970"/>
      <c r="M234" s="1970"/>
      <c r="N234" s="1971"/>
      <c r="O234" s="1970"/>
      <c r="P234" s="1970"/>
      <c r="Q234" s="1970"/>
      <c r="R234" s="1972"/>
      <c r="S234" s="1979"/>
      <c r="T234" s="1972"/>
      <c r="U234" s="1972"/>
      <c r="V234" s="1972"/>
      <c r="W234" s="575"/>
      <c r="X234" s="1238"/>
      <c r="Y234" s="575"/>
      <c r="Z234" s="575"/>
      <c r="AA234" s="575"/>
      <c r="AB234" s="1142"/>
      <c r="AC234" s="575"/>
      <c r="AD234" s="575"/>
      <c r="AE234" s="575"/>
      <c r="AF234" s="575"/>
      <c r="AG234" s="577"/>
      <c r="AH234" s="576"/>
      <c r="AI234" s="575"/>
      <c r="AJ234" s="575"/>
      <c r="AK234" s="575"/>
      <c r="AL234" s="577"/>
      <c r="AN234" s="1052"/>
      <c r="AP234" s="2297" t="str">
        <f t="shared" si="221"/>
        <v>Price</v>
      </c>
      <c r="AQ234" s="2298" t="str">
        <f t="shared" si="221"/>
        <v>[Service]</v>
      </c>
      <c r="AR234" s="1719" t="str">
        <f t="shared" si="222"/>
        <v>[Price]</v>
      </c>
      <c r="AS234" s="2299" t="str">
        <f t="shared" si="258"/>
        <v>-</v>
      </c>
      <c r="AT234" s="1728" t="str">
        <f t="shared" si="258"/>
        <v>-</v>
      </c>
      <c r="AU234" s="1728" t="str">
        <f t="shared" si="258"/>
        <v>-</v>
      </c>
      <c r="AV234" s="2300" t="str">
        <f t="shared" si="258"/>
        <v>-</v>
      </c>
      <c r="AW234" s="1728" t="str">
        <f t="shared" si="258"/>
        <v>-</v>
      </c>
      <c r="AX234" s="2301" t="str">
        <f t="shared" si="258"/>
        <v>-</v>
      </c>
      <c r="AY234" s="1728" t="str">
        <f t="shared" si="258"/>
        <v>-</v>
      </c>
      <c r="AZ234" s="1728" t="str">
        <f t="shared" si="258"/>
        <v>-</v>
      </c>
      <c r="BA234" s="1728" t="str">
        <f t="shared" si="258"/>
        <v>-</v>
      </c>
      <c r="BB234" s="1729" t="str">
        <f t="shared" si="258"/>
        <v>-</v>
      </c>
      <c r="BC234" s="1728" t="str">
        <f t="shared" si="258"/>
        <v>-</v>
      </c>
      <c r="BD234" s="1728" t="str">
        <f t="shared" si="258"/>
        <v>-</v>
      </c>
      <c r="BE234" s="1728" t="str">
        <f t="shared" si="258"/>
        <v>-</v>
      </c>
      <c r="BF234" s="1728" t="str">
        <f t="shared" si="258"/>
        <v>-</v>
      </c>
      <c r="BG234" s="1729" t="str">
        <f t="shared" si="258"/>
        <v>-</v>
      </c>
      <c r="BH234" s="1048"/>
      <c r="BI234" s="2297" t="str">
        <f t="shared" si="244"/>
        <v>Price</v>
      </c>
      <c r="BJ234" s="2298" t="str">
        <f t="shared" si="244"/>
        <v>[Service]</v>
      </c>
      <c r="BK234" s="1719" t="str">
        <f t="shared" si="244"/>
        <v>[Price]</v>
      </c>
      <c r="BL234" s="2299" t="str">
        <f t="shared" ref="BL234:BZ234" si="275">IF(OR(X234="",X234=0),"-",IFERROR((X234/W234-1)*(W236/W$13),"-"))</f>
        <v>-</v>
      </c>
      <c r="BM234" s="1053" t="str">
        <f t="shared" si="275"/>
        <v>-</v>
      </c>
      <c r="BN234" s="1053" t="str">
        <f t="shared" si="275"/>
        <v>-</v>
      </c>
      <c r="BO234" s="2302" t="str">
        <f t="shared" si="275"/>
        <v>-</v>
      </c>
      <c r="BP234" s="1053" t="str">
        <f t="shared" si="275"/>
        <v>-</v>
      </c>
      <c r="BQ234" s="2303" t="str">
        <f t="shared" si="275"/>
        <v>-</v>
      </c>
      <c r="BR234" s="1053" t="str">
        <f t="shared" si="275"/>
        <v>-</v>
      </c>
      <c r="BS234" s="1053" t="str">
        <f t="shared" si="275"/>
        <v>-</v>
      </c>
      <c r="BT234" s="1053" t="str">
        <f t="shared" si="275"/>
        <v>-</v>
      </c>
      <c r="BU234" s="1054" t="str">
        <f t="shared" si="275"/>
        <v>-</v>
      </c>
      <c r="BV234" s="1053" t="str">
        <f t="shared" si="275"/>
        <v>-</v>
      </c>
      <c r="BW234" s="1053" t="str">
        <f t="shared" si="275"/>
        <v>-</v>
      </c>
      <c r="BX234" s="1053" t="str">
        <f t="shared" si="275"/>
        <v>-</v>
      </c>
      <c r="BY234" s="1053" t="str">
        <f t="shared" si="275"/>
        <v>-</v>
      </c>
      <c r="BZ234" s="1054" t="str">
        <f t="shared" si="275"/>
        <v>-</v>
      </c>
    </row>
    <row r="235" spans="3:78" x14ac:dyDescent="0.3">
      <c r="C235" s="126"/>
      <c r="D235" s="126"/>
      <c r="E235" s="558" t="s">
        <v>46</v>
      </c>
      <c r="F235" s="1722" t="str">
        <f>+F234</f>
        <v>[Service]</v>
      </c>
      <c r="G235" s="1724">
        <f>+G234</f>
        <v>0</v>
      </c>
      <c r="H235" s="1724">
        <f>+H234</f>
        <v>0</v>
      </c>
      <c r="I235" s="1725" t="str">
        <f>+I234</f>
        <v>[Price]</v>
      </c>
      <c r="J235" s="574" t="s">
        <v>323</v>
      </c>
      <c r="K235" s="1973"/>
      <c r="L235" s="1974"/>
      <c r="M235" s="1974"/>
      <c r="N235" s="1975"/>
      <c r="O235" s="1974"/>
      <c r="P235" s="1974"/>
      <c r="Q235" s="1974"/>
      <c r="R235" s="1976"/>
      <c r="S235" s="1980"/>
      <c r="T235" s="1976"/>
      <c r="U235" s="1976"/>
      <c r="V235" s="1976"/>
      <c r="W235" s="578"/>
      <c r="X235" s="1239"/>
      <c r="Y235" s="578"/>
      <c r="Z235" s="578"/>
      <c r="AA235" s="578"/>
      <c r="AB235" s="1143"/>
      <c r="AC235" s="578"/>
      <c r="AD235" s="578"/>
      <c r="AE235" s="578"/>
      <c r="AF235" s="578"/>
      <c r="AG235" s="580"/>
      <c r="AH235" s="579"/>
      <c r="AI235" s="578"/>
      <c r="AJ235" s="578"/>
      <c r="AK235" s="578"/>
      <c r="AL235" s="580"/>
      <c r="AN235" s="991"/>
      <c r="AP235" s="2285" t="str">
        <f t="shared" si="221"/>
        <v>Qty</v>
      </c>
      <c r="AQ235" s="2286" t="str">
        <f t="shared" si="221"/>
        <v>[Service]</v>
      </c>
      <c r="AR235" s="2287" t="str">
        <f t="shared" si="222"/>
        <v>[Price]</v>
      </c>
      <c r="AS235" s="2288" t="str">
        <f t="shared" si="258"/>
        <v>-</v>
      </c>
      <c r="AT235" s="1720" t="str">
        <f t="shared" si="258"/>
        <v>-</v>
      </c>
      <c r="AU235" s="1720" t="str">
        <f t="shared" si="258"/>
        <v>-</v>
      </c>
      <c r="AV235" s="2289" t="str">
        <f t="shared" si="258"/>
        <v>-</v>
      </c>
      <c r="AW235" s="1720" t="str">
        <f t="shared" si="258"/>
        <v>-</v>
      </c>
      <c r="AX235" s="2290" t="str">
        <f t="shared" si="258"/>
        <v>-</v>
      </c>
      <c r="AY235" s="1720" t="str">
        <f t="shared" si="258"/>
        <v>-</v>
      </c>
      <c r="AZ235" s="1720" t="str">
        <f t="shared" si="258"/>
        <v>-</v>
      </c>
      <c r="BA235" s="1720" t="str">
        <f t="shared" si="258"/>
        <v>-</v>
      </c>
      <c r="BB235" s="1721" t="str">
        <f t="shared" si="258"/>
        <v>-</v>
      </c>
      <c r="BC235" s="1720" t="str">
        <f t="shared" si="258"/>
        <v>-</v>
      </c>
      <c r="BD235" s="1720" t="str">
        <f t="shared" si="258"/>
        <v>-</v>
      </c>
      <c r="BE235" s="1720" t="str">
        <f t="shared" si="258"/>
        <v>-</v>
      </c>
      <c r="BF235" s="1720" t="str">
        <f t="shared" si="258"/>
        <v>-</v>
      </c>
      <c r="BG235" s="1721" t="str">
        <f t="shared" si="258"/>
        <v>-</v>
      </c>
      <c r="BH235" s="1048"/>
      <c r="BI235" s="2285" t="str">
        <f t="shared" si="244"/>
        <v>Qty</v>
      </c>
      <c r="BJ235" s="2286" t="str">
        <f t="shared" si="244"/>
        <v>[Service]</v>
      </c>
      <c r="BK235" s="2287" t="str">
        <f t="shared" si="244"/>
        <v>[Price]</v>
      </c>
      <c r="BL235" s="2288" t="str">
        <f t="shared" ref="BL235:BZ235" si="276">IF(OR(X235="",X235=0),"-",IFERROR((X235/W235-1)*(W236/W$13),"-"))</f>
        <v>-</v>
      </c>
      <c r="BM235" s="1720" t="str">
        <f t="shared" si="276"/>
        <v>-</v>
      </c>
      <c r="BN235" s="1720" t="str">
        <f t="shared" si="276"/>
        <v>-</v>
      </c>
      <c r="BO235" s="2289" t="str">
        <f t="shared" si="276"/>
        <v>-</v>
      </c>
      <c r="BP235" s="1720" t="str">
        <f t="shared" si="276"/>
        <v>-</v>
      </c>
      <c r="BQ235" s="2290" t="str">
        <f t="shared" si="276"/>
        <v>-</v>
      </c>
      <c r="BR235" s="1720" t="str">
        <f t="shared" si="276"/>
        <v>-</v>
      </c>
      <c r="BS235" s="1720" t="str">
        <f t="shared" si="276"/>
        <v>-</v>
      </c>
      <c r="BT235" s="1720" t="str">
        <f t="shared" si="276"/>
        <v>-</v>
      </c>
      <c r="BU235" s="1721" t="str">
        <f t="shared" si="276"/>
        <v>-</v>
      </c>
      <c r="BV235" s="1720" t="str">
        <f t="shared" si="276"/>
        <v>-</v>
      </c>
      <c r="BW235" s="1720" t="str">
        <f t="shared" si="276"/>
        <v>-</v>
      </c>
      <c r="BX235" s="1720" t="str">
        <f t="shared" si="276"/>
        <v>-</v>
      </c>
      <c r="BY235" s="1720" t="str">
        <f t="shared" si="276"/>
        <v>-</v>
      </c>
      <c r="BZ235" s="1721" t="str">
        <f t="shared" si="276"/>
        <v>-</v>
      </c>
    </row>
    <row r="236" spans="3:78" ht="12.5" thickBot="1" x14ac:dyDescent="0.35">
      <c r="C236" s="126"/>
      <c r="D236" s="126"/>
      <c r="E236" s="559" t="s">
        <v>47</v>
      </c>
      <c r="F236" s="1723" t="str">
        <f>+F234</f>
        <v>[Service]</v>
      </c>
      <c r="G236" s="1726">
        <f>+G234</f>
        <v>0</v>
      </c>
      <c r="H236" s="1726">
        <f>+H234</f>
        <v>0</v>
      </c>
      <c r="I236" s="1727" t="str">
        <f>+I234</f>
        <v>[Price]</v>
      </c>
      <c r="J236" s="556" t="s">
        <v>347</v>
      </c>
      <c r="K236" s="1977"/>
      <c r="L236" s="1206"/>
      <c r="M236" s="1206"/>
      <c r="N236" s="1978"/>
      <c r="O236" s="1206"/>
      <c r="P236" s="1206"/>
      <c r="Q236" s="1206"/>
      <c r="R236" s="1206"/>
      <c r="S236" s="1978"/>
      <c r="T236" s="1206"/>
      <c r="U236" s="1206"/>
      <c r="V236" s="1206"/>
      <c r="W236" s="1731">
        <f t="shared" ref="W236:AG236" si="277">W234*W235/10^6</f>
        <v>0</v>
      </c>
      <c r="X236" s="1730">
        <f t="shared" si="277"/>
        <v>0</v>
      </c>
      <c r="Y236" s="1731">
        <f t="shared" si="277"/>
        <v>0</v>
      </c>
      <c r="Z236" s="1731">
        <f t="shared" si="277"/>
        <v>0</v>
      </c>
      <c r="AA236" s="1731">
        <f t="shared" si="277"/>
        <v>0</v>
      </c>
      <c r="AB236" s="1733">
        <f t="shared" si="277"/>
        <v>0</v>
      </c>
      <c r="AC236" s="1731">
        <f t="shared" si="277"/>
        <v>0</v>
      </c>
      <c r="AD236" s="1731">
        <f t="shared" si="277"/>
        <v>0</v>
      </c>
      <c r="AE236" s="1731">
        <f t="shared" si="277"/>
        <v>0</v>
      </c>
      <c r="AF236" s="1731">
        <f t="shared" si="277"/>
        <v>0</v>
      </c>
      <c r="AG236" s="1733">
        <f t="shared" si="277"/>
        <v>0</v>
      </c>
      <c r="AH236" s="1732">
        <f>AH234*AH235/10^6</f>
        <v>0</v>
      </c>
      <c r="AI236" s="1731">
        <f>AI234*AI235/10^6</f>
        <v>0</v>
      </c>
      <c r="AJ236" s="1731">
        <f>AJ234*AJ235/10^6</f>
        <v>0</v>
      </c>
      <c r="AK236" s="1731">
        <f>AK234*AK235/10^6</f>
        <v>0</v>
      </c>
      <c r="AL236" s="1733">
        <f>AL234*AL235/10^6</f>
        <v>0</v>
      </c>
      <c r="AN236" s="991"/>
      <c r="AP236" s="2304" t="str">
        <f t="shared" si="221"/>
        <v>Rev</v>
      </c>
      <c r="AQ236" s="2305" t="str">
        <f t="shared" si="221"/>
        <v>[Service]</v>
      </c>
      <c r="AR236" s="2306" t="str">
        <f t="shared" si="222"/>
        <v>[Price]</v>
      </c>
      <c r="AS236" s="2307" t="str">
        <f t="shared" si="258"/>
        <v>-</v>
      </c>
      <c r="AT236" s="1055" t="str">
        <f t="shared" si="258"/>
        <v>-</v>
      </c>
      <c r="AU236" s="1055" t="str">
        <f t="shared" si="258"/>
        <v>-</v>
      </c>
      <c r="AV236" s="2308" t="str">
        <f t="shared" si="258"/>
        <v>-</v>
      </c>
      <c r="AW236" s="1055" t="str">
        <f t="shared" si="258"/>
        <v>-</v>
      </c>
      <c r="AX236" s="2309" t="str">
        <f t="shared" si="258"/>
        <v>-</v>
      </c>
      <c r="AY236" s="1055" t="str">
        <f t="shared" si="258"/>
        <v>-</v>
      </c>
      <c r="AZ236" s="1055" t="str">
        <f t="shared" si="258"/>
        <v>-</v>
      </c>
      <c r="BA236" s="1055" t="str">
        <f t="shared" si="258"/>
        <v>-</v>
      </c>
      <c r="BB236" s="1056" t="str">
        <f t="shared" si="258"/>
        <v>-</v>
      </c>
      <c r="BC236" s="1055" t="str">
        <f t="shared" si="258"/>
        <v>-</v>
      </c>
      <c r="BD236" s="1055" t="str">
        <f t="shared" si="258"/>
        <v>-</v>
      </c>
      <c r="BE236" s="1055" t="str">
        <f t="shared" si="258"/>
        <v>-</v>
      </c>
      <c r="BF236" s="1055" t="str">
        <f t="shared" si="258"/>
        <v>-</v>
      </c>
      <c r="BG236" s="1056" t="str">
        <f t="shared" si="258"/>
        <v>-</v>
      </c>
      <c r="BH236" s="1048"/>
      <c r="BI236" s="2304" t="str">
        <f t="shared" si="244"/>
        <v>Rev</v>
      </c>
      <c r="BJ236" s="2305" t="str">
        <f t="shared" si="244"/>
        <v>[Service]</v>
      </c>
      <c r="BK236" s="2306" t="str">
        <f t="shared" si="244"/>
        <v>[Price]</v>
      </c>
      <c r="BL236" s="2307" t="str">
        <f t="shared" ref="BL236:BZ236" si="278">IF(OR(X236="",X236=0),"-",IFERROR((X236/W236-1)*(W236/W$13),"-"))</f>
        <v>-</v>
      </c>
      <c r="BM236" s="1055" t="str">
        <f t="shared" si="278"/>
        <v>-</v>
      </c>
      <c r="BN236" s="1055" t="str">
        <f t="shared" si="278"/>
        <v>-</v>
      </c>
      <c r="BO236" s="2308" t="str">
        <f t="shared" si="278"/>
        <v>-</v>
      </c>
      <c r="BP236" s="1055" t="str">
        <f t="shared" si="278"/>
        <v>-</v>
      </c>
      <c r="BQ236" s="2309" t="str">
        <f t="shared" si="278"/>
        <v>-</v>
      </c>
      <c r="BR236" s="1055" t="str">
        <f t="shared" si="278"/>
        <v>-</v>
      </c>
      <c r="BS236" s="1055" t="str">
        <f t="shared" si="278"/>
        <v>-</v>
      </c>
      <c r="BT236" s="1055" t="str">
        <f t="shared" si="278"/>
        <v>-</v>
      </c>
      <c r="BU236" s="1056" t="str">
        <f t="shared" si="278"/>
        <v>-</v>
      </c>
      <c r="BV236" s="1055" t="str">
        <f t="shared" si="278"/>
        <v>-</v>
      </c>
      <c r="BW236" s="1055" t="str">
        <f t="shared" si="278"/>
        <v>-</v>
      </c>
      <c r="BX236" s="1055" t="str">
        <f t="shared" si="278"/>
        <v>-</v>
      </c>
      <c r="BY236" s="1055" t="str">
        <f t="shared" si="278"/>
        <v>-</v>
      </c>
      <c r="BZ236" s="1056" t="str">
        <f t="shared" si="278"/>
        <v>-</v>
      </c>
    </row>
    <row r="237" spans="3:78" x14ac:dyDescent="0.3">
      <c r="C237" s="126"/>
      <c r="D237" s="126">
        <f>D234+1</f>
        <v>57</v>
      </c>
      <c r="E237" s="553" t="s">
        <v>45</v>
      </c>
      <c r="F237" s="581" t="s">
        <v>28</v>
      </c>
      <c r="G237" s="581"/>
      <c r="H237" s="581"/>
      <c r="I237" s="573" t="s">
        <v>319</v>
      </c>
      <c r="J237" s="573" t="s">
        <v>348</v>
      </c>
      <c r="K237" s="1969"/>
      <c r="L237" s="1970"/>
      <c r="M237" s="1970"/>
      <c r="N237" s="1971"/>
      <c r="O237" s="1970"/>
      <c r="P237" s="1970"/>
      <c r="Q237" s="1970"/>
      <c r="R237" s="1972"/>
      <c r="S237" s="1979"/>
      <c r="T237" s="1972"/>
      <c r="U237" s="1972"/>
      <c r="V237" s="1972"/>
      <c r="W237" s="575"/>
      <c r="X237" s="1238"/>
      <c r="Y237" s="575"/>
      <c r="Z237" s="575"/>
      <c r="AA237" s="575"/>
      <c r="AB237" s="1142"/>
      <c r="AC237" s="575"/>
      <c r="AD237" s="575"/>
      <c r="AE237" s="575"/>
      <c r="AF237" s="575"/>
      <c r="AG237" s="577"/>
      <c r="AH237" s="576"/>
      <c r="AI237" s="575"/>
      <c r="AJ237" s="575"/>
      <c r="AK237" s="575"/>
      <c r="AL237" s="577"/>
      <c r="AN237" s="1052"/>
      <c r="AP237" s="2297" t="str">
        <f t="shared" si="221"/>
        <v>Price</v>
      </c>
      <c r="AQ237" s="2298" t="str">
        <f t="shared" si="221"/>
        <v>[Service]</v>
      </c>
      <c r="AR237" s="1719" t="str">
        <f t="shared" si="222"/>
        <v>[Price]</v>
      </c>
      <c r="AS237" s="2299" t="str">
        <f t="shared" si="258"/>
        <v>-</v>
      </c>
      <c r="AT237" s="1728" t="str">
        <f t="shared" si="258"/>
        <v>-</v>
      </c>
      <c r="AU237" s="1728" t="str">
        <f t="shared" si="258"/>
        <v>-</v>
      </c>
      <c r="AV237" s="2300" t="str">
        <f t="shared" si="258"/>
        <v>-</v>
      </c>
      <c r="AW237" s="1728" t="str">
        <f t="shared" si="258"/>
        <v>-</v>
      </c>
      <c r="AX237" s="2301" t="str">
        <f t="shared" si="258"/>
        <v>-</v>
      </c>
      <c r="AY237" s="1728" t="str">
        <f t="shared" si="258"/>
        <v>-</v>
      </c>
      <c r="AZ237" s="1728" t="str">
        <f t="shared" si="258"/>
        <v>-</v>
      </c>
      <c r="BA237" s="1728" t="str">
        <f t="shared" si="258"/>
        <v>-</v>
      </c>
      <c r="BB237" s="1729" t="str">
        <f t="shared" si="258"/>
        <v>-</v>
      </c>
      <c r="BC237" s="1728" t="str">
        <f t="shared" si="258"/>
        <v>-</v>
      </c>
      <c r="BD237" s="1728" t="str">
        <f t="shared" si="258"/>
        <v>-</v>
      </c>
      <c r="BE237" s="1728" t="str">
        <f t="shared" si="258"/>
        <v>-</v>
      </c>
      <c r="BF237" s="1728" t="str">
        <f t="shared" si="258"/>
        <v>-</v>
      </c>
      <c r="BG237" s="1729" t="str">
        <f t="shared" si="258"/>
        <v>-</v>
      </c>
      <c r="BH237" s="1048"/>
      <c r="BI237" s="2297" t="str">
        <f t="shared" si="244"/>
        <v>Price</v>
      </c>
      <c r="BJ237" s="2298" t="str">
        <f t="shared" si="244"/>
        <v>[Service]</v>
      </c>
      <c r="BK237" s="1719" t="str">
        <f t="shared" si="244"/>
        <v>[Price]</v>
      </c>
      <c r="BL237" s="2299" t="str">
        <f t="shared" ref="BL237:BZ237" si="279">IF(OR(X237="",X237=0),"-",IFERROR((X237/W237-1)*(W239/W$13),"-"))</f>
        <v>-</v>
      </c>
      <c r="BM237" s="1053" t="str">
        <f t="shared" si="279"/>
        <v>-</v>
      </c>
      <c r="BN237" s="1053" t="str">
        <f t="shared" si="279"/>
        <v>-</v>
      </c>
      <c r="BO237" s="2302" t="str">
        <f t="shared" si="279"/>
        <v>-</v>
      </c>
      <c r="BP237" s="1053" t="str">
        <f t="shared" si="279"/>
        <v>-</v>
      </c>
      <c r="BQ237" s="2303" t="str">
        <f t="shared" si="279"/>
        <v>-</v>
      </c>
      <c r="BR237" s="1053" t="str">
        <f t="shared" si="279"/>
        <v>-</v>
      </c>
      <c r="BS237" s="1053" t="str">
        <f t="shared" si="279"/>
        <v>-</v>
      </c>
      <c r="BT237" s="1053" t="str">
        <f t="shared" si="279"/>
        <v>-</v>
      </c>
      <c r="BU237" s="1054" t="str">
        <f t="shared" si="279"/>
        <v>-</v>
      </c>
      <c r="BV237" s="1053" t="str">
        <f t="shared" si="279"/>
        <v>-</v>
      </c>
      <c r="BW237" s="1053" t="str">
        <f t="shared" si="279"/>
        <v>-</v>
      </c>
      <c r="BX237" s="1053" t="str">
        <f t="shared" si="279"/>
        <v>-</v>
      </c>
      <c r="BY237" s="1053" t="str">
        <f t="shared" si="279"/>
        <v>-</v>
      </c>
      <c r="BZ237" s="1054" t="str">
        <f t="shared" si="279"/>
        <v>-</v>
      </c>
    </row>
    <row r="238" spans="3:78" x14ac:dyDescent="0.3">
      <c r="C238" s="126"/>
      <c r="D238" s="126"/>
      <c r="E238" s="558" t="s">
        <v>46</v>
      </c>
      <c r="F238" s="1722" t="str">
        <f>+F237</f>
        <v>[Service]</v>
      </c>
      <c r="G238" s="1724">
        <f>+G237</f>
        <v>0</v>
      </c>
      <c r="H238" s="1724">
        <f>+H237</f>
        <v>0</v>
      </c>
      <c r="I238" s="1725" t="str">
        <f>+I237</f>
        <v>[Price]</v>
      </c>
      <c r="J238" s="574" t="s">
        <v>323</v>
      </c>
      <c r="K238" s="1973"/>
      <c r="L238" s="1974"/>
      <c r="M238" s="1974"/>
      <c r="N238" s="1975"/>
      <c r="O238" s="1974"/>
      <c r="P238" s="1974"/>
      <c r="Q238" s="1974"/>
      <c r="R238" s="1976"/>
      <c r="S238" s="1980"/>
      <c r="T238" s="1976"/>
      <c r="U238" s="1976"/>
      <c r="V238" s="1976"/>
      <c r="W238" s="578"/>
      <c r="X238" s="1239"/>
      <c r="Y238" s="578"/>
      <c r="Z238" s="578"/>
      <c r="AA238" s="578"/>
      <c r="AB238" s="1143"/>
      <c r="AC238" s="578"/>
      <c r="AD238" s="578"/>
      <c r="AE238" s="578"/>
      <c r="AF238" s="578"/>
      <c r="AG238" s="580"/>
      <c r="AH238" s="579"/>
      <c r="AI238" s="578"/>
      <c r="AJ238" s="578"/>
      <c r="AK238" s="578"/>
      <c r="AL238" s="580"/>
      <c r="AN238" s="991"/>
      <c r="AP238" s="2285" t="str">
        <f t="shared" si="221"/>
        <v>Qty</v>
      </c>
      <c r="AQ238" s="2286" t="str">
        <f t="shared" si="221"/>
        <v>[Service]</v>
      </c>
      <c r="AR238" s="2287" t="str">
        <f t="shared" si="222"/>
        <v>[Price]</v>
      </c>
      <c r="AS238" s="2288" t="str">
        <f t="shared" si="258"/>
        <v>-</v>
      </c>
      <c r="AT238" s="1720" t="str">
        <f t="shared" si="258"/>
        <v>-</v>
      </c>
      <c r="AU238" s="1720" t="str">
        <f t="shared" si="258"/>
        <v>-</v>
      </c>
      <c r="AV238" s="2289" t="str">
        <f t="shared" si="258"/>
        <v>-</v>
      </c>
      <c r="AW238" s="1720" t="str">
        <f t="shared" si="258"/>
        <v>-</v>
      </c>
      <c r="AX238" s="2290" t="str">
        <f t="shared" si="258"/>
        <v>-</v>
      </c>
      <c r="AY238" s="1720" t="str">
        <f t="shared" si="258"/>
        <v>-</v>
      </c>
      <c r="AZ238" s="1720" t="str">
        <f t="shared" si="258"/>
        <v>-</v>
      </c>
      <c r="BA238" s="1720" t="str">
        <f t="shared" si="258"/>
        <v>-</v>
      </c>
      <c r="BB238" s="1721" t="str">
        <f t="shared" si="258"/>
        <v>-</v>
      </c>
      <c r="BC238" s="1720" t="str">
        <f t="shared" si="258"/>
        <v>-</v>
      </c>
      <c r="BD238" s="1720" t="str">
        <f t="shared" si="258"/>
        <v>-</v>
      </c>
      <c r="BE238" s="1720" t="str">
        <f t="shared" si="258"/>
        <v>-</v>
      </c>
      <c r="BF238" s="1720" t="str">
        <f t="shared" si="258"/>
        <v>-</v>
      </c>
      <c r="BG238" s="1721" t="str">
        <f t="shared" si="258"/>
        <v>-</v>
      </c>
      <c r="BH238" s="1048"/>
      <c r="BI238" s="2285" t="str">
        <f t="shared" si="244"/>
        <v>Qty</v>
      </c>
      <c r="BJ238" s="2286" t="str">
        <f t="shared" si="244"/>
        <v>[Service]</v>
      </c>
      <c r="BK238" s="2287" t="str">
        <f t="shared" si="244"/>
        <v>[Price]</v>
      </c>
      <c r="BL238" s="2288" t="str">
        <f t="shared" ref="BL238:BZ238" si="280">IF(OR(X238="",X238=0),"-",IFERROR((X238/W238-1)*(W239/W$13),"-"))</f>
        <v>-</v>
      </c>
      <c r="BM238" s="1720" t="str">
        <f t="shared" si="280"/>
        <v>-</v>
      </c>
      <c r="BN238" s="1720" t="str">
        <f t="shared" si="280"/>
        <v>-</v>
      </c>
      <c r="BO238" s="2289" t="str">
        <f t="shared" si="280"/>
        <v>-</v>
      </c>
      <c r="BP238" s="1720" t="str">
        <f t="shared" si="280"/>
        <v>-</v>
      </c>
      <c r="BQ238" s="2290" t="str">
        <f t="shared" si="280"/>
        <v>-</v>
      </c>
      <c r="BR238" s="1720" t="str">
        <f t="shared" si="280"/>
        <v>-</v>
      </c>
      <c r="BS238" s="1720" t="str">
        <f t="shared" si="280"/>
        <v>-</v>
      </c>
      <c r="BT238" s="1720" t="str">
        <f t="shared" si="280"/>
        <v>-</v>
      </c>
      <c r="BU238" s="1721" t="str">
        <f t="shared" si="280"/>
        <v>-</v>
      </c>
      <c r="BV238" s="1720" t="str">
        <f t="shared" si="280"/>
        <v>-</v>
      </c>
      <c r="BW238" s="1720" t="str">
        <f t="shared" si="280"/>
        <v>-</v>
      </c>
      <c r="BX238" s="1720" t="str">
        <f t="shared" si="280"/>
        <v>-</v>
      </c>
      <c r="BY238" s="1720" t="str">
        <f t="shared" si="280"/>
        <v>-</v>
      </c>
      <c r="BZ238" s="1721" t="str">
        <f t="shared" si="280"/>
        <v>-</v>
      </c>
    </row>
    <row r="239" spans="3:78" ht="12.5" thickBot="1" x14ac:dyDescent="0.35">
      <c r="C239" s="126"/>
      <c r="D239" s="126"/>
      <c r="E239" s="559" t="s">
        <v>47</v>
      </c>
      <c r="F239" s="1723" t="str">
        <f>+F237</f>
        <v>[Service]</v>
      </c>
      <c r="G239" s="1726">
        <f>+G237</f>
        <v>0</v>
      </c>
      <c r="H239" s="1726">
        <f>+H237</f>
        <v>0</v>
      </c>
      <c r="I239" s="1727" t="str">
        <f>+I237</f>
        <v>[Price]</v>
      </c>
      <c r="J239" s="556" t="s">
        <v>347</v>
      </c>
      <c r="K239" s="1977"/>
      <c r="L239" s="1206"/>
      <c r="M239" s="1206"/>
      <c r="N239" s="1978"/>
      <c r="O239" s="1206"/>
      <c r="P239" s="1206"/>
      <c r="Q239" s="1206"/>
      <c r="R239" s="1206"/>
      <c r="S239" s="1978"/>
      <c r="T239" s="1206"/>
      <c r="U239" s="1206"/>
      <c r="V239" s="1206"/>
      <c r="W239" s="1731">
        <f t="shared" ref="W239:AG239" si="281">W237*W238/10^6</f>
        <v>0</v>
      </c>
      <c r="X239" s="1730">
        <f t="shared" si="281"/>
        <v>0</v>
      </c>
      <c r="Y239" s="1731">
        <f t="shared" si="281"/>
        <v>0</v>
      </c>
      <c r="Z239" s="1731">
        <f t="shared" si="281"/>
        <v>0</v>
      </c>
      <c r="AA239" s="1731">
        <f t="shared" si="281"/>
        <v>0</v>
      </c>
      <c r="AB239" s="1733">
        <f t="shared" si="281"/>
        <v>0</v>
      </c>
      <c r="AC239" s="1731">
        <f t="shared" si="281"/>
        <v>0</v>
      </c>
      <c r="AD239" s="1731">
        <f t="shared" si="281"/>
        <v>0</v>
      </c>
      <c r="AE239" s="1731">
        <f t="shared" si="281"/>
        <v>0</v>
      </c>
      <c r="AF239" s="1731">
        <f t="shared" si="281"/>
        <v>0</v>
      </c>
      <c r="AG239" s="1733">
        <f t="shared" si="281"/>
        <v>0</v>
      </c>
      <c r="AH239" s="1732">
        <f>AH237*AH238/10^6</f>
        <v>0</v>
      </c>
      <c r="AI239" s="1731">
        <f>AI237*AI238/10^6</f>
        <v>0</v>
      </c>
      <c r="AJ239" s="1731">
        <f>AJ237*AJ238/10^6</f>
        <v>0</v>
      </c>
      <c r="AK239" s="1731">
        <f>AK237*AK238/10^6</f>
        <v>0</v>
      </c>
      <c r="AL239" s="1733">
        <f>AL237*AL238/10^6</f>
        <v>0</v>
      </c>
      <c r="AN239" s="991"/>
      <c r="AP239" s="2304" t="str">
        <f t="shared" si="221"/>
        <v>Rev</v>
      </c>
      <c r="AQ239" s="2305" t="str">
        <f t="shared" si="221"/>
        <v>[Service]</v>
      </c>
      <c r="AR239" s="2306" t="str">
        <f t="shared" si="222"/>
        <v>[Price]</v>
      </c>
      <c r="AS239" s="2307" t="str">
        <f t="shared" ref="AS239:BG255" si="282">IF(OR(X239="",X239=0),"-",IFERROR(X239/W239-1,"-"))</f>
        <v>-</v>
      </c>
      <c r="AT239" s="1055" t="str">
        <f t="shared" si="282"/>
        <v>-</v>
      </c>
      <c r="AU239" s="1055" t="str">
        <f t="shared" si="282"/>
        <v>-</v>
      </c>
      <c r="AV239" s="2308" t="str">
        <f t="shared" si="282"/>
        <v>-</v>
      </c>
      <c r="AW239" s="1055" t="str">
        <f t="shared" si="282"/>
        <v>-</v>
      </c>
      <c r="AX239" s="2309" t="str">
        <f t="shared" si="282"/>
        <v>-</v>
      </c>
      <c r="AY239" s="1055" t="str">
        <f t="shared" si="282"/>
        <v>-</v>
      </c>
      <c r="AZ239" s="1055" t="str">
        <f t="shared" si="282"/>
        <v>-</v>
      </c>
      <c r="BA239" s="1055" t="str">
        <f t="shared" si="282"/>
        <v>-</v>
      </c>
      <c r="BB239" s="1056" t="str">
        <f t="shared" si="282"/>
        <v>-</v>
      </c>
      <c r="BC239" s="1055" t="str">
        <f t="shared" si="282"/>
        <v>-</v>
      </c>
      <c r="BD239" s="1055" t="str">
        <f t="shared" si="282"/>
        <v>-</v>
      </c>
      <c r="BE239" s="1055" t="str">
        <f t="shared" si="282"/>
        <v>-</v>
      </c>
      <c r="BF239" s="1055" t="str">
        <f t="shared" si="282"/>
        <v>-</v>
      </c>
      <c r="BG239" s="1056" t="str">
        <f t="shared" si="282"/>
        <v>-</v>
      </c>
      <c r="BH239" s="1048"/>
      <c r="BI239" s="2304" t="str">
        <f t="shared" si="244"/>
        <v>Rev</v>
      </c>
      <c r="BJ239" s="2305" t="str">
        <f t="shared" si="244"/>
        <v>[Service]</v>
      </c>
      <c r="BK239" s="2306" t="str">
        <f t="shared" si="244"/>
        <v>[Price]</v>
      </c>
      <c r="BL239" s="2307" t="str">
        <f t="shared" ref="BL239:BZ239" si="283">IF(OR(X239="",X239=0),"-",IFERROR((X239/W239-1)*(W239/W$13),"-"))</f>
        <v>-</v>
      </c>
      <c r="BM239" s="1055" t="str">
        <f t="shared" si="283"/>
        <v>-</v>
      </c>
      <c r="BN239" s="1055" t="str">
        <f t="shared" si="283"/>
        <v>-</v>
      </c>
      <c r="BO239" s="2308" t="str">
        <f t="shared" si="283"/>
        <v>-</v>
      </c>
      <c r="BP239" s="1055" t="str">
        <f t="shared" si="283"/>
        <v>-</v>
      </c>
      <c r="BQ239" s="2309" t="str">
        <f t="shared" si="283"/>
        <v>-</v>
      </c>
      <c r="BR239" s="1055" t="str">
        <f t="shared" si="283"/>
        <v>-</v>
      </c>
      <c r="BS239" s="1055" t="str">
        <f t="shared" si="283"/>
        <v>-</v>
      </c>
      <c r="BT239" s="1055" t="str">
        <f t="shared" si="283"/>
        <v>-</v>
      </c>
      <c r="BU239" s="1056" t="str">
        <f t="shared" si="283"/>
        <v>-</v>
      </c>
      <c r="BV239" s="1055" t="str">
        <f t="shared" si="283"/>
        <v>-</v>
      </c>
      <c r="BW239" s="1055" t="str">
        <f t="shared" si="283"/>
        <v>-</v>
      </c>
      <c r="BX239" s="1055" t="str">
        <f t="shared" si="283"/>
        <v>-</v>
      </c>
      <c r="BY239" s="1055" t="str">
        <f t="shared" si="283"/>
        <v>-</v>
      </c>
      <c r="BZ239" s="1056" t="str">
        <f t="shared" si="283"/>
        <v>-</v>
      </c>
    </row>
    <row r="240" spans="3:78" x14ac:dyDescent="0.3">
      <c r="C240" s="126"/>
      <c r="D240" s="126">
        <f>D237+1</f>
        <v>58</v>
      </c>
      <c r="E240" s="553" t="s">
        <v>45</v>
      </c>
      <c r="F240" s="581" t="s">
        <v>28</v>
      </c>
      <c r="G240" s="581"/>
      <c r="H240" s="581"/>
      <c r="I240" s="573" t="s">
        <v>319</v>
      </c>
      <c r="J240" s="573" t="s">
        <v>348</v>
      </c>
      <c r="K240" s="1969"/>
      <c r="L240" s="1970"/>
      <c r="M240" s="1970"/>
      <c r="N240" s="1971"/>
      <c r="O240" s="1970"/>
      <c r="P240" s="1970"/>
      <c r="Q240" s="1970"/>
      <c r="R240" s="1972"/>
      <c r="S240" s="1979"/>
      <c r="T240" s="1972"/>
      <c r="U240" s="1972"/>
      <c r="V240" s="1972"/>
      <c r="W240" s="575"/>
      <c r="X240" s="1238"/>
      <c r="Y240" s="575"/>
      <c r="Z240" s="575"/>
      <c r="AA240" s="575"/>
      <c r="AB240" s="1142"/>
      <c r="AC240" s="575"/>
      <c r="AD240" s="575"/>
      <c r="AE240" s="575"/>
      <c r="AF240" s="575"/>
      <c r="AG240" s="577"/>
      <c r="AH240" s="576"/>
      <c r="AI240" s="575"/>
      <c r="AJ240" s="575"/>
      <c r="AK240" s="575"/>
      <c r="AL240" s="577"/>
      <c r="AN240" s="1052"/>
      <c r="AP240" s="2297" t="str">
        <f t="shared" si="221"/>
        <v>Price</v>
      </c>
      <c r="AQ240" s="2298" t="str">
        <f t="shared" si="221"/>
        <v>[Service]</v>
      </c>
      <c r="AR240" s="1719" t="str">
        <f t="shared" si="222"/>
        <v>[Price]</v>
      </c>
      <c r="AS240" s="2299" t="str">
        <f t="shared" si="282"/>
        <v>-</v>
      </c>
      <c r="AT240" s="1728" t="str">
        <f t="shared" si="282"/>
        <v>-</v>
      </c>
      <c r="AU240" s="1728" t="str">
        <f t="shared" si="282"/>
        <v>-</v>
      </c>
      <c r="AV240" s="2300" t="str">
        <f t="shared" si="282"/>
        <v>-</v>
      </c>
      <c r="AW240" s="1728" t="str">
        <f t="shared" si="282"/>
        <v>-</v>
      </c>
      <c r="AX240" s="2301" t="str">
        <f t="shared" si="282"/>
        <v>-</v>
      </c>
      <c r="AY240" s="1728" t="str">
        <f t="shared" si="282"/>
        <v>-</v>
      </c>
      <c r="AZ240" s="1728" t="str">
        <f t="shared" si="282"/>
        <v>-</v>
      </c>
      <c r="BA240" s="1728" t="str">
        <f t="shared" si="282"/>
        <v>-</v>
      </c>
      <c r="BB240" s="1729" t="str">
        <f t="shared" si="282"/>
        <v>-</v>
      </c>
      <c r="BC240" s="1728" t="str">
        <f t="shared" si="282"/>
        <v>-</v>
      </c>
      <c r="BD240" s="1728" t="str">
        <f t="shared" si="282"/>
        <v>-</v>
      </c>
      <c r="BE240" s="1728" t="str">
        <f t="shared" si="282"/>
        <v>-</v>
      </c>
      <c r="BF240" s="1728" t="str">
        <f t="shared" si="282"/>
        <v>-</v>
      </c>
      <c r="BG240" s="1729" t="str">
        <f t="shared" si="282"/>
        <v>-</v>
      </c>
      <c r="BH240" s="1048"/>
      <c r="BI240" s="2297" t="str">
        <f t="shared" si="244"/>
        <v>Price</v>
      </c>
      <c r="BJ240" s="2298" t="str">
        <f t="shared" si="244"/>
        <v>[Service]</v>
      </c>
      <c r="BK240" s="1719" t="str">
        <f t="shared" si="244"/>
        <v>[Price]</v>
      </c>
      <c r="BL240" s="2299" t="str">
        <f t="shared" ref="BL240:BZ240" si="284">IF(OR(X240="",X240=0),"-",IFERROR((X240/W240-1)*(W242/W$13),"-"))</f>
        <v>-</v>
      </c>
      <c r="BM240" s="1053" t="str">
        <f t="shared" si="284"/>
        <v>-</v>
      </c>
      <c r="BN240" s="1053" t="str">
        <f t="shared" si="284"/>
        <v>-</v>
      </c>
      <c r="BO240" s="2302" t="str">
        <f t="shared" si="284"/>
        <v>-</v>
      </c>
      <c r="BP240" s="1053" t="str">
        <f t="shared" si="284"/>
        <v>-</v>
      </c>
      <c r="BQ240" s="2303" t="str">
        <f t="shared" si="284"/>
        <v>-</v>
      </c>
      <c r="BR240" s="1053" t="str">
        <f t="shared" si="284"/>
        <v>-</v>
      </c>
      <c r="BS240" s="1053" t="str">
        <f t="shared" si="284"/>
        <v>-</v>
      </c>
      <c r="BT240" s="1053" t="str">
        <f t="shared" si="284"/>
        <v>-</v>
      </c>
      <c r="BU240" s="1054" t="str">
        <f t="shared" si="284"/>
        <v>-</v>
      </c>
      <c r="BV240" s="1053" t="str">
        <f t="shared" si="284"/>
        <v>-</v>
      </c>
      <c r="BW240" s="1053" t="str">
        <f t="shared" si="284"/>
        <v>-</v>
      </c>
      <c r="BX240" s="1053" t="str">
        <f t="shared" si="284"/>
        <v>-</v>
      </c>
      <c r="BY240" s="1053" t="str">
        <f t="shared" si="284"/>
        <v>-</v>
      </c>
      <c r="BZ240" s="1054" t="str">
        <f t="shared" si="284"/>
        <v>-</v>
      </c>
    </row>
    <row r="241" spans="3:78" x14ac:dyDescent="0.3">
      <c r="C241" s="126"/>
      <c r="D241" s="126"/>
      <c r="E241" s="558" t="s">
        <v>46</v>
      </c>
      <c r="F241" s="1722" t="str">
        <f>+F240</f>
        <v>[Service]</v>
      </c>
      <c r="G241" s="1724">
        <f>+G240</f>
        <v>0</v>
      </c>
      <c r="H241" s="1724">
        <f>+H240</f>
        <v>0</v>
      </c>
      <c r="I241" s="1725" t="str">
        <f>+I240</f>
        <v>[Price]</v>
      </c>
      <c r="J241" s="574" t="s">
        <v>323</v>
      </c>
      <c r="K241" s="1973"/>
      <c r="L241" s="1974"/>
      <c r="M241" s="1974"/>
      <c r="N241" s="1975"/>
      <c r="O241" s="1974"/>
      <c r="P241" s="1974"/>
      <c r="Q241" s="1974"/>
      <c r="R241" s="1976"/>
      <c r="S241" s="1980"/>
      <c r="T241" s="1976"/>
      <c r="U241" s="1976"/>
      <c r="V241" s="1976"/>
      <c r="W241" s="578"/>
      <c r="X241" s="1239"/>
      <c r="Y241" s="578"/>
      <c r="Z241" s="578"/>
      <c r="AA241" s="578"/>
      <c r="AB241" s="1143"/>
      <c r="AC241" s="578"/>
      <c r="AD241" s="578"/>
      <c r="AE241" s="578"/>
      <c r="AF241" s="578"/>
      <c r="AG241" s="580"/>
      <c r="AH241" s="579"/>
      <c r="AI241" s="578"/>
      <c r="AJ241" s="578"/>
      <c r="AK241" s="578"/>
      <c r="AL241" s="580"/>
      <c r="AN241" s="991"/>
      <c r="AP241" s="2285" t="str">
        <f t="shared" si="221"/>
        <v>Qty</v>
      </c>
      <c r="AQ241" s="2286" t="str">
        <f t="shared" si="221"/>
        <v>[Service]</v>
      </c>
      <c r="AR241" s="2287" t="str">
        <f t="shared" si="222"/>
        <v>[Price]</v>
      </c>
      <c r="AS241" s="2288" t="str">
        <f t="shared" si="282"/>
        <v>-</v>
      </c>
      <c r="AT241" s="1720" t="str">
        <f t="shared" si="282"/>
        <v>-</v>
      </c>
      <c r="AU241" s="1720" t="str">
        <f t="shared" si="282"/>
        <v>-</v>
      </c>
      <c r="AV241" s="2289" t="str">
        <f t="shared" si="282"/>
        <v>-</v>
      </c>
      <c r="AW241" s="1720" t="str">
        <f t="shared" si="282"/>
        <v>-</v>
      </c>
      <c r="AX241" s="2290" t="str">
        <f t="shared" si="282"/>
        <v>-</v>
      </c>
      <c r="AY241" s="1720" t="str">
        <f t="shared" si="282"/>
        <v>-</v>
      </c>
      <c r="AZ241" s="1720" t="str">
        <f t="shared" si="282"/>
        <v>-</v>
      </c>
      <c r="BA241" s="1720" t="str">
        <f t="shared" si="282"/>
        <v>-</v>
      </c>
      <c r="BB241" s="1721" t="str">
        <f t="shared" si="282"/>
        <v>-</v>
      </c>
      <c r="BC241" s="1720" t="str">
        <f t="shared" si="282"/>
        <v>-</v>
      </c>
      <c r="BD241" s="1720" t="str">
        <f t="shared" si="282"/>
        <v>-</v>
      </c>
      <c r="BE241" s="1720" t="str">
        <f t="shared" si="282"/>
        <v>-</v>
      </c>
      <c r="BF241" s="1720" t="str">
        <f t="shared" si="282"/>
        <v>-</v>
      </c>
      <c r="BG241" s="1721" t="str">
        <f t="shared" si="282"/>
        <v>-</v>
      </c>
      <c r="BH241" s="1048"/>
      <c r="BI241" s="2285" t="str">
        <f t="shared" si="244"/>
        <v>Qty</v>
      </c>
      <c r="BJ241" s="2286" t="str">
        <f t="shared" si="244"/>
        <v>[Service]</v>
      </c>
      <c r="BK241" s="2287" t="str">
        <f t="shared" si="244"/>
        <v>[Price]</v>
      </c>
      <c r="BL241" s="2288" t="str">
        <f t="shared" ref="BL241:BZ241" si="285">IF(OR(X241="",X241=0),"-",IFERROR((X241/W241-1)*(W242/W$13),"-"))</f>
        <v>-</v>
      </c>
      <c r="BM241" s="1720" t="str">
        <f t="shared" si="285"/>
        <v>-</v>
      </c>
      <c r="BN241" s="1720" t="str">
        <f t="shared" si="285"/>
        <v>-</v>
      </c>
      <c r="BO241" s="2289" t="str">
        <f t="shared" si="285"/>
        <v>-</v>
      </c>
      <c r="BP241" s="1720" t="str">
        <f t="shared" si="285"/>
        <v>-</v>
      </c>
      <c r="BQ241" s="2290" t="str">
        <f t="shared" si="285"/>
        <v>-</v>
      </c>
      <c r="BR241" s="1720" t="str">
        <f t="shared" si="285"/>
        <v>-</v>
      </c>
      <c r="BS241" s="1720" t="str">
        <f t="shared" si="285"/>
        <v>-</v>
      </c>
      <c r="BT241" s="1720" t="str">
        <f t="shared" si="285"/>
        <v>-</v>
      </c>
      <c r="BU241" s="1721" t="str">
        <f t="shared" si="285"/>
        <v>-</v>
      </c>
      <c r="BV241" s="1720" t="str">
        <f t="shared" si="285"/>
        <v>-</v>
      </c>
      <c r="BW241" s="1720" t="str">
        <f t="shared" si="285"/>
        <v>-</v>
      </c>
      <c r="BX241" s="1720" t="str">
        <f t="shared" si="285"/>
        <v>-</v>
      </c>
      <c r="BY241" s="1720" t="str">
        <f t="shared" si="285"/>
        <v>-</v>
      </c>
      <c r="BZ241" s="1721" t="str">
        <f t="shared" si="285"/>
        <v>-</v>
      </c>
    </row>
    <row r="242" spans="3:78" ht="12.5" thickBot="1" x14ac:dyDescent="0.35">
      <c r="C242" s="126"/>
      <c r="D242" s="126"/>
      <c r="E242" s="559" t="s">
        <v>47</v>
      </c>
      <c r="F242" s="1723" t="str">
        <f>+F240</f>
        <v>[Service]</v>
      </c>
      <c r="G242" s="1726">
        <f>+G240</f>
        <v>0</v>
      </c>
      <c r="H242" s="1726">
        <f>+H240</f>
        <v>0</v>
      </c>
      <c r="I242" s="1727" t="str">
        <f>+I240</f>
        <v>[Price]</v>
      </c>
      <c r="J242" s="556" t="s">
        <v>347</v>
      </c>
      <c r="K242" s="1977"/>
      <c r="L242" s="1206"/>
      <c r="M242" s="1206"/>
      <c r="N242" s="1978"/>
      <c r="O242" s="1206"/>
      <c r="P242" s="1206"/>
      <c r="Q242" s="1206"/>
      <c r="R242" s="1206"/>
      <c r="S242" s="1978"/>
      <c r="T242" s="1206"/>
      <c r="U242" s="1206"/>
      <c r="V242" s="1206"/>
      <c r="W242" s="1731">
        <f t="shared" ref="W242:AG242" si="286">W240*W241/10^6</f>
        <v>0</v>
      </c>
      <c r="X242" s="1730">
        <f t="shared" si="286"/>
        <v>0</v>
      </c>
      <c r="Y242" s="1731">
        <f t="shared" si="286"/>
        <v>0</v>
      </c>
      <c r="Z242" s="1731">
        <f t="shared" si="286"/>
        <v>0</v>
      </c>
      <c r="AA242" s="1731">
        <f t="shared" si="286"/>
        <v>0</v>
      </c>
      <c r="AB242" s="1733">
        <f t="shared" si="286"/>
        <v>0</v>
      </c>
      <c r="AC242" s="1731">
        <f t="shared" si="286"/>
        <v>0</v>
      </c>
      <c r="AD242" s="1731">
        <f t="shared" si="286"/>
        <v>0</v>
      </c>
      <c r="AE242" s="1731">
        <f t="shared" si="286"/>
        <v>0</v>
      </c>
      <c r="AF242" s="1731">
        <f t="shared" si="286"/>
        <v>0</v>
      </c>
      <c r="AG242" s="1733">
        <f t="shared" si="286"/>
        <v>0</v>
      </c>
      <c r="AH242" s="1732">
        <f>AH240*AH241/10^6</f>
        <v>0</v>
      </c>
      <c r="AI242" s="1731">
        <f>AI240*AI241/10^6</f>
        <v>0</v>
      </c>
      <c r="AJ242" s="1731">
        <f>AJ240*AJ241/10^6</f>
        <v>0</v>
      </c>
      <c r="AK242" s="1731">
        <f>AK240*AK241/10^6</f>
        <v>0</v>
      </c>
      <c r="AL242" s="1733">
        <f>AL240*AL241/10^6</f>
        <v>0</v>
      </c>
      <c r="AN242" s="991"/>
      <c r="AP242" s="2304" t="str">
        <f t="shared" si="221"/>
        <v>Rev</v>
      </c>
      <c r="AQ242" s="2305" t="str">
        <f t="shared" si="221"/>
        <v>[Service]</v>
      </c>
      <c r="AR242" s="2306" t="str">
        <f t="shared" si="222"/>
        <v>[Price]</v>
      </c>
      <c r="AS242" s="2307" t="str">
        <f t="shared" si="282"/>
        <v>-</v>
      </c>
      <c r="AT242" s="1055" t="str">
        <f t="shared" si="282"/>
        <v>-</v>
      </c>
      <c r="AU242" s="1055" t="str">
        <f t="shared" si="282"/>
        <v>-</v>
      </c>
      <c r="AV242" s="2308" t="str">
        <f t="shared" si="282"/>
        <v>-</v>
      </c>
      <c r="AW242" s="1055" t="str">
        <f t="shared" si="282"/>
        <v>-</v>
      </c>
      <c r="AX242" s="2309" t="str">
        <f t="shared" si="282"/>
        <v>-</v>
      </c>
      <c r="AY242" s="1055" t="str">
        <f t="shared" si="282"/>
        <v>-</v>
      </c>
      <c r="AZ242" s="1055" t="str">
        <f t="shared" si="282"/>
        <v>-</v>
      </c>
      <c r="BA242" s="1055" t="str">
        <f t="shared" si="282"/>
        <v>-</v>
      </c>
      <c r="BB242" s="1056" t="str">
        <f t="shared" si="282"/>
        <v>-</v>
      </c>
      <c r="BC242" s="1055" t="str">
        <f t="shared" si="282"/>
        <v>-</v>
      </c>
      <c r="BD242" s="1055" t="str">
        <f t="shared" si="282"/>
        <v>-</v>
      </c>
      <c r="BE242" s="1055" t="str">
        <f t="shared" si="282"/>
        <v>-</v>
      </c>
      <c r="BF242" s="1055" t="str">
        <f t="shared" si="282"/>
        <v>-</v>
      </c>
      <c r="BG242" s="1056" t="str">
        <f t="shared" si="282"/>
        <v>-</v>
      </c>
      <c r="BH242" s="1048"/>
      <c r="BI242" s="2304" t="str">
        <f t="shared" si="244"/>
        <v>Rev</v>
      </c>
      <c r="BJ242" s="2305" t="str">
        <f t="shared" si="244"/>
        <v>[Service]</v>
      </c>
      <c r="BK242" s="2306" t="str">
        <f t="shared" si="244"/>
        <v>[Price]</v>
      </c>
      <c r="BL242" s="2307" t="str">
        <f t="shared" ref="BL242:BZ242" si="287">IF(OR(X242="",X242=0),"-",IFERROR((X242/W242-1)*(W242/W$13),"-"))</f>
        <v>-</v>
      </c>
      <c r="BM242" s="1055" t="str">
        <f t="shared" si="287"/>
        <v>-</v>
      </c>
      <c r="BN242" s="1055" t="str">
        <f t="shared" si="287"/>
        <v>-</v>
      </c>
      <c r="BO242" s="2308" t="str">
        <f t="shared" si="287"/>
        <v>-</v>
      </c>
      <c r="BP242" s="1055" t="str">
        <f t="shared" si="287"/>
        <v>-</v>
      </c>
      <c r="BQ242" s="2309" t="str">
        <f t="shared" si="287"/>
        <v>-</v>
      </c>
      <c r="BR242" s="1055" t="str">
        <f t="shared" si="287"/>
        <v>-</v>
      </c>
      <c r="BS242" s="1055" t="str">
        <f t="shared" si="287"/>
        <v>-</v>
      </c>
      <c r="BT242" s="1055" t="str">
        <f t="shared" si="287"/>
        <v>-</v>
      </c>
      <c r="BU242" s="1056" t="str">
        <f t="shared" si="287"/>
        <v>-</v>
      </c>
      <c r="BV242" s="1055" t="str">
        <f t="shared" si="287"/>
        <v>-</v>
      </c>
      <c r="BW242" s="1055" t="str">
        <f t="shared" si="287"/>
        <v>-</v>
      </c>
      <c r="BX242" s="1055" t="str">
        <f t="shared" si="287"/>
        <v>-</v>
      </c>
      <c r="BY242" s="1055" t="str">
        <f t="shared" si="287"/>
        <v>-</v>
      </c>
      <c r="BZ242" s="1056" t="str">
        <f t="shared" si="287"/>
        <v>-</v>
      </c>
    </row>
    <row r="243" spans="3:78" x14ac:dyDescent="0.3">
      <c r="C243" s="126"/>
      <c r="D243" s="126">
        <f>D240+1</f>
        <v>59</v>
      </c>
      <c r="E243" s="553" t="s">
        <v>45</v>
      </c>
      <c r="F243" s="581" t="s">
        <v>28</v>
      </c>
      <c r="G243" s="581"/>
      <c r="H243" s="581"/>
      <c r="I243" s="573" t="s">
        <v>319</v>
      </c>
      <c r="J243" s="573" t="s">
        <v>348</v>
      </c>
      <c r="K243" s="1969"/>
      <c r="L243" s="1970"/>
      <c r="M243" s="1970"/>
      <c r="N243" s="1971"/>
      <c r="O243" s="1970"/>
      <c r="P243" s="1970"/>
      <c r="Q243" s="1970"/>
      <c r="R243" s="1972"/>
      <c r="S243" s="1979"/>
      <c r="T243" s="1972"/>
      <c r="U243" s="1972"/>
      <c r="V243" s="1972"/>
      <c r="W243" s="575"/>
      <c r="X243" s="1238"/>
      <c r="Y243" s="575"/>
      <c r="Z243" s="575"/>
      <c r="AA243" s="575"/>
      <c r="AB243" s="1142"/>
      <c r="AC243" s="575"/>
      <c r="AD243" s="575"/>
      <c r="AE243" s="575"/>
      <c r="AF243" s="575"/>
      <c r="AG243" s="577"/>
      <c r="AH243" s="576"/>
      <c r="AI243" s="575"/>
      <c r="AJ243" s="575"/>
      <c r="AK243" s="575"/>
      <c r="AL243" s="577"/>
      <c r="AN243" s="1052"/>
      <c r="AP243" s="2297" t="str">
        <f t="shared" si="221"/>
        <v>Price</v>
      </c>
      <c r="AQ243" s="2298" t="str">
        <f t="shared" si="221"/>
        <v>[Service]</v>
      </c>
      <c r="AR243" s="1719" t="str">
        <f t="shared" si="222"/>
        <v>[Price]</v>
      </c>
      <c r="AS243" s="2299" t="str">
        <f t="shared" si="282"/>
        <v>-</v>
      </c>
      <c r="AT243" s="1728" t="str">
        <f t="shared" si="282"/>
        <v>-</v>
      </c>
      <c r="AU243" s="1728" t="str">
        <f t="shared" si="282"/>
        <v>-</v>
      </c>
      <c r="AV243" s="2300" t="str">
        <f t="shared" si="282"/>
        <v>-</v>
      </c>
      <c r="AW243" s="1728" t="str">
        <f t="shared" si="282"/>
        <v>-</v>
      </c>
      <c r="AX243" s="2301" t="str">
        <f t="shared" si="282"/>
        <v>-</v>
      </c>
      <c r="AY243" s="1728" t="str">
        <f t="shared" si="282"/>
        <v>-</v>
      </c>
      <c r="AZ243" s="1728" t="str">
        <f t="shared" si="282"/>
        <v>-</v>
      </c>
      <c r="BA243" s="1728" t="str">
        <f t="shared" si="282"/>
        <v>-</v>
      </c>
      <c r="BB243" s="1729" t="str">
        <f t="shared" si="282"/>
        <v>-</v>
      </c>
      <c r="BC243" s="1728" t="str">
        <f t="shared" si="282"/>
        <v>-</v>
      </c>
      <c r="BD243" s="1728" t="str">
        <f t="shared" si="282"/>
        <v>-</v>
      </c>
      <c r="BE243" s="1728" t="str">
        <f t="shared" si="282"/>
        <v>-</v>
      </c>
      <c r="BF243" s="1728" t="str">
        <f t="shared" si="282"/>
        <v>-</v>
      </c>
      <c r="BG243" s="1729" t="str">
        <f t="shared" si="282"/>
        <v>-</v>
      </c>
      <c r="BH243" s="1048"/>
      <c r="BI243" s="2297" t="str">
        <f t="shared" si="244"/>
        <v>Price</v>
      </c>
      <c r="BJ243" s="2298" t="str">
        <f t="shared" si="244"/>
        <v>[Service]</v>
      </c>
      <c r="BK243" s="1719" t="str">
        <f t="shared" si="244"/>
        <v>[Price]</v>
      </c>
      <c r="BL243" s="2299" t="str">
        <f t="shared" ref="BL243:BZ243" si="288">IF(OR(X243="",X243=0),"-",IFERROR((X243/W243-1)*(W245/W$13),"-"))</f>
        <v>-</v>
      </c>
      <c r="BM243" s="1053" t="str">
        <f t="shared" si="288"/>
        <v>-</v>
      </c>
      <c r="BN243" s="1053" t="str">
        <f t="shared" si="288"/>
        <v>-</v>
      </c>
      <c r="BO243" s="2302" t="str">
        <f t="shared" si="288"/>
        <v>-</v>
      </c>
      <c r="BP243" s="1053" t="str">
        <f t="shared" si="288"/>
        <v>-</v>
      </c>
      <c r="BQ243" s="2303" t="str">
        <f t="shared" si="288"/>
        <v>-</v>
      </c>
      <c r="BR243" s="1053" t="str">
        <f t="shared" si="288"/>
        <v>-</v>
      </c>
      <c r="BS243" s="1053" t="str">
        <f t="shared" si="288"/>
        <v>-</v>
      </c>
      <c r="BT243" s="1053" t="str">
        <f t="shared" si="288"/>
        <v>-</v>
      </c>
      <c r="BU243" s="1054" t="str">
        <f t="shared" si="288"/>
        <v>-</v>
      </c>
      <c r="BV243" s="1053" t="str">
        <f t="shared" si="288"/>
        <v>-</v>
      </c>
      <c r="BW243" s="1053" t="str">
        <f t="shared" si="288"/>
        <v>-</v>
      </c>
      <c r="BX243" s="1053" t="str">
        <f t="shared" si="288"/>
        <v>-</v>
      </c>
      <c r="BY243" s="1053" t="str">
        <f t="shared" si="288"/>
        <v>-</v>
      </c>
      <c r="BZ243" s="1054" t="str">
        <f t="shared" si="288"/>
        <v>-</v>
      </c>
    </row>
    <row r="244" spans="3:78" x14ac:dyDescent="0.3">
      <c r="C244" s="126"/>
      <c r="D244" s="126"/>
      <c r="E244" s="558" t="s">
        <v>46</v>
      </c>
      <c r="F244" s="1722" t="str">
        <f>+F243</f>
        <v>[Service]</v>
      </c>
      <c r="G244" s="1724">
        <f>+G243</f>
        <v>0</v>
      </c>
      <c r="H244" s="1724">
        <f>+H243</f>
        <v>0</v>
      </c>
      <c r="I244" s="1725" t="str">
        <f>+I243</f>
        <v>[Price]</v>
      </c>
      <c r="J244" s="574" t="s">
        <v>323</v>
      </c>
      <c r="K244" s="1973"/>
      <c r="L244" s="1974"/>
      <c r="M244" s="1974"/>
      <c r="N244" s="1975"/>
      <c r="O244" s="1974"/>
      <c r="P244" s="1974"/>
      <c r="Q244" s="1974"/>
      <c r="R244" s="1976"/>
      <c r="S244" s="1980"/>
      <c r="T244" s="1976"/>
      <c r="U244" s="1976"/>
      <c r="V244" s="1976"/>
      <c r="W244" s="578"/>
      <c r="X244" s="1239"/>
      <c r="Y244" s="578"/>
      <c r="Z244" s="578"/>
      <c r="AA244" s="578"/>
      <c r="AB244" s="1143"/>
      <c r="AC244" s="578"/>
      <c r="AD244" s="578"/>
      <c r="AE244" s="578"/>
      <c r="AF244" s="578"/>
      <c r="AG244" s="580"/>
      <c r="AH244" s="579"/>
      <c r="AI244" s="578"/>
      <c r="AJ244" s="578"/>
      <c r="AK244" s="578"/>
      <c r="AL244" s="580"/>
      <c r="AN244" s="991"/>
      <c r="AP244" s="2285" t="str">
        <f t="shared" si="221"/>
        <v>Qty</v>
      </c>
      <c r="AQ244" s="2286" t="str">
        <f t="shared" si="221"/>
        <v>[Service]</v>
      </c>
      <c r="AR244" s="2287" t="str">
        <f t="shared" si="222"/>
        <v>[Price]</v>
      </c>
      <c r="AS244" s="2288" t="str">
        <f t="shared" si="282"/>
        <v>-</v>
      </c>
      <c r="AT244" s="1720" t="str">
        <f t="shared" si="282"/>
        <v>-</v>
      </c>
      <c r="AU244" s="1720" t="str">
        <f t="shared" si="282"/>
        <v>-</v>
      </c>
      <c r="AV244" s="2289" t="str">
        <f t="shared" si="282"/>
        <v>-</v>
      </c>
      <c r="AW244" s="1720" t="str">
        <f t="shared" si="282"/>
        <v>-</v>
      </c>
      <c r="AX244" s="2290" t="str">
        <f t="shared" si="282"/>
        <v>-</v>
      </c>
      <c r="AY244" s="1720" t="str">
        <f t="shared" si="282"/>
        <v>-</v>
      </c>
      <c r="AZ244" s="1720" t="str">
        <f t="shared" si="282"/>
        <v>-</v>
      </c>
      <c r="BA244" s="1720" t="str">
        <f t="shared" si="282"/>
        <v>-</v>
      </c>
      <c r="BB244" s="1721" t="str">
        <f t="shared" si="282"/>
        <v>-</v>
      </c>
      <c r="BC244" s="1720" t="str">
        <f t="shared" si="282"/>
        <v>-</v>
      </c>
      <c r="BD244" s="1720" t="str">
        <f t="shared" si="282"/>
        <v>-</v>
      </c>
      <c r="BE244" s="1720" t="str">
        <f t="shared" si="282"/>
        <v>-</v>
      </c>
      <c r="BF244" s="1720" t="str">
        <f t="shared" si="282"/>
        <v>-</v>
      </c>
      <c r="BG244" s="1721" t="str">
        <f t="shared" si="282"/>
        <v>-</v>
      </c>
      <c r="BH244" s="1048"/>
      <c r="BI244" s="2285" t="str">
        <f t="shared" si="244"/>
        <v>Qty</v>
      </c>
      <c r="BJ244" s="2286" t="str">
        <f t="shared" si="244"/>
        <v>[Service]</v>
      </c>
      <c r="BK244" s="2287" t="str">
        <f t="shared" si="244"/>
        <v>[Price]</v>
      </c>
      <c r="BL244" s="2288" t="str">
        <f t="shared" ref="BL244:BZ244" si="289">IF(OR(X244="",X244=0),"-",IFERROR((X244/W244-1)*(W245/W$13),"-"))</f>
        <v>-</v>
      </c>
      <c r="BM244" s="1720" t="str">
        <f t="shared" si="289"/>
        <v>-</v>
      </c>
      <c r="BN244" s="1720" t="str">
        <f t="shared" si="289"/>
        <v>-</v>
      </c>
      <c r="BO244" s="2289" t="str">
        <f t="shared" si="289"/>
        <v>-</v>
      </c>
      <c r="BP244" s="1720" t="str">
        <f t="shared" si="289"/>
        <v>-</v>
      </c>
      <c r="BQ244" s="2290" t="str">
        <f t="shared" si="289"/>
        <v>-</v>
      </c>
      <c r="BR244" s="1720" t="str">
        <f t="shared" si="289"/>
        <v>-</v>
      </c>
      <c r="BS244" s="1720" t="str">
        <f t="shared" si="289"/>
        <v>-</v>
      </c>
      <c r="BT244" s="1720" t="str">
        <f t="shared" si="289"/>
        <v>-</v>
      </c>
      <c r="BU244" s="1721" t="str">
        <f t="shared" si="289"/>
        <v>-</v>
      </c>
      <c r="BV244" s="1720" t="str">
        <f t="shared" si="289"/>
        <v>-</v>
      </c>
      <c r="BW244" s="1720" t="str">
        <f t="shared" si="289"/>
        <v>-</v>
      </c>
      <c r="BX244" s="1720" t="str">
        <f t="shared" si="289"/>
        <v>-</v>
      </c>
      <c r="BY244" s="1720" t="str">
        <f t="shared" si="289"/>
        <v>-</v>
      </c>
      <c r="BZ244" s="1721" t="str">
        <f t="shared" si="289"/>
        <v>-</v>
      </c>
    </row>
    <row r="245" spans="3:78" ht="12.5" thickBot="1" x14ac:dyDescent="0.35">
      <c r="C245" s="126"/>
      <c r="D245" s="126"/>
      <c r="E245" s="559" t="s">
        <v>47</v>
      </c>
      <c r="F245" s="1723" t="str">
        <f>+F243</f>
        <v>[Service]</v>
      </c>
      <c r="G245" s="1726">
        <f>+G243</f>
        <v>0</v>
      </c>
      <c r="H245" s="1726">
        <f>+H243</f>
        <v>0</v>
      </c>
      <c r="I245" s="1727" t="str">
        <f>+I243</f>
        <v>[Price]</v>
      </c>
      <c r="J245" s="556" t="s">
        <v>347</v>
      </c>
      <c r="K245" s="1977"/>
      <c r="L245" s="1206"/>
      <c r="M245" s="1206"/>
      <c r="N245" s="1978"/>
      <c r="O245" s="1206"/>
      <c r="P245" s="1206"/>
      <c r="Q245" s="1206"/>
      <c r="R245" s="1206"/>
      <c r="S245" s="1978"/>
      <c r="T245" s="1206"/>
      <c r="U245" s="1206"/>
      <c r="V245" s="1206"/>
      <c r="W245" s="1731">
        <f t="shared" ref="W245:AG245" si="290">W243*W244/10^6</f>
        <v>0</v>
      </c>
      <c r="X245" s="1730">
        <f t="shared" si="290"/>
        <v>0</v>
      </c>
      <c r="Y245" s="1731">
        <f t="shared" si="290"/>
        <v>0</v>
      </c>
      <c r="Z245" s="1731">
        <f t="shared" si="290"/>
        <v>0</v>
      </c>
      <c r="AA245" s="1731">
        <f t="shared" si="290"/>
        <v>0</v>
      </c>
      <c r="AB245" s="1733">
        <f t="shared" si="290"/>
        <v>0</v>
      </c>
      <c r="AC245" s="1731">
        <f t="shared" si="290"/>
        <v>0</v>
      </c>
      <c r="AD245" s="1731">
        <f t="shared" si="290"/>
        <v>0</v>
      </c>
      <c r="AE245" s="1731">
        <f t="shared" si="290"/>
        <v>0</v>
      </c>
      <c r="AF245" s="1731">
        <f t="shared" si="290"/>
        <v>0</v>
      </c>
      <c r="AG245" s="1733">
        <f t="shared" si="290"/>
        <v>0</v>
      </c>
      <c r="AH245" s="1732">
        <f>AH243*AH244/10^6</f>
        <v>0</v>
      </c>
      <c r="AI245" s="1731">
        <f>AI243*AI244/10^6</f>
        <v>0</v>
      </c>
      <c r="AJ245" s="1731">
        <f>AJ243*AJ244/10^6</f>
        <v>0</v>
      </c>
      <c r="AK245" s="1731">
        <f>AK243*AK244/10^6</f>
        <v>0</v>
      </c>
      <c r="AL245" s="1733">
        <f>AL243*AL244/10^6</f>
        <v>0</v>
      </c>
      <c r="AN245" s="991"/>
      <c r="AP245" s="2304" t="str">
        <f t="shared" si="221"/>
        <v>Rev</v>
      </c>
      <c r="AQ245" s="2305" t="str">
        <f t="shared" si="221"/>
        <v>[Service]</v>
      </c>
      <c r="AR245" s="2306" t="str">
        <f t="shared" si="222"/>
        <v>[Price]</v>
      </c>
      <c r="AS245" s="2307" t="str">
        <f t="shared" si="282"/>
        <v>-</v>
      </c>
      <c r="AT245" s="1055" t="str">
        <f t="shared" si="282"/>
        <v>-</v>
      </c>
      <c r="AU245" s="1055" t="str">
        <f t="shared" si="282"/>
        <v>-</v>
      </c>
      <c r="AV245" s="2308" t="str">
        <f t="shared" si="282"/>
        <v>-</v>
      </c>
      <c r="AW245" s="1055" t="str">
        <f t="shared" si="282"/>
        <v>-</v>
      </c>
      <c r="AX245" s="2309" t="str">
        <f t="shared" si="282"/>
        <v>-</v>
      </c>
      <c r="AY245" s="1055" t="str">
        <f t="shared" si="282"/>
        <v>-</v>
      </c>
      <c r="AZ245" s="1055" t="str">
        <f t="shared" si="282"/>
        <v>-</v>
      </c>
      <c r="BA245" s="1055" t="str">
        <f t="shared" si="282"/>
        <v>-</v>
      </c>
      <c r="BB245" s="1056" t="str">
        <f t="shared" si="282"/>
        <v>-</v>
      </c>
      <c r="BC245" s="1055" t="str">
        <f t="shared" si="282"/>
        <v>-</v>
      </c>
      <c r="BD245" s="1055" t="str">
        <f t="shared" si="282"/>
        <v>-</v>
      </c>
      <c r="BE245" s="1055" t="str">
        <f t="shared" si="282"/>
        <v>-</v>
      </c>
      <c r="BF245" s="1055" t="str">
        <f t="shared" si="282"/>
        <v>-</v>
      </c>
      <c r="BG245" s="1056" t="str">
        <f t="shared" si="282"/>
        <v>-</v>
      </c>
      <c r="BH245" s="1048"/>
      <c r="BI245" s="2304" t="str">
        <f t="shared" si="244"/>
        <v>Rev</v>
      </c>
      <c r="BJ245" s="2305" t="str">
        <f t="shared" si="244"/>
        <v>[Service]</v>
      </c>
      <c r="BK245" s="2306" t="str">
        <f t="shared" si="244"/>
        <v>[Price]</v>
      </c>
      <c r="BL245" s="2307" t="str">
        <f t="shared" ref="BL245:BZ245" si="291">IF(OR(X245="",X245=0),"-",IFERROR((X245/W245-1)*(W245/W$13),"-"))</f>
        <v>-</v>
      </c>
      <c r="BM245" s="1055" t="str">
        <f t="shared" si="291"/>
        <v>-</v>
      </c>
      <c r="BN245" s="1055" t="str">
        <f t="shared" si="291"/>
        <v>-</v>
      </c>
      <c r="BO245" s="2308" t="str">
        <f t="shared" si="291"/>
        <v>-</v>
      </c>
      <c r="BP245" s="1055" t="str">
        <f t="shared" si="291"/>
        <v>-</v>
      </c>
      <c r="BQ245" s="2309" t="str">
        <f t="shared" si="291"/>
        <v>-</v>
      </c>
      <c r="BR245" s="1055" t="str">
        <f t="shared" si="291"/>
        <v>-</v>
      </c>
      <c r="BS245" s="1055" t="str">
        <f t="shared" si="291"/>
        <v>-</v>
      </c>
      <c r="BT245" s="1055" t="str">
        <f t="shared" si="291"/>
        <v>-</v>
      </c>
      <c r="BU245" s="1056" t="str">
        <f t="shared" si="291"/>
        <v>-</v>
      </c>
      <c r="BV245" s="1055" t="str">
        <f t="shared" si="291"/>
        <v>-</v>
      </c>
      <c r="BW245" s="1055" t="str">
        <f t="shared" si="291"/>
        <v>-</v>
      </c>
      <c r="BX245" s="1055" t="str">
        <f t="shared" si="291"/>
        <v>-</v>
      </c>
      <c r="BY245" s="1055" t="str">
        <f t="shared" si="291"/>
        <v>-</v>
      </c>
      <c r="BZ245" s="1056" t="str">
        <f t="shared" si="291"/>
        <v>-</v>
      </c>
    </row>
    <row r="246" spans="3:78" x14ac:dyDescent="0.3">
      <c r="C246" s="126"/>
      <c r="D246" s="126">
        <f>D243+1</f>
        <v>60</v>
      </c>
      <c r="E246" s="553" t="s">
        <v>45</v>
      </c>
      <c r="F246" s="581" t="s">
        <v>28</v>
      </c>
      <c r="G246" s="581"/>
      <c r="H246" s="581"/>
      <c r="I246" s="573" t="s">
        <v>319</v>
      </c>
      <c r="J246" s="573" t="s">
        <v>348</v>
      </c>
      <c r="K246" s="1969"/>
      <c r="L246" s="1970"/>
      <c r="M246" s="1970"/>
      <c r="N246" s="1971"/>
      <c r="O246" s="1970"/>
      <c r="P246" s="1970"/>
      <c r="Q246" s="1970"/>
      <c r="R246" s="1972"/>
      <c r="S246" s="1979"/>
      <c r="T246" s="1972"/>
      <c r="U246" s="1972"/>
      <c r="V246" s="1972"/>
      <c r="W246" s="575"/>
      <c r="X246" s="1238"/>
      <c r="Y246" s="575"/>
      <c r="Z246" s="575"/>
      <c r="AA246" s="575"/>
      <c r="AB246" s="1142"/>
      <c r="AC246" s="575"/>
      <c r="AD246" s="575"/>
      <c r="AE246" s="575"/>
      <c r="AF246" s="575"/>
      <c r="AG246" s="577"/>
      <c r="AH246" s="576"/>
      <c r="AI246" s="575"/>
      <c r="AJ246" s="575"/>
      <c r="AK246" s="575"/>
      <c r="AL246" s="577"/>
      <c r="AN246" s="1052"/>
      <c r="AP246" s="2297" t="str">
        <f t="shared" si="221"/>
        <v>Price</v>
      </c>
      <c r="AQ246" s="2298" t="str">
        <f t="shared" si="221"/>
        <v>[Service]</v>
      </c>
      <c r="AR246" s="1719" t="str">
        <f t="shared" si="222"/>
        <v>[Price]</v>
      </c>
      <c r="AS246" s="2299" t="str">
        <f t="shared" si="282"/>
        <v>-</v>
      </c>
      <c r="AT246" s="1728" t="str">
        <f t="shared" si="282"/>
        <v>-</v>
      </c>
      <c r="AU246" s="1728" t="str">
        <f t="shared" si="282"/>
        <v>-</v>
      </c>
      <c r="AV246" s="2300" t="str">
        <f t="shared" si="282"/>
        <v>-</v>
      </c>
      <c r="AW246" s="1728" t="str">
        <f t="shared" si="282"/>
        <v>-</v>
      </c>
      <c r="AX246" s="2301" t="str">
        <f t="shared" si="282"/>
        <v>-</v>
      </c>
      <c r="AY246" s="1728" t="str">
        <f t="shared" si="282"/>
        <v>-</v>
      </c>
      <c r="AZ246" s="1728" t="str">
        <f t="shared" si="282"/>
        <v>-</v>
      </c>
      <c r="BA246" s="1728" t="str">
        <f t="shared" si="282"/>
        <v>-</v>
      </c>
      <c r="BB246" s="1729" t="str">
        <f t="shared" si="282"/>
        <v>-</v>
      </c>
      <c r="BC246" s="1728" t="str">
        <f t="shared" si="282"/>
        <v>-</v>
      </c>
      <c r="BD246" s="1728" t="str">
        <f t="shared" si="282"/>
        <v>-</v>
      </c>
      <c r="BE246" s="1728" t="str">
        <f t="shared" si="282"/>
        <v>-</v>
      </c>
      <c r="BF246" s="1728" t="str">
        <f t="shared" si="282"/>
        <v>-</v>
      </c>
      <c r="BG246" s="1729" t="str">
        <f t="shared" si="282"/>
        <v>-</v>
      </c>
      <c r="BH246" s="1048"/>
      <c r="BI246" s="2297" t="str">
        <f t="shared" si="244"/>
        <v>Price</v>
      </c>
      <c r="BJ246" s="2298" t="str">
        <f t="shared" si="244"/>
        <v>[Service]</v>
      </c>
      <c r="BK246" s="1719" t="str">
        <f t="shared" si="244"/>
        <v>[Price]</v>
      </c>
      <c r="BL246" s="2299" t="str">
        <f t="shared" ref="BL246:BZ246" si="292">IF(OR(X246="",X246=0),"-",IFERROR((X246/W246-1)*(W248/W$13),"-"))</f>
        <v>-</v>
      </c>
      <c r="BM246" s="1053" t="str">
        <f t="shared" si="292"/>
        <v>-</v>
      </c>
      <c r="BN246" s="1053" t="str">
        <f t="shared" si="292"/>
        <v>-</v>
      </c>
      <c r="BO246" s="2302" t="str">
        <f t="shared" si="292"/>
        <v>-</v>
      </c>
      <c r="BP246" s="1053" t="str">
        <f t="shared" si="292"/>
        <v>-</v>
      </c>
      <c r="BQ246" s="2303" t="str">
        <f t="shared" si="292"/>
        <v>-</v>
      </c>
      <c r="BR246" s="1053" t="str">
        <f t="shared" si="292"/>
        <v>-</v>
      </c>
      <c r="BS246" s="1053" t="str">
        <f t="shared" si="292"/>
        <v>-</v>
      </c>
      <c r="BT246" s="1053" t="str">
        <f t="shared" si="292"/>
        <v>-</v>
      </c>
      <c r="BU246" s="1054" t="str">
        <f t="shared" si="292"/>
        <v>-</v>
      </c>
      <c r="BV246" s="1053" t="str">
        <f t="shared" si="292"/>
        <v>-</v>
      </c>
      <c r="BW246" s="1053" t="str">
        <f t="shared" si="292"/>
        <v>-</v>
      </c>
      <c r="BX246" s="1053" t="str">
        <f t="shared" si="292"/>
        <v>-</v>
      </c>
      <c r="BY246" s="1053" t="str">
        <f t="shared" si="292"/>
        <v>-</v>
      </c>
      <c r="BZ246" s="1054" t="str">
        <f t="shared" si="292"/>
        <v>-</v>
      </c>
    </row>
    <row r="247" spans="3:78" x14ac:dyDescent="0.3">
      <c r="C247" s="126"/>
      <c r="D247" s="126"/>
      <c r="E247" s="558" t="s">
        <v>46</v>
      </c>
      <c r="F247" s="1722" t="str">
        <f>+F246</f>
        <v>[Service]</v>
      </c>
      <c r="G247" s="1724">
        <f>+G246</f>
        <v>0</v>
      </c>
      <c r="H247" s="1724">
        <f>+H246</f>
        <v>0</v>
      </c>
      <c r="I247" s="1725" t="str">
        <f>+I246</f>
        <v>[Price]</v>
      </c>
      <c r="J247" s="574" t="s">
        <v>323</v>
      </c>
      <c r="K247" s="1973"/>
      <c r="L247" s="1974"/>
      <c r="M247" s="1974"/>
      <c r="N247" s="1975"/>
      <c r="O247" s="1974"/>
      <c r="P247" s="1974"/>
      <c r="Q247" s="1974"/>
      <c r="R247" s="1976"/>
      <c r="S247" s="1980"/>
      <c r="T247" s="1976"/>
      <c r="U247" s="1976"/>
      <c r="V247" s="1976"/>
      <c r="W247" s="578"/>
      <c r="X247" s="1239"/>
      <c r="Y247" s="578"/>
      <c r="Z247" s="578"/>
      <c r="AA247" s="578"/>
      <c r="AB247" s="1143"/>
      <c r="AC247" s="578"/>
      <c r="AD247" s="578"/>
      <c r="AE247" s="578"/>
      <c r="AF247" s="578"/>
      <c r="AG247" s="580"/>
      <c r="AH247" s="579"/>
      <c r="AI247" s="578"/>
      <c r="AJ247" s="578"/>
      <c r="AK247" s="578"/>
      <c r="AL247" s="580"/>
      <c r="AN247" s="991"/>
      <c r="AP247" s="2285" t="str">
        <f t="shared" si="221"/>
        <v>Qty</v>
      </c>
      <c r="AQ247" s="2286" t="str">
        <f t="shared" si="221"/>
        <v>[Service]</v>
      </c>
      <c r="AR247" s="2287" t="str">
        <f t="shared" si="222"/>
        <v>[Price]</v>
      </c>
      <c r="AS247" s="2288" t="str">
        <f t="shared" si="282"/>
        <v>-</v>
      </c>
      <c r="AT247" s="1720" t="str">
        <f t="shared" si="282"/>
        <v>-</v>
      </c>
      <c r="AU247" s="1720" t="str">
        <f t="shared" si="282"/>
        <v>-</v>
      </c>
      <c r="AV247" s="2289" t="str">
        <f t="shared" si="282"/>
        <v>-</v>
      </c>
      <c r="AW247" s="1720" t="str">
        <f t="shared" si="282"/>
        <v>-</v>
      </c>
      <c r="AX247" s="2290" t="str">
        <f t="shared" si="282"/>
        <v>-</v>
      </c>
      <c r="AY247" s="1720" t="str">
        <f t="shared" si="282"/>
        <v>-</v>
      </c>
      <c r="AZ247" s="1720" t="str">
        <f t="shared" si="282"/>
        <v>-</v>
      </c>
      <c r="BA247" s="1720" t="str">
        <f t="shared" si="282"/>
        <v>-</v>
      </c>
      <c r="BB247" s="1721" t="str">
        <f t="shared" si="282"/>
        <v>-</v>
      </c>
      <c r="BC247" s="1720" t="str">
        <f t="shared" si="282"/>
        <v>-</v>
      </c>
      <c r="BD247" s="1720" t="str">
        <f t="shared" si="282"/>
        <v>-</v>
      </c>
      <c r="BE247" s="1720" t="str">
        <f t="shared" si="282"/>
        <v>-</v>
      </c>
      <c r="BF247" s="1720" t="str">
        <f t="shared" si="282"/>
        <v>-</v>
      </c>
      <c r="BG247" s="1721" t="str">
        <f t="shared" si="282"/>
        <v>-</v>
      </c>
      <c r="BH247" s="1048"/>
      <c r="BI247" s="2285" t="str">
        <f t="shared" si="244"/>
        <v>Qty</v>
      </c>
      <c r="BJ247" s="2286" t="str">
        <f t="shared" si="244"/>
        <v>[Service]</v>
      </c>
      <c r="BK247" s="2287" t="str">
        <f t="shared" si="244"/>
        <v>[Price]</v>
      </c>
      <c r="BL247" s="2288" t="str">
        <f t="shared" ref="BL247:BZ247" si="293">IF(OR(X247="",X247=0),"-",IFERROR((X247/W247-1)*(W248/W$13),"-"))</f>
        <v>-</v>
      </c>
      <c r="BM247" s="1720" t="str">
        <f t="shared" si="293"/>
        <v>-</v>
      </c>
      <c r="BN247" s="1720" t="str">
        <f t="shared" si="293"/>
        <v>-</v>
      </c>
      <c r="BO247" s="2289" t="str">
        <f t="shared" si="293"/>
        <v>-</v>
      </c>
      <c r="BP247" s="1720" t="str">
        <f t="shared" si="293"/>
        <v>-</v>
      </c>
      <c r="BQ247" s="2290" t="str">
        <f t="shared" si="293"/>
        <v>-</v>
      </c>
      <c r="BR247" s="1720" t="str">
        <f t="shared" si="293"/>
        <v>-</v>
      </c>
      <c r="BS247" s="1720" t="str">
        <f t="shared" si="293"/>
        <v>-</v>
      </c>
      <c r="BT247" s="1720" t="str">
        <f t="shared" si="293"/>
        <v>-</v>
      </c>
      <c r="BU247" s="1721" t="str">
        <f t="shared" si="293"/>
        <v>-</v>
      </c>
      <c r="BV247" s="1720" t="str">
        <f t="shared" si="293"/>
        <v>-</v>
      </c>
      <c r="BW247" s="1720" t="str">
        <f t="shared" si="293"/>
        <v>-</v>
      </c>
      <c r="BX247" s="1720" t="str">
        <f t="shared" si="293"/>
        <v>-</v>
      </c>
      <c r="BY247" s="1720" t="str">
        <f t="shared" si="293"/>
        <v>-</v>
      </c>
      <c r="BZ247" s="1721" t="str">
        <f t="shared" si="293"/>
        <v>-</v>
      </c>
    </row>
    <row r="248" spans="3:78" ht="12.5" thickBot="1" x14ac:dyDescent="0.35">
      <c r="C248" s="126"/>
      <c r="D248" s="126"/>
      <c r="E248" s="559" t="s">
        <v>47</v>
      </c>
      <c r="F248" s="1723" t="str">
        <f>+F246</f>
        <v>[Service]</v>
      </c>
      <c r="G248" s="1726">
        <f>+G246</f>
        <v>0</v>
      </c>
      <c r="H248" s="1726">
        <f>+H246</f>
        <v>0</v>
      </c>
      <c r="I248" s="1727" t="str">
        <f>+I246</f>
        <v>[Price]</v>
      </c>
      <c r="J248" s="556" t="s">
        <v>347</v>
      </c>
      <c r="K248" s="1977"/>
      <c r="L248" s="1206"/>
      <c r="M248" s="1206"/>
      <c r="N248" s="1978"/>
      <c r="O248" s="1206"/>
      <c r="P248" s="1206"/>
      <c r="Q248" s="1206"/>
      <c r="R248" s="1206"/>
      <c r="S248" s="1978"/>
      <c r="T248" s="1206"/>
      <c r="U248" s="1206"/>
      <c r="V248" s="1206"/>
      <c r="W248" s="1731">
        <f t="shared" ref="W248:AG248" si="294">W246*W247/10^6</f>
        <v>0</v>
      </c>
      <c r="X248" s="1730">
        <f t="shared" si="294"/>
        <v>0</v>
      </c>
      <c r="Y248" s="1731">
        <f t="shared" si="294"/>
        <v>0</v>
      </c>
      <c r="Z248" s="1731">
        <f t="shared" si="294"/>
        <v>0</v>
      </c>
      <c r="AA248" s="1731">
        <f t="shared" si="294"/>
        <v>0</v>
      </c>
      <c r="AB248" s="1733">
        <f t="shared" si="294"/>
        <v>0</v>
      </c>
      <c r="AC248" s="1731">
        <f t="shared" si="294"/>
        <v>0</v>
      </c>
      <c r="AD248" s="1731">
        <f t="shared" si="294"/>
        <v>0</v>
      </c>
      <c r="AE248" s="1731">
        <f t="shared" si="294"/>
        <v>0</v>
      </c>
      <c r="AF248" s="1731">
        <f t="shared" si="294"/>
        <v>0</v>
      </c>
      <c r="AG248" s="1733">
        <f t="shared" si="294"/>
        <v>0</v>
      </c>
      <c r="AH248" s="1732">
        <f>AH246*AH247/10^6</f>
        <v>0</v>
      </c>
      <c r="AI248" s="1731">
        <f>AI246*AI247/10^6</f>
        <v>0</v>
      </c>
      <c r="AJ248" s="1731">
        <f>AJ246*AJ247/10^6</f>
        <v>0</v>
      </c>
      <c r="AK248" s="1731">
        <f>AK246*AK247/10^6</f>
        <v>0</v>
      </c>
      <c r="AL248" s="1733">
        <f>AL246*AL247/10^6</f>
        <v>0</v>
      </c>
      <c r="AN248" s="991"/>
      <c r="AP248" s="2304" t="str">
        <f t="shared" si="221"/>
        <v>Rev</v>
      </c>
      <c r="AQ248" s="2305" t="str">
        <f t="shared" si="221"/>
        <v>[Service]</v>
      </c>
      <c r="AR248" s="2306" t="str">
        <f t="shared" si="222"/>
        <v>[Price]</v>
      </c>
      <c r="AS248" s="2307" t="str">
        <f t="shared" si="282"/>
        <v>-</v>
      </c>
      <c r="AT248" s="1055" t="str">
        <f t="shared" si="282"/>
        <v>-</v>
      </c>
      <c r="AU248" s="1055" t="str">
        <f t="shared" si="282"/>
        <v>-</v>
      </c>
      <c r="AV248" s="2308" t="str">
        <f t="shared" si="282"/>
        <v>-</v>
      </c>
      <c r="AW248" s="1055" t="str">
        <f t="shared" si="282"/>
        <v>-</v>
      </c>
      <c r="AX248" s="2309" t="str">
        <f t="shared" si="282"/>
        <v>-</v>
      </c>
      <c r="AY248" s="1055" t="str">
        <f t="shared" si="282"/>
        <v>-</v>
      </c>
      <c r="AZ248" s="1055" t="str">
        <f t="shared" si="282"/>
        <v>-</v>
      </c>
      <c r="BA248" s="1055" t="str">
        <f t="shared" si="282"/>
        <v>-</v>
      </c>
      <c r="BB248" s="1056" t="str">
        <f t="shared" si="282"/>
        <v>-</v>
      </c>
      <c r="BC248" s="1055" t="str">
        <f t="shared" si="282"/>
        <v>-</v>
      </c>
      <c r="BD248" s="1055" t="str">
        <f t="shared" si="282"/>
        <v>-</v>
      </c>
      <c r="BE248" s="1055" t="str">
        <f t="shared" si="282"/>
        <v>-</v>
      </c>
      <c r="BF248" s="1055" t="str">
        <f t="shared" si="282"/>
        <v>-</v>
      </c>
      <c r="BG248" s="1056" t="str">
        <f t="shared" si="282"/>
        <v>-</v>
      </c>
      <c r="BH248" s="1048"/>
      <c r="BI248" s="2304" t="str">
        <f t="shared" si="244"/>
        <v>Rev</v>
      </c>
      <c r="BJ248" s="2305" t="str">
        <f t="shared" si="244"/>
        <v>[Service]</v>
      </c>
      <c r="BK248" s="2306" t="str">
        <f t="shared" si="244"/>
        <v>[Price]</v>
      </c>
      <c r="BL248" s="2307" t="str">
        <f t="shared" ref="BL248:BZ248" si="295">IF(OR(X248="",X248=0),"-",IFERROR((X248/W248-1)*(W248/W$13),"-"))</f>
        <v>-</v>
      </c>
      <c r="BM248" s="1055" t="str">
        <f t="shared" si="295"/>
        <v>-</v>
      </c>
      <c r="BN248" s="1055" t="str">
        <f t="shared" si="295"/>
        <v>-</v>
      </c>
      <c r="BO248" s="2308" t="str">
        <f t="shared" si="295"/>
        <v>-</v>
      </c>
      <c r="BP248" s="1055" t="str">
        <f t="shared" si="295"/>
        <v>-</v>
      </c>
      <c r="BQ248" s="2309" t="str">
        <f t="shared" si="295"/>
        <v>-</v>
      </c>
      <c r="BR248" s="1055" t="str">
        <f t="shared" si="295"/>
        <v>-</v>
      </c>
      <c r="BS248" s="1055" t="str">
        <f t="shared" si="295"/>
        <v>-</v>
      </c>
      <c r="BT248" s="1055" t="str">
        <f t="shared" si="295"/>
        <v>-</v>
      </c>
      <c r="BU248" s="1056" t="str">
        <f t="shared" si="295"/>
        <v>-</v>
      </c>
      <c r="BV248" s="1055" t="str">
        <f t="shared" si="295"/>
        <v>-</v>
      </c>
      <c r="BW248" s="1055" t="str">
        <f t="shared" si="295"/>
        <v>-</v>
      </c>
      <c r="BX248" s="1055" t="str">
        <f t="shared" si="295"/>
        <v>-</v>
      </c>
      <c r="BY248" s="1055" t="str">
        <f t="shared" si="295"/>
        <v>-</v>
      </c>
      <c r="BZ248" s="1056" t="str">
        <f t="shared" si="295"/>
        <v>-</v>
      </c>
    </row>
    <row r="249" spans="3:78" x14ac:dyDescent="0.3">
      <c r="C249" s="126"/>
      <c r="D249" s="126">
        <f>D246+1</f>
        <v>61</v>
      </c>
      <c r="E249" s="553" t="s">
        <v>45</v>
      </c>
      <c r="F249" s="581" t="s">
        <v>28</v>
      </c>
      <c r="G249" s="581"/>
      <c r="H249" s="581"/>
      <c r="I249" s="573" t="s">
        <v>319</v>
      </c>
      <c r="J249" s="573" t="s">
        <v>348</v>
      </c>
      <c r="K249" s="1969"/>
      <c r="L249" s="1970"/>
      <c r="M249" s="1970"/>
      <c r="N249" s="1971"/>
      <c r="O249" s="1970"/>
      <c r="P249" s="1970"/>
      <c r="Q249" s="1970"/>
      <c r="R249" s="1972"/>
      <c r="S249" s="1979"/>
      <c r="T249" s="1972"/>
      <c r="U249" s="1972"/>
      <c r="V249" s="1972"/>
      <c r="W249" s="575"/>
      <c r="X249" s="1238"/>
      <c r="Y249" s="575"/>
      <c r="Z249" s="575"/>
      <c r="AA249" s="575"/>
      <c r="AB249" s="1142"/>
      <c r="AC249" s="575"/>
      <c r="AD249" s="575"/>
      <c r="AE249" s="575"/>
      <c r="AF249" s="575"/>
      <c r="AG249" s="577"/>
      <c r="AH249" s="576"/>
      <c r="AI249" s="575"/>
      <c r="AJ249" s="575"/>
      <c r="AK249" s="575"/>
      <c r="AL249" s="577"/>
      <c r="AN249" s="1052"/>
      <c r="AP249" s="2297" t="str">
        <f t="shared" si="221"/>
        <v>Price</v>
      </c>
      <c r="AQ249" s="2298" t="str">
        <f t="shared" si="221"/>
        <v>[Service]</v>
      </c>
      <c r="AR249" s="1719" t="str">
        <f t="shared" si="222"/>
        <v>[Price]</v>
      </c>
      <c r="AS249" s="2299" t="str">
        <f t="shared" si="282"/>
        <v>-</v>
      </c>
      <c r="AT249" s="1728" t="str">
        <f t="shared" si="282"/>
        <v>-</v>
      </c>
      <c r="AU249" s="1728" t="str">
        <f t="shared" si="282"/>
        <v>-</v>
      </c>
      <c r="AV249" s="2300" t="str">
        <f t="shared" si="282"/>
        <v>-</v>
      </c>
      <c r="AW249" s="1728" t="str">
        <f t="shared" si="282"/>
        <v>-</v>
      </c>
      <c r="AX249" s="2301" t="str">
        <f t="shared" si="282"/>
        <v>-</v>
      </c>
      <c r="AY249" s="1728" t="str">
        <f t="shared" si="282"/>
        <v>-</v>
      </c>
      <c r="AZ249" s="1728" t="str">
        <f t="shared" si="282"/>
        <v>-</v>
      </c>
      <c r="BA249" s="1728" t="str">
        <f t="shared" si="282"/>
        <v>-</v>
      </c>
      <c r="BB249" s="1729" t="str">
        <f t="shared" si="282"/>
        <v>-</v>
      </c>
      <c r="BC249" s="1728" t="str">
        <f t="shared" si="282"/>
        <v>-</v>
      </c>
      <c r="BD249" s="1728" t="str">
        <f t="shared" si="282"/>
        <v>-</v>
      </c>
      <c r="BE249" s="1728" t="str">
        <f t="shared" si="282"/>
        <v>-</v>
      </c>
      <c r="BF249" s="1728" t="str">
        <f t="shared" si="282"/>
        <v>-</v>
      </c>
      <c r="BG249" s="1729" t="str">
        <f t="shared" si="282"/>
        <v>-</v>
      </c>
      <c r="BH249" s="1048"/>
      <c r="BI249" s="2297" t="str">
        <f t="shared" si="244"/>
        <v>Price</v>
      </c>
      <c r="BJ249" s="2298" t="str">
        <f t="shared" si="244"/>
        <v>[Service]</v>
      </c>
      <c r="BK249" s="1719" t="str">
        <f t="shared" si="244"/>
        <v>[Price]</v>
      </c>
      <c r="BL249" s="2299" t="str">
        <f t="shared" ref="BL249:BZ249" si="296">IF(OR(X249="",X249=0),"-",IFERROR((X249/W249-1)*(W251/W$13),"-"))</f>
        <v>-</v>
      </c>
      <c r="BM249" s="1053" t="str">
        <f t="shared" si="296"/>
        <v>-</v>
      </c>
      <c r="BN249" s="1053" t="str">
        <f t="shared" si="296"/>
        <v>-</v>
      </c>
      <c r="BO249" s="2302" t="str">
        <f t="shared" si="296"/>
        <v>-</v>
      </c>
      <c r="BP249" s="1053" t="str">
        <f t="shared" si="296"/>
        <v>-</v>
      </c>
      <c r="BQ249" s="2303" t="str">
        <f t="shared" si="296"/>
        <v>-</v>
      </c>
      <c r="BR249" s="1053" t="str">
        <f t="shared" si="296"/>
        <v>-</v>
      </c>
      <c r="BS249" s="1053" t="str">
        <f t="shared" si="296"/>
        <v>-</v>
      </c>
      <c r="BT249" s="1053" t="str">
        <f t="shared" si="296"/>
        <v>-</v>
      </c>
      <c r="BU249" s="1054" t="str">
        <f t="shared" si="296"/>
        <v>-</v>
      </c>
      <c r="BV249" s="1053" t="str">
        <f t="shared" si="296"/>
        <v>-</v>
      </c>
      <c r="BW249" s="1053" t="str">
        <f t="shared" si="296"/>
        <v>-</v>
      </c>
      <c r="BX249" s="1053" t="str">
        <f t="shared" si="296"/>
        <v>-</v>
      </c>
      <c r="BY249" s="1053" t="str">
        <f t="shared" si="296"/>
        <v>-</v>
      </c>
      <c r="BZ249" s="1054" t="str">
        <f t="shared" si="296"/>
        <v>-</v>
      </c>
    </row>
    <row r="250" spans="3:78" x14ac:dyDescent="0.3">
      <c r="C250" s="126"/>
      <c r="D250" s="126"/>
      <c r="E250" s="558" t="s">
        <v>46</v>
      </c>
      <c r="F250" s="1722" t="str">
        <f>+F249</f>
        <v>[Service]</v>
      </c>
      <c r="G250" s="1724">
        <f>+G249</f>
        <v>0</v>
      </c>
      <c r="H250" s="1724">
        <f>+H249</f>
        <v>0</v>
      </c>
      <c r="I250" s="1725" t="str">
        <f>+I249</f>
        <v>[Price]</v>
      </c>
      <c r="J250" s="574" t="s">
        <v>323</v>
      </c>
      <c r="K250" s="1973"/>
      <c r="L250" s="1974"/>
      <c r="M250" s="1974"/>
      <c r="N250" s="1975"/>
      <c r="O250" s="1974"/>
      <c r="P250" s="1974"/>
      <c r="Q250" s="1974"/>
      <c r="R250" s="1976"/>
      <c r="S250" s="1980"/>
      <c r="T250" s="1976"/>
      <c r="U250" s="1976"/>
      <c r="V250" s="1976"/>
      <c r="W250" s="578"/>
      <c r="X250" s="1239"/>
      <c r="Y250" s="578"/>
      <c r="Z250" s="578"/>
      <c r="AA250" s="578"/>
      <c r="AB250" s="1143"/>
      <c r="AC250" s="578"/>
      <c r="AD250" s="578"/>
      <c r="AE250" s="578"/>
      <c r="AF250" s="578"/>
      <c r="AG250" s="580"/>
      <c r="AH250" s="579"/>
      <c r="AI250" s="578"/>
      <c r="AJ250" s="578"/>
      <c r="AK250" s="578"/>
      <c r="AL250" s="580"/>
      <c r="AN250" s="991"/>
      <c r="AP250" s="2285" t="str">
        <f t="shared" si="221"/>
        <v>Qty</v>
      </c>
      <c r="AQ250" s="2286" t="str">
        <f t="shared" si="221"/>
        <v>[Service]</v>
      </c>
      <c r="AR250" s="2287" t="str">
        <f t="shared" si="222"/>
        <v>[Price]</v>
      </c>
      <c r="AS250" s="2288" t="str">
        <f t="shared" si="282"/>
        <v>-</v>
      </c>
      <c r="AT250" s="1720" t="str">
        <f t="shared" si="282"/>
        <v>-</v>
      </c>
      <c r="AU250" s="1720" t="str">
        <f t="shared" si="282"/>
        <v>-</v>
      </c>
      <c r="AV250" s="2289" t="str">
        <f t="shared" si="282"/>
        <v>-</v>
      </c>
      <c r="AW250" s="1720" t="str">
        <f t="shared" si="282"/>
        <v>-</v>
      </c>
      <c r="AX250" s="2290" t="str">
        <f t="shared" si="282"/>
        <v>-</v>
      </c>
      <c r="AY250" s="1720" t="str">
        <f t="shared" si="282"/>
        <v>-</v>
      </c>
      <c r="AZ250" s="1720" t="str">
        <f t="shared" si="282"/>
        <v>-</v>
      </c>
      <c r="BA250" s="1720" t="str">
        <f t="shared" si="282"/>
        <v>-</v>
      </c>
      <c r="BB250" s="1721" t="str">
        <f t="shared" si="282"/>
        <v>-</v>
      </c>
      <c r="BC250" s="1720" t="str">
        <f t="shared" si="282"/>
        <v>-</v>
      </c>
      <c r="BD250" s="1720" t="str">
        <f t="shared" si="282"/>
        <v>-</v>
      </c>
      <c r="BE250" s="1720" t="str">
        <f t="shared" si="282"/>
        <v>-</v>
      </c>
      <c r="BF250" s="1720" t="str">
        <f t="shared" si="282"/>
        <v>-</v>
      </c>
      <c r="BG250" s="1721" t="str">
        <f t="shared" si="282"/>
        <v>-</v>
      </c>
      <c r="BH250" s="1048"/>
      <c r="BI250" s="2285" t="str">
        <f t="shared" si="244"/>
        <v>Qty</v>
      </c>
      <c r="BJ250" s="2286" t="str">
        <f t="shared" si="244"/>
        <v>[Service]</v>
      </c>
      <c r="BK250" s="2287" t="str">
        <f t="shared" si="244"/>
        <v>[Price]</v>
      </c>
      <c r="BL250" s="2288" t="str">
        <f t="shared" ref="BL250:BZ250" si="297">IF(OR(X250="",X250=0),"-",IFERROR((X250/W250-1)*(W251/W$13),"-"))</f>
        <v>-</v>
      </c>
      <c r="BM250" s="1720" t="str">
        <f t="shared" si="297"/>
        <v>-</v>
      </c>
      <c r="BN250" s="1720" t="str">
        <f t="shared" si="297"/>
        <v>-</v>
      </c>
      <c r="BO250" s="2289" t="str">
        <f t="shared" si="297"/>
        <v>-</v>
      </c>
      <c r="BP250" s="1720" t="str">
        <f t="shared" si="297"/>
        <v>-</v>
      </c>
      <c r="BQ250" s="2290" t="str">
        <f t="shared" si="297"/>
        <v>-</v>
      </c>
      <c r="BR250" s="1720" t="str">
        <f t="shared" si="297"/>
        <v>-</v>
      </c>
      <c r="BS250" s="1720" t="str">
        <f t="shared" si="297"/>
        <v>-</v>
      </c>
      <c r="BT250" s="1720" t="str">
        <f t="shared" si="297"/>
        <v>-</v>
      </c>
      <c r="BU250" s="1721" t="str">
        <f t="shared" si="297"/>
        <v>-</v>
      </c>
      <c r="BV250" s="1720" t="str">
        <f t="shared" si="297"/>
        <v>-</v>
      </c>
      <c r="BW250" s="1720" t="str">
        <f t="shared" si="297"/>
        <v>-</v>
      </c>
      <c r="BX250" s="1720" t="str">
        <f t="shared" si="297"/>
        <v>-</v>
      </c>
      <c r="BY250" s="1720" t="str">
        <f t="shared" si="297"/>
        <v>-</v>
      </c>
      <c r="BZ250" s="1721" t="str">
        <f t="shared" si="297"/>
        <v>-</v>
      </c>
    </row>
    <row r="251" spans="3:78" ht="12.5" thickBot="1" x14ac:dyDescent="0.35">
      <c r="C251" s="126"/>
      <c r="D251" s="126"/>
      <c r="E251" s="559" t="s">
        <v>47</v>
      </c>
      <c r="F251" s="1723" t="str">
        <f>+F249</f>
        <v>[Service]</v>
      </c>
      <c r="G251" s="1726">
        <f>+G249</f>
        <v>0</v>
      </c>
      <c r="H251" s="1726">
        <f>+H249</f>
        <v>0</v>
      </c>
      <c r="I251" s="1727" t="str">
        <f>+I249</f>
        <v>[Price]</v>
      </c>
      <c r="J251" s="556" t="s">
        <v>347</v>
      </c>
      <c r="K251" s="1977"/>
      <c r="L251" s="1206"/>
      <c r="M251" s="1206"/>
      <c r="N251" s="1978"/>
      <c r="O251" s="1206"/>
      <c r="P251" s="1206"/>
      <c r="Q251" s="1206"/>
      <c r="R251" s="1206"/>
      <c r="S251" s="1978"/>
      <c r="T251" s="1206"/>
      <c r="U251" s="1206"/>
      <c r="V251" s="1206"/>
      <c r="W251" s="1731">
        <f t="shared" ref="W251:AG251" si="298">W249*W250/10^6</f>
        <v>0</v>
      </c>
      <c r="X251" s="1730">
        <f t="shared" si="298"/>
        <v>0</v>
      </c>
      <c r="Y251" s="1731">
        <f t="shared" si="298"/>
        <v>0</v>
      </c>
      <c r="Z251" s="1731">
        <f t="shared" si="298"/>
        <v>0</v>
      </c>
      <c r="AA251" s="1731">
        <f t="shared" si="298"/>
        <v>0</v>
      </c>
      <c r="AB251" s="1733">
        <f t="shared" si="298"/>
        <v>0</v>
      </c>
      <c r="AC251" s="1731">
        <f t="shared" si="298"/>
        <v>0</v>
      </c>
      <c r="AD251" s="1731">
        <f t="shared" si="298"/>
        <v>0</v>
      </c>
      <c r="AE251" s="1731">
        <f t="shared" si="298"/>
        <v>0</v>
      </c>
      <c r="AF251" s="1731">
        <f t="shared" si="298"/>
        <v>0</v>
      </c>
      <c r="AG251" s="1733">
        <f t="shared" si="298"/>
        <v>0</v>
      </c>
      <c r="AH251" s="1732">
        <f>AH249*AH250/10^6</f>
        <v>0</v>
      </c>
      <c r="AI251" s="1731">
        <f>AI249*AI250/10^6</f>
        <v>0</v>
      </c>
      <c r="AJ251" s="1731">
        <f>AJ249*AJ250/10^6</f>
        <v>0</v>
      </c>
      <c r="AK251" s="1731">
        <f>AK249*AK250/10^6</f>
        <v>0</v>
      </c>
      <c r="AL251" s="1733">
        <f>AL249*AL250/10^6</f>
        <v>0</v>
      </c>
      <c r="AN251" s="991"/>
      <c r="AP251" s="2304" t="str">
        <f t="shared" si="221"/>
        <v>Rev</v>
      </c>
      <c r="AQ251" s="2305" t="str">
        <f t="shared" si="221"/>
        <v>[Service]</v>
      </c>
      <c r="AR251" s="2306" t="str">
        <f t="shared" si="222"/>
        <v>[Price]</v>
      </c>
      <c r="AS251" s="2307" t="str">
        <f t="shared" si="282"/>
        <v>-</v>
      </c>
      <c r="AT251" s="1055" t="str">
        <f t="shared" si="282"/>
        <v>-</v>
      </c>
      <c r="AU251" s="1055" t="str">
        <f t="shared" si="282"/>
        <v>-</v>
      </c>
      <c r="AV251" s="2308" t="str">
        <f t="shared" si="282"/>
        <v>-</v>
      </c>
      <c r="AW251" s="1055" t="str">
        <f t="shared" si="282"/>
        <v>-</v>
      </c>
      <c r="AX251" s="2309" t="str">
        <f t="shared" si="282"/>
        <v>-</v>
      </c>
      <c r="AY251" s="1055" t="str">
        <f t="shared" si="282"/>
        <v>-</v>
      </c>
      <c r="AZ251" s="1055" t="str">
        <f t="shared" si="282"/>
        <v>-</v>
      </c>
      <c r="BA251" s="1055" t="str">
        <f t="shared" si="282"/>
        <v>-</v>
      </c>
      <c r="BB251" s="1056" t="str">
        <f t="shared" si="282"/>
        <v>-</v>
      </c>
      <c r="BC251" s="1055" t="str">
        <f t="shared" si="282"/>
        <v>-</v>
      </c>
      <c r="BD251" s="1055" t="str">
        <f t="shared" si="282"/>
        <v>-</v>
      </c>
      <c r="BE251" s="1055" t="str">
        <f t="shared" si="282"/>
        <v>-</v>
      </c>
      <c r="BF251" s="1055" t="str">
        <f t="shared" si="282"/>
        <v>-</v>
      </c>
      <c r="BG251" s="1056" t="str">
        <f t="shared" si="282"/>
        <v>-</v>
      </c>
      <c r="BH251" s="1048"/>
      <c r="BI251" s="2304" t="str">
        <f t="shared" si="244"/>
        <v>Rev</v>
      </c>
      <c r="BJ251" s="2305" t="str">
        <f t="shared" si="244"/>
        <v>[Service]</v>
      </c>
      <c r="BK251" s="2306" t="str">
        <f t="shared" si="244"/>
        <v>[Price]</v>
      </c>
      <c r="BL251" s="2307" t="str">
        <f t="shared" ref="BL251:BZ251" si="299">IF(OR(X251="",X251=0),"-",IFERROR((X251/W251-1)*(W251/W$13),"-"))</f>
        <v>-</v>
      </c>
      <c r="BM251" s="1055" t="str">
        <f t="shared" si="299"/>
        <v>-</v>
      </c>
      <c r="BN251" s="1055" t="str">
        <f t="shared" si="299"/>
        <v>-</v>
      </c>
      <c r="BO251" s="2308" t="str">
        <f t="shared" si="299"/>
        <v>-</v>
      </c>
      <c r="BP251" s="1055" t="str">
        <f t="shared" si="299"/>
        <v>-</v>
      </c>
      <c r="BQ251" s="2309" t="str">
        <f t="shared" si="299"/>
        <v>-</v>
      </c>
      <c r="BR251" s="1055" t="str">
        <f t="shared" si="299"/>
        <v>-</v>
      </c>
      <c r="BS251" s="1055" t="str">
        <f t="shared" si="299"/>
        <v>-</v>
      </c>
      <c r="BT251" s="1055" t="str">
        <f t="shared" si="299"/>
        <v>-</v>
      </c>
      <c r="BU251" s="1056" t="str">
        <f t="shared" si="299"/>
        <v>-</v>
      </c>
      <c r="BV251" s="1055" t="str">
        <f t="shared" si="299"/>
        <v>-</v>
      </c>
      <c r="BW251" s="1055" t="str">
        <f t="shared" si="299"/>
        <v>-</v>
      </c>
      <c r="BX251" s="1055" t="str">
        <f t="shared" si="299"/>
        <v>-</v>
      </c>
      <c r="BY251" s="1055" t="str">
        <f t="shared" si="299"/>
        <v>-</v>
      </c>
      <c r="BZ251" s="1056" t="str">
        <f t="shared" si="299"/>
        <v>-</v>
      </c>
    </row>
    <row r="252" spans="3:78" x14ac:dyDescent="0.3">
      <c r="C252" s="126"/>
      <c r="D252" s="126">
        <f>D249+1</f>
        <v>62</v>
      </c>
      <c r="E252" s="553" t="s">
        <v>45</v>
      </c>
      <c r="F252" s="581" t="s">
        <v>28</v>
      </c>
      <c r="G252" s="581"/>
      <c r="H252" s="581"/>
      <c r="I252" s="573" t="s">
        <v>319</v>
      </c>
      <c r="J252" s="573" t="s">
        <v>348</v>
      </c>
      <c r="K252" s="1969"/>
      <c r="L252" s="1970"/>
      <c r="M252" s="1970"/>
      <c r="N252" s="1971"/>
      <c r="O252" s="1970"/>
      <c r="P252" s="1970"/>
      <c r="Q252" s="1970"/>
      <c r="R252" s="1972"/>
      <c r="S252" s="1979"/>
      <c r="T252" s="1972"/>
      <c r="U252" s="1972"/>
      <c r="V252" s="1972"/>
      <c r="W252" s="575"/>
      <c r="X252" s="1238"/>
      <c r="Y252" s="575"/>
      <c r="Z252" s="575"/>
      <c r="AA252" s="575"/>
      <c r="AB252" s="1142"/>
      <c r="AC252" s="575"/>
      <c r="AD252" s="575"/>
      <c r="AE252" s="575"/>
      <c r="AF252" s="575"/>
      <c r="AG252" s="577"/>
      <c r="AH252" s="576"/>
      <c r="AI252" s="575"/>
      <c r="AJ252" s="575"/>
      <c r="AK252" s="575"/>
      <c r="AL252" s="577"/>
      <c r="AN252" s="1052"/>
      <c r="AP252" s="2297" t="str">
        <f t="shared" si="221"/>
        <v>Price</v>
      </c>
      <c r="AQ252" s="2298" t="str">
        <f t="shared" si="221"/>
        <v>[Service]</v>
      </c>
      <c r="AR252" s="1719" t="str">
        <f t="shared" si="222"/>
        <v>[Price]</v>
      </c>
      <c r="AS252" s="2299" t="str">
        <f t="shared" si="282"/>
        <v>-</v>
      </c>
      <c r="AT252" s="1728" t="str">
        <f t="shared" si="282"/>
        <v>-</v>
      </c>
      <c r="AU252" s="1728" t="str">
        <f t="shared" si="282"/>
        <v>-</v>
      </c>
      <c r="AV252" s="2300" t="str">
        <f t="shared" si="282"/>
        <v>-</v>
      </c>
      <c r="AW252" s="1728" t="str">
        <f t="shared" si="282"/>
        <v>-</v>
      </c>
      <c r="AX252" s="2301" t="str">
        <f t="shared" si="282"/>
        <v>-</v>
      </c>
      <c r="AY252" s="1728" t="str">
        <f t="shared" si="282"/>
        <v>-</v>
      </c>
      <c r="AZ252" s="1728" t="str">
        <f t="shared" si="282"/>
        <v>-</v>
      </c>
      <c r="BA252" s="1728" t="str">
        <f t="shared" si="282"/>
        <v>-</v>
      </c>
      <c r="BB252" s="1729" t="str">
        <f t="shared" si="282"/>
        <v>-</v>
      </c>
      <c r="BC252" s="1728" t="str">
        <f t="shared" si="282"/>
        <v>-</v>
      </c>
      <c r="BD252" s="1728" t="str">
        <f t="shared" si="282"/>
        <v>-</v>
      </c>
      <c r="BE252" s="1728" t="str">
        <f t="shared" si="282"/>
        <v>-</v>
      </c>
      <c r="BF252" s="1728" t="str">
        <f t="shared" si="282"/>
        <v>-</v>
      </c>
      <c r="BG252" s="1729" t="str">
        <f t="shared" si="282"/>
        <v>-</v>
      </c>
      <c r="BH252" s="1048"/>
      <c r="BI252" s="2297" t="str">
        <f t="shared" si="244"/>
        <v>Price</v>
      </c>
      <c r="BJ252" s="2298" t="str">
        <f t="shared" si="244"/>
        <v>[Service]</v>
      </c>
      <c r="BK252" s="1719" t="str">
        <f t="shared" si="244"/>
        <v>[Price]</v>
      </c>
      <c r="BL252" s="2299" t="str">
        <f t="shared" ref="BL252:BZ252" si="300">IF(OR(X252="",X252=0),"-",IFERROR((X252/W252-1)*(W254/W$13),"-"))</f>
        <v>-</v>
      </c>
      <c r="BM252" s="1053" t="str">
        <f t="shared" si="300"/>
        <v>-</v>
      </c>
      <c r="BN252" s="1053" t="str">
        <f t="shared" si="300"/>
        <v>-</v>
      </c>
      <c r="BO252" s="2302" t="str">
        <f t="shared" si="300"/>
        <v>-</v>
      </c>
      <c r="BP252" s="1053" t="str">
        <f t="shared" si="300"/>
        <v>-</v>
      </c>
      <c r="BQ252" s="2303" t="str">
        <f t="shared" si="300"/>
        <v>-</v>
      </c>
      <c r="BR252" s="1053" t="str">
        <f t="shared" si="300"/>
        <v>-</v>
      </c>
      <c r="BS252" s="1053" t="str">
        <f t="shared" si="300"/>
        <v>-</v>
      </c>
      <c r="BT252" s="1053" t="str">
        <f t="shared" si="300"/>
        <v>-</v>
      </c>
      <c r="BU252" s="1054" t="str">
        <f t="shared" si="300"/>
        <v>-</v>
      </c>
      <c r="BV252" s="1053" t="str">
        <f t="shared" si="300"/>
        <v>-</v>
      </c>
      <c r="BW252" s="1053" t="str">
        <f t="shared" si="300"/>
        <v>-</v>
      </c>
      <c r="BX252" s="1053" t="str">
        <f t="shared" si="300"/>
        <v>-</v>
      </c>
      <c r="BY252" s="1053" t="str">
        <f t="shared" si="300"/>
        <v>-</v>
      </c>
      <c r="BZ252" s="1054" t="str">
        <f t="shared" si="300"/>
        <v>-</v>
      </c>
    </row>
    <row r="253" spans="3:78" x14ac:dyDescent="0.3">
      <c r="C253" s="126"/>
      <c r="D253" s="126"/>
      <c r="E253" s="558" t="s">
        <v>46</v>
      </c>
      <c r="F253" s="1722" t="str">
        <f>+F252</f>
        <v>[Service]</v>
      </c>
      <c r="G253" s="1724">
        <f>+G252</f>
        <v>0</v>
      </c>
      <c r="H253" s="1724">
        <f>+H252</f>
        <v>0</v>
      </c>
      <c r="I253" s="1725" t="str">
        <f>+I252</f>
        <v>[Price]</v>
      </c>
      <c r="J253" s="574" t="s">
        <v>323</v>
      </c>
      <c r="K253" s="1973"/>
      <c r="L253" s="1974"/>
      <c r="M253" s="1974"/>
      <c r="N253" s="1975"/>
      <c r="O253" s="1974"/>
      <c r="P253" s="1974"/>
      <c r="Q253" s="1974"/>
      <c r="R253" s="1976"/>
      <c r="S253" s="1980"/>
      <c r="T253" s="1976"/>
      <c r="U253" s="1976"/>
      <c r="V253" s="1976"/>
      <c r="W253" s="578"/>
      <c r="X253" s="1239"/>
      <c r="Y253" s="578"/>
      <c r="Z253" s="578"/>
      <c r="AA253" s="578"/>
      <c r="AB253" s="1143"/>
      <c r="AC253" s="578"/>
      <c r="AD253" s="578"/>
      <c r="AE253" s="578"/>
      <c r="AF253" s="578"/>
      <c r="AG253" s="580"/>
      <c r="AH253" s="579"/>
      <c r="AI253" s="578"/>
      <c r="AJ253" s="578"/>
      <c r="AK253" s="578"/>
      <c r="AL253" s="580"/>
      <c r="AN253" s="991"/>
      <c r="AP253" s="2285" t="str">
        <f t="shared" si="221"/>
        <v>Qty</v>
      </c>
      <c r="AQ253" s="2286" t="str">
        <f t="shared" si="221"/>
        <v>[Service]</v>
      </c>
      <c r="AR253" s="2287" t="str">
        <f t="shared" si="222"/>
        <v>[Price]</v>
      </c>
      <c r="AS253" s="2288" t="str">
        <f t="shared" si="282"/>
        <v>-</v>
      </c>
      <c r="AT253" s="1720" t="str">
        <f t="shared" si="282"/>
        <v>-</v>
      </c>
      <c r="AU253" s="1720" t="str">
        <f t="shared" si="282"/>
        <v>-</v>
      </c>
      <c r="AV253" s="2289" t="str">
        <f t="shared" si="282"/>
        <v>-</v>
      </c>
      <c r="AW253" s="1720" t="str">
        <f t="shared" si="282"/>
        <v>-</v>
      </c>
      <c r="AX253" s="2290" t="str">
        <f t="shared" si="282"/>
        <v>-</v>
      </c>
      <c r="AY253" s="1720" t="str">
        <f t="shared" si="282"/>
        <v>-</v>
      </c>
      <c r="AZ253" s="1720" t="str">
        <f t="shared" si="282"/>
        <v>-</v>
      </c>
      <c r="BA253" s="1720" t="str">
        <f t="shared" si="282"/>
        <v>-</v>
      </c>
      <c r="BB253" s="1721" t="str">
        <f t="shared" si="282"/>
        <v>-</v>
      </c>
      <c r="BC253" s="1720" t="str">
        <f t="shared" si="282"/>
        <v>-</v>
      </c>
      <c r="BD253" s="1720" t="str">
        <f t="shared" si="282"/>
        <v>-</v>
      </c>
      <c r="BE253" s="1720" t="str">
        <f t="shared" si="282"/>
        <v>-</v>
      </c>
      <c r="BF253" s="1720" t="str">
        <f t="shared" si="282"/>
        <v>-</v>
      </c>
      <c r="BG253" s="1721" t="str">
        <f t="shared" si="282"/>
        <v>-</v>
      </c>
      <c r="BH253" s="1048"/>
      <c r="BI253" s="2285" t="str">
        <f t="shared" si="244"/>
        <v>Qty</v>
      </c>
      <c r="BJ253" s="2286" t="str">
        <f t="shared" si="244"/>
        <v>[Service]</v>
      </c>
      <c r="BK253" s="2287" t="str">
        <f t="shared" si="244"/>
        <v>[Price]</v>
      </c>
      <c r="BL253" s="2288" t="str">
        <f t="shared" ref="BL253:BZ253" si="301">IF(OR(X253="",X253=0),"-",IFERROR((X253/W253-1)*(W254/W$13),"-"))</f>
        <v>-</v>
      </c>
      <c r="BM253" s="1720" t="str">
        <f t="shared" si="301"/>
        <v>-</v>
      </c>
      <c r="BN253" s="1720" t="str">
        <f t="shared" si="301"/>
        <v>-</v>
      </c>
      <c r="BO253" s="2289" t="str">
        <f t="shared" si="301"/>
        <v>-</v>
      </c>
      <c r="BP253" s="1720" t="str">
        <f t="shared" si="301"/>
        <v>-</v>
      </c>
      <c r="BQ253" s="2290" t="str">
        <f t="shared" si="301"/>
        <v>-</v>
      </c>
      <c r="BR253" s="1720" t="str">
        <f t="shared" si="301"/>
        <v>-</v>
      </c>
      <c r="BS253" s="1720" t="str">
        <f t="shared" si="301"/>
        <v>-</v>
      </c>
      <c r="BT253" s="1720" t="str">
        <f t="shared" si="301"/>
        <v>-</v>
      </c>
      <c r="BU253" s="1721" t="str">
        <f t="shared" si="301"/>
        <v>-</v>
      </c>
      <c r="BV253" s="1720" t="str">
        <f t="shared" si="301"/>
        <v>-</v>
      </c>
      <c r="BW253" s="1720" t="str">
        <f t="shared" si="301"/>
        <v>-</v>
      </c>
      <c r="BX253" s="1720" t="str">
        <f t="shared" si="301"/>
        <v>-</v>
      </c>
      <c r="BY253" s="1720" t="str">
        <f t="shared" si="301"/>
        <v>-</v>
      </c>
      <c r="BZ253" s="1721" t="str">
        <f t="shared" si="301"/>
        <v>-</v>
      </c>
    </row>
    <row r="254" spans="3:78" ht="12.5" thickBot="1" x14ac:dyDescent="0.35">
      <c r="C254" s="126"/>
      <c r="D254" s="126"/>
      <c r="E254" s="559" t="s">
        <v>47</v>
      </c>
      <c r="F254" s="1723" t="str">
        <f>+F252</f>
        <v>[Service]</v>
      </c>
      <c r="G254" s="1726">
        <f>+G252</f>
        <v>0</v>
      </c>
      <c r="H254" s="1726">
        <f>+H252</f>
        <v>0</v>
      </c>
      <c r="I254" s="1727" t="str">
        <f>+I252</f>
        <v>[Price]</v>
      </c>
      <c r="J254" s="556" t="s">
        <v>347</v>
      </c>
      <c r="K254" s="1977"/>
      <c r="L254" s="1206"/>
      <c r="M254" s="1206"/>
      <c r="N254" s="1978"/>
      <c r="O254" s="1206"/>
      <c r="P254" s="1206"/>
      <c r="Q254" s="1206"/>
      <c r="R254" s="1206"/>
      <c r="S254" s="1978"/>
      <c r="T254" s="1206"/>
      <c r="U254" s="1206"/>
      <c r="V254" s="1206"/>
      <c r="W254" s="1731">
        <f t="shared" ref="W254:AG254" si="302">W252*W253/10^6</f>
        <v>0</v>
      </c>
      <c r="X254" s="1730">
        <f t="shared" si="302"/>
        <v>0</v>
      </c>
      <c r="Y254" s="1731">
        <f t="shared" si="302"/>
        <v>0</v>
      </c>
      <c r="Z254" s="1731">
        <f t="shared" si="302"/>
        <v>0</v>
      </c>
      <c r="AA254" s="1731">
        <f t="shared" si="302"/>
        <v>0</v>
      </c>
      <c r="AB254" s="1733">
        <f t="shared" si="302"/>
        <v>0</v>
      </c>
      <c r="AC254" s="1731">
        <f t="shared" si="302"/>
        <v>0</v>
      </c>
      <c r="AD254" s="1731">
        <f t="shared" si="302"/>
        <v>0</v>
      </c>
      <c r="AE254" s="1731">
        <f t="shared" si="302"/>
        <v>0</v>
      </c>
      <c r="AF254" s="1731">
        <f t="shared" si="302"/>
        <v>0</v>
      </c>
      <c r="AG254" s="1733">
        <f t="shared" si="302"/>
        <v>0</v>
      </c>
      <c r="AH254" s="1732">
        <f>AH252*AH253/10^6</f>
        <v>0</v>
      </c>
      <c r="AI254" s="1731">
        <f>AI252*AI253/10^6</f>
        <v>0</v>
      </c>
      <c r="AJ254" s="1731">
        <f>AJ252*AJ253/10^6</f>
        <v>0</v>
      </c>
      <c r="AK254" s="1731">
        <f>AK252*AK253/10^6</f>
        <v>0</v>
      </c>
      <c r="AL254" s="1733">
        <f>AL252*AL253/10^6</f>
        <v>0</v>
      </c>
      <c r="AN254" s="991"/>
      <c r="AP254" s="2304" t="str">
        <f t="shared" si="221"/>
        <v>Rev</v>
      </c>
      <c r="AQ254" s="2305" t="str">
        <f t="shared" si="221"/>
        <v>[Service]</v>
      </c>
      <c r="AR254" s="2306" t="str">
        <f t="shared" si="222"/>
        <v>[Price]</v>
      </c>
      <c r="AS254" s="2307" t="str">
        <f t="shared" si="282"/>
        <v>-</v>
      </c>
      <c r="AT254" s="1055" t="str">
        <f t="shared" si="282"/>
        <v>-</v>
      </c>
      <c r="AU254" s="1055" t="str">
        <f t="shared" si="282"/>
        <v>-</v>
      </c>
      <c r="AV254" s="2308" t="str">
        <f t="shared" si="282"/>
        <v>-</v>
      </c>
      <c r="AW254" s="1055" t="str">
        <f t="shared" si="282"/>
        <v>-</v>
      </c>
      <c r="AX254" s="2309" t="str">
        <f t="shared" si="282"/>
        <v>-</v>
      </c>
      <c r="AY254" s="1055" t="str">
        <f t="shared" si="282"/>
        <v>-</v>
      </c>
      <c r="AZ254" s="1055" t="str">
        <f t="shared" si="282"/>
        <v>-</v>
      </c>
      <c r="BA254" s="1055" t="str">
        <f t="shared" si="282"/>
        <v>-</v>
      </c>
      <c r="BB254" s="1056" t="str">
        <f t="shared" si="282"/>
        <v>-</v>
      </c>
      <c r="BC254" s="1055" t="str">
        <f t="shared" si="282"/>
        <v>-</v>
      </c>
      <c r="BD254" s="1055" t="str">
        <f t="shared" si="282"/>
        <v>-</v>
      </c>
      <c r="BE254" s="1055" t="str">
        <f t="shared" si="282"/>
        <v>-</v>
      </c>
      <c r="BF254" s="1055" t="str">
        <f t="shared" si="282"/>
        <v>-</v>
      </c>
      <c r="BG254" s="1056" t="str">
        <f t="shared" si="282"/>
        <v>-</v>
      </c>
      <c r="BH254" s="1048"/>
      <c r="BI254" s="2304" t="str">
        <f t="shared" si="244"/>
        <v>Rev</v>
      </c>
      <c r="BJ254" s="2305" t="str">
        <f t="shared" si="244"/>
        <v>[Service]</v>
      </c>
      <c r="BK254" s="2306" t="str">
        <f t="shared" si="244"/>
        <v>[Price]</v>
      </c>
      <c r="BL254" s="2307" t="str">
        <f t="shared" ref="BL254:BZ254" si="303">IF(OR(X254="",X254=0),"-",IFERROR((X254/W254-1)*(W254/W$13),"-"))</f>
        <v>-</v>
      </c>
      <c r="BM254" s="1055" t="str">
        <f t="shared" si="303"/>
        <v>-</v>
      </c>
      <c r="BN254" s="1055" t="str">
        <f t="shared" si="303"/>
        <v>-</v>
      </c>
      <c r="BO254" s="2308" t="str">
        <f t="shared" si="303"/>
        <v>-</v>
      </c>
      <c r="BP254" s="1055" t="str">
        <f t="shared" si="303"/>
        <v>-</v>
      </c>
      <c r="BQ254" s="2309" t="str">
        <f t="shared" si="303"/>
        <v>-</v>
      </c>
      <c r="BR254" s="1055" t="str">
        <f t="shared" si="303"/>
        <v>-</v>
      </c>
      <c r="BS254" s="1055" t="str">
        <f t="shared" si="303"/>
        <v>-</v>
      </c>
      <c r="BT254" s="1055" t="str">
        <f t="shared" si="303"/>
        <v>-</v>
      </c>
      <c r="BU254" s="1056" t="str">
        <f t="shared" si="303"/>
        <v>-</v>
      </c>
      <c r="BV254" s="1055" t="str">
        <f t="shared" si="303"/>
        <v>-</v>
      </c>
      <c r="BW254" s="1055" t="str">
        <f t="shared" si="303"/>
        <v>-</v>
      </c>
      <c r="BX254" s="1055" t="str">
        <f t="shared" si="303"/>
        <v>-</v>
      </c>
      <c r="BY254" s="1055" t="str">
        <f t="shared" si="303"/>
        <v>-</v>
      </c>
      <c r="BZ254" s="1056" t="str">
        <f t="shared" si="303"/>
        <v>-</v>
      </c>
    </row>
    <row r="255" spans="3:78" x14ac:dyDescent="0.3">
      <c r="C255" s="126"/>
      <c r="D255" s="126">
        <f>D252+1</f>
        <v>63</v>
      </c>
      <c r="E255" s="553" t="s">
        <v>45</v>
      </c>
      <c r="F255" s="581" t="s">
        <v>28</v>
      </c>
      <c r="G255" s="581"/>
      <c r="H255" s="581"/>
      <c r="I255" s="573" t="s">
        <v>319</v>
      </c>
      <c r="J255" s="573" t="s">
        <v>348</v>
      </c>
      <c r="K255" s="1969"/>
      <c r="L255" s="1970"/>
      <c r="M255" s="1970"/>
      <c r="N255" s="1971"/>
      <c r="O255" s="1970"/>
      <c r="P255" s="1970"/>
      <c r="Q255" s="1970"/>
      <c r="R255" s="1972"/>
      <c r="S255" s="1979"/>
      <c r="T255" s="1972"/>
      <c r="U255" s="1972"/>
      <c r="V255" s="1972"/>
      <c r="W255" s="575"/>
      <c r="X255" s="1238"/>
      <c r="Y255" s="575"/>
      <c r="Z255" s="575"/>
      <c r="AA255" s="575"/>
      <c r="AB255" s="1142"/>
      <c r="AC255" s="575"/>
      <c r="AD255" s="575"/>
      <c r="AE255" s="575"/>
      <c r="AF255" s="575"/>
      <c r="AG255" s="577"/>
      <c r="AH255" s="576"/>
      <c r="AI255" s="575"/>
      <c r="AJ255" s="575"/>
      <c r="AK255" s="575"/>
      <c r="AL255" s="577"/>
      <c r="AN255" s="1052"/>
      <c r="AP255" s="2297" t="str">
        <f t="shared" si="221"/>
        <v>Price</v>
      </c>
      <c r="AQ255" s="2298" t="str">
        <f t="shared" si="221"/>
        <v>[Service]</v>
      </c>
      <c r="AR255" s="1719" t="str">
        <f t="shared" si="222"/>
        <v>[Price]</v>
      </c>
      <c r="AS255" s="2299" t="str">
        <f t="shared" si="282"/>
        <v>-</v>
      </c>
      <c r="AT255" s="1728" t="str">
        <f t="shared" si="282"/>
        <v>-</v>
      </c>
      <c r="AU255" s="1728" t="str">
        <f t="shared" si="282"/>
        <v>-</v>
      </c>
      <c r="AV255" s="2300" t="str">
        <f t="shared" si="282"/>
        <v>-</v>
      </c>
      <c r="AW255" s="1728" t="str">
        <f t="shared" si="282"/>
        <v>-</v>
      </c>
      <c r="AX255" s="2301" t="str">
        <f t="shared" si="282"/>
        <v>-</v>
      </c>
      <c r="AY255" s="1728" t="str">
        <f t="shared" si="282"/>
        <v>-</v>
      </c>
      <c r="AZ255" s="1728" t="str">
        <f t="shared" si="282"/>
        <v>-</v>
      </c>
      <c r="BA255" s="1728" t="str">
        <f t="shared" si="282"/>
        <v>-</v>
      </c>
      <c r="BB255" s="1729" t="str">
        <f t="shared" si="282"/>
        <v>-</v>
      </c>
      <c r="BC255" s="1728" t="str">
        <f t="shared" si="282"/>
        <v>-</v>
      </c>
      <c r="BD255" s="1728" t="str">
        <f t="shared" si="282"/>
        <v>-</v>
      </c>
      <c r="BE255" s="1728" t="str">
        <f t="shared" si="282"/>
        <v>-</v>
      </c>
      <c r="BF255" s="1728" t="str">
        <f t="shared" si="282"/>
        <v>-</v>
      </c>
      <c r="BG255" s="1729" t="str">
        <f t="shared" si="282"/>
        <v>-</v>
      </c>
      <c r="BH255" s="1048"/>
      <c r="BI255" s="2297" t="str">
        <f t="shared" si="244"/>
        <v>Price</v>
      </c>
      <c r="BJ255" s="2298" t="str">
        <f t="shared" si="244"/>
        <v>[Service]</v>
      </c>
      <c r="BK255" s="1719" t="str">
        <f t="shared" si="244"/>
        <v>[Price]</v>
      </c>
      <c r="BL255" s="2299" t="str">
        <f t="shared" ref="BL255:BZ255" si="304">IF(OR(X255="",X255=0),"-",IFERROR((X255/W255-1)*(W257/W$13),"-"))</f>
        <v>-</v>
      </c>
      <c r="BM255" s="1053" t="str">
        <f t="shared" si="304"/>
        <v>-</v>
      </c>
      <c r="BN255" s="1053" t="str">
        <f t="shared" si="304"/>
        <v>-</v>
      </c>
      <c r="BO255" s="2302" t="str">
        <f t="shared" si="304"/>
        <v>-</v>
      </c>
      <c r="BP255" s="1053" t="str">
        <f t="shared" si="304"/>
        <v>-</v>
      </c>
      <c r="BQ255" s="2303" t="str">
        <f t="shared" si="304"/>
        <v>-</v>
      </c>
      <c r="BR255" s="1053" t="str">
        <f t="shared" si="304"/>
        <v>-</v>
      </c>
      <c r="BS255" s="1053" t="str">
        <f t="shared" si="304"/>
        <v>-</v>
      </c>
      <c r="BT255" s="1053" t="str">
        <f t="shared" si="304"/>
        <v>-</v>
      </c>
      <c r="BU255" s="1054" t="str">
        <f t="shared" si="304"/>
        <v>-</v>
      </c>
      <c r="BV255" s="1053" t="str">
        <f t="shared" si="304"/>
        <v>-</v>
      </c>
      <c r="BW255" s="1053" t="str">
        <f t="shared" si="304"/>
        <v>-</v>
      </c>
      <c r="BX255" s="1053" t="str">
        <f t="shared" si="304"/>
        <v>-</v>
      </c>
      <c r="BY255" s="1053" t="str">
        <f t="shared" si="304"/>
        <v>-</v>
      </c>
      <c r="BZ255" s="1054" t="str">
        <f t="shared" si="304"/>
        <v>-</v>
      </c>
    </row>
    <row r="256" spans="3:78" x14ac:dyDescent="0.3">
      <c r="C256" s="126"/>
      <c r="D256" s="126"/>
      <c r="E256" s="558" t="s">
        <v>46</v>
      </c>
      <c r="F256" s="1722" t="str">
        <f>+F255</f>
        <v>[Service]</v>
      </c>
      <c r="G256" s="1724">
        <f>+G255</f>
        <v>0</v>
      </c>
      <c r="H256" s="1724">
        <f>+H255</f>
        <v>0</v>
      </c>
      <c r="I256" s="1725" t="str">
        <f>+I255</f>
        <v>[Price]</v>
      </c>
      <c r="J256" s="574" t="s">
        <v>323</v>
      </c>
      <c r="K256" s="1973"/>
      <c r="L256" s="1974"/>
      <c r="M256" s="1974"/>
      <c r="N256" s="1975"/>
      <c r="O256" s="1974"/>
      <c r="P256" s="1974"/>
      <c r="Q256" s="1974"/>
      <c r="R256" s="1976"/>
      <c r="S256" s="1980"/>
      <c r="T256" s="1976"/>
      <c r="U256" s="1976"/>
      <c r="V256" s="1976"/>
      <c r="W256" s="578"/>
      <c r="X256" s="1239"/>
      <c r="Y256" s="578"/>
      <c r="Z256" s="578"/>
      <c r="AA256" s="578"/>
      <c r="AB256" s="1143"/>
      <c r="AC256" s="578"/>
      <c r="AD256" s="578"/>
      <c r="AE256" s="578"/>
      <c r="AF256" s="578"/>
      <c r="AG256" s="580"/>
      <c r="AH256" s="579"/>
      <c r="AI256" s="578"/>
      <c r="AJ256" s="578"/>
      <c r="AK256" s="578"/>
      <c r="AL256" s="580"/>
      <c r="AN256" s="991"/>
      <c r="AP256" s="2285" t="str">
        <f t="shared" si="221"/>
        <v>Qty</v>
      </c>
      <c r="AQ256" s="2286" t="str">
        <f t="shared" si="221"/>
        <v>[Service]</v>
      </c>
      <c r="AR256" s="2287" t="str">
        <f t="shared" si="222"/>
        <v>[Price]</v>
      </c>
      <c r="AS256" s="2288" t="str">
        <f t="shared" ref="AS256:BG272" si="305">IF(OR(X256="",X256=0),"-",IFERROR(X256/W256-1,"-"))</f>
        <v>-</v>
      </c>
      <c r="AT256" s="1720" t="str">
        <f t="shared" si="305"/>
        <v>-</v>
      </c>
      <c r="AU256" s="1720" t="str">
        <f t="shared" si="305"/>
        <v>-</v>
      </c>
      <c r="AV256" s="2289" t="str">
        <f t="shared" si="305"/>
        <v>-</v>
      </c>
      <c r="AW256" s="1720" t="str">
        <f t="shared" si="305"/>
        <v>-</v>
      </c>
      <c r="AX256" s="2290" t="str">
        <f t="shared" si="305"/>
        <v>-</v>
      </c>
      <c r="AY256" s="1720" t="str">
        <f t="shared" si="305"/>
        <v>-</v>
      </c>
      <c r="AZ256" s="1720" t="str">
        <f t="shared" si="305"/>
        <v>-</v>
      </c>
      <c r="BA256" s="1720" t="str">
        <f t="shared" si="305"/>
        <v>-</v>
      </c>
      <c r="BB256" s="1721" t="str">
        <f t="shared" si="305"/>
        <v>-</v>
      </c>
      <c r="BC256" s="1720" t="str">
        <f t="shared" si="305"/>
        <v>-</v>
      </c>
      <c r="BD256" s="1720" t="str">
        <f t="shared" si="305"/>
        <v>-</v>
      </c>
      <c r="BE256" s="1720" t="str">
        <f t="shared" si="305"/>
        <v>-</v>
      </c>
      <c r="BF256" s="1720" t="str">
        <f t="shared" si="305"/>
        <v>-</v>
      </c>
      <c r="BG256" s="1721" t="str">
        <f t="shared" si="305"/>
        <v>-</v>
      </c>
      <c r="BH256" s="1048"/>
      <c r="BI256" s="2285" t="str">
        <f t="shared" si="244"/>
        <v>Qty</v>
      </c>
      <c r="BJ256" s="2286" t="str">
        <f t="shared" si="244"/>
        <v>[Service]</v>
      </c>
      <c r="BK256" s="2287" t="str">
        <f t="shared" si="244"/>
        <v>[Price]</v>
      </c>
      <c r="BL256" s="2288" t="str">
        <f t="shared" ref="BL256:BZ256" si="306">IF(OR(X256="",X256=0),"-",IFERROR((X256/W256-1)*(W257/W$13),"-"))</f>
        <v>-</v>
      </c>
      <c r="BM256" s="1720" t="str">
        <f t="shared" si="306"/>
        <v>-</v>
      </c>
      <c r="BN256" s="1720" t="str">
        <f t="shared" si="306"/>
        <v>-</v>
      </c>
      <c r="BO256" s="2289" t="str">
        <f t="shared" si="306"/>
        <v>-</v>
      </c>
      <c r="BP256" s="1720" t="str">
        <f t="shared" si="306"/>
        <v>-</v>
      </c>
      <c r="BQ256" s="2290" t="str">
        <f t="shared" si="306"/>
        <v>-</v>
      </c>
      <c r="BR256" s="1720" t="str">
        <f t="shared" si="306"/>
        <v>-</v>
      </c>
      <c r="BS256" s="1720" t="str">
        <f t="shared" si="306"/>
        <v>-</v>
      </c>
      <c r="BT256" s="1720" t="str">
        <f t="shared" si="306"/>
        <v>-</v>
      </c>
      <c r="BU256" s="1721" t="str">
        <f t="shared" si="306"/>
        <v>-</v>
      </c>
      <c r="BV256" s="1720" t="str">
        <f t="shared" si="306"/>
        <v>-</v>
      </c>
      <c r="BW256" s="1720" t="str">
        <f t="shared" si="306"/>
        <v>-</v>
      </c>
      <c r="BX256" s="1720" t="str">
        <f t="shared" si="306"/>
        <v>-</v>
      </c>
      <c r="BY256" s="1720" t="str">
        <f t="shared" si="306"/>
        <v>-</v>
      </c>
      <c r="BZ256" s="1721" t="str">
        <f t="shared" si="306"/>
        <v>-</v>
      </c>
    </row>
    <row r="257" spans="3:78" ht="12.5" thickBot="1" x14ac:dyDescent="0.35">
      <c r="C257" s="126"/>
      <c r="D257" s="126"/>
      <c r="E257" s="559" t="s">
        <v>47</v>
      </c>
      <c r="F257" s="1723" t="str">
        <f>+F255</f>
        <v>[Service]</v>
      </c>
      <c r="G257" s="1726">
        <f>+G255</f>
        <v>0</v>
      </c>
      <c r="H257" s="1726">
        <f>+H255</f>
        <v>0</v>
      </c>
      <c r="I257" s="1727" t="str">
        <f>+I255</f>
        <v>[Price]</v>
      </c>
      <c r="J257" s="556" t="s">
        <v>347</v>
      </c>
      <c r="K257" s="1977"/>
      <c r="L257" s="1206"/>
      <c r="M257" s="1206"/>
      <c r="N257" s="1978"/>
      <c r="O257" s="1206"/>
      <c r="P257" s="1206"/>
      <c r="Q257" s="1206"/>
      <c r="R257" s="1206"/>
      <c r="S257" s="1978"/>
      <c r="T257" s="1206"/>
      <c r="U257" s="1206"/>
      <c r="V257" s="1206"/>
      <c r="W257" s="1731">
        <f t="shared" ref="W257:AG257" si="307">W255*W256/10^6</f>
        <v>0</v>
      </c>
      <c r="X257" s="1730">
        <f t="shared" si="307"/>
        <v>0</v>
      </c>
      <c r="Y257" s="1731">
        <f t="shared" si="307"/>
        <v>0</v>
      </c>
      <c r="Z257" s="1731">
        <f t="shared" si="307"/>
        <v>0</v>
      </c>
      <c r="AA257" s="1731">
        <f t="shared" si="307"/>
        <v>0</v>
      </c>
      <c r="AB257" s="1733">
        <f t="shared" si="307"/>
        <v>0</v>
      </c>
      <c r="AC257" s="1731">
        <f t="shared" si="307"/>
        <v>0</v>
      </c>
      <c r="AD257" s="1731">
        <f t="shared" si="307"/>
        <v>0</v>
      </c>
      <c r="AE257" s="1731">
        <f t="shared" si="307"/>
        <v>0</v>
      </c>
      <c r="AF257" s="1731">
        <f t="shared" si="307"/>
        <v>0</v>
      </c>
      <c r="AG257" s="1733">
        <f t="shared" si="307"/>
        <v>0</v>
      </c>
      <c r="AH257" s="1732">
        <f>AH255*AH256/10^6</f>
        <v>0</v>
      </c>
      <c r="AI257" s="1731">
        <f>AI255*AI256/10^6</f>
        <v>0</v>
      </c>
      <c r="AJ257" s="1731">
        <f>AJ255*AJ256/10^6</f>
        <v>0</v>
      </c>
      <c r="AK257" s="1731">
        <f>AK255*AK256/10^6</f>
        <v>0</v>
      </c>
      <c r="AL257" s="1733">
        <f>AL255*AL256/10^6</f>
        <v>0</v>
      </c>
      <c r="AN257" s="991"/>
      <c r="AP257" s="2304" t="str">
        <f t="shared" si="221"/>
        <v>Rev</v>
      </c>
      <c r="AQ257" s="2305" t="str">
        <f t="shared" si="221"/>
        <v>[Service]</v>
      </c>
      <c r="AR257" s="2306" t="str">
        <f t="shared" si="222"/>
        <v>[Price]</v>
      </c>
      <c r="AS257" s="2307" t="str">
        <f t="shared" si="305"/>
        <v>-</v>
      </c>
      <c r="AT257" s="1055" t="str">
        <f t="shared" si="305"/>
        <v>-</v>
      </c>
      <c r="AU257" s="1055" t="str">
        <f t="shared" si="305"/>
        <v>-</v>
      </c>
      <c r="AV257" s="2308" t="str">
        <f t="shared" si="305"/>
        <v>-</v>
      </c>
      <c r="AW257" s="1055" t="str">
        <f t="shared" si="305"/>
        <v>-</v>
      </c>
      <c r="AX257" s="2309" t="str">
        <f t="shared" si="305"/>
        <v>-</v>
      </c>
      <c r="AY257" s="1055" t="str">
        <f t="shared" si="305"/>
        <v>-</v>
      </c>
      <c r="AZ257" s="1055" t="str">
        <f t="shared" si="305"/>
        <v>-</v>
      </c>
      <c r="BA257" s="1055" t="str">
        <f t="shared" si="305"/>
        <v>-</v>
      </c>
      <c r="BB257" s="1056" t="str">
        <f t="shared" si="305"/>
        <v>-</v>
      </c>
      <c r="BC257" s="1055" t="str">
        <f t="shared" si="305"/>
        <v>-</v>
      </c>
      <c r="BD257" s="1055" t="str">
        <f t="shared" si="305"/>
        <v>-</v>
      </c>
      <c r="BE257" s="1055" t="str">
        <f t="shared" si="305"/>
        <v>-</v>
      </c>
      <c r="BF257" s="1055" t="str">
        <f t="shared" si="305"/>
        <v>-</v>
      </c>
      <c r="BG257" s="1056" t="str">
        <f t="shared" si="305"/>
        <v>-</v>
      </c>
      <c r="BH257" s="1048"/>
      <c r="BI257" s="2304" t="str">
        <f t="shared" si="244"/>
        <v>Rev</v>
      </c>
      <c r="BJ257" s="2305" t="str">
        <f t="shared" si="244"/>
        <v>[Service]</v>
      </c>
      <c r="BK257" s="2306" t="str">
        <f t="shared" si="244"/>
        <v>[Price]</v>
      </c>
      <c r="BL257" s="2307" t="str">
        <f t="shared" ref="BL257:BZ257" si="308">IF(OR(X257="",X257=0),"-",IFERROR((X257/W257-1)*(W257/W$13),"-"))</f>
        <v>-</v>
      </c>
      <c r="BM257" s="1055" t="str">
        <f t="shared" si="308"/>
        <v>-</v>
      </c>
      <c r="BN257" s="1055" t="str">
        <f t="shared" si="308"/>
        <v>-</v>
      </c>
      <c r="BO257" s="2308" t="str">
        <f t="shared" si="308"/>
        <v>-</v>
      </c>
      <c r="BP257" s="1055" t="str">
        <f t="shared" si="308"/>
        <v>-</v>
      </c>
      <c r="BQ257" s="2309" t="str">
        <f t="shared" si="308"/>
        <v>-</v>
      </c>
      <c r="BR257" s="1055" t="str">
        <f t="shared" si="308"/>
        <v>-</v>
      </c>
      <c r="BS257" s="1055" t="str">
        <f t="shared" si="308"/>
        <v>-</v>
      </c>
      <c r="BT257" s="1055" t="str">
        <f t="shared" si="308"/>
        <v>-</v>
      </c>
      <c r="BU257" s="1056" t="str">
        <f t="shared" si="308"/>
        <v>-</v>
      </c>
      <c r="BV257" s="1055" t="str">
        <f t="shared" si="308"/>
        <v>-</v>
      </c>
      <c r="BW257" s="1055" t="str">
        <f t="shared" si="308"/>
        <v>-</v>
      </c>
      <c r="BX257" s="1055" t="str">
        <f t="shared" si="308"/>
        <v>-</v>
      </c>
      <c r="BY257" s="1055" t="str">
        <f t="shared" si="308"/>
        <v>-</v>
      </c>
      <c r="BZ257" s="1056" t="str">
        <f t="shared" si="308"/>
        <v>-</v>
      </c>
    </row>
    <row r="258" spans="3:78" x14ac:dyDescent="0.3">
      <c r="C258" s="126"/>
      <c r="D258" s="126">
        <f>D255+1</f>
        <v>64</v>
      </c>
      <c r="E258" s="553" t="s">
        <v>45</v>
      </c>
      <c r="F258" s="581" t="s">
        <v>28</v>
      </c>
      <c r="G258" s="581"/>
      <c r="H258" s="581"/>
      <c r="I258" s="573" t="s">
        <v>319</v>
      </c>
      <c r="J258" s="573" t="s">
        <v>348</v>
      </c>
      <c r="K258" s="1969"/>
      <c r="L258" s="1970"/>
      <c r="M258" s="1970"/>
      <c r="N258" s="1971"/>
      <c r="O258" s="1970"/>
      <c r="P258" s="1970"/>
      <c r="Q258" s="1970"/>
      <c r="R258" s="1972"/>
      <c r="S258" s="1979"/>
      <c r="T258" s="1972"/>
      <c r="U258" s="1972"/>
      <c r="V258" s="1972"/>
      <c r="W258" s="575"/>
      <c r="X258" s="1238"/>
      <c r="Y258" s="575"/>
      <c r="Z258" s="575"/>
      <c r="AA258" s="575"/>
      <c r="AB258" s="1142"/>
      <c r="AC258" s="575"/>
      <c r="AD258" s="575"/>
      <c r="AE258" s="575"/>
      <c r="AF258" s="575"/>
      <c r="AG258" s="577"/>
      <c r="AH258" s="576"/>
      <c r="AI258" s="575"/>
      <c r="AJ258" s="575"/>
      <c r="AK258" s="575"/>
      <c r="AL258" s="577"/>
      <c r="AN258" s="1052"/>
      <c r="AP258" s="2297" t="str">
        <f t="shared" si="221"/>
        <v>Price</v>
      </c>
      <c r="AQ258" s="2298" t="str">
        <f t="shared" si="221"/>
        <v>[Service]</v>
      </c>
      <c r="AR258" s="1719" t="str">
        <f t="shared" si="222"/>
        <v>[Price]</v>
      </c>
      <c r="AS258" s="2299" t="str">
        <f t="shared" si="305"/>
        <v>-</v>
      </c>
      <c r="AT258" s="1728" t="str">
        <f t="shared" si="305"/>
        <v>-</v>
      </c>
      <c r="AU258" s="1728" t="str">
        <f t="shared" si="305"/>
        <v>-</v>
      </c>
      <c r="AV258" s="2300" t="str">
        <f t="shared" si="305"/>
        <v>-</v>
      </c>
      <c r="AW258" s="1728" t="str">
        <f t="shared" si="305"/>
        <v>-</v>
      </c>
      <c r="AX258" s="2301" t="str">
        <f t="shared" si="305"/>
        <v>-</v>
      </c>
      <c r="AY258" s="1728" t="str">
        <f t="shared" si="305"/>
        <v>-</v>
      </c>
      <c r="AZ258" s="1728" t="str">
        <f t="shared" si="305"/>
        <v>-</v>
      </c>
      <c r="BA258" s="1728" t="str">
        <f t="shared" si="305"/>
        <v>-</v>
      </c>
      <c r="BB258" s="1729" t="str">
        <f t="shared" si="305"/>
        <v>-</v>
      </c>
      <c r="BC258" s="1728" t="str">
        <f t="shared" si="305"/>
        <v>-</v>
      </c>
      <c r="BD258" s="1728" t="str">
        <f t="shared" si="305"/>
        <v>-</v>
      </c>
      <c r="BE258" s="1728" t="str">
        <f t="shared" si="305"/>
        <v>-</v>
      </c>
      <c r="BF258" s="1728" t="str">
        <f t="shared" si="305"/>
        <v>-</v>
      </c>
      <c r="BG258" s="1729" t="str">
        <f t="shared" si="305"/>
        <v>-</v>
      </c>
      <c r="BH258" s="1048"/>
      <c r="BI258" s="2297" t="str">
        <f t="shared" si="244"/>
        <v>Price</v>
      </c>
      <c r="BJ258" s="2298" t="str">
        <f t="shared" si="244"/>
        <v>[Service]</v>
      </c>
      <c r="BK258" s="1719" t="str">
        <f t="shared" si="244"/>
        <v>[Price]</v>
      </c>
      <c r="BL258" s="2299" t="str">
        <f t="shared" ref="BL258:BZ258" si="309">IF(OR(X258="",X258=0),"-",IFERROR((X258/W258-1)*(W260/W$13),"-"))</f>
        <v>-</v>
      </c>
      <c r="BM258" s="1053" t="str">
        <f t="shared" si="309"/>
        <v>-</v>
      </c>
      <c r="BN258" s="1053" t="str">
        <f t="shared" si="309"/>
        <v>-</v>
      </c>
      <c r="BO258" s="2302" t="str">
        <f t="shared" si="309"/>
        <v>-</v>
      </c>
      <c r="BP258" s="1053" t="str">
        <f t="shared" si="309"/>
        <v>-</v>
      </c>
      <c r="BQ258" s="2303" t="str">
        <f t="shared" si="309"/>
        <v>-</v>
      </c>
      <c r="BR258" s="1053" t="str">
        <f t="shared" si="309"/>
        <v>-</v>
      </c>
      <c r="BS258" s="1053" t="str">
        <f t="shared" si="309"/>
        <v>-</v>
      </c>
      <c r="BT258" s="1053" t="str">
        <f t="shared" si="309"/>
        <v>-</v>
      </c>
      <c r="BU258" s="1054" t="str">
        <f t="shared" si="309"/>
        <v>-</v>
      </c>
      <c r="BV258" s="1053" t="str">
        <f t="shared" si="309"/>
        <v>-</v>
      </c>
      <c r="BW258" s="1053" t="str">
        <f t="shared" si="309"/>
        <v>-</v>
      </c>
      <c r="BX258" s="1053" t="str">
        <f t="shared" si="309"/>
        <v>-</v>
      </c>
      <c r="BY258" s="1053" t="str">
        <f t="shared" si="309"/>
        <v>-</v>
      </c>
      <c r="BZ258" s="1054" t="str">
        <f t="shared" si="309"/>
        <v>-</v>
      </c>
    </row>
    <row r="259" spans="3:78" x14ac:dyDescent="0.3">
      <c r="C259" s="126"/>
      <c r="D259" s="126"/>
      <c r="E259" s="558" t="s">
        <v>46</v>
      </c>
      <c r="F259" s="1722" t="str">
        <f>+F258</f>
        <v>[Service]</v>
      </c>
      <c r="G259" s="1724">
        <f>+G258</f>
        <v>0</v>
      </c>
      <c r="H259" s="1724">
        <f>+H258</f>
        <v>0</v>
      </c>
      <c r="I259" s="1725" t="str">
        <f>+I258</f>
        <v>[Price]</v>
      </c>
      <c r="J259" s="574" t="s">
        <v>323</v>
      </c>
      <c r="K259" s="1973"/>
      <c r="L259" s="1974"/>
      <c r="M259" s="1974"/>
      <c r="N259" s="1975"/>
      <c r="O259" s="1974"/>
      <c r="P259" s="1974"/>
      <c r="Q259" s="1974"/>
      <c r="R259" s="1976"/>
      <c r="S259" s="1980"/>
      <c r="T259" s="1976"/>
      <c r="U259" s="1976"/>
      <c r="V259" s="1976"/>
      <c r="W259" s="578"/>
      <c r="X259" s="1239"/>
      <c r="Y259" s="578"/>
      <c r="Z259" s="578"/>
      <c r="AA259" s="578"/>
      <c r="AB259" s="1143"/>
      <c r="AC259" s="578"/>
      <c r="AD259" s="578"/>
      <c r="AE259" s="578"/>
      <c r="AF259" s="578"/>
      <c r="AG259" s="580"/>
      <c r="AH259" s="579"/>
      <c r="AI259" s="578"/>
      <c r="AJ259" s="578"/>
      <c r="AK259" s="578"/>
      <c r="AL259" s="580"/>
      <c r="AN259" s="991"/>
      <c r="AP259" s="2285" t="str">
        <f t="shared" si="221"/>
        <v>Qty</v>
      </c>
      <c r="AQ259" s="2286" t="str">
        <f t="shared" si="221"/>
        <v>[Service]</v>
      </c>
      <c r="AR259" s="2287" t="str">
        <f t="shared" si="222"/>
        <v>[Price]</v>
      </c>
      <c r="AS259" s="2288" t="str">
        <f t="shared" si="305"/>
        <v>-</v>
      </c>
      <c r="AT259" s="1720" t="str">
        <f t="shared" si="305"/>
        <v>-</v>
      </c>
      <c r="AU259" s="1720" t="str">
        <f t="shared" si="305"/>
        <v>-</v>
      </c>
      <c r="AV259" s="2289" t="str">
        <f t="shared" si="305"/>
        <v>-</v>
      </c>
      <c r="AW259" s="1720" t="str">
        <f t="shared" si="305"/>
        <v>-</v>
      </c>
      <c r="AX259" s="2290" t="str">
        <f t="shared" si="305"/>
        <v>-</v>
      </c>
      <c r="AY259" s="1720" t="str">
        <f t="shared" si="305"/>
        <v>-</v>
      </c>
      <c r="AZ259" s="1720" t="str">
        <f t="shared" si="305"/>
        <v>-</v>
      </c>
      <c r="BA259" s="1720" t="str">
        <f t="shared" si="305"/>
        <v>-</v>
      </c>
      <c r="BB259" s="1721" t="str">
        <f t="shared" si="305"/>
        <v>-</v>
      </c>
      <c r="BC259" s="1720" t="str">
        <f t="shared" si="305"/>
        <v>-</v>
      </c>
      <c r="BD259" s="1720" t="str">
        <f t="shared" si="305"/>
        <v>-</v>
      </c>
      <c r="BE259" s="1720" t="str">
        <f t="shared" si="305"/>
        <v>-</v>
      </c>
      <c r="BF259" s="1720" t="str">
        <f t="shared" si="305"/>
        <v>-</v>
      </c>
      <c r="BG259" s="1721" t="str">
        <f t="shared" si="305"/>
        <v>-</v>
      </c>
      <c r="BH259" s="1048"/>
      <c r="BI259" s="2285" t="str">
        <f t="shared" si="244"/>
        <v>Qty</v>
      </c>
      <c r="BJ259" s="2286" t="str">
        <f t="shared" si="244"/>
        <v>[Service]</v>
      </c>
      <c r="BK259" s="2287" t="str">
        <f t="shared" si="244"/>
        <v>[Price]</v>
      </c>
      <c r="BL259" s="2288" t="str">
        <f t="shared" ref="BL259:BZ259" si="310">IF(OR(X259="",X259=0),"-",IFERROR((X259/W259-1)*(W260/W$13),"-"))</f>
        <v>-</v>
      </c>
      <c r="BM259" s="1720" t="str">
        <f t="shared" si="310"/>
        <v>-</v>
      </c>
      <c r="BN259" s="1720" t="str">
        <f t="shared" si="310"/>
        <v>-</v>
      </c>
      <c r="BO259" s="2289" t="str">
        <f t="shared" si="310"/>
        <v>-</v>
      </c>
      <c r="BP259" s="1720" t="str">
        <f t="shared" si="310"/>
        <v>-</v>
      </c>
      <c r="BQ259" s="2290" t="str">
        <f t="shared" si="310"/>
        <v>-</v>
      </c>
      <c r="BR259" s="1720" t="str">
        <f t="shared" si="310"/>
        <v>-</v>
      </c>
      <c r="BS259" s="1720" t="str">
        <f t="shared" si="310"/>
        <v>-</v>
      </c>
      <c r="BT259" s="1720" t="str">
        <f t="shared" si="310"/>
        <v>-</v>
      </c>
      <c r="BU259" s="1721" t="str">
        <f t="shared" si="310"/>
        <v>-</v>
      </c>
      <c r="BV259" s="1720" t="str">
        <f t="shared" si="310"/>
        <v>-</v>
      </c>
      <c r="BW259" s="1720" t="str">
        <f t="shared" si="310"/>
        <v>-</v>
      </c>
      <c r="BX259" s="1720" t="str">
        <f t="shared" si="310"/>
        <v>-</v>
      </c>
      <c r="BY259" s="1720" t="str">
        <f t="shared" si="310"/>
        <v>-</v>
      </c>
      <c r="BZ259" s="1721" t="str">
        <f t="shared" si="310"/>
        <v>-</v>
      </c>
    </row>
    <row r="260" spans="3:78" ht="12.5" thickBot="1" x14ac:dyDescent="0.35">
      <c r="C260" s="126"/>
      <c r="D260" s="126"/>
      <c r="E260" s="559" t="s">
        <v>47</v>
      </c>
      <c r="F260" s="1723" t="str">
        <f>+F258</f>
        <v>[Service]</v>
      </c>
      <c r="G260" s="1726">
        <f>+G258</f>
        <v>0</v>
      </c>
      <c r="H260" s="1726">
        <f>+H258</f>
        <v>0</v>
      </c>
      <c r="I260" s="1727" t="str">
        <f>+I258</f>
        <v>[Price]</v>
      </c>
      <c r="J260" s="556" t="s">
        <v>347</v>
      </c>
      <c r="K260" s="1977"/>
      <c r="L260" s="1206"/>
      <c r="M260" s="1206"/>
      <c r="N260" s="1978"/>
      <c r="O260" s="1206"/>
      <c r="P260" s="1206"/>
      <c r="Q260" s="1206"/>
      <c r="R260" s="1206"/>
      <c r="S260" s="1978"/>
      <c r="T260" s="1206"/>
      <c r="U260" s="1206"/>
      <c r="V260" s="1206"/>
      <c r="W260" s="1731">
        <f t="shared" ref="W260:AG260" si="311">W258*W259/10^6</f>
        <v>0</v>
      </c>
      <c r="X260" s="1730">
        <f t="shared" si="311"/>
        <v>0</v>
      </c>
      <c r="Y260" s="1731">
        <f t="shared" si="311"/>
        <v>0</v>
      </c>
      <c r="Z260" s="1731">
        <f t="shared" si="311"/>
        <v>0</v>
      </c>
      <c r="AA260" s="1731">
        <f t="shared" si="311"/>
        <v>0</v>
      </c>
      <c r="AB260" s="1733">
        <f t="shared" si="311"/>
        <v>0</v>
      </c>
      <c r="AC260" s="1731">
        <f t="shared" si="311"/>
        <v>0</v>
      </c>
      <c r="AD260" s="1731">
        <f t="shared" si="311"/>
        <v>0</v>
      </c>
      <c r="AE260" s="1731">
        <f t="shared" si="311"/>
        <v>0</v>
      </c>
      <c r="AF260" s="1731">
        <f t="shared" si="311"/>
        <v>0</v>
      </c>
      <c r="AG260" s="1733">
        <f t="shared" si="311"/>
        <v>0</v>
      </c>
      <c r="AH260" s="1732">
        <f>AH258*AH259/10^6</f>
        <v>0</v>
      </c>
      <c r="AI260" s="1731">
        <f>AI258*AI259/10^6</f>
        <v>0</v>
      </c>
      <c r="AJ260" s="1731">
        <f>AJ258*AJ259/10^6</f>
        <v>0</v>
      </c>
      <c r="AK260" s="1731">
        <f>AK258*AK259/10^6</f>
        <v>0</v>
      </c>
      <c r="AL260" s="1733">
        <f>AL258*AL259/10^6</f>
        <v>0</v>
      </c>
      <c r="AN260" s="991"/>
      <c r="AP260" s="2304" t="str">
        <f t="shared" si="221"/>
        <v>Rev</v>
      </c>
      <c r="AQ260" s="2305" t="str">
        <f t="shared" si="221"/>
        <v>[Service]</v>
      </c>
      <c r="AR260" s="2306" t="str">
        <f t="shared" si="222"/>
        <v>[Price]</v>
      </c>
      <c r="AS260" s="2307" t="str">
        <f t="shared" si="305"/>
        <v>-</v>
      </c>
      <c r="AT260" s="1055" t="str">
        <f t="shared" si="305"/>
        <v>-</v>
      </c>
      <c r="AU260" s="1055" t="str">
        <f t="shared" si="305"/>
        <v>-</v>
      </c>
      <c r="AV260" s="2308" t="str">
        <f t="shared" si="305"/>
        <v>-</v>
      </c>
      <c r="AW260" s="1055" t="str">
        <f t="shared" si="305"/>
        <v>-</v>
      </c>
      <c r="AX260" s="2309" t="str">
        <f t="shared" si="305"/>
        <v>-</v>
      </c>
      <c r="AY260" s="1055" t="str">
        <f t="shared" si="305"/>
        <v>-</v>
      </c>
      <c r="AZ260" s="1055" t="str">
        <f t="shared" si="305"/>
        <v>-</v>
      </c>
      <c r="BA260" s="1055" t="str">
        <f t="shared" si="305"/>
        <v>-</v>
      </c>
      <c r="BB260" s="1056" t="str">
        <f t="shared" si="305"/>
        <v>-</v>
      </c>
      <c r="BC260" s="1055" t="str">
        <f t="shared" si="305"/>
        <v>-</v>
      </c>
      <c r="BD260" s="1055" t="str">
        <f t="shared" si="305"/>
        <v>-</v>
      </c>
      <c r="BE260" s="1055" t="str">
        <f t="shared" si="305"/>
        <v>-</v>
      </c>
      <c r="BF260" s="1055" t="str">
        <f t="shared" si="305"/>
        <v>-</v>
      </c>
      <c r="BG260" s="1056" t="str">
        <f t="shared" si="305"/>
        <v>-</v>
      </c>
      <c r="BH260" s="1048"/>
      <c r="BI260" s="2304" t="str">
        <f t="shared" si="244"/>
        <v>Rev</v>
      </c>
      <c r="BJ260" s="2305" t="str">
        <f t="shared" si="244"/>
        <v>[Service]</v>
      </c>
      <c r="BK260" s="2306" t="str">
        <f t="shared" si="244"/>
        <v>[Price]</v>
      </c>
      <c r="BL260" s="2307" t="str">
        <f t="shared" ref="BL260:BZ260" si="312">IF(OR(X260="",X260=0),"-",IFERROR((X260/W260-1)*(W260/W$13),"-"))</f>
        <v>-</v>
      </c>
      <c r="BM260" s="1055" t="str">
        <f t="shared" si="312"/>
        <v>-</v>
      </c>
      <c r="BN260" s="1055" t="str">
        <f t="shared" si="312"/>
        <v>-</v>
      </c>
      <c r="BO260" s="2308" t="str">
        <f t="shared" si="312"/>
        <v>-</v>
      </c>
      <c r="BP260" s="1055" t="str">
        <f t="shared" si="312"/>
        <v>-</v>
      </c>
      <c r="BQ260" s="2309" t="str">
        <f t="shared" si="312"/>
        <v>-</v>
      </c>
      <c r="BR260" s="1055" t="str">
        <f t="shared" si="312"/>
        <v>-</v>
      </c>
      <c r="BS260" s="1055" t="str">
        <f t="shared" si="312"/>
        <v>-</v>
      </c>
      <c r="BT260" s="1055" t="str">
        <f t="shared" si="312"/>
        <v>-</v>
      </c>
      <c r="BU260" s="1056" t="str">
        <f t="shared" si="312"/>
        <v>-</v>
      </c>
      <c r="BV260" s="1055" t="str">
        <f t="shared" si="312"/>
        <v>-</v>
      </c>
      <c r="BW260" s="1055" t="str">
        <f t="shared" si="312"/>
        <v>-</v>
      </c>
      <c r="BX260" s="1055" t="str">
        <f t="shared" si="312"/>
        <v>-</v>
      </c>
      <c r="BY260" s="1055" t="str">
        <f t="shared" si="312"/>
        <v>-</v>
      </c>
      <c r="BZ260" s="1056" t="str">
        <f t="shared" si="312"/>
        <v>-</v>
      </c>
    </row>
    <row r="261" spans="3:78" x14ac:dyDescent="0.3">
      <c r="C261" s="126"/>
      <c r="D261" s="126">
        <f>D258+1</f>
        <v>65</v>
      </c>
      <c r="E261" s="553" t="s">
        <v>45</v>
      </c>
      <c r="F261" s="581" t="s">
        <v>28</v>
      </c>
      <c r="G261" s="581"/>
      <c r="H261" s="581"/>
      <c r="I261" s="573" t="s">
        <v>319</v>
      </c>
      <c r="J261" s="573" t="s">
        <v>348</v>
      </c>
      <c r="K261" s="1969"/>
      <c r="L261" s="1970"/>
      <c r="M261" s="1970"/>
      <c r="N261" s="1971"/>
      <c r="O261" s="1970"/>
      <c r="P261" s="1970"/>
      <c r="Q261" s="1970"/>
      <c r="R261" s="1972"/>
      <c r="S261" s="1979"/>
      <c r="T261" s="1972"/>
      <c r="U261" s="1972"/>
      <c r="V261" s="1972"/>
      <c r="W261" s="575"/>
      <c r="X261" s="1238"/>
      <c r="Y261" s="575"/>
      <c r="Z261" s="575"/>
      <c r="AA261" s="575"/>
      <c r="AB261" s="1142"/>
      <c r="AC261" s="575"/>
      <c r="AD261" s="575"/>
      <c r="AE261" s="575"/>
      <c r="AF261" s="575"/>
      <c r="AG261" s="577"/>
      <c r="AH261" s="576"/>
      <c r="AI261" s="575"/>
      <c r="AJ261" s="575"/>
      <c r="AK261" s="575"/>
      <c r="AL261" s="577"/>
      <c r="AN261" s="1052"/>
      <c r="AP261" s="2297" t="str">
        <f t="shared" ref="AP261:AQ324" si="313">E261</f>
        <v>Price</v>
      </c>
      <c r="AQ261" s="2298" t="str">
        <f t="shared" si="313"/>
        <v>[Service]</v>
      </c>
      <c r="AR261" s="1719" t="str">
        <f t="shared" ref="AR261:AR324" si="314">I261</f>
        <v>[Price]</v>
      </c>
      <c r="AS261" s="2299" t="str">
        <f t="shared" si="305"/>
        <v>-</v>
      </c>
      <c r="AT261" s="1728" t="str">
        <f t="shared" si="305"/>
        <v>-</v>
      </c>
      <c r="AU261" s="1728" t="str">
        <f t="shared" si="305"/>
        <v>-</v>
      </c>
      <c r="AV261" s="2300" t="str">
        <f t="shared" si="305"/>
        <v>-</v>
      </c>
      <c r="AW261" s="1728" t="str">
        <f t="shared" si="305"/>
        <v>-</v>
      </c>
      <c r="AX261" s="2301" t="str">
        <f t="shared" si="305"/>
        <v>-</v>
      </c>
      <c r="AY261" s="1728" t="str">
        <f t="shared" si="305"/>
        <v>-</v>
      </c>
      <c r="AZ261" s="1728" t="str">
        <f t="shared" si="305"/>
        <v>-</v>
      </c>
      <c r="BA261" s="1728" t="str">
        <f t="shared" si="305"/>
        <v>-</v>
      </c>
      <c r="BB261" s="1729" t="str">
        <f t="shared" si="305"/>
        <v>-</v>
      </c>
      <c r="BC261" s="1728" t="str">
        <f t="shared" si="305"/>
        <v>-</v>
      </c>
      <c r="BD261" s="1728" t="str">
        <f t="shared" si="305"/>
        <v>-</v>
      </c>
      <c r="BE261" s="1728" t="str">
        <f t="shared" si="305"/>
        <v>-</v>
      </c>
      <c r="BF261" s="1728" t="str">
        <f t="shared" si="305"/>
        <v>-</v>
      </c>
      <c r="BG261" s="1729" t="str">
        <f t="shared" si="305"/>
        <v>-</v>
      </c>
      <c r="BH261" s="1048"/>
      <c r="BI261" s="2297" t="str">
        <f t="shared" si="244"/>
        <v>Price</v>
      </c>
      <c r="BJ261" s="2298" t="str">
        <f t="shared" si="244"/>
        <v>[Service]</v>
      </c>
      <c r="BK261" s="1719" t="str">
        <f t="shared" si="244"/>
        <v>[Price]</v>
      </c>
      <c r="BL261" s="2299" t="str">
        <f t="shared" ref="BL261:BZ261" si="315">IF(OR(X261="",X261=0),"-",IFERROR((X261/W261-1)*(W263/W$13),"-"))</f>
        <v>-</v>
      </c>
      <c r="BM261" s="1053" t="str">
        <f t="shared" si="315"/>
        <v>-</v>
      </c>
      <c r="BN261" s="1053" t="str">
        <f t="shared" si="315"/>
        <v>-</v>
      </c>
      <c r="BO261" s="2302" t="str">
        <f t="shared" si="315"/>
        <v>-</v>
      </c>
      <c r="BP261" s="1053" t="str">
        <f t="shared" si="315"/>
        <v>-</v>
      </c>
      <c r="BQ261" s="2303" t="str">
        <f t="shared" si="315"/>
        <v>-</v>
      </c>
      <c r="BR261" s="1053" t="str">
        <f t="shared" si="315"/>
        <v>-</v>
      </c>
      <c r="BS261" s="1053" t="str">
        <f t="shared" si="315"/>
        <v>-</v>
      </c>
      <c r="BT261" s="1053" t="str">
        <f t="shared" si="315"/>
        <v>-</v>
      </c>
      <c r="BU261" s="1054" t="str">
        <f t="shared" si="315"/>
        <v>-</v>
      </c>
      <c r="BV261" s="1053" t="str">
        <f t="shared" si="315"/>
        <v>-</v>
      </c>
      <c r="BW261" s="1053" t="str">
        <f t="shared" si="315"/>
        <v>-</v>
      </c>
      <c r="BX261" s="1053" t="str">
        <f t="shared" si="315"/>
        <v>-</v>
      </c>
      <c r="BY261" s="1053" t="str">
        <f t="shared" si="315"/>
        <v>-</v>
      </c>
      <c r="BZ261" s="1054" t="str">
        <f t="shared" si="315"/>
        <v>-</v>
      </c>
    </row>
    <row r="262" spans="3:78" x14ac:dyDescent="0.3">
      <c r="C262" s="126"/>
      <c r="D262" s="126"/>
      <c r="E262" s="558" t="s">
        <v>46</v>
      </c>
      <c r="F262" s="1722" t="str">
        <f>+F261</f>
        <v>[Service]</v>
      </c>
      <c r="G262" s="1724">
        <f>+G261</f>
        <v>0</v>
      </c>
      <c r="H262" s="1724">
        <f>+H261</f>
        <v>0</v>
      </c>
      <c r="I262" s="1725" t="str">
        <f>+I261</f>
        <v>[Price]</v>
      </c>
      <c r="J262" s="574" t="s">
        <v>323</v>
      </c>
      <c r="K262" s="1973"/>
      <c r="L262" s="1974"/>
      <c r="M262" s="1974"/>
      <c r="N262" s="1975"/>
      <c r="O262" s="1974"/>
      <c r="P262" s="1974"/>
      <c r="Q262" s="1974"/>
      <c r="R262" s="1976"/>
      <c r="S262" s="1980"/>
      <c r="T262" s="1976"/>
      <c r="U262" s="1976"/>
      <c r="V262" s="1976"/>
      <c r="W262" s="578"/>
      <c r="X262" s="1239"/>
      <c r="Y262" s="578"/>
      <c r="Z262" s="578"/>
      <c r="AA262" s="578"/>
      <c r="AB262" s="1143"/>
      <c r="AC262" s="578"/>
      <c r="AD262" s="578"/>
      <c r="AE262" s="578"/>
      <c r="AF262" s="578"/>
      <c r="AG262" s="580"/>
      <c r="AH262" s="579"/>
      <c r="AI262" s="578"/>
      <c r="AJ262" s="578"/>
      <c r="AK262" s="578"/>
      <c r="AL262" s="580"/>
      <c r="AN262" s="991"/>
      <c r="AP262" s="2285" t="str">
        <f t="shared" si="313"/>
        <v>Qty</v>
      </c>
      <c r="AQ262" s="2286" t="str">
        <f t="shared" si="313"/>
        <v>[Service]</v>
      </c>
      <c r="AR262" s="2287" t="str">
        <f t="shared" si="314"/>
        <v>[Price]</v>
      </c>
      <c r="AS262" s="2288" t="str">
        <f t="shared" si="305"/>
        <v>-</v>
      </c>
      <c r="AT262" s="1720" t="str">
        <f t="shared" si="305"/>
        <v>-</v>
      </c>
      <c r="AU262" s="1720" t="str">
        <f t="shared" si="305"/>
        <v>-</v>
      </c>
      <c r="AV262" s="2289" t="str">
        <f t="shared" si="305"/>
        <v>-</v>
      </c>
      <c r="AW262" s="1720" t="str">
        <f t="shared" si="305"/>
        <v>-</v>
      </c>
      <c r="AX262" s="2290" t="str">
        <f t="shared" si="305"/>
        <v>-</v>
      </c>
      <c r="AY262" s="1720" t="str">
        <f t="shared" si="305"/>
        <v>-</v>
      </c>
      <c r="AZ262" s="1720" t="str">
        <f t="shared" si="305"/>
        <v>-</v>
      </c>
      <c r="BA262" s="1720" t="str">
        <f t="shared" si="305"/>
        <v>-</v>
      </c>
      <c r="BB262" s="1721" t="str">
        <f t="shared" si="305"/>
        <v>-</v>
      </c>
      <c r="BC262" s="1720" t="str">
        <f t="shared" si="305"/>
        <v>-</v>
      </c>
      <c r="BD262" s="1720" t="str">
        <f t="shared" si="305"/>
        <v>-</v>
      </c>
      <c r="BE262" s="1720" t="str">
        <f t="shared" si="305"/>
        <v>-</v>
      </c>
      <c r="BF262" s="1720" t="str">
        <f t="shared" si="305"/>
        <v>-</v>
      </c>
      <c r="BG262" s="1721" t="str">
        <f t="shared" si="305"/>
        <v>-</v>
      </c>
      <c r="BH262" s="1048"/>
      <c r="BI262" s="2285" t="str">
        <f t="shared" si="244"/>
        <v>Qty</v>
      </c>
      <c r="BJ262" s="2286" t="str">
        <f t="shared" si="244"/>
        <v>[Service]</v>
      </c>
      <c r="BK262" s="2287" t="str">
        <f t="shared" si="244"/>
        <v>[Price]</v>
      </c>
      <c r="BL262" s="2288" t="str">
        <f t="shared" ref="BL262:BZ262" si="316">IF(OR(X262="",X262=0),"-",IFERROR((X262/W262-1)*(W263/W$13),"-"))</f>
        <v>-</v>
      </c>
      <c r="BM262" s="1720" t="str">
        <f t="shared" si="316"/>
        <v>-</v>
      </c>
      <c r="BN262" s="1720" t="str">
        <f t="shared" si="316"/>
        <v>-</v>
      </c>
      <c r="BO262" s="2289" t="str">
        <f t="shared" si="316"/>
        <v>-</v>
      </c>
      <c r="BP262" s="1720" t="str">
        <f t="shared" si="316"/>
        <v>-</v>
      </c>
      <c r="BQ262" s="2290" t="str">
        <f t="shared" si="316"/>
        <v>-</v>
      </c>
      <c r="BR262" s="1720" t="str">
        <f t="shared" si="316"/>
        <v>-</v>
      </c>
      <c r="BS262" s="1720" t="str">
        <f t="shared" si="316"/>
        <v>-</v>
      </c>
      <c r="BT262" s="1720" t="str">
        <f t="shared" si="316"/>
        <v>-</v>
      </c>
      <c r="BU262" s="1721" t="str">
        <f t="shared" si="316"/>
        <v>-</v>
      </c>
      <c r="BV262" s="1720" t="str">
        <f t="shared" si="316"/>
        <v>-</v>
      </c>
      <c r="BW262" s="1720" t="str">
        <f t="shared" si="316"/>
        <v>-</v>
      </c>
      <c r="BX262" s="1720" t="str">
        <f t="shared" si="316"/>
        <v>-</v>
      </c>
      <c r="BY262" s="1720" t="str">
        <f t="shared" si="316"/>
        <v>-</v>
      </c>
      <c r="BZ262" s="1721" t="str">
        <f t="shared" si="316"/>
        <v>-</v>
      </c>
    </row>
    <row r="263" spans="3:78" ht="12.5" thickBot="1" x14ac:dyDescent="0.35">
      <c r="C263" s="126"/>
      <c r="D263" s="126"/>
      <c r="E263" s="559" t="s">
        <v>47</v>
      </c>
      <c r="F263" s="1723" t="str">
        <f>+F261</f>
        <v>[Service]</v>
      </c>
      <c r="G263" s="1726">
        <f>+G261</f>
        <v>0</v>
      </c>
      <c r="H263" s="1726">
        <f>+H261</f>
        <v>0</v>
      </c>
      <c r="I263" s="1727" t="str">
        <f>+I261</f>
        <v>[Price]</v>
      </c>
      <c r="J263" s="556" t="s">
        <v>347</v>
      </c>
      <c r="K263" s="1977"/>
      <c r="L263" s="1206"/>
      <c r="M263" s="1206"/>
      <c r="N263" s="1978"/>
      <c r="O263" s="1206"/>
      <c r="P263" s="1206"/>
      <c r="Q263" s="1206"/>
      <c r="R263" s="1206"/>
      <c r="S263" s="1978"/>
      <c r="T263" s="1206"/>
      <c r="U263" s="1206"/>
      <c r="V263" s="1206"/>
      <c r="W263" s="1731">
        <f t="shared" ref="W263:AG263" si="317">W261*W262/10^6</f>
        <v>0</v>
      </c>
      <c r="X263" s="1730">
        <f t="shared" si="317"/>
        <v>0</v>
      </c>
      <c r="Y263" s="1731">
        <f t="shared" si="317"/>
        <v>0</v>
      </c>
      <c r="Z263" s="1731">
        <f t="shared" si="317"/>
        <v>0</v>
      </c>
      <c r="AA263" s="1731">
        <f t="shared" si="317"/>
        <v>0</v>
      </c>
      <c r="AB263" s="1733">
        <f t="shared" si="317"/>
        <v>0</v>
      </c>
      <c r="AC263" s="1731">
        <f t="shared" si="317"/>
        <v>0</v>
      </c>
      <c r="AD263" s="1731">
        <f t="shared" si="317"/>
        <v>0</v>
      </c>
      <c r="AE263" s="1731">
        <f t="shared" si="317"/>
        <v>0</v>
      </c>
      <c r="AF263" s="1731">
        <f t="shared" si="317"/>
        <v>0</v>
      </c>
      <c r="AG263" s="1733">
        <f t="shared" si="317"/>
        <v>0</v>
      </c>
      <c r="AH263" s="1732">
        <f>AH261*AH262/10^6</f>
        <v>0</v>
      </c>
      <c r="AI263" s="1731">
        <f>AI261*AI262/10^6</f>
        <v>0</v>
      </c>
      <c r="AJ263" s="1731">
        <f>AJ261*AJ262/10^6</f>
        <v>0</v>
      </c>
      <c r="AK263" s="1731">
        <f>AK261*AK262/10^6</f>
        <v>0</v>
      </c>
      <c r="AL263" s="1733">
        <f>AL261*AL262/10^6</f>
        <v>0</v>
      </c>
      <c r="AN263" s="991"/>
      <c r="AP263" s="2304" t="str">
        <f t="shared" si="313"/>
        <v>Rev</v>
      </c>
      <c r="AQ263" s="2305" t="str">
        <f t="shared" si="313"/>
        <v>[Service]</v>
      </c>
      <c r="AR263" s="2306" t="str">
        <f t="shared" si="314"/>
        <v>[Price]</v>
      </c>
      <c r="AS263" s="2307" t="str">
        <f t="shared" si="305"/>
        <v>-</v>
      </c>
      <c r="AT263" s="1055" t="str">
        <f t="shared" si="305"/>
        <v>-</v>
      </c>
      <c r="AU263" s="1055" t="str">
        <f t="shared" si="305"/>
        <v>-</v>
      </c>
      <c r="AV263" s="2308" t="str">
        <f t="shared" si="305"/>
        <v>-</v>
      </c>
      <c r="AW263" s="1055" t="str">
        <f t="shared" si="305"/>
        <v>-</v>
      </c>
      <c r="AX263" s="2309" t="str">
        <f t="shared" si="305"/>
        <v>-</v>
      </c>
      <c r="AY263" s="1055" t="str">
        <f t="shared" si="305"/>
        <v>-</v>
      </c>
      <c r="AZ263" s="1055" t="str">
        <f t="shared" si="305"/>
        <v>-</v>
      </c>
      <c r="BA263" s="1055" t="str">
        <f t="shared" si="305"/>
        <v>-</v>
      </c>
      <c r="BB263" s="1056" t="str">
        <f t="shared" si="305"/>
        <v>-</v>
      </c>
      <c r="BC263" s="1055" t="str">
        <f t="shared" si="305"/>
        <v>-</v>
      </c>
      <c r="BD263" s="1055" t="str">
        <f t="shared" si="305"/>
        <v>-</v>
      </c>
      <c r="BE263" s="1055" t="str">
        <f t="shared" si="305"/>
        <v>-</v>
      </c>
      <c r="BF263" s="1055" t="str">
        <f t="shared" si="305"/>
        <v>-</v>
      </c>
      <c r="BG263" s="1056" t="str">
        <f t="shared" si="305"/>
        <v>-</v>
      </c>
      <c r="BH263" s="1048"/>
      <c r="BI263" s="2304" t="str">
        <f t="shared" si="244"/>
        <v>Rev</v>
      </c>
      <c r="BJ263" s="2305" t="str">
        <f t="shared" si="244"/>
        <v>[Service]</v>
      </c>
      <c r="BK263" s="2306" t="str">
        <f t="shared" si="244"/>
        <v>[Price]</v>
      </c>
      <c r="BL263" s="2307" t="str">
        <f t="shared" ref="BL263:BZ263" si="318">IF(OR(X263="",X263=0),"-",IFERROR((X263/W263-1)*(W263/W$13),"-"))</f>
        <v>-</v>
      </c>
      <c r="BM263" s="1055" t="str">
        <f t="shared" si="318"/>
        <v>-</v>
      </c>
      <c r="BN263" s="1055" t="str">
        <f t="shared" si="318"/>
        <v>-</v>
      </c>
      <c r="BO263" s="2308" t="str">
        <f t="shared" si="318"/>
        <v>-</v>
      </c>
      <c r="BP263" s="1055" t="str">
        <f t="shared" si="318"/>
        <v>-</v>
      </c>
      <c r="BQ263" s="2309" t="str">
        <f t="shared" si="318"/>
        <v>-</v>
      </c>
      <c r="BR263" s="1055" t="str">
        <f t="shared" si="318"/>
        <v>-</v>
      </c>
      <c r="BS263" s="1055" t="str">
        <f t="shared" si="318"/>
        <v>-</v>
      </c>
      <c r="BT263" s="1055" t="str">
        <f t="shared" si="318"/>
        <v>-</v>
      </c>
      <c r="BU263" s="1056" t="str">
        <f t="shared" si="318"/>
        <v>-</v>
      </c>
      <c r="BV263" s="1055" t="str">
        <f t="shared" si="318"/>
        <v>-</v>
      </c>
      <c r="BW263" s="1055" t="str">
        <f t="shared" si="318"/>
        <v>-</v>
      </c>
      <c r="BX263" s="1055" t="str">
        <f t="shared" si="318"/>
        <v>-</v>
      </c>
      <c r="BY263" s="1055" t="str">
        <f t="shared" si="318"/>
        <v>-</v>
      </c>
      <c r="BZ263" s="1056" t="str">
        <f t="shared" si="318"/>
        <v>-</v>
      </c>
    </row>
    <row r="264" spans="3:78" x14ac:dyDescent="0.3">
      <c r="C264" s="126"/>
      <c r="D264" s="126">
        <f>D261+1</f>
        <v>66</v>
      </c>
      <c r="E264" s="553" t="s">
        <v>45</v>
      </c>
      <c r="F264" s="581" t="s">
        <v>28</v>
      </c>
      <c r="G264" s="581"/>
      <c r="H264" s="581"/>
      <c r="I264" s="573" t="s">
        <v>319</v>
      </c>
      <c r="J264" s="573" t="s">
        <v>348</v>
      </c>
      <c r="K264" s="1969"/>
      <c r="L264" s="1970"/>
      <c r="M264" s="1970"/>
      <c r="N264" s="1971"/>
      <c r="O264" s="1970"/>
      <c r="P264" s="1970"/>
      <c r="Q264" s="1970"/>
      <c r="R264" s="1972"/>
      <c r="S264" s="1979"/>
      <c r="T264" s="1972"/>
      <c r="U264" s="1972"/>
      <c r="V264" s="1972"/>
      <c r="W264" s="575"/>
      <c r="X264" s="1238"/>
      <c r="Y264" s="575"/>
      <c r="Z264" s="575"/>
      <c r="AA264" s="575"/>
      <c r="AB264" s="1142"/>
      <c r="AC264" s="575"/>
      <c r="AD264" s="575"/>
      <c r="AE264" s="575"/>
      <c r="AF264" s="575"/>
      <c r="AG264" s="577"/>
      <c r="AH264" s="576"/>
      <c r="AI264" s="575"/>
      <c r="AJ264" s="575"/>
      <c r="AK264" s="575"/>
      <c r="AL264" s="577"/>
      <c r="AN264" s="1052"/>
      <c r="AP264" s="2297" t="str">
        <f t="shared" si="313"/>
        <v>Price</v>
      </c>
      <c r="AQ264" s="2298" t="str">
        <f t="shared" si="313"/>
        <v>[Service]</v>
      </c>
      <c r="AR264" s="1719" t="str">
        <f t="shared" si="314"/>
        <v>[Price]</v>
      </c>
      <c r="AS264" s="2299" t="str">
        <f t="shared" si="305"/>
        <v>-</v>
      </c>
      <c r="AT264" s="1728" t="str">
        <f t="shared" si="305"/>
        <v>-</v>
      </c>
      <c r="AU264" s="1728" t="str">
        <f t="shared" si="305"/>
        <v>-</v>
      </c>
      <c r="AV264" s="2300" t="str">
        <f t="shared" si="305"/>
        <v>-</v>
      </c>
      <c r="AW264" s="1728" t="str">
        <f t="shared" si="305"/>
        <v>-</v>
      </c>
      <c r="AX264" s="2301" t="str">
        <f t="shared" si="305"/>
        <v>-</v>
      </c>
      <c r="AY264" s="1728" t="str">
        <f t="shared" si="305"/>
        <v>-</v>
      </c>
      <c r="AZ264" s="1728" t="str">
        <f t="shared" si="305"/>
        <v>-</v>
      </c>
      <c r="BA264" s="1728" t="str">
        <f t="shared" si="305"/>
        <v>-</v>
      </c>
      <c r="BB264" s="1729" t="str">
        <f t="shared" si="305"/>
        <v>-</v>
      </c>
      <c r="BC264" s="1728" t="str">
        <f t="shared" si="305"/>
        <v>-</v>
      </c>
      <c r="BD264" s="1728" t="str">
        <f t="shared" si="305"/>
        <v>-</v>
      </c>
      <c r="BE264" s="1728" t="str">
        <f t="shared" si="305"/>
        <v>-</v>
      </c>
      <c r="BF264" s="1728" t="str">
        <f t="shared" si="305"/>
        <v>-</v>
      </c>
      <c r="BG264" s="1729" t="str">
        <f t="shared" si="305"/>
        <v>-</v>
      </c>
      <c r="BH264" s="1048"/>
      <c r="BI264" s="2297" t="str">
        <f t="shared" si="244"/>
        <v>Price</v>
      </c>
      <c r="BJ264" s="2298" t="str">
        <f t="shared" si="244"/>
        <v>[Service]</v>
      </c>
      <c r="BK264" s="1719" t="str">
        <f t="shared" si="244"/>
        <v>[Price]</v>
      </c>
      <c r="BL264" s="2299" t="str">
        <f t="shared" ref="BL264:BZ264" si="319">IF(OR(X264="",X264=0),"-",IFERROR((X264/W264-1)*(W266/W$13),"-"))</f>
        <v>-</v>
      </c>
      <c r="BM264" s="1053" t="str">
        <f t="shared" si="319"/>
        <v>-</v>
      </c>
      <c r="BN264" s="1053" t="str">
        <f t="shared" si="319"/>
        <v>-</v>
      </c>
      <c r="BO264" s="2302" t="str">
        <f t="shared" si="319"/>
        <v>-</v>
      </c>
      <c r="BP264" s="1053" t="str">
        <f t="shared" si="319"/>
        <v>-</v>
      </c>
      <c r="BQ264" s="2303" t="str">
        <f t="shared" si="319"/>
        <v>-</v>
      </c>
      <c r="BR264" s="1053" t="str">
        <f t="shared" si="319"/>
        <v>-</v>
      </c>
      <c r="BS264" s="1053" t="str">
        <f t="shared" si="319"/>
        <v>-</v>
      </c>
      <c r="BT264" s="1053" t="str">
        <f t="shared" si="319"/>
        <v>-</v>
      </c>
      <c r="BU264" s="1054" t="str">
        <f t="shared" si="319"/>
        <v>-</v>
      </c>
      <c r="BV264" s="1053" t="str">
        <f t="shared" si="319"/>
        <v>-</v>
      </c>
      <c r="BW264" s="1053" t="str">
        <f t="shared" si="319"/>
        <v>-</v>
      </c>
      <c r="BX264" s="1053" t="str">
        <f t="shared" si="319"/>
        <v>-</v>
      </c>
      <c r="BY264" s="1053" t="str">
        <f t="shared" si="319"/>
        <v>-</v>
      </c>
      <c r="BZ264" s="1054" t="str">
        <f t="shared" si="319"/>
        <v>-</v>
      </c>
    </row>
    <row r="265" spans="3:78" x14ac:dyDescent="0.3">
      <c r="C265" s="126"/>
      <c r="D265" s="126"/>
      <c r="E265" s="558" t="s">
        <v>46</v>
      </c>
      <c r="F265" s="1722" t="str">
        <f>+F264</f>
        <v>[Service]</v>
      </c>
      <c r="G265" s="1724">
        <f>+G264</f>
        <v>0</v>
      </c>
      <c r="H265" s="1724">
        <f>+H264</f>
        <v>0</v>
      </c>
      <c r="I265" s="1725" t="str">
        <f>+I264</f>
        <v>[Price]</v>
      </c>
      <c r="J265" s="574" t="s">
        <v>323</v>
      </c>
      <c r="K265" s="1973"/>
      <c r="L265" s="1974"/>
      <c r="M265" s="1974"/>
      <c r="N265" s="1975"/>
      <c r="O265" s="1974"/>
      <c r="P265" s="1974"/>
      <c r="Q265" s="1974"/>
      <c r="R265" s="1976"/>
      <c r="S265" s="1980"/>
      <c r="T265" s="1976"/>
      <c r="U265" s="1976"/>
      <c r="V265" s="1976"/>
      <c r="W265" s="578"/>
      <c r="X265" s="1239"/>
      <c r="Y265" s="578"/>
      <c r="Z265" s="578"/>
      <c r="AA265" s="578"/>
      <c r="AB265" s="1143"/>
      <c r="AC265" s="578"/>
      <c r="AD265" s="578"/>
      <c r="AE265" s="578"/>
      <c r="AF265" s="578"/>
      <c r="AG265" s="580"/>
      <c r="AH265" s="579"/>
      <c r="AI265" s="578"/>
      <c r="AJ265" s="578"/>
      <c r="AK265" s="578"/>
      <c r="AL265" s="580"/>
      <c r="AN265" s="991"/>
      <c r="AP265" s="2285" t="str">
        <f t="shared" si="313"/>
        <v>Qty</v>
      </c>
      <c r="AQ265" s="2286" t="str">
        <f t="shared" si="313"/>
        <v>[Service]</v>
      </c>
      <c r="AR265" s="2287" t="str">
        <f t="shared" si="314"/>
        <v>[Price]</v>
      </c>
      <c r="AS265" s="2288" t="str">
        <f t="shared" si="305"/>
        <v>-</v>
      </c>
      <c r="AT265" s="1720" t="str">
        <f t="shared" si="305"/>
        <v>-</v>
      </c>
      <c r="AU265" s="1720" t="str">
        <f t="shared" si="305"/>
        <v>-</v>
      </c>
      <c r="AV265" s="2289" t="str">
        <f t="shared" si="305"/>
        <v>-</v>
      </c>
      <c r="AW265" s="1720" t="str">
        <f t="shared" si="305"/>
        <v>-</v>
      </c>
      <c r="AX265" s="2290" t="str">
        <f t="shared" si="305"/>
        <v>-</v>
      </c>
      <c r="AY265" s="1720" t="str">
        <f t="shared" si="305"/>
        <v>-</v>
      </c>
      <c r="AZ265" s="1720" t="str">
        <f t="shared" si="305"/>
        <v>-</v>
      </c>
      <c r="BA265" s="1720" t="str">
        <f t="shared" si="305"/>
        <v>-</v>
      </c>
      <c r="BB265" s="1721" t="str">
        <f t="shared" si="305"/>
        <v>-</v>
      </c>
      <c r="BC265" s="1720" t="str">
        <f t="shared" si="305"/>
        <v>-</v>
      </c>
      <c r="BD265" s="1720" t="str">
        <f t="shared" si="305"/>
        <v>-</v>
      </c>
      <c r="BE265" s="1720" t="str">
        <f t="shared" si="305"/>
        <v>-</v>
      </c>
      <c r="BF265" s="1720" t="str">
        <f t="shared" si="305"/>
        <v>-</v>
      </c>
      <c r="BG265" s="1721" t="str">
        <f t="shared" si="305"/>
        <v>-</v>
      </c>
      <c r="BH265" s="1048"/>
      <c r="BI265" s="2285" t="str">
        <f t="shared" si="244"/>
        <v>Qty</v>
      </c>
      <c r="BJ265" s="2286" t="str">
        <f t="shared" si="244"/>
        <v>[Service]</v>
      </c>
      <c r="BK265" s="2287" t="str">
        <f t="shared" si="244"/>
        <v>[Price]</v>
      </c>
      <c r="BL265" s="2288" t="str">
        <f t="shared" ref="BL265:BZ265" si="320">IF(OR(X265="",X265=0),"-",IFERROR((X265/W265-1)*(W266/W$13),"-"))</f>
        <v>-</v>
      </c>
      <c r="BM265" s="1720" t="str">
        <f t="shared" si="320"/>
        <v>-</v>
      </c>
      <c r="BN265" s="1720" t="str">
        <f t="shared" si="320"/>
        <v>-</v>
      </c>
      <c r="BO265" s="2289" t="str">
        <f t="shared" si="320"/>
        <v>-</v>
      </c>
      <c r="BP265" s="1720" t="str">
        <f t="shared" si="320"/>
        <v>-</v>
      </c>
      <c r="BQ265" s="2290" t="str">
        <f t="shared" si="320"/>
        <v>-</v>
      </c>
      <c r="BR265" s="1720" t="str">
        <f t="shared" si="320"/>
        <v>-</v>
      </c>
      <c r="BS265" s="1720" t="str">
        <f t="shared" si="320"/>
        <v>-</v>
      </c>
      <c r="BT265" s="1720" t="str">
        <f t="shared" si="320"/>
        <v>-</v>
      </c>
      <c r="BU265" s="1721" t="str">
        <f t="shared" si="320"/>
        <v>-</v>
      </c>
      <c r="BV265" s="1720" t="str">
        <f t="shared" si="320"/>
        <v>-</v>
      </c>
      <c r="BW265" s="1720" t="str">
        <f t="shared" si="320"/>
        <v>-</v>
      </c>
      <c r="BX265" s="1720" t="str">
        <f t="shared" si="320"/>
        <v>-</v>
      </c>
      <c r="BY265" s="1720" t="str">
        <f t="shared" si="320"/>
        <v>-</v>
      </c>
      <c r="BZ265" s="1721" t="str">
        <f t="shared" si="320"/>
        <v>-</v>
      </c>
    </row>
    <row r="266" spans="3:78" ht="12.5" thickBot="1" x14ac:dyDescent="0.35">
      <c r="C266" s="126"/>
      <c r="D266" s="126"/>
      <c r="E266" s="559" t="s">
        <v>47</v>
      </c>
      <c r="F266" s="1723" t="str">
        <f>+F264</f>
        <v>[Service]</v>
      </c>
      <c r="G266" s="1726">
        <f>+G264</f>
        <v>0</v>
      </c>
      <c r="H266" s="1726">
        <f>+H264</f>
        <v>0</v>
      </c>
      <c r="I266" s="1727" t="str">
        <f>+I264</f>
        <v>[Price]</v>
      </c>
      <c r="J266" s="556" t="s">
        <v>347</v>
      </c>
      <c r="K266" s="1977"/>
      <c r="L266" s="1206"/>
      <c r="M266" s="1206"/>
      <c r="N266" s="1978"/>
      <c r="O266" s="1206"/>
      <c r="P266" s="1206"/>
      <c r="Q266" s="1206"/>
      <c r="R266" s="1206"/>
      <c r="S266" s="1978"/>
      <c r="T266" s="1206"/>
      <c r="U266" s="1206"/>
      <c r="V266" s="1206"/>
      <c r="W266" s="1731">
        <f t="shared" ref="W266:AG266" si="321">W264*W265/10^6</f>
        <v>0</v>
      </c>
      <c r="X266" s="1730">
        <f t="shared" si="321"/>
        <v>0</v>
      </c>
      <c r="Y266" s="1731">
        <f t="shared" si="321"/>
        <v>0</v>
      </c>
      <c r="Z266" s="1731">
        <f t="shared" si="321"/>
        <v>0</v>
      </c>
      <c r="AA266" s="1731">
        <f t="shared" si="321"/>
        <v>0</v>
      </c>
      <c r="AB266" s="1733">
        <f t="shared" si="321"/>
        <v>0</v>
      </c>
      <c r="AC266" s="1731">
        <f t="shared" si="321"/>
        <v>0</v>
      </c>
      <c r="AD266" s="1731">
        <f t="shared" si="321"/>
        <v>0</v>
      </c>
      <c r="AE266" s="1731">
        <f t="shared" si="321"/>
        <v>0</v>
      </c>
      <c r="AF266" s="1731">
        <f t="shared" si="321"/>
        <v>0</v>
      </c>
      <c r="AG266" s="1733">
        <f t="shared" si="321"/>
        <v>0</v>
      </c>
      <c r="AH266" s="1732">
        <f>AH264*AH265/10^6</f>
        <v>0</v>
      </c>
      <c r="AI266" s="1731">
        <f>AI264*AI265/10^6</f>
        <v>0</v>
      </c>
      <c r="AJ266" s="1731">
        <f>AJ264*AJ265/10^6</f>
        <v>0</v>
      </c>
      <c r="AK266" s="1731">
        <f>AK264*AK265/10^6</f>
        <v>0</v>
      </c>
      <c r="AL266" s="1733">
        <f>AL264*AL265/10^6</f>
        <v>0</v>
      </c>
      <c r="AN266" s="991"/>
      <c r="AP266" s="2304" t="str">
        <f t="shared" si="313"/>
        <v>Rev</v>
      </c>
      <c r="AQ266" s="2305" t="str">
        <f t="shared" si="313"/>
        <v>[Service]</v>
      </c>
      <c r="AR266" s="2306" t="str">
        <f t="shared" si="314"/>
        <v>[Price]</v>
      </c>
      <c r="AS266" s="2307" t="str">
        <f t="shared" si="305"/>
        <v>-</v>
      </c>
      <c r="AT266" s="1055" t="str">
        <f t="shared" si="305"/>
        <v>-</v>
      </c>
      <c r="AU266" s="1055" t="str">
        <f t="shared" si="305"/>
        <v>-</v>
      </c>
      <c r="AV266" s="2308" t="str">
        <f t="shared" si="305"/>
        <v>-</v>
      </c>
      <c r="AW266" s="1055" t="str">
        <f t="shared" si="305"/>
        <v>-</v>
      </c>
      <c r="AX266" s="2309" t="str">
        <f t="shared" si="305"/>
        <v>-</v>
      </c>
      <c r="AY266" s="1055" t="str">
        <f t="shared" si="305"/>
        <v>-</v>
      </c>
      <c r="AZ266" s="1055" t="str">
        <f t="shared" si="305"/>
        <v>-</v>
      </c>
      <c r="BA266" s="1055" t="str">
        <f t="shared" si="305"/>
        <v>-</v>
      </c>
      <c r="BB266" s="1056" t="str">
        <f t="shared" si="305"/>
        <v>-</v>
      </c>
      <c r="BC266" s="1055" t="str">
        <f t="shared" si="305"/>
        <v>-</v>
      </c>
      <c r="BD266" s="1055" t="str">
        <f t="shared" si="305"/>
        <v>-</v>
      </c>
      <c r="BE266" s="1055" t="str">
        <f t="shared" si="305"/>
        <v>-</v>
      </c>
      <c r="BF266" s="1055" t="str">
        <f t="shared" si="305"/>
        <v>-</v>
      </c>
      <c r="BG266" s="1056" t="str">
        <f t="shared" si="305"/>
        <v>-</v>
      </c>
      <c r="BH266" s="1048"/>
      <c r="BI266" s="2304" t="str">
        <f t="shared" si="244"/>
        <v>Rev</v>
      </c>
      <c r="BJ266" s="2305" t="str">
        <f t="shared" si="244"/>
        <v>[Service]</v>
      </c>
      <c r="BK266" s="2306" t="str">
        <f t="shared" si="244"/>
        <v>[Price]</v>
      </c>
      <c r="BL266" s="2307" t="str">
        <f t="shared" ref="BL266:BZ266" si="322">IF(OR(X266="",X266=0),"-",IFERROR((X266/W266-1)*(W266/W$13),"-"))</f>
        <v>-</v>
      </c>
      <c r="BM266" s="1055" t="str">
        <f t="shared" si="322"/>
        <v>-</v>
      </c>
      <c r="BN266" s="1055" t="str">
        <f t="shared" si="322"/>
        <v>-</v>
      </c>
      <c r="BO266" s="2308" t="str">
        <f t="shared" si="322"/>
        <v>-</v>
      </c>
      <c r="BP266" s="1055" t="str">
        <f t="shared" si="322"/>
        <v>-</v>
      </c>
      <c r="BQ266" s="2309" t="str">
        <f t="shared" si="322"/>
        <v>-</v>
      </c>
      <c r="BR266" s="1055" t="str">
        <f t="shared" si="322"/>
        <v>-</v>
      </c>
      <c r="BS266" s="1055" t="str">
        <f t="shared" si="322"/>
        <v>-</v>
      </c>
      <c r="BT266" s="1055" t="str">
        <f t="shared" si="322"/>
        <v>-</v>
      </c>
      <c r="BU266" s="1056" t="str">
        <f t="shared" si="322"/>
        <v>-</v>
      </c>
      <c r="BV266" s="1055" t="str">
        <f t="shared" si="322"/>
        <v>-</v>
      </c>
      <c r="BW266" s="1055" t="str">
        <f t="shared" si="322"/>
        <v>-</v>
      </c>
      <c r="BX266" s="1055" t="str">
        <f t="shared" si="322"/>
        <v>-</v>
      </c>
      <c r="BY266" s="1055" t="str">
        <f t="shared" si="322"/>
        <v>-</v>
      </c>
      <c r="BZ266" s="1056" t="str">
        <f t="shared" si="322"/>
        <v>-</v>
      </c>
    </row>
    <row r="267" spans="3:78" x14ac:dyDescent="0.3">
      <c r="C267" s="126"/>
      <c r="D267" s="126">
        <f>D264+1</f>
        <v>67</v>
      </c>
      <c r="E267" s="553" t="s">
        <v>45</v>
      </c>
      <c r="F267" s="581" t="s">
        <v>28</v>
      </c>
      <c r="G267" s="581"/>
      <c r="H267" s="581"/>
      <c r="I267" s="573" t="s">
        <v>319</v>
      </c>
      <c r="J267" s="573" t="s">
        <v>348</v>
      </c>
      <c r="K267" s="1969"/>
      <c r="L267" s="1970"/>
      <c r="M267" s="1970"/>
      <c r="N267" s="1971"/>
      <c r="O267" s="1970"/>
      <c r="P267" s="1970"/>
      <c r="Q267" s="1970"/>
      <c r="R267" s="1972"/>
      <c r="S267" s="1979"/>
      <c r="T267" s="1972"/>
      <c r="U267" s="1972"/>
      <c r="V267" s="1972"/>
      <c r="W267" s="575"/>
      <c r="X267" s="1238"/>
      <c r="Y267" s="575"/>
      <c r="Z267" s="575"/>
      <c r="AA267" s="575"/>
      <c r="AB267" s="1142"/>
      <c r="AC267" s="575"/>
      <c r="AD267" s="575"/>
      <c r="AE267" s="575"/>
      <c r="AF267" s="575"/>
      <c r="AG267" s="577"/>
      <c r="AH267" s="576"/>
      <c r="AI267" s="575"/>
      <c r="AJ267" s="575"/>
      <c r="AK267" s="575"/>
      <c r="AL267" s="577"/>
      <c r="AN267" s="1052"/>
      <c r="AP267" s="2297" t="str">
        <f t="shared" si="313"/>
        <v>Price</v>
      </c>
      <c r="AQ267" s="2298" t="str">
        <f t="shared" si="313"/>
        <v>[Service]</v>
      </c>
      <c r="AR267" s="1719" t="str">
        <f t="shared" si="314"/>
        <v>[Price]</v>
      </c>
      <c r="AS267" s="2299" t="str">
        <f t="shared" si="305"/>
        <v>-</v>
      </c>
      <c r="AT267" s="1728" t="str">
        <f t="shared" si="305"/>
        <v>-</v>
      </c>
      <c r="AU267" s="1728" t="str">
        <f t="shared" si="305"/>
        <v>-</v>
      </c>
      <c r="AV267" s="2300" t="str">
        <f t="shared" si="305"/>
        <v>-</v>
      </c>
      <c r="AW267" s="1728" t="str">
        <f t="shared" si="305"/>
        <v>-</v>
      </c>
      <c r="AX267" s="2301" t="str">
        <f t="shared" si="305"/>
        <v>-</v>
      </c>
      <c r="AY267" s="1728" t="str">
        <f t="shared" si="305"/>
        <v>-</v>
      </c>
      <c r="AZ267" s="1728" t="str">
        <f t="shared" si="305"/>
        <v>-</v>
      </c>
      <c r="BA267" s="1728" t="str">
        <f t="shared" si="305"/>
        <v>-</v>
      </c>
      <c r="BB267" s="1729" t="str">
        <f t="shared" si="305"/>
        <v>-</v>
      </c>
      <c r="BC267" s="1728" t="str">
        <f t="shared" si="305"/>
        <v>-</v>
      </c>
      <c r="BD267" s="1728" t="str">
        <f t="shared" si="305"/>
        <v>-</v>
      </c>
      <c r="BE267" s="1728" t="str">
        <f t="shared" si="305"/>
        <v>-</v>
      </c>
      <c r="BF267" s="1728" t="str">
        <f t="shared" si="305"/>
        <v>-</v>
      </c>
      <c r="BG267" s="1729" t="str">
        <f t="shared" si="305"/>
        <v>-</v>
      </c>
      <c r="BH267" s="1048"/>
      <c r="BI267" s="2297" t="str">
        <f t="shared" si="244"/>
        <v>Price</v>
      </c>
      <c r="BJ267" s="2298" t="str">
        <f t="shared" si="244"/>
        <v>[Service]</v>
      </c>
      <c r="BK267" s="1719" t="str">
        <f t="shared" si="244"/>
        <v>[Price]</v>
      </c>
      <c r="BL267" s="2299" t="str">
        <f t="shared" ref="BL267:BZ267" si="323">IF(OR(X267="",X267=0),"-",IFERROR((X267/W267-1)*(W269/W$13),"-"))</f>
        <v>-</v>
      </c>
      <c r="BM267" s="1053" t="str">
        <f t="shared" si="323"/>
        <v>-</v>
      </c>
      <c r="BN267" s="1053" t="str">
        <f t="shared" si="323"/>
        <v>-</v>
      </c>
      <c r="BO267" s="2302" t="str">
        <f t="shared" si="323"/>
        <v>-</v>
      </c>
      <c r="BP267" s="1053" t="str">
        <f t="shared" si="323"/>
        <v>-</v>
      </c>
      <c r="BQ267" s="2303" t="str">
        <f t="shared" si="323"/>
        <v>-</v>
      </c>
      <c r="BR267" s="1053" t="str">
        <f t="shared" si="323"/>
        <v>-</v>
      </c>
      <c r="BS267" s="1053" t="str">
        <f t="shared" si="323"/>
        <v>-</v>
      </c>
      <c r="BT267" s="1053" t="str">
        <f t="shared" si="323"/>
        <v>-</v>
      </c>
      <c r="BU267" s="1054" t="str">
        <f t="shared" si="323"/>
        <v>-</v>
      </c>
      <c r="BV267" s="1053" t="str">
        <f t="shared" si="323"/>
        <v>-</v>
      </c>
      <c r="BW267" s="1053" t="str">
        <f t="shared" si="323"/>
        <v>-</v>
      </c>
      <c r="BX267" s="1053" t="str">
        <f t="shared" si="323"/>
        <v>-</v>
      </c>
      <c r="BY267" s="1053" t="str">
        <f t="shared" si="323"/>
        <v>-</v>
      </c>
      <c r="BZ267" s="1054" t="str">
        <f t="shared" si="323"/>
        <v>-</v>
      </c>
    </row>
    <row r="268" spans="3:78" x14ac:dyDescent="0.3">
      <c r="C268" s="126"/>
      <c r="D268" s="126"/>
      <c r="E268" s="558" t="s">
        <v>46</v>
      </c>
      <c r="F268" s="1722" t="str">
        <f>+F267</f>
        <v>[Service]</v>
      </c>
      <c r="G268" s="1724">
        <f>+G267</f>
        <v>0</v>
      </c>
      <c r="H268" s="1724">
        <f>+H267</f>
        <v>0</v>
      </c>
      <c r="I268" s="1725" t="str">
        <f>+I267</f>
        <v>[Price]</v>
      </c>
      <c r="J268" s="574" t="s">
        <v>323</v>
      </c>
      <c r="K268" s="1973"/>
      <c r="L268" s="1974"/>
      <c r="M268" s="1974"/>
      <c r="N268" s="1975"/>
      <c r="O268" s="1974"/>
      <c r="P268" s="1974"/>
      <c r="Q268" s="1974"/>
      <c r="R268" s="1976"/>
      <c r="S268" s="1980"/>
      <c r="T268" s="1976"/>
      <c r="U268" s="1976"/>
      <c r="V268" s="1976"/>
      <c r="W268" s="578"/>
      <c r="X268" s="1239"/>
      <c r="Y268" s="578"/>
      <c r="Z268" s="578"/>
      <c r="AA268" s="578"/>
      <c r="AB268" s="1143"/>
      <c r="AC268" s="578"/>
      <c r="AD268" s="578"/>
      <c r="AE268" s="578"/>
      <c r="AF268" s="578"/>
      <c r="AG268" s="580"/>
      <c r="AH268" s="579"/>
      <c r="AI268" s="578"/>
      <c r="AJ268" s="578"/>
      <c r="AK268" s="578"/>
      <c r="AL268" s="580"/>
      <c r="AN268" s="991"/>
      <c r="AP268" s="2285" t="str">
        <f t="shared" si="313"/>
        <v>Qty</v>
      </c>
      <c r="AQ268" s="2286" t="str">
        <f t="shared" si="313"/>
        <v>[Service]</v>
      </c>
      <c r="AR268" s="2287" t="str">
        <f t="shared" si="314"/>
        <v>[Price]</v>
      </c>
      <c r="AS268" s="2288" t="str">
        <f t="shared" si="305"/>
        <v>-</v>
      </c>
      <c r="AT268" s="1720" t="str">
        <f t="shared" si="305"/>
        <v>-</v>
      </c>
      <c r="AU268" s="1720" t="str">
        <f t="shared" si="305"/>
        <v>-</v>
      </c>
      <c r="AV268" s="2289" t="str">
        <f t="shared" si="305"/>
        <v>-</v>
      </c>
      <c r="AW268" s="1720" t="str">
        <f t="shared" si="305"/>
        <v>-</v>
      </c>
      <c r="AX268" s="2290" t="str">
        <f t="shared" si="305"/>
        <v>-</v>
      </c>
      <c r="AY268" s="1720" t="str">
        <f t="shared" si="305"/>
        <v>-</v>
      </c>
      <c r="AZ268" s="1720" t="str">
        <f t="shared" si="305"/>
        <v>-</v>
      </c>
      <c r="BA268" s="1720" t="str">
        <f t="shared" si="305"/>
        <v>-</v>
      </c>
      <c r="BB268" s="1721" t="str">
        <f t="shared" si="305"/>
        <v>-</v>
      </c>
      <c r="BC268" s="1720" t="str">
        <f t="shared" si="305"/>
        <v>-</v>
      </c>
      <c r="BD268" s="1720" t="str">
        <f t="shared" si="305"/>
        <v>-</v>
      </c>
      <c r="BE268" s="1720" t="str">
        <f t="shared" si="305"/>
        <v>-</v>
      </c>
      <c r="BF268" s="1720" t="str">
        <f t="shared" si="305"/>
        <v>-</v>
      </c>
      <c r="BG268" s="1721" t="str">
        <f t="shared" si="305"/>
        <v>-</v>
      </c>
      <c r="BH268" s="1048"/>
      <c r="BI268" s="2285" t="str">
        <f t="shared" si="244"/>
        <v>Qty</v>
      </c>
      <c r="BJ268" s="2286" t="str">
        <f t="shared" si="244"/>
        <v>[Service]</v>
      </c>
      <c r="BK268" s="2287" t="str">
        <f t="shared" si="244"/>
        <v>[Price]</v>
      </c>
      <c r="BL268" s="2288" t="str">
        <f t="shared" ref="BL268:BZ268" si="324">IF(OR(X268="",X268=0),"-",IFERROR((X268/W268-1)*(W269/W$13),"-"))</f>
        <v>-</v>
      </c>
      <c r="BM268" s="1720" t="str">
        <f t="shared" si="324"/>
        <v>-</v>
      </c>
      <c r="BN268" s="1720" t="str">
        <f t="shared" si="324"/>
        <v>-</v>
      </c>
      <c r="BO268" s="2289" t="str">
        <f t="shared" si="324"/>
        <v>-</v>
      </c>
      <c r="BP268" s="1720" t="str">
        <f t="shared" si="324"/>
        <v>-</v>
      </c>
      <c r="BQ268" s="2290" t="str">
        <f t="shared" si="324"/>
        <v>-</v>
      </c>
      <c r="BR268" s="1720" t="str">
        <f t="shared" si="324"/>
        <v>-</v>
      </c>
      <c r="BS268" s="1720" t="str">
        <f t="shared" si="324"/>
        <v>-</v>
      </c>
      <c r="BT268" s="1720" t="str">
        <f t="shared" si="324"/>
        <v>-</v>
      </c>
      <c r="BU268" s="1721" t="str">
        <f t="shared" si="324"/>
        <v>-</v>
      </c>
      <c r="BV268" s="1720" t="str">
        <f t="shared" si="324"/>
        <v>-</v>
      </c>
      <c r="BW268" s="1720" t="str">
        <f t="shared" si="324"/>
        <v>-</v>
      </c>
      <c r="BX268" s="1720" t="str">
        <f t="shared" si="324"/>
        <v>-</v>
      </c>
      <c r="BY268" s="1720" t="str">
        <f t="shared" si="324"/>
        <v>-</v>
      </c>
      <c r="BZ268" s="1721" t="str">
        <f t="shared" si="324"/>
        <v>-</v>
      </c>
    </row>
    <row r="269" spans="3:78" ht="12.5" thickBot="1" x14ac:dyDescent="0.35">
      <c r="C269" s="126"/>
      <c r="D269" s="126"/>
      <c r="E269" s="559" t="s">
        <v>47</v>
      </c>
      <c r="F269" s="1723" t="str">
        <f>+F267</f>
        <v>[Service]</v>
      </c>
      <c r="G269" s="1726">
        <f>+G267</f>
        <v>0</v>
      </c>
      <c r="H269" s="1726">
        <f>+H267</f>
        <v>0</v>
      </c>
      <c r="I269" s="1727" t="str">
        <f>+I267</f>
        <v>[Price]</v>
      </c>
      <c r="J269" s="556" t="s">
        <v>347</v>
      </c>
      <c r="K269" s="1977"/>
      <c r="L269" s="1206"/>
      <c r="M269" s="1206"/>
      <c r="N269" s="1978"/>
      <c r="O269" s="1206"/>
      <c r="P269" s="1206"/>
      <c r="Q269" s="1206"/>
      <c r="R269" s="1206"/>
      <c r="S269" s="1978"/>
      <c r="T269" s="1206"/>
      <c r="U269" s="1206"/>
      <c r="V269" s="1206"/>
      <c r="W269" s="1731">
        <f t="shared" ref="W269:AG269" si="325">W267*W268/10^6</f>
        <v>0</v>
      </c>
      <c r="X269" s="1730">
        <f t="shared" si="325"/>
        <v>0</v>
      </c>
      <c r="Y269" s="1731">
        <f t="shared" si="325"/>
        <v>0</v>
      </c>
      <c r="Z269" s="1731">
        <f t="shared" si="325"/>
        <v>0</v>
      </c>
      <c r="AA269" s="1731">
        <f t="shared" si="325"/>
        <v>0</v>
      </c>
      <c r="AB269" s="1733">
        <f t="shared" si="325"/>
        <v>0</v>
      </c>
      <c r="AC269" s="1731">
        <f t="shared" si="325"/>
        <v>0</v>
      </c>
      <c r="AD269" s="1731">
        <f t="shared" si="325"/>
        <v>0</v>
      </c>
      <c r="AE269" s="1731">
        <f t="shared" si="325"/>
        <v>0</v>
      </c>
      <c r="AF269" s="1731">
        <f t="shared" si="325"/>
        <v>0</v>
      </c>
      <c r="AG269" s="1733">
        <f t="shared" si="325"/>
        <v>0</v>
      </c>
      <c r="AH269" s="1732">
        <f>AH267*AH268/10^6</f>
        <v>0</v>
      </c>
      <c r="AI269" s="1731">
        <f>AI267*AI268/10^6</f>
        <v>0</v>
      </c>
      <c r="AJ269" s="1731">
        <f>AJ267*AJ268/10^6</f>
        <v>0</v>
      </c>
      <c r="AK269" s="1731">
        <f>AK267*AK268/10^6</f>
        <v>0</v>
      </c>
      <c r="AL269" s="1733">
        <f>AL267*AL268/10^6</f>
        <v>0</v>
      </c>
      <c r="AN269" s="991"/>
      <c r="AP269" s="2304" t="str">
        <f t="shared" si="313"/>
        <v>Rev</v>
      </c>
      <c r="AQ269" s="2305" t="str">
        <f t="shared" si="313"/>
        <v>[Service]</v>
      </c>
      <c r="AR269" s="2306" t="str">
        <f t="shared" si="314"/>
        <v>[Price]</v>
      </c>
      <c r="AS269" s="2307" t="str">
        <f t="shared" si="305"/>
        <v>-</v>
      </c>
      <c r="AT269" s="1055" t="str">
        <f t="shared" si="305"/>
        <v>-</v>
      </c>
      <c r="AU269" s="1055" t="str">
        <f t="shared" si="305"/>
        <v>-</v>
      </c>
      <c r="AV269" s="2308" t="str">
        <f t="shared" si="305"/>
        <v>-</v>
      </c>
      <c r="AW269" s="1055" t="str">
        <f t="shared" si="305"/>
        <v>-</v>
      </c>
      <c r="AX269" s="2309" t="str">
        <f t="shared" si="305"/>
        <v>-</v>
      </c>
      <c r="AY269" s="1055" t="str">
        <f t="shared" si="305"/>
        <v>-</v>
      </c>
      <c r="AZ269" s="1055" t="str">
        <f t="shared" si="305"/>
        <v>-</v>
      </c>
      <c r="BA269" s="1055" t="str">
        <f t="shared" si="305"/>
        <v>-</v>
      </c>
      <c r="BB269" s="1056" t="str">
        <f t="shared" si="305"/>
        <v>-</v>
      </c>
      <c r="BC269" s="1055" t="str">
        <f t="shared" si="305"/>
        <v>-</v>
      </c>
      <c r="BD269" s="1055" t="str">
        <f t="shared" si="305"/>
        <v>-</v>
      </c>
      <c r="BE269" s="1055" t="str">
        <f t="shared" si="305"/>
        <v>-</v>
      </c>
      <c r="BF269" s="1055" t="str">
        <f t="shared" si="305"/>
        <v>-</v>
      </c>
      <c r="BG269" s="1056" t="str">
        <f t="shared" si="305"/>
        <v>-</v>
      </c>
      <c r="BH269" s="1048"/>
      <c r="BI269" s="2304" t="str">
        <f t="shared" si="244"/>
        <v>Rev</v>
      </c>
      <c r="BJ269" s="2305" t="str">
        <f t="shared" si="244"/>
        <v>[Service]</v>
      </c>
      <c r="BK269" s="2306" t="str">
        <f t="shared" si="244"/>
        <v>[Price]</v>
      </c>
      <c r="BL269" s="2307" t="str">
        <f t="shared" ref="BL269:BZ269" si="326">IF(OR(X269="",X269=0),"-",IFERROR((X269/W269-1)*(W269/W$13),"-"))</f>
        <v>-</v>
      </c>
      <c r="BM269" s="1055" t="str">
        <f t="shared" si="326"/>
        <v>-</v>
      </c>
      <c r="BN269" s="1055" t="str">
        <f t="shared" si="326"/>
        <v>-</v>
      </c>
      <c r="BO269" s="2308" t="str">
        <f t="shared" si="326"/>
        <v>-</v>
      </c>
      <c r="BP269" s="1055" t="str">
        <f t="shared" si="326"/>
        <v>-</v>
      </c>
      <c r="BQ269" s="2309" t="str">
        <f t="shared" si="326"/>
        <v>-</v>
      </c>
      <c r="BR269" s="1055" t="str">
        <f t="shared" si="326"/>
        <v>-</v>
      </c>
      <c r="BS269" s="1055" t="str">
        <f t="shared" si="326"/>
        <v>-</v>
      </c>
      <c r="BT269" s="1055" t="str">
        <f t="shared" si="326"/>
        <v>-</v>
      </c>
      <c r="BU269" s="1056" t="str">
        <f t="shared" si="326"/>
        <v>-</v>
      </c>
      <c r="BV269" s="1055" t="str">
        <f t="shared" si="326"/>
        <v>-</v>
      </c>
      <c r="BW269" s="1055" t="str">
        <f t="shared" si="326"/>
        <v>-</v>
      </c>
      <c r="BX269" s="1055" t="str">
        <f t="shared" si="326"/>
        <v>-</v>
      </c>
      <c r="BY269" s="1055" t="str">
        <f t="shared" si="326"/>
        <v>-</v>
      </c>
      <c r="BZ269" s="1056" t="str">
        <f t="shared" si="326"/>
        <v>-</v>
      </c>
    </row>
    <row r="270" spans="3:78" x14ac:dyDescent="0.3">
      <c r="C270" s="126"/>
      <c r="D270" s="126">
        <f>D267+1</f>
        <v>68</v>
      </c>
      <c r="E270" s="553" t="s">
        <v>45</v>
      </c>
      <c r="F270" s="581" t="s">
        <v>28</v>
      </c>
      <c r="G270" s="581"/>
      <c r="H270" s="581"/>
      <c r="I270" s="573" t="s">
        <v>319</v>
      </c>
      <c r="J270" s="573" t="s">
        <v>348</v>
      </c>
      <c r="K270" s="1969"/>
      <c r="L270" s="1970"/>
      <c r="M270" s="1970"/>
      <c r="N270" s="1971"/>
      <c r="O270" s="1970"/>
      <c r="P270" s="1970"/>
      <c r="Q270" s="1970"/>
      <c r="R270" s="1972"/>
      <c r="S270" s="1979"/>
      <c r="T270" s="1972"/>
      <c r="U270" s="1972"/>
      <c r="V270" s="1972"/>
      <c r="W270" s="575"/>
      <c r="X270" s="1238"/>
      <c r="Y270" s="575"/>
      <c r="Z270" s="575"/>
      <c r="AA270" s="575"/>
      <c r="AB270" s="1142"/>
      <c r="AC270" s="575"/>
      <c r="AD270" s="575"/>
      <c r="AE270" s="575"/>
      <c r="AF270" s="575"/>
      <c r="AG270" s="577"/>
      <c r="AH270" s="576"/>
      <c r="AI270" s="575"/>
      <c r="AJ270" s="575"/>
      <c r="AK270" s="575"/>
      <c r="AL270" s="577"/>
      <c r="AN270" s="1052"/>
      <c r="AP270" s="2297" t="str">
        <f t="shared" si="313"/>
        <v>Price</v>
      </c>
      <c r="AQ270" s="2298" t="str">
        <f t="shared" si="313"/>
        <v>[Service]</v>
      </c>
      <c r="AR270" s="1719" t="str">
        <f t="shared" si="314"/>
        <v>[Price]</v>
      </c>
      <c r="AS270" s="2299" t="str">
        <f t="shared" si="305"/>
        <v>-</v>
      </c>
      <c r="AT270" s="1728" t="str">
        <f t="shared" si="305"/>
        <v>-</v>
      </c>
      <c r="AU270" s="1728" t="str">
        <f t="shared" si="305"/>
        <v>-</v>
      </c>
      <c r="AV270" s="2300" t="str">
        <f t="shared" si="305"/>
        <v>-</v>
      </c>
      <c r="AW270" s="1728" t="str">
        <f t="shared" si="305"/>
        <v>-</v>
      </c>
      <c r="AX270" s="2301" t="str">
        <f t="shared" si="305"/>
        <v>-</v>
      </c>
      <c r="AY270" s="1728" t="str">
        <f t="shared" si="305"/>
        <v>-</v>
      </c>
      <c r="AZ270" s="1728" t="str">
        <f t="shared" si="305"/>
        <v>-</v>
      </c>
      <c r="BA270" s="1728" t="str">
        <f t="shared" si="305"/>
        <v>-</v>
      </c>
      <c r="BB270" s="1729" t="str">
        <f t="shared" si="305"/>
        <v>-</v>
      </c>
      <c r="BC270" s="1728" t="str">
        <f t="shared" si="305"/>
        <v>-</v>
      </c>
      <c r="BD270" s="1728" t="str">
        <f t="shared" si="305"/>
        <v>-</v>
      </c>
      <c r="BE270" s="1728" t="str">
        <f t="shared" si="305"/>
        <v>-</v>
      </c>
      <c r="BF270" s="1728" t="str">
        <f t="shared" si="305"/>
        <v>-</v>
      </c>
      <c r="BG270" s="1729" t="str">
        <f t="shared" si="305"/>
        <v>-</v>
      </c>
      <c r="BH270" s="1048"/>
      <c r="BI270" s="2297" t="str">
        <f t="shared" si="244"/>
        <v>Price</v>
      </c>
      <c r="BJ270" s="2298" t="str">
        <f t="shared" si="244"/>
        <v>[Service]</v>
      </c>
      <c r="BK270" s="1719" t="str">
        <f t="shared" si="244"/>
        <v>[Price]</v>
      </c>
      <c r="BL270" s="2299" t="str">
        <f t="shared" ref="BL270:BZ270" si="327">IF(OR(X270="",X270=0),"-",IFERROR((X270/W270-1)*(W272/W$13),"-"))</f>
        <v>-</v>
      </c>
      <c r="BM270" s="1053" t="str">
        <f t="shared" si="327"/>
        <v>-</v>
      </c>
      <c r="BN270" s="1053" t="str">
        <f t="shared" si="327"/>
        <v>-</v>
      </c>
      <c r="BO270" s="2302" t="str">
        <f t="shared" si="327"/>
        <v>-</v>
      </c>
      <c r="BP270" s="1053" t="str">
        <f t="shared" si="327"/>
        <v>-</v>
      </c>
      <c r="BQ270" s="2303" t="str">
        <f t="shared" si="327"/>
        <v>-</v>
      </c>
      <c r="BR270" s="1053" t="str">
        <f t="shared" si="327"/>
        <v>-</v>
      </c>
      <c r="BS270" s="1053" t="str">
        <f t="shared" si="327"/>
        <v>-</v>
      </c>
      <c r="BT270" s="1053" t="str">
        <f t="shared" si="327"/>
        <v>-</v>
      </c>
      <c r="BU270" s="1054" t="str">
        <f t="shared" si="327"/>
        <v>-</v>
      </c>
      <c r="BV270" s="1053" t="str">
        <f t="shared" si="327"/>
        <v>-</v>
      </c>
      <c r="BW270" s="1053" t="str">
        <f t="shared" si="327"/>
        <v>-</v>
      </c>
      <c r="BX270" s="1053" t="str">
        <f t="shared" si="327"/>
        <v>-</v>
      </c>
      <c r="BY270" s="1053" t="str">
        <f t="shared" si="327"/>
        <v>-</v>
      </c>
      <c r="BZ270" s="1054" t="str">
        <f t="shared" si="327"/>
        <v>-</v>
      </c>
    </row>
    <row r="271" spans="3:78" x14ac:dyDescent="0.3">
      <c r="C271" s="126"/>
      <c r="D271" s="126"/>
      <c r="E271" s="558" t="s">
        <v>46</v>
      </c>
      <c r="F271" s="1722" t="str">
        <f>+F270</f>
        <v>[Service]</v>
      </c>
      <c r="G271" s="1724">
        <f>+G270</f>
        <v>0</v>
      </c>
      <c r="H271" s="1724">
        <f>+H270</f>
        <v>0</v>
      </c>
      <c r="I271" s="1725" t="str">
        <f>+I270</f>
        <v>[Price]</v>
      </c>
      <c r="J271" s="574" t="s">
        <v>323</v>
      </c>
      <c r="K271" s="1973"/>
      <c r="L271" s="1974"/>
      <c r="M271" s="1974"/>
      <c r="N271" s="1975"/>
      <c r="O271" s="1974"/>
      <c r="P271" s="1974"/>
      <c r="Q271" s="1974"/>
      <c r="R271" s="1976"/>
      <c r="S271" s="1980"/>
      <c r="T271" s="1976"/>
      <c r="U271" s="1976"/>
      <c r="V271" s="1976"/>
      <c r="W271" s="578"/>
      <c r="X271" s="1239"/>
      <c r="Y271" s="578"/>
      <c r="Z271" s="578"/>
      <c r="AA271" s="578"/>
      <c r="AB271" s="1143"/>
      <c r="AC271" s="578"/>
      <c r="AD271" s="578"/>
      <c r="AE271" s="578"/>
      <c r="AF271" s="578"/>
      <c r="AG271" s="580"/>
      <c r="AH271" s="579"/>
      <c r="AI271" s="578"/>
      <c r="AJ271" s="578"/>
      <c r="AK271" s="578"/>
      <c r="AL271" s="580"/>
      <c r="AN271" s="991"/>
      <c r="AP271" s="2285" t="str">
        <f t="shared" si="313"/>
        <v>Qty</v>
      </c>
      <c r="AQ271" s="2286" t="str">
        <f t="shared" si="313"/>
        <v>[Service]</v>
      </c>
      <c r="AR271" s="2287" t="str">
        <f t="shared" si="314"/>
        <v>[Price]</v>
      </c>
      <c r="AS271" s="2288" t="str">
        <f t="shared" si="305"/>
        <v>-</v>
      </c>
      <c r="AT271" s="1720" t="str">
        <f t="shared" si="305"/>
        <v>-</v>
      </c>
      <c r="AU271" s="1720" t="str">
        <f t="shared" si="305"/>
        <v>-</v>
      </c>
      <c r="AV271" s="2289" t="str">
        <f t="shared" si="305"/>
        <v>-</v>
      </c>
      <c r="AW271" s="1720" t="str">
        <f t="shared" si="305"/>
        <v>-</v>
      </c>
      <c r="AX271" s="2290" t="str">
        <f t="shared" si="305"/>
        <v>-</v>
      </c>
      <c r="AY271" s="1720" t="str">
        <f t="shared" si="305"/>
        <v>-</v>
      </c>
      <c r="AZ271" s="1720" t="str">
        <f t="shared" si="305"/>
        <v>-</v>
      </c>
      <c r="BA271" s="1720" t="str">
        <f t="shared" si="305"/>
        <v>-</v>
      </c>
      <c r="BB271" s="1721" t="str">
        <f t="shared" si="305"/>
        <v>-</v>
      </c>
      <c r="BC271" s="1720" t="str">
        <f t="shared" si="305"/>
        <v>-</v>
      </c>
      <c r="BD271" s="1720" t="str">
        <f t="shared" si="305"/>
        <v>-</v>
      </c>
      <c r="BE271" s="1720" t="str">
        <f t="shared" si="305"/>
        <v>-</v>
      </c>
      <c r="BF271" s="1720" t="str">
        <f t="shared" si="305"/>
        <v>-</v>
      </c>
      <c r="BG271" s="1721" t="str">
        <f t="shared" si="305"/>
        <v>-</v>
      </c>
      <c r="BH271" s="1048"/>
      <c r="BI271" s="2285" t="str">
        <f t="shared" si="244"/>
        <v>Qty</v>
      </c>
      <c r="BJ271" s="2286" t="str">
        <f t="shared" si="244"/>
        <v>[Service]</v>
      </c>
      <c r="BK271" s="2287" t="str">
        <f t="shared" si="244"/>
        <v>[Price]</v>
      </c>
      <c r="BL271" s="2288" t="str">
        <f t="shared" ref="BL271:BZ271" si="328">IF(OR(X271="",X271=0),"-",IFERROR((X271/W271-1)*(W272/W$13),"-"))</f>
        <v>-</v>
      </c>
      <c r="BM271" s="1720" t="str">
        <f t="shared" si="328"/>
        <v>-</v>
      </c>
      <c r="BN271" s="1720" t="str">
        <f t="shared" si="328"/>
        <v>-</v>
      </c>
      <c r="BO271" s="2289" t="str">
        <f t="shared" si="328"/>
        <v>-</v>
      </c>
      <c r="BP271" s="1720" t="str">
        <f t="shared" si="328"/>
        <v>-</v>
      </c>
      <c r="BQ271" s="2290" t="str">
        <f t="shared" si="328"/>
        <v>-</v>
      </c>
      <c r="BR271" s="1720" t="str">
        <f t="shared" si="328"/>
        <v>-</v>
      </c>
      <c r="BS271" s="1720" t="str">
        <f t="shared" si="328"/>
        <v>-</v>
      </c>
      <c r="BT271" s="1720" t="str">
        <f t="shared" si="328"/>
        <v>-</v>
      </c>
      <c r="BU271" s="1721" t="str">
        <f t="shared" si="328"/>
        <v>-</v>
      </c>
      <c r="BV271" s="1720" t="str">
        <f t="shared" si="328"/>
        <v>-</v>
      </c>
      <c r="BW271" s="1720" t="str">
        <f t="shared" si="328"/>
        <v>-</v>
      </c>
      <c r="BX271" s="1720" t="str">
        <f t="shared" si="328"/>
        <v>-</v>
      </c>
      <c r="BY271" s="1720" t="str">
        <f t="shared" si="328"/>
        <v>-</v>
      </c>
      <c r="BZ271" s="1721" t="str">
        <f t="shared" si="328"/>
        <v>-</v>
      </c>
    </row>
    <row r="272" spans="3:78" ht="12.5" thickBot="1" x14ac:dyDescent="0.35">
      <c r="C272" s="126"/>
      <c r="D272" s="126"/>
      <c r="E272" s="559" t="s">
        <v>47</v>
      </c>
      <c r="F272" s="1723" t="str">
        <f>+F270</f>
        <v>[Service]</v>
      </c>
      <c r="G272" s="1726">
        <f>+G270</f>
        <v>0</v>
      </c>
      <c r="H272" s="1726">
        <f>+H270</f>
        <v>0</v>
      </c>
      <c r="I272" s="1727" t="str">
        <f>+I270</f>
        <v>[Price]</v>
      </c>
      <c r="J272" s="556" t="s">
        <v>347</v>
      </c>
      <c r="K272" s="1977"/>
      <c r="L272" s="1206"/>
      <c r="M272" s="1206"/>
      <c r="N272" s="1978"/>
      <c r="O272" s="1206"/>
      <c r="P272" s="1206"/>
      <c r="Q272" s="1206"/>
      <c r="R272" s="1206"/>
      <c r="S272" s="1978"/>
      <c r="T272" s="1206"/>
      <c r="U272" s="1206"/>
      <c r="V272" s="1206"/>
      <c r="W272" s="1731">
        <f t="shared" ref="W272:AG272" si="329">W270*W271/10^6</f>
        <v>0</v>
      </c>
      <c r="X272" s="1730">
        <f t="shared" si="329"/>
        <v>0</v>
      </c>
      <c r="Y272" s="1731">
        <f t="shared" si="329"/>
        <v>0</v>
      </c>
      <c r="Z272" s="1731">
        <f t="shared" si="329"/>
        <v>0</v>
      </c>
      <c r="AA272" s="1731">
        <f t="shared" si="329"/>
        <v>0</v>
      </c>
      <c r="AB272" s="1733">
        <f t="shared" si="329"/>
        <v>0</v>
      </c>
      <c r="AC272" s="1731">
        <f t="shared" si="329"/>
        <v>0</v>
      </c>
      <c r="AD272" s="1731">
        <f t="shared" si="329"/>
        <v>0</v>
      </c>
      <c r="AE272" s="1731">
        <f t="shared" si="329"/>
        <v>0</v>
      </c>
      <c r="AF272" s="1731">
        <f t="shared" si="329"/>
        <v>0</v>
      </c>
      <c r="AG272" s="1733">
        <f t="shared" si="329"/>
        <v>0</v>
      </c>
      <c r="AH272" s="1732">
        <f>AH270*AH271/10^6</f>
        <v>0</v>
      </c>
      <c r="AI272" s="1731">
        <f>AI270*AI271/10^6</f>
        <v>0</v>
      </c>
      <c r="AJ272" s="1731">
        <f>AJ270*AJ271/10^6</f>
        <v>0</v>
      </c>
      <c r="AK272" s="1731">
        <f>AK270*AK271/10^6</f>
        <v>0</v>
      </c>
      <c r="AL272" s="1733">
        <f>AL270*AL271/10^6</f>
        <v>0</v>
      </c>
      <c r="AN272" s="991"/>
      <c r="AP272" s="2304" t="str">
        <f t="shared" si="313"/>
        <v>Rev</v>
      </c>
      <c r="AQ272" s="2305" t="str">
        <f t="shared" si="313"/>
        <v>[Service]</v>
      </c>
      <c r="AR272" s="2306" t="str">
        <f t="shared" si="314"/>
        <v>[Price]</v>
      </c>
      <c r="AS272" s="2307" t="str">
        <f t="shared" si="305"/>
        <v>-</v>
      </c>
      <c r="AT272" s="1055" t="str">
        <f t="shared" si="305"/>
        <v>-</v>
      </c>
      <c r="AU272" s="1055" t="str">
        <f t="shared" si="305"/>
        <v>-</v>
      </c>
      <c r="AV272" s="2308" t="str">
        <f t="shared" si="305"/>
        <v>-</v>
      </c>
      <c r="AW272" s="1055" t="str">
        <f t="shared" si="305"/>
        <v>-</v>
      </c>
      <c r="AX272" s="2309" t="str">
        <f t="shared" si="305"/>
        <v>-</v>
      </c>
      <c r="AY272" s="1055" t="str">
        <f t="shared" si="305"/>
        <v>-</v>
      </c>
      <c r="AZ272" s="1055" t="str">
        <f t="shared" si="305"/>
        <v>-</v>
      </c>
      <c r="BA272" s="1055" t="str">
        <f t="shared" si="305"/>
        <v>-</v>
      </c>
      <c r="BB272" s="1056" t="str">
        <f t="shared" si="305"/>
        <v>-</v>
      </c>
      <c r="BC272" s="1055" t="str">
        <f t="shared" si="305"/>
        <v>-</v>
      </c>
      <c r="BD272" s="1055" t="str">
        <f t="shared" si="305"/>
        <v>-</v>
      </c>
      <c r="BE272" s="1055" t="str">
        <f t="shared" si="305"/>
        <v>-</v>
      </c>
      <c r="BF272" s="1055" t="str">
        <f t="shared" si="305"/>
        <v>-</v>
      </c>
      <c r="BG272" s="1056" t="str">
        <f t="shared" si="305"/>
        <v>-</v>
      </c>
      <c r="BH272" s="1048"/>
      <c r="BI272" s="2304" t="str">
        <f t="shared" si="244"/>
        <v>Rev</v>
      </c>
      <c r="BJ272" s="2305" t="str">
        <f t="shared" si="244"/>
        <v>[Service]</v>
      </c>
      <c r="BK272" s="2306" t="str">
        <f t="shared" si="244"/>
        <v>[Price]</v>
      </c>
      <c r="BL272" s="2307" t="str">
        <f t="shared" ref="BL272:BZ272" si="330">IF(OR(X272="",X272=0),"-",IFERROR((X272/W272-1)*(W272/W$13),"-"))</f>
        <v>-</v>
      </c>
      <c r="BM272" s="1055" t="str">
        <f t="shared" si="330"/>
        <v>-</v>
      </c>
      <c r="BN272" s="1055" t="str">
        <f t="shared" si="330"/>
        <v>-</v>
      </c>
      <c r="BO272" s="2308" t="str">
        <f t="shared" si="330"/>
        <v>-</v>
      </c>
      <c r="BP272" s="1055" t="str">
        <f t="shared" si="330"/>
        <v>-</v>
      </c>
      <c r="BQ272" s="2309" t="str">
        <f t="shared" si="330"/>
        <v>-</v>
      </c>
      <c r="BR272" s="1055" t="str">
        <f t="shared" si="330"/>
        <v>-</v>
      </c>
      <c r="BS272" s="1055" t="str">
        <f t="shared" si="330"/>
        <v>-</v>
      </c>
      <c r="BT272" s="1055" t="str">
        <f t="shared" si="330"/>
        <v>-</v>
      </c>
      <c r="BU272" s="1056" t="str">
        <f t="shared" si="330"/>
        <v>-</v>
      </c>
      <c r="BV272" s="1055" t="str">
        <f t="shared" si="330"/>
        <v>-</v>
      </c>
      <c r="BW272" s="1055" t="str">
        <f t="shared" si="330"/>
        <v>-</v>
      </c>
      <c r="BX272" s="1055" t="str">
        <f t="shared" si="330"/>
        <v>-</v>
      </c>
      <c r="BY272" s="1055" t="str">
        <f t="shared" si="330"/>
        <v>-</v>
      </c>
      <c r="BZ272" s="1056" t="str">
        <f t="shared" si="330"/>
        <v>-</v>
      </c>
    </row>
    <row r="273" spans="3:78" x14ac:dyDescent="0.3">
      <c r="C273" s="126"/>
      <c r="D273" s="126">
        <f>D270+1</f>
        <v>69</v>
      </c>
      <c r="E273" s="553" t="s">
        <v>45</v>
      </c>
      <c r="F273" s="581" t="s">
        <v>28</v>
      </c>
      <c r="G273" s="581"/>
      <c r="H273" s="581"/>
      <c r="I273" s="573" t="s">
        <v>319</v>
      </c>
      <c r="J273" s="573" t="s">
        <v>348</v>
      </c>
      <c r="K273" s="1969"/>
      <c r="L273" s="1970"/>
      <c r="M273" s="1970"/>
      <c r="N273" s="1971"/>
      <c r="O273" s="1970"/>
      <c r="P273" s="1970"/>
      <c r="Q273" s="1970"/>
      <c r="R273" s="1972"/>
      <c r="S273" s="1979"/>
      <c r="T273" s="1972"/>
      <c r="U273" s="1972"/>
      <c r="V273" s="1972"/>
      <c r="W273" s="575"/>
      <c r="X273" s="1238"/>
      <c r="Y273" s="575"/>
      <c r="Z273" s="575"/>
      <c r="AA273" s="575"/>
      <c r="AB273" s="1142"/>
      <c r="AC273" s="575"/>
      <c r="AD273" s="575"/>
      <c r="AE273" s="575"/>
      <c r="AF273" s="575"/>
      <c r="AG273" s="577"/>
      <c r="AH273" s="576"/>
      <c r="AI273" s="575"/>
      <c r="AJ273" s="575"/>
      <c r="AK273" s="575"/>
      <c r="AL273" s="577"/>
      <c r="AN273" s="1052"/>
      <c r="AP273" s="2297" t="str">
        <f t="shared" si="313"/>
        <v>Price</v>
      </c>
      <c r="AQ273" s="2298" t="str">
        <f t="shared" si="313"/>
        <v>[Service]</v>
      </c>
      <c r="AR273" s="1719" t="str">
        <f t="shared" si="314"/>
        <v>[Price]</v>
      </c>
      <c r="AS273" s="2299" t="str">
        <f t="shared" ref="AS273:BG289" si="331">IF(OR(X273="",X273=0),"-",IFERROR(X273/W273-1,"-"))</f>
        <v>-</v>
      </c>
      <c r="AT273" s="1728" t="str">
        <f t="shared" si="331"/>
        <v>-</v>
      </c>
      <c r="AU273" s="1728" t="str">
        <f t="shared" si="331"/>
        <v>-</v>
      </c>
      <c r="AV273" s="2300" t="str">
        <f t="shared" si="331"/>
        <v>-</v>
      </c>
      <c r="AW273" s="1728" t="str">
        <f t="shared" si="331"/>
        <v>-</v>
      </c>
      <c r="AX273" s="2301" t="str">
        <f t="shared" si="331"/>
        <v>-</v>
      </c>
      <c r="AY273" s="1728" t="str">
        <f t="shared" si="331"/>
        <v>-</v>
      </c>
      <c r="AZ273" s="1728" t="str">
        <f t="shared" si="331"/>
        <v>-</v>
      </c>
      <c r="BA273" s="1728" t="str">
        <f t="shared" si="331"/>
        <v>-</v>
      </c>
      <c r="BB273" s="1729" t="str">
        <f t="shared" si="331"/>
        <v>-</v>
      </c>
      <c r="BC273" s="1728" t="str">
        <f t="shared" si="331"/>
        <v>-</v>
      </c>
      <c r="BD273" s="1728" t="str">
        <f t="shared" si="331"/>
        <v>-</v>
      </c>
      <c r="BE273" s="1728" t="str">
        <f t="shared" si="331"/>
        <v>-</v>
      </c>
      <c r="BF273" s="1728" t="str">
        <f t="shared" si="331"/>
        <v>-</v>
      </c>
      <c r="BG273" s="1729" t="str">
        <f t="shared" si="331"/>
        <v>-</v>
      </c>
      <c r="BH273" s="1048"/>
      <c r="BI273" s="2297" t="str">
        <f t="shared" si="244"/>
        <v>Price</v>
      </c>
      <c r="BJ273" s="2298" t="str">
        <f t="shared" si="244"/>
        <v>[Service]</v>
      </c>
      <c r="BK273" s="1719" t="str">
        <f t="shared" si="244"/>
        <v>[Price]</v>
      </c>
      <c r="BL273" s="2299" t="str">
        <f t="shared" ref="BL273:BZ273" si="332">IF(OR(X273="",X273=0),"-",IFERROR((X273/W273-1)*(W275/W$13),"-"))</f>
        <v>-</v>
      </c>
      <c r="BM273" s="1053" t="str">
        <f t="shared" si="332"/>
        <v>-</v>
      </c>
      <c r="BN273" s="1053" t="str">
        <f t="shared" si="332"/>
        <v>-</v>
      </c>
      <c r="BO273" s="2302" t="str">
        <f t="shared" si="332"/>
        <v>-</v>
      </c>
      <c r="BP273" s="1053" t="str">
        <f t="shared" si="332"/>
        <v>-</v>
      </c>
      <c r="BQ273" s="2303" t="str">
        <f t="shared" si="332"/>
        <v>-</v>
      </c>
      <c r="BR273" s="1053" t="str">
        <f t="shared" si="332"/>
        <v>-</v>
      </c>
      <c r="BS273" s="1053" t="str">
        <f t="shared" si="332"/>
        <v>-</v>
      </c>
      <c r="BT273" s="1053" t="str">
        <f t="shared" si="332"/>
        <v>-</v>
      </c>
      <c r="BU273" s="1054" t="str">
        <f t="shared" si="332"/>
        <v>-</v>
      </c>
      <c r="BV273" s="1053" t="str">
        <f t="shared" si="332"/>
        <v>-</v>
      </c>
      <c r="BW273" s="1053" t="str">
        <f t="shared" si="332"/>
        <v>-</v>
      </c>
      <c r="BX273" s="1053" t="str">
        <f t="shared" si="332"/>
        <v>-</v>
      </c>
      <c r="BY273" s="1053" t="str">
        <f t="shared" si="332"/>
        <v>-</v>
      </c>
      <c r="BZ273" s="1054" t="str">
        <f t="shared" si="332"/>
        <v>-</v>
      </c>
    </row>
    <row r="274" spans="3:78" x14ac:dyDescent="0.3">
      <c r="C274" s="126"/>
      <c r="D274" s="126"/>
      <c r="E274" s="558" t="s">
        <v>46</v>
      </c>
      <c r="F274" s="1722" t="str">
        <f>+F273</f>
        <v>[Service]</v>
      </c>
      <c r="G274" s="1724">
        <f>+G273</f>
        <v>0</v>
      </c>
      <c r="H274" s="1724">
        <f>+H273</f>
        <v>0</v>
      </c>
      <c r="I274" s="1725" t="str">
        <f>+I273</f>
        <v>[Price]</v>
      </c>
      <c r="J274" s="574" t="s">
        <v>323</v>
      </c>
      <c r="K274" s="1973"/>
      <c r="L274" s="1974"/>
      <c r="M274" s="1974"/>
      <c r="N274" s="1975"/>
      <c r="O274" s="1974"/>
      <c r="P274" s="1974"/>
      <c r="Q274" s="1974"/>
      <c r="R274" s="1976"/>
      <c r="S274" s="1980"/>
      <c r="T274" s="1976"/>
      <c r="U274" s="1976"/>
      <c r="V274" s="1976"/>
      <c r="W274" s="578"/>
      <c r="X274" s="1239"/>
      <c r="Y274" s="578"/>
      <c r="Z274" s="578"/>
      <c r="AA274" s="578"/>
      <c r="AB274" s="1143"/>
      <c r="AC274" s="578"/>
      <c r="AD274" s="578"/>
      <c r="AE274" s="578"/>
      <c r="AF274" s="578"/>
      <c r="AG274" s="580"/>
      <c r="AH274" s="579"/>
      <c r="AI274" s="578"/>
      <c r="AJ274" s="578"/>
      <c r="AK274" s="578"/>
      <c r="AL274" s="580"/>
      <c r="AN274" s="991"/>
      <c r="AP274" s="2285" t="str">
        <f t="shared" si="313"/>
        <v>Qty</v>
      </c>
      <c r="AQ274" s="2286" t="str">
        <f t="shared" si="313"/>
        <v>[Service]</v>
      </c>
      <c r="AR274" s="2287" t="str">
        <f t="shared" si="314"/>
        <v>[Price]</v>
      </c>
      <c r="AS274" s="2288" t="str">
        <f t="shared" si="331"/>
        <v>-</v>
      </c>
      <c r="AT274" s="1720" t="str">
        <f t="shared" si="331"/>
        <v>-</v>
      </c>
      <c r="AU274" s="1720" t="str">
        <f t="shared" si="331"/>
        <v>-</v>
      </c>
      <c r="AV274" s="2289" t="str">
        <f t="shared" si="331"/>
        <v>-</v>
      </c>
      <c r="AW274" s="1720" t="str">
        <f t="shared" si="331"/>
        <v>-</v>
      </c>
      <c r="AX274" s="2290" t="str">
        <f t="shared" si="331"/>
        <v>-</v>
      </c>
      <c r="AY274" s="1720" t="str">
        <f t="shared" si="331"/>
        <v>-</v>
      </c>
      <c r="AZ274" s="1720" t="str">
        <f t="shared" si="331"/>
        <v>-</v>
      </c>
      <c r="BA274" s="1720" t="str">
        <f t="shared" si="331"/>
        <v>-</v>
      </c>
      <c r="BB274" s="1721" t="str">
        <f t="shared" si="331"/>
        <v>-</v>
      </c>
      <c r="BC274" s="1720" t="str">
        <f t="shared" si="331"/>
        <v>-</v>
      </c>
      <c r="BD274" s="1720" t="str">
        <f t="shared" si="331"/>
        <v>-</v>
      </c>
      <c r="BE274" s="1720" t="str">
        <f t="shared" si="331"/>
        <v>-</v>
      </c>
      <c r="BF274" s="1720" t="str">
        <f t="shared" si="331"/>
        <v>-</v>
      </c>
      <c r="BG274" s="1721" t="str">
        <f t="shared" si="331"/>
        <v>-</v>
      </c>
      <c r="BH274" s="1048"/>
      <c r="BI274" s="2285" t="str">
        <f t="shared" si="244"/>
        <v>Qty</v>
      </c>
      <c r="BJ274" s="2286" t="str">
        <f t="shared" si="244"/>
        <v>[Service]</v>
      </c>
      <c r="BK274" s="2287" t="str">
        <f t="shared" si="244"/>
        <v>[Price]</v>
      </c>
      <c r="BL274" s="2288" t="str">
        <f t="shared" ref="BL274:BZ274" si="333">IF(OR(X274="",X274=0),"-",IFERROR((X274/W274-1)*(W275/W$13),"-"))</f>
        <v>-</v>
      </c>
      <c r="BM274" s="1720" t="str">
        <f t="shared" si="333"/>
        <v>-</v>
      </c>
      <c r="BN274" s="1720" t="str">
        <f t="shared" si="333"/>
        <v>-</v>
      </c>
      <c r="BO274" s="2289" t="str">
        <f t="shared" si="333"/>
        <v>-</v>
      </c>
      <c r="BP274" s="1720" t="str">
        <f t="shared" si="333"/>
        <v>-</v>
      </c>
      <c r="BQ274" s="2290" t="str">
        <f t="shared" si="333"/>
        <v>-</v>
      </c>
      <c r="BR274" s="1720" t="str">
        <f t="shared" si="333"/>
        <v>-</v>
      </c>
      <c r="BS274" s="1720" t="str">
        <f t="shared" si="333"/>
        <v>-</v>
      </c>
      <c r="BT274" s="1720" t="str">
        <f t="shared" si="333"/>
        <v>-</v>
      </c>
      <c r="BU274" s="1721" t="str">
        <f t="shared" si="333"/>
        <v>-</v>
      </c>
      <c r="BV274" s="1720" t="str">
        <f t="shared" si="333"/>
        <v>-</v>
      </c>
      <c r="BW274" s="1720" t="str">
        <f t="shared" si="333"/>
        <v>-</v>
      </c>
      <c r="BX274" s="1720" t="str">
        <f t="shared" si="333"/>
        <v>-</v>
      </c>
      <c r="BY274" s="1720" t="str">
        <f t="shared" si="333"/>
        <v>-</v>
      </c>
      <c r="BZ274" s="1721" t="str">
        <f t="shared" si="333"/>
        <v>-</v>
      </c>
    </row>
    <row r="275" spans="3:78" ht="12.5" thickBot="1" x14ac:dyDescent="0.35">
      <c r="C275" s="126"/>
      <c r="D275" s="126"/>
      <c r="E275" s="559" t="s">
        <v>47</v>
      </c>
      <c r="F275" s="1723" t="str">
        <f>+F273</f>
        <v>[Service]</v>
      </c>
      <c r="G275" s="1726">
        <f>+G273</f>
        <v>0</v>
      </c>
      <c r="H275" s="1726">
        <f>+H273</f>
        <v>0</v>
      </c>
      <c r="I275" s="1727" t="str">
        <f>+I273</f>
        <v>[Price]</v>
      </c>
      <c r="J275" s="556" t="s">
        <v>347</v>
      </c>
      <c r="K275" s="1977"/>
      <c r="L275" s="1206"/>
      <c r="M275" s="1206"/>
      <c r="N275" s="1978"/>
      <c r="O275" s="1206"/>
      <c r="P275" s="1206"/>
      <c r="Q275" s="1206"/>
      <c r="R275" s="1206"/>
      <c r="S275" s="1978"/>
      <c r="T275" s="1206"/>
      <c r="U275" s="1206"/>
      <c r="V275" s="1206"/>
      <c r="W275" s="1731">
        <f t="shared" ref="W275:AG275" si="334">W273*W274/10^6</f>
        <v>0</v>
      </c>
      <c r="X275" s="1730">
        <f t="shared" si="334"/>
        <v>0</v>
      </c>
      <c r="Y275" s="1731">
        <f t="shared" si="334"/>
        <v>0</v>
      </c>
      <c r="Z275" s="1731">
        <f t="shared" si="334"/>
        <v>0</v>
      </c>
      <c r="AA275" s="1731">
        <f t="shared" si="334"/>
        <v>0</v>
      </c>
      <c r="AB275" s="1733">
        <f t="shared" si="334"/>
        <v>0</v>
      </c>
      <c r="AC275" s="1731">
        <f t="shared" si="334"/>
        <v>0</v>
      </c>
      <c r="AD275" s="1731">
        <f t="shared" si="334"/>
        <v>0</v>
      </c>
      <c r="AE275" s="1731">
        <f t="shared" si="334"/>
        <v>0</v>
      </c>
      <c r="AF275" s="1731">
        <f t="shared" si="334"/>
        <v>0</v>
      </c>
      <c r="AG275" s="1733">
        <f t="shared" si="334"/>
        <v>0</v>
      </c>
      <c r="AH275" s="1732">
        <f>AH273*AH274/10^6</f>
        <v>0</v>
      </c>
      <c r="AI275" s="1731">
        <f>AI273*AI274/10^6</f>
        <v>0</v>
      </c>
      <c r="AJ275" s="1731">
        <f>AJ273*AJ274/10^6</f>
        <v>0</v>
      </c>
      <c r="AK275" s="1731">
        <f>AK273*AK274/10^6</f>
        <v>0</v>
      </c>
      <c r="AL275" s="1733">
        <f>AL273*AL274/10^6</f>
        <v>0</v>
      </c>
      <c r="AN275" s="991"/>
      <c r="AP275" s="2304" t="str">
        <f t="shared" si="313"/>
        <v>Rev</v>
      </c>
      <c r="AQ275" s="2305" t="str">
        <f t="shared" si="313"/>
        <v>[Service]</v>
      </c>
      <c r="AR275" s="2306" t="str">
        <f t="shared" si="314"/>
        <v>[Price]</v>
      </c>
      <c r="AS275" s="2307" t="str">
        <f t="shared" si="331"/>
        <v>-</v>
      </c>
      <c r="AT275" s="1055" t="str">
        <f t="shared" si="331"/>
        <v>-</v>
      </c>
      <c r="AU275" s="1055" t="str">
        <f t="shared" si="331"/>
        <v>-</v>
      </c>
      <c r="AV275" s="2308" t="str">
        <f t="shared" si="331"/>
        <v>-</v>
      </c>
      <c r="AW275" s="1055" t="str">
        <f t="shared" si="331"/>
        <v>-</v>
      </c>
      <c r="AX275" s="2309" t="str">
        <f t="shared" si="331"/>
        <v>-</v>
      </c>
      <c r="AY275" s="1055" t="str">
        <f t="shared" si="331"/>
        <v>-</v>
      </c>
      <c r="AZ275" s="1055" t="str">
        <f t="shared" si="331"/>
        <v>-</v>
      </c>
      <c r="BA275" s="1055" t="str">
        <f t="shared" si="331"/>
        <v>-</v>
      </c>
      <c r="BB275" s="1056" t="str">
        <f t="shared" si="331"/>
        <v>-</v>
      </c>
      <c r="BC275" s="1055" t="str">
        <f t="shared" si="331"/>
        <v>-</v>
      </c>
      <c r="BD275" s="1055" t="str">
        <f t="shared" si="331"/>
        <v>-</v>
      </c>
      <c r="BE275" s="1055" t="str">
        <f t="shared" si="331"/>
        <v>-</v>
      </c>
      <c r="BF275" s="1055" t="str">
        <f t="shared" si="331"/>
        <v>-</v>
      </c>
      <c r="BG275" s="1056" t="str">
        <f t="shared" si="331"/>
        <v>-</v>
      </c>
      <c r="BH275" s="1048"/>
      <c r="BI275" s="2304" t="str">
        <f t="shared" si="244"/>
        <v>Rev</v>
      </c>
      <c r="BJ275" s="2305" t="str">
        <f t="shared" si="244"/>
        <v>[Service]</v>
      </c>
      <c r="BK275" s="2306" t="str">
        <f t="shared" si="244"/>
        <v>[Price]</v>
      </c>
      <c r="BL275" s="2307" t="str">
        <f t="shared" ref="BL275:BZ275" si="335">IF(OR(X275="",X275=0),"-",IFERROR((X275/W275-1)*(W275/W$13),"-"))</f>
        <v>-</v>
      </c>
      <c r="BM275" s="1055" t="str">
        <f t="shared" si="335"/>
        <v>-</v>
      </c>
      <c r="BN275" s="1055" t="str">
        <f t="shared" si="335"/>
        <v>-</v>
      </c>
      <c r="BO275" s="2308" t="str">
        <f t="shared" si="335"/>
        <v>-</v>
      </c>
      <c r="BP275" s="1055" t="str">
        <f t="shared" si="335"/>
        <v>-</v>
      </c>
      <c r="BQ275" s="2309" t="str">
        <f t="shared" si="335"/>
        <v>-</v>
      </c>
      <c r="BR275" s="1055" t="str">
        <f t="shared" si="335"/>
        <v>-</v>
      </c>
      <c r="BS275" s="1055" t="str">
        <f t="shared" si="335"/>
        <v>-</v>
      </c>
      <c r="BT275" s="1055" t="str">
        <f t="shared" si="335"/>
        <v>-</v>
      </c>
      <c r="BU275" s="1056" t="str">
        <f t="shared" si="335"/>
        <v>-</v>
      </c>
      <c r="BV275" s="1055" t="str">
        <f t="shared" si="335"/>
        <v>-</v>
      </c>
      <c r="BW275" s="1055" t="str">
        <f t="shared" si="335"/>
        <v>-</v>
      </c>
      <c r="BX275" s="1055" t="str">
        <f t="shared" si="335"/>
        <v>-</v>
      </c>
      <c r="BY275" s="1055" t="str">
        <f t="shared" si="335"/>
        <v>-</v>
      </c>
      <c r="BZ275" s="1056" t="str">
        <f t="shared" si="335"/>
        <v>-</v>
      </c>
    </row>
    <row r="276" spans="3:78" x14ac:dyDescent="0.3">
      <c r="C276" s="126"/>
      <c r="D276" s="126">
        <f>D273+1</f>
        <v>70</v>
      </c>
      <c r="E276" s="553" t="s">
        <v>45</v>
      </c>
      <c r="F276" s="581" t="s">
        <v>28</v>
      </c>
      <c r="G276" s="581"/>
      <c r="H276" s="581"/>
      <c r="I276" s="573" t="s">
        <v>319</v>
      </c>
      <c r="J276" s="573" t="s">
        <v>348</v>
      </c>
      <c r="K276" s="1969"/>
      <c r="L276" s="1970"/>
      <c r="M276" s="1970"/>
      <c r="N276" s="1971"/>
      <c r="O276" s="1970"/>
      <c r="P276" s="1970"/>
      <c r="Q276" s="1970"/>
      <c r="R276" s="1972"/>
      <c r="S276" s="1979"/>
      <c r="T276" s="1972"/>
      <c r="U276" s="1972"/>
      <c r="V276" s="1972"/>
      <c r="W276" s="575"/>
      <c r="X276" s="1238"/>
      <c r="Y276" s="575"/>
      <c r="Z276" s="575"/>
      <c r="AA276" s="575"/>
      <c r="AB276" s="1142"/>
      <c r="AC276" s="575"/>
      <c r="AD276" s="575"/>
      <c r="AE276" s="575"/>
      <c r="AF276" s="575"/>
      <c r="AG276" s="577"/>
      <c r="AH276" s="576"/>
      <c r="AI276" s="575"/>
      <c r="AJ276" s="575"/>
      <c r="AK276" s="575"/>
      <c r="AL276" s="577"/>
      <c r="AN276" s="1052"/>
      <c r="AP276" s="2297" t="str">
        <f t="shared" si="313"/>
        <v>Price</v>
      </c>
      <c r="AQ276" s="2298" t="str">
        <f t="shared" si="313"/>
        <v>[Service]</v>
      </c>
      <c r="AR276" s="1719" t="str">
        <f t="shared" si="314"/>
        <v>[Price]</v>
      </c>
      <c r="AS276" s="2299" t="str">
        <f t="shared" si="331"/>
        <v>-</v>
      </c>
      <c r="AT276" s="1728" t="str">
        <f t="shared" si="331"/>
        <v>-</v>
      </c>
      <c r="AU276" s="1728" t="str">
        <f t="shared" si="331"/>
        <v>-</v>
      </c>
      <c r="AV276" s="2300" t="str">
        <f t="shared" si="331"/>
        <v>-</v>
      </c>
      <c r="AW276" s="1728" t="str">
        <f t="shared" si="331"/>
        <v>-</v>
      </c>
      <c r="AX276" s="2301" t="str">
        <f t="shared" si="331"/>
        <v>-</v>
      </c>
      <c r="AY276" s="1728" t="str">
        <f t="shared" si="331"/>
        <v>-</v>
      </c>
      <c r="AZ276" s="1728" t="str">
        <f t="shared" si="331"/>
        <v>-</v>
      </c>
      <c r="BA276" s="1728" t="str">
        <f t="shared" si="331"/>
        <v>-</v>
      </c>
      <c r="BB276" s="1729" t="str">
        <f t="shared" si="331"/>
        <v>-</v>
      </c>
      <c r="BC276" s="1728" t="str">
        <f t="shared" si="331"/>
        <v>-</v>
      </c>
      <c r="BD276" s="1728" t="str">
        <f t="shared" si="331"/>
        <v>-</v>
      </c>
      <c r="BE276" s="1728" t="str">
        <f t="shared" si="331"/>
        <v>-</v>
      </c>
      <c r="BF276" s="1728" t="str">
        <f t="shared" si="331"/>
        <v>-</v>
      </c>
      <c r="BG276" s="1729" t="str">
        <f t="shared" si="331"/>
        <v>-</v>
      </c>
      <c r="BH276" s="1048"/>
      <c r="BI276" s="2297" t="str">
        <f t="shared" ref="BI276:BK339" si="336">AP276</f>
        <v>Price</v>
      </c>
      <c r="BJ276" s="2298" t="str">
        <f t="shared" si="336"/>
        <v>[Service]</v>
      </c>
      <c r="BK276" s="1719" t="str">
        <f t="shared" si="336"/>
        <v>[Price]</v>
      </c>
      <c r="BL276" s="2299" t="str">
        <f t="shared" ref="BL276:BZ276" si="337">IF(OR(X276="",X276=0),"-",IFERROR((X276/W276-1)*(W278/W$13),"-"))</f>
        <v>-</v>
      </c>
      <c r="BM276" s="1053" t="str">
        <f t="shared" si="337"/>
        <v>-</v>
      </c>
      <c r="BN276" s="1053" t="str">
        <f t="shared" si="337"/>
        <v>-</v>
      </c>
      <c r="BO276" s="2302" t="str">
        <f t="shared" si="337"/>
        <v>-</v>
      </c>
      <c r="BP276" s="1053" t="str">
        <f t="shared" si="337"/>
        <v>-</v>
      </c>
      <c r="BQ276" s="2303" t="str">
        <f t="shared" si="337"/>
        <v>-</v>
      </c>
      <c r="BR276" s="1053" t="str">
        <f t="shared" si="337"/>
        <v>-</v>
      </c>
      <c r="BS276" s="1053" t="str">
        <f t="shared" si="337"/>
        <v>-</v>
      </c>
      <c r="BT276" s="1053" t="str">
        <f t="shared" si="337"/>
        <v>-</v>
      </c>
      <c r="BU276" s="1054" t="str">
        <f t="shared" si="337"/>
        <v>-</v>
      </c>
      <c r="BV276" s="1053" t="str">
        <f t="shared" si="337"/>
        <v>-</v>
      </c>
      <c r="BW276" s="1053" t="str">
        <f t="shared" si="337"/>
        <v>-</v>
      </c>
      <c r="BX276" s="1053" t="str">
        <f t="shared" si="337"/>
        <v>-</v>
      </c>
      <c r="BY276" s="1053" t="str">
        <f t="shared" si="337"/>
        <v>-</v>
      </c>
      <c r="BZ276" s="1054" t="str">
        <f t="shared" si="337"/>
        <v>-</v>
      </c>
    </row>
    <row r="277" spans="3:78" x14ac:dyDescent="0.3">
      <c r="C277" s="126"/>
      <c r="D277" s="126"/>
      <c r="E277" s="558" t="s">
        <v>46</v>
      </c>
      <c r="F277" s="1722" t="str">
        <f>+F276</f>
        <v>[Service]</v>
      </c>
      <c r="G277" s="1724">
        <f>+G276</f>
        <v>0</v>
      </c>
      <c r="H277" s="1724">
        <f>+H276</f>
        <v>0</v>
      </c>
      <c r="I277" s="1725" t="str">
        <f>+I276</f>
        <v>[Price]</v>
      </c>
      <c r="J277" s="574" t="s">
        <v>323</v>
      </c>
      <c r="K277" s="1973"/>
      <c r="L277" s="1974"/>
      <c r="M277" s="1974"/>
      <c r="N277" s="1975"/>
      <c r="O277" s="1974"/>
      <c r="P277" s="1974"/>
      <c r="Q277" s="1974"/>
      <c r="R277" s="1976"/>
      <c r="S277" s="1980"/>
      <c r="T277" s="1976"/>
      <c r="U277" s="1976"/>
      <c r="V277" s="1976"/>
      <c r="W277" s="578"/>
      <c r="X277" s="1239"/>
      <c r="Y277" s="578"/>
      <c r="Z277" s="578"/>
      <c r="AA277" s="578"/>
      <c r="AB277" s="1143"/>
      <c r="AC277" s="578"/>
      <c r="AD277" s="578"/>
      <c r="AE277" s="578"/>
      <c r="AF277" s="578"/>
      <c r="AG277" s="580"/>
      <c r="AH277" s="579"/>
      <c r="AI277" s="578"/>
      <c r="AJ277" s="578"/>
      <c r="AK277" s="578"/>
      <c r="AL277" s="580"/>
      <c r="AN277" s="991"/>
      <c r="AP277" s="2285" t="str">
        <f t="shared" si="313"/>
        <v>Qty</v>
      </c>
      <c r="AQ277" s="2286" t="str">
        <f t="shared" si="313"/>
        <v>[Service]</v>
      </c>
      <c r="AR277" s="2287" t="str">
        <f t="shared" si="314"/>
        <v>[Price]</v>
      </c>
      <c r="AS277" s="2288" t="str">
        <f t="shared" si="331"/>
        <v>-</v>
      </c>
      <c r="AT277" s="1720" t="str">
        <f t="shared" si="331"/>
        <v>-</v>
      </c>
      <c r="AU277" s="1720" t="str">
        <f t="shared" si="331"/>
        <v>-</v>
      </c>
      <c r="AV277" s="2289" t="str">
        <f t="shared" si="331"/>
        <v>-</v>
      </c>
      <c r="AW277" s="1720" t="str">
        <f t="shared" si="331"/>
        <v>-</v>
      </c>
      <c r="AX277" s="2290" t="str">
        <f t="shared" si="331"/>
        <v>-</v>
      </c>
      <c r="AY277" s="1720" t="str">
        <f t="shared" si="331"/>
        <v>-</v>
      </c>
      <c r="AZ277" s="1720" t="str">
        <f t="shared" si="331"/>
        <v>-</v>
      </c>
      <c r="BA277" s="1720" t="str">
        <f t="shared" si="331"/>
        <v>-</v>
      </c>
      <c r="BB277" s="1721" t="str">
        <f t="shared" si="331"/>
        <v>-</v>
      </c>
      <c r="BC277" s="1720" t="str">
        <f t="shared" si="331"/>
        <v>-</v>
      </c>
      <c r="BD277" s="1720" t="str">
        <f t="shared" si="331"/>
        <v>-</v>
      </c>
      <c r="BE277" s="1720" t="str">
        <f t="shared" si="331"/>
        <v>-</v>
      </c>
      <c r="BF277" s="1720" t="str">
        <f t="shared" si="331"/>
        <v>-</v>
      </c>
      <c r="BG277" s="1721" t="str">
        <f t="shared" si="331"/>
        <v>-</v>
      </c>
      <c r="BH277" s="1048"/>
      <c r="BI277" s="2285" t="str">
        <f t="shared" si="336"/>
        <v>Qty</v>
      </c>
      <c r="BJ277" s="2286" t="str">
        <f t="shared" si="336"/>
        <v>[Service]</v>
      </c>
      <c r="BK277" s="2287" t="str">
        <f t="shared" si="336"/>
        <v>[Price]</v>
      </c>
      <c r="BL277" s="2288" t="str">
        <f t="shared" ref="BL277:BZ277" si="338">IF(OR(X277="",X277=0),"-",IFERROR((X277/W277-1)*(W278/W$13),"-"))</f>
        <v>-</v>
      </c>
      <c r="BM277" s="1720" t="str">
        <f t="shared" si="338"/>
        <v>-</v>
      </c>
      <c r="BN277" s="1720" t="str">
        <f t="shared" si="338"/>
        <v>-</v>
      </c>
      <c r="BO277" s="2289" t="str">
        <f t="shared" si="338"/>
        <v>-</v>
      </c>
      <c r="BP277" s="1720" t="str">
        <f t="shared" si="338"/>
        <v>-</v>
      </c>
      <c r="BQ277" s="2290" t="str">
        <f t="shared" si="338"/>
        <v>-</v>
      </c>
      <c r="BR277" s="1720" t="str">
        <f t="shared" si="338"/>
        <v>-</v>
      </c>
      <c r="BS277" s="1720" t="str">
        <f t="shared" si="338"/>
        <v>-</v>
      </c>
      <c r="BT277" s="1720" t="str">
        <f t="shared" si="338"/>
        <v>-</v>
      </c>
      <c r="BU277" s="1721" t="str">
        <f t="shared" si="338"/>
        <v>-</v>
      </c>
      <c r="BV277" s="1720" t="str">
        <f t="shared" si="338"/>
        <v>-</v>
      </c>
      <c r="BW277" s="1720" t="str">
        <f t="shared" si="338"/>
        <v>-</v>
      </c>
      <c r="BX277" s="1720" t="str">
        <f t="shared" si="338"/>
        <v>-</v>
      </c>
      <c r="BY277" s="1720" t="str">
        <f t="shared" si="338"/>
        <v>-</v>
      </c>
      <c r="BZ277" s="1721" t="str">
        <f t="shared" si="338"/>
        <v>-</v>
      </c>
    </row>
    <row r="278" spans="3:78" ht="12.5" thickBot="1" x14ac:dyDescent="0.35">
      <c r="C278" s="126"/>
      <c r="D278" s="126"/>
      <c r="E278" s="559" t="s">
        <v>47</v>
      </c>
      <c r="F278" s="1723" t="str">
        <f>+F276</f>
        <v>[Service]</v>
      </c>
      <c r="G278" s="1726">
        <f>+G276</f>
        <v>0</v>
      </c>
      <c r="H278" s="1726">
        <f>+H276</f>
        <v>0</v>
      </c>
      <c r="I278" s="1727" t="str">
        <f>+I276</f>
        <v>[Price]</v>
      </c>
      <c r="J278" s="556" t="s">
        <v>347</v>
      </c>
      <c r="K278" s="1977"/>
      <c r="L278" s="1206"/>
      <c r="M278" s="1206"/>
      <c r="N278" s="1978"/>
      <c r="O278" s="1206"/>
      <c r="P278" s="1206"/>
      <c r="Q278" s="1206"/>
      <c r="R278" s="1206"/>
      <c r="S278" s="1978"/>
      <c r="T278" s="1206"/>
      <c r="U278" s="1206"/>
      <c r="V278" s="1206"/>
      <c r="W278" s="1731">
        <f t="shared" ref="W278:AG278" si="339">W276*W277/10^6</f>
        <v>0</v>
      </c>
      <c r="X278" s="1730">
        <f t="shared" si="339"/>
        <v>0</v>
      </c>
      <c r="Y278" s="1731">
        <f t="shared" si="339"/>
        <v>0</v>
      </c>
      <c r="Z278" s="1731">
        <f t="shared" si="339"/>
        <v>0</v>
      </c>
      <c r="AA278" s="1731">
        <f t="shared" si="339"/>
        <v>0</v>
      </c>
      <c r="AB278" s="1733">
        <f t="shared" si="339"/>
        <v>0</v>
      </c>
      <c r="AC278" s="1731">
        <f t="shared" si="339"/>
        <v>0</v>
      </c>
      <c r="AD278" s="1731">
        <f t="shared" si="339"/>
        <v>0</v>
      </c>
      <c r="AE278" s="1731">
        <f t="shared" si="339"/>
        <v>0</v>
      </c>
      <c r="AF278" s="1731">
        <f t="shared" si="339"/>
        <v>0</v>
      </c>
      <c r="AG278" s="1733">
        <f t="shared" si="339"/>
        <v>0</v>
      </c>
      <c r="AH278" s="1732">
        <f>AH276*AH277/10^6</f>
        <v>0</v>
      </c>
      <c r="AI278" s="1731">
        <f>AI276*AI277/10^6</f>
        <v>0</v>
      </c>
      <c r="AJ278" s="1731">
        <f>AJ276*AJ277/10^6</f>
        <v>0</v>
      </c>
      <c r="AK278" s="1731">
        <f>AK276*AK277/10^6</f>
        <v>0</v>
      </c>
      <c r="AL278" s="1733">
        <f>AL276*AL277/10^6</f>
        <v>0</v>
      </c>
      <c r="AN278" s="991"/>
      <c r="AP278" s="2304" t="str">
        <f t="shared" si="313"/>
        <v>Rev</v>
      </c>
      <c r="AQ278" s="2305" t="str">
        <f t="shared" si="313"/>
        <v>[Service]</v>
      </c>
      <c r="AR278" s="2306" t="str">
        <f t="shared" si="314"/>
        <v>[Price]</v>
      </c>
      <c r="AS278" s="2307" t="str">
        <f t="shared" si="331"/>
        <v>-</v>
      </c>
      <c r="AT278" s="1055" t="str">
        <f t="shared" si="331"/>
        <v>-</v>
      </c>
      <c r="AU278" s="1055" t="str">
        <f t="shared" si="331"/>
        <v>-</v>
      </c>
      <c r="AV278" s="2308" t="str">
        <f t="shared" si="331"/>
        <v>-</v>
      </c>
      <c r="AW278" s="1055" t="str">
        <f t="shared" si="331"/>
        <v>-</v>
      </c>
      <c r="AX278" s="2309" t="str">
        <f t="shared" si="331"/>
        <v>-</v>
      </c>
      <c r="AY278" s="1055" t="str">
        <f t="shared" si="331"/>
        <v>-</v>
      </c>
      <c r="AZ278" s="1055" t="str">
        <f t="shared" si="331"/>
        <v>-</v>
      </c>
      <c r="BA278" s="1055" t="str">
        <f t="shared" si="331"/>
        <v>-</v>
      </c>
      <c r="BB278" s="1056" t="str">
        <f t="shared" si="331"/>
        <v>-</v>
      </c>
      <c r="BC278" s="1055" t="str">
        <f t="shared" si="331"/>
        <v>-</v>
      </c>
      <c r="BD278" s="1055" t="str">
        <f t="shared" si="331"/>
        <v>-</v>
      </c>
      <c r="BE278" s="1055" t="str">
        <f t="shared" si="331"/>
        <v>-</v>
      </c>
      <c r="BF278" s="1055" t="str">
        <f t="shared" si="331"/>
        <v>-</v>
      </c>
      <c r="BG278" s="1056" t="str">
        <f t="shared" si="331"/>
        <v>-</v>
      </c>
      <c r="BH278" s="1048"/>
      <c r="BI278" s="2304" t="str">
        <f t="shared" si="336"/>
        <v>Rev</v>
      </c>
      <c r="BJ278" s="2305" t="str">
        <f t="shared" si="336"/>
        <v>[Service]</v>
      </c>
      <c r="BK278" s="2306" t="str">
        <f t="shared" si="336"/>
        <v>[Price]</v>
      </c>
      <c r="BL278" s="2307" t="str">
        <f t="shared" ref="BL278:BZ278" si="340">IF(OR(X278="",X278=0),"-",IFERROR((X278/W278-1)*(W278/W$13),"-"))</f>
        <v>-</v>
      </c>
      <c r="BM278" s="1055" t="str">
        <f t="shared" si="340"/>
        <v>-</v>
      </c>
      <c r="BN278" s="1055" t="str">
        <f t="shared" si="340"/>
        <v>-</v>
      </c>
      <c r="BO278" s="2308" t="str">
        <f t="shared" si="340"/>
        <v>-</v>
      </c>
      <c r="BP278" s="1055" t="str">
        <f t="shared" si="340"/>
        <v>-</v>
      </c>
      <c r="BQ278" s="2309" t="str">
        <f t="shared" si="340"/>
        <v>-</v>
      </c>
      <c r="BR278" s="1055" t="str">
        <f t="shared" si="340"/>
        <v>-</v>
      </c>
      <c r="BS278" s="1055" t="str">
        <f t="shared" si="340"/>
        <v>-</v>
      </c>
      <c r="BT278" s="1055" t="str">
        <f t="shared" si="340"/>
        <v>-</v>
      </c>
      <c r="BU278" s="1056" t="str">
        <f t="shared" si="340"/>
        <v>-</v>
      </c>
      <c r="BV278" s="1055" t="str">
        <f t="shared" si="340"/>
        <v>-</v>
      </c>
      <c r="BW278" s="1055" t="str">
        <f t="shared" si="340"/>
        <v>-</v>
      </c>
      <c r="BX278" s="1055" t="str">
        <f t="shared" si="340"/>
        <v>-</v>
      </c>
      <c r="BY278" s="1055" t="str">
        <f t="shared" si="340"/>
        <v>-</v>
      </c>
      <c r="BZ278" s="1056" t="str">
        <f t="shared" si="340"/>
        <v>-</v>
      </c>
    </row>
    <row r="279" spans="3:78" x14ac:dyDescent="0.3">
      <c r="C279" s="126"/>
      <c r="D279" s="126">
        <f>D276+1</f>
        <v>71</v>
      </c>
      <c r="E279" s="553" t="s">
        <v>45</v>
      </c>
      <c r="F279" s="581" t="s">
        <v>28</v>
      </c>
      <c r="G279" s="581"/>
      <c r="H279" s="581"/>
      <c r="I279" s="573" t="s">
        <v>319</v>
      </c>
      <c r="J279" s="573" t="s">
        <v>348</v>
      </c>
      <c r="K279" s="1969"/>
      <c r="L279" s="1970"/>
      <c r="M279" s="1970"/>
      <c r="N279" s="1971"/>
      <c r="O279" s="1970"/>
      <c r="P279" s="1970"/>
      <c r="Q279" s="1970"/>
      <c r="R279" s="1972"/>
      <c r="S279" s="1979"/>
      <c r="T279" s="1972"/>
      <c r="U279" s="1972"/>
      <c r="V279" s="1972"/>
      <c r="W279" s="575"/>
      <c r="X279" s="1238"/>
      <c r="Y279" s="575"/>
      <c r="Z279" s="575"/>
      <c r="AA279" s="575"/>
      <c r="AB279" s="1142"/>
      <c r="AC279" s="575"/>
      <c r="AD279" s="575"/>
      <c r="AE279" s="575"/>
      <c r="AF279" s="575"/>
      <c r="AG279" s="577"/>
      <c r="AH279" s="576"/>
      <c r="AI279" s="575"/>
      <c r="AJ279" s="575"/>
      <c r="AK279" s="575"/>
      <c r="AL279" s="577"/>
      <c r="AN279" s="1052"/>
      <c r="AP279" s="2297" t="str">
        <f t="shared" si="313"/>
        <v>Price</v>
      </c>
      <c r="AQ279" s="2298" t="str">
        <f t="shared" si="313"/>
        <v>[Service]</v>
      </c>
      <c r="AR279" s="1719" t="str">
        <f t="shared" si="314"/>
        <v>[Price]</v>
      </c>
      <c r="AS279" s="2299" t="str">
        <f t="shared" si="331"/>
        <v>-</v>
      </c>
      <c r="AT279" s="1728" t="str">
        <f t="shared" si="331"/>
        <v>-</v>
      </c>
      <c r="AU279" s="1728" t="str">
        <f t="shared" si="331"/>
        <v>-</v>
      </c>
      <c r="AV279" s="2300" t="str">
        <f t="shared" si="331"/>
        <v>-</v>
      </c>
      <c r="AW279" s="1728" t="str">
        <f t="shared" si="331"/>
        <v>-</v>
      </c>
      <c r="AX279" s="2301" t="str">
        <f t="shared" si="331"/>
        <v>-</v>
      </c>
      <c r="AY279" s="1728" t="str">
        <f t="shared" si="331"/>
        <v>-</v>
      </c>
      <c r="AZ279" s="1728" t="str">
        <f t="shared" si="331"/>
        <v>-</v>
      </c>
      <c r="BA279" s="1728" t="str">
        <f t="shared" si="331"/>
        <v>-</v>
      </c>
      <c r="BB279" s="1729" t="str">
        <f t="shared" si="331"/>
        <v>-</v>
      </c>
      <c r="BC279" s="1728" t="str">
        <f t="shared" si="331"/>
        <v>-</v>
      </c>
      <c r="BD279" s="1728" t="str">
        <f t="shared" si="331"/>
        <v>-</v>
      </c>
      <c r="BE279" s="1728" t="str">
        <f t="shared" si="331"/>
        <v>-</v>
      </c>
      <c r="BF279" s="1728" t="str">
        <f t="shared" si="331"/>
        <v>-</v>
      </c>
      <c r="BG279" s="1729" t="str">
        <f t="shared" si="331"/>
        <v>-</v>
      </c>
      <c r="BH279" s="1048"/>
      <c r="BI279" s="2297" t="str">
        <f t="shared" si="336"/>
        <v>Price</v>
      </c>
      <c r="BJ279" s="2298" t="str">
        <f t="shared" si="336"/>
        <v>[Service]</v>
      </c>
      <c r="BK279" s="1719" t="str">
        <f t="shared" si="336"/>
        <v>[Price]</v>
      </c>
      <c r="BL279" s="2299" t="str">
        <f t="shared" ref="BL279:BZ279" si="341">IF(OR(X279="",X279=0),"-",IFERROR((X279/W279-1)*(W281/W$13),"-"))</f>
        <v>-</v>
      </c>
      <c r="BM279" s="1053" t="str">
        <f t="shared" si="341"/>
        <v>-</v>
      </c>
      <c r="BN279" s="1053" t="str">
        <f t="shared" si="341"/>
        <v>-</v>
      </c>
      <c r="BO279" s="2302" t="str">
        <f t="shared" si="341"/>
        <v>-</v>
      </c>
      <c r="BP279" s="1053" t="str">
        <f t="shared" si="341"/>
        <v>-</v>
      </c>
      <c r="BQ279" s="2303" t="str">
        <f t="shared" si="341"/>
        <v>-</v>
      </c>
      <c r="BR279" s="1053" t="str">
        <f t="shared" si="341"/>
        <v>-</v>
      </c>
      <c r="BS279" s="1053" t="str">
        <f t="shared" si="341"/>
        <v>-</v>
      </c>
      <c r="BT279" s="1053" t="str">
        <f t="shared" si="341"/>
        <v>-</v>
      </c>
      <c r="BU279" s="1054" t="str">
        <f t="shared" si="341"/>
        <v>-</v>
      </c>
      <c r="BV279" s="1053" t="str">
        <f t="shared" si="341"/>
        <v>-</v>
      </c>
      <c r="BW279" s="1053" t="str">
        <f t="shared" si="341"/>
        <v>-</v>
      </c>
      <c r="BX279" s="1053" t="str">
        <f t="shared" si="341"/>
        <v>-</v>
      </c>
      <c r="BY279" s="1053" t="str">
        <f t="shared" si="341"/>
        <v>-</v>
      </c>
      <c r="BZ279" s="1054" t="str">
        <f t="shared" si="341"/>
        <v>-</v>
      </c>
    </row>
    <row r="280" spans="3:78" x14ac:dyDescent="0.3">
      <c r="C280" s="126"/>
      <c r="D280" s="126"/>
      <c r="E280" s="558" t="s">
        <v>46</v>
      </c>
      <c r="F280" s="1722" t="str">
        <f>+F279</f>
        <v>[Service]</v>
      </c>
      <c r="G280" s="1724">
        <f>+G279</f>
        <v>0</v>
      </c>
      <c r="H280" s="1724">
        <f>+H279</f>
        <v>0</v>
      </c>
      <c r="I280" s="1725" t="str">
        <f>+I279</f>
        <v>[Price]</v>
      </c>
      <c r="J280" s="574" t="s">
        <v>323</v>
      </c>
      <c r="K280" s="1973"/>
      <c r="L280" s="1974"/>
      <c r="M280" s="1974"/>
      <c r="N280" s="1975"/>
      <c r="O280" s="1974"/>
      <c r="P280" s="1974"/>
      <c r="Q280" s="1974"/>
      <c r="R280" s="1976"/>
      <c r="S280" s="1980"/>
      <c r="T280" s="1976"/>
      <c r="U280" s="1976"/>
      <c r="V280" s="1976"/>
      <c r="W280" s="578"/>
      <c r="X280" s="1239"/>
      <c r="Y280" s="578"/>
      <c r="Z280" s="578"/>
      <c r="AA280" s="578"/>
      <c r="AB280" s="1143"/>
      <c r="AC280" s="578"/>
      <c r="AD280" s="578"/>
      <c r="AE280" s="578"/>
      <c r="AF280" s="578"/>
      <c r="AG280" s="580"/>
      <c r="AH280" s="579"/>
      <c r="AI280" s="578"/>
      <c r="AJ280" s="578"/>
      <c r="AK280" s="578"/>
      <c r="AL280" s="580"/>
      <c r="AN280" s="991"/>
      <c r="AP280" s="2285" t="str">
        <f t="shared" si="313"/>
        <v>Qty</v>
      </c>
      <c r="AQ280" s="2286" t="str">
        <f t="shared" si="313"/>
        <v>[Service]</v>
      </c>
      <c r="AR280" s="2287" t="str">
        <f t="shared" si="314"/>
        <v>[Price]</v>
      </c>
      <c r="AS280" s="2288" t="str">
        <f t="shared" si="331"/>
        <v>-</v>
      </c>
      <c r="AT280" s="1720" t="str">
        <f t="shared" si="331"/>
        <v>-</v>
      </c>
      <c r="AU280" s="1720" t="str">
        <f t="shared" si="331"/>
        <v>-</v>
      </c>
      <c r="AV280" s="2289" t="str">
        <f t="shared" si="331"/>
        <v>-</v>
      </c>
      <c r="AW280" s="1720" t="str">
        <f t="shared" si="331"/>
        <v>-</v>
      </c>
      <c r="AX280" s="2290" t="str">
        <f t="shared" si="331"/>
        <v>-</v>
      </c>
      <c r="AY280" s="1720" t="str">
        <f t="shared" si="331"/>
        <v>-</v>
      </c>
      <c r="AZ280" s="1720" t="str">
        <f t="shared" si="331"/>
        <v>-</v>
      </c>
      <c r="BA280" s="1720" t="str">
        <f t="shared" si="331"/>
        <v>-</v>
      </c>
      <c r="BB280" s="1721" t="str">
        <f t="shared" si="331"/>
        <v>-</v>
      </c>
      <c r="BC280" s="1720" t="str">
        <f t="shared" si="331"/>
        <v>-</v>
      </c>
      <c r="BD280" s="1720" t="str">
        <f t="shared" si="331"/>
        <v>-</v>
      </c>
      <c r="BE280" s="1720" t="str">
        <f t="shared" si="331"/>
        <v>-</v>
      </c>
      <c r="BF280" s="1720" t="str">
        <f t="shared" si="331"/>
        <v>-</v>
      </c>
      <c r="BG280" s="1721" t="str">
        <f t="shared" si="331"/>
        <v>-</v>
      </c>
      <c r="BH280" s="1048"/>
      <c r="BI280" s="2285" t="str">
        <f t="shared" si="336"/>
        <v>Qty</v>
      </c>
      <c r="BJ280" s="2286" t="str">
        <f t="shared" si="336"/>
        <v>[Service]</v>
      </c>
      <c r="BK280" s="2287" t="str">
        <f t="shared" si="336"/>
        <v>[Price]</v>
      </c>
      <c r="BL280" s="2288" t="str">
        <f t="shared" ref="BL280:BZ280" si="342">IF(OR(X280="",X280=0),"-",IFERROR((X280/W280-1)*(W281/W$13),"-"))</f>
        <v>-</v>
      </c>
      <c r="BM280" s="1720" t="str">
        <f t="shared" si="342"/>
        <v>-</v>
      </c>
      <c r="BN280" s="1720" t="str">
        <f t="shared" si="342"/>
        <v>-</v>
      </c>
      <c r="BO280" s="2289" t="str">
        <f t="shared" si="342"/>
        <v>-</v>
      </c>
      <c r="BP280" s="1720" t="str">
        <f t="shared" si="342"/>
        <v>-</v>
      </c>
      <c r="BQ280" s="2290" t="str">
        <f t="shared" si="342"/>
        <v>-</v>
      </c>
      <c r="BR280" s="1720" t="str">
        <f t="shared" si="342"/>
        <v>-</v>
      </c>
      <c r="BS280" s="1720" t="str">
        <f t="shared" si="342"/>
        <v>-</v>
      </c>
      <c r="BT280" s="1720" t="str">
        <f t="shared" si="342"/>
        <v>-</v>
      </c>
      <c r="BU280" s="1721" t="str">
        <f t="shared" si="342"/>
        <v>-</v>
      </c>
      <c r="BV280" s="1720" t="str">
        <f t="shared" si="342"/>
        <v>-</v>
      </c>
      <c r="BW280" s="1720" t="str">
        <f t="shared" si="342"/>
        <v>-</v>
      </c>
      <c r="BX280" s="1720" t="str">
        <f t="shared" si="342"/>
        <v>-</v>
      </c>
      <c r="BY280" s="1720" t="str">
        <f t="shared" si="342"/>
        <v>-</v>
      </c>
      <c r="BZ280" s="1721" t="str">
        <f t="shared" si="342"/>
        <v>-</v>
      </c>
    </row>
    <row r="281" spans="3:78" ht="12.5" thickBot="1" x14ac:dyDescent="0.35">
      <c r="C281" s="126"/>
      <c r="D281" s="126"/>
      <c r="E281" s="559" t="s">
        <v>47</v>
      </c>
      <c r="F281" s="1723" t="str">
        <f>+F279</f>
        <v>[Service]</v>
      </c>
      <c r="G281" s="1726">
        <f>+G279</f>
        <v>0</v>
      </c>
      <c r="H281" s="1726">
        <f>+H279</f>
        <v>0</v>
      </c>
      <c r="I281" s="1727" t="str">
        <f>+I279</f>
        <v>[Price]</v>
      </c>
      <c r="J281" s="556" t="s">
        <v>347</v>
      </c>
      <c r="K281" s="1977"/>
      <c r="L281" s="1206"/>
      <c r="M281" s="1206"/>
      <c r="N281" s="1978"/>
      <c r="O281" s="1206"/>
      <c r="P281" s="1206"/>
      <c r="Q281" s="1206"/>
      <c r="R281" s="1206"/>
      <c r="S281" s="1978"/>
      <c r="T281" s="1206"/>
      <c r="U281" s="1206"/>
      <c r="V281" s="1206"/>
      <c r="W281" s="1731">
        <f t="shared" ref="W281:AG281" si="343">W279*W280/10^6</f>
        <v>0</v>
      </c>
      <c r="X281" s="1730">
        <f t="shared" si="343"/>
        <v>0</v>
      </c>
      <c r="Y281" s="1731">
        <f t="shared" si="343"/>
        <v>0</v>
      </c>
      <c r="Z281" s="1731">
        <f t="shared" si="343"/>
        <v>0</v>
      </c>
      <c r="AA281" s="1731">
        <f t="shared" si="343"/>
        <v>0</v>
      </c>
      <c r="AB281" s="1733">
        <f t="shared" si="343"/>
        <v>0</v>
      </c>
      <c r="AC281" s="1731">
        <f t="shared" si="343"/>
        <v>0</v>
      </c>
      <c r="AD281" s="1731">
        <f t="shared" si="343"/>
        <v>0</v>
      </c>
      <c r="AE281" s="1731">
        <f t="shared" si="343"/>
        <v>0</v>
      </c>
      <c r="AF281" s="1731">
        <f t="shared" si="343"/>
        <v>0</v>
      </c>
      <c r="AG281" s="1733">
        <f t="shared" si="343"/>
        <v>0</v>
      </c>
      <c r="AH281" s="1732">
        <f>AH279*AH280/10^6</f>
        <v>0</v>
      </c>
      <c r="AI281" s="1731">
        <f>AI279*AI280/10^6</f>
        <v>0</v>
      </c>
      <c r="AJ281" s="1731">
        <f>AJ279*AJ280/10^6</f>
        <v>0</v>
      </c>
      <c r="AK281" s="1731">
        <f>AK279*AK280/10^6</f>
        <v>0</v>
      </c>
      <c r="AL281" s="1733">
        <f>AL279*AL280/10^6</f>
        <v>0</v>
      </c>
      <c r="AN281" s="991"/>
      <c r="AP281" s="2304" t="str">
        <f t="shared" si="313"/>
        <v>Rev</v>
      </c>
      <c r="AQ281" s="2305" t="str">
        <f t="shared" si="313"/>
        <v>[Service]</v>
      </c>
      <c r="AR281" s="2306" t="str">
        <f t="shared" si="314"/>
        <v>[Price]</v>
      </c>
      <c r="AS281" s="2307" t="str">
        <f t="shared" si="331"/>
        <v>-</v>
      </c>
      <c r="AT281" s="1055" t="str">
        <f t="shared" si="331"/>
        <v>-</v>
      </c>
      <c r="AU281" s="1055" t="str">
        <f t="shared" si="331"/>
        <v>-</v>
      </c>
      <c r="AV281" s="2308" t="str">
        <f t="shared" si="331"/>
        <v>-</v>
      </c>
      <c r="AW281" s="1055" t="str">
        <f t="shared" si="331"/>
        <v>-</v>
      </c>
      <c r="AX281" s="2309" t="str">
        <f t="shared" si="331"/>
        <v>-</v>
      </c>
      <c r="AY281" s="1055" t="str">
        <f t="shared" si="331"/>
        <v>-</v>
      </c>
      <c r="AZ281" s="1055" t="str">
        <f t="shared" si="331"/>
        <v>-</v>
      </c>
      <c r="BA281" s="1055" t="str">
        <f t="shared" si="331"/>
        <v>-</v>
      </c>
      <c r="BB281" s="1056" t="str">
        <f t="shared" si="331"/>
        <v>-</v>
      </c>
      <c r="BC281" s="1055" t="str">
        <f t="shared" si="331"/>
        <v>-</v>
      </c>
      <c r="BD281" s="1055" t="str">
        <f t="shared" si="331"/>
        <v>-</v>
      </c>
      <c r="BE281" s="1055" t="str">
        <f t="shared" si="331"/>
        <v>-</v>
      </c>
      <c r="BF281" s="1055" t="str">
        <f t="shared" si="331"/>
        <v>-</v>
      </c>
      <c r="BG281" s="1056" t="str">
        <f t="shared" si="331"/>
        <v>-</v>
      </c>
      <c r="BH281" s="1048"/>
      <c r="BI281" s="2304" t="str">
        <f t="shared" si="336"/>
        <v>Rev</v>
      </c>
      <c r="BJ281" s="2305" t="str">
        <f t="shared" si="336"/>
        <v>[Service]</v>
      </c>
      <c r="BK281" s="2306" t="str">
        <f t="shared" si="336"/>
        <v>[Price]</v>
      </c>
      <c r="BL281" s="2307" t="str">
        <f t="shared" ref="BL281:BZ281" si="344">IF(OR(X281="",X281=0),"-",IFERROR((X281/W281-1)*(W281/W$13),"-"))</f>
        <v>-</v>
      </c>
      <c r="BM281" s="1055" t="str">
        <f t="shared" si="344"/>
        <v>-</v>
      </c>
      <c r="BN281" s="1055" t="str">
        <f t="shared" si="344"/>
        <v>-</v>
      </c>
      <c r="BO281" s="2308" t="str">
        <f t="shared" si="344"/>
        <v>-</v>
      </c>
      <c r="BP281" s="1055" t="str">
        <f t="shared" si="344"/>
        <v>-</v>
      </c>
      <c r="BQ281" s="2309" t="str">
        <f t="shared" si="344"/>
        <v>-</v>
      </c>
      <c r="BR281" s="1055" t="str">
        <f t="shared" si="344"/>
        <v>-</v>
      </c>
      <c r="BS281" s="1055" t="str">
        <f t="shared" si="344"/>
        <v>-</v>
      </c>
      <c r="BT281" s="1055" t="str">
        <f t="shared" si="344"/>
        <v>-</v>
      </c>
      <c r="BU281" s="1056" t="str">
        <f t="shared" si="344"/>
        <v>-</v>
      </c>
      <c r="BV281" s="1055" t="str">
        <f t="shared" si="344"/>
        <v>-</v>
      </c>
      <c r="BW281" s="1055" t="str">
        <f t="shared" si="344"/>
        <v>-</v>
      </c>
      <c r="BX281" s="1055" t="str">
        <f t="shared" si="344"/>
        <v>-</v>
      </c>
      <c r="BY281" s="1055" t="str">
        <f t="shared" si="344"/>
        <v>-</v>
      </c>
      <c r="BZ281" s="1056" t="str">
        <f t="shared" si="344"/>
        <v>-</v>
      </c>
    </row>
    <row r="282" spans="3:78" x14ac:dyDescent="0.3">
      <c r="C282" s="126"/>
      <c r="D282" s="126">
        <f>D279+1</f>
        <v>72</v>
      </c>
      <c r="E282" s="553" t="s">
        <v>45</v>
      </c>
      <c r="F282" s="581" t="s">
        <v>28</v>
      </c>
      <c r="G282" s="581"/>
      <c r="H282" s="581"/>
      <c r="I282" s="573" t="s">
        <v>319</v>
      </c>
      <c r="J282" s="573" t="s">
        <v>348</v>
      </c>
      <c r="K282" s="1969"/>
      <c r="L282" s="1970"/>
      <c r="M282" s="1970"/>
      <c r="N282" s="1971"/>
      <c r="O282" s="1970"/>
      <c r="P282" s="1970"/>
      <c r="Q282" s="1970"/>
      <c r="R282" s="1972"/>
      <c r="S282" s="1979"/>
      <c r="T282" s="1972"/>
      <c r="U282" s="1972"/>
      <c r="V282" s="1972"/>
      <c r="W282" s="575"/>
      <c r="X282" s="1238"/>
      <c r="Y282" s="575"/>
      <c r="Z282" s="575"/>
      <c r="AA282" s="575"/>
      <c r="AB282" s="1142"/>
      <c r="AC282" s="575"/>
      <c r="AD282" s="575"/>
      <c r="AE282" s="575"/>
      <c r="AF282" s="575"/>
      <c r="AG282" s="577"/>
      <c r="AH282" s="576"/>
      <c r="AI282" s="575"/>
      <c r="AJ282" s="575"/>
      <c r="AK282" s="575"/>
      <c r="AL282" s="577"/>
      <c r="AN282" s="1052"/>
      <c r="AP282" s="2297" t="str">
        <f t="shared" si="313"/>
        <v>Price</v>
      </c>
      <c r="AQ282" s="2298" t="str">
        <f t="shared" si="313"/>
        <v>[Service]</v>
      </c>
      <c r="AR282" s="1719" t="str">
        <f t="shared" si="314"/>
        <v>[Price]</v>
      </c>
      <c r="AS282" s="2299" t="str">
        <f t="shared" si="331"/>
        <v>-</v>
      </c>
      <c r="AT282" s="1728" t="str">
        <f t="shared" si="331"/>
        <v>-</v>
      </c>
      <c r="AU282" s="1728" t="str">
        <f t="shared" si="331"/>
        <v>-</v>
      </c>
      <c r="AV282" s="2300" t="str">
        <f t="shared" si="331"/>
        <v>-</v>
      </c>
      <c r="AW282" s="1728" t="str">
        <f t="shared" si="331"/>
        <v>-</v>
      </c>
      <c r="AX282" s="2301" t="str">
        <f t="shared" si="331"/>
        <v>-</v>
      </c>
      <c r="AY282" s="1728" t="str">
        <f t="shared" si="331"/>
        <v>-</v>
      </c>
      <c r="AZ282" s="1728" t="str">
        <f t="shared" si="331"/>
        <v>-</v>
      </c>
      <c r="BA282" s="1728" t="str">
        <f t="shared" si="331"/>
        <v>-</v>
      </c>
      <c r="BB282" s="1729" t="str">
        <f t="shared" si="331"/>
        <v>-</v>
      </c>
      <c r="BC282" s="1728" t="str">
        <f t="shared" si="331"/>
        <v>-</v>
      </c>
      <c r="BD282" s="1728" t="str">
        <f t="shared" si="331"/>
        <v>-</v>
      </c>
      <c r="BE282" s="1728" t="str">
        <f t="shared" si="331"/>
        <v>-</v>
      </c>
      <c r="BF282" s="1728" t="str">
        <f t="shared" si="331"/>
        <v>-</v>
      </c>
      <c r="BG282" s="1729" t="str">
        <f t="shared" si="331"/>
        <v>-</v>
      </c>
      <c r="BH282" s="1048"/>
      <c r="BI282" s="2297" t="str">
        <f t="shared" si="336"/>
        <v>Price</v>
      </c>
      <c r="BJ282" s="2298" t="str">
        <f t="shared" si="336"/>
        <v>[Service]</v>
      </c>
      <c r="BK282" s="1719" t="str">
        <f t="shared" si="336"/>
        <v>[Price]</v>
      </c>
      <c r="BL282" s="2299" t="str">
        <f t="shared" ref="BL282:BZ282" si="345">IF(OR(X282="",X282=0),"-",IFERROR((X282/W282-1)*(W284/W$13),"-"))</f>
        <v>-</v>
      </c>
      <c r="BM282" s="1053" t="str">
        <f t="shared" si="345"/>
        <v>-</v>
      </c>
      <c r="BN282" s="1053" t="str">
        <f t="shared" si="345"/>
        <v>-</v>
      </c>
      <c r="BO282" s="2302" t="str">
        <f t="shared" si="345"/>
        <v>-</v>
      </c>
      <c r="BP282" s="1053" t="str">
        <f t="shared" si="345"/>
        <v>-</v>
      </c>
      <c r="BQ282" s="2303" t="str">
        <f t="shared" si="345"/>
        <v>-</v>
      </c>
      <c r="BR282" s="1053" t="str">
        <f t="shared" si="345"/>
        <v>-</v>
      </c>
      <c r="BS282" s="1053" t="str">
        <f t="shared" si="345"/>
        <v>-</v>
      </c>
      <c r="BT282" s="1053" t="str">
        <f t="shared" si="345"/>
        <v>-</v>
      </c>
      <c r="BU282" s="1054" t="str">
        <f t="shared" si="345"/>
        <v>-</v>
      </c>
      <c r="BV282" s="1053" t="str">
        <f t="shared" si="345"/>
        <v>-</v>
      </c>
      <c r="BW282" s="1053" t="str">
        <f t="shared" si="345"/>
        <v>-</v>
      </c>
      <c r="BX282" s="1053" t="str">
        <f t="shared" si="345"/>
        <v>-</v>
      </c>
      <c r="BY282" s="1053" t="str">
        <f t="shared" si="345"/>
        <v>-</v>
      </c>
      <c r="BZ282" s="1054" t="str">
        <f t="shared" si="345"/>
        <v>-</v>
      </c>
    </row>
    <row r="283" spans="3:78" x14ac:dyDescent="0.3">
      <c r="C283" s="126"/>
      <c r="D283" s="126"/>
      <c r="E283" s="558" t="s">
        <v>46</v>
      </c>
      <c r="F283" s="1722" t="str">
        <f>+F282</f>
        <v>[Service]</v>
      </c>
      <c r="G283" s="1724">
        <f>+G282</f>
        <v>0</v>
      </c>
      <c r="H283" s="1724">
        <f>+H282</f>
        <v>0</v>
      </c>
      <c r="I283" s="1725" t="str">
        <f>+I282</f>
        <v>[Price]</v>
      </c>
      <c r="J283" s="574" t="s">
        <v>323</v>
      </c>
      <c r="K283" s="1973"/>
      <c r="L283" s="1974"/>
      <c r="M283" s="1974"/>
      <c r="N283" s="1975"/>
      <c r="O283" s="1974"/>
      <c r="P283" s="1974"/>
      <c r="Q283" s="1974"/>
      <c r="R283" s="1976"/>
      <c r="S283" s="1980"/>
      <c r="T283" s="1976"/>
      <c r="U283" s="1976"/>
      <c r="V283" s="1976"/>
      <c r="W283" s="578"/>
      <c r="X283" s="1239"/>
      <c r="Y283" s="578"/>
      <c r="Z283" s="578"/>
      <c r="AA283" s="578"/>
      <c r="AB283" s="1143"/>
      <c r="AC283" s="578"/>
      <c r="AD283" s="578"/>
      <c r="AE283" s="578"/>
      <c r="AF283" s="578"/>
      <c r="AG283" s="580"/>
      <c r="AH283" s="579"/>
      <c r="AI283" s="578"/>
      <c r="AJ283" s="578"/>
      <c r="AK283" s="578"/>
      <c r="AL283" s="580"/>
      <c r="AN283" s="991"/>
      <c r="AP283" s="2285" t="str">
        <f t="shared" si="313"/>
        <v>Qty</v>
      </c>
      <c r="AQ283" s="2286" t="str">
        <f t="shared" si="313"/>
        <v>[Service]</v>
      </c>
      <c r="AR283" s="2287" t="str">
        <f t="shared" si="314"/>
        <v>[Price]</v>
      </c>
      <c r="AS283" s="2288" t="str">
        <f t="shared" si="331"/>
        <v>-</v>
      </c>
      <c r="AT283" s="1720" t="str">
        <f t="shared" si="331"/>
        <v>-</v>
      </c>
      <c r="AU283" s="1720" t="str">
        <f t="shared" si="331"/>
        <v>-</v>
      </c>
      <c r="AV283" s="2289" t="str">
        <f t="shared" si="331"/>
        <v>-</v>
      </c>
      <c r="AW283" s="1720" t="str">
        <f t="shared" si="331"/>
        <v>-</v>
      </c>
      <c r="AX283" s="2290" t="str">
        <f t="shared" si="331"/>
        <v>-</v>
      </c>
      <c r="AY283" s="1720" t="str">
        <f t="shared" si="331"/>
        <v>-</v>
      </c>
      <c r="AZ283" s="1720" t="str">
        <f t="shared" si="331"/>
        <v>-</v>
      </c>
      <c r="BA283" s="1720" t="str">
        <f t="shared" si="331"/>
        <v>-</v>
      </c>
      <c r="BB283" s="1721" t="str">
        <f t="shared" si="331"/>
        <v>-</v>
      </c>
      <c r="BC283" s="1720" t="str">
        <f t="shared" si="331"/>
        <v>-</v>
      </c>
      <c r="BD283" s="1720" t="str">
        <f t="shared" si="331"/>
        <v>-</v>
      </c>
      <c r="BE283" s="1720" t="str">
        <f t="shared" si="331"/>
        <v>-</v>
      </c>
      <c r="BF283" s="1720" t="str">
        <f t="shared" si="331"/>
        <v>-</v>
      </c>
      <c r="BG283" s="1721" t="str">
        <f t="shared" si="331"/>
        <v>-</v>
      </c>
      <c r="BH283" s="1048"/>
      <c r="BI283" s="2285" t="str">
        <f t="shared" si="336"/>
        <v>Qty</v>
      </c>
      <c r="BJ283" s="2286" t="str">
        <f t="shared" si="336"/>
        <v>[Service]</v>
      </c>
      <c r="BK283" s="2287" t="str">
        <f t="shared" si="336"/>
        <v>[Price]</v>
      </c>
      <c r="BL283" s="2288" t="str">
        <f t="shared" ref="BL283:BZ283" si="346">IF(OR(X283="",X283=0),"-",IFERROR((X283/W283-1)*(W284/W$13),"-"))</f>
        <v>-</v>
      </c>
      <c r="BM283" s="1720" t="str">
        <f t="shared" si="346"/>
        <v>-</v>
      </c>
      <c r="BN283" s="1720" t="str">
        <f t="shared" si="346"/>
        <v>-</v>
      </c>
      <c r="BO283" s="2289" t="str">
        <f t="shared" si="346"/>
        <v>-</v>
      </c>
      <c r="BP283" s="1720" t="str">
        <f t="shared" si="346"/>
        <v>-</v>
      </c>
      <c r="BQ283" s="2290" t="str">
        <f t="shared" si="346"/>
        <v>-</v>
      </c>
      <c r="BR283" s="1720" t="str">
        <f t="shared" si="346"/>
        <v>-</v>
      </c>
      <c r="BS283" s="1720" t="str">
        <f t="shared" si="346"/>
        <v>-</v>
      </c>
      <c r="BT283" s="1720" t="str">
        <f t="shared" si="346"/>
        <v>-</v>
      </c>
      <c r="BU283" s="1721" t="str">
        <f t="shared" si="346"/>
        <v>-</v>
      </c>
      <c r="BV283" s="1720" t="str">
        <f t="shared" si="346"/>
        <v>-</v>
      </c>
      <c r="BW283" s="1720" t="str">
        <f t="shared" si="346"/>
        <v>-</v>
      </c>
      <c r="BX283" s="1720" t="str">
        <f t="shared" si="346"/>
        <v>-</v>
      </c>
      <c r="BY283" s="1720" t="str">
        <f t="shared" si="346"/>
        <v>-</v>
      </c>
      <c r="BZ283" s="1721" t="str">
        <f t="shared" si="346"/>
        <v>-</v>
      </c>
    </row>
    <row r="284" spans="3:78" ht="12.5" thickBot="1" x14ac:dyDescent="0.35">
      <c r="C284" s="126"/>
      <c r="D284" s="126"/>
      <c r="E284" s="559" t="s">
        <v>47</v>
      </c>
      <c r="F284" s="1723" t="str">
        <f>+F282</f>
        <v>[Service]</v>
      </c>
      <c r="G284" s="1726">
        <f>+G282</f>
        <v>0</v>
      </c>
      <c r="H284" s="1726">
        <f>+H282</f>
        <v>0</v>
      </c>
      <c r="I284" s="1727" t="str">
        <f>+I282</f>
        <v>[Price]</v>
      </c>
      <c r="J284" s="556" t="s">
        <v>347</v>
      </c>
      <c r="K284" s="1977"/>
      <c r="L284" s="1206"/>
      <c r="M284" s="1206"/>
      <c r="N284" s="1978"/>
      <c r="O284" s="1206"/>
      <c r="P284" s="1206"/>
      <c r="Q284" s="1206"/>
      <c r="R284" s="1206"/>
      <c r="S284" s="1978"/>
      <c r="T284" s="1206"/>
      <c r="U284" s="1206"/>
      <c r="V284" s="1206"/>
      <c r="W284" s="1731">
        <f t="shared" ref="W284:AG284" si="347">W282*W283/10^6</f>
        <v>0</v>
      </c>
      <c r="X284" s="1730">
        <f t="shared" si="347"/>
        <v>0</v>
      </c>
      <c r="Y284" s="1731">
        <f t="shared" si="347"/>
        <v>0</v>
      </c>
      <c r="Z284" s="1731">
        <f t="shared" si="347"/>
        <v>0</v>
      </c>
      <c r="AA284" s="1731">
        <f t="shared" si="347"/>
        <v>0</v>
      </c>
      <c r="AB284" s="1733">
        <f t="shared" si="347"/>
        <v>0</v>
      </c>
      <c r="AC284" s="1731">
        <f t="shared" si="347"/>
        <v>0</v>
      </c>
      <c r="AD284" s="1731">
        <f t="shared" si="347"/>
        <v>0</v>
      </c>
      <c r="AE284" s="1731">
        <f t="shared" si="347"/>
        <v>0</v>
      </c>
      <c r="AF284" s="1731">
        <f t="shared" si="347"/>
        <v>0</v>
      </c>
      <c r="AG284" s="1733">
        <f t="shared" si="347"/>
        <v>0</v>
      </c>
      <c r="AH284" s="1732">
        <f>AH282*AH283/10^6</f>
        <v>0</v>
      </c>
      <c r="AI284" s="1731">
        <f>AI282*AI283/10^6</f>
        <v>0</v>
      </c>
      <c r="AJ284" s="1731">
        <f>AJ282*AJ283/10^6</f>
        <v>0</v>
      </c>
      <c r="AK284" s="1731">
        <f>AK282*AK283/10^6</f>
        <v>0</v>
      </c>
      <c r="AL284" s="1733">
        <f>AL282*AL283/10^6</f>
        <v>0</v>
      </c>
      <c r="AN284" s="991"/>
      <c r="AP284" s="2304" t="str">
        <f t="shared" si="313"/>
        <v>Rev</v>
      </c>
      <c r="AQ284" s="2305" t="str">
        <f t="shared" si="313"/>
        <v>[Service]</v>
      </c>
      <c r="AR284" s="2306" t="str">
        <f t="shared" si="314"/>
        <v>[Price]</v>
      </c>
      <c r="AS284" s="2307" t="str">
        <f t="shared" si="331"/>
        <v>-</v>
      </c>
      <c r="AT284" s="1055" t="str">
        <f t="shared" si="331"/>
        <v>-</v>
      </c>
      <c r="AU284" s="1055" t="str">
        <f t="shared" si="331"/>
        <v>-</v>
      </c>
      <c r="AV284" s="2308" t="str">
        <f t="shared" si="331"/>
        <v>-</v>
      </c>
      <c r="AW284" s="1055" t="str">
        <f t="shared" si="331"/>
        <v>-</v>
      </c>
      <c r="AX284" s="2309" t="str">
        <f t="shared" si="331"/>
        <v>-</v>
      </c>
      <c r="AY284" s="1055" t="str">
        <f t="shared" si="331"/>
        <v>-</v>
      </c>
      <c r="AZ284" s="1055" t="str">
        <f t="shared" si="331"/>
        <v>-</v>
      </c>
      <c r="BA284" s="1055" t="str">
        <f t="shared" si="331"/>
        <v>-</v>
      </c>
      <c r="BB284" s="1056" t="str">
        <f t="shared" si="331"/>
        <v>-</v>
      </c>
      <c r="BC284" s="1055" t="str">
        <f t="shared" si="331"/>
        <v>-</v>
      </c>
      <c r="BD284" s="1055" t="str">
        <f t="shared" si="331"/>
        <v>-</v>
      </c>
      <c r="BE284" s="1055" t="str">
        <f t="shared" si="331"/>
        <v>-</v>
      </c>
      <c r="BF284" s="1055" t="str">
        <f t="shared" si="331"/>
        <v>-</v>
      </c>
      <c r="BG284" s="1056" t="str">
        <f t="shared" si="331"/>
        <v>-</v>
      </c>
      <c r="BH284" s="1048"/>
      <c r="BI284" s="2304" t="str">
        <f t="shared" si="336"/>
        <v>Rev</v>
      </c>
      <c r="BJ284" s="2305" t="str">
        <f t="shared" si="336"/>
        <v>[Service]</v>
      </c>
      <c r="BK284" s="2306" t="str">
        <f t="shared" si="336"/>
        <v>[Price]</v>
      </c>
      <c r="BL284" s="2307" t="str">
        <f t="shared" ref="BL284:BZ284" si="348">IF(OR(X284="",X284=0),"-",IFERROR((X284/W284-1)*(W284/W$13),"-"))</f>
        <v>-</v>
      </c>
      <c r="BM284" s="1055" t="str">
        <f t="shared" si="348"/>
        <v>-</v>
      </c>
      <c r="BN284" s="1055" t="str">
        <f t="shared" si="348"/>
        <v>-</v>
      </c>
      <c r="BO284" s="2308" t="str">
        <f t="shared" si="348"/>
        <v>-</v>
      </c>
      <c r="BP284" s="1055" t="str">
        <f t="shared" si="348"/>
        <v>-</v>
      </c>
      <c r="BQ284" s="2309" t="str">
        <f t="shared" si="348"/>
        <v>-</v>
      </c>
      <c r="BR284" s="1055" t="str">
        <f t="shared" si="348"/>
        <v>-</v>
      </c>
      <c r="BS284" s="1055" t="str">
        <f t="shared" si="348"/>
        <v>-</v>
      </c>
      <c r="BT284" s="1055" t="str">
        <f t="shared" si="348"/>
        <v>-</v>
      </c>
      <c r="BU284" s="1056" t="str">
        <f t="shared" si="348"/>
        <v>-</v>
      </c>
      <c r="BV284" s="1055" t="str">
        <f t="shared" si="348"/>
        <v>-</v>
      </c>
      <c r="BW284" s="1055" t="str">
        <f t="shared" si="348"/>
        <v>-</v>
      </c>
      <c r="BX284" s="1055" t="str">
        <f t="shared" si="348"/>
        <v>-</v>
      </c>
      <c r="BY284" s="1055" t="str">
        <f t="shared" si="348"/>
        <v>-</v>
      </c>
      <c r="BZ284" s="1056" t="str">
        <f t="shared" si="348"/>
        <v>-</v>
      </c>
    </row>
    <row r="285" spans="3:78" x14ac:dyDescent="0.3">
      <c r="C285" s="126"/>
      <c r="D285" s="126">
        <f>D282+1</f>
        <v>73</v>
      </c>
      <c r="E285" s="553" t="s">
        <v>45</v>
      </c>
      <c r="F285" s="581" t="s">
        <v>28</v>
      </c>
      <c r="G285" s="581"/>
      <c r="H285" s="581"/>
      <c r="I285" s="573" t="s">
        <v>319</v>
      </c>
      <c r="J285" s="573" t="s">
        <v>348</v>
      </c>
      <c r="K285" s="1969"/>
      <c r="L285" s="1970"/>
      <c r="M285" s="1970"/>
      <c r="N285" s="1971"/>
      <c r="O285" s="1970"/>
      <c r="P285" s="1970"/>
      <c r="Q285" s="1970"/>
      <c r="R285" s="1972"/>
      <c r="S285" s="1979"/>
      <c r="T285" s="1972"/>
      <c r="U285" s="1972"/>
      <c r="V285" s="1972"/>
      <c r="W285" s="575"/>
      <c r="X285" s="1238"/>
      <c r="Y285" s="575"/>
      <c r="Z285" s="575"/>
      <c r="AA285" s="575"/>
      <c r="AB285" s="1142"/>
      <c r="AC285" s="575"/>
      <c r="AD285" s="575"/>
      <c r="AE285" s="575"/>
      <c r="AF285" s="575"/>
      <c r="AG285" s="577"/>
      <c r="AH285" s="576"/>
      <c r="AI285" s="575"/>
      <c r="AJ285" s="575"/>
      <c r="AK285" s="575"/>
      <c r="AL285" s="577"/>
      <c r="AN285" s="1052"/>
      <c r="AP285" s="2297" t="str">
        <f t="shared" si="313"/>
        <v>Price</v>
      </c>
      <c r="AQ285" s="2298" t="str">
        <f t="shared" si="313"/>
        <v>[Service]</v>
      </c>
      <c r="AR285" s="1719" t="str">
        <f t="shared" si="314"/>
        <v>[Price]</v>
      </c>
      <c r="AS285" s="2299" t="str">
        <f t="shared" si="331"/>
        <v>-</v>
      </c>
      <c r="AT285" s="1728" t="str">
        <f t="shared" si="331"/>
        <v>-</v>
      </c>
      <c r="AU285" s="1728" t="str">
        <f t="shared" si="331"/>
        <v>-</v>
      </c>
      <c r="AV285" s="2300" t="str">
        <f t="shared" si="331"/>
        <v>-</v>
      </c>
      <c r="AW285" s="1728" t="str">
        <f t="shared" si="331"/>
        <v>-</v>
      </c>
      <c r="AX285" s="2301" t="str">
        <f t="shared" si="331"/>
        <v>-</v>
      </c>
      <c r="AY285" s="1728" t="str">
        <f t="shared" si="331"/>
        <v>-</v>
      </c>
      <c r="AZ285" s="1728" t="str">
        <f t="shared" si="331"/>
        <v>-</v>
      </c>
      <c r="BA285" s="1728" t="str">
        <f t="shared" si="331"/>
        <v>-</v>
      </c>
      <c r="BB285" s="1729" t="str">
        <f t="shared" si="331"/>
        <v>-</v>
      </c>
      <c r="BC285" s="1728" t="str">
        <f t="shared" si="331"/>
        <v>-</v>
      </c>
      <c r="BD285" s="1728" t="str">
        <f t="shared" si="331"/>
        <v>-</v>
      </c>
      <c r="BE285" s="1728" t="str">
        <f t="shared" si="331"/>
        <v>-</v>
      </c>
      <c r="BF285" s="1728" t="str">
        <f t="shared" si="331"/>
        <v>-</v>
      </c>
      <c r="BG285" s="1729" t="str">
        <f t="shared" si="331"/>
        <v>-</v>
      </c>
      <c r="BH285" s="1048"/>
      <c r="BI285" s="2297" t="str">
        <f t="shared" si="336"/>
        <v>Price</v>
      </c>
      <c r="BJ285" s="2298" t="str">
        <f t="shared" si="336"/>
        <v>[Service]</v>
      </c>
      <c r="BK285" s="1719" t="str">
        <f t="shared" si="336"/>
        <v>[Price]</v>
      </c>
      <c r="BL285" s="2299" t="str">
        <f t="shared" ref="BL285:BZ285" si="349">IF(OR(X285="",X285=0),"-",IFERROR((X285/W285-1)*(W287/W$13),"-"))</f>
        <v>-</v>
      </c>
      <c r="BM285" s="1053" t="str">
        <f t="shared" si="349"/>
        <v>-</v>
      </c>
      <c r="BN285" s="1053" t="str">
        <f t="shared" si="349"/>
        <v>-</v>
      </c>
      <c r="BO285" s="2302" t="str">
        <f t="shared" si="349"/>
        <v>-</v>
      </c>
      <c r="BP285" s="1053" t="str">
        <f t="shared" si="349"/>
        <v>-</v>
      </c>
      <c r="BQ285" s="2303" t="str">
        <f t="shared" si="349"/>
        <v>-</v>
      </c>
      <c r="BR285" s="1053" t="str">
        <f t="shared" si="349"/>
        <v>-</v>
      </c>
      <c r="BS285" s="1053" t="str">
        <f t="shared" si="349"/>
        <v>-</v>
      </c>
      <c r="BT285" s="1053" t="str">
        <f t="shared" si="349"/>
        <v>-</v>
      </c>
      <c r="BU285" s="1054" t="str">
        <f t="shared" si="349"/>
        <v>-</v>
      </c>
      <c r="BV285" s="1053" t="str">
        <f t="shared" si="349"/>
        <v>-</v>
      </c>
      <c r="BW285" s="1053" t="str">
        <f t="shared" si="349"/>
        <v>-</v>
      </c>
      <c r="BX285" s="1053" t="str">
        <f t="shared" si="349"/>
        <v>-</v>
      </c>
      <c r="BY285" s="1053" t="str">
        <f t="shared" si="349"/>
        <v>-</v>
      </c>
      <c r="BZ285" s="1054" t="str">
        <f t="shared" si="349"/>
        <v>-</v>
      </c>
    </row>
    <row r="286" spans="3:78" x14ac:dyDescent="0.3">
      <c r="C286" s="126"/>
      <c r="D286" s="126"/>
      <c r="E286" s="558" t="s">
        <v>46</v>
      </c>
      <c r="F286" s="1722" t="str">
        <f>+F285</f>
        <v>[Service]</v>
      </c>
      <c r="G286" s="1724">
        <f>+G285</f>
        <v>0</v>
      </c>
      <c r="H286" s="1724">
        <f>+H285</f>
        <v>0</v>
      </c>
      <c r="I286" s="1725" t="str">
        <f>+I285</f>
        <v>[Price]</v>
      </c>
      <c r="J286" s="574" t="s">
        <v>323</v>
      </c>
      <c r="K286" s="1973"/>
      <c r="L286" s="1974"/>
      <c r="M286" s="1974"/>
      <c r="N286" s="1975"/>
      <c r="O286" s="1974"/>
      <c r="P286" s="1974"/>
      <c r="Q286" s="1974"/>
      <c r="R286" s="1976"/>
      <c r="S286" s="1980"/>
      <c r="T286" s="1976"/>
      <c r="U286" s="1976"/>
      <c r="V286" s="1976"/>
      <c r="W286" s="578"/>
      <c r="X286" s="1239"/>
      <c r="Y286" s="578"/>
      <c r="Z286" s="578"/>
      <c r="AA286" s="578"/>
      <c r="AB286" s="1143"/>
      <c r="AC286" s="578"/>
      <c r="AD286" s="578"/>
      <c r="AE286" s="578"/>
      <c r="AF286" s="578"/>
      <c r="AG286" s="580"/>
      <c r="AH286" s="579"/>
      <c r="AI286" s="578"/>
      <c r="AJ286" s="578"/>
      <c r="AK286" s="578"/>
      <c r="AL286" s="580"/>
      <c r="AN286" s="991"/>
      <c r="AP286" s="2285" t="str">
        <f t="shared" si="313"/>
        <v>Qty</v>
      </c>
      <c r="AQ286" s="2286" t="str">
        <f t="shared" si="313"/>
        <v>[Service]</v>
      </c>
      <c r="AR286" s="2287" t="str">
        <f t="shared" si="314"/>
        <v>[Price]</v>
      </c>
      <c r="AS286" s="2288" t="str">
        <f t="shared" si="331"/>
        <v>-</v>
      </c>
      <c r="AT286" s="1720" t="str">
        <f t="shared" si="331"/>
        <v>-</v>
      </c>
      <c r="AU286" s="1720" t="str">
        <f t="shared" si="331"/>
        <v>-</v>
      </c>
      <c r="AV286" s="2289" t="str">
        <f t="shared" si="331"/>
        <v>-</v>
      </c>
      <c r="AW286" s="1720" t="str">
        <f t="shared" si="331"/>
        <v>-</v>
      </c>
      <c r="AX286" s="2290" t="str">
        <f t="shared" si="331"/>
        <v>-</v>
      </c>
      <c r="AY286" s="1720" t="str">
        <f t="shared" si="331"/>
        <v>-</v>
      </c>
      <c r="AZ286" s="1720" t="str">
        <f t="shared" si="331"/>
        <v>-</v>
      </c>
      <c r="BA286" s="1720" t="str">
        <f t="shared" si="331"/>
        <v>-</v>
      </c>
      <c r="BB286" s="1721" t="str">
        <f t="shared" si="331"/>
        <v>-</v>
      </c>
      <c r="BC286" s="1720" t="str">
        <f t="shared" si="331"/>
        <v>-</v>
      </c>
      <c r="BD286" s="1720" t="str">
        <f t="shared" si="331"/>
        <v>-</v>
      </c>
      <c r="BE286" s="1720" t="str">
        <f t="shared" si="331"/>
        <v>-</v>
      </c>
      <c r="BF286" s="1720" t="str">
        <f t="shared" si="331"/>
        <v>-</v>
      </c>
      <c r="BG286" s="1721" t="str">
        <f t="shared" si="331"/>
        <v>-</v>
      </c>
      <c r="BH286" s="1048"/>
      <c r="BI286" s="2285" t="str">
        <f t="shared" si="336"/>
        <v>Qty</v>
      </c>
      <c r="BJ286" s="2286" t="str">
        <f t="shared" si="336"/>
        <v>[Service]</v>
      </c>
      <c r="BK286" s="2287" t="str">
        <f t="shared" si="336"/>
        <v>[Price]</v>
      </c>
      <c r="BL286" s="2288" t="str">
        <f t="shared" ref="BL286:BZ286" si="350">IF(OR(X286="",X286=0),"-",IFERROR((X286/W286-1)*(W287/W$13),"-"))</f>
        <v>-</v>
      </c>
      <c r="BM286" s="1720" t="str">
        <f t="shared" si="350"/>
        <v>-</v>
      </c>
      <c r="BN286" s="1720" t="str">
        <f t="shared" si="350"/>
        <v>-</v>
      </c>
      <c r="BO286" s="2289" t="str">
        <f t="shared" si="350"/>
        <v>-</v>
      </c>
      <c r="BP286" s="1720" t="str">
        <f t="shared" si="350"/>
        <v>-</v>
      </c>
      <c r="BQ286" s="2290" t="str">
        <f t="shared" si="350"/>
        <v>-</v>
      </c>
      <c r="BR286" s="1720" t="str">
        <f t="shared" si="350"/>
        <v>-</v>
      </c>
      <c r="BS286" s="1720" t="str">
        <f t="shared" si="350"/>
        <v>-</v>
      </c>
      <c r="BT286" s="1720" t="str">
        <f t="shared" si="350"/>
        <v>-</v>
      </c>
      <c r="BU286" s="1721" t="str">
        <f t="shared" si="350"/>
        <v>-</v>
      </c>
      <c r="BV286" s="1720" t="str">
        <f t="shared" si="350"/>
        <v>-</v>
      </c>
      <c r="BW286" s="1720" t="str">
        <f t="shared" si="350"/>
        <v>-</v>
      </c>
      <c r="BX286" s="1720" t="str">
        <f t="shared" si="350"/>
        <v>-</v>
      </c>
      <c r="BY286" s="1720" t="str">
        <f t="shared" si="350"/>
        <v>-</v>
      </c>
      <c r="BZ286" s="1721" t="str">
        <f t="shared" si="350"/>
        <v>-</v>
      </c>
    </row>
    <row r="287" spans="3:78" ht="12.5" thickBot="1" x14ac:dyDescent="0.35">
      <c r="C287" s="126"/>
      <c r="D287" s="126"/>
      <c r="E287" s="559" t="s">
        <v>47</v>
      </c>
      <c r="F287" s="1723" t="str">
        <f>+F285</f>
        <v>[Service]</v>
      </c>
      <c r="G287" s="1726">
        <f>+G285</f>
        <v>0</v>
      </c>
      <c r="H287" s="1726">
        <f>+H285</f>
        <v>0</v>
      </c>
      <c r="I287" s="1727" t="str">
        <f>+I285</f>
        <v>[Price]</v>
      </c>
      <c r="J287" s="556" t="s">
        <v>347</v>
      </c>
      <c r="K287" s="1977"/>
      <c r="L287" s="1206"/>
      <c r="M287" s="1206"/>
      <c r="N287" s="1978"/>
      <c r="O287" s="1206"/>
      <c r="P287" s="1206"/>
      <c r="Q287" s="1206"/>
      <c r="R287" s="1206"/>
      <c r="S287" s="1978"/>
      <c r="T287" s="1206"/>
      <c r="U287" s="1206"/>
      <c r="V287" s="1206"/>
      <c r="W287" s="1731">
        <f t="shared" ref="W287:AG287" si="351">W285*W286/10^6</f>
        <v>0</v>
      </c>
      <c r="X287" s="1730">
        <f t="shared" si="351"/>
        <v>0</v>
      </c>
      <c r="Y287" s="1731">
        <f t="shared" si="351"/>
        <v>0</v>
      </c>
      <c r="Z287" s="1731">
        <f t="shared" si="351"/>
        <v>0</v>
      </c>
      <c r="AA287" s="1731">
        <f t="shared" si="351"/>
        <v>0</v>
      </c>
      <c r="AB287" s="1733">
        <f t="shared" si="351"/>
        <v>0</v>
      </c>
      <c r="AC287" s="1731">
        <f t="shared" si="351"/>
        <v>0</v>
      </c>
      <c r="AD287" s="1731">
        <f t="shared" si="351"/>
        <v>0</v>
      </c>
      <c r="AE287" s="1731">
        <f t="shared" si="351"/>
        <v>0</v>
      </c>
      <c r="AF287" s="1731">
        <f t="shared" si="351"/>
        <v>0</v>
      </c>
      <c r="AG287" s="1733">
        <f t="shared" si="351"/>
        <v>0</v>
      </c>
      <c r="AH287" s="1732">
        <f>AH285*AH286/10^6</f>
        <v>0</v>
      </c>
      <c r="AI287" s="1731">
        <f>AI285*AI286/10^6</f>
        <v>0</v>
      </c>
      <c r="AJ287" s="1731">
        <f>AJ285*AJ286/10^6</f>
        <v>0</v>
      </c>
      <c r="AK287" s="1731">
        <f>AK285*AK286/10^6</f>
        <v>0</v>
      </c>
      <c r="AL287" s="1733">
        <f>AL285*AL286/10^6</f>
        <v>0</v>
      </c>
      <c r="AN287" s="991"/>
      <c r="AP287" s="2304" t="str">
        <f t="shared" si="313"/>
        <v>Rev</v>
      </c>
      <c r="AQ287" s="2305" t="str">
        <f t="shared" si="313"/>
        <v>[Service]</v>
      </c>
      <c r="AR287" s="2306" t="str">
        <f t="shared" si="314"/>
        <v>[Price]</v>
      </c>
      <c r="AS287" s="2307" t="str">
        <f t="shared" si="331"/>
        <v>-</v>
      </c>
      <c r="AT287" s="1055" t="str">
        <f t="shared" si="331"/>
        <v>-</v>
      </c>
      <c r="AU287" s="1055" t="str">
        <f t="shared" si="331"/>
        <v>-</v>
      </c>
      <c r="AV287" s="2308" t="str">
        <f t="shared" si="331"/>
        <v>-</v>
      </c>
      <c r="AW287" s="1055" t="str">
        <f t="shared" si="331"/>
        <v>-</v>
      </c>
      <c r="AX287" s="2309" t="str">
        <f t="shared" si="331"/>
        <v>-</v>
      </c>
      <c r="AY287" s="1055" t="str">
        <f t="shared" si="331"/>
        <v>-</v>
      </c>
      <c r="AZ287" s="1055" t="str">
        <f t="shared" si="331"/>
        <v>-</v>
      </c>
      <c r="BA287" s="1055" t="str">
        <f t="shared" si="331"/>
        <v>-</v>
      </c>
      <c r="BB287" s="1056" t="str">
        <f t="shared" si="331"/>
        <v>-</v>
      </c>
      <c r="BC287" s="1055" t="str">
        <f t="shared" si="331"/>
        <v>-</v>
      </c>
      <c r="BD287" s="1055" t="str">
        <f t="shared" si="331"/>
        <v>-</v>
      </c>
      <c r="BE287" s="1055" t="str">
        <f t="shared" si="331"/>
        <v>-</v>
      </c>
      <c r="BF287" s="1055" t="str">
        <f t="shared" si="331"/>
        <v>-</v>
      </c>
      <c r="BG287" s="1056" t="str">
        <f t="shared" si="331"/>
        <v>-</v>
      </c>
      <c r="BH287" s="1048"/>
      <c r="BI287" s="2304" t="str">
        <f t="shared" si="336"/>
        <v>Rev</v>
      </c>
      <c r="BJ287" s="2305" t="str">
        <f t="shared" si="336"/>
        <v>[Service]</v>
      </c>
      <c r="BK287" s="2306" t="str">
        <f t="shared" si="336"/>
        <v>[Price]</v>
      </c>
      <c r="BL287" s="2307" t="str">
        <f t="shared" ref="BL287:BZ287" si="352">IF(OR(X287="",X287=0),"-",IFERROR((X287/W287-1)*(W287/W$13),"-"))</f>
        <v>-</v>
      </c>
      <c r="BM287" s="1055" t="str">
        <f t="shared" si="352"/>
        <v>-</v>
      </c>
      <c r="BN287" s="1055" t="str">
        <f t="shared" si="352"/>
        <v>-</v>
      </c>
      <c r="BO287" s="2308" t="str">
        <f t="shared" si="352"/>
        <v>-</v>
      </c>
      <c r="BP287" s="1055" t="str">
        <f t="shared" si="352"/>
        <v>-</v>
      </c>
      <c r="BQ287" s="2309" t="str">
        <f t="shared" si="352"/>
        <v>-</v>
      </c>
      <c r="BR287" s="1055" t="str">
        <f t="shared" si="352"/>
        <v>-</v>
      </c>
      <c r="BS287" s="1055" t="str">
        <f t="shared" si="352"/>
        <v>-</v>
      </c>
      <c r="BT287" s="1055" t="str">
        <f t="shared" si="352"/>
        <v>-</v>
      </c>
      <c r="BU287" s="1056" t="str">
        <f t="shared" si="352"/>
        <v>-</v>
      </c>
      <c r="BV287" s="1055" t="str">
        <f t="shared" si="352"/>
        <v>-</v>
      </c>
      <c r="BW287" s="1055" t="str">
        <f t="shared" si="352"/>
        <v>-</v>
      </c>
      <c r="BX287" s="1055" t="str">
        <f t="shared" si="352"/>
        <v>-</v>
      </c>
      <c r="BY287" s="1055" t="str">
        <f t="shared" si="352"/>
        <v>-</v>
      </c>
      <c r="BZ287" s="1056" t="str">
        <f t="shared" si="352"/>
        <v>-</v>
      </c>
    </row>
    <row r="288" spans="3:78" x14ac:dyDescent="0.3">
      <c r="C288" s="126"/>
      <c r="D288" s="126">
        <f>D285+1</f>
        <v>74</v>
      </c>
      <c r="E288" s="553" t="s">
        <v>45</v>
      </c>
      <c r="F288" s="581" t="s">
        <v>28</v>
      </c>
      <c r="G288" s="581"/>
      <c r="H288" s="581"/>
      <c r="I288" s="573" t="s">
        <v>319</v>
      </c>
      <c r="J288" s="573" t="s">
        <v>348</v>
      </c>
      <c r="K288" s="1969"/>
      <c r="L288" s="1970"/>
      <c r="M288" s="1970"/>
      <c r="N288" s="1971"/>
      <c r="O288" s="1970"/>
      <c r="P288" s="1970"/>
      <c r="Q288" s="1970"/>
      <c r="R288" s="1972"/>
      <c r="S288" s="1979"/>
      <c r="T288" s="1972"/>
      <c r="U288" s="1972"/>
      <c r="V288" s="1972"/>
      <c r="W288" s="575"/>
      <c r="X288" s="1238"/>
      <c r="Y288" s="575"/>
      <c r="Z288" s="575"/>
      <c r="AA288" s="575"/>
      <c r="AB288" s="1142"/>
      <c r="AC288" s="575"/>
      <c r="AD288" s="575"/>
      <c r="AE288" s="575"/>
      <c r="AF288" s="575"/>
      <c r="AG288" s="577"/>
      <c r="AH288" s="576"/>
      <c r="AI288" s="575"/>
      <c r="AJ288" s="575"/>
      <c r="AK288" s="575"/>
      <c r="AL288" s="577"/>
      <c r="AN288" s="1052"/>
      <c r="AP288" s="2297" t="str">
        <f t="shared" si="313"/>
        <v>Price</v>
      </c>
      <c r="AQ288" s="2298" t="str">
        <f t="shared" si="313"/>
        <v>[Service]</v>
      </c>
      <c r="AR288" s="1719" t="str">
        <f t="shared" si="314"/>
        <v>[Price]</v>
      </c>
      <c r="AS288" s="2299" t="str">
        <f t="shared" si="331"/>
        <v>-</v>
      </c>
      <c r="AT288" s="1728" t="str">
        <f t="shared" si="331"/>
        <v>-</v>
      </c>
      <c r="AU288" s="1728" t="str">
        <f t="shared" si="331"/>
        <v>-</v>
      </c>
      <c r="AV288" s="2300" t="str">
        <f t="shared" si="331"/>
        <v>-</v>
      </c>
      <c r="AW288" s="1728" t="str">
        <f t="shared" si="331"/>
        <v>-</v>
      </c>
      <c r="AX288" s="2301" t="str">
        <f t="shared" si="331"/>
        <v>-</v>
      </c>
      <c r="AY288" s="1728" t="str">
        <f t="shared" si="331"/>
        <v>-</v>
      </c>
      <c r="AZ288" s="1728" t="str">
        <f t="shared" si="331"/>
        <v>-</v>
      </c>
      <c r="BA288" s="1728" t="str">
        <f t="shared" si="331"/>
        <v>-</v>
      </c>
      <c r="BB288" s="1729" t="str">
        <f t="shared" si="331"/>
        <v>-</v>
      </c>
      <c r="BC288" s="1728" t="str">
        <f t="shared" si="331"/>
        <v>-</v>
      </c>
      <c r="BD288" s="1728" t="str">
        <f t="shared" si="331"/>
        <v>-</v>
      </c>
      <c r="BE288" s="1728" t="str">
        <f t="shared" si="331"/>
        <v>-</v>
      </c>
      <c r="BF288" s="1728" t="str">
        <f t="shared" si="331"/>
        <v>-</v>
      </c>
      <c r="BG288" s="1729" t="str">
        <f t="shared" si="331"/>
        <v>-</v>
      </c>
      <c r="BH288" s="1048"/>
      <c r="BI288" s="2297" t="str">
        <f t="shared" si="336"/>
        <v>Price</v>
      </c>
      <c r="BJ288" s="2298" t="str">
        <f t="shared" si="336"/>
        <v>[Service]</v>
      </c>
      <c r="BK288" s="1719" t="str">
        <f t="shared" si="336"/>
        <v>[Price]</v>
      </c>
      <c r="BL288" s="2299" t="str">
        <f t="shared" ref="BL288:BZ288" si="353">IF(OR(X288="",X288=0),"-",IFERROR((X288/W288-1)*(W290/W$13),"-"))</f>
        <v>-</v>
      </c>
      <c r="BM288" s="1053" t="str">
        <f t="shared" si="353"/>
        <v>-</v>
      </c>
      <c r="BN288" s="1053" t="str">
        <f t="shared" si="353"/>
        <v>-</v>
      </c>
      <c r="BO288" s="2302" t="str">
        <f t="shared" si="353"/>
        <v>-</v>
      </c>
      <c r="BP288" s="1053" t="str">
        <f t="shared" si="353"/>
        <v>-</v>
      </c>
      <c r="BQ288" s="2303" t="str">
        <f t="shared" si="353"/>
        <v>-</v>
      </c>
      <c r="BR288" s="1053" t="str">
        <f t="shared" si="353"/>
        <v>-</v>
      </c>
      <c r="BS288" s="1053" t="str">
        <f t="shared" si="353"/>
        <v>-</v>
      </c>
      <c r="BT288" s="1053" t="str">
        <f t="shared" si="353"/>
        <v>-</v>
      </c>
      <c r="BU288" s="1054" t="str">
        <f t="shared" si="353"/>
        <v>-</v>
      </c>
      <c r="BV288" s="1053" t="str">
        <f t="shared" si="353"/>
        <v>-</v>
      </c>
      <c r="BW288" s="1053" t="str">
        <f t="shared" si="353"/>
        <v>-</v>
      </c>
      <c r="BX288" s="1053" t="str">
        <f t="shared" si="353"/>
        <v>-</v>
      </c>
      <c r="BY288" s="1053" t="str">
        <f t="shared" si="353"/>
        <v>-</v>
      </c>
      <c r="BZ288" s="1054" t="str">
        <f t="shared" si="353"/>
        <v>-</v>
      </c>
    </row>
    <row r="289" spans="3:78" x14ac:dyDescent="0.3">
      <c r="C289" s="126"/>
      <c r="D289" s="126"/>
      <c r="E289" s="558" t="s">
        <v>46</v>
      </c>
      <c r="F289" s="1722" t="str">
        <f>+F288</f>
        <v>[Service]</v>
      </c>
      <c r="G289" s="1724">
        <f>+G288</f>
        <v>0</v>
      </c>
      <c r="H289" s="1724">
        <f>+H288</f>
        <v>0</v>
      </c>
      <c r="I289" s="1725" t="str">
        <f>+I288</f>
        <v>[Price]</v>
      </c>
      <c r="J289" s="574" t="s">
        <v>323</v>
      </c>
      <c r="K289" s="1973"/>
      <c r="L289" s="1974"/>
      <c r="M289" s="1974"/>
      <c r="N289" s="1975"/>
      <c r="O289" s="1974"/>
      <c r="P289" s="1974"/>
      <c r="Q289" s="1974"/>
      <c r="R289" s="1976"/>
      <c r="S289" s="1980"/>
      <c r="T289" s="1976"/>
      <c r="U289" s="1976"/>
      <c r="V289" s="1976"/>
      <c r="W289" s="578"/>
      <c r="X289" s="1239"/>
      <c r="Y289" s="578"/>
      <c r="Z289" s="578"/>
      <c r="AA289" s="578"/>
      <c r="AB289" s="1143"/>
      <c r="AC289" s="578"/>
      <c r="AD289" s="578"/>
      <c r="AE289" s="578"/>
      <c r="AF289" s="578"/>
      <c r="AG289" s="580"/>
      <c r="AH289" s="579"/>
      <c r="AI289" s="578"/>
      <c r="AJ289" s="578"/>
      <c r="AK289" s="578"/>
      <c r="AL289" s="580"/>
      <c r="AN289" s="991"/>
      <c r="AP289" s="2285" t="str">
        <f t="shared" si="313"/>
        <v>Qty</v>
      </c>
      <c r="AQ289" s="2286" t="str">
        <f t="shared" si="313"/>
        <v>[Service]</v>
      </c>
      <c r="AR289" s="2287" t="str">
        <f t="shared" si="314"/>
        <v>[Price]</v>
      </c>
      <c r="AS289" s="2288" t="str">
        <f t="shared" si="331"/>
        <v>-</v>
      </c>
      <c r="AT289" s="1720" t="str">
        <f t="shared" si="331"/>
        <v>-</v>
      </c>
      <c r="AU289" s="1720" t="str">
        <f t="shared" si="331"/>
        <v>-</v>
      </c>
      <c r="AV289" s="2289" t="str">
        <f t="shared" si="331"/>
        <v>-</v>
      </c>
      <c r="AW289" s="1720" t="str">
        <f t="shared" si="331"/>
        <v>-</v>
      </c>
      <c r="AX289" s="2290" t="str">
        <f t="shared" si="331"/>
        <v>-</v>
      </c>
      <c r="AY289" s="1720" t="str">
        <f t="shared" si="331"/>
        <v>-</v>
      </c>
      <c r="AZ289" s="1720" t="str">
        <f t="shared" si="331"/>
        <v>-</v>
      </c>
      <c r="BA289" s="1720" t="str">
        <f t="shared" si="331"/>
        <v>-</v>
      </c>
      <c r="BB289" s="1721" t="str">
        <f t="shared" si="331"/>
        <v>-</v>
      </c>
      <c r="BC289" s="1720" t="str">
        <f t="shared" si="331"/>
        <v>-</v>
      </c>
      <c r="BD289" s="1720" t="str">
        <f t="shared" si="331"/>
        <v>-</v>
      </c>
      <c r="BE289" s="1720" t="str">
        <f t="shared" si="331"/>
        <v>-</v>
      </c>
      <c r="BF289" s="1720" t="str">
        <f t="shared" si="331"/>
        <v>-</v>
      </c>
      <c r="BG289" s="1721" t="str">
        <f t="shared" si="331"/>
        <v>-</v>
      </c>
      <c r="BH289" s="1048"/>
      <c r="BI289" s="2285" t="str">
        <f t="shared" si="336"/>
        <v>Qty</v>
      </c>
      <c r="BJ289" s="2286" t="str">
        <f t="shared" si="336"/>
        <v>[Service]</v>
      </c>
      <c r="BK289" s="2287" t="str">
        <f t="shared" si="336"/>
        <v>[Price]</v>
      </c>
      <c r="BL289" s="2288" t="str">
        <f t="shared" ref="BL289:BZ289" si="354">IF(OR(X289="",X289=0),"-",IFERROR((X289/W289-1)*(W290/W$13),"-"))</f>
        <v>-</v>
      </c>
      <c r="BM289" s="1720" t="str">
        <f t="shared" si="354"/>
        <v>-</v>
      </c>
      <c r="BN289" s="1720" t="str">
        <f t="shared" si="354"/>
        <v>-</v>
      </c>
      <c r="BO289" s="2289" t="str">
        <f t="shared" si="354"/>
        <v>-</v>
      </c>
      <c r="BP289" s="1720" t="str">
        <f t="shared" si="354"/>
        <v>-</v>
      </c>
      <c r="BQ289" s="2290" t="str">
        <f t="shared" si="354"/>
        <v>-</v>
      </c>
      <c r="BR289" s="1720" t="str">
        <f t="shared" si="354"/>
        <v>-</v>
      </c>
      <c r="BS289" s="1720" t="str">
        <f t="shared" si="354"/>
        <v>-</v>
      </c>
      <c r="BT289" s="1720" t="str">
        <f t="shared" si="354"/>
        <v>-</v>
      </c>
      <c r="BU289" s="1721" t="str">
        <f t="shared" si="354"/>
        <v>-</v>
      </c>
      <c r="BV289" s="1720" t="str">
        <f t="shared" si="354"/>
        <v>-</v>
      </c>
      <c r="BW289" s="1720" t="str">
        <f t="shared" si="354"/>
        <v>-</v>
      </c>
      <c r="BX289" s="1720" t="str">
        <f t="shared" si="354"/>
        <v>-</v>
      </c>
      <c r="BY289" s="1720" t="str">
        <f t="shared" si="354"/>
        <v>-</v>
      </c>
      <c r="BZ289" s="1721" t="str">
        <f t="shared" si="354"/>
        <v>-</v>
      </c>
    </row>
    <row r="290" spans="3:78" ht="12.5" thickBot="1" x14ac:dyDescent="0.35">
      <c r="C290" s="126"/>
      <c r="D290" s="126"/>
      <c r="E290" s="559" t="s">
        <v>47</v>
      </c>
      <c r="F290" s="1723" t="str">
        <f>+F288</f>
        <v>[Service]</v>
      </c>
      <c r="G290" s="1726">
        <f>+G288</f>
        <v>0</v>
      </c>
      <c r="H290" s="1726">
        <f>+H288</f>
        <v>0</v>
      </c>
      <c r="I290" s="1727" t="str">
        <f>+I288</f>
        <v>[Price]</v>
      </c>
      <c r="J290" s="556" t="s">
        <v>347</v>
      </c>
      <c r="K290" s="1977"/>
      <c r="L290" s="1206"/>
      <c r="M290" s="1206"/>
      <c r="N290" s="1978"/>
      <c r="O290" s="1206"/>
      <c r="P290" s="1206"/>
      <c r="Q290" s="1206"/>
      <c r="R290" s="1206"/>
      <c r="S290" s="1978"/>
      <c r="T290" s="1206"/>
      <c r="U290" s="1206"/>
      <c r="V290" s="1206"/>
      <c r="W290" s="1731">
        <f t="shared" ref="W290:AG290" si="355">W288*W289/10^6</f>
        <v>0</v>
      </c>
      <c r="X290" s="1730">
        <f t="shared" si="355"/>
        <v>0</v>
      </c>
      <c r="Y290" s="1731">
        <f t="shared" si="355"/>
        <v>0</v>
      </c>
      <c r="Z290" s="1731">
        <f t="shared" si="355"/>
        <v>0</v>
      </c>
      <c r="AA290" s="1731">
        <f t="shared" si="355"/>
        <v>0</v>
      </c>
      <c r="AB290" s="1733">
        <f t="shared" si="355"/>
        <v>0</v>
      </c>
      <c r="AC290" s="1731">
        <f t="shared" si="355"/>
        <v>0</v>
      </c>
      <c r="AD290" s="1731">
        <f t="shared" si="355"/>
        <v>0</v>
      </c>
      <c r="AE290" s="1731">
        <f t="shared" si="355"/>
        <v>0</v>
      </c>
      <c r="AF290" s="1731">
        <f t="shared" si="355"/>
        <v>0</v>
      </c>
      <c r="AG290" s="1733">
        <f t="shared" si="355"/>
        <v>0</v>
      </c>
      <c r="AH290" s="1732">
        <f>AH288*AH289/10^6</f>
        <v>0</v>
      </c>
      <c r="AI290" s="1731">
        <f>AI288*AI289/10^6</f>
        <v>0</v>
      </c>
      <c r="AJ290" s="1731">
        <f>AJ288*AJ289/10^6</f>
        <v>0</v>
      </c>
      <c r="AK290" s="1731">
        <f>AK288*AK289/10^6</f>
        <v>0</v>
      </c>
      <c r="AL290" s="1733">
        <f>AL288*AL289/10^6</f>
        <v>0</v>
      </c>
      <c r="AN290" s="991"/>
      <c r="AP290" s="2304" t="str">
        <f t="shared" si="313"/>
        <v>Rev</v>
      </c>
      <c r="AQ290" s="2305" t="str">
        <f t="shared" si="313"/>
        <v>[Service]</v>
      </c>
      <c r="AR290" s="2306" t="str">
        <f t="shared" si="314"/>
        <v>[Price]</v>
      </c>
      <c r="AS290" s="2307" t="str">
        <f t="shared" ref="AS290:BG306" si="356">IF(OR(X290="",X290=0),"-",IFERROR(X290/W290-1,"-"))</f>
        <v>-</v>
      </c>
      <c r="AT290" s="1055" t="str">
        <f t="shared" si="356"/>
        <v>-</v>
      </c>
      <c r="AU290" s="1055" t="str">
        <f t="shared" si="356"/>
        <v>-</v>
      </c>
      <c r="AV290" s="2308" t="str">
        <f t="shared" si="356"/>
        <v>-</v>
      </c>
      <c r="AW290" s="1055" t="str">
        <f t="shared" si="356"/>
        <v>-</v>
      </c>
      <c r="AX290" s="2309" t="str">
        <f t="shared" si="356"/>
        <v>-</v>
      </c>
      <c r="AY290" s="1055" t="str">
        <f t="shared" si="356"/>
        <v>-</v>
      </c>
      <c r="AZ290" s="1055" t="str">
        <f t="shared" si="356"/>
        <v>-</v>
      </c>
      <c r="BA290" s="1055" t="str">
        <f t="shared" si="356"/>
        <v>-</v>
      </c>
      <c r="BB290" s="1056" t="str">
        <f t="shared" si="356"/>
        <v>-</v>
      </c>
      <c r="BC290" s="1055" t="str">
        <f t="shared" si="356"/>
        <v>-</v>
      </c>
      <c r="BD290" s="1055" t="str">
        <f t="shared" si="356"/>
        <v>-</v>
      </c>
      <c r="BE290" s="1055" t="str">
        <f t="shared" si="356"/>
        <v>-</v>
      </c>
      <c r="BF290" s="1055" t="str">
        <f t="shared" si="356"/>
        <v>-</v>
      </c>
      <c r="BG290" s="1056" t="str">
        <f t="shared" si="356"/>
        <v>-</v>
      </c>
      <c r="BH290" s="1048"/>
      <c r="BI290" s="2304" t="str">
        <f t="shared" si="336"/>
        <v>Rev</v>
      </c>
      <c r="BJ290" s="2305" t="str">
        <f t="shared" si="336"/>
        <v>[Service]</v>
      </c>
      <c r="BK290" s="2306" t="str">
        <f t="shared" si="336"/>
        <v>[Price]</v>
      </c>
      <c r="BL290" s="2307" t="str">
        <f t="shared" ref="BL290:BZ290" si="357">IF(OR(X290="",X290=0),"-",IFERROR((X290/W290-1)*(W290/W$13),"-"))</f>
        <v>-</v>
      </c>
      <c r="BM290" s="1055" t="str">
        <f t="shared" si="357"/>
        <v>-</v>
      </c>
      <c r="BN290" s="1055" t="str">
        <f t="shared" si="357"/>
        <v>-</v>
      </c>
      <c r="BO290" s="2308" t="str">
        <f t="shared" si="357"/>
        <v>-</v>
      </c>
      <c r="BP290" s="1055" t="str">
        <f t="shared" si="357"/>
        <v>-</v>
      </c>
      <c r="BQ290" s="2309" t="str">
        <f t="shared" si="357"/>
        <v>-</v>
      </c>
      <c r="BR290" s="1055" t="str">
        <f t="shared" si="357"/>
        <v>-</v>
      </c>
      <c r="BS290" s="1055" t="str">
        <f t="shared" si="357"/>
        <v>-</v>
      </c>
      <c r="BT290" s="1055" t="str">
        <f t="shared" si="357"/>
        <v>-</v>
      </c>
      <c r="BU290" s="1056" t="str">
        <f t="shared" si="357"/>
        <v>-</v>
      </c>
      <c r="BV290" s="1055" t="str">
        <f t="shared" si="357"/>
        <v>-</v>
      </c>
      <c r="BW290" s="1055" t="str">
        <f t="shared" si="357"/>
        <v>-</v>
      </c>
      <c r="BX290" s="1055" t="str">
        <f t="shared" si="357"/>
        <v>-</v>
      </c>
      <c r="BY290" s="1055" t="str">
        <f t="shared" si="357"/>
        <v>-</v>
      </c>
      <c r="BZ290" s="1056" t="str">
        <f t="shared" si="357"/>
        <v>-</v>
      </c>
    </row>
    <row r="291" spans="3:78" x14ac:dyDescent="0.3">
      <c r="C291" s="126"/>
      <c r="D291" s="126">
        <f>D288+1</f>
        <v>75</v>
      </c>
      <c r="E291" s="553" t="s">
        <v>45</v>
      </c>
      <c r="F291" s="581" t="s">
        <v>28</v>
      </c>
      <c r="G291" s="581"/>
      <c r="H291" s="581"/>
      <c r="I291" s="573" t="s">
        <v>319</v>
      </c>
      <c r="J291" s="573" t="s">
        <v>348</v>
      </c>
      <c r="K291" s="1969"/>
      <c r="L291" s="1970"/>
      <c r="M291" s="1970"/>
      <c r="N291" s="1971"/>
      <c r="O291" s="1970"/>
      <c r="P291" s="1970"/>
      <c r="Q291" s="1970"/>
      <c r="R291" s="1972"/>
      <c r="S291" s="1979"/>
      <c r="T291" s="1972"/>
      <c r="U291" s="1972"/>
      <c r="V291" s="1972"/>
      <c r="W291" s="575"/>
      <c r="X291" s="1238"/>
      <c r="Y291" s="575"/>
      <c r="Z291" s="575"/>
      <c r="AA291" s="575"/>
      <c r="AB291" s="1142"/>
      <c r="AC291" s="575"/>
      <c r="AD291" s="575"/>
      <c r="AE291" s="575"/>
      <c r="AF291" s="575"/>
      <c r="AG291" s="577"/>
      <c r="AH291" s="576"/>
      <c r="AI291" s="575"/>
      <c r="AJ291" s="575"/>
      <c r="AK291" s="575"/>
      <c r="AL291" s="577"/>
      <c r="AN291" s="1052"/>
      <c r="AP291" s="2297" t="str">
        <f t="shared" si="313"/>
        <v>Price</v>
      </c>
      <c r="AQ291" s="2298" t="str">
        <f t="shared" si="313"/>
        <v>[Service]</v>
      </c>
      <c r="AR291" s="1719" t="str">
        <f t="shared" si="314"/>
        <v>[Price]</v>
      </c>
      <c r="AS291" s="2299" t="str">
        <f t="shared" si="356"/>
        <v>-</v>
      </c>
      <c r="AT291" s="1728" t="str">
        <f t="shared" si="356"/>
        <v>-</v>
      </c>
      <c r="AU291" s="1728" t="str">
        <f t="shared" si="356"/>
        <v>-</v>
      </c>
      <c r="AV291" s="2300" t="str">
        <f t="shared" si="356"/>
        <v>-</v>
      </c>
      <c r="AW291" s="1728" t="str">
        <f t="shared" si="356"/>
        <v>-</v>
      </c>
      <c r="AX291" s="2301" t="str">
        <f t="shared" si="356"/>
        <v>-</v>
      </c>
      <c r="AY291" s="1728" t="str">
        <f t="shared" si="356"/>
        <v>-</v>
      </c>
      <c r="AZ291" s="1728" t="str">
        <f t="shared" si="356"/>
        <v>-</v>
      </c>
      <c r="BA291" s="1728" t="str">
        <f t="shared" si="356"/>
        <v>-</v>
      </c>
      <c r="BB291" s="1729" t="str">
        <f t="shared" si="356"/>
        <v>-</v>
      </c>
      <c r="BC291" s="1728" t="str">
        <f t="shared" si="356"/>
        <v>-</v>
      </c>
      <c r="BD291" s="1728" t="str">
        <f t="shared" si="356"/>
        <v>-</v>
      </c>
      <c r="BE291" s="1728" t="str">
        <f t="shared" si="356"/>
        <v>-</v>
      </c>
      <c r="BF291" s="1728" t="str">
        <f t="shared" si="356"/>
        <v>-</v>
      </c>
      <c r="BG291" s="1729" t="str">
        <f t="shared" si="356"/>
        <v>-</v>
      </c>
      <c r="BH291" s="1048"/>
      <c r="BI291" s="2297" t="str">
        <f t="shared" si="336"/>
        <v>Price</v>
      </c>
      <c r="BJ291" s="2298" t="str">
        <f t="shared" si="336"/>
        <v>[Service]</v>
      </c>
      <c r="BK291" s="1719" t="str">
        <f t="shared" si="336"/>
        <v>[Price]</v>
      </c>
      <c r="BL291" s="2299" t="str">
        <f t="shared" ref="BL291:BZ291" si="358">IF(OR(X291="",X291=0),"-",IFERROR((X291/W291-1)*(W293/W$13),"-"))</f>
        <v>-</v>
      </c>
      <c r="BM291" s="1053" t="str">
        <f t="shared" si="358"/>
        <v>-</v>
      </c>
      <c r="BN291" s="1053" t="str">
        <f t="shared" si="358"/>
        <v>-</v>
      </c>
      <c r="BO291" s="2302" t="str">
        <f t="shared" si="358"/>
        <v>-</v>
      </c>
      <c r="BP291" s="1053" t="str">
        <f t="shared" si="358"/>
        <v>-</v>
      </c>
      <c r="BQ291" s="2303" t="str">
        <f t="shared" si="358"/>
        <v>-</v>
      </c>
      <c r="BR291" s="1053" t="str">
        <f t="shared" si="358"/>
        <v>-</v>
      </c>
      <c r="BS291" s="1053" t="str">
        <f t="shared" si="358"/>
        <v>-</v>
      </c>
      <c r="BT291" s="1053" t="str">
        <f t="shared" si="358"/>
        <v>-</v>
      </c>
      <c r="BU291" s="1054" t="str">
        <f t="shared" si="358"/>
        <v>-</v>
      </c>
      <c r="BV291" s="1053" t="str">
        <f t="shared" si="358"/>
        <v>-</v>
      </c>
      <c r="BW291" s="1053" t="str">
        <f t="shared" si="358"/>
        <v>-</v>
      </c>
      <c r="BX291" s="1053" t="str">
        <f t="shared" si="358"/>
        <v>-</v>
      </c>
      <c r="BY291" s="1053" t="str">
        <f t="shared" si="358"/>
        <v>-</v>
      </c>
      <c r="BZ291" s="1054" t="str">
        <f t="shared" si="358"/>
        <v>-</v>
      </c>
    </row>
    <row r="292" spans="3:78" x14ac:dyDescent="0.3">
      <c r="C292" s="126"/>
      <c r="D292" s="126"/>
      <c r="E292" s="558" t="s">
        <v>46</v>
      </c>
      <c r="F292" s="1722" t="str">
        <f>+F291</f>
        <v>[Service]</v>
      </c>
      <c r="G292" s="1724">
        <f>+G291</f>
        <v>0</v>
      </c>
      <c r="H292" s="1724">
        <f>+H291</f>
        <v>0</v>
      </c>
      <c r="I292" s="1725" t="str">
        <f>+I291</f>
        <v>[Price]</v>
      </c>
      <c r="J292" s="574" t="s">
        <v>323</v>
      </c>
      <c r="K292" s="1973"/>
      <c r="L292" s="1974"/>
      <c r="M292" s="1974"/>
      <c r="N292" s="1975"/>
      <c r="O292" s="1974"/>
      <c r="P292" s="1974"/>
      <c r="Q292" s="1974"/>
      <c r="R292" s="1976"/>
      <c r="S292" s="1980"/>
      <c r="T292" s="1976"/>
      <c r="U292" s="1976"/>
      <c r="V292" s="1976"/>
      <c r="W292" s="578"/>
      <c r="X292" s="1239"/>
      <c r="Y292" s="578"/>
      <c r="Z292" s="578"/>
      <c r="AA292" s="578"/>
      <c r="AB292" s="1143"/>
      <c r="AC292" s="578"/>
      <c r="AD292" s="578"/>
      <c r="AE292" s="578"/>
      <c r="AF292" s="578"/>
      <c r="AG292" s="580"/>
      <c r="AH292" s="579"/>
      <c r="AI292" s="578"/>
      <c r="AJ292" s="578"/>
      <c r="AK292" s="578"/>
      <c r="AL292" s="580"/>
      <c r="AN292" s="991"/>
      <c r="AP292" s="2285" t="str">
        <f t="shared" si="313"/>
        <v>Qty</v>
      </c>
      <c r="AQ292" s="2286" t="str">
        <f t="shared" si="313"/>
        <v>[Service]</v>
      </c>
      <c r="AR292" s="2287" t="str">
        <f t="shared" si="314"/>
        <v>[Price]</v>
      </c>
      <c r="AS292" s="2288" t="str">
        <f t="shared" si="356"/>
        <v>-</v>
      </c>
      <c r="AT292" s="1720" t="str">
        <f t="shared" si="356"/>
        <v>-</v>
      </c>
      <c r="AU292" s="1720" t="str">
        <f t="shared" si="356"/>
        <v>-</v>
      </c>
      <c r="AV292" s="2289" t="str">
        <f t="shared" si="356"/>
        <v>-</v>
      </c>
      <c r="AW292" s="1720" t="str">
        <f t="shared" si="356"/>
        <v>-</v>
      </c>
      <c r="AX292" s="2290" t="str">
        <f t="shared" si="356"/>
        <v>-</v>
      </c>
      <c r="AY292" s="1720" t="str">
        <f t="shared" si="356"/>
        <v>-</v>
      </c>
      <c r="AZ292" s="1720" t="str">
        <f t="shared" si="356"/>
        <v>-</v>
      </c>
      <c r="BA292" s="1720" t="str">
        <f t="shared" si="356"/>
        <v>-</v>
      </c>
      <c r="BB292" s="1721" t="str">
        <f t="shared" si="356"/>
        <v>-</v>
      </c>
      <c r="BC292" s="1720" t="str">
        <f t="shared" si="356"/>
        <v>-</v>
      </c>
      <c r="BD292" s="1720" t="str">
        <f t="shared" si="356"/>
        <v>-</v>
      </c>
      <c r="BE292" s="1720" t="str">
        <f t="shared" si="356"/>
        <v>-</v>
      </c>
      <c r="BF292" s="1720" t="str">
        <f t="shared" si="356"/>
        <v>-</v>
      </c>
      <c r="BG292" s="1721" t="str">
        <f t="shared" si="356"/>
        <v>-</v>
      </c>
      <c r="BH292" s="1048"/>
      <c r="BI292" s="2285" t="str">
        <f t="shared" si="336"/>
        <v>Qty</v>
      </c>
      <c r="BJ292" s="2286" t="str">
        <f t="shared" si="336"/>
        <v>[Service]</v>
      </c>
      <c r="BK292" s="2287" t="str">
        <f t="shared" si="336"/>
        <v>[Price]</v>
      </c>
      <c r="BL292" s="2288" t="str">
        <f t="shared" ref="BL292:BZ292" si="359">IF(OR(X292="",X292=0),"-",IFERROR((X292/W292-1)*(W293/W$13),"-"))</f>
        <v>-</v>
      </c>
      <c r="BM292" s="1720" t="str">
        <f t="shared" si="359"/>
        <v>-</v>
      </c>
      <c r="BN292" s="1720" t="str">
        <f t="shared" si="359"/>
        <v>-</v>
      </c>
      <c r="BO292" s="2289" t="str">
        <f t="shared" si="359"/>
        <v>-</v>
      </c>
      <c r="BP292" s="1720" t="str">
        <f t="shared" si="359"/>
        <v>-</v>
      </c>
      <c r="BQ292" s="2290" t="str">
        <f t="shared" si="359"/>
        <v>-</v>
      </c>
      <c r="BR292" s="1720" t="str">
        <f t="shared" si="359"/>
        <v>-</v>
      </c>
      <c r="BS292" s="1720" t="str">
        <f t="shared" si="359"/>
        <v>-</v>
      </c>
      <c r="BT292" s="1720" t="str">
        <f t="shared" si="359"/>
        <v>-</v>
      </c>
      <c r="BU292" s="1721" t="str">
        <f t="shared" si="359"/>
        <v>-</v>
      </c>
      <c r="BV292" s="1720" t="str">
        <f t="shared" si="359"/>
        <v>-</v>
      </c>
      <c r="BW292" s="1720" t="str">
        <f t="shared" si="359"/>
        <v>-</v>
      </c>
      <c r="BX292" s="1720" t="str">
        <f t="shared" si="359"/>
        <v>-</v>
      </c>
      <c r="BY292" s="1720" t="str">
        <f t="shared" si="359"/>
        <v>-</v>
      </c>
      <c r="BZ292" s="1721" t="str">
        <f t="shared" si="359"/>
        <v>-</v>
      </c>
    </row>
    <row r="293" spans="3:78" ht="12.5" thickBot="1" x14ac:dyDescent="0.35">
      <c r="C293" s="126"/>
      <c r="D293" s="126"/>
      <c r="E293" s="559" t="s">
        <v>47</v>
      </c>
      <c r="F293" s="1723" t="str">
        <f>+F291</f>
        <v>[Service]</v>
      </c>
      <c r="G293" s="1726">
        <f>+G291</f>
        <v>0</v>
      </c>
      <c r="H293" s="1726">
        <f>+H291</f>
        <v>0</v>
      </c>
      <c r="I293" s="1727" t="str">
        <f>+I291</f>
        <v>[Price]</v>
      </c>
      <c r="J293" s="556" t="s">
        <v>347</v>
      </c>
      <c r="K293" s="1977"/>
      <c r="L293" s="1206"/>
      <c r="M293" s="1206"/>
      <c r="N293" s="1978"/>
      <c r="O293" s="1206"/>
      <c r="P293" s="1206"/>
      <c r="Q293" s="1206"/>
      <c r="R293" s="1206"/>
      <c r="S293" s="1978"/>
      <c r="T293" s="1206"/>
      <c r="U293" s="1206"/>
      <c r="V293" s="1206"/>
      <c r="W293" s="1731">
        <f t="shared" ref="W293:AG293" si="360">W291*W292/10^6</f>
        <v>0</v>
      </c>
      <c r="X293" s="1730">
        <f t="shared" si="360"/>
        <v>0</v>
      </c>
      <c r="Y293" s="1731">
        <f t="shared" si="360"/>
        <v>0</v>
      </c>
      <c r="Z293" s="1731">
        <f t="shared" si="360"/>
        <v>0</v>
      </c>
      <c r="AA293" s="1731">
        <f t="shared" si="360"/>
        <v>0</v>
      </c>
      <c r="AB293" s="1733">
        <f t="shared" si="360"/>
        <v>0</v>
      </c>
      <c r="AC293" s="1731">
        <f t="shared" si="360"/>
        <v>0</v>
      </c>
      <c r="AD293" s="1731">
        <f t="shared" si="360"/>
        <v>0</v>
      </c>
      <c r="AE293" s="1731">
        <f t="shared" si="360"/>
        <v>0</v>
      </c>
      <c r="AF293" s="1731">
        <f t="shared" si="360"/>
        <v>0</v>
      </c>
      <c r="AG293" s="1733">
        <f t="shared" si="360"/>
        <v>0</v>
      </c>
      <c r="AH293" s="1732">
        <f>AH291*AH292/10^6</f>
        <v>0</v>
      </c>
      <c r="AI293" s="1731">
        <f>AI291*AI292/10^6</f>
        <v>0</v>
      </c>
      <c r="AJ293" s="1731">
        <f>AJ291*AJ292/10^6</f>
        <v>0</v>
      </c>
      <c r="AK293" s="1731">
        <f>AK291*AK292/10^6</f>
        <v>0</v>
      </c>
      <c r="AL293" s="1733">
        <f>AL291*AL292/10^6</f>
        <v>0</v>
      </c>
      <c r="AN293" s="991"/>
      <c r="AP293" s="2304" t="str">
        <f t="shared" si="313"/>
        <v>Rev</v>
      </c>
      <c r="AQ293" s="2305" t="str">
        <f t="shared" si="313"/>
        <v>[Service]</v>
      </c>
      <c r="AR293" s="2306" t="str">
        <f t="shared" si="314"/>
        <v>[Price]</v>
      </c>
      <c r="AS293" s="2307" t="str">
        <f t="shared" si="356"/>
        <v>-</v>
      </c>
      <c r="AT293" s="1055" t="str">
        <f t="shared" si="356"/>
        <v>-</v>
      </c>
      <c r="AU293" s="1055" t="str">
        <f t="shared" si="356"/>
        <v>-</v>
      </c>
      <c r="AV293" s="2308" t="str">
        <f t="shared" si="356"/>
        <v>-</v>
      </c>
      <c r="AW293" s="1055" t="str">
        <f t="shared" si="356"/>
        <v>-</v>
      </c>
      <c r="AX293" s="2309" t="str">
        <f t="shared" si="356"/>
        <v>-</v>
      </c>
      <c r="AY293" s="1055" t="str">
        <f t="shared" si="356"/>
        <v>-</v>
      </c>
      <c r="AZ293" s="1055" t="str">
        <f t="shared" si="356"/>
        <v>-</v>
      </c>
      <c r="BA293" s="1055" t="str">
        <f t="shared" si="356"/>
        <v>-</v>
      </c>
      <c r="BB293" s="1056" t="str">
        <f t="shared" si="356"/>
        <v>-</v>
      </c>
      <c r="BC293" s="1055" t="str">
        <f t="shared" si="356"/>
        <v>-</v>
      </c>
      <c r="BD293" s="1055" t="str">
        <f t="shared" si="356"/>
        <v>-</v>
      </c>
      <c r="BE293" s="1055" t="str">
        <f t="shared" si="356"/>
        <v>-</v>
      </c>
      <c r="BF293" s="1055" t="str">
        <f t="shared" si="356"/>
        <v>-</v>
      </c>
      <c r="BG293" s="1056" t="str">
        <f t="shared" si="356"/>
        <v>-</v>
      </c>
      <c r="BH293" s="1048"/>
      <c r="BI293" s="2304" t="str">
        <f t="shared" si="336"/>
        <v>Rev</v>
      </c>
      <c r="BJ293" s="2305" t="str">
        <f t="shared" si="336"/>
        <v>[Service]</v>
      </c>
      <c r="BK293" s="2306" t="str">
        <f t="shared" si="336"/>
        <v>[Price]</v>
      </c>
      <c r="BL293" s="2307" t="str">
        <f t="shared" ref="BL293:BZ293" si="361">IF(OR(X293="",X293=0),"-",IFERROR((X293/W293-1)*(W293/W$13),"-"))</f>
        <v>-</v>
      </c>
      <c r="BM293" s="1055" t="str">
        <f t="shared" si="361"/>
        <v>-</v>
      </c>
      <c r="BN293" s="1055" t="str">
        <f t="shared" si="361"/>
        <v>-</v>
      </c>
      <c r="BO293" s="2308" t="str">
        <f t="shared" si="361"/>
        <v>-</v>
      </c>
      <c r="BP293" s="1055" t="str">
        <f t="shared" si="361"/>
        <v>-</v>
      </c>
      <c r="BQ293" s="2309" t="str">
        <f t="shared" si="361"/>
        <v>-</v>
      </c>
      <c r="BR293" s="1055" t="str">
        <f t="shared" si="361"/>
        <v>-</v>
      </c>
      <c r="BS293" s="1055" t="str">
        <f t="shared" si="361"/>
        <v>-</v>
      </c>
      <c r="BT293" s="1055" t="str">
        <f t="shared" si="361"/>
        <v>-</v>
      </c>
      <c r="BU293" s="1056" t="str">
        <f t="shared" si="361"/>
        <v>-</v>
      </c>
      <c r="BV293" s="1055" t="str">
        <f t="shared" si="361"/>
        <v>-</v>
      </c>
      <c r="BW293" s="1055" t="str">
        <f t="shared" si="361"/>
        <v>-</v>
      </c>
      <c r="BX293" s="1055" t="str">
        <f t="shared" si="361"/>
        <v>-</v>
      </c>
      <c r="BY293" s="1055" t="str">
        <f t="shared" si="361"/>
        <v>-</v>
      </c>
      <c r="BZ293" s="1056" t="str">
        <f t="shared" si="361"/>
        <v>-</v>
      </c>
    </row>
    <row r="294" spans="3:78" x14ac:dyDescent="0.3">
      <c r="C294" s="126"/>
      <c r="D294" s="126">
        <f>D291+1</f>
        <v>76</v>
      </c>
      <c r="E294" s="553" t="s">
        <v>45</v>
      </c>
      <c r="F294" s="581" t="s">
        <v>28</v>
      </c>
      <c r="G294" s="581"/>
      <c r="H294" s="581"/>
      <c r="I294" s="573" t="s">
        <v>319</v>
      </c>
      <c r="J294" s="573" t="s">
        <v>348</v>
      </c>
      <c r="K294" s="1969"/>
      <c r="L294" s="1970"/>
      <c r="M294" s="1970"/>
      <c r="N294" s="1971"/>
      <c r="O294" s="1970"/>
      <c r="P294" s="1970"/>
      <c r="Q294" s="1970"/>
      <c r="R294" s="1972"/>
      <c r="S294" s="1979"/>
      <c r="T294" s="1972"/>
      <c r="U294" s="1972"/>
      <c r="V294" s="1972"/>
      <c r="W294" s="575"/>
      <c r="X294" s="1238"/>
      <c r="Y294" s="575"/>
      <c r="Z294" s="575"/>
      <c r="AA294" s="575"/>
      <c r="AB294" s="1142"/>
      <c r="AC294" s="575"/>
      <c r="AD294" s="575"/>
      <c r="AE294" s="575"/>
      <c r="AF294" s="575"/>
      <c r="AG294" s="577"/>
      <c r="AH294" s="576"/>
      <c r="AI294" s="575"/>
      <c r="AJ294" s="575"/>
      <c r="AK294" s="575"/>
      <c r="AL294" s="577"/>
      <c r="AN294" s="1052"/>
      <c r="AP294" s="2297" t="str">
        <f t="shared" si="313"/>
        <v>Price</v>
      </c>
      <c r="AQ294" s="2298" t="str">
        <f t="shared" si="313"/>
        <v>[Service]</v>
      </c>
      <c r="AR294" s="1719" t="str">
        <f t="shared" si="314"/>
        <v>[Price]</v>
      </c>
      <c r="AS294" s="2299" t="str">
        <f t="shared" si="356"/>
        <v>-</v>
      </c>
      <c r="AT294" s="1728" t="str">
        <f t="shared" si="356"/>
        <v>-</v>
      </c>
      <c r="AU294" s="1728" t="str">
        <f t="shared" si="356"/>
        <v>-</v>
      </c>
      <c r="AV294" s="2300" t="str">
        <f t="shared" si="356"/>
        <v>-</v>
      </c>
      <c r="AW294" s="1728" t="str">
        <f t="shared" si="356"/>
        <v>-</v>
      </c>
      <c r="AX294" s="2301" t="str">
        <f t="shared" si="356"/>
        <v>-</v>
      </c>
      <c r="AY294" s="1728" t="str">
        <f t="shared" si="356"/>
        <v>-</v>
      </c>
      <c r="AZ294" s="1728" t="str">
        <f t="shared" si="356"/>
        <v>-</v>
      </c>
      <c r="BA294" s="1728" t="str">
        <f t="shared" si="356"/>
        <v>-</v>
      </c>
      <c r="BB294" s="1729" t="str">
        <f t="shared" si="356"/>
        <v>-</v>
      </c>
      <c r="BC294" s="1728" t="str">
        <f t="shared" si="356"/>
        <v>-</v>
      </c>
      <c r="BD294" s="1728" t="str">
        <f t="shared" si="356"/>
        <v>-</v>
      </c>
      <c r="BE294" s="1728" t="str">
        <f t="shared" si="356"/>
        <v>-</v>
      </c>
      <c r="BF294" s="1728" t="str">
        <f t="shared" si="356"/>
        <v>-</v>
      </c>
      <c r="BG294" s="1729" t="str">
        <f t="shared" si="356"/>
        <v>-</v>
      </c>
      <c r="BH294" s="1048"/>
      <c r="BI294" s="2297" t="str">
        <f t="shared" si="336"/>
        <v>Price</v>
      </c>
      <c r="BJ294" s="2298" t="str">
        <f t="shared" si="336"/>
        <v>[Service]</v>
      </c>
      <c r="BK294" s="1719" t="str">
        <f t="shared" si="336"/>
        <v>[Price]</v>
      </c>
      <c r="BL294" s="2299" t="str">
        <f t="shared" ref="BL294:BZ294" si="362">IF(OR(X294="",X294=0),"-",IFERROR((X294/W294-1)*(W296/W$13),"-"))</f>
        <v>-</v>
      </c>
      <c r="BM294" s="1053" t="str">
        <f t="shared" si="362"/>
        <v>-</v>
      </c>
      <c r="BN294" s="1053" t="str">
        <f t="shared" si="362"/>
        <v>-</v>
      </c>
      <c r="BO294" s="2302" t="str">
        <f t="shared" si="362"/>
        <v>-</v>
      </c>
      <c r="BP294" s="1053" t="str">
        <f t="shared" si="362"/>
        <v>-</v>
      </c>
      <c r="BQ294" s="2303" t="str">
        <f t="shared" si="362"/>
        <v>-</v>
      </c>
      <c r="BR294" s="1053" t="str">
        <f t="shared" si="362"/>
        <v>-</v>
      </c>
      <c r="BS294" s="1053" t="str">
        <f t="shared" si="362"/>
        <v>-</v>
      </c>
      <c r="BT294" s="1053" t="str">
        <f t="shared" si="362"/>
        <v>-</v>
      </c>
      <c r="BU294" s="1054" t="str">
        <f t="shared" si="362"/>
        <v>-</v>
      </c>
      <c r="BV294" s="1053" t="str">
        <f t="shared" si="362"/>
        <v>-</v>
      </c>
      <c r="BW294" s="1053" t="str">
        <f t="shared" si="362"/>
        <v>-</v>
      </c>
      <c r="BX294" s="1053" t="str">
        <f t="shared" si="362"/>
        <v>-</v>
      </c>
      <c r="BY294" s="1053" t="str">
        <f t="shared" si="362"/>
        <v>-</v>
      </c>
      <c r="BZ294" s="1054" t="str">
        <f t="shared" si="362"/>
        <v>-</v>
      </c>
    </row>
    <row r="295" spans="3:78" x14ac:dyDescent="0.3">
      <c r="C295" s="126"/>
      <c r="D295" s="126"/>
      <c r="E295" s="558" t="s">
        <v>46</v>
      </c>
      <c r="F295" s="1722" t="str">
        <f>+F294</f>
        <v>[Service]</v>
      </c>
      <c r="G295" s="1724">
        <f>+G294</f>
        <v>0</v>
      </c>
      <c r="H295" s="1724">
        <f>+H294</f>
        <v>0</v>
      </c>
      <c r="I295" s="1725" t="str">
        <f>+I294</f>
        <v>[Price]</v>
      </c>
      <c r="J295" s="574" t="s">
        <v>323</v>
      </c>
      <c r="K295" s="1973"/>
      <c r="L295" s="1974"/>
      <c r="M295" s="1974"/>
      <c r="N295" s="1975"/>
      <c r="O295" s="1974"/>
      <c r="P295" s="1974"/>
      <c r="Q295" s="1974"/>
      <c r="R295" s="1976"/>
      <c r="S295" s="1980"/>
      <c r="T295" s="1976"/>
      <c r="U295" s="1976"/>
      <c r="V295" s="1976"/>
      <c r="W295" s="578"/>
      <c r="X295" s="1239"/>
      <c r="Y295" s="578"/>
      <c r="Z295" s="578"/>
      <c r="AA295" s="578"/>
      <c r="AB295" s="1143"/>
      <c r="AC295" s="578"/>
      <c r="AD295" s="578"/>
      <c r="AE295" s="578"/>
      <c r="AF295" s="578"/>
      <c r="AG295" s="580"/>
      <c r="AH295" s="579"/>
      <c r="AI295" s="578"/>
      <c r="AJ295" s="578"/>
      <c r="AK295" s="578"/>
      <c r="AL295" s="580"/>
      <c r="AN295" s="991"/>
      <c r="AP295" s="2285" t="str">
        <f t="shared" si="313"/>
        <v>Qty</v>
      </c>
      <c r="AQ295" s="2286" t="str">
        <f t="shared" si="313"/>
        <v>[Service]</v>
      </c>
      <c r="AR295" s="2287" t="str">
        <f t="shared" si="314"/>
        <v>[Price]</v>
      </c>
      <c r="AS295" s="2288" t="str">
        <f t="shared" si="356"/>
        <v>-</v>
      </c>
      <c r="AT295" s="1720" t="str">
        <f t="shared" si="356"/>
        <v>-</v>
      </c>
      <c r="AU295" s="1720" t="str">
        <f t="shared" si="356"/>
        <v>-</v>
      </c>
      <c r="AV295" s="2289" t="str">
        <f t="shared" si="356"/>
        <v>-</v>
      </c>
      <c r="AW295" s="1720" t="str">
        <f t="shared" si="356"/>
        <v>-</v>
      </c>
      <c r="AX295" s="2290" t="str">
        <f t="shared" si="356"/>
        <v>-</v>
      </c>
      <c r="AY295" s="1720" t="str">
        <f t="shared" si="356"/>
        <v>-</v>
      </c>
      <c r="AZ295" s="1720" t="str">
        <f t="shared" si="356"/>
        <v>-</v>
      </c>
      <c r="BA295" s="1720" t="str">
        <f t="shared" si="356"/>
        <v>-</v>
      </c>
      <c r="BB295" s="1721" t="str">
        <f t="shared" si="356"/>
        <v>-</v>
      </c>
      <c r="BC295" s="1720" t="str">
        <f t="shared" si="356"/>
        <v>-</v>
      </c>
      <c r="BD295" s="1720" t="str">
        <f t="shared" si="356"/>
        <v>-</v>
      </c>
      <c r="BE295" s="1720" t="str">
        <f t="shared" si="356"/>
        <v>-</v>
      </c>
      <c r="BF295" s="1720" t="str">
        <f t="shared" si="356"/>
        <v>-</v>
      </c>
      <c r="BG295" s="1721" t="str">
        <f t="shared" si="356"/>
        <v>-</v>
      </c>
      <c r="BH295" s="1048"/>
      <c r="BI295" s="2285" t="str">
        <f t="shared" si="336"/>
        <v>Qty</v>
      </c>
      <c r="BJ295" s="2286" t="str">
        <f t="shared" si="336"/>
        <v>[Service]</v>
      </c>
      <c r="BK295" s="2287" t="str">
        <f t="shared" si="336"/>
        <v>[Price]</v>
      </c>
      <c r="BL295" s="2288" t="str">
        <f t="shared" ref="BL295:BZ295" si="363">IF(OR(X295="",X295=0),"-",IFERROR((X295/W295-1)*(W296/W$13),"-"))</f>
        <v>-</v>
      </c>
      <c r="BM295" s="1720" t="str">
        <f t="shared" si="363"/>
        <v>-</v>
      </c>
      <c r="BN295" s="1720" t="str">
        <f t="shared" si="363"/>
        <v>-</v>
      </c>
      <c r="BO295" s="2289" t="str">
        <f t="shared" si="363"/>
        <v>-</v>
      </c>
      <c r="BP295" s="1720" t="str">
        <f t="shared" si="363"/>
        <v>-</v>
      </c>
      <c r="BQ295" s="2290" t="str">
        <f t="shared" si="363"/>
        <v>-</v>
      </c>
      <c r="BR295" s="1720" t="str">
        <f t="shared" si="363"/>
        <v>-</v>
      </c>
      <c r="BS295" s="1720" t="str">
        <f t="shared" si="363"/>
        <v>-</v>
      </c>
      <c r="BT295" s="1720" t="str">
        <f t="shared" si="363"/>
        <v>-</v>
      </c>
      <c r="BU295" s="1721" t="str">
        <f t="shared" si="363"/>
        <v>-</v>
      </c>
      <c r="BV295" s="1720" t="str">
        <f t="shared" si="363"/>
        <v>-</v>
      </c>
      <c r="BW295" s="1720" t="str">
        <f t="shared" si="363"/>
        <v>-</v>
      </c>
      <c r="BX295" s="1720" t="str">
        <f t="shared" si="363"/>
        <v>-</v>
      </c>
      <c r="BY295" s="1720" t="str">
        <f t="shared" si="363"/>
        <v>-</v>
      </c>
      <c r="BZ295" s="1721" t="str">
        <f t="shared" si="363"/>
        <v>-</v>
      </c>
    </row>
    <row r="296" spans="3:78" ht="12.5" thickBot="1" x14ac:dyDescent="0.35">
      <c r="C296" s="126"/>
      <c r="D296" s="126"/>
      <c r="E296" s="559" t="s">
        <v>47</v>
      </c>
      <c r="F296" s="1723" t="str">
        <f>+F294</f>
        <v>[Service]</v>
      </c>
      <c r="G296" s="1726">
        <f>+G294</f>
        <v>0</v>
      </c>
      <c r="H296" s="1726">
        <f>+H294</f>
        <v>0</v>
      </c>
      <c r="I296" s="1727" t="str">
        <f>+I294</f>
        <v>[Price]</v>
      </c>
      <c r="J296" s="556" t="s">
        <v>347</v>
      </c>
      <c r="K296" s="1977"/>
      <c r="L296" s="1206"/>
      <c r="M296" s="1206"/>
      <c r="N296" s="1978"/>
      <c r="O296" s="1206"/>
      <c r="P296" s="1206"/>
      <c r="Q296" s="1206"/>
      <c r="R296" s="1206"/>
      <c r="S296" s="1978"/>
      <c r="T296" s="1206"/>
      <c r="U296" s="1206"/>
      <c r="V296" s="1206"/>
      <c r="W296" s="1731">
        <f t="shared" ref="W296:AG296" si="364">W294*W295/10^6</f>
        <v>0</v>
      </c>
      <c r="X296" s="1730">
        <f t="shared" si="364"/>
        <v>0</v>
      </c>
      <c r="Y296" s="1731">
        <f t="shared" si="364"/>
        <v>0</v>
      </c>
      <c r="Z296" s="1731">
        <f t="shared" si="364"/>
        <v>0</v>
      </c>
      <c r="AA296" s="1731">
        <f t="shared" si="364"/>
        <v>0</v>
      </c>
      <c r="AB296" s="1733">
        <f t="shared" si="364"/>
        <v>0</v>
      </c>
      <c r="AC296" s="1731">
        <f t="shared" si="364"/>
        <v>0</v>
      </c>
      <c r="AD296" s="1731">
        <f t="shared" si="364"/>
        <v>0</v>
      </c>
      <c r="AE296" s="1731">
        <f t="shared" si="364"/>
        <v>0</v>
      </c>
      <c r="AF296" s="1731">
        <f t="shared" si="364"/>
        <v>0</v>
      </c>
      <c r="AG296" s="1733">
        <f t="shared" si="364"/>
        <v>0</v>
      </c>
      <c r="AH296" s="1732">
        <f>AH294*AH295/10^6</f>
        <v>0</v>
      </c>
      <c r="AI296" s="1731">
        <f>AI294*AI295/10^6</f>
        <v>0</v>
      </c>
      <c r="AJ296" s="1731">
        <f>AJ294*AJ295/10^6</f>
        <v>0</v>
      </c>
      <c r="AK296" s="1731">
        <f>AK294*AK295/10^6</f>
        <v>0</v>
      </c>
      <c r="AL296" s="1733">
        <f>AL294*AL295/10^6</f>
        <v>0</v>
      </c>
      <c r="AN296" s="991"/>
      <c r="AP296" s="2304" t="str">
        <f t="shared" si="313"/>
        <v>Rev</v>
      </c>
      <c r="AQ296" s="2305" t="str">
        <f t="shared" si="313"/>
        <v>[Service]</v>
      </c>
      <c r="AR296" s="2306" t="str">
        <f t="shared" si="314"/>
        <v>[Price]</v>
      </c>
      <c r="AS296" s="2307" t="str">
        <f t="shared" si="356"/>
        <v>-</v>
      </c>
      <c r="AT296" s="1055" t="str">
        <f t="shared" si="356"/>
        <v>-</v>
      </c>
      <c r="AU296" s="1055" t="str">
        <f t="shared" si="356"/>
        <v>-</v>
      </c>
      <c r="AV296" s="2308" t="str">
        <f t="shared" si="356"/>
        <v>-</v>
      </c>
      <c r="AW296" s="1055" t="str">
        <f t="shared" si="356"/>
        <v>-</v>
      </c>
      <c r="AX296" s="2309" t="str">
        <f t="shared" si="356"/>
        <v>-</v>
      </c>
      <c r="AY296" s="1055" t="str">
        <f t="shared" si="356"/>
        <v>-</v>
      </c>
      <c r="AZ296" s="1055" t="str">
        <f t="shared" si="356"/>
        <v>-</v>
      </c>
      <c r="BA296" s="1055" t="str">
        <f t="shared" si="356"/>
        <v>-</v>
      </c>
      <c r="BB296" s="1056" t="str">
        <f t="shared" si="356"/>
        <v>-</v>
      </c>
      <c r="BC296" s="1055" t="str">
        <f t="shared" si="356"/>
        <v>-</v>
      </c>
      <c r="BD296" s="1055" t="str">
        <f t="shared" si="356"/>
        <v>-</v>
      </c>
      <c r="BE296" s="1055" t="str">
        <f t="shared" si="356"/>
        <v>-</v>
      </c>
      <c r="BF296" s="1055" t="str">
        <f t="shared" si="356"/>
        <v>-</v>
      </c>
      <c r="BG296" s="1056" t="str">
        <f t="shared" si="356"/>
        <v>-</v>
      </c>
      <c r="BH296" s="1048"/>
      <c r="BI296" s="2304" t="str">
        <f t="shared" si="336"/>
        <v>Rev</v>
      </c>
      <c r="BJ296" s="2305" t="str">
        <f t="shared" si="336"/>
        <v>[Service]</v>
      </c>
      <c r="BK296" s="2306" t="str">
        <f t="shared" si="336"/>
        <v>[Price]</v>
      </c>
      <c r="BL296" s="2307" t="str">
        <f t="shared" ref="BL296:BZ296" si="365">IF(OR(X296="",X296=0),"-",IFERROR((X296/W296-1)*(W296/W$13),"-"))</f>
        <v>-</v>
      </c>
      <c r="BM296" s="1055" t="str">
        <f t="shared" si="365"/>
        <v>-</v>
      </c>
      <c r="BN296" s="1055" t="str">
        <f t="shared" si="365"/>
        <v>-</v>
      </c>
      <c r="BO296" s="2308" t="str">
        <f t="shared" si="365"/>
        <v>-</v>
      </c>
      <c r="BP296" s="1055" t="str">
        <f t="shared" si="365"/>
        <v>-</v>
      </c>
      <c r="BQ296" s="2309" t="str">
        <f t="shared" si="365"/>
        <v>-</v>
      </c>
      <c r="BR296" s="1055" t="str">
        <f t="shared" si="365"/>
        <v>-</v>
      </c>
      <c r="BS296" s="1055" t="str">
        <f t="shared" si="365"/>
        <v>-</v>
      </c>
      <c r="BT296" s="1055" t="str">
        <f t="shared" si="365"/>
        <v>-</v>
      </c>
      <c r="BU296" s="1056" t="str">
        <f t="shared" si="365"/>
        <v>-</v>
      </c>
      <c r="BV296" s="1055" t="str">
        <f t="shared" si="365"/>
        <v>-</v>
      </c>
      <c r="BW296" s="1055" t="str">
        <f t="shared" si="365"/>
        <v>-</v>
      </c>
      <c r="BX296" s="1055" t="str">
        <f t="shared" si="365"/>
        <v>-</v>
      </c>
      <c r="BY296" s="1055" t="str">
        <f t="shared" si="365"/>
        <v>-</v>
      </c>
      <c r="BZ296" s="1056" t="str">
        <f t="shared" si="365"/>
        <v>-</v>
      </c>
    </row>
    <row r="297" spans="3:78" x14ac:dyDescent="0.3">
      <c r="C297" s="126"/>
      <c r="D297" s="126">
        <f>D294+1</f>
        <v>77</v>
      </c>
      <c r="E297" s="553" t="s">
        <v>45</v>
      </c>
      <c r="F297" s="581" t="s">
        <v>28</v>
      </c>
      <c r="G297" s="581"/>
      <c r="H297" s="581"/>
      <c r="I297" s="573" t="s">
        <v>319</v>
      </c>
      <c r="J297" s="573" t="s">
        <v>348</v>
      </c>
      <c r="K297" s="1969"/>
      <c r="L297" s="1970"/>
      <c r="M297" s="1970"/>
      <c r="N297" s="1971"/>
      <c r="O297" s="1970"/>
      <c r="P297" s="1970"/>
      <c r="Q297" s="1970"/>
      <c r="R297" s="1972"/>
      <c r="S297" s="1979"/>
      <c r="T297" s="1972"/>
      <c r="U297" s="1972"/>
      <c r="V297" s="1972"/>
      <c r="W297" s="575"/>
      <c r="X297" s="1238"/>
      <c r="Y297" s="575"/>
      <c r="Z297" s="575"/>
      <c r="AA297" s="575"/>
      <c r="AB297" s="1142"/>
      <c r="AC297" s="575"/>
      <c r="AD297" s="575"/>
      <c r="AE297" s="575"/>
      <c r="AF297" s="575"/>
      <c r="AG297" s="577"/>
      <c r="AH297" s="576"/>
      <c r="AI297" s="575"/>
      <c r="AJ297" s="575"/>
      <c r="AK297" s="575"/>
      <c r="AL297" s="577"/>
      <c r="AN297" s="1052"/>
      <c r="AP297" s="2297" t="str">
        <f t="shared" si="313"/>
        <v>Price</v>
      </c>
      <c r="AQ297" s="2298" t="str">
        <f t="shared" si="313"/>
        <v>[Service]</v>
      </c>
      <c r="AR297" s="1719" t="str">
        <f t="shared" si="314"/>
        <v>[Price]</v>
      </c>
      <c r="AS297" s="2299" t="str">
        <f t="shared" si="356"/>
        <v>-</v>
      </c>
      <c r="AT297" s="1728" t="str">
        <f t="shared" si="356"/>
        <v>-</v>
      </c>
      <c r="AU297" s="1728" t="str">
        <f t="shared" si="356"/>
        <v>-</v>
      </c>
      <c r="AV297" s="2300" t="str">
        <f t="shared" si="356"/>
        <v>-</v>
      </c>
      <c r="AW297" s="1728" t="str">
        <f t="shared" si="356"/>
        <v>-</v>
      </c>
      <c r="AX297" s="2301" t="str">
        <f t="shared" si="356"/>
        <v>-</v>
      </c>
      <c r="AY297" s="1728" t="str">
        <f t="shared" si="356"/>
        <v>-</v>
      </c>
      <c r="AZ297" s="1728" t="str">
        <f t="shared" si="356"/>
        <v>-</v>
      </c>
      <c r="BA297" s="1728" t="str">
        <f t="shared" si="356"/>
        <v>-</v>
      </c>
      <c r="BB297" s="1729" t="str">
        <f t="shared" si="356"/>
        <v>-</v>
      </c>
      <c r="BC297" s="1728" t="str">
        <f t="shared" si="356"/>
        <v>-</v>
      </c>
      <c r="BD297" s="1728" t="str">
        <f t="shared" si="356"/>
        <v>-</v>
      </c>
      <c r="BE297" s="1728" t="str">
        <f t="shared" si="356"/>
        <v>-</v>
      </c>
      <c r="BF297" s="1728" t="str">
        <f t="shared" si="356"/>
        <v>-</v>
      </c>
      <c r="BG297" s="1729" t="str">
        <f t="shared" si="356"/>
        <v>-</v>
      </c>
      <c r="BH297" s="1048"/>
      <c r="BI297" s="2297" t="str">
        <f t="shared" si="336"/>
        <v>Price</v>
      </c>
      <c r="BJ297" s="2298" t="str">
        <f t="shared" si="336"/>
        <v>[Service]</v>
      </c>
      <c r="BK297" s="1719" t="str">
        <f t="shared" si="336"/>
        <v>[Price]</v>
      </c>
      <c r="BL297" s="2299" t="str">
        <f t="shared" ref="BL297:BZ297" si="366">IF(OR(X297="",X297=0),"-",IFERROR((X297/W297-1)*(W299/W$13),"-"))</f>
        <v>-</v>
      </c>
      <c r="BM297" s="1053" t="str">
        <f t="shared" si="366"/>
        <v>-</v>
      </c>
      <c r="BN297" s="1053" t="str">
        <f t="shared" si="366"/>
        <v>-</v>
      </c>
      <c r="BO297" s="2302" t="str">
        <f t="shared" si="366"/>
        <v>-</v>
      </c>
      <c r="BP297" s="1053" t="str">
        <f t="shared" si="366"/>
        <v>-</v>
      </c>
      <c r="BQ297" s="2303" t="str">
        <f t="shared" si="366"/>
        <v>-</v>
      </c>
      <c r="BR297" s="1053" t="str">
        <f t="shared" si="366"/>
        <v>-</v>
      </c>
      <c r="BS297" s="1053" t="str">
        <f t="shared" si="366"/>
        <v>-</v>
      </c>
      <c r="BT297" s="1053" t="str">
        <f t="shared" si="366"/>
        <v>-</v>
      </c>
      <c r="BU297" s="1054" t="str">
        <f t="shared" si="366"/>
        <v>-</v>
      </c>
      <c r="BV297" s="1053" t="str">
        <f t="shared" si="366"/>
        <v>-</v>
      </c>
      <c r="BW297" s="1053" t="str">
        <f t="shared" si="366"/>
        <v>-</v>
      </c>
      <c r="BX297" s="1053" t="str">
        <f t="shared" si="366"/>
        <v>-</v>
      </c>
      <c r="BY297" s="1053" t="str">
        <f t="shared" si="366"/>
        <v>-</v>
      </c>
      <c r="BZ297" s="1054" t="str">
        <f t="shared" si="366"/>
        <v>-</v>
      </c>
    </row>
    <row r="298" spans="3:78" x14ac:dyDescent="0.3">
      <c r="C298" s="126"/>
      <c r="D298" s="126"/>
      <c r="E298" s="558" t="s">
        <v>46</v>
      </c>
      <c r="F298" s="1722" t="str">
        <f>+F297</f>
        <v>[Service]</v>
      </c>
      <c r="G298" s="1724">
        <f>+G297</f>
        <v>0</v>
      </c>
      <c r="H298" s="1724">
        <f>+H297</f>
        <v>0</v>
      </c>
      <c r="I298" s="1725" t="str">
        <f>+I297</f>
        <v>[Price]</v>
      </c>
      <c r="J298" s="574" t="s">
        <v>323</v>
      </c>
      <c r="K298" s="1973"/>
      <c r="L298" s="1974"/>
      <c r="M298" s="1974"/>
      <c r="N298" s="1975"/>
      <c r="O298" s="1974"/>
      <c r="P298" s="1974"/>
      <c r="Q298" s="1974"/>
      <c r="R298" s="1976"/>
      <c r="S298" s="1980"/>
      <c r="T298" s="1976"/>
      <c r="U298" s="1976"/>
      <c r="V298" s="1976"/>
      <c r="W298" s="578"/>
      <c r="X298" s="1239"/>
      <c r="Y298" s="578"/>
      <c r="Z298" s="578"/>
      <c r="AA298" s="578"/>
      <c r="AB298" s="1143"/>
      <c r="AC298" s="578"/>
      <c r="AD298" s="578"/>
      <c r="AE298" s="578"/>
      <c r="AF298" s="578"/>
      <c r="AG298" s="580"/>
      <c r="AH298" s="579"/>
      <c r="AI298" s="578"/>
      <c r="AJ298" s="578"/>
      <c r="AK298" s="578"/>
      <c r="AL298" s="580"/>
      <c r="AN298" s="991"/>
      <c r="AP298" s="2285" t="str">
        <f t="shared" si="313"/>
        <v>Qty</v>
      </c>
      <c r="AQ298" s="2286" t="str">
        <f t="shared" si="313"/>
        <v>[Service]</v>
      </c>
      <c r="AR298" s="2287" t="str">
        <f t="shared" si="314"/>
        <v>[Price]</v>
      </c>
      <c r="AS298" s="2288" t="str">
        <f t="shared" si="356"/>
        <v>-</v>
      </c>
      <c r="AT298" s="1720" t="str">
        <f t="shared" si="356"/>
        <v>-</v>
      </c>
      <c r="AU298" s="1720" t="str">
        <f t="shared" si="356"/>
        <v>-</v>
      </c>
      <c r="AV298" s="2289" t="str">
        <f t="shared" si="356"/>
        <v>-</v>
      </c>
      <c r="AW298" s="1720" t="str">
        <f t="shared" si="356"/>
        <v>-</v>
      </c>
      <c r="AX298" s="2290" t="str">
        <f t="shared" si="356"/>
        <v>-</v>
      </c>
      <c r="AY298" s="1720" t="str">
        <f t="shared" si="356"/>
        <v>-</v>
      </c>
      <c r="AZ298" s="1720" t="str">
        <f t="shared" si="356"/>
        <v>-</v>
      </c>
      <c r="BA298" s="1720" t="str">
        <f t="shared" si="356"/>
        <v>-</v>
      </c>
      <c r="BB298" s="1721" t="str">
        <f t="shared" si="356"/>
        <v>-</v>
      </c>
      <c r="BC298" s="1720" t="str">
        <f t="shared" si="356"/>
        <v>-</v>
      </c>
      <c r="BD298" s="1720" t="str">
        <f t="shared" si="356"/>
        <v>-</v>
      </c>
      <c r="BE298" s="1720" t="str">
        <f t="shared" si="356"/>
        <v>-</v>
      </c>
      <c r="BF298" s="1720" t="str">
        <f t="shared" si="356"/>
        <v>-</v>
      </c>
      <c r="BG298" s="1721" t="str">
        <f t="shared" si="356"/>
        <v>-</v>
      </c>
      <c r="BH298" s="1048"/>
      <c r="BI298" s="2285" t="str">
        <f t="shared" si="336"/>
        <v>Qty</v>
      </c>
      <c r="BJ298" s="2286" t="str">
        <f t="shared" si="336"/>
        <v>[Service]</v>
      </c>
      <c r="BK298" s="2287" t="str">
        <f t="shared" si="336"/>
        <v>[Price]</v>
      </c>
      <c r="BL298" s="2288" t="str">
        <f t="shared" ref="BL298:BZ298" si="367">IF(OR(X298="",X298=0),"-",IFERROR((X298/W298-1)*(W299/W$13),"-"))</f>
        <v>-</v>
      </c>
      <c r="BM298" s="1720" t="str">
        <f t="shared" si="367"/>
        <v>-</v>
      </c>
      <c r="BN298" s="1720" t="str">
        <f t="shared" si="367"/>
        <v>-</v>
      </c>
      <c r="BO298" s="2289" t="str">
        <f t="shared" si="367"/>
        <v>-</v>
      </c>
      <c r="BP298" s="1720" t="str">
        <f t="shared" si="367"/>
        <v>-</v>
      </c>
      <c r="BQ298" s="2290" t="str">
        <f t="shared" si="367"/>
        <v>-</v>
      </c>
      <c r="BR298" s="1720" t="str">
        <f t="shared" si="367"/>
        <v>-</v>
      </c>
      <c r="BS298" s="1720" t="str">
        <f t="shared" si="367"/>
        <v>-</v>
      </c>
      <c r="BT298" s="1720" t="str">
        <f t="shared" si="367"/>
        <v>-</v>
      </c>
      <c r="BU298" s="1721" t="str">
        <f t="shared" si="367"/>
        <v>-</v>
      </c>
      <c r="BV298" s="1720" t="str">
        <f t="shared" si="367"/>
        <v>-</v>
      </c>
      <c r="BW298" s="1720" t="str">
        <f t="shared" si="367"/>
        <v>-</v>
      </c>
      <c r="BX298" s="1720" t="str">
        <f t="shared" si="367"/>
        <v>-</v>
      </c>
      <c r="BY298" s="1720" t="str">
        <f t="shared" si="367"/>
        <v>-</v>
      </c>
      <c r="BZ298" s="1721" t="str">
        <f t="shared" si="367"/>
        <v>-</v>
      </c>
    </row>
    <row r="299" spans="3:78" ht="12.5" thickBot="1" x14ac:dyDescent="0.35">
      <c r="C299" s="126"/>
      <c r="D299" s="126"/>
      <c r="E299" s="559" t="s">
        <v>47</v>
      </c>
      <c r="F299" s="1723" t="str">
        <f>+F297</f>
        <v>[Service]</v>
      </c>
      <c r="G299" s="1726">
        <f>+G297</f>
        <v>0</v>
      </c>
      <c r="H299" s="1726">
        <f>+H297</f>
        <v>0</v>
      </c>
      <c r="I299" s="1727" t="str">
        <f>+I297</f>
        <v>[Price]</v>
      </c>
      <c r="J299" s="556" t="s">
        <v>347</v>
      </c>
      <c r="K299" s="1977"/>
      <c r="L299" s="1206"/>
      <c r="M299" s="1206"/>
      <c r="N299" s="1978"/>
      <c r="O299" s="1206"/>
      <c r="P299" s="1206"/>
      <c r="Q299" s="1206"/>
      <c r="R299" s="1206"/>
      <c r="S299" s="1978"/>
      <c r="T299" s="1206"/>
      <c r="U299" s="1206"/>
      <c r="V299" s="1206"/>
      <c r="W299" s="1731">
        <f t="shared" ref="W299:AG299" si="368">W297*W298/10^6</f>
        <v>0</v>
      </c>
      <c r="X299" s="1730">
        <f t="shared" si="368"/>
        <v>0</v>
      </c>
      <c r="Y299" s="1731">
        <f t="shared" si="368"/>
        <v>0</v>
      </c>
      <c r="Z299" s="1731">
        <f t="shared" si="368"/>
        <v>0</v>
      </c>
      <c r="AA299" s="1731">
        <f t="shared" si="368"/>
        <v>0</v>
      </c>
      <c r="AB299" s="1733">
        <f t="shared" si="368"/>
        <v>0</v>
      </c>
      <c r="AC299" s="1731">
        <f t="shared" si="368"/>
        <v>0</v>
      </c>
      <c r="AD299" s="1731">
        <f t="shared" si="368"/>
        <v>0</v>
      </c>
      <c r="AE299" s="1731">
        <f t="shared" si="368"/>
        <v>0</v>
      </c>
      <c r="AF299" s="1731">
        <f t="shared" si="368"/>
        <v>0</v>
      </c>
      <c r="AG299" s="1733">
        <f t="shared" si="368"/>
        <v>0</v>
      </c>
      <c r="AH299" s="1732">
        <f>AH297*AH298/10^6</f>
        <v>0</v>
      </c>
      <c r="AI299" s="1731">
        <f>AI297*AI298/10^6</f>
        <v>0</v>
      </c>
      <c r="AJ299" s="1731">
        <f>AJ297*AJ298/10^6</f>
        <v>0</v>
      </c>
      <c r="AK299" s="1731">
        <f>AK297*AK298/10^6</f>
        <v>0</v>
      </c>
      <c r="AL299" s="1733">
        <f>AL297*AL298/10^6</f>
        <v>0</v>
      </c>
      <c r="AN299" s="991"/>
      <c r="AP299" s="2304" t="str">
        <f t="shared" si="313"/>
        <v>Rev</v>
      </c>
      <c r="AQ299" s="2305" t="str">
        <f t="shared" si="313"/>
        <v>[Service]</v>
      </c>
      <c r="AR299" s="2306" t="str">
        <f t="shared" si="314"/>
        <v>[Price]</v>
      </c>
      <c r="AS299" s="2307" t="str">
        <f t="shared" si="356"/>
        <v>-</v>
      </c>
      <c r="AT299" s="1055" t="str">
        <f t="shared" si="356"/>
        <v>-</v>
      </c>
      <c r="AU299" s="1055" t="str">
        <f t="shared" si="356"/>
        <v>-</v>
      </c>
      <c r="AV299" s="2308" t="str">
        <f t="shared" si="356"/>
        <v>-</v>
      </c>
      <c r="AW299" s="1055" t="str">
        <f t="shared" si="356"/>
        <v>-</v>
      </c>
      <c r="AX299" s="2309" t="str">
        <f t="shared" si="356"/>
        <v>-</v>
      </c>
      <c r="AY299" s="1055" t="str">
        <f t="shared" si="356"/>
        <v>-</v>
      </c>
      <c r="AZ299" s="1055" t="str">
        <f t="shared" si="356"/>
        <v>-</v>
      </c>
      <c r="BA299" s="1055" t="str">
        <f t="shared" si="356"/>
        <v>-</v>
      </c>
      <c r="BB299" s="1056" t="str">
        <f t="shared" si="356"/>
        <v>-</v>
      </c>
      <c r="BC299" s="1055" t="str">
        <f t="shared" si="356"/>
        <v>-</v>
      </c>
      <c r="BD299" s="1055" t="str">
        <f t="shared" si="356"/>
        <v>-</v>
      </c>
      <c r="BE299" s="1055" t="str">
        <f t="shared" si="356"/>
        <v>-</v>
      </c>
      <c r="BF299" s="1055" t="str">
        <f t="shared" si="356"/>
        <v>-</v>
      </c>
      <c r="BG299" s="1056" t="str">
        <f t="shared" si="356"/>
        <v>-</v>
      </c>
      <c r="BH299" s="1048"/>
      <c r="BI299" s="2304" t="str">
        <f t="shared" si="336"/>
        <v>Rev</v>
      </c>
      <c r="BJ299" s="2305" t="str">
        <f t="shared" si="336"/>
        <v>[Service]</v>
      </c>
      <c r="BK299" s="2306" t="str">
        <f t="shared" si="336"/>
        <v>[Price]</v>
      </c>
      <c r="BL299" s="2307" t="str">
        <f t="shared" ref="BL299:BZ299" si="369">IF(OR(X299="",X299=0),"-",IFERROR((X299/W299-1)*(W299/W$13),"-"))</f>
        <v>-</v>
      </c>
      <c r="BM299" s="1055" t="str">
        <f t="shared" si="369"/>
        <v>-</v>
      </c>
      <c r="BN299" s="1055" t="str">
        <f t="shared" si="369"/>
        <v>-</v>
      </c>
      <c r="BO299" s="2308" t="str">
        <f t="shared" si="369"/>
        <v>-</v>
      </c>
      <c r="BP299" s="1055" t="str">
        <f t="shared" si="369"/>
        <v>-</v>
      </c>
      <c r="BQ299" s="2309" t="str">
        <f t="shared" si="369"/>
        <v>-</v>
      </c>
      <c r="BR299" s="1055" t="str">
        <f t="shared" si="369"/>
        <v>-</v>
      </c>
      <c r="BS299" s="1055" t="str">
        <f t="shared" si="369"/>
        <v>-</v>
      </c>
      <c r="BT299" s="1055" t="str">
        <f t="shared" si="369"/>
        <v>-</v>
      </c>
      <c r="BU299" s="1056" t="str">
        <f t="shared" si="369"/>
        <v>-</v>
      </c>
      <c r="BV299" s="1055" t="str">
        <f t="shared" si="369"/>
        <v>-</v>
      </c>
      <c r="BW299" s="1055" t="str">
        <f t="shared" si="369"/>
        <v>-</v>
      </c>
      <c r="BX299" s="1055" t="str">
        <f t="shared" si="369"/>
        <v>-</v>
      </c>
      <c r="BY299" s="1055" t="str">
        <f t="shared" si="369"/>
        <v>-</v>
      </c>
      <c r="BZ299" s="1056" t="str">
        <f t="shared" si="369"/>
        <v>-</v>
      </c>
    </row>
    <row r="300" spans="3:78" x14ac:dyDescent="0.3">
      <c r="C300" s="126"/>
      <c r="D300" s="126">
        <f>D297+1</f>
        <v>78</v>
      </c>
      <c r="E300" s="553" t="s">
        <v>45</v>
      </c>
      <c r="F300" s="581" t="s">
        <v>28</v>
      </c>
      <c r="G300" s="581"/>
      <c r="H300" s="581"/>
      <c r="I300" s="573" t="s">
        <v>319</v>
      </c>
      <c r="J300" s="573" t="s">
        <v>348</v>
      </c>
      <c r="K300" s="1969"/>
      <c r="L300" s="1970"/>
      <c r="M300" s="1970"/>
      <c r="N300" s="1971"/>
      <c r="O300" s="1970"/>
      <c r="P300" s="1970"/>
      <c r="Q300" s="1970"/>
      <c r="R300" s="1972"/>
      <c r="S300" s="1979"/>
      <c r="T300" s="1972"/>
      <c r="U300" s="1972"/>
      <c r="V300" s="1972"/>
      <c r="W300" s="575"/>
      <c r="X300" s="1238"/>
      <c r="Y300" s="575"/>
      <c r="Z300" s="575"/>
      <c r="AA300" s="575"/>
      <c r="AB300" s="1142"/>
      <c r="AC300" s="575"/>
      <c r="AD300" s="575"/>
      <c r="AE300" s="575"/>
      <c r="AF300" s="575"/>
      <c r="AG300" s="577"/>
      <c r="AH300" s="576"/>
      <c r="AI300" s="575"/>
      <c r="AJ300" s="575"/>
      <c r="AK300" s="575"/>
      <c r="AL300" s="577"/>
      <c r="AN300" s="1052"/>
      <c r="AP300" s="2297" t="str">
        <f t="shared" si="313"/>
        <v>Price</v>
      </c>
      <c r="AQ300" s="2298" t="str">
        <f t="shared" si="313"/>
        <v>[Service]</v>
      </c>
      <c r="AR300" s="1719" t="str">
        <f t="shared" si="314"/>
        <v>[Price]</v>
      </c>
      <c r="AS300" s="2299" t="str">
        <f t="shared" si="356"/>
        <v>-</v>
      </c>
      <c r="AT300" s="1728" t="str">
        <f t="shared" si="356"/>
        <v>-</v>
      </c>
      <c r="AU300" s="1728" t="str">
        <f t="shared" si="356"/>
        <v>-</v>
      </c>
      <c r="AV300" s="2300" t="str">
        <f t="shared" si="356"/>
        <v>-</v>
      </c>
      <c r="AW300" s="1728" t="str">
        <f t="shared" si="356"/>
        <v>-</v>
      </c>
      <c r="AX300" s="2301" t="str">
        <f t="shared" si="356"/>
        <v>-</v>
      </c>
      <c r="AY300" s="1728" t="str">
        <f t="shared" si="356"/>
        <v>-</v>
      </c>
      <c r="AZ300" s="1728" t="str">
        <f t="shared" si="356"/>
        <v>-</v>
      </c>
      <c r="BA300" s="1728" t="str">
        <f t="shared" si="356"/>
        <v>-</v>
      </c>
      <c r="BB300" s="1729" t="str">
        <f t="shared" si="356"/>
        <v>-</v>
      </c>
      <c r="BC300" s="1728" t="str">
        <f t="shared" si="356"/>
        <v>-</v>
      </c>
      <c r="BD300" s="1728" t="str">
        <f t="shared" si="356"/>
        <v>-</v>
      </c>
      <c r="BE300" s="1728" t="str">
        <f t="shared" si="356"/>
        <v>-</v>
      </c>
      <c r="BF300" s="1728" t="str">
        <f t="shared" si="356"/>
        <v>-</v>
      </c>
      <c r="BG300" s="1729" t="str">
        <f t="shared" si="356"/>
        <v>-</v>
      </c>
      <c r="BH300" s="1048"/>
      <c r="BI300" s="2297" t="str">
        <f t="shared" si="336"/>
        <v>Price</v>
      </c>
      <c r="BJ300" s="2298" t="str">
        <f t="shared" si="336"/>
        <v>[Service]</v>
      </c>
      <c r="BK300" s="1719" t="str">
        <f t="shared" si="336"/>
        <v>[Price]</v>
      </c>
      <c r="BL300" s="2299" t="str">
        <f t="shared" ref="BL300:BZ300" si="370">IF(OR(X300="",X300=0),"-",IFERROR((X300/W300-1)*(W302/W$13),"-"))</f>
        <v>-</v>
      </c>
      <c r="BM300" s="1053" t="str">
        <f t="shared" si="370"/>
        <v>-</v>
      </c>
      <c r="BN300" s="1053" t="str">
        <f t="shared" si="370"/>
        <v>-</v>
      </c>
      <c r="BO300" s="2302" t="str">
        <f t="shared" si="370"/>
        <v>-</v>
      </c>
      <c r="BP300" s="1053" t="str">
        <f t="shared" si="370"/>
        <v>-</v>
      </c>
      <c r="BQ300" s="2303" t="str">
        <f t="shared" si="370"/>
        <v>-</v>
      </c>
      <c r="BR300" s="1053" t="str">
        <f t="shared" si="370"/>
        <v>-</v>
      </c>
      <c r="BS300" s="1053" t="str">
        <f t="shared" si="370"/>
        <v>-</v>
      </c>
      <c r="BT300" s="1053" t="str">
        <f t="shared" si="370"/>
        <v>-</v>
      </c>
      <c r="BU300" s="1054" t="str">
        <f t="shared" si="370"/>
        <v>-</v>
      </c>
      <c r="BV300" s="1053" t="str">
        <f t="shared" si="370"/>
        <v>-</v>
      </c>
      <c r="BW300" s="1053" t="str">
        <f t="shared" si="370"/>
        <v>-</v>
      </c>
      <c r="BX300" s="1053" t="str">
        <f t="shared" si="370"/>
        <v>-</v>
      </c>
      <c r="BY300" s="1053" t="str">
        <f t="shared" si="370"/>
        <v>-</v>
      </c>
      <c r="BZ300" s="1054" t="str">
        <f t="shared" si="370"/>
        <v>-</v>
      </c>
    </row>
    <row r="301" spans="3:78" x14ac:dyDescent="0.3">
      <c r="C301" s="126"/>
      <c r="D301" s="126"/>
      <c r="E301" s="558" t="s">
        <v>46</v>
      </c>
      <c r="F301" s="1722" t="str">
        <f>+F300</f>
        <v>[Service]</v>
      </c>
      <c r="G301" s="1724">
        <f>+G300</f>
        <v>0</v>
      </c>
      <c r="H301" s="1724">
        <f>+H300</f>
        <v>0</v>
      </c>
      <c r="I301" s="1725" t="str">
        <f>+I300</f>
        <v>[Price]</v>
      </c>
      <c r="J301" s="574" t="s">
        <v>323</v>
      </c>
      <c r="K301" s="1973"/>
      <c r="L301" s="1974"/>
      <c r="M301" s="1974"/>
      <c r="N301" s="1975"/>
      <c r="O301" s="1974"/>
      <c r="P301" s="1974"/>
      <c r="Q301" s="1974"/>
      <c r="R301" s="1976"/>
      <c r="S301" s="1980"/>
      <c r="T301" s="1976"/>
      <c r="U301" s="1976"/>
      <c r="V301" s="1976"/>
      <c r="W301" s="578"/>
      <c r="X301" s="1239"/>
      <c r="Y301" s="578"/>
      <c r="Z301" s="578"/>
      <c r="AA301" s="578"/>
      <c r="AB301" s="1143"/>
      <c r="AC301" s="578"/>
      <c r="AD301" s="578"/>
      <c r="AE301" s="578"/>
      <c r="AF301" s="578"/>
      <c r="AG301" s="580"/>
      <c r="AH301" s="579"/>
      <c r="AI301" s="578"/>
      <c r="AJ301" s="578"/>
      <c r="AK301" s="578"/>
      <c r="AL301" s="580"/>
      <c r="AN301" s="991"/>
      <c r="AP301" s="2285" t="str">
        <f t="shared" si="313"/>
        <v>Qty</v>
      </c>
      <c r="AQ301" s="2286" t="str">
        <f t="shared" si="313"/>
        <v>[Service]</v>
      </c>
      <c r="AR301" s="2287" t="str">
        <f t="shared" si="314"/>
        <v>[Price]</v>
      </c>
      <c r="AS301" s="2288" t="str">
        <f t="shared" si="356"/>
        <v>-</v>
      </c>
      <c r="AT301" s="1720" t="str">
        <f t="shared" si="356"/>
        <v>-</v>
      </c>
      <c r="AU301" s="1720" t="str">
        <f t="shared" si="356"/>
        <v>-</v>
      </c>
      <c r="AV301" s="2289" t="str">
        <f t="shared" si="356"/>
        <v>-</v>
      </c>
      <c r="AW301" s="1720" t="str">
        <f t="shared" si="356"/>
        <v>-</v>
      </c>
      <c r="AX301" s="2290" t="str">
        <f t="shared" si="356"/>
        <v>-</v>
      </c>
      <c r="AY301" s="1720" t="str">
        <f t="shared" si="356"/>
        <v>-</v>
      </c>
      <c r="AZ301" s="1720" t="str">
        <f t="shared" si="356"/>
        <v>-</v>
      </c>
      <c r="BA301" s="1720" t="str">
        <f t="shared" si="356"/>
        <v>-</v>
      </c>
      <c r="BB301" s="1721" t="str">
        <f t="shared" si="356"/>
        <v>-</v>
      </c>
      <c r="BC301" s="1720" t="str">
        <f t="shared" si="356"/>
        <v>-</v>
      </c>
      <c r="BD301" s="1720" t="str">
        <f t="shared" si="356"/>
        <v>-</v>
      </c>
      <c r="BE301" s="1720" t="str">
        <f t="shared" si="356"/>
        <v>-</v>
      </c>
      <c r="BF301" s="1720" t="str">
        <f t="shared" si="356"/>
        <v>-</v>
      </c>
      <c r="BG301" s="1721" t="str">
        <f t="shared" si="356"/>
        <v>-</v>
      </c>
      <c r="BH301" s="1048"/>
      <c r="BI301" s="2285" t="str">
        <f t="shared" si="336"/>
        <v>Qty</v>
      </c>
      <c r="BJ301" s="2286" t="str">
        <f t="shared" si="336"/>
        <v>[Service]</v>
      </c>
      <c r="BK301" s="2287" t="str">
        <f t="shared" si="336"/>
        <v>[Price]</v>
      </c>
      <c r="BL301" s="2288" t="str">
        <f t="shared" ref="BL301:BZ301" si="371">IF(OR(X301="",X301=0),"-",IFERROR((X301/W301-1)*(W302/W$13),"-"))</f>
        <v>-</v>
      </c>
      <c r="BM301" s="1720" t="str">
        <f t="shared" si="371"/>
        <v>-</v>
      </c>
      <c r="BN301" s="1720" t="str">
        <f t="shared" si="371"/>
        <v>-</v>
      </c>
      <c r="BO301" s="2289" t="str">
        <f t="shared" si="371"/>
        <v>-</v>
      </c>
      <c r="BP301" s="1720" t="str">
        <f t="shared" si="371"/>
        <v>-</v>
      </c>
      <c r="BQ301" s="2290" t="str">
        <f t="shared" si="371"/>
        <v>-</v>
      </c>
      <c r="BR301" s="1720" t="str">
        <f t="shared" si="371"/>
        <v>-</v>
      </c>
      <c r="BS301" s="1720" t="str">
        <f t="shared" si="371"/>
        <v>-</v>
      </c>
      <c r="BT301" s="1720" t="str">
        <f t="shared" si="371"/>
        <v>-</v>
      </c>
      <c r="BU301" s="1721" t="str">
        <f t="shared" si="371"/>
        <v>-</v>
      </c>
      <c r="BV301" s="1720" t="str">
        <f t="shared" si="371"/>
        <v>-</v>
      </c>
      <c r="BW301" s="1720" t="str">
        <f t="shared" si="371"/>
        <v>-</v>
      </c>
      <c r="BX301" s="1720" t="str">
        <f t="shared" si="371"/>
        <v>-</v>
      </c>
      <c r="BY301" s="1720" t="str">
        <f t="shared" si="371"/>
        <v>-</v>
      </c>
      <c r="BZ301" s="1721" t="str">
        <f t="shared" si="371"/>
        <v>-</v>
      </c>
    </row>
    <row r="302" spans="3:78" ht="12.5" thickBot="1" x14ac:dyDescent="0.35">
      <c r="C302" s="126"/>
      <c r="D302" s="126"/>
      <c r="E302" s="559" t="s">
        <v>47</v>
      </c>
      <c r="F302" s="1723" t="str">
        <f>+F300</f>
        <v>[Service]</v>
      </c>
      <c r="G302" s="1726">
        <f>+G300</f>
        <v>0</v>
      </c>
      <c r="H302" s="1726">
        <f>+H300</f>
        <v>0</v>
      </c>
      <c r="I302" s="1727" t="str">
        <f>+I300</f>
        <v>[Price]</v>
      </c>
      <c r="J302" s="556" t="s">
        <v>347</v>
      </c>
      <c r="K302" s="1977"/>
      <c r="L302" s="1206"/>
      <c r="M302" s="1206"/>
      <c r="N302" s="1978"/>
      <c r="O302" s="1206"/>
      <c r="P302" s="1206"/>
      <c r="Q302" s="1206"/>
      <c r="R302" s="1206"/>
      <c r="S302" s="1978"/>
      <c r="T302" s="1206"/>
      <c r="U302" s="1206"/>
      <c r="V302" s="1206"/>
      <c r="W302" s="1731">
        <f t="shared" ref="W302:AG302" si="372">W300*W301/10^6</f>
        <v>0</v>
      </c>
      <c r="X302" s="1730">
        <f t="shared" si="372"/>
        <v>0</v>
      </c>
      <c r="Y302" s="1731">
        <f t="shared" si="372"/>
        <v>0</v>
      </c>
      <c r="Z302" s="1731">
        <f t="shared" si="372"/>
        <v>0</v>
      </c>
      <c r="AA302" s="1731">
        <f t="shared" si="372"/>
        <v>0</v>
      </c>
      <c r="AB302" s="1733">
        <f t="shared" si="372"/>
        <v>0</v>
      </c>
      <c r="AC302" s="1731">
        <f t="shared" si="372"/>
        <v>0</v>
      </c>
      <c r="AD302" s="1731">
        <f t="shared" si="372"/>
        <v>0</v>
      </c>
      <c r="AE302" s="1731">
        <f t="shared" si="372"/>
        <v>0</v>
      </c>
      <c r="AF302" s="1731">
        <f t="shared" si="372"/>
        <v>0</v>
      </c>
      <c r="AG302" s="1733">
        <f t="shared" si="372"/>
        <v>0</v>
      </c>
      <c r="AH302" s="1732">
        <f>AH300*AH301/10^6</f>
        <v>0</v>
      </c>
      <c r="AI302" s="1731">
        <f>AI300*AI301/10^6</f>
        <v>0</v>
      </c>
      <c r="AJ302" s="1731">
        <f>AJ300*AJ301/10^6</f>
        <v>0</v>
      </c>
      <c r="AK302" s="1731">
        <f>AK300*AK301/10^6</f>
        <v>0</v>
      </c>
      <c r="AL302" s="1733">
        <f>AL300*AL301/10^6</f>
        <v>0</v>
      </c>
      <c r="AN302" s="991"/>
      <c r="AP302" s="2304" t="str">
        <f t="shared" si="313"/>
        <v>Rev</v>
      </c>
      <c r="AQ302" s="2305" t="str">
        <f t="shared" si="313"/>
        <v>[Service]</v>
      </c>
      <c r="AR302" s="2306" t="str">
        <f t="shared" si="314"/>
        <v>[Price]</v>
      </c>
      <c r="AS302" s="2307" t="str">
        <f t="shared" si="356"/>
        <v>-</v>
      </c>
      <c r="AT302" s="1055" t="str">
        <f t="shared" si="356"/>
        <v>-</v>
      </c>
      <c r="AU302" s="1055" t="str">
        <f t="shared" si="356"/>
        <v>-</v>
      </c>
      <c r="AV302" s="2308" t="str">
        <f t="shared" si="356"/>
        <v>-</v>
      </c>
      <c r="AW302" s="1055" t="str">
        <f t="shared" si="356"/>
        <v>-</v>
      </c>
      <c r="AX302" s="2309" t="str">
        <f t="shared" si="356"/>
        <v>-</v>
      </c>
      <c r="AY302" s="1055" t="str">
        <f t="shared" si="356"/>
        <v>-</v>
      </c>
      <c r="AZ302" s="1055" t="str">
        <f t="shared" si="356"/>
        <v>-</v>
      </c>
      <c r="BA302" s="1055" t="str">
        <f t="shared" si="356"/>
        <v>-</v>
      </c>
      <c r="BB302" s="1056" t="str">
        <f t="shared" si="356"/>
        <v>-</v>
      </c>
      <c r="BC302" s="1055" t="str">
        <f t="shared" si="356"/>
        <v>-</v>
      </c>
      <c r="BD302" s="1055" t="str">
        <f t="shared" si="356"/>
        <v>-</v>
      </c>
      <c r="BE302" s="1055" t="str">
        <f t="shared" si="356"/>
        <v>-</v>
      </c>
      <c r="BF302" s="1055" t="str">
        <f t="shared" si="356"/>
        <v>-</v>
      </c>
      <c r="BG302" s="1056" t="str">
        <f t="shared" si="356"/>
        <v>-</v>
      </c>
      <c r="BH302" s="1048"/>
      <c r="BI302" s="2304" t="str">
        <f t="shared" si="336"/>
        <v>Rev</v>
      </c>
      <c r="BJ302" s="2305" t="str">
        <f t="shared" si="336"/>
        <v>[Service]</v>
      </c>
      <c r="BK302" s="2306" t="str">
        <f t="shared" si="336"/>
        <v>[Price]</v>
      </c>
      <c r="BL302" s="2307" t="str">
        <f t="shared" ref="BL302:BZ302" si="373">IF(OR(X302="",X302=0),"-",IFERROR((X302/W302-1)*(W302/W$13),"-"))</f>
        <v>-</v>
      </c>
      <c r="BM302" s="1055" t="str">
        <f t="shared" si="373"/>
        <v>-</v>
      </c>
      <c r="BN302" s="1055" t="str">
        <f t="shared" si="373"/>
        <v>-</v>
      </c>
      <c r="BO302" s="2308" t="str">
        <f t="shared" si="373"/>
        <v>-</v>
      </c>
      <c r="BP302" s="1055" t="str">
        <f t="shared" si="373"/>
        <v>-</v>
      </c>
      <c r="BQ302" s="2309" t="str">
        <f t="shared" si="373"/>
        <v>-</v>
      </c>
      <c r="BR302" s="1055" t="str">
        <f t="shared" si="373"/>
        <v>-</v>
      </c>
      <c r="BS302" s="1055" t="str">
        <f t="shared" si="373"/>
        <v>-</v>
      </c>
      <c r="BT302" s="1055" t="str">
        <f t="shared" si="373"/>
        <v>-</v>
      </c>
      <c r="BU302" s="1056" t="str">
        <f t="shared" si="373"/>
        <v>-</v>
      </c>
      <c r="BV302" s="1055" t="str">
        <f t="shared" si="373"/>
        <v>-</v>
      </c>
      <c r="BW302" s="1055" t="str">
        <f t="shared" si="373"/>
        <v>-</v>
      </c>
      <c r="BX302" s="1055" t="str">
        <f t="shared" si="373"/>
        <v>-</v>
      </c>
      <c r="BY302" s="1055" t="str">
        <f t="shared" si="373"/>
        <v>-</v>
      </c>
      <c r="BZ302" s="1056" t="str">
        <f t="shared" si="373"/>
        <v>-</v>
      </c>
    </row>
    <row r="303" spans="3:78" x14ac:dyDescent="0.3">
      <c r="C303" s="126"/>
      <c r="D303" s="126">
        <f>D300+1</f>
        <v>79</v>
      </c>
      <c r="E303" s="553" t="s">
        <v>45</v>
      </c>
      <c r="F303" s="581" t="s">
        <v>28</v>
      </c>
      <c r="G303" s="581"/>
      <c r="H303" s="581"/>
      <c r="I303" s="573" t="s">
        <v>319</v>
      </c>
      <c r="J303" s="573" t="s">
        <v>348</v>
      </c>
      <c r="K303" s="1969"/>
      <c r="L303" s="1970"/>
      <c r="M303" s="1970"/>
      <c r="N303" s="1971"/>
      <c r="O303" s="1970"/>
      <c r="P303" s="1970"/>
      <c r="Q303" s="1970"/>
      <c r="R303" s="1972"/>
      <c r="S303" s="1979"/>
      <c r="T303" s="1972"/>
      <c r="U303" s="1972"/>
      <c r="V303" s="1972"/>
      <c r="W303" s="575"/>
      <c r="X303" s="1238"/>
      <c r="Y303" s="575"/>
      <c r="Z303" s="575"/>
      <c r="AA303" s="575"/>
      <c r="AB303" s="1142"/>
      <c r="AC303" s="575"/>
      <c r="AD303" s="575"/>
      <c r="AE303" s="575"/>
      <c r="AF303" s="575"/>
      <c r="AG303" s="577"/>
      <c r="AH303" s="576"/>
      <c r="AI303" s="575"/>
      <c r="AJ303" s="575"/>
      <c r="AK303" s="575"/>
      <c r="AL303" s="577"/>
      <c r="AN303" s="1052"/>
      <c r="AP303" s="2297" t="str">
        <f t="shared" si="313"/>
        <v>Price</v>
      </c>
      <c r="AQ303" s="2298" t="str">
        <f t="shared" si="313"/>
        <v>[Service]</v>
      </c>
      <c r="AR303" s="1719" t="str">
        <f t="shared" si="314"/>
        <v>[Price]</v>
      </c>
      <c r="AS303" s="2299" t="str">
        <f t="shared" si="356"/>
        <v>-</v>
      </c>
      <c r="AT303" s="1728" t="str">
        <f t="shared" si="356"/>
        <v>-</v>
      </c>
      <c r="AU303" s="1728" t="str">
        <f t="shared" si="356"/>
        <v>-</v>
      </c>
      <c r="AV303" s="2300" t="str">
        <f t="shared" si="356"/>
        <v>-</v>
      </c>
      <c r="AW303" s="1728" t="str">
        <f t="shared" si="356"/>
        <v>-</v>
      </c>
      <c r="AX303" s="2301" t="str">
        <f t="shared" si="356"/>
        <v>-</v>
      </c>
      <c r="AY303" s="1728" t="str">
        <f t="shared" si="356"/>
        <v>-</v>
      </c>
      <c r="AZ303" s="1728" t="str">
        <f t="shared" si="356"/>
        <v>-</v>
      </c>
      <c r="BA303" s="1728" t="str">
        <f t="shared" si="356"/>
        <v>-</v>
      </c>
      <c r="BB303" s="1729" t="str">
        <f t="shared" si="356"/>
        <v>-</v>
      </c>
      <c r="BC303" s="1728" t="str">
        <f t="shared" si="356"/>
        <v>-</v>
      </c>
      <c r="BD303" s="1728" t="str">
        <f t="shared" si="356"/>
        <v>-</v>
      </c>
      <c r="BE303" s="1728" t="str">
        <f t="shared" si="356"/>
        <v>-</v>
      </c>
      <c r="BF303" s="1728" t="str">
        <f t="shared" si="356"/>
        <v>-</v>
      </c>
      <c r="BG303" s="1729" t="str">
        <f t="shared" si="356"/>
        <v>-</v>
      </c>
      <c r="BH303" s="1048"/>
      <c r="BI303" s="2297" t="str">
        <f t="shared" si="336"/>
        <v>Price</v>
      </c>
      <c r="BJ303" s="2298" t="str">
        <f t="shared" si="336"/>
        <v>[Service]</v>
      </c>
      <c r="BK303" s="1719" t="str">
        <f t="shared" si="336"/>
        <v>[Price]</v>
      </c>
      <c r="BL303" s="2299" t="str">
        <f t="shared" ref="BL303:BZ303" si="374">IF(OR(X303="",X303=0),"-",IFERROR((X303/W303-1)*(W305/W$13),"-"))</f>
        <v>-</v>
      </c>
      <c r="BM303" s="1053" t="str">
        <f t="shared" si="374"/>
        <v>-</v>
      </c>
      <c r="BN303" s="1053" t="str">
        <f t="shared" si="374"/>
        <v>-</v>
      </c>
      <c r="BO303" s="2302" t="str">
        <f t="shared" si="374"/>
        <v>-</v>
      </c>
      <c r="BP303" s="1053" t="str">
        <f t="shared" si="374"/>
        <v>-</v>
      </c>
      <c r="BQ303" s="2303" t="str">
        <f t="shared" si="374"/>
        <v>-</v>
      </c>
      <c r="BR303" s="1053" t="str">
        <f t="shared" si="374"/>
        <v>-</v>
      </c>
      <c r="BS303" s="1053" t="str">
        <f t="shared" si="374"/>
        <v>-</v>
      </c>
      <c r="BT303" s="1053" t="str">
        <f t="shared" si="374"/>
        <v>-</v>
      </c>
      <c r="BU303" s="1054" t="str">
        <f t="shared" si="374"/>
        <v>-</v>
      </c>
      <c r="BV303" s="1053" t="str">
        <f t="shared" si="374"/>
        <v>-</v>
      </c>
      <c r="BW303" s="1053" t="str">
        <f t="shared" si="374"/>
        <v>-</v>
      </c>
      <c r="BX303" s="1053" t="str">
        <f t="shared" si="374"/>
        <v>-</v>
      </c>
      <c r="BY303" s="1053" t="str">
        <f t="shared" si="374"/>
        <v>-</v>
      </c>
      <c r="BZ303" s="1054" t="str">
        <f t="shared" si="374"/>
        <v>-</v>
      </c>
    </row>
    <row r="304" spans="3:78" x14ac:dyDescent="0.3">
      <c r="C304" s="126"/>
      <c r="D304" s="126"/>
      <c r="E304" s="558" t="s">
        <v>46</v>
      </c>
      <c r="F304" s="1722" t="str">
        <f>+F303</f>
        <v>[Service]</v>
      </c>
      <c r="G304" s="1724">
        <f>+G303</f>
        <v>0</v>
      </c>
      <c r="H304" s="1724">
        <f>+H303</f>
        <v>0</v>
      </c>
      <c r="I304" s="1725" t="str">
        <f>+I303</f>
        <v>[Price]</v>
      </c>
      <c r="J304" s="574" t="s">
        <v>323</v>
      </c>
      <c r="K304" s="1973"/>
      <c r="L304" s="1974"/>
      <c r="M304" s="1974"/>
      <c r="N304" s="1975"/>
      <c r="O304" s="1974"/>
      <c r="P304" s="1974"/>
      <c r="Q304" s="1974"/>
      <c r="R304" s="1976"/>
      <c r="S304" s="1980"/>
      <c r="T304" s="1976"/>
      <c r="U304" s="1976"/>
      <c r="V304" s="1976"/>
      <c r="W304" s="578"/>
      <c r="X304" s="1239"/>
      <c r="Y304" s="578"/>
      <c r="Z304" s="578"/>
      <c r="AA304" s="578"/>
      <c r="AB304" s="1143"/>
      <c r="AC304" s="578"/>
      <c r="AD304" s="578"/>
      <c r="AE304" s="578"/>
      <c r="AF304" s="578"/>
      <c r="AG304" s="580"/>
      <c r="AH304" s="579"/>
      <c r="AI304" s="578"/>
      <c r="AJ304" s="578"/>
      <c r="AK304" s="578"/>
      <c r="AL304" s="580"/>
      <c r="AN304" s="991"/>
      <c r="AP304" s="2285" t="str">
        <f t="shared" si="313"/>
        <v>Qty</v>
      </c>
      <c r="AQ304" s="2286" t="str">
        <f t="shared" si="313"/>
        <v>[Service]</v>
      </c>
      <c r="AR304" s="2287" t="str">
        <f t="shared" si="314"/>
        <v>[Price]</v>
      </c>
      <c r="AS304" s="2288" t="str">
        <f t="shared" si="356"/>
        <v>-</v>
      </c>
      <c r="AT304" s="1720" t="str">
        <f t="shared" si="356"/>
        <v>-</v>
      </c>
      <c r="AU304" s="1720" t="str">
        <f t="shared" si="356"/>
        <v>-</v>
      </c>
      <c r="AV304" s="2289" t="str">
        <f t="shared" si="356"/>
        <v>-</v>
      </c>
      <c r="AW304" s="1720" t="str">
        <f t="shared" si="356"/>
        <v>-</v>
      </c>
      <c r="AX304" s="2290" t="str">
        <f t="shared" si="356"/>
        <v>-</v>
      </c>
      <c r="AY304" s="1720" t="str">
        <f t="shared" si="356"/>
        <v>-</v>
      </c>
      <c r="AZ304" s="1720" t="str">
        <f t="shared" si="356"/>
        <v>-</v>
      </c>
      <c r="BA304" s="1720" t="str">
        <f t="shared" si="356"/>
        <v>-</v>
      </c>
      <c r="BB304" s="1721" t="str">
        <f t="shared" si="356"/>
        <v>-</v>
      </c>
      <c r="BC304" s="1720" t="str">
        <f t="shared" si="356"/>
        <v>-</v>
      </c>
      <c r="BD304" s="1720" t="str">
        <f t="shared" si="356"/>
        <v>-</v>
      </c>
      <c r="BE304" s="1720" t="str">
        <f t="shared" si="356"/>
        <v>-</v>
      </c>
      <c r="BF304" s="1720" t="str">
        <f t="shared" si="356"/>
        <v>-</v>
      </c>
      <c r="BG304" s="1721" t="str">
        <f t="shared" si="356"/>
        <v>-</v>
      </c>
      <c r="BH304" s="1048"/>
      <c r="BI304" s="2285" t="str">
        <f t="shared" si="336"/>
        <v>Qty</v>
      </c>
      <c r="BJ304" s="2286" t="str">
        <f t="shared" si="336"/>
        <v>[Service]</v>
      </c>
      <c r="BK304" s="2287" t="str">
        <f t="shared" si="336"/>
        <v>[Price]</v>
      </c>
      <c r="BL304" s="2288" t="str">
        <f t="shared" ref="BL304:BZ304" si="375">IF(OR(X304="",X304=0),"-",IFERROR((X304/W304-1)*(W305/W$13),"-"))</f>
        <v>-</v>
      </c>
      <c r="BM304" s="1720" t="str">
        <f t="shared" si="375"/>
        <v>-</v>
      </c>
      <c r="BN304" s="1720" t="str">
        <f t="shared" si="375"/>
        <v>-</v>
      </c>
      <c r="BO304" s="2289" t="str">
        <f t="shared" si="375"/>
        <v>-</v>
      </c>
      <c r="BP304" s="1720" t="str">
        <f t="shared" si="375"/>
        <v>-</v>
      </c>
      <c r="BQ304" s="2290" t="str">
        <f t="shared" si="375"/>
        <v>-</v>
      </c>
      <c r="BR304" s="1720" t="str">
        <f t="shared" si="375"/>
        <v>-</v>
      </c>
      <c r="BS304" s="1720" t="str">
        <f t="shared" si="375"/>
        <v>-</v>
      </c>
      <c r="BT304" s="1720" t="str">
        <f t="shared" si="375"/>
        <v>-</v>
      </c>
      <c r="BU304" s="1721" t="str">
        <f t="shared" si="375"/>
        <v>-</v>
      </c>
      <c r="BV304" s="1720" t="str">
        <f t="shared" si="375"/>
        <v>-</v>
      </c>
      <c r="BW304" s="1720" t="str">
        <f t="shared" si="375"/>
        <v>-</v>
      </c>
      <c r="BX304" s="1720" t="str">
        <f t="shared" si="375"/>
        <v>-</v>
      </c>
      <c r="BY304" s="1720" t="str">
        <f t="shared" si="375"/>
        <v>-</v>
      </c>
      <c r="BZ304" s="1721" t="str">
        <f t="shared" si="375"/>
        <v>-</v>
      </c>
    </row>
    <row r="305" spans="3:78" ht="12.5" thickBot="1" x14ac:dyDescent="0.35">
      <c r="C305" s="126"/>
      <c r="D305" s="126"/>
      <c r="E305" s="559" t="s">
        <v>47</v>
      </c>
      <c r="F305" s="1723" t="str">
        <f>+F303</f>
        <v>[Service]</v>
      </c>
      <c r="G305" s="1726">
        <f>+G303</f>
        <v>0</v>
      </c>
      <c r="H305" s="1726">
        <f>+H303</f>
        <v>0</v>
      </c>
      <c r="I305" s="1727" t="str">
        <f>+I303</f>
        <v>[Price]</v>
      </c>
      <c r="J305" s="556" t="s">
        <v>347</v>
      </c>
      <c r="K305" s="1977"/>
      <c r="L305" s="1206"/>
      <c r="M305" s="1206"/>
      <c r="N305" s="1978"/>
      <c r="O305" s="1206"/>
      <c r="P305" s="1206"/>
      <c r="Q305" s="1206"/>
      <c r="R305" s="1206"/>
      <c r="S305" s="1978"/>
      <c r="T305" s="1206"/>
      <c r="U305" s="1206"/>
      <c r="V305" s="1206"/>
      <c r="W305" s="1731">
        <f t="shared" ref="W305:AG305" si="376">W303*W304/10^6</f>
        <v>0</v>
      </c>
      <c r="X305" s="1730">
        <f t="shared" si="376"/>
        <v>0</v>
      </c>
      <c r="Y305" s="1731">
        <f t="shared" si="376"/>
        <v>0</v>
      </c>
      <c r="Z305" s="1731">
        <f t="shared" si="376"/>
        <v>0</v>
      </c>
      <c r="AA305" s="1731">
        <f t="shared" si="376"/>
        <v>0</v>
      </c>
      <c r="AB305" s="1733">
        <f t="shared" si="376"/>
        <v>0</v>
      </c>
      <c r="AC305" s="1731">
        <f t="shared" si="376"/>
        <v>0</v>
      </c>
      <c r="AD305" s="1731">
        <f t="shared" si="376"/>
        <v>0</v>
      </c>
      <c r="AE305" s="1731">
        <f t="shared" si="376"/>
        <v>0</v>
      </c>
      <c r="AF305" s="1731">
        <f t="shared" si="376"/>
        <v>0</v>
      </c>
      <c r="AG305" s="1733">
        <f t="shared" si="376"/>
        <v>0</v>
      </c>
      <c r="AH305" s="1732">
        <f>AH303*AH304/10^6</f>
        <v>0</v>
      </c>
      <c r="AI305" s="1731">
        <f>AI303*AI304/10^6</f>
        <v>0</v>
      </c>
      <c r="AJ305" s="1731">
        <f>AJ303*AJ304/10^6</f>
        <v>0</v>
      </c>
      <c r="AK305" s="1731">
        <f>AK303*AK304/10^6</f>
        <v>0</v>
      </c>
      <c r="AL305" s="1733">
        <f>AL303*AL304/10^6</f>
        <v>0</v>
      </c>
      <c r="AN305" s="991"/>
      <c r="AP305" s="2304" t="str">
        <f t="shared" si="313"/>
        <v>Rev</v>
      </c>
      <c r="AQ305" s="2305" t="str">
        <f t="shared" si="313"/>
        <v>[Service]</v>
      </c>
      <c r="AR305" s="2306" t="str">
        <f t="shared" si="314"/>
        <v>[Price]</v>
      </c>
      <c r="AS305" s="2307" t="str">
        <f t="shared" si="356"/>
        <v>-</v>
      </c>
      <c r="AT305" s="1055" t="str">
        <f t="shared" si="356"/>
        <v>-</v>
      </c>
      <c r="AU305" s="1055" t="str">
        <f t="shared" si="356"/>
        <v>-</v>
      </c>
      <c r="AV305" s="2308" t="str">
        <f t="shared" si="356"/>
        <v>-</v>
      </c>
      <c r="AW305" s="1055" t="str">
        <f t="shared" si="356"/>
        <v>-</v>
      </c>
      <c r="AX305" s="2309" t="str">
        <f t="shared" si="356"/>
        <v>-</v>
      </c>
      <c r="AY305" s="1055" t="str">
        <f t="shared" si="356"/>
        <v>-</v>
      </c>
      <c r="AZ305" s="1055" t="str">
        <f t="shared" si="356"/>
        <v>-</v>
      </c>
      <c r="BA305" s="1055" t="str">
        <f t="shared" si="356"/>
        <v>-</v>
      </c>
      <c r="BB305" s="1056" t="str">
        <f t="shared" si="356"/>
        <v>-</v>
      </c>
      <c r="BC305" s="1055" t="str">
        <f t="shared" si="356"/>
        <v>-</v>
      </c>
      <c r="BD305" s="1055" t="str">
        <f t="shared" si="356"/>
        <v>-</v>
      </c>
      <c r="BE305" s="1055" t="str">
        <f t="shared" si="356"/>
        <v>-</v>
      </c>
      <c r="BF305" s="1055" t="str">
        <f t="shared" si="356"/>
        <v>-</v>
      </c>
      <c r="BG305" s="1056" t="str">
        <f t="shared" si="356"/>
        <v>-</v>
      </c>
      <c r="BH305" s="1048"/>
      <c r="BI305" s="2304" t="str">
        <f t="shared" si="336"/>
        <v>Rev</v>
      </c>
      <c r="BJ305" s="2305" t="str">
        <f t="shared" si="336"/>
        <v>[Service]</v>
      </c>
      <c r="BK305" s="2306" t="str">
        <f t="shared" si="336"/>
        <v>[Price]</v>
      </c>
      <c r="BL305" s="2307" t="str">
        <f t="shared" ref="BL305:BZ305" si="377">IF(OR(X305="",X305=0),"-",IFERROR((X305/W305-1)*(W305/W$13),"-"))</f>
        <v>-</v>
      </c>
      <c r="BM305" s="1055" t="str">
        <f t="shared" si="377"/>
        <v>-</v>
      </c>
      <c r="BN305" s="1055" t="str">
        <f t="shared" si="377"/>
        <v>-</v>
      </c>
      <c r="BO305" s="2308" t="str">
        <f t="shared" si="377"/>
        <v>-</v>
      </c>
      <c r="BP305" s="1055" t="str">
        <f t="shared" si="377"/>
        <v>-</v>
      </c>
      <c r="BQ305" s="2309" t="str">
        <f t="shared" si="377"/>
        <v>-</v>
      </c>
      <c r="BR305" s="1055" t="str">
        <f t="shared" si="377"/>
        <v>-</v>
      </c>
      <c r="BS305" s="1055" t="str">
        <f t="shared" si="377"/>
        <v>-</v>
      </c>
      <c r="BT305" s="1055" t="str">
        <f t="shared" si="377"/>
        <v>-</v>
      </c>
      <c r="BU305" s="1056" t="str">
        <f t="shared" si="377"/>
        <v>-</v>
      </c>
      <c r="BV305" s="1055" t="str">
        <f t="shared" si="377"/>
        <v>-</v>
      </c>
      <c r="BW305" s="1055" t="str">
        <f t="shared" si="377"/>
        <v>-</v>
      </c>
      <c r="BX305" s="1055" t="str">
        <f t="shared" si="377"/>
        <v>-</v>
      </c>
      <c r="BY305" s="1055" t="str">
        <f t="shared" si="377"/>
        <v>-</v>
      </c>
      <c r="BZ305" s="1056" t="str">
        <f t="shared" si="377"/>
        <v>-</v>
      </c>
    </row>
    <row r="306" spans="3:78" x14ac:dyDescent="0.3">
      <c r="C306" s="126"/>
      <c r="D306" s="126">
        <f>D303+1</f>
        <v>80</v>
      </c>
      <c r="E306" s="553" t="s">
        <v>45</v>
      </c>
      <c r="F306" s="581" t="s">
        <v>28</v>
      </c>
      <c r="G306" s="581"/>
      <c r="H306" s="581"/>
      <c r="I306" s="573" t="s">
        <v>319</v>
      </c>
      <c r="J306" s="573" t="s">
        <v>348</v>
      </c>
      <c r="K306" s="1969"/>
      <c r="L306" s="1970"/>
      <c r="M306" s="1970"/>
      <c r="N306" s="1971"/>
      <c r="O306" s="1970"/>
      <c r="P306" s="1970"/>
      <c r="Q306" s="1970"/>
      <c r="R306" s="1972"/>
      <c r="S306" s="1979"/>
      <c r="T306" s="1972"/>
      <c r="U306" s="1972"/>
      <c r="V306" s="1972"/>
      <c r="W306" s="575"/>
      <c r="X306" s="1238"/>
      <c r="Y306" s="575"/>
      <c r="Z306" s="575"/>
      <c r="AA306" s="575"/>
      <c r="AB306" s="1142"/>
      <c r="AC306" s="575"/>
      <c r="AD306" s="575"/>
      <c r="AE306" s="575"/>
      <c r="AF306" s="575"/>
      <c r="AG306" s="577"/>
      <c r="AH306" s="576"/>
      <c r="AI306" s="575"/>
      <c r="AJ306" s="575"/>
      <c r="AK306" s="575"/>
      <c r="AL306" s="577"/>
      <c r="AN306" s="1052"/>
      <c r="AP306" s="2297" t="str">
        <f t="shared" si="313"/>
        <v>Price</v>
      </c>
      <c r="AQ306" s="2298" t="str">
        <f t="shared" si="313"/>
        <v>[Service]</v>
      </c>
      <c r="AR306" s="1719" t="str">
        <f t="shared" si="314"/>
        <v>[Price]</v>
      </c>
      <c r="AS306" s="2299" t="str">
        <f t="shared" si="356"/>
        <v>-</v>
      </c>
      <c r="AT306" s="1728" t="str">
        <f t="shared" si="356"/>
        <v>-</v>
      </c>
      <c r="AU306" s="1728" t="str">
        <f t="shared" si="356"/>
        <v>-</v>
      </c>
      <c r="AV306" s="2300" t="str">
        <f t="shared" si="356"/>
        <v>-</v>
      </c>
      <c r="AW306" s="1728" t="str">
        <f t="shared" si="356"/>
        <v>-</v>
      </c>
      <c r="AX306" s="2301" t="str">
        <f t="shared" si="356"/>
        <v>-</v>
      </c>
      <c r="AY306" s="1728" t="str">
        <f t="shared" si="356"/>
        <v>-</v>
      </c>
      <c r="AZ306" s="1728" t="str">
        <f t="shared" si="356"/>
        <v>-</v>
      </c>
      <c r="BA306" s="1728" t="str">
        <f t="shared" si="356"/>
        <v>-</v>
      </c>
      <c r="BB306" s="1729" t="str">
        <f t="shared" si="356"/>
        <v>-</v>
      </c>
      <c r="BC306" s="1728" t="str">
        <f t="shared" si="356"/>
        <v>-</v>
      </c>
      <c r="BD306" s="1728" t="str">
        <f t="shared" si="356"/>
        <v>-</v>
      </c>
      <c r="BE306" s="1728" t="str">
        <f t="shared" si="356"/>
        <v>-</v>
      </c>
      <c r="BF306" s="1728" t="str">
        <f t="shared" si="356"/>
        <v>-</v>
      </c>
      <c r="BG306" s="1729" t="str">
        <f t="shared" si="356"/>
        <v>-</v>
      </c>
      <c r="BH306" s="1048"/>
      <c r="BI306" s="2297" t="str">
        <f t="shared" si="336"/>
        <v>Price</v>
      </c>
      <c r="BJ306" s="2298" t="str">
        <f t="shared" si="336"/>
        <v>[Service]</v>
      </c>
      <c r="BK306" s="1719" t="str">
        <f t="shared" si="336"/>
        <v>[Price]</v>
      </c>
      <c r="BL306" s="2299" t="str">
        <f t="shared" ref="BL306:BZ306" si="378">IF(OR(X306="",X306=0),"-",IFERROR((X306/W306-1)*(W308/W$13),"-"))</f>
        <v>-</v>
      </c>
      <c r="BM306" s="1053" t="str">
        <f t="shared" si="378"/>
        <v>-</v>
      </c>
      <c r="BN306" s="1053" t="str">
        <f t="shared" si="378"/>
        <v>-</v>
      </c>
      <c r="BO306" s="2302" t="str">
        <f t="shared" si="378"/>
        <v>-</v>
      </c>
      <c r="BP306" s="1053" t="str">
        <f t="shared" si="378"/>
        <v>-</v>
      </c>
      <c r="BQ306" s="2303" t="str">
        <f t="shared" si="378"/>
        <v>-</v>
      </c>
      <c r="BR306" s="1053" t="str">
        <f t="shared" si="378"/>
        <v>-</v>
      </c>
      <c r="BS306" s="1053" t="str">
        <f t="shared" si="378"/>
        <v>-</v>
      </c>
      <c r="BT306" s="1053" t="str">
        <f t="shared" si="378"/>
        <v>-</v>
      </c>
      <c r="BU306" s="1054" t="str">
        <f t="shared" si="378"/>
        <v>-</v>
      </c>
      <c r="BV306" s="1053" t="str">
        <f t="shared" si="378"/>
        <v>-</v>
      </c>
      <c r="BW306" s="1053" t="str">
        <f t="shared" si="378"/>
        <v>-</v>
      </c>
      <c r="BX306" s="1053" t="str">
        <f t="shared" si="378"/>
        <v>-</v>
      </c>
      <c r="BY306" s="1053" t="str">
        <f t="shared" si="378"/>
        <v>-</v>
      </c>
      <c r="BZ306" s="1054" t="str">
        <f t="shared" si="378"/>
        <v>-</v>
      </c>
    </row>
    <row r="307" spans="3:78" x14ac:dyDescent="0.3">
      <c r="C307" s="126"/>
      <c r="D307" s="126"/>
      <c r="E307" s="558" t="s">
        <v>46</v>
      </c>
      <c r="F307" s="1722" t="str">
        <f>+F306</f>
        <v>[Service]</v>
      </c>
      <c r="G307" s="1724">
        <f>+G306</f>
        <v>0</v>
      </c>
      <c r="H307" s="1724">
        <f>+H306</f>
        <v>0</v>
      </c>
      <c r="I307" s="1725" t="str">
        <f>+I306</f>
        <v>[Price]</v>
      </c>
      <c r="J307" s="574" t="s">
        <v>323</v>
      </c>
      <c r="K307" s="1973"/>
      <c r="L307" s="1974"/>
      <c r="M307" s="1974"/>
      <c r="N307" s="1975"/>
      <c r="O307" s="1974"/>
      <c r="P307" s="1974"/>
      <c r="Q307" s="1974"/>
      <c r="R307" s="1976"/>
      <c r="S307" s="1980"/>
      <c r="T307" s="1976"/>
      <c r="U307" s="1976"/>
      <c r="V307" s="1976"/>
      <c r="W307" s="578"/>
      <c r="X307" s="1239"/>
      <c r="Y307" s="578"/>
      <c r="Z307" s="578"/>
      <c r="AA307" s="578"/>
      <c r="AB307" s="1143"/>
      <c r="AC307" s="578"/>
      <c r="AD307" s="578"/>
      <c r="AE307" s="578"/>
      <c r="AF307" s="578"/>
      <c r="AG307" s="580"/>
      <c r="AH307" s="579"/>
      <c r="AI307" s="578"/>
      <c r="AJ307" s="578"/>
      <c r="AK307" s="578"/>
      <c r="AL307" s="580"/>
      <c r="AN307" s="991"/>
      <c r="AP307" s="2285" t="str">
        <f t="shared" si="313"/>
        <v>Qty</v>
      </c>
      <c r="AQ307" s="2286" t="str">
        <f t="shared" si="313"/>
        <v>[Service]</v>
      </c>
      <c r="AR307" s="2287" t="str">
        <f t="shared" si="314"/>
        <v>[Price]</v>
      </c>
      <c r="AS307" s="2288" t="str">
        <f t="shared" ref="AS307:BG323" si="379">IF(OR(X307="",X307=0),"-",IFERROR(X307/W307-1,"-"))</f>
        <v>-</v>
      </c>
      <c r="AT307" s="1720" t="str">
        <f t="shared" si="379"/>
        <v>-</v>
      </c>
      <c r="AU307" s="1720" t="str">
        <f t="shared" si="379"/>
        <v>-</v>
      </c>
      <c r="AV307" s="2289" t="str">
        <f t="shared" si="379"/>
        <v>-</v>
      </c>
      <c r="AW307" s="1720" t="str">
        <f t="shared" si="379"/>
        <v>-</v>
      </c>
      <c r="AX307" s="2290" t="str">
        <f t="shared" si="379"/>
        <v>-</v>
      </c>
      <c r="AY307" s="1720" t="str">
        <f t="shared" si="379"/>
        <v>-</v>
      </c>
      <c r="AZ307" s="1720" t="str">
        <f t="shared" si="379"/>
        <v>-</v>
      </c>
      <c r="BA307" s="1720" t="str">
        <f t="shared" si="379"/>
        <v>-</v>
      </c>
      <c r="BB307" s="1721" t="str">
        <f t="shared" si="379"/>
        <v>-</v>
      </c>
      <c r="BC307" s="1720" t="str">
        <f t="shared" si="379"/>
        <v>-</v>
      </c>
      <c r="BD307" s="1720" t="str">
        <f t="shared" si="379"/>
        <v>-</v>
      </c>
      <c r="BE307" s="1720" t="str">
        <f t="shared" si="379"/>
        <v>-</v>
      </c>
      <c r="BF307" s="1720" t="str">
        <f t="shared" si="379"/>
        <v>-</v>
      </c>
      <c r="BG307" s="1721" t="str">
        <f t="shared" si="379"/>
        <v>-</v>
      </c>
      <c r="BH307" s="1048"/>
      <c r="BI307" s="2285" t="str">
        <f t="shared" si="336"/>
        <v>Qty</v>
      </c>
      <c r="BJ307" s="2286" t="str">
        <f t="shared" si="336"/>
        <v>[Service]</v>
      </c>
      <c r="BK307" s="2287" t="str">
        <f t="shared" si="336"/>
        <v>[Price]</v>
      </c>
      <c r="BL307" s="2288" t="str">
        <f t="shared" ref="BL307:BZ307" si="380">IF(OR(X307="",X307=0),"-",IFERROR((X307/W307-1)*(W308/W$13),"-"))</f>
        <v>-</v>
      </c>
      <c r="BM307" s="1720" t="str">
        <f t="shared" si="380"/>
        <v>-</v>
      </c>
      <c r="BN307" s="1720" t="str">
        <f t="shared" si="380"/>
        <v>-</v>
      </c>
      <c r="BO307" s="2289" t="str">
        <f t="shared" si="380"/>
        <v>-</v>
      </c>
      <c r="BP307" s="1720" t="str">
        <f t="shared" si="380"/>
        <v>-</v>
      </c>
      <c r="BQ307" s="2290" t="str">
        <f t="shared" si="380"/>
        <v>-</v>
      </c>
      <c r="BR307" s="1720" t="str">
        <f t="shared" si="380"/>
        <v>-</v>
      </c>
      <c r="BS307" s="1720" t="str">
        <f t="shared" si="380"/>
        <v>-</v>
      </c>
      <c r="BT307" s="1720" t="str">
        <f t="shared" si="380"/>
        <v>-</v>
      </c>
      <c r="BU307" s="1721" t="str">
        <f t="shared" si="380"/>
        <v>-</v>
      </c>
      <c r="BV307" s="1720" t="str">
        <f t="shared" si="380"/>
        <v>-</v>
      </c>
      <c r="BW307" s="1720" t="str">
        <f t="shared" si="380"/>
        <v>-</v>
      </c>
      <c r="BX307" s="1720" t="str">
        <f t="shared" si="380"/>
        <v>-</v>
      </c>
      <c r="BY307" s="1720" t="str">
        <f t="shared" si="380"/>
        <v>-</v>
      </c>
      <c r="BZ307" s="1721" t="str">
        <f t="shared" si="380"/>
        <v>-</v>
      </c>
    </row>
    <row r="308" spans="3:78" ht="12.5" thickBot="1" x14ac:dyDescent="0.35">
      <c r="C308" s="126"/>
      <c r="D308" s="126"/>
      <c r="E308" s="559" t="s">
        <v>47</v>
      </c>
      <c r="F308" s="1723" t="str">
        <f>+F306</f>
        <v>[Service]</v>
      </c>
      <c r="G308" s="1726">
        <f>+G306</f>
        <v>0</v>
      </c>
      <c r="H308" s="1726">
        <f>+H306</f>
        <v>0</v>
      </c>
      <c r="I308" s="1727" t="str">
        <f>+I306</f>
        <v>[Price]</v>
      </c>
      <c r="J308" s="556" t="s">
        <v>347</v>
      </c>
      <c r="K308" s="1977"/>
      <c r="L308" s="1206"/>
      <c r="M308" s="1206"/>
      <c r="N308" s="1978"/>
      <c r="O308" s="1206"/>
      <c r="P308" s="1206"/>
      <c r="Q308" s="1206"/>
      <c r="R308" s="1206"/>
      <c r="S308" s="1978"/>
      <c r="T308" s="1206"/>
      <c r="U308" s="1206"/>
      <c r="V308" s="1206"/>
      <c r="W308" s="1731">
        <f t="shared" ref="W308:AG308" si="381">W306*W307/10^6</f>
        <v>0</v>
      </c>
      <c r="X308" s="1730">
        <f t="shared" si="381"/>
        <v>0</v>
      </c>
      <c r="Y308" s="1731">
        <f t="shared" si="381"/>
        <v>0</v>
      </c>
      <c r="Z308" s="1731">
        <f t="shared" si="381"/>
        <v>0</v>
      </c>
      <c r="AA308" s="1731">
        <f t="shared" si="381"/>
        <v>0</v>
      </c>
      <c r="AB308" s="1733">
        <f t="shared" si="381"/>
        <v>0</v>
      </c>
      <c r="AC308" s="1731">
        <f t="shared" si="381"/>
        <v>0</v>
      </c>
      <c r="AD308" s="1731">
        <f t="shared" si="381"/>
        <v>0</v>
      </c>
      <c r="AE308" s="1731">
        <f t="shared" si="381"/>
        <v>0</v>
      </c>
      <c r="AF308" s="1731">
        <f t="shared" si="381"/>
        <v>0</v>
      </c>
      <c r="AG308" s="1733">
        <f t="shared" si="381"/>
        <v>0</v>
      </c>
      <c r="AH308" s="1732">
        <f>AH306*AH307/10^6</f>
        <v>0</v>
      </c>
      <c r="AI308" s="1731">
        <f>AI306*AI307/10^6</f>
        <v>0</v>
      </c>
      <c r="AJ308" s="1731">
        <f>AJ306*AJ307/10^6</f>
        <v>0</v>
      </c>
      <c r="AK308" s="1731">
        <f>AK306*AK307/10^6</f>
        <v>0</v>
      </c>
      <c r="AL308" s="1733">
        <f>AL306*AL307/10^6</f>
        <v>0</v>
      </c>
      <c r="AN308" s="991"/>
      <c r="AP308" s="2304" t="str">
        <f t="shared" si="313"/>
        <v>Rev</v>
      </c>
      <c r="AQ308" s="2305" t="str">
        <f t="shared" si="313"/>
        <v>[Service]</v>
      </c>
      <c r="AR308" s="2306" t="str">
        <f t="shared" si="314"/>
        <v>[Price]</v>
      </c>
      <c r="AS308" s="2307" t="str">
        <f t="shared" si="379"/>
        <v>-</v>
      </c>
      <c r="AT308" s="1055" t="str">
        <f t="shared" si="379"/>
        <v>-</v>
      </c>
      <c r="AU308" s="1055" t="str">
        <f t="shared" si="379"/>
        <v>-</v>
      </c>
      <c r="AV308" s="2308" t="str">
        <f t="shared" si="379"/>
        <v>-</v>
      </c>
      <c r="AW308" s="1055" t="str">
        <f t="shared" si="379"/>
        <v>-</v>
      </c>
      <c r="AX308" s="2309" t="str">
        <f t="shared" si="379"/>
        <v>-</v>
      </c>
      <c r="AY308" s="1055" t="str">
        <f t="shared" si="379"/>
        <v>-</v>
      </c>
      <c r="AZ308" s="1055" t="str">
        <f t="shared" si="379"/>
        <v>-</v>
      </c>
      <c r="BA308" s="1055" t="str">
        <f t="shared" si="379"/>
        <v>-</v>
      </c>
      <c r="BB308" s="1056" t="str">
        <f t="shared" si="379"/>
        <v>-</v>
      </c>
      <c r="BC308" s="1055" t="str">
        <f t="shared" si="379"/>
        <v>-</v>
      </c>
      <c r="BD308" s="1055" t="str">
        <f t="shared" si="379"/>
        <v>-</v>
      </c>
      <c r="BE308" s="1055" t="str">
        <f t="shared" si="379"/>
        <v>-</v>
      </c>
      <c r="BF308" s="1055" t="str">
        <f t="shared" si="379"/>
        <v>-</v>
      </c>
      <c r="BG308" s="1056" t="str">
        <f t="shared" si="379"/>
        <v>-</v>
      </c>
      <c r="BH308" s="1048"/>
      <c r="BI308" s="2304" t="str">
        <f t="shared" si="336"/>
        <v>Rev</v>
      </c>
      <c r="BJ308" s="2305" t="str">
        <f t="shared" si="336"/>
        <v>[Service]</v>
      </c>
      <c r="BK308" s="2306" t="str">
        <f t="shared" si="336"/>
        <v>[Price]</v>
      </c>
      <c r="BL308" s="2307" t="str">
        <f t="shared" ref="BL308:BZ308" si="382">IF(OR(X308="",X308=0),"-",IFERROR((X308/W308-1)*(W308/W$13),"-"))</f>
        <v>-</v>
      </c>
      <c r="BM308" s="1055" t="str">
        <f t="shared" si="382"/>
        <v>-</v>
      </c>
      <c r="BN308" s="1055" t="str">
        <f t="shared" si="382"/>
        <v>-</v>
      </c>
      <c r="BO308" s="2308" t="str">
        <f t="shared" si="382"/>
        <v>-</v>
      </c>
      <c r="BP308" s="1055" t="str">
        <f t="shared" si="382"/>
        <v>-</v>
      </c>
      <c r="BQ308" s="2309" t="str">
        <f t="shared" si="382"/>
        <v>-</v>
      </c>
      <c r="BR308" s="1055" t="str">
        <f t="shared" si="382"/>
        <v>-</v>
      </c>
      <c r="BS308" s="1055" t="str">
        <f t="shared" si="382"/>
        <v>-</v>
      </c>
      <c r="BT308" s="1055" t="str">
        <f t="shared" si="382"/>
        <v>-</v>
      </c>
      <c r="BU308" s="1056" t="str">
        <f t="shared" si="382"/>
        <v>-</v>
      </c>
      <c r="BV308" s="1055" t="str">
        <f t="shared" si="382"/>
        <v>-</v>
      </c>
      <c r="BW308" s="1055" t="str">
        <f t="shared" si="382"/>
        <v>-</v>
      </c>
      <c r="BX308" s="1055" t="str">
        <f t="shared" si="382"/>
        <v>-</v>
      </c>
      <c r="BY308" s="1055" t="str">
        <f t="shared" si="382"/>
        <v>-</v>
      </c>
      <c r="BZ308" s="1056" t="str">
        <f t="shared" si="382"/>
        <v>-</v>
      </c>
    </row>
    <row r="309" spans="3:78" x14ac:dyDescent="0.3">
      <c r="C309" s="126"/>
      <c r="D309" s="126">
        <f>D306+1</f>
        <v>81</v>
      </c>
      <c r="E309" s="553" t="s">
        <v>45</v>
      </c>
      <c r="F309" s="581" t="s">
        <v>28</v>
      </c>
      <c r="G309" s="581"/>
      <c r="H309" s="581"/>
      <c r="I309" s="573" t="s">
        <v>319</v>
      </c>
      <c r="J309" s="573" t="s">
        <v>348</v>
      </c>
      <c r="K309" s="1969"/>
      <c r="L309" s="1970"/>
      <c r="M309" s="1970"/>
      <c r="N309" s="1971"/>
      <c r="O309" s="1970"/>
      <c r="P309" s="1970"/>
      <c r="Q309" s="1970"/>
      <c r="R309" s="1972"/>
      <c r="S309" s="1979"/>
      <c r="T309" s="1972"/>
      <c r="U309" s="1972"/>
      <c r="V309" s="1972"/>
      <c r="W309" s="575"/>
      <c r="X309" s="1238"/>
      <c r="Y309" s="575"/>
      <c r="Z309" s="575"/>
      <c r="AA309" s="575"/>
      <c r="AB309" s="1142"/>
      <c r="AC309" s="575"/>
      <c r="AD309" s="575"/>
      <c r="AE309" s="575"/>
      <c r="AF309" s="575"/>
      <c r="AG309" s="577"/>
      <c r="AH309" s="576"/>
      <c r="AI309" s="575"/>
      <c r="AJ309" s="575"/>
      <c r="AK309" s="575"/>
      <c r="AL309" s="577"/>
      <c r="AN309" s="1052"/>
      <c r="AP309" s="2297" t="str">
        <f t="shared" si="313"/>
        <v>Price</v>
      </c>
      <c r="AQ309" s="2298" t="str">
        <f t="shared" si="313"/>
        <v>[Service]</v>
      </c>
      <c r="AR309" s="1719" t="str">
        <f t="shared" si="314"/>
        <v>[Price]</v>
      </c>
      <c r="AS309" s="2299" t="str">
        <f t="shared" si="379"/>
        <v>-</v>
      </c>
      <c r="AT309" s="1728" t="str">
        <f t="shared" si="379"/>
        <v>-</v>
      </c>
      <c r="AU309" s="1728" t="str">
        <f t="shared" si="379"/>
        <v>-</v>
      </c>
      <c r="AV309" s="2300" t="str">
        <f t="shared" si="379"/>
        <v>-</v>
      </c>
      <c r="AW309" s="1728" t="str">
        <f t="shared" si="379"/>
        <v>-</v>
      </c>
      <c r="AX309" s="2301" t="str">
        <f t="shared" si="379"/>
        <v>-</v>
      </c>
      <c r="AY309" s="1728" t="str">
        <f t="shared" si="379"/>
        <v>-</v>
      </c>
      <c r="AZ309" s="1728" t="str">
        <f t="shared" si="379"/>
        <v>-</v>
      </c>
      <c r="BA309" s="1728" t="str">
        <f t="shared" si="379"/>
        <v>-</v>
      </c>
      <c r="BB309" s="1729" t="str">
        <f t="shared" si="379"/>
        <v>-</v>
      </c>
      <c r="BC309" s="1728" t="str">
        <f t="shared" si="379"/>
        <v>-</v>
      </c>
      <c r="BD309" s="1728" t="str">
        <f t="shared" si="379"/>
        <v>-</v>
      </c>
      <c r="BE309" s="1728" t="str">
        <f t="shared" si="379"/>
        <v>-</v>
      </c>
      <c r="BF309" s="1728" t="str">
        <f t="shared" si="379"/>
        <v>-</v>
      </c>
      <c r="BG309" s="1729" t="str">
        <f t="shared" si="379"/>
        <v>-</v>
      </c>
      <c r="BH309" s="1048"/>
      <c r="BI309" s="2297" t="str">
        <f t="shared" si="336"/>
        <v>Price</v>
      </c>
      <c r="BJ309" s="2298" t="str">
        <f t="shared" si="336"/>
        <v>[Service]</v>
      </c>
      <c r="BK309" s="1719" t="str">
        <f t="shared" si="336"/>
        <v>[Price]</v>
      </c>
      <c r="BL309" s="2299" t="str">
        <f t="shared" ref="BL309:BZ309" si="383">IF(OR(X309="",X309=0),"-",IFERROR((X309/W309-1)*(W311/W$13),"-"))</f>
        <v>-</v>
      </c>
      <c r="BM309" s="1053" t="str">
        <f t="shared" si="383"/>
        <v>-</v>
      </c>
      <c r="BN309" s="1053" t="str">
        <f t="shared" si="383"/>
        <v>-</v>
      </c>
      <c r="BO309" s="2302" t="str">
        <f t="shared" si="383"/>
        <v>-</v>
      </c>
      <c r="BP309" s="1053" t="str">
        <f t="shared" si="383"/>
        <v>-</v>
      </c>
      <c r="BQ309" s="2303" t="str">
        <f t="shared" si="383"/>
        <v>-</v>
      </c>
      <c r="BR309" s="1053" t="str">
        <f t="shared" si="383"/>
        <v>-</v>
      </c>
      <c r="BS309" s="1053" t="str">
        <f t="shared" si="383"/>
        <v>-</v>
      </c>
      <c r="BT309" s="1053" t="str">
        <f t="shared" si="383"/>
        <v>-</v>
      </c>
      <c r="BU309" s="1054" t="str">
        <f t="shared" si="383"/>
        <v>-</v>
      </c>
      <c r="BV309" s="1053" t="str">
        <f t="shared" si="383"/>
        <v>-</v>
      </c>
      <c r="BW309" s="1053" t="str">
        <f t="shared" si="383"/>
        <v>-</v>
      </c>
      <c r="BX309" s="1053" t="str">
        <f t="shared" si="383"/>
        <v>-</v>
      </c>
      <c r="BY309" s="1053" t="str">
        <f t="shared" si="383"/>
        <v>-</v>
      </c>
      <c r="BZ309" s="1054" t="str">
        <f t="shared" si="383"/>
        <v>-</v>
      </c>
    </row>
    <row r="310" spans="3:78" x14ac:dyDescent="0.3">
      <c r="C310" s="126"/>
      <c r="D310" s="126"/>
      <c r="E310" s="558" t="s">
        <v>46</v>
      </c>
      <c r="F310" s="1722" t="str">
        <f>+F309</f>
        <v>[Service]</v>
      </c>
      <c r="G310" s="1724">
        <f>+G309</f>
        <v>0</v>
      </c>
      <c r="H310" s="1724">
        <f>+H309</f>
        <v>0</v>
      </c>
      <c r="I310" s="1725" t="str">
        <f>+I309</f>
        <v>[Price]</v>
      </c>
      <c r="J310" s="574" t="s">
        <v>323</v>
      </c>
      <c r="K310" s="1973"/>
      <c r="L310" s="1974"/>
      <c r="M310" s="1974"/>
      <c r="N310" s="1975"/>
      <c r="O310" s="1974"/>
      <c r="P310" s="1974"/>
      <c r="Q310" s="1974"/>
      <c r="R310" s="1976"/>
      <c r="S310" s="1980"/>
      <c r="T310" s="1976"/>
      <c r="U310" s="1976"/>
      <c r="V310" s="1976"/>
      <c r="W310" s="578"/>
      <c r="X310" s="1239"/>
      <c r="Y310" s="578"/>
      <c r="Z310" s="578"/>
      <c r="AA310" s="578"/>
      <c r="AB310" s="1143"/>
      <c r="AC310" s="578"/>
      <c r="AD310" s="578"/>
      <c r="AE310" s="578"/>
      <c r="AF310" s="578"/>
      <c r="AG310" s="580"/>
      <c r="AH310" s="579"/>
      <c r="AI310" s="578"/>
      <c r="AJ310" s="578"/>
      <c r="AK310" s="578"/>
      <c r="AL310" s="580"/>
      <c r="AN310" s="991"/>
      <c r="AP310" s="2285" t="str">
        <f t="shared" si="313"/>
        <v>Qty</v>
      </c>
      <c r="AQ310" s="2286" t="str">
        <f t="shared" si="313"/>
        <v>[Service]</v>
      </c>
      <c r="AR310" s="2287" t="str">
        <f t="shared" si="314"/>
        <v>[Price]</v>
      </c>
      <c r="AS310" s="2288" t="str">
        <f t="shared" si="379"/>
        <v>-</v>
      </c>
      <c r="AT310" s="1720" t="str">
        <f t="shared" si="379"/>
        <v>-</v>
      </c>
      <c r="AU310" s="1720" t="str">
        <f t="shared" si="379"/>
        <v>-</v>
      </c>
      <c r="AV310" s="2289" t="str">
        <f t="shared" si="379"/>
        <v>-</v>
      </c>
      <c r="AW310" s="1720" t="str">
        <f t="shared" si="379"/>
        <v>-</v>
      </c>
      <c r="AX310" s="2290" t="str">
        <f t="shared" si="379"/>
        <v>-</v>
      </c>
      <c r="AY310" s="1720" t="str">
        <f t="shared" si="379"/>
        <v>-</v>
      </c>
      <c r="AZ310" s="1720" t="str">
        <f t="shared" si="379"/>
        <v>-</v>
      </c>
      <c r="BA310" s="1720" t="str">
        <f t="shared" si="379"/>
        <v>-</v>
      </c>
      <c r="BB310" s="1721" t="str">
        <f t="shared" si="379"/>
        <v>-</v>
      </c>
      <c r="BC310" s="1720" t="str">
        <f t="shared" si="379"/>
        <v>-</v>
      </c>
      <c r="BD310" s="1720" t="str">
        <f t="shared" si="379"/>
        <v>-</v>
      </c>
      <c r="BE310" s="1720" t="str">
        <f t="shared" si="379"/>
        <v>-</v>
      </c>
      <c r="BF310" s="1720" t="str">
        <f t="shared" si="379"/>
        <v>-</v>
      </c>
      <c r="BG310" s="1721" t="str">
        <f t="shared" si="379"/>
        <v>-</v>
      </c>
      <c r="BH310" s="1048"/>
      <c r="BI310" s="2285" t="str">
        <f t="shared" si="336"/>
        <v>Qty</v>
      </c>
      <c r="BJ310" s="2286" t="str">
        <f t="shared" si="336"/>
        <v>[Service]</v>
      </c>
      <c r="BK310" s="2287" t="str">
        <f t="shared" si="336"/>
        <v>[Price]</v>
      </c>
      <c r="BL310" s="2288" t="str">
        <f t="shared" ref="BL310:BZ310" si="384">IF(OR(X310="",X310=0),"-",IFERROR((X310/W310-1)*(W311/W$13),"-"))</f>
        <v>-</v>
      </c>
      <c r="BM310" s="1720" t="str">
        <f t="shared" si="384"/>
        <v>-</v>
      </c>
      <c r="BN310" s="1720" t="str">
        <f t="shared" si="384"/>
        <v>-</v>
      </c>
      <c r="BO310" s="2289" t="str">
        <f t="shared" si="384"/>
        <v>-</v>
      </c>
      <c r="BP310" s="1720" t="str">
        <f t="shared" si="384"/>
        <v>-</v>
      </c>
      <c r="BQ310" s="2290" t="str">
        <f t="shared" si="384"/>
        <v>-</v>
      </c>
      <c r="BR310" s="1720" t="str">
        <f t="shared" si="384"/>
        <v>-</v>
      </c>
      <c r="BS310" s="1720" t="str">
        <f t="shared" si="384"/>
        <v>-</v>
      </c>
      <c r="BT310" s="1720" t="str">
        <f t="shared" si="384"/>
        <v>-</v>
      </c>
      <c r="BU310" s="1721" t="str">
        <f t="shared" si="384"/>
        <v>-</v>
      </c>
      <c r="BV310" s="1720" t="str">
        <f t="shared" si="384"/>
        <v>-</v>
      </c>
      <c r="BW310" s="1720" t="str">
        <f t="shared" si="384"/>
        <v>-</v>
      </c>
      <c r="BX310" s="1720" t="str">
        <f t="shared" si="384"/>
        <v>-</v>
      </c>
      <c r="BY310" s="1720" t="str">
        <f t="shared" si="384"/>
        <v>-</v>
      </c>
      <c r="BZ310" s="1721" t="str">
        <f t="shared" si="384"/>
        <v>-</v>
      </c>
    </row>
    <row r="311" spans="3:78" ht="12.5" thickBot="1" x14ac:dyDescent="0.35">
      <c r="C311" s="126"/>
      <c r="D311" s="126"/>
      <c r="E311" s="559" t="s">
        <v>47</v>
      </c>
      <c r="F311" s="1723" t="str">
        <f>+F309</f>
        <v>[Service]</v>
      </c>
      <c r="G311" s="1726">
        <f>+G309</f>
        <v>0</v>
      </c>
      <c r="H311" s="1726">
        <f>+H309</f>
        <v>0</v>
      </c>
      <c r="I311" s="1727" t="str">
        <f>+I309</f>
        <v>[Price]</v>
      </c>
      <c r="J311" s="556" t="s">
        <v>347</v>
      </c>
      <c r="K311" s="1977"/>
      <c r="L311" s="1206"/>
      <c r="M311" s="1206"/>
      <c r="N311" s="1978"/>
      <c r="O311" s="1206"/>
      <c r="P311" s="1206"/>
      <c r="Q311" s="1206"/>
      <c r="R311" s="1206"/>
      <c r="S311" s="1978"/>
      <c r="T311" s="1206"/>
      <c r="U311" s="1206"/>
      <c r="V311" s="1206"/>
      <c r="W311" s="1731">
        <f t="shared" ref="W311:AG311" si="385">W309*W310/10^6</f>
        <v>0</v>
      </c>
      <c r="X311" s="1730">
        <f t="shared" si="385"/>
        <v>0</v>
      </c>
      <c r="Y311" s="1731">
        <f t="shared" si="385"/>
        <v>0</v>
      </c>
      <c r="Z311" s="1731">
        <f t="shared" si="385"/>
        <v>0</v>
      </c>
      <c r="AA311" s="1731">
        <f t="shared" si="385"/>
        <v>0</v>
      </c>
      <c r="AB311" s="1733">
        <f t="shared" si="385"/>
        <v>0</v>
      </c>
      <c r="AC311" s="1731">
        <f t="shared" si="385"/>
        <v>0</v>
      </c>
      <c r="AD311" s="1731">
        <f t="shared" si="385"/>
        <v>0</v>
      </c>
      <c r="AE311" s="1731">
        <f t="shared" si="385"/>
        <v>0</v>
      </c>
      <c r="AF311" s="1731">
        <f t="shared" si="385"/>
        <v>0</v>
      </c>
      <c r="AG311" s="1733">
        <f t="shared" si="385"/>
        <v>0</v>
      </c>
      <c r="AH311" s="1732">
        <f>AH309*AH310/10^6</f>
        <v>0</v>
      </c>
      <c r="AI311" s="1731">
        <f>AI309*AI310/10^6</f>
        <v>0</v>
      </c>
      <c r="AJ311" s="1731">
        <f>AJ309*AJ310/10^6</f>
        <v>0</v>
      </c>
      <c r="AK311" s="1731">
        <f>AK309*AK310/10^6</f>
        <v>0</v>
      </c>
      <c r="AL311" s="1733">
        <f>AL309*AL310/10^6</f>
        <v>0</v>
      </c>
      <c r="AN311" s="991"/>
      <c r="AP311" s="2304" t="str">
        <f t="shared" si="313"/>
        <v>Rev</v>
      </c>
      <c r="AQ311" s="2305" t="str">
        <f t="shared" si="313"/>
        <v>[Service]</v>
      </c>
      <c r="AR311" s="2306" t="str">
        <f t="shared" si="314"/>
        <v>[Price]</v>
      </c>
      <c r="AS311" s="2307" t="str">
        <f t="shared" si="379"/>
        <v>-</v>
      </c>
      <c r="AT311" s="1055" t="str">
        <f t="shared" si="379"/>
        <v>-</v>
      </c>
      <c r="AU311" s="1055" t="str">
        <f t="shared" si="379"/>
        <v>-</v>
      </c>
      <c r="AV311" s="2308" t="str">
        <f t="shared" si="379"/>
        <v>-</v>
      </c>
      <c r="AW311" s="1055" t="str">
        <f t="shared" si="379"/>
        <v>-</v>
      </c>
      <c r="AX311" s="2309" t="str">
        <f t="shared" si="379"/>
        <v>-</v>
      </c>
      <c r="AY311" s="1055" t="str">
        <f t="shared" si="379"/>
        <v>-</v>
      </c>
      <c r="AZ311" s="1055" t="str">
        <f t="shared" si="379"/>
        <v>-</v>
      </c>
      <c r="BA311" s="1055" t="str">
        <f t="shared" si="379"/>
        <v>-</v>
      </c>
      <c r="BB311" s="1056" t="str">
        <f t="shared" si="379"/>
        <v>-</v>
      </c>
      <c r="BC311" s="1055" t="str">
        <f t="shared" si="379"/>
        <v>-</v>
      </c>
      <c r="BD311" s="1055" t="str">
        <f t="shared" si="379"/>
        <v>-</v>
      </c>
      <c r="BE311" s="1055" t="str">
        <f t="shared" si="379"/>
        <v>-</v>
      </c>
      <c r="BF311" s="1055" t="str">
        <f t="shared" si="379"/>
        <v>-</v>
      </c>
      <c r="BG311" s="1056" t="str">
        <f t="shared" si="379"/>
        <v>-</v>
      </c>
      <c r="BH311" s="1048"/>
      <c r="BI311" s="2304" t="str">
        <f t="shared" si="336"/>
        <v>Rev</v>
      </c>
      <c r="BJ311" s="2305" t="str">
        <f t="shared" si="336"/>
        <v>[Service]</v>
      </c>
      <c r="BK311" s="2306" t="str">
        <f t="shared" si="336"/>
        <v>[Price]</v>
      </c>
      <c r="BL311" s="2307" t="str">
        <f t="shared" ref="BL311:BZ311" si="386">IF(OR(X311="",X311=0),"-",IFERROR((X311/W311-1)*(W311/W$13),"-"))</f>
        <v>-</v>
      </c>
      <c r="BM311" s="1055" t="str">
        <f t="shared" si="386"/>
        <v>-</v>
      </c>
      <c r="BN311" s="1055" t="str">
        <f t="shared" si="386"/>
        <v>-</v>
      </c>
      <c r="BO311" s="2308" t="str">
        <f t="shared" si="386"/>
        <v>-</v>
      </c>
      <c r="BP311" s="1055" t="str">
        <f t="shared" si="386"/>
        <v>-</v>
      </c>
      <c r="BQ311" s="2309" t="str">
        <f t="shared" si="386"/>
        <v>-</v>
      </c>
      <c r="BR311" s="1055" t="str">
        <f t="shared" si="386"/>
        <v>-</v>
      </c>
      <c r="BS311" s="1055" t="str">
        <f t="shared" si="386"/>
        <v>-</v>
      </c>
      <c r="BT311" s="1055" t="str">
        <f t="shared" si="386"/>
        <v>-</v>
      </c>
      <c r="BU311" s="1056" t="str">
        <f t="shared" si="386"/>
        <v>-</v>
      </c>
      <c r="BV311" s="1055" t="str">
        <f t="shared" si="386"/>
        <v>-</v>
      </c>
      <c r="BW311" s="1055" t="str">
        <f t="shared" si="386"/>
        <v>-</v>
      </c>
      <c r="BX311" s="1055" t="str">
        <f t="shared" si="386"/>
        <v>-</v>
      </c>
      <c r="BY311" s="1055" t="str">
        <f t="shared" si="386"/>
        <v>-</v>
      </c>
      <c r="BZ311" s="1056" t="str">
        <f t="shared" si="386"/>
        <v>-</v>
      </c>
    </row>
    <row r="312" spans="3:78" x14ac:dyDescent="0.3">
      <c r="C312" s="126"/>
      <c r="D312" s="126">
        <f>D309+1</f>
        <v>82</v>
      </c>
      <c r="E312" s="553" t="s">
        <v>45</v>
      </c>
      <c r="F312" s="581" t="s">
        <v>28</v>
      </c>
      <c r="G312" s="581"/>
      <c r="H312" s="581"/>
      <c r="I312" s="573" t="s">
        <v>319</v>
      </c>
      <c r="J312" s="573" t="s">
        <v>348</v>
      </c>
      <c r="K312" s="1969"/>
      <c r="L312" s="1970"/>
      <c r="M312" s="1970"/>
      <c r="N312" s="1971"/>
      <c r="O312" s="1970"/>
      <c r="P312" s="1970"/>
      <c r="Q312" s="1970"/>
      <c r="R312" s="1972"/>
      <c r="S312" s="1979"/>
      <c r="T312" s="1972"/>
      <c r="U312" s="1972"/>
      <c r="V312" s="1972"/>
      <c r="W312" s="575"/>
      <c r="X312" s="1238"/>
      <c r="Y312" s="575"/>
      <c r="Z312" s="575"/>
      <c r="AA312" s="575"/>
      <c r="AB312" s="1142"/>
      <c r="AC312" s="575"/>
      <c r="AD312" s="575"/>
      <c r="AE312" s="575"/>
      <c r="AF312" s="575"/>
      <c r="AG312" s="577"/>
      <c r="AH312" s="576"/>
      <c r="AI312" s="575"/>
      <c r="AJ312" s="575"/>
      <c r="AK312" s="575"/>
      <c r="AL312" s="577"/>
      <c r="AN312" s="1052"/>
      <c r="AP312" s="2297" t="str">
        <f t="shared" si="313"/>
        <v>Price</v>
      </c>
      <c r="AQ312" s="2298" t="str">
        <f t="shared" si="313"/>
        <v>[Service]</v>
      </c>
      <c r="AR312" s="1719" t="str">
        <f t="shared" si="314"/>
        <v>[Price]</v>
      </c>
      <c r="AS312" s="2299" t="str">
        <f t="shared" si="379"/>
        <v>-</v>
      </c>
      <c r="AT312" s="1728" t="str">
        <f t="shared" si="379"/>
        <v>-</v>
      </c>
      <c r="AU312" s="1728" t="str">
        <f t="shared" si="379"/>
        <v>-</v>
      </c>
      <c r="AV312" s="2300" t="str">
        <f t="shared" si="379"/>
        <v>-</v>
      </c>
      <c r="AW312" s="1728" t="str">
        <f t="shared" si="379"/>
        <v>-</v>
      </c>
      <c r="AX312" s="2301" t="str">
        <f t="shared" si="379"/>
        <v>-</v>
      </c>
      <c r="AY312" s="1728" t="str">
        <f t="shared" si="379"/>
        <v>-</v>
      </c>
      <c r="AZ312" s="1728" t="str">
        <f t="shared" si="379"/>
        <v>-</v>
      </c>
      <c r="BA312" s="1728" t="str">
        <f t="shared" si="379"/>
        <v>-</v>
      </c>
      <c r="BB312" s="1729" t="str">
        <f t="shared" si="379"/>
        <v>-</v>
      </c>
      <c r="BC312" s="1728" t="str">
        <f t="shared" si="379"/>
        <v>-</v>
      </c>
      <c r="BD312" s="1728" t="str">
        <f t="shared" si="379"/>
        <v>-</v>
      </c>
      <c r="BE312" s="1728" t="str">
        <f t="shared" si="379"/>
        <v>-</v>
      </c>
      <c r="BF312" s="1728" t="str">
        <f t="shared" si="379"/>
        <v>-</v>
      </c>
      <c r="BG312" s="1729" t="str">
        <f t="shared" si="379"/>
        <v>-</v>
      </c>
      <c r="BH312" s="1048"/>
      <c r="BI312" s="2297" t="str">
        <f t="shared" si="336"/>
        <v>Price</v>
      </c>
      <c r="BJ312" s="2298" t="str">
        <f t="shared" si="336"/>
        <v>[Service]</v>
      </c>
      <c r="BK312" s="1719" t="str">
        <f t="shared" si="336"/>
        <v>[Price]</v>
      </c>
      <c r="BL312" s="2299" t="str">
        <f t="shared" ref="BL312:BZ312" si="387">IF(OR(X312="",X312=0),"-",IFERROR((X312/W312-1)*(W314/W$13),"-"))</f>
        <v>-</v>
      </c>
      <c r="BM312" s="1053" t="str">
        <f t="shared" si="387"/>
        <v>-</v>
      </c>
      <c r="BN312" s="1053" t="str">
        <f t="shared" si="387"/>
        <v>-</v>
      </c>
      <c r="BO312" s="2302" t="str">
        <f t="shared" si="387"/>
        <v>-</v>
      </c>
      <c r="BP312" s="1053" t="str">
        <f t="shared" si="387"/>
        <v>-</v>
      </c>
      <c r="BQ312" s="2303" t="str">
        <f t="shared" si="387"/>
        <v>-</v>
      </c>
      <c r="BR312" s="1053" t="str">
        <f t="shared" si="387"/>
        <v>-</v>
      </c>
      <c r="BS312" s="1053" t="str">
        <f t="shared" si="387"/>
        <v>-</v>
      </c>
      <c r="BT312" s="1053" t="str">
        <f t="shared" si="387"/>
        <v>-</v>
      </c>
      <c r="BU312" s="1054" t="str">
        <f t="shared" si="387"/>
        <v>-</v>
      </c>
      <c r="BV312" s="1053" t="str">
        <f t="shared" si="387"/>
        <v>-</v>
      </c>
      <c r="BW312" s="1053" t="str">
        <f t="shared" si="387"/>
        <v>-</v>
      </c>
      <c r="BX312" s="1053" t="str">
        <f t="shared" si="387"/>
        <v>-</v>
      </c>
      <c r="BY312" s="1053" t="str">
        <f t="shared" si="387"/>
        <v>-</v>
      </c>
      <c r="BZ312" s="1054" t="str">
        <f t="shared" si="387"/>
        <v>-</v>
      </c>
    </row>
    <row r="313" spans="3:78" x14ac:dyDescent="0.3">
      <c r="C313" s="126"/>
      <c r="D313" s="126"/>
      <c r="E313" s="558" t="s">
        <v>46</v>
      </c>
      <c r="F313" s="1722" t="str">
        <f>+F312</f>
        <v>[Service]</v>
      </c>
      <c r="G313" s="1724">
        <f>+G312</f>
        <v>0</v>
      </c>
      <c r="H313" s="1724">
        <f>+H312</f>
        <v>0</v>
      </c>
      <c r="I313" s="1725" t="str">
        <f>+I312</f>
        <v>[Price]</v>
      </c>
      <c r="J313" s="574" t="s">
        <v>323</v>
      </c>
      <c r="K313" s="1973"/>
      <c r="L313" s="1974"/>
      <c r="M313" s="1974"/>
      <c r="N313" s="1975"/>
      <c r="O313" s="1974"/>
      <c r="P313" s="1974"/>
      <c r="Q313" s="1974"/>
      <c r="R313" s="1976"/>
      <c r="S313" s="1980"/>
      <c r="T313" s="1976"/>
      <c r="U313" s="1976"/>
      <c r="V313" s="1976"/>
      <c r="W313" s="578"/>
      <c r="X313" s="1239"/>
      <c r="Y313" s="578"/>
      <c r="Z313" s="578"/>
      <c r="AA313" s="578"/>
      <c r="AB313" s="1143"/>
      <c r="AC313" s="578"/>
      <c r="AD313" s="578"/>
      <c r="AE313" s="578"/>
      <c r="AF313" s="578"/>
      <c r="AG313" s="580"/>
      <c r="AH313" s="579"/>
      <c r="AI313" s="578"/>
      <c r="AJ313" s="578"/>
      <c r="AK313" s="578"/>
      <c r="AL313" s="580"/>
      <c r="AN313" s="991"/>
      <c r="AP313" s="2285" t="str">
        <f t="shared" si="313"/>
        <v>Qty</v>
      </c>
      <c r="AQ313" s="2286" t="str">
        <f t="shared" si="313"/>
        <v>[Service]</v>
      </c>
      <c r="AR313" s="2287" t="str">
        <f t="shared" si="314"/>
        <v>[Price]</v>
      </c>
      <c r="AS313" s="2288" t="str">
        <f t="shared" si="379"/>
        <v>-</v>
      </c>
      <c r="AT313" s="1720" t="str">
        <f t="shared" si="379"/>
        <v>-</v>
      </c>
      <c r="AU313" s="1720" t="str">
        <f t="shared" si="379"/>
        <v>-</v>
      </c>
      <c r="AV313" s="2289" t="str">
        <f t="shared" si="379"/>
        <v>-</v>
      </c>
      <c r="AW313" s="1720" t="str">
        <f t="shared" si="379"/>
        <v>-</v>
      </c>
      <c r="AX313" s="2290" t="str">
        <f t="shared" si="379"/>
        <v>-</v>
      </c>
      <c r="AY313" s="1720" t="str">
        <f t="shared" si="379"/>
        <v>-</v>
      </c>
      <c r="AZ313" s="1720" t="str">
        <f t="shared" si="379"/>
        <v>-</v>
      </c>
      <c r="BA313" s="1720" t="str">
        <f t="shared" si="379"/>
        <v>-</v>
      </c>
      <c r="BB313" s="1721" t="str">
        <f t="shared" si="379"/>
        <v>-</v>
      </c>
      <c r="BC313" s="1720" t="str">
        <f t="shared" si="379"/>
        <v>-</v>
      </c>
      <c r="BD313" s="1720" t="str">
        <f t="shared" si="379"/>
        <v>-</v>
      </c>
      <c r="BE313" s="1720" t="str">
        <f t="shared" si="379"/>
        <v>-</v>
      </c>
      <c r="BF313" s="1720" t="str">
        <f t="shared" si="379"/>
        <v>-</v>
      </c>
      <c r="BG313" s="1721" t="str">
        <f t="shared" si="379"/>
        <v>-</v>
      </c>
      <c r="BH313" s="1048"/>
      <c r="BI313" s="2285" t="str">
        <f t="shared" si="336"/>
        <v>Qty</v>
      </c>
      <c r="BJ313" s="2286" t="str">
        <f t="shared" si="336"/>
        <v>[Service]</v>
      </c>
      <c r="BK313" s="2287" t="str">
        <f t="shared" si="336"/>
        <v>[Price]</v>
      </c>
      <c r="BL313" s="2288" t="str">
        <f t="shared" ref="BL313:BZ313" si="388">IF(OR(X313="",X313=0),"-",IFERROR((X313/W313-1)*(W314/W$13),"-"))</f>
        <v>-</v>
      </c>
      <c r="BM313" s="1720" t="str">
        <f t="shared" si="388"/>
        <v>-</v>
      </c>
      <c r="BN313" s="1720" t="str">
        <f t="shared" si="388"/>
        <v>-</v>
      </c>
      <c r="BO313" s="2289" t="str">
        <f t="shared" si="388"/>
        <v>-</v>
      </c>
      <c r="BP313" s="1720" t="str">
        <f t="shared" si="388"/>
        <v>-</v>
      </c>
      <c r="BQ313" s="2290" t="str">
        <f t="shared" si="388"/>
        <v>-</v>
      </c>
      <c r="BR313" s="1720" t="str">
        <f t="shared" si="388"/>
        <v>-</v>
      </c>
      <c r="BS313" s="1720" t="str">
        <f t="shared" si="388"/>
        <v>-</v>
      </c>
      <c r="BT313" s="1720" t="str">
        <f t="shared" si="388"/>
        <v>-</v>
      </c>
      <c r="BU313" s="1721" t="str">
        <f t="shared" si="388"/>
        <v>-</v>
      </c>
      <c r="BV313" s="1720" t="str">
        <f t="shared" si="388"/>
        <v>-</v>
      </c>
      <c r="BW313" s="1720" t="str">
        <f t="shared" si="388"/>
        <v>-</v>
      </c>
      <c r="BX313" s="1720" t="str">
        <f t="shared" si="388"/>
        <v>-</v>
      </c>
      <c r="BY313" s="1720" t="str">
        <f t="shared" si="388"/>
        <v>-</v>
      </c>
      <c r="BZ313" s="1721" t="str">
        <f t="shared" si="388"/>
        <v>-</v>
      </c>
    </row>
    <row r="314" spans="3:78" ht="12.5" thickBot="1" x14ac:dyDescent="0.35">
      <c r="C314" s="126"/>
      <c r="D314" s="126"/>
      <c r="E314" s="559" t="s">
        <v>47</v>
      </c>
      <c r="F314" s="1723" t="str">
        <f>+F312</f>
        <v>[Service]</v>
      </c>
      <c r="G314" s="1726">
        <f>+G312</f>
        <v>0</v>
      </c>
      <c r="H314" s="1726">
        <f>+H312</f>
        <v>0</v>
      </c>
      <c r="I314" s="1727" t="str">
        <f>+I312</f>
        <v>[Price]</v>
      </c>
      <c r="J314" s="556" t="s">
        <v>347</v>
      </c>
      <c r="K314" s="1977"/>
      <c r="L314" s="1206"/>
      <c r="M314" s="1206"/>
      <c r="N314" s="1978"/>
      <c r="O314" s="1206"/>
      <c r="P314" s="1206"/>
      <c r="Q314" s="1206"/>
      <c r="R314" s="1206"/>
      <c r="S314" s="1978"/>
      <c r="T314" s="1206"/>
      <c r="U314" s="1206"/>
      <c r="V314" s="1206"/>
      <c r="W314" s="1731">
        <f t="shared" ref="W314:AG314" si="389">W312*W313/10^6</f>
        <v>0</v>
      </c>
      <c r="X314" s="1730">
        <f t="shared" si="389"/>
        <v>0</v>
      </c>
      <c r="Y314" s="1731">
        <f t="shared" si="389"/>
        <v>0</v>
      </c>
      <c r="Z314" s="1731">
        <f t="shared" si="389"/>
        <v>0</v>
      </c>
      <c r="AA314" s="1731">
        <f t="shared" si="389"/>
        <v>0</v>
      </c>
      <c r="AB314" s="1733">
        <f t="shared" si="389"/>
        <v>0</v>
      </c>
      <c r="AC314" s="1731">
        <f t="shared" si="389"/>
        <v>0</v>
      </c>
      <c r="AD314" s="1731">
        <f t="shared" si="389"/>
        <v>0</v>
      </c>
      <c r="AE314" s="1731">
        <f t="shared" si="389"/>
        <v>0</v>
      </c>
      <c r="AF314" s="1731">
        <f t="shared" si="389"/>
        <v>0</v>
      </c>
      <c r="AG314" s="1733">
        <f t="shared" si="389"/>
        <v>0</v>
      </c>
      <c r="AH314" s="1732">
        <f>AH312*AH313/10^6</f>
        <v>0</v>
      </c>
      <c r="AI314" s="1731">
        <f>AI312*AI313/10^6</f>
        <v>0</v>
      </c>
      <c r="AJ314" s="1731">
        <f>AJ312*AJ313/10^6</f>
        <v>0</v>
      </c>
      <c r="AK314" s="1731">
        <f>AK312*AK313/10^6</f>
        <v>0</v>
      </c>
      <c r="AL314" s="1733">
        <f>AL312*AL313/10^6</f>
        <v>0</v>
      </c>
      <c r="AN314" s="991"/>
      <c r="AP314" s="2304" t="str">
        <f t="shared" si="313"/>
        <v>Rev</v>
      </c>
      <c r="AQ314" s="2305" t="str">
        <f t="shared" si="313"/>
        <v>[Service]</v>
      </c>
      <c r="AR314" s="2306" t="str">
        <f t="shared" si="314"/>
        <v>[Price]</v>
      </c>
      <c r="AS314" s="2307" t="str">
        <f t="shared" si="379"/>
        <v>-</v>
      </c>
      <c r="AT314" s="1055" t="str">
        <f t="shared" si="379"/>
        <v>-</v>
      </c>
      <c r="AU314" s="1055" t="str">
        <f t="shared" si="379"/>
        <v>-</v>
      </c>
      <c r="AV314" s="2308" t="str">
        <f t="shared" si="379"/>
        <v>-</v>
      </c>
      <c r="AW314" s="1055" t="str">
        <f t="shared" si="379"/>
        <v>-</v>
      </c>
      <c r="AX314" s="2309" t="str">
        <f t="shared" si="379"/>
        <v>-</v>
      </c>
      <c r="AY314" s="1055" t="str">
        <f t="shared" si="379"/>
        <v>-</v>
      </c>
      <c r="AZ314" s="1055" t="str">
        <f t="shared" si="379"/>
        <v>-</v>
      </c>
      <c r="BA314" s="1055" t="str">
        <f t="shared" si="379"/>
        <v>-</v>
      </c>
      <c r="BB314" s="1056" t="str">
        <f t="shared" si="379"/>
        <v>-</v>
      </c>
      <c r="BC314" s="1055" t="str">
        <f t="shared" si="379"/>
        <v>-</v>
      </c>
      <c r="BD314" s="1055" t="str">
        <f t="shared" si="379"/>
        <v>-</v>
      </c>
      <c r="BE314" s="1055" t="str">
        <f t="shared" si="379"/>
        <v>-</v>
      </c>
      <c r="BF314" s="1055" t="str">
        <f t="shared" si="379"/>
        <v>-</v>
      </c>
      <c r="BG314" s="1056" t="str">
        <f t="shared" si="379"/>
        <v>-</v>
      </c>
      <c r="BH314" s="1048"/>
      <c r="BI314" s="2304" t="str">
        <f t="shared" si="336"/>
        <v>Rev</v>
      </c>
      <c r="BJ314" s="2305" t="str">
        <f t="shared" si="336"/>
        <v>[Service]</v>
      </c>
      <c r="BK314" s="2306" t="str">
        <f t="shared" si="336"/>
        <v>[Price]</v>
      </c>
      <c r="BL314" s="2307" t="str">
        <f t="shared" ref="BL314:BZ314" si="390">IF(OR(X314="",X314=0),"-",IFERROR((X314/W314-1)*(W314/W$13),"-"))</f>
        <v>-</v>
      </c>
      <c r="BM314" s="1055" t="str">
        <f t="shared" si="390"/>
        <v>-</v>
      </c>
      <c r="BN314" s="1055" t="str">
        <f t="shared" si="390"/>
        <v>-</v>
      </c>
      <c r="BO314" s="2308" t="str">
        <f t="shared" si="390"/>
        <v>-</v>
      </c>
      <c r="BP314" s="1055" t="str">
        <f t="shared" si="390"/>
        <v>-</v>
      </c>
      <c r="BQ314" s="2309" t="str">
        <f t="shared" si="390"/>
        <v>-</v>
      </c>
      <c r="BR314" s="1055" t="str">
        <f t="shared" si="390"/>
        <v>-</v>
      </c>
      <c r="BS314" s="1055" t="str">
        <f t="shared" si="390"/>
        <v>-</v>
      </c>
      <c r="BT314" s="1055" t="str">
        <f t="shared" si="390"/>
        <v>-</v>
      </c>
      <c r="BU314" s="1056" t="str">
        <f t="shared" si="390"/>
        <v>-</v>
      </c>
      <c r="BV314" s="1055" t="str">
        <f t="shared" si="390"/>
        <v>-</v>
      </c>
      <c r="BW314" s="1055" t="str">
        <f t="shared" si="390"/>
        <v>-</v>
      </c>
      <c r="BX314" s="1055" t="str">
        <f t="shared" si="390"/>
        <v>-</v>
      </c>
      <c r="BY314" s="1055" t="str">
        <f t="shared" si="390"/>
        <v>-</v>
      </c>
      <c r="BZ314" s="1056" t="str">
        <f t="shared" si="390"/>
        <v>-</v>
      </c>
    </row>
    <row r="315" spans="3:78" x14ac:dyDescent="0.3">
      <c r="C315" s="126"/>
      <c r="D315" s="126">
        <f>D312+1</f>
        <v>83</v>
      </c>
      <c r="E315" s="553" t="s">
        <v>45</v>
      </c>
      <c r="F315" s="581" t="s">
        <v>28</v>
      </c>
      <c r="G315" s="581"/>
      <c r="H315" s="581"/>
      <c r="I315" s="573" t="s">
        <v>319</v>
      </c>
      <c r="J315" s="573" t="s">
        <v>348</v>
      </c>
      <c r="K315" s="1969"/>
      <c r="L315" s="1970"/>
      <c r="M315" s="1970"/>
      <c r="N315" s="1971"/>
      <c r="O315" s="1970"/>
      <c r="P315" s="1970"/>
      <c r="Q315" s="1970"/>
      <c r="R315" s="1972"/>
      <c r="S315" s="1979"/>
      <c r="T315" s="1972"/>
      <c r="U315" s="1972"/>
      <c r="V315" s="1972"/>
      <c r="W315" s="575"/>
      <c r="X315" s="1238"/>
      <c r="Y315" s="575"/>
      <c r="Z315" s="575"/>
      <c r="AA315" s="575"/>
      <c r="AB315" s="1142"/>
      <c r="AC315" s="575"/>
      <c r="AD315" s="575"/>
      <c r="AE315" s="575"/>
      <c r="AF315" s="575"/>
      <c r="AG315" s="577"/>
      <c r="AH315" s="576"/>
      <c r="AI315" s="575"/>
      <c r="AJ315" s="575"/>
      <c r="AK315" s="575"/>
      <c r="AL315" s="577"/>
      <c r="AN315" s="1052"/>
      <c r="AP315" s="2297" t="str">
        <f t="shared" si="313"/>
        <v>Price</v>
      </c>
      <c r="AQ315" s="2298" t="str">
        <f t="shared" si="313"/>
        <v>[Service]</v>
      </c>
      <c r="AR315" s="1719" t="str">
        <f t="shared" si="314"/>
        <v>[Price]</v>
      </c>
      <c r="AS315" s="2299" t="str">
        <f t="shared" si="379"/>
        <v>-</v>
      </c>
      <c r="AT315" s="1728" t="str">
        <f t="shared" si="379"/>
        <v>-</v>
      </c>
      <c r="AU315" s="1728" t="str">
        <f t="shared" si="379"/>
        <v>-</v>
      </c>
      <c r="AV315" s="2300" t="str">
        <f t="shared" si="379"/>
        <v>-</v>
      </c>
      <c r="AW315" s="1728" t="str">
        <f t="shared" si="379"/>
        <v>-</v>
      </c>
      <c r="AX315" s="2301" t="str">
        <f t="shared" si="379"/>
        <v>-</v>
      </c>
      <c r="AY315" s="1728" t="str">
        <f t="shared" si="379"/>
        <v>-</v>
      </c>
      <c r="AZ315" s="1728" t="str">
        <f t="shared" si="379"/>
        <v>-</v>
      </c>
      <c r="BA315" s="1728" t="str">
        <f t="shared" si="379"/>
        <v>-</v>
      </c>
      <c r="BB315" s="1729" t="str">
        <f t="shared" si="379"/>
        <v>-</v>
      </c>
      <c r="BC315" s="1728" t="str">
        <f t="shared" si="379"/>
        <v>-</v>
      </c>
      <c r="BD315" s="1728" t="str">
        <f t="shared" si="379"/>
        <v>-</v>
      </c>
      <c r="BE315" s="1728" t="str">
        <f t="shared" si="379"/>
        <v>-</v>
      </c>
      <c r="BF315" s="1728" t="str">
        <f t="shared" si="379"/>
        <v>-</v>
      </c>
      <c r="BG315" s="1729" t="str">
        <f t="shared" si="379"/>
        <v>-</v>
      </c>
      <c r="BH315" s="1048"/>
      <c r="BI315" s="2297" t="str">
        <f t="shared" si="336"/>
        <v>Price</v>
      </c>
      <c r="BJ315" s="2298" t="str">
        <f t="shared" si="336"/>
        <v>[Service]</v>
      </c>
      <c r="BK315" s="1719" t="str">
        <f t="shared" si="336"/>
        <v>[Price]</v>
      </c>
      <c r="BL315" s="2299" t="str">
        <f t="shared" ref="BL315:BZ315" si="391">IF(OR(X315="",X315=0),"-",IFERROR((X315/W315-1)*(W317/W$13),"-"))</f>
        <v>-</v>
      </c>
      <c r="BM315" s="1053" t="str">
        <f t="shared" si="391"/>
        <v>-</v>
      </c>
      <c r="BN315" s="1053" t="str">
        <f t="shared" si="391"/>
        <v>-</v>
      </c>
      <c r="BO315" s="2302" t="str">
        <f t="shared" si="391"/>
        <v>-</v>
      </c>
      <c r="BP315" s="1053" t="str">
        <f t="shared" si="391"/>
        <v>-</v>
      </c>
      <c r="BQ315" s="2303" t="str">
        <f t="shared" si="391"/>
        <v>-</v>
      </c>
      <c r="BR315" s="1053" t="str">
        <f t="shared" si="391"/>
        <v>-</v>
      </c>
      <c r="BS315" s="1053" t="str">
        <f t="shared" si="391"/>
        <v>-</v>
      </c>
      <c r="BT315" s="1053" t="str">
        <f t="shared" si="391"/>
        <v>-</v>
      </c>
      <c r="BU315" s="1054" t="str">
        <f t="shared" si="391"/>
        <v>-</v>
      </c>
      <c r="BV315" s="1053" t="str">
        <f t="shared" si="391"/>
        <v>-</v>
      </c>
      <c r="BW315" s="1053" t="str">
        <f t="shared" si="391"/>
        <v>-</v>
      </c>
      <c r="BX315" s="1053" t="str">
        <f t="shared" si="391"/>
        <v>-</v>
      </c>
      <c r="BY315" s="1053" t="str">
        <f t="shared" si="391"/>
        <v>-</v>
      </c>
      <c r="BZ315" s="1054" t="str">
        <f t="shared" si="391"/>
        <v>-</v>
      </c>
    </row>
    <row r="316" spans="3:78" x14ac:dyDescent="0.3">
      <c r="C316" s="126"/>
      <c r="D316" s="126"/>
      <c r="E316" s="558" t="s">
        <v>46</v>
      </c>
      <c r="F316" s="1722" t="str">
        <f>+F315</f>
        <v>[Service]</v>
      </c>
      <c r="G316" s="1724">
        <f>+G315</f>
        <v>0</v>
      </c>
      <c r="H316" s="1724">
        <f>+H315</f>
        <v>0</v>
      </c>
      <c r="I316" s="1725" t="str">
        <f>+I315</f>
        <v>[Price]</v>
      </c>
      <c r="J316" s="574" t="s">
        <v>323</v>
      </c>
      <c r="K316" s="1973"/>
      <c r="L316" s="1974"/>
      <c r="M316" s="1974"/>
      <c r="N316" s="1975"/>
      <c r="O316" s="1974"/>
      <c r="P316" s="1974"/>
      <c r="Q316" s="1974"/>
      <c r="R316" s="1976"/>
      <c r="S316" s="1980"/>
      <c r="T316" s="1976"/>
      <c r="U316" s="1976"/>
      <c r="V316" s="1976"/>
      <c r="W316" s="578"/>
      <c r="X316" s="1239"/>
      <c r="Y316" s="578"/>
      <c r="Z316" s="578"/>
      <c r="AA316" s="578"/>
      <c r="AB316" s="1143"/>
      <c r="AC316" s="578"/>
      <c r="AD316" s="578"/>
      <c r="AE316" s="578"/>
      <c r="AF316" s="578"/>
      <c r="AG316" s="580"/>
      <c r="AH316" s="579"/>
      <c r="AI316" s="578"/>
      <c r="AJ316" s="578"/>
      <c r="AK316" s="578"/>
      <c r="AL316" s="580"/>
      <c r="AN316" s="991"/>
      <c r="AP316" s="2285" t="str">
        <f t="shared" si="313"/>
        <v>Qty</v>
      </c>
      <c r="AQ316" s="2286" t="str">
        <f t="shared" si="313"/>
        <v>[Service]</v>
      </c>
      <c r="AR316" s="2287" t="str">
        <f t="shared" si="314"/>
        <v>[Price]</v>
      </c>
      <c r="AS316" s="2288" t="str">
        <f t="shared" si="379"/>
        <v>-</v>
      </c>
      <c r="AT316" s="1720" t="str">
        <f t="shared" si="379"/>
        <v>-</v>
      </c>
      <c r="AU316" s="1720" t="str">
        <f t="shared" si="379"/>
        <v>-</v>
      </c>
      <c r="AV316" s="2289" t="str">
        <f t="shared" si="379"/>
        <v>-</v>
      </c>
      <c r="AW316" s="1720" t="str">
        <f t="shared" si="379"/>
        <v>-</v>
      </c>
      <c r="AX316" s="2290" t="str">
        <f t="shared" si="379"/>
        <v>-</v>
      </c>
      <c r="AY316" s="1720" t="str">
        <f t="shared" si="379"/>
        <v>-</v>
      </c>
      <c r="AZ316" s="1720" t="str">
        <f t="shared" si="379"/>
        <v>-</v>
      </c>
      <c r="BA316" s="1720" t="str">
        <f t="shared" si="379"/>
        <v>-</v>
      </c>
      <c r="BB316" s="1721" t="str">
        <f t="shared" si="379"/>
        <v>-</v>
      </c>
      <c r="BC316" s="1720" t="str">
        <f t="shared" si="379"/>
        <v>-</v>
      </c>
      <c r="BD316" s="1720" t="str">
        <f t="shared" si="379"/>
        <v>-</v>
      </c>
      <c r="BE316" s="1720" t="str">
        <f t="shared" si="379"/>
        <v>-</v>
      </c>
      <c r="BF316" s="1720" t="str">
        <f t="shared" si="379"/>
        <v>-</v>
      </c>
      <c r="BG316" s="1721" t="str">
        <f t="shared" si="379"/>
        <v>-</v>
      </c>
      <c r="BH316" s="1048"/>
      <c r="BI316" s="2285" t="str">
        <f t="shared" si="336"/>
        <v>Qty</v>
      </c>
      <c r="BJ316" s="2286" t="str">
        <f t="shared" si="336"/>
        <v>[Service]</v>
      </c>
      <c r="BK316" s="2287" t="str">
        <f t="shared" si="336"/>
        <v>[Price]</v>
      </c>
      <c r="BL316" s="2288" t="str">
        <f t="shared" ref="BL316:BZ316" si="392">IF(OR(X316="",X316=0),"-",IFERROR((X316/W316-1)*(W317/W$13),"-"))</f>
        <v>-</v>
      </c>
      <c r="BM316" s="1720" t="str">
        <f t="shared" si="392"/>
        <v>-</v>
      </c>
      <c r="BN316" s="1720" t="str">
        <f t="shared" si="392"/>
        <v>-</v>
      </c>
      <c r="BO316" s="2289" t="str">
        <f t="shared" si="392"/>
        <v>-</v>
      </c>
      <c r="BP316" s="1720" t="str">
        <f t="shared" si="392"/>
        <v>-</v>
      </c>
      <c r="BQ316" s="2290" t="str">
        <f t="shared" si="392"/>
        <v>-</v>
      </c>
      <c r="BR316" s="1720" t="str">
        <f t="shared" si="392"/>
        <v>-</v>
      </c>
      <c r="BS316" s="1720" t="str">
        <f t="shared" si="392"/>
        <v>-</v>
      </c>
      <c r="BT316" s="1720" t="str">
        <f t="shared" si="392"/>
        <v>-</v>
      </c>
      <c r="BU316" s="1721" t="str">
        <f t="shared" si="392"/>
        <v>-</v>
      </c>
      <c r="BV316" s="1720" t="str">
        <f t="shared" si="392"/>
        <v>-</v>
      </c>
      <c r="BW316" s="1720" t="str">
        <f t="shared" si="392"/>
        <v>-</v>
      </c>
      <c r="BX316" s="1720" t="str">
        <f t="shared" si="392"/>
        <v>-</v>
      </c>
      <c r="BY316" s="1720" t="str">
        <f t="shared" si="392"/>
        <v>-</v>
      </c>
      <c r="BZ316" s="1721" t="str">
        <f t="shared" si="392"/>
        <v>-</v>
      </c>
    </row>
    <row r="317" spans="3:78" ht="12.5" thickBot="1" x14ac:dyDescent="0.35">
      <c r="C317" s="126"/>
      <c r="D317" s="126"/>
      <c r="E317" s="559" t="s">
        <v>47</v>
      </c>
      <c r="F317" s="1723" t="str">
        <f>+F315</f>
        <v>[Service]</v>
      </c>
      <c r="G317" s="1726">
        <f>+G315</f>
        <v>0</v>
      </c>
      <c r="H317" s="1726">
        <f>+H315</f>
        <v>0</v>
      </c>
      <c r="I317" s="1727" t="str">
        <f>+I315</f>
        <v>[Price]</v>
      </c>
      <c r="J317" s="556" t="s">
        <v>347</v>
      </c>
      <c r="K317" s="1977"/>
      <c r="L317" s="1206"/>
      <c r="M317" s="1206"/>
      <c r="N317" s="1978"/>
      <c r="O317" s="1206"/>
      <c r="P317" s="1206"/>
      <c r="Q317" s="1206"/>
      <c r="R317" s="1206"/>
      <c r="S317" s="1978"/>
      <c r="T317" s="1206"/>
      <c r="U317" s="1206"/>
      <c r="V317" s="1206"/>
      <c r="W317" s="1731">
        <f t="shared" ref="W317:AG317" si="393">W315*W316/10^6</f>
        <v>0</v>
      </c>
      <c r="X317" s="1730">
        <f t="shared" si="393"/>
        <v>0</v>
      </c>
      <c r="Y317" s="1731">
        <f t="shared" si="393"/>
        <v>0</v>
      </c>
      <c r="Z317" s="1731">
        <f t="shared" si="393"/>
        <v>0</v>
      </c>
      <c r="AA317" s="1731">
        <f t="shared" si="393"/>
        <v>0</v>
      </c>
      <c r="AB317" s="1733">
        <f t="shared" si="393"/>
        <v>0</v>
      </c>
      <c r="AC317" s="1731">
        <f t="shared" si="393"/>
        <v>0</v>
      </c>
      <c r="AD317" s="1731">
        <f t="shared" si="393"/>
        <v>0</v>
      </c>
      <c r="AE317" s="1731">
        <f t="shared" si="393"/>
        <v>0</v>
      </c>
      <c r="AF317" s="1731">
        <f t="shared" si="393"/>
        <v>0</v>
      </c>
      <c r="AG317" s="1733">
        <f t="shared" si="393"/>
        <v>0</v>
      </c>
      <c r="AH317" s="1732">
        <f>AH315*AH316/10^6</f>
        <v>0</v>
      </c>
      <c r="AI317" s="1731">
        <f>AI315*AI316/10^6</f>
        <v>0</v>
      </c>
      <c r="AJ317" s="1731">
        <f>AJ315*AJ316/10^6</f>
        <v>0</v>
      </c>
      <c r="AK317" s="1731">
        <f>AK315*AK316/10^6</f>
        <v>0</v>
      </c>
      <c r="AL317" s="1733">
        <f>AL315*AL316/10^6</f>
        <v>0</v>
      </c>
      <c r="AN317" s="991"/>
      <c r="AP317" s="2304" t="str">
        <f t="shared" si="313"/>
        <v>Rev</v>
      </c>
      <c r="AQ317" s="2305" t="str">
        <f t="shared" si="313"/>
        <v>[Service]</v>
      </c>
      <c r="AR317" s="2306" t="str">
        <f t="shared" si="314"/>
        <v>[Price]</v>
      </c>
      <c r="AS317" s="2307" t="str">
        <f t="shared" si="379"/>
        <v>-</v>
      </c>
      <c r="AT317" s="1055" t="str">
        <f t="shared" si="379"/>
        <v>-</v>
      </c>
      <c r="AU317" s="1055" t="str">
        <f t="shared" si="379"/>
        <v>-</v>
      </c>
      <c r="AV317" s="2308" t="str">
        <f t="shared" si="379"/>
        <v>-</v>
      </c>
      <c r="AW317" s="1055" t="str">
        <f t="shared" si="379"/>
        <v>-</v>
      </c>
      <c r="AX317" s="2309" t="str">
        <f t="shared" si="379"/>
        <v>-</v>
      </c>
      <c r="AY317" s="1055" t="str">
        <f t="shared" si="379"/>
        <v>-</v>
      </c>
      <c r="AZ317" s="1055" t="str">
        <f t="shared" si="379"/>
        <v>-</v>
      </c>
      <c r="BA317" s="1055" t="str">
        <f t="shared" si="379"/>
        <v>-</v>
      </c>
      <c r="BB317" s="1056" t="str">
        <f t="shared" si="379"/>
        <v>-</v>
      </c>
      <c r="BC317" s="1055" t="str">
        <f t="shared" si="379"/>
        <v>-</v>
      </c>
      <c r="BD317" s="1055" t="str">
        <f t="shared" si="379"/>
        <v>-</v>
      </c>
      <c r="BE317" s="1055" t="str">
        <f t="shared" si="379"/>
        <v>-</v>
      </c>
      <c r="BF317" s="1055" t="str">
        <f t="shared" si="379"/>
        <v>-</v>
      </c>
      <c r="BG317" s="1056" t="str">
        <f t="shared" si="379"/>
        <v>-</v>
      </c>
      <c r="BH317" s="1048"/>
      <c r="BI317" s="2304" t="str">
        <f t="shared" si="336"/>
        <v>Rev</v>
      </c>
      <c r="BJ317" s="2305" t="str">
        <f t="shared" si="336"/>
        <v>[Service]</v>
      </c>
      <c r="BK317" s="2306" t="str">
        <f t="shared" si="336"/>
        <v>[Price]</v>
      </c>
      <c r="BL317" s="2307" t="str">
        <f t="shared" ref="BL317:BZ317" si="394">IF(OR(X317="",X317=0),"-",IFERROR((X317/W317-1)*(W317/W$13),"-"))</f>
        <v>-</v>
      </c>
      <c r="BM317" s="1055" t="str">
        <f t="shared" si="394"/>
        <v>-</v>
      </c>
      <c r="BN317" s="1055" t="str">
        <f t="shared" si="394"/>
        <v>-</v>
      </c>
      <c r="BO317" s="2308" t="str">
        <f t="shared" si="394"/>
        <v>-</v>
      </c>
      <c r="BP317" s="1055" t="str">
        <f t="shared" si="394"/>
        <v>-</v>
      </c>
      <c r="BQ317" s="2309" t="str">
        <f t="shared" si="394"/>
        <v>-</v>
      </c>
      <c r="BR317" s="1055" t="str">
        <f t="shared" si="394"/>
        <v>-</v>
      </c>
      <c r="BS317" s="1055" t="str">
        <f t="shared" si="394"/>
        <v>-</v>
      </c>
      <c r="BT317" s="1055" t="str">
        <f t="shared" si="394"/>
        <v>-</v>
      </c>
      <c r="BU317" s="1056" t="str">
        <f t="shared" si="394"/>
        <v>-</v>
      </c>
      <c r="BV317" s="1055" t="str">
        <f t="shared" si="394"/>
        <v>-</v>
      </c>
      <c r="BW317" s="1055" t="str">
        <f t="shared" si="394"/>
        <v>-</v>
      </c>
      <c r="BX317" s="1055" t="str">
        <f t="shared" si="394"/>
        <v>-</v>
      </c>
      <c r="BY317" s="1055" t="str">
        <f t="shared" si="394"/>
        <v>-</v>
      </c>
      <c r="BZ317" s="1056" t="str">
        <f t="shared" si="394"/>
        <v>-</v>
      </c>
    </row>
    <row r="318" spans="3:78" x14ac:dyDescent="0.3">
      <c r="C318" s="126"/>
      <c r="D318" s="126">
        <f>D315+1</f>
        <v>84</v>
      </c>
      <c r="E318" s="553" t="s">
        <v>45</v>
      </c>
      <c r="F318" s="581" t="s">
        <v>28</v>
      </c>
      <c r="G318" s="581"/>
      <c r="H318" s="581"/>
      <c r="I318" s="573" t="s">
        <v>319</v>
      </c>
      <c r="J318" s="573" t="s">
        <v>348</v>
      </c>
      <c r="K318" s="1969"/>
      <c r="L318" s="1970"/>
      <c r="M318" s="1970"/>
      <c r="N318" s="1971"/>
      <c r="O318" s="1970"/>
      <c r="P318" s="1970"/>
      <c r="Q318" s="1970"/>
      <c r="R318" s="1972"/>
      <c r="S318" s="1979"/>
      <c r="T318" s="1972"/>
      <c r="U318" s="1972"/>
      <c r="V318" s="1972"/>
      <c r="W318" s="575"/>
      <c r="X318" s="1238"/>
      <c r="Y318" s="575"/>
      <c r="Z318" s="575"/>
      <c r="AA318" s="575"/>
      <c r="AB318" s="1142"/>
      <c r="AC318" s="575"/>
      <c r="AD318" s="575"/>
      <c r="AE318" s="575"/>
      <c r="AF318" s="575"/>
      <c r="AG318" s="577"/>
      <c r="AH318" s="576"/>
      <c r="AI318" s="575"/>
      <c r="AJ318" s="575"/>
      <c r="AK318" s="575"/>
      <c r="AL318" s="577"/>
      <c r="AN318" s="1052"/>
      <c r="AP318" s="2297" t="str">
        <f t="shared" si="313"/>
        <v>Price</v>
      </c>
      <c r="AQ318" s="2298" t="str">
        <f t="shared" si="313"/>
        <v>[Service]</v>
      </c>
      <c r="AR318" s="1719" t="str">
        <f t="shared" si="314"/>
        <v>[Price]</v>
      </c>
      <c r="AS318" s="2299" t="str">
        <f t="shared" si="379"/>
        <v>-</v>
      </c>
      <c r="AT318" s="1728" t="str">
        <f t="shared" si="379"/>
        <v>-</v>
      </c>
      <c r="AU318" s="1728" t="str">
        <f t="shared" si="379"/>
        <v>-</v>
      </c>
      <c r="AV318" s="2300" t="str">
        <f t="shared" si="379"/>
        <v>-</v>
      </c>
      <c r="AW318" s="1728" t="str">
        <f t="shared" si="379"/>
        <v>-</v>
      </c>
      <c r="AX318" s="2301" t="str">
        <f t="shared" si="379"/>
        <v>-</v>
      </c>
      <c r="AY318" s="1728" t="str">
        <f t="shared" si="379"/>
        <v>-</v>
      </c>
      <c r="AZ318" s="1728" t="str">
        <f t="shared" si="379"/>
        <v>-</v>
      </c>
      <c r="BA318" s="1728" t="str">
        <f t="shared" si="379"/>
        <v>-</v>
      </c>
      <c r="BB318" s="1729" t="str">
        <f t="shared" si="379"/>
        <v>-</v>
      </c>
      <c r="BC318" s="1728" t="str">
        <f t="shared" si="379"/>
        <v>-</v>
      </c>
      <c r="BD318" s="1728" t="str">
        <f t="shared" si="379"/>
        <v>-</v>
      </c>
      <c r="BE318" s="1728" t="str">
        <f t="shared" si="379"/>
        <v>-</v>
      </c>
      <c r="BF318" s="1728" t="str">
        <f t="shared" si="379"/>
        <v>-</v>
      </c>
      <c r="BG318" s="1729" t="str">
        <f t="shared" si="379"/>
        <v>-</v>
      </c>
      <c r="BH318" s="1048"/>
      <c r="BI318" s="2297" t="str">
        <f t="shared" si="336"/>
        <v>Price</v>
      </c>
      <c r="BJ318" s="2298" t="str">
        <f t="shared" si="336"/>
        <v>[Service]</v>
      </c>
      <c r="BK318" s="1719" t="str">
        <f t="shared" si="336"/>
        <v>[Price]</v>
      </c>
      <c r="BL318" s="2299" t="str">
        <f t="shared" ref="BL318:BZ318" si="395">IF(OR(X318="",X318=0),"-",IFERROR((X318/W318-1)*(W320/W$13),"-"))</f>
        <v>-</v>
      </c>
      <c r="BM318" s="1053" t="str">
        <f t="shared" si="395"/>
        <v>-</v>
      </c>
      <c r="BN318" s="1053" t="str">
        <f t="shared" si="395"/>
        <v>-</v>
      </c>
      <c r="BO318" s="2302" t="str">
        <f t="shared" si="395"/>
        <v>-</v>
      </c>
      <c r="BP318" s="1053" t="str">
        <f t="shared" si="395"/>
        <v>-</v>
      </c>
      <c r="BQ318" s="2303" t="str">
        <f t="shared" si="395"/>
        <v>-</v>
      </c>
      <c r="BR318" s="1053" t="str">
        <f t="shared" si="395"/>
        <v>-</v>
      </c>
      <c r="BS318" s="1053" t="str">
        <f t="shared" si="395"/>
        <v>-</v>
      </c>
      <c r="BT318" s="1053" t="str">
        <f t="shared" si="395"/>
        <v>-</v>
      </c>
      <c r="BU318" s="1054" t="str">
        <f t="shared" si="395"/>
        <v>-</v>
      </c>
      <c r="BV318" s="1053" t="str">
        <f t="shared" si="395"/>
        <v>-</v>
      </c>
      <c r="BW318" s="1053" t="str">
        <f t="shared" si="395"/>
        <v>-</v>
      </c>
      <c r="BX318" s="1053" t="str">
        <f t="shared" si="395"/>
        <v>-</v>
      </c>
      <c r="BY318" s="1053" t="str">
        <f t="shared" si="395"/>
        <v>-</v>
      </c>
      <c r="BZ318" s="1054" t="str">
        <f t="shared" si="395"/>
        <v>-</v>
      </c>
    </row>
    <row r="319" spans="3:78" x14ac:dyDescent="0.3">
      <c r="C319" s="126"/>
      <c r="D319" s="126"/>
      <c r="E319" s="558" t="s">
        <v>46</v>
      </c>
      <c r="F319" s="1722" t="str">
        <f>+F318</f>
        <v>[Service]</v>
      </c>
      <c r="G319" s="1724">
        <f>+G318</f>
        <v>0</v>
      </c>
      <c r="H319" s="1724">
        <f>+H318</f>
        <v>0</v>
      </c>
      <c r="I319" s="1725" t="str">
        <f>+I318</f>
        <v>[Price]</v>
      </c>
      <c r="J319" s="574" t="s">
        <v>323</v>
      </c>
      <c r="K319" s="1973"/>
      <c r="L319" s="1974"/>
      <c r="M319" s="1974"/>
      <c r="N319" s="1975"/>
      <c r="O319" s="1974"/>
      <c r="P319" s="1974"/>
      <c r="Q319" s="1974"/>
      <c r="R319" s="1976"/>
      <c r="S319" s="1980"/>
      <c r="T319" s="1976"/>
      <c r="U319" s="1976"/>
      <c r="V319" s="1976"/>
      <c r="W319" s="578"/>
      <c r="X319" s="1239"/>
      <c r="Y319" s="578"/>
      <c r="Z319" s="578"/>
      <c r="AA319" s="578"/>
      <c r="AB319" s="1143"/>
      <c r="AC319" s="578"/>
      <c r="AD319" s="578"/>
      <c r="AE319" s="578"/>
      <c r="AF319" s="578"/>
      <c r="AG319" s="580"/>
      <c r="AH319" s="579"/>
      <c r="AI319" s="578"/>
      <c r="AJ319" s="578"/>
      <c r="AK319" s="578"/>
      <c r="AL319" s="580"/>
      <c r="AN319" s="991"/>
      <c r="AP319" s="2285" t="str">
        <f t="shared" si="313"/>
        <v>Qty</v>
      </c>
      <c r="AQ319" s="2286" t="str">
        <f t="shared" si="313"/>
        <v>[Service]</v>
      </c>
      <c r="AR319" s="2287" t="str">
        <f t="shared" si="314"/>
        <v>[Price]</v>
      </c>
      <c r="AS319" s="2288" t="str">
        <f t="shared" si="379"/>
        <v>-</v>
      </c>
      <c r="AT319" s="1720" t="str">
        <f t="shared" si="379"/>
        <v>-</v>
      </c>
      <c r="AU319" s="1720" t="str">
        <f t="shared" si="379"/>
        <v>-</v>
      </c>
      <c r="AV319" s="2289" t="str">
        <f t="shared" si="379"/>
        <v>-</v>
      </c>
      <c r="AW319" s="1720" t="str">
        <f t="shared" si="379"/>
        <v>-</v>
      </c>
      <c r="AX319" s="2290" t="str">
        <f t="shared" si="379"/>
        <v>-</v>
      </c>
      <c r="AY319" s="1720" t="str">
        <f t="shared" si="379"/>
        <v>-</v>
      </c>
      <c r="AZ319" s="1720" t="str">
        <f t="shared" si="379"/>
        <v>-</v>
      </c>
      <c r="BA319" s="1720" t="str">
        <f t="shared" si="379"/>
        <v>-</v>
      </c>
      <c r="BB319" s="1721" t="str">
        <f t="shared" si="379"/>
        <v>-</v>
      </c>
      <c r="BC319" s="1720" t="str">
        <f t="shared" si="379"/>
        <v>-</v>
      </c>
      <c r="BD319" s="1720" t="str">
        <f t="shared" si="379"/>
        <v>-</v>
      </c>
      <c r="BE319" s="1720" t="str">
        <f t="shared" si="379"/>
        <v>-</v>
      </c>
      <c r="BF319" s="1720" t="str">
        <f t="shared" si="379"/>
        <v>-</v>
      </c>
      <c r="BG319" s="1721" t="str">
        <f t="shared" si="379"/>
        <v>-</v>
      </c>
      <c r="BH319" s="1048"/>
      <c r="BI319" s="2285" t="str">
        <f t="shared" si="336"/>
        <v>Qty</v>
      </c>
      <c r="BJ319" s="2286" t="str">
        <f t="shared" si="336"/>
        <v>[Service]</v>
      </c>
      <c r="BK319" s="2287" t="str">
        <f t="shared" si="336"/>
        <v>[Price]</v>
      </c>
      <c r="BL319" s="2288" t="str">
        <f t="shared" ref="BL319:BZ319" si="396">IF(OR(X319="",X319=0),"-",IFERROR((X319/W319-1)*(W320/W$13),"-"))</f>
        <v>-</v>
      </c>
      <c r="BM319" s="1720" t="str">
        <f t="shared" si="396"/>
        <v>-</v>
      </c>
      <c r="BN319" s="1720" t="str">
        <f t="shared" si="396"/>
        <v>-</v>
      </c>
      <c r="BO319" s="2289" t="str">
        <f t="shared" si="396"/>
        <v>-</v>
      </c>
      <c r="BP319" s="1720" t="str">
        <f t="shared" si="396"/>
        <v>-</v>
      </c>
      <c r="BQ319" s="2290" t="str">
        <f t="shared" si="396"/>
        <v>-</v>
      </c>
      <c r="BR319" s="1720" t="str">
        <f t="shared" si="396"/>
        <v>-</v>
      </c>
      <c r="BS319" s="1720" t="str">
        <f t="shared" si="396"/>
        <v>-</v>
      </c>
      <c r="BT319" s="1720" t="str">
        <f t="shared" si="396"/>
        <v>-</v>
      </c>
      <c r="BU319" s="1721" t="str">
        <f t="shared" si="396"/>
        <v>-</v>
      </c>
      <c r="BV319" s="1720" t="str">
        <f t="shared" si="396"/>
        <v>-</v>
      </c>
      <c r="BW319" s="1720" t="str">
        <f t="shared" si="396"/>
        <v>-</v>
      </c>
      <c r="BX319" s="1720" t="str">
        <f t="shared" si="396"/>
        <v>-</v>
      </c>
      <c r="BY319" s="1720" t="str">
        <f t="shared" si="396"/>
        <v>-</v>
      </c>
      <c r="BZ319" s="1721" t="str">
        <f t="shared" si="396"/>
        <v>-</v>
      </c>
    </row>
    <row r="320" spans="3:78" ht="12.5" thickBot="1" x14ac:dyDescent="0.35">
      <c r="C320" s="126"/>
      <c r="D320" s="126"/>
      <c r="E320" s="559" t="s">
        <v>47</v>
      </c>
      <c r="F320" s="1723" t="str">
        <f>+F318</f>
        <v>[Service]</v>
      </c>
      <c r="G320" s="1726">
        <f>+G318</f>
        <v>0</v>
      </c>
      <c r="H320" s="1726">
        <f>+H318</f>
        <v>0</v>
      </c>
      <c r="I320" s="1727" t="str">
        <f>+I318</f>
        <v>[Price]</v>
      </c>
      <c r="J320" s="556" t="s">
        <v>347</v>
      </c>
      <c r="K320" s="1977"/>
      <c r="L320" s="1206"/>
      <c r="M320" s="1206"/>
      <c r="N320" s="1978"/>
      <c r="O320" s="1206"/>
      <c r="P320" s="1206"/>
      <c r="Q320" s="1206"/>
      <c r="R320" s="1206"/>
      <c r="S320" s="1978"/>
      <c r="T320" s="1206"/>
      <c r="U320" s="1206"/>
      <c r="V320" s="1206"/>
      <c r="W320" s="1731">
        <f t="shared" ref="W320:AG320" si="397">W318*W319/10^6</f>
        <v>0</v>
      </c>
      <c r="X320" s="1730">
        <f t="shared" si="397"/>
        <v>0</v>
      </c>
      <c r="Y320" s="1731">
        <f t="shared" si="397"/>
        <v>0</v>
      </c>
      <c r="Z320" s="1731">
        <f t="shared" si="397"/>
        <v>0</v>
      </c>
      <c r="AA320" s="1731">
        <f t="shared" si="397"/>
        <v>0</v>
      </c>
      <c r="AB320" s="1733">
        <f t="shared" si="397"/>
        <v>0</v>
      </c>
      <c r="AC320" s="1731">
        <f t="shared" si="397"/>
        <v>0</v>
      </c>
      <c r="AD320" s="1731">
        <f t="shared" si="397"/>
        <v>0</v>
      </c>
      <c r="AE320" s="1731">
        <f t="shared" si="397"/>
        <v>0</v>
      </c>
      <c r="AF320" s="1731">
        <f t="shared" si="397"/>
        <v>0</v>
      </c>
      <c r="AG320" s="1733">
        <f t="shared" si="397"/>
        <v>0</v>
      </c>
      <c r="AH320" s="1732">
        <f>AH318*AH319/10^6</f>
        <v>0</v>
      </c>
      <c r="AI320" s="1731">
        <f>AI318*AI319/10^6</f>
        <v>0</v>
      </c>
      <c r="AJ320" s="1731">
        <f>AJ318*AJ319/10^6</f>
        <v>0</v>
      </c>
      <c r="AK320" s="1731">
        <f>AK318*AK319/10^6</f>
        <v>0</v>
      </c>
      <c r="AL320" s="1733">
        <f>AL318*AL319/10^6</f>
        <v>0</v>
      </c>
      <c r="AN320" s="991"/>
      <c r="AP320" s="2304" t="str">
        <f t="shared" si="313"/>
        <v>Rev</v>
      </c>
      <c r="AQ320" s="2305" t="str">
        <f t="shared" si="313"/>
        <v>[Service]</v>
      </c>
      <c r="AR320" s="2306" t="str">
        <f t="shared" si="314"/>
        <v>[Price]</v>
      </c>
      <c r="AS320" s="2307" t="str">
        <f t="shared" si="379"/>
        <v>-</v>
      </c>
      <c r="AT320" s="1055" t="str">
        <f t="shared" si="379"/>
        <v>-</v>
      </c>
      <c r="AU320" s="1055" t="str">
        <f t="shared" si="379"/>
        <v>-</v>
      </c>
      <c r="AV320" s="2308" t="str">
        <f t="shared" si="379"/>
        <v>-</v>
      </c>
      <c r="AW320" s="1055" t="str">
        <f t="shared" si="379"/>
        <v>-</v>
      </c>
      <c r="AX320" s="2309" t="str">
        <f t="shared" si="379"/>
        <v>-</v>
      </c>
      <c r="AY320" s="1055" t="str">
        <f t="shared" si="379"/>
        <v>-</v>
      </c>
      <c r="AZ320" s="1055" t="str">
        <f t="shared" si="379"/>
        <v>-</v>
      </c>
      <c r="BA320" s="1055" t="str">
        <f t="shared" si="379"/>
        <v>-</v>
      </c>
      <c r="BB320" s="1056" t="str">
        <f t="shared" si="379"/>
        <v>-</v>
      </c>
      <c r="BC320" s="1055" t="str">
        <f t="shared" si="379"/>
        <v>-</v>
      </c>
      <c r="BD320" s="1055" t="str">
        <f t="shared" si="379"/>
        <v>-</v>
      </c>
      <c r="BE320" s="1055" t="str">
        <f t="shared" si="379"/>
        <v>-</v>
      </c>
      <c r="BF320" s="1055" t="str">
        <f t="shared" si="379"/>
        <v>-</v>
      </c>
      <c r="BG320" s="1056" t="str">
        <f t="shared" si="379"/>
        <v>-</v>
      </c>
      <c r="BH320" s="1048"/>
      <c r="BI320" s="2304" t="str">
        <f t="shared" si="336"/>
        <v>Rev</v>
      </c>
      <c r="BJ320" s="2305" t="str">
        <f t="shared" si="336"/>
        <v>[Service]</v>
      </c>
      <c r="BK320" s="2306" t="str">
        <f t="shared" si="336"/>
        <v>[Price]</v>
      </c>
      <c r="BL320" s="2307" t="str">
        <f t="shared" ref="BL320:BZ320" si="398">IF(OR(X320="",X320=0),"-",IFERROR((X320/W320-1)*(W320/W$13),"-"))</f>
        <v>-</v>
      </c>
      <c r="BM320" s="1055" t="str">
        <f t="shared" si="398"/>
        <v>-</v>
      </c>
      <c r="BN320" s="1055" t="str">
        <f t="shared" si="398"/>
        <v>-</v>
      </c>
      <c r="BO320" s="2308" t="str">
        <f t="shared" si="398"/>
        <v>-</v>
      </c>
      <c r="BP320" s="1055" t="str">
        <f t="shared" si="398"/>
        <v>-</v>
      </c>
      <c r="BQ320" s="2309" t="str">
        <f t="shared" si="398"/>
        <v>-</v>
      </c>
      <c r="BR320" s="1055" t="str">
        <f t="shared" si="398"/>
        <v>-</v>
      </c>
      <c r="BS320" s="1055" t="str">
        <f t="shared" si="398"/>
        <v>-</v>
      </c>
      <c r="BT320" s="1055" t="str">
        <f t="shared" si="398"/>
        <v>-</v>
      </c>
      <c r="BU320" s="1056" t="str">
        <f t="shared" si="398"/>
        <v>-</v>
      </c>
      <c r="BV320" s="1055" t="str">
        <f t="shared" si="398"/>
        <v>-</v>
      </c>
      <c r="BW320" s="1055" t="str">
        <f t="shared" si="398"/>
        <v>-</v>
      </c>
      <c r="BX320" s="1055" t="str">
        <f t="shared" si="398"/>
        <v>-</v>
      </c>
      <c r="BY320" s="1055" t="str">
        <f t="shared" si="398"/>
        <v>-</v>
      </c>
      <c r="BZ320" s="1056" t="str">
        <f t="shared" si="398"/>
        <v>-</v>
      </c>
    </row>
    <row r="321" spans="3:78" x14ac:dyDescent="0.3">
      <c r="C321" s="126"/>
      <c r="D321" s="126">
        <f>D318+1</f>
        <v>85</v>
      </c>
      <c r="E321" s="553" t="s">
        <v>45</v>
      </c>
      <c r="F321" s="581" t="s">
        <v>28</v>
      </c>
      <c r="G321" s="581"/>
      <c r="H321" s="581"/>
      <c r="I321" s="573" t="s">
        <v>319</v>
      </c>
      <c r="J321" s="573" t="s">
        <v>348</v>
      </c>
      <c r="K321" s="1969"/>
      <c r="L321" s="1970"/>
      <c r="M321" s="1970"/>
      <c r="N321" s="1971"/>
      <c r="O321" s="1970"/>
      <c r="P321" s="1970"/>
      <c r="Q321" s="1970"/>
      <c r="R321" s="1972"/>
      <c r="S321" s="1979"/>
      <c r="T321" s="1972"/>
      <c r="U321" s="1972"/>
      <c r="V321" s="1972"/>
      <c r="W321" s="575"/>
      <c r="X321" s="1238"/>
      <c r="Y321" s="575"/>
      <c r="Z321" s="575"/>
      <c r="AA321" s="575"/>
      <c r="AB321" s="1142"/>
      <c r="AC321" s="575"/>
      <c r="AD321" s="575"/>
      <c r="AE321" s="575"/>
      <c r="AF321" s="575"/>
      <c r="AG321" s="577"/>
      <c r="AH321" s="576"/>
      <c r="AI321" s="575"/>
      <c r="AJ321" s="575"/>
      <c r="AK321" s="575"/>
      <c r="AL321" s="577"/>
      <c r="AN321" s="1052"/>
      <c r="AP321" s="2297" t="str">
        <f t="shared" si="313"/>
        <v>Price</v>
      </c>
      <c r="AQ321" s="2298" t="str">
        <f t="shared" si="313"/>
        <v>[Service]</v>
      </c>
      <c r="AR321" s="1719" t="str">
        <f t="shared" si="314"/>
        <v>[Price]</v>
      </c>
      <c r="AS321" s="2299" t="str">
        <f t="shared" si="379"/>
        <v>-</v>
      </c>
      <c r="AT321" s="1728" t="str">
        <f t="shared" si="379"/>
        <v>-</v>
      </c>
      <c r="AU321" s="1728" t="str">
        <f t="shared" si="379"/>
        <v>-</v>
      </c>
      <c r="AV321" s="2300" t="str">
        <f t="shared" si="379"/>
        <v>-</v>
      </c>
      <c r="AW321" s="1728" t="str">
        <f t="shared" si="379"/>
        <v>-</v>
      </c>
      <c r="AX321" s="2301" t="str">
        <f t="shared" si="379"/>
        <v>-</v>
      </c>
      <c r="AY321" s="1728" t="str">
        <f t="shared" si="379"/>
        <v>-</v>
      </c>
      <c r="AZ321" s="1728" t="str">
        <f t="shared" si="379"/>
        <v>-</v>
      </c>
      <c r="BA321" s="1728" t="str">
        <f t="shared" si="379"/>
        <v>-</v>
      </c>
      <c r="BB321" s="1729" t="str">
        <f t="shared" si="379"/>
        <v>-</v>
      </c>
      <c r="BC321" s="1728" t="str">
        <f t="shared" si="379"/>
        <v>-</v>
      </c>
      <c r="BD321" s="1728" t="str">
        <f t="shared" si="379"/>
        <v>-</v>
      </c>
      <c r="BE321" s="1728" t="str">
        <f t="shared" si="379"/>
        <v>-</v>
      </c>
      <c r="BF321" s="1728" t="str">
        <f t="shared" si="379"/>
        <v>-</v>
      </c>
      <c r="BG321" s="1729" t="str">
        <f t="shared" si="379"/>
        <v>-</v>
      </c>
      <c r="BH321" s="1048"/>
      <c r="BI321" s="2297" t="str">
        <f t="shared" si="336"/>
        <v>Price</v>
      </c>
      <c r="BJ321" s="2298" t="str">
        <f t="shared" si="336"/>
        <v>[Service]</v>
      </c>
      <c r="BK321" s="1719" t="str">
        <f t="shared" si="336"/>
        <v>[Price]</v>
      </c>
      <c r="BL321" s="2299" t="str">
        <f t="shared" ref="BL321:BZ321" si="399">IF(OR(X321="",X321=0),"-",IFERROR((X321/W321-1)*(W323/W$13),"-"))</f>
        <v>-</v>
      </c>
      <c r="BM321" s="1053" t="str">
        <f t="shared" si="399"/>
        <v>-</v>
      </c>
      <c r="BN321" s="1053" t="str">
        <f t="shared" si="399"/>
        <v>-</v>
      </c>
      <c r="BO321" s="2302" t="str">
        <f t="shared" si="399"/>
        <v>-</v>
      </c>
      <c r="BP321" s="1053" t="str">
        <f t="shared" si="399"/>
        <v>-</v>
      </c>
      <c r="BQ321" s="2303" t="str">
        <f t="shared" si="399"/>
        <v>-</v>
      </c>
      <c r="BR321" s="1053" t="str">
        <f t="shared" si="399"/>
        <v>-</v>
      </c>
      <c r="BS321" s="1053" t="str">
        <f t="shared" si="399"/>
        <v>-</v>
      </c>
      <c r="BT321" s="1053" t="str">
        <f t="shared" si="399"/>
        <v>-</v>
      </c>
      <c r="BU321" s="1054" t="str">
        <f t="shared" si="399"/>
        <v>-</v>
      </c>
      <c r="BV321" s="1053" t="str">
        <f t="shared" si="399"/>
        <v>-</v>
      </c>
      <c r="BW321" s="1053" t="str">
        <f t="shared" si="399"/>
        <v>-</v>
      </c>
      <c r="BX321" s="1053" t="str">
        <f t="shared" si="399"/>
        <v>-</v>
      </c>
      <c r="BY321" s="1053" t="str">
        <f t="shared" si="399"/>
        <v>-</v>
      </c>
      <c r="BZ321" s="1054" t="str">
        <f t="shared" si="399"/>
        <v>-</v>
      </c>
    </row>
    <row r="322" spans="3:78" x14ac:dyDescent="0.3">
      <c r="C322" s="126"/>
      <c r="D322" s="126"/>
      <c r="E322" s="558" t="s">
        <v>46</v>
      </c>
      <c r="F322" s="1722" t="str">
        <f>+F321</f>
        <v>[Service]</v>
      </c>
      <c r="G322" s="1724">
        <f>+G321</f>
        <v>0</v>
      </c>
      <c r="H322" s="1724">
        <f>+H321</f>
        <v>0</v>
      </c>
      <c r="I322" s="1725" t="str">
        <f>+I321</f>
        <v>[Price]</v>
      </c>
      <c r="J322" s="574" t="s">
        <v>323</v>
      </c>
      <c r="K322" s="1973"/>
      <c r="L322" s="1974"/>
      <c r="M322" s="1974"/>
      <c r="N322" s="1975"/>
      <c r="O322" s="1974"/>
      <c r="P322" s="1974"/>
      <c r="Q322" s="1974"/>
      <c r="R322" s="1976"/>
      <c r="S322" s="1980"/>
      <c r="T322" s="1976"/>
      <c r="U322" s="1976"/>
      <c r="V322" s="1976"/>
      <c r="W322" s="578"/>
      <c r="X322" s="1239"/>
      <c r="Y322" s="578"/>
      <c r="Z322" s="578"/>
      <c r="AA322" s="578"/>
      <c r="AB322" s="1143"/>
      <c r="AC322" s="578"/>
      <c r="AD322" s="578"/>
      <c r="AE322" s="578"/>
      <c r="AF322" s="578"/>
      <c r="AG322" s="580"/>
      <c r="AH322" s="579"/>
      <c r="AI322" s="578"/>
      <c r="AJ322" s="578"/>
      <c r="AK322" s="578"/>
      <c r="AL322" s="580"/>
      <c r="AN322" s="991"/>
      <c r="AP322" s="2285" t="str">
        <f t="shared" si="313"/>
        <v>Qty</v>
      </c>
      <c r="AQ322" s="2286" t="str">
        <f t="shared" si="313"/>
        <v>[Service]</v>
      </c>
      <c r="AR322" s="2287" t="str">
        <f t="shared" si="314"/>
        <v>[Price]</v>
      </c>
      <c r="AS322" s="2288" t="str">
        <f t="shared" si="379"/>
        <v>-</v>
      </c>
      <c r="AT322" s="1720" t="str">
        <f t="shared" si="379"/>
        <v>-</v>
      </c>
      <c r="AU322" s="1720" t="str">
        <f t="shared" si="379"/>
        <v>-</v>
      </c>
      <c r="AV322" s="2289" t="str">
        <f t="shared" si="379"/>
        <v>-</v>
      </c>
      <c r="AW322" s="1720" t="str">
        <f t="shared" si="379"/>
        <v>-</v>
      </c>
      <c r="AX322" s="2290" t="str">
        <f t="shared" si="379"/>
        <v>-</v>
      </c>
      <c r="AY322" s="1720" t="str">
        <f t="shared" si="379"/>
        <v>-</v>
      </c>
      <c r="AZ322" s="1720" t="str">
        <f t="shared" si="379"/>
        <v>-</v>
      </c>
      <c r="BA322" s="1720" t="str">
        <f t="shared" si="379"/>
        <v>-</v>
      </c>
      <c r="BB322" s="1721" t="str">
        <f t="shared" si="379"/>
        <v>-</v>
      </c>
      <c r="BC322" s="1720" t="str">
        <f t="shared" si="379"/>
        <v>-</v>
      </c>
      <c r="BD322" s="1720" t="str">
        <f t="shared" si="379"/>
        <v>-</v>
      </c>
      <c r="BE322" s="1720" t="str">
        <f t="shared" si="379"/>
        <v>-</v>
      </c>
      <c r="BF322" s="1720" t="str">
        <f t="shared" si="379"/>
        <v>-</v>
      </c>
      <c r="BG322" s="1721" t="str">
        <f t="shared" si="379"/>
        <v>-</v>
      </c>
      <c r="BH322" s="1048"/>
      <c r="BI322" s="2285" t="str">
        <f t="shared" si="336"/>
        <v>Qty</v>
      </c>
      <c r="BJ322" s="2286" t="str">
        <f t="shared" si="336"/>
        <v>[Service]</v>
      </c>
      <c r="BK322" s="2287" t="str">
        <f t="shared" si="336"/>
        <v>[Price]</v>
      </c>
      <c r="BL322" s="2288" t="str">
        <f t="shared" ref="BL322:BZ322" si="400">IF(OR(X322="",X322=0),"-",IFERROR((X322/W322-1)*(W323/W$13),"-"))</f>
        <v>-</v>
      </c>
      <c r="BM322" s="1720" t="str">
        <f t="shared" si="400"/>
        <v>-</v>
      </c>
      <c r="BN322" s="1720" t="str">
        <f t="shared" si="400"/>
        <v>-</v>
      </c>
      <c r="BO322" s="2289" t="str">
        <f t="shared" si="400"/>
        <v>-</v>
      </c>
      <c r="BP322" s="1720" t="str">
        <f t="shared" si="400"/>
        <v>-</v>
      </c>
      <c r="BQ322" s="2290" t="str">
        <f t="shared" si="400"/>
        <v>-</v>
      </c>
      <c r="BR322" s="1720" t="str">
        <f t="shared" si="400"/>
        <v>-</v>
      </c>
      <c r="BS322" s="1720" t="str">
        <f t="shared" si="400"/>
        <v>-</v>
      </c>
      <c r="BT322" s="1720" t="str">
        <f t="shared" si="400"/>
        <v>-</v>
      </c>
      <c r="BU322" s="1721" t="str">
        <f t="shared" si="400"/>
        <v>-</v>
      </c>
      <c r="BV322" s="1720" t="str">
        <f t="shared" si="400"/>
        <v>-</v>
      </c>
      <c r="BW322" s="1720" t="str">
        <f t="shared" si="400"/>
        <v>-</v>
      </c>
      <c r="BX322" s="1720" t="str">
        <f t="shared" si="400"/>
        <v>-</v>
      </c>
      <c r="BY322" s="1720" t="str">
        <f t="shared" si="400"/>
        <v>-</v>
      </c>
      <c r="BZ322" s="1721" t="str">
        <f t="shared" si="400"/>
        <v>-</v>
      </c>
    </row>
    <row r="323" spans="3:78" ht="12.5" thickBot="1" x14ac:dyDescent="0.35">
      <c r="C323" s="126"/>
      <c r="D323" s="126"/>
      <c r="E323" s="559" t="s">
        <v>47</v>
      </c>
      <c r="F323" s="1723" t="str">
        <f>+F321</f>
        <v>[Service]</v>
      </c>
      <c r="G323" s="1726">
        <f>+G321</f>
        <v>0</v>
      </c>
      <c r="H323" s="1726">
        <f>+H321</f>
        <v>0</v>
      </c>
      <c r="I323" s="1727" t="str">
        <f>+I321</f>
        <v>[Price]</v>
      </c>
      <c r="J323" s="556" t="s">
        <v>347</v>
      </c>
      <c r="K323" s="1977"/>
      <c r="L323" s="1206"/>
      <c r="M323" s="1206"/>
      <c r="N323" s="1978"/>
      <c r="O323" s="1206"/>
      <c r="P323" s="1206"/>
      <c r="Q323" s="1206"/>
      <c r="R323" s="1206"/>
      <c r="S323" s="1978"/>
      <c r="T323" s="1206"/>
      <c r="U323" s="1206"/>
      <c r="V323" s="1206"/>
      <c r="W323" s="1731">
        <f t="shared" ref="W323:AG323" si="401">W321*W322/10^6</f>
        <v>0</v>
      </c>
      <c r="X323" s="1730">
        <f t="shared" si="401"/>
        <v>0</v>
      </c>
      <c r="Y323" s="1731">
        <f t="shared" si="401"/>
        <v>0</v>
      </c>
      <c r="Z323" s="1731">
        <f t="shared" si="401"/>
        <v>0</v>
      </c>
      <c r="AA323" s="1731">
        <f t="shared" si="401"/>
        <v>0</v>
      </c>
      <c r="AB323" s="1733">
        <f t="shared" si="401"/>
        <v>0</v>
      </c>
      <c r="AC323" s="1731">
        <f t="shared" si="401"/>
        <v>0</v>
      </c>
      <c r="AD323" s="1731">
        <f t="shared" si="401"/>
        <v>0</v>
      </c>
      <c r="AE323" s="1731">
        <f t="shared" si="401"/>
        <v>0</v>
      </c>
      <c r="AF323" s="1731">
        <f t="shared" si="401"/>
        <v>0</v>
      </c>
      <c r="AG323" s="1733">
        <f t="shared" si="401"/>
        <v>0</v>
      </c>
      <c r="AH323" s="1732">
        <f>AH321*AH322/10^6</f>
        <v>0</v>
      </c>
      <c r="AI323" s="1731">
        <f>AI321*AI322/10^6</f>
        <v>0</v>
      </c>
      <c r="AJ323" s="1731">
        <f>AJ321*AJ322/10^6</f>
        <v>0</v>
      </c>
      <c r="AK323" s="1731">
        <f>AK321*AK322/10^6</f>
        <v>0</v>
      </c>
      <c r="AL323" s="1733">
        <f>AL321*AL322/10^6</f>
        <v>0</v>
      </c>
      <c r="AN323" s="991"/>
      <c r="AP323" s="2304" t="str">
        <f t="shared" si="313"/>
        <v>Rev</v>
      </c>
      <c r="AQ323" s="2305" t="str">
        <f t="shared" si="313"/>
        <v>[Service]</v>
      </c>
      <c r="AR323" s="2306" t="str">
        <f t="shared" si="314"/>
        <v>[Price]</v>
      </c>
      <c r="AS323" s="2307" t="str">
        <f t="shared" si="379"/>
        <v>-</v>
      </c>
      <c r="AT323" s="1055" t="str">
        <f t="shared" si="379"/>
        <v>-</v>
      </c>
      <c r="AU323" s="1055" t="str">
        <f t="shared" si="379"/>
        <v>-</v>
      </c>
      <c r="AV323" s="2308" t="str">
        <f t="shared" si="379"/>
        <v>-</v>
      </c>
      <c r="AW323" s="1055" t="str">
        <f t="shared" si="379"/>
        <v>-</v>
      </c>
      <c r="AX323" s="2309" t="str">
        <f t="shared" si="379"/>
        <v>-</v>
      </c>
      <c r="AY323" s="1055" t="str">
        <f t="shared" si="379"/>
        <v>-</v>
      </c>
      <c r="AZ323" s="1055" t="str">
        <f t="shared" si="379"/>
        <v>-</v>
      </c>
      <c r="BA323" s="1055" t="str">
        <f t="shared" si="379"/>
        <v>-</v>
      </c>
      <c r="BB323" s="1056" t="str">
        <f t="shared" si="379"/>
        <v>-</v>
      </c>
      <c r="BC323" s="1055" t="str">
        <f t="shared" si="379"/>
        <v>-</v>
      </c>
      <c r="BD323" s="1055" t="str">
        <f t="shared" si="379"/>
        <v>-</v>
      </c>
      <c r="BE323" s="1055" t="str">
        <f t="shared" si="379"/>
        <v>-</v>
      </c>
      <c r="BF323" s="1055" t="str">
        <f t="shared" si="379"/>
        <v>-</v>
      </c>
      <c r="BG323" s="1056" t="str">
        <f t="shared" si="379"/>
        <v>-</v>
      </c>
      <c r="BH323" s="1048"/>
      <c r="BI323" s="2304" t="str">
        <f t="shared" si="336"/>
        <v>Rev</v>
      </c>
      <c r="BJ323" s="2305" t="str">
        <f t="shared" si="336"/>
        <v>[Service]</v>
      </c>
      <c r="BK323" s="2306" t="str">
        <f t="shared" si="336"/>
        <v>[Price]</v>
      </c>
      <c r="BL323" s="2307" t="str">
        <f t="shared" ref="BL323:BZ323" si="402">IF(OR(X323="",X323=0),"-",IFERROR((X323/W323-1)*(W323/W$13),"-"))</f>
        <v>-</v>
      </c>
      <c r="BM323" s="1055" t="str">
        <f t="shared" si="402"/>
        <v>-</v>
      </c>
      <c r="BN323" s="1055" t="str">
        <f t="shared" si="402"/>
        <v>-</v>
      </c>
      <c r="BO323" s="2308" t="str">
        <f t="shared" si="402"/>
        <v>-</v>
      </c>
      <c r="BP323" s="1055" t="str">
        <f t="shared" si="402"/>
        <v>-</v>
      </c>
      <c r="BQ323" s="2309" t="str">
        <f t="shared" si="402"/>
        <v>-</v>
      </c>
      <c r="BR323" s="1055" t="str">
        <f t="shared" si="402"/>
        <v>-</v>
      </c>
      <c r="BS323" s="1055" t="str">
        <f t="shared" si="402"/>
        <v>-</v>
      </c>
      <c r="BT323" s="1055" t="str">
        <f t="shared" si="402"/>
        <v>-</v>
      </c>
      <c r="BU323" s="1056" t="str">
        <f t="shared" si="402"/>
        <v>-</v>
      </c>
      <c r="BV323" s="1055" t="str">
        <f t="shared" si="402"/>
        <v>-</v>
      </c>
      <c r="BW323" s="1055" t="str">
        <f t="shared" si="402"/>
        <v>-</v>
      </c>
      <c r="BX323" s="1055" t="str">
        <f t="shared" si="402"/>
        <v>-</v>
      </c>
      <c r="BY323" s="1055" t="str">
        <f t="shared" si="402"/>
        <v>-</v>
      </c>
      <c r="BZ323" s="1056" t="str">
        <f t="shared" si="402"/>
        <v>-</v>
      </c>
    </row>
    <row r="324" spans="3:78" x14ac:dyDescent="0.3">
      <c r="C324" s="126"/>
      <c r="D324" s="126">
        <f>D321+1</f>
        <v>86</v>
      </c>
      <c r="E324" s="553" t="s">
        <v>45</v>
      </c>
      <c r="F324" s="581" t="s">
        <v>28</v>
      </c>
      <c r="G324" s="581"/>
      <c r="H324" s="581"/>
      <c r="I324" s="573" t="s">
        <v>319</v>
      </c>
      <c r="J324" s="573" t="s">
        <v>348</v>
      </c>
      <c r="K324" s="1969"/>
      <c r="L324" s="1970"/>
      <c r="M324" s="1970"/>
      <c r="N324" s="1971"/>
      <c r="O324" s="1970"/>
      <c r="P324" s="1970"/>
      <c r="Q324" s="1970"/>
      <c r="R324" s="1972"/>
      <c r="S324" s="1979"/>
      <c r="T324" s="1972"/>
      <c r="U324" s="1972"/>
      <c r="V324" s="1972"/>
      <c r="W324" s="575"/>
      <c r="X324" s="1238"/>
      <c r="Y324" s="575"/>
      <c r="Z324" s="575"/>
      <c r="AA324" s="575"/>
      <c r="AB324" s="1142"/>
      <c r="AC324" s="575"/>
      <c r="AD324" s="575"/>
      <c r="AE324" s="575"/>
      <c r="AF324" s="575"/>
      <c r="AG324" s="577"/>
      <c r="AH324" s="576"/>
      <c r="AI324" s="575"/>
      <c r="AJ324" s="575"/>
      <c r="AK324" s="575"/>
      <c r="AL324" s="577"/>
      <c r="AN324" s="1052"/>
      <c r="AP324" s="2297" t="str">
        <f t="shared" si="313"/>
        <v>Price</v>
      </c>
      <c r="AQ324" s="2298" t="str">
        <f t="shared" si="313"/>
        <v>[Service]</v>
      </c>
      <c r="AR324" s="1719" t="str">
        <f t="shared" si="314"/>
        <v>[Price]</v>
      </c>
      <c r="AS324" s="2299" t="str">
        <f t="shared" ref="AS324:BG340" si="403">IF(OR(X324="",X324=0),"-",IFERROR(X324/W324-1,"-"))</f>
        <v>-</v>
      </c>
      <c r="AT324" s="1728" t="str">
        <f t="shared" si="403"/>
        <v>-</v>
      </c>
      <c r="AU324" s="1728" t="str">
        <f t="shared" si="403"/>
        <v>-</v>
      </c>
      <c r="AV324" s="2300" t="str">
        <f t="shared" si="403"/>
        <v>-</v>
      </c>
      <c r="AW324" s="1728" t="str">
        <f t="shared" si="403"/>
        <v>-</v>
      </c>
      <c r="AX324" s="2301" t="str">
        <f t="shared" si="403"/>
        <v>-</v>
      </c>
      <c r="AY324" s="1728" t="str">
        <f t="shared" si="403"/>
        <v>-</v>
      </c>
      <c r="AZ324" s="1728" t="str">
        <f t="shared" si="403"/>
        <v>-</v>
      </c>
      <c r="BA324" s="1728" t="str">
        <f t="shared" si="403"/>
        <v>-</v>
      </c>
      <c r="BB324" s="1729" t="str">
        <f t="shared" si="403"/>
        <v>-</v>
      </c>
      <c r="BC324" s="1728" t="str">
        <f t="shared" si="403"/>
        <v>-</v>
      </c>
      <c r="BD324" s="1728" t="str">
        <f t="shared" si="403"/>
        <v>-</v>
      </c>
      <c r="BE324" s="1728" t="str">
        <f t="shared" si="403"/>
        <v>-</v>
      </c>
      <c r="BF324" s="1728" t="str">
        <f t="shared" si="403"/>
        <v>-</v>
      </c>
      <c r="BG324" s="1729" t="str">
        <f t="shared" si="403"/>
        <v>-</v>
      </c>
      <c r="BH324" s="1048"/>
      <c r="BI324" s="2297" t="str">
        <f t="shared" si="336"/>
        <v>Price</v>
      </c>
      <c r="BJ324" s="2298" t="str">
        <f t="shared" si="336"/>
        <v>[Service]</v>
      </c>
      <c r="BK324" s="1719" t="str">
        <f t="shared" si="336"/>
        <v>[Price]</v>
      </c>
      <c r="BL324" s="2299" t="str">
        <f t="shared" ref="BL324:BZ324" si="404">IF(OR(X324="",X324=0),"-",IFERROR((X324/W324-1)*(W326/W$13),"-"))</f>
        <v>-</v>
      </c>
      <c r="BM324" s="1053" t="str">
        <f t="shared" si="404"/>
        <v>-</v>
      </c>
      <c r="BN324" s="1053" t="str">
        <f t="shared" si="404"/>
        <v>-</v>
      </c>
      <c r="BO324" s="2302" t="str">
        <f t="shared" si="404"/>
        <v>-</v>
      </c>
      <c r="BP324" s="1053" t="str">
        <f t="shared" si="404"/>
        <v>-</v>
      </c>
      <c r="BQ324" s="2303" t="str">
        <f t="shared" si="404"/>
        <v>-</v>
      </c>
      <c r="BR324" s="1053" t="str">
        <f t="shared" si="404"/>
        <v>-</v>
      </c>
      <c r="BS324" s="1053" t="str">
        <f t="shared" si="404"/>
        <v>-</v>
      </c>
      <c r="BT324" s="1053" t="str">
        <f t="shared" si="404"/>
        <v>-</v>
      </c>
      <c r="BU324" s="1054" t="str">
        <f t="shared" si="404"/>
        <v>-</v>
      </c>
      <c r="BV324" s="1053" t="str">
        <f t="shared" si="404"/>
        <v>-</v>
      </c>
      <c r="BW324" s="1053" t="str">
        <f t="shared" si="404"/>
        <v>-</v>
      </c>
      <c r="BX324" s="1053" t="str">
        <f t="shared" si="404"/>
        <v>-</v>
      </c>
      <c r="BY324" s="1053" t="str">
        <f t="shared" si="404"/>
        <v>-</v>
      </c>
      <c r="BZ324" s="1054" t="str">
        <f t="shared" si="404"/>
        <v>-</v>
      </c>
    </row>
    <row r="325" spans="3:78" x14ac:dyDescent="0.3">
      <c r="C325" s="126"/>
      <c r="D325" s="126"/>
      <c r="E325" s="558" t="s">
        <v>46</v>
      </c>
      <c r="F325" s="1722" t="str">
        <f>+F324</f>
        <v>[Service]</v>
      </c>
      <c r="G325" s="1724">
        <f>+G324</f>
        <v>0</v>
      </c>
      <c r="H325" s="1724">
        <f>+H324</f>
        <v>0</v>
      </c>
      <c r="I325" s="1725" t="str">
        <f>+I324</f>
        <v>[Price]</v>
      </c>
      <c r="J325" s="574" t="s">
        <v>323</v>
      </c>
      <c r="K325" s="1973"/>
      <c r="L325" s="1974"/>
      <c r="M325" s="1974"/>
      <c r="N325" s="1975"/>
      <c r="O325" s="1974"/>
      <c r="P325" s="1974"/>
      <c r="Q325" s="1974"/>
      <c r="R325" s="1976"/>
      <c r="S325" s="1980"/>
      <c r="T325" s="1976"/>
      <c r="U325" s="1976"/>
      <c r="V325" s="1976"/>
      <c r="W325" s="578"/>
      <c r="X325" s="1239"/>
      <c r="Y325" s="578"/>
      <c r="Z325" s="578"/>
      <c r="AA325" s="578"/>
      <c r="AB325" s="1143"/>
      <c r="AC325" s="578"/>
      <c r="AD325" s="578"/>
      <c r="AE325" s="578"/>
      <c r="AF325" s="578"/>
      <c r="AG325" s="580"/>
      <c r="AH325" s="579"/>
      <c r="AI325" s="578"/>
      <c r="AJ325" s="578"/>
      <c r="AK325" s="578"/>
      <c r="AL325" s="580"/>
      <c r="AN325" s="991"/>
      <c r="AP325" s="2285" t="str">
        <f t="shared" ref="AP325:AQ388" si="405">E325</f>
        <v>Qty</v>
      </c>
      <c r="AQ325" s="2286" t="str">
        <f t="shared" si="405"/>
        <v>[Service]</v>
      </c>
      <c r="AR325" s="2287" t="str">
        <f t="shared" ref="AR325:AR388" si="406">I325</f>
        <v>[Price]</v>
      </c>
      <c r="AS325" s="2288" t="str">
        <f t="shared" si="403"/>
        <v>-</v>
      </c>
      <c r="AT325" s="1720" t="str">
        <f t="shared" si="403"/>
        <v>-</v>
      </c>
      <c r="AU325" s="1720" t="str">
        <f t="shared" si="403"/>
        <v>-</v>
      </c>
      <c r="AV325" s="2289" t="str">
        <f t="shared" si="403"/>
        <v>-</v>
      </c>
      <c r="AW325" s="1720" t="str">
        <f t="shared" si="403"/>
        <v>-</v>
      </c>
      <c r="AX325" s="2290" t="str">
        <f t="shared" si="403"/>
        <v>-</v>
      </c>
      <c r="AY325" s="1720" t="str">
        <f t="shared" si="403"/>
        <v>-</v>
      </c>
      <c r="AZ325" s="1720" t="str">
        <f t="shared" si="403"/>
        <v>-</v>
      </c>
      <c r="BA325" s="1720" t="str">
        <f t="shared" si="403"/>
        <v>-</v>
      </c>
      <c r="BB325" s="1721" t="str">
        <f t="shared" si="403"/>
        <v>-</v>
      </c>
      <c r="BC325" s="1720" t="str">
        <f t="shared" si="403"/>
        <v>-</v>
      </c>
      <c r="BD325" s="1720" t="str">
        <f t="shared" si="403"/>
        <v>-</v>
      </c>
      <c r="BE325" s="1720" t="str">
        <f t="shared" si="403"/>
        <v>-</v>
      </c>
      <c r="BF325" s="1720" t="str">
        <f t="shared" si="403"/>
        <v>-</v>
      </c>
      <c r="BG325" s="1721" t="str">
        <f t="shared" si="403"/>
        <v>-</v>
      </c>
      <c r="BH325" s="1048"/>
      <c r="BI325" s="2285" t="str">
        <f t="shared" si="336"/>
        <v>Qty</v>
      </c>
      <c r="BJ325" s="2286" t="str">
        <f t="shared" si="336"/>
        <v>[Service]</v>
      </c>
      <c r="BK325" s="2287" t="str">
        <f t="shared" si="336"/>
        <v>[Price]</v>
      </c>
      <c r="BL325" s="2288" t="str">
        <f t="shared" ref="BL325:BZ325" si="407">IF(OR(X325="",X325=0),"-",IFERROR((X325/W325-1)*(W326/W$13),"-"))</f>
        <v>-</v>
      </c>
      <c r="BM325" s="1720" t="str">
        <f t="shared" si="407"/>
        <v>-</v>
      </c>
      <c r="BN325" s="1720" t="str">
        <f t="shared" si="407"/>
        <v>-</v>
      </c>
      <c r="BO325" s="2289" t="str">
        <f t="shared" si="407"/>
        <v>-</v>
      </c>
      <c r="BP325" s="1720" t="str">
        <f t="shared" si="407"/>
        <v>-</v>
      </c>
      <c r="BQ325" s="2290" t="str">
        <f t="shared" si="407"/>
        <v>-</v>
      </c>
      <c r="BR325" s="1720" t="str">
        <f t="shared" si="407"/>
        <v>-</v>
      </c>
      <c r="BS325" s="1720" t="str">
        <f t="shared" si="407"/>
        <v>-</v>
      </c>
      <c r="BT325" s="1720" t="str">
        <f t="shared" si="407"/>
        <v>-</v>
      </c>
      <c r="BU325" s="1721" t="str">
        <f t="shared" si="407"/>
        <v>-</v>
      </c>
      <c r="BV325" s="1720" t="str">
        <f t="shared" si="407"/>
        <v>-</v>
      </c>
      <c r="BW325" s="1720" t="str">
        <f t="shared" si="407"/>
        <v>-</v>
      </c>
      <c r="BX325" s="1720" t="str">
        <f t="shared" si="407"/>
        <v>-</v>
      </c>
      <c r="BY325" s="1720" t="str">
        <f t="shared" si="407"/>
        <v>-</v>
      </c>
      <c r="BZ325" s="1721" t="str">
        <f t="shared" si="407"/>
        <v>-</v>
      </c>
    </row>
    <row r="326" spans="3:78" ht="12.5" thickBot="1" x14ac:dyDescent="0.35">
      <c r="C326" s="126"/>
      <c r="D326" s="126"/>
      <c r="E326" s="559" t="s">
        <v>47</v>
      </c>
      <c r="F326" s="1723" t="str">
        <f>+F324</f>
        <v>[Service]</v>
      </c>
      <c r="G326" s="1726">
        <f>+G324</f>
        <v>0</v>
      </c>
      <c r="H326" s="1726">
        <f>+H324</f>
        <v>0</v>
      </c>
      <c r="I326" s="1727" t="str">
        <f>+I324</f>
        <v>[Price]</v>
      </c>
      <c r="J326" s="556" t="s">
        <v>347</v>
      </c>
      <c r="K326" s="1977"/>
      <c r="L326" s="1206"/>
      <c r="M326" s="1206"/>
      <c r="N326" s="1978"/>
      <c r="O326" s="1206"/>
      <c r="P326" s="1206"/>
      <c r="Q326" s="1206"/>
      <c r="R326" s="1206"/>
      <c r="S326" s="1978"/>
      <c r="T326" s="1206"/>
      <c r="U326" s="1206"/>
      <c r="V326" s="1206"/>
      <c r="W326" s="1731">
        <f t="shared" ref="W326:AG326" si="408">W324*W325/10^6</f>
        <v>0</v>
      </c>
      <c r="X326" s="1730">
        <f t="shared" si="408"/>
        <v>0</v>
      </c>
      <c r="Y326" s="1731">
        <f t="shared" si="408"/>
        <v>0</v>
      </c>
      <c r="Z326" s="1731">
        <f t="shared" si="408"/>
        <v>0</v>
      </c>
      <c r="AA326" s="1731">
        <f t="shared" si="408"/>
        <v>0</v>
      </c>
      <c r="AB326" s="1733">
        <f t="shared" si="408"/>
        <v>0</v>
      </c>
      <c r="AC326" s="1731">
        <f t="shared" si="408"/>
        <v>0</v>
      </c>
      <c r="AD326" s="1731">
        <f t="shared" si="408"/>
        <v>0</v>
      </c>
      <c r="AE326" s="1731">
        <f t="shared" si="408"/>
        <v>0</v>
      </c>
      <c r="AF326" s="1731">
        <f t="shared" si="408"/>
        <v>0</v>
      </c>
      <c r="AG326" s="1733">
        <f t="shared" si="408"/>
        <v>0</v>
      </c>
      <c r="AH326" s="1732">
        <f>AH324*AH325/10^6</f>
        <v>0</v>
      </c>
      <c r="AI326" s="1731">
        <f>AI324*AI325/10^6</f>
        <v>0</v>
      </c>
      <c r="AJ326" s="1731">
        <f>AJ324*AJ325/10^6</f>
        <v>0</v>
      </c>
      <c r="AK326" s="1731">
        <f>AK324*AK325/10^6</f>
        <v>0</v>
      </c>
      <c r="AL326" s="1733">
        <f>AL324*AL325/10^6</f>
        <v>0</v>
      </c>
      <c r="AN326" s="991"/>
      <c r="AP326" s="2304" t="str">
        <f t="shared" si="405"/>
        <v>Rev</v>
      </c>
      <c r="AQ326" s="2305" t="str">
        <f t="shared" si="405"/>
        <v>[Service]</v>
      </c>
      <c r="AR326" s="2306" t="str">
        <f t="shared" si="406"/>
        <v>[Price]</v>
      </c>
      <c r="AS326" s="2307" t="str">
        <f t="shared" si="403"/>
        <v>-</v>
      </c>
      <c r="AT326" s="1055" t="str">
        <f t="shared" si="403"/>
        <v>-</v>
      </c>
      <c r="AU326" s="1055" t="str">
        <f t="shared" si="403"/>
        <v>-</v>
      </c>
      <c r="AV326" s="2308" t="str">
        <f t="shared" si="403"/>
        <v>-</v>
      </c>
      <c r="AW326" s="1055" t="str">
        <f t="shared" si="403"/>
        <v>-</v>
      </c>
      <c r="AX326" s="2309" t="str">
        <f t="shared" si="403"/>
        <v>-</v>
      </c>
      <c r="AY326" s="1055" t="str">
        <f t="shared" si="403"/>
        <v>-</v>
      </c>
      <c r="AZ326" s="1055" t="str">
        <f t="shared" si="403"/>
        <v>-</v>
      </c>
      <c r="BA326" s="1055" t="str">
        <f t="shared" si="403"/>
        <v>-</v>
      </c>
      <c r="BB326" s="1056" t="str">
        <f t="shared" si="403"/>
        <v>-</v>
      </c>
      <c r="BC326" s="1055" t="str">
        <f t="shared" si="403"/>
        <v>-</v>
      </c>
      <c r="BD326" s="1055" t="str">
        <f t="shared" si="403"/>
        <v>-</v>
      </c>
      <c r="BE326" s="1055" t="str">
        <f t="shared" si="403"/>
        <v>-</v>
      </c>
      <c r="BF326" s="1055" t="str">
        <f t="shared" si="403"/>
        <v>-</v>
      </c>
      <c r="BG326" s="1056" t="str">
        <f t="shared" si="403"/>
        <v>-</v>
      </c>
      <c r="BH326" s="1048"/>
      <c r="BI326" s="2304" t="str">
        <f t="shared" si="336"/>
        <v>Rev</v>
      </c>
      <c r="BJ326" s="2305" t="str">
        <f t="shared" si="336"/>
        <v>[Service]</v>
      </c>
      <c r="BK326" s="2306" t="str">
        <f t="shared" si="336"/>
        <v>[Price]</v>
      </c>
      <c r="BL326" s="2307" t="str">
        <f t="shared" ref="BL326:BZ326" si="409">IF(OR(X326="",X326=0),"-",IFERROR((X326/W326-1)*(W326/W$13),"-"))</f>
        <v>-</v>
      </c>
      <c r="BM326" s="1055" t="str">
        <f t="shared" si="409"/>
        <v>-</v>
      </c>
      <c r="BN326" s="1055" t="str">
        <f t="shared" si="409"/>
        <v>-</v>
      </c>
      <c r="BO326" s="2308" t="str">
        <f t="shared" si="409"/>
        <v>-</v>
      </c>
      <c r="BP326" s="1055" t="str">
        <f t="shared" si="409"/>
        <v>-</v>
      </c>
      <c r="BQ326" s="2309" t="str">
        <f t="shared" si="409"/>
        <v>-</v>
      </c>
      <c r="BR326" s="1055" t="str">
        <f t="shared" si="409"/>
        <v>-</v>
      </c>
      <c r="BS326" s="1055" t="str">
        <f t="shared" si="409"/>
        <v>-</v>
      </c>
      <c r="BT326" s="1055" t="str">
        <f t="shared" si="409"/>
        <v>-</v>
      </c>
      <c r="BU326" s="1056" t="str">
        <f t="shared" si="409"/>
        <v>-</v>
      </c>
      <c r="BV326" s="1055" t="str">
        <f t="shared" si="409"/>
        <v>-</v>
      </c>
      <c r="BW326" s="1055" t="str">
        <f t="shared" si="409"/>
        <v>-</v>
      </c>
      <c r="BX326" s="1055" t="str">
        <f t="shared" si="409"/>
        <v>-</v>
      </c>
      <c r="BY326" s="1055" t="str">
        <f t="shared" si="409"/>
        <v>-</v>
      </c>
      <c r="BZ326" s="1056" t="str">
        <f t="shared" si="409"/>
        <v>-</v>
      </c>
    </row>
    <row r="327" spans="3:78" x14ac:dyDescent="0.3">
      <c r="C327" s="126"/>
      <c r="D327" s="126">
        <f>D324+1</f>
        <v>87</v>
      </c>
      <c r="E327" s="553" t="s">
        <v>45</v>
      </c>
      <c r="F327" s="581" t="s">
        <v>28</v>
      </c>
      <c r="G327" s="581"/>
      <c r="H327" s="581"/>
      <c r="I327" s="573" t="s">
        <v>319</v>
      </c>
      <c r="J327" s="573" t="s">
        <v>348</v>
      </c>
      <c r="K327" s="1969"/>
      <c r="L327" s="1970"/>
      <c r="M327" s="1970"/>
      <c r="N327" s="1971"/>
      <c r="O327" s="1970"/>
      <c r="P327" s="1970"/>
      <c r="Q327" s="1970"/>
      <c r="R327" s="1972"/>
      <c r="S327" s="1979"/>
      <c r="T327" s="1972"/>
      <c r="U327" s="1972"/>
      <c r="V327" s="1972"/>
      <c r="W327" s="575"/>
      <c r="X327" s="1238"/>
      <c r="Y327" s="575"/>
      <c r="Z327" s="575"/>
      <c r="AA327" s="575"/>
      <c r="AB327" s="1142"/>
      <c r="AC327" s="575"/>
      <c r="AD327" s="575"/>
      <c r="AE327" s="575"/>
      <c r="AF327" s="575"/>
      <c r="AG327" s="577"/>
      <c r="AH327" s="576"/>
      <c r="AI327" s="575"/>
      <c r="AJ327" s="575"/>
      <c r="AK327" s="575"/>
      <c r="AL327" s="577"/>
      <c r="AN327" s="1052"/>
      <c r="AP327" s="2297" t="str">
        <f t="shared" si="405"/>
        <v>Price</v>
      </c>
      <c r="AQ327" s="2298" t="str">
        <f t="shared" si="405"/>
        <v>[Service]</v>
      </c>
      <c r="AR327" s="1719" t="str">
        <f t="shared" si="406"/>
        <v>[Price]</v>
      </c>
      <c r="AS327" s="2299" t="str">
        <f t="shared" si="403"/>
        <v>-</v>
      </c>
      <c r="AT327" s="1728" t="str">
        <f t="shared" si="403"/>
        <v>-</v>
      </c>
      <c r="AU327" s="1728" t="str">
        <f t="shared" si="403"/>
        <v>-</v>
      </c>
      <c r="AV327" s="2300" t="str">
        <f t="shared" si="403"/>
        <v>-</v>
      </c>
      <c r="AW327" s="1728" t="str">
        <f t="shared" si="403"/>
        <v>-</v>
      </c>
      <c r="AX327" s="2301" t="str">
        <f t="shared" si="403"/>
        <v>-</v>
      </c>
      <c r="AY327" s="1728" t="str">
        <f t="shared" si="403"/>
        <v>-</v>
      </c>
      <c r="AZ327" s="1728" t="str">
        <f t="shared" si="403"/>
        <v>-</v>
      </c>
      <c r="BA327" s="1728" t="str">
        <f t="shared" si="403"/>
        <v>-</v>
      </c>
      <c r="BB327" s="1729" t="str">
        <f t="shared" si="403"/>
        <v>-</v>
      </c>
      <c r="BC327" s="1728" t="str">
        <f t="shared" si="403"/>
        <v>-</v>
      </c>
      <c r="BD327" s="1728" t="str">
        <f t="shared" si="403"/>
        <v>-</v>
      </c>
      <c r="BE327" s="1728" t="str">
        <f t="shared" si="403"/>
        <v>-</v>
      </c>
      <c r="BF327" s="1728" t="str">
        <f t="shared" si="403"/>
        <v>-</v>
      </c>
      <c r="BG327" s="1729" t="str">
        <f t="shared" si="403"/>
        <v>-</v>
      </c>
      <c r="BH327" s="1048"/>
      <c r="BI327" s="2297" t="str">
        <f t="shared" si="336"/>
        <v>Price</v>
      </c>
      <c r="BJ327" s="2298" t="str">
        <f t="shared" si="336"/>
        <v>[Service]</v>
      </c>
      <c r="BK327" s="1719" t="str">
        <f t="shared" si="336"/>
        <v>[Price]</v>
      </c>
      <c r="BL327" s="2299" t="str">
        <f t="shared" ref="BL327:BZ327" si="410">IF(OR(X327="",X327=0),"-",IFERROR((X327/W327-1)*(W329/W$13),"-"))</f>
        <v>-</v>
      </c>
      <c r="BM327" s="1053" t="str">
        <f t="shared" si="410"/>
        <v>-</v>
      </c>
      <c r="BN327" s="1053" t="str">
        <f t="shared" si="410"/>
        <v>-</v>
      </c>
      <c r="BO327" s="2302" t="str">
        <f t="shared" si="410"/>
        <v>-</v>
      </c>
      <c r="BP327" s="1053" t="str">
        <f t="shared" si="410"/>
        <v>-</v>
      </c>
      <c r="BQ327" s="2303" t="str">
        <f t="shared" si="410"/>
        <v>-</v>
      </c>
      <c r="BR327" s="1053" t="str">
        <f t="shared" si="410"/>
        <v>-</v>
      </c>
      <c r="BS327" s="1053" t="str">
        <f t="shared" si="410"/>
        <v>-</v>
      </c>
      <c r="BT327" s="1053" t="str">
        <f t="shared" si="410"/>
        <v>-</v>
      </c>
      <c r="BU327" s="1054" t="str">
        <f t="shared" si="410"/>
        <v>-</v>
      </c>
      <c r="BV327" s="1053" t="str">
        <f t="shared" si="410"/>
        <v>-</v>
      </c>
      <c r="BW327" s="1053" t="str">
        <f t="shared" si="410"/>
        <v>-</v>
      </c>
      <c r="BX327" s="1053" t="str">
        <f t="shared" si="410"/>
        <v>-</v>
      </c>
      <c r="BY327" s="1053" t="str">
        <f t="shared" si="410"/>
        <v>-</v>
      </c>
      <c r="BZ327" s="1054" t="str">
        <f t="shared" si="410"/>
        <v>-</v>
      </c>
    </row>
    <row r="328" spans="3:78" x14ac:dyDescent="0.3">
      <c r="C328" s="126"/>
      <c r="D328" s="126"/>
      <c r="E328" s="558" t="s">
        <v>46</v>
      </c>
      <c r="F328" s="1722" t="str">
        <f>+F327</f>
        <v>[Service]</v>
      </c>
      <c r="G328" s="1724">
        <f>+G327</f>
        <v>0</v>
      </c>
      <c r="H328" s="1724">
        <f>+H327</f>
        <v>0</v>
      </c>
      <c r="I328" s="1725" t="str">
        <f>+I327</f>
        <v>[Price]</v>
      </c>
      <c r="J328" s="574" t="s">
        <v>323</v>
      </c>
      <c r="K328" s="1973"/>
      <c r="L328" s="1974"/>
      <c r="M328" s="1974"/>
      <c r="N328" s="1975"/>
      <c r="O328" s="1974"/>
      <c r="P328" s="1974"/>
      <c r="Q328" s="1974"/>
      <c r="R328" s="1976"/>
      <c r="S328" s="1980"/>
      <c r="T328" s="1976"/>
      <c r="U328" s="1976"/>
      <c r="V328" s="1976"/>
      <c r="W328" s="578"/>
      <c r="X328" s="1239"/>
      <c r="Y328" s="578"/>
      <c r="Z328" s="578"/>
      <c r="AA328" s="578"/>
      <c r="AB328" s="1143"/>
      <c r="AC328" s="578"/>
      <c r="AD328" s="578"/>
      <c r="AE328" s="578"/>
      <c r="AF328" s="578"/>
      <c r="AG328" s="580"/>
      <c r="AH328" s="579"/>
      <c r="AI328" s="578"/>
      <c r="AJ328" s="578"/>
      <c r="AK328" s="578"/>
      <c r="AL328" s="580"/>
      <c r="AN328" s="991"/>
      <c r="AP328" s="2285" t="str">
        <f t="shared" si="405"/>
        <v>Qty</v>
      </c>
      <c r="AQ328" s="2286" t="str">
        <f t="shared" si="405"/>
        <v>[Service]</v>
      </c>
      <c r="AR328" s="2287" t="str">
        <f t="shared" si="406"/>
        <v>[Price]</v>
      </c>
      <c r="AS328" s="2288" t="str">
        <f t="shared" si="403"/>
        <v>-</v>
      </c>
      <c r="AT328" s="1720" t="str">
        <f t="shared" si="403"/>
        <v>-</v>
      </c>
      <c r="AU328" s="1720" t="str">
        <f t="shared" si="403"/>
        <v>-</v>
      </c>
      <c r="AV328" s="2289" t="str">
        <f t="shared" si="403"/>
        <v>-</v>
      </c>
      <c r="AW328" s="1720" t="str">
        <f t="shared" si="403"/>
        <v>-</v>
      </c>
      <c r="AX328" s="2290" t="str">
        <f t="shared" si="403"/>
        <v>-</v>
      </c>
      <c r="AY328" s="1720" t="str">
        <f t="shared" si="403"/>
        <v>-</v>
      </c>
      <c r="AZ328" s="1720" t="str">
        <f t="shared" si="403"/>
        <v>-</v>
      </c>
      <c r="BA328" s="1720" t="str">
        <f t="shared" si="403"/>
        <v>-</v>
      </c>
      <c r="BB328" s="1721" t="str">
        <f t="shared" si="403"/>
        <v>-</v>
      </c>
      <c r="BC328" s="1720" t="str">
        <f t="shared" si="403"/>
        <v>-</v>
      </c>
      <c r="BD328" s="1720" t="str">
        <f t="shared" si="403"/>
        <v>-</v>
      </c>
      <c r="BE328" s="1720" t="str">
        <f t="shared" si="403"/>
        <v>-</v>
      </c>
      <c r="BF328" s="1720" t="str">
        <f t="shared" si="403"/>
        <v>-</v>
      </c>
      <c r="BG328" s="1721" t="str">
        <f t="shared" si="403"/>
        <v>-</v>
      </c>
      <c r="BH328" s="1048"/>
      <c r="BI328" s="2285" t="str">
        <f t="shared" si="336"/>
        <v>Qty</v>
      </c>
      <c r="BJ328" s="2286" t="str">
        <f t="shared" si="336"/>
        <v>[Service]</v>
      </c>
      <c r="BK328" s="2287" t="str">
        <f t="shared" si="336"/>
        <v>[Price]</v>
      </c>
      <c r="BL328" s="2288" t="str">
        <f t="shared" ref="BL328:BZ328" si="411">IF(OR(X328="",X328=0),"-",IFERROR((X328/W328-1)*(W329/W$13),"-"))</f>
        <v>-</v>
      </c>
      <c r="BM328" s="1720" t="str">
        <f t="shared" si="411"/>
        <v>-</v>
      </c>
      <c r="BN328" s="1720" t="str">
        <f t="shared" si="411"/>
        <v>-</v>
      </c>
      <c r="BO328" s="2289" t="str">
        <f t="shared" si="411"/>
        <v>-</v>
      </c>
      <c r="BP328" s="1720" t="str">
        <f t="shared" si="411"/>
        <v>-</v>
      </c>
      <c r="BQ328" s="2290" t="str">
        <f t="shared" si="411"/>
        <v>-</v>
      </c>
      <c r="BR328" s="1720" t="str">
        <f t="shared" si="411"/>
        <v>-</v>
      </c>
      <c r="BS328" s="1720" t="str">
        <f t="shared" si="411"/>
        <v>-</v>
      </c>
      <c r="BT328" s="1720" t="str">
        <f t="shared" si="411"/>
        <v>-</v>
      </c>
      <c r="BU328" s="1721" t="str">
        <f t="shared" si="411"/>
        <v>-</v>
      </c>
      <c r="BV328" s="1720" t="str">
        <f t="shared" si="411"/>
        <v>-</v>
      </c>
      <c r="BW328" s="1720" t="str">
        <f t="shared" si="411"/>
        <v>-</v>
      </c>
      <c r="BX328" s="1720" t="str">
        <f t="shared" si="411"/>
        <v>-</v>
      </c>
      <c r="BY328" s="1720" t="str">
        <f t="shared" si="411"/>
        <v>-</v>
      </c>
      <c r="BZ328" s="1721" t="str">
        <f t="shared" si="411"/>
        <v>-</v>
      </c>
    </row>
    <row r="329" spans="3:78" ht="12.5" thickBot="1" x14ac:dyDescent="0.35">
      <c r="C329" s="126"/>
      <c r="D329" s="126"/>
      <c r="E329" s="559" t="s">
        <v>47</v>
      </c>
      <c r="F329" s="1723" t="str">
        <f>+F327</f>
        <v>[Service]</v>
      </c>
      <c r="G329" s="1726">
        <f>+G327</f>
        <v>0</v>
      </c>
      <c r="H329" s="1726">
        <f>+H327</f>
        <v>0</v>
      </c>
      <c r="I329" s="1727" t="str">
        <f>+I327</f>
        <v>[Price]</v>
      </c>
      <c r="J329" s="556" t="s">
        <v>347</v>
      </c>
      <c r="K329" s="1977"/>
      <c r="L329" s="1206"/>
      <c r="M329" s="1206"/>
      <c r="N329" s="1978"/>
      <c r="O329" s="1206"/>
      <c r="P329" s="1206"/>
      <c r="Q329" s="1206"/>
      <c r="R329" s="1206"/>
      <c r="S329" s="1978"/>
      <c r="T329" s="1206"/>
      <c r="U329" s="1206"/>
      <c r="V329" s="1206"/>
      <c r="W329" s="1731">
        <f t="shared" ref="W329:AG329" si="412">W327*W328/10^6</f>
        <v>0</v>
      </c>
      <c r="X329" s="1730">
        <f t="shared" si="412"/>
        <v>0</v>
      </c>
      <c r="Y329" s="1731">
        <f t="shared" si="412"/>
        <v>0</v>
      </c>
      <c r="Z329" s="1731">
        <f t="shared" si="412"/>
        <v>0</v>
      </c>
      <c r="AA329" s="1731">
        <f t="shared" si="412"/>
        <v>0</v>
      </c>
      <c r="AB329" s="1733">
        <f t="shared" si="412"/>
        <v>0</v>
      </c>
      <c r="AC329" s="1731">
        <f t="shared" si="412"/>
        <v>0</v>
      </c>
      <c r="AD329" s="1731">
        <f t="shared" si="412"/>
        <v>0</v>
      </c>
      <c r="AE329" s="1731">
        <f t="shared" si="412"/>
        <v>0</v>
      </c>
      <c r="AF329" s="1731">
        <f t="shared" si="412"/>
        <v>0</v>
      </c>
      <c r="AG329" s="1733">
        <f t="shared" si="412"/>
        <v>0</v>
      </c>
      <c r="AH329" s="1732">
        <f>AH327*AH328/10^6</f>
        <v>0</v>
      </c>
      <c r="AI329" s="1731">
        <f>AI327*AI328/10^6</f>
        <v>0</v>
      </c>
      <c r="AJ329" s="1731">
        <f>AJ327*AJ328/10^6</f>
        <v>0</v>
      </c>
      <c r="AK329" s="1731">
        <f>AK327*AK328/10^6</f>
        <v>0</v>
      </c>
      <c r="AL329" s="1733">
        <f>AL327*AL328/10^6</f>
        <v>0</v>
      </c>
      <c r="AN329" s="991"/>
      <c r="AP329" s="2304" t="str">
        <f t="shared" si="405"/>
        <v>Rev</v>
      </c>
      <c r="AQ329" s="2305" t="str">
        <f t="shared" si="405"/>
        <v>[Service]</v>
      </c>
      <c r="AR329" s="2306" t="str">
        <f t="shared" si="406"/>
        <v>[Price]</v>
      </c>
      <c r="AS329" s="2307" t="str">
        <f t="shared" si="403"/>
        <v>-</v>
      </c>
      <c r="AT329" s="1055" t="str">
        <f t="shared" si="403"/>
        <v>-</v>
      </c>
      <c r="AU329" s="1055" t="str">
        <f t="shared" si="403"/>
        <v>-</v>
      </c>
      <c r="AV329" s="2308" t="str">
        <f t="shared" si="403"/>
        <v>-</v>
      </c>
      <c r="AW329" s="1055" t="str">
        <f t="shared" si="403"/>
        <v>-</v>
      </c>
      <c r="AX329" s="2309" t="str">
        <f t="shared" si="403"/>
        <v>-</v>
      </c>
      <c r="AY329" s="1055" t="str">
        <f t="shared" si="403"/>
        <v>-</v>
      </c>
      <c r="AZ329" s="1055" t="str">
        <f t="shared" si="403"/>
        <v>-</v>
      </c>
      <c r="BA329" s="1055" t="str">
        <f t="shared" si="403"/>
        <v>-</v>
      </c>
      <c r="BB329" s="1056" t="str">
        <f t="shared" si="403"/>
        <v>-</v>
      </c>
      <c r="BC329" s="1055" t="str">
        <f t="shared" si="403"/>
        <v>-</v>
      </c>
      <c r="BD329" s="1055" t="str">
        <f t="shared" si="403"/>
        <v>-</v>
      </c>
      <c r="BE329" s="1055" t="str">
        <f t="shared" si="403"/>
        <v>-</v>
      </c>
      <c r="BF329" s="1055" t="str">
        <f t="shared" si="403"/>
        <v>-</v>
      </c>
      <c r="BG329" s="1056" t="str">
        <f t="shared" si="403"/>
        <v>-</v>
      </c>
      <c r="BH329" s="1048"/>
      <c r="BI329" s="2304" t="str">
        <f t="shared" si="336"/>
        <v>Rev</v>
      </c>
      <c r="BJ329" s="2305" t="str">
        <f t="shared" si="336"/>
        <v>[Service]</v>
      </c>
      <c r="BK329" s="2306" t="str">
        <f t="shared" si="336"/>
        <v>[Price]</v>
      </c>
      <c r="BL329" s="2307" t="str">
        <f t="shared" ref="BL329:BZ329" si="413">IF(OR(X329="",X329=0),"-",IFERROR((X329/W329-1)*(W329/W$13),"-"))</f>
        <v>-</v>
      </c>
      <c r="BM329" s="1055" t="str">
        <f t="shared" si="413"/>
        <v>-</v>
      </c>
      <c r="BN329" s="1055" t="str">
        <f t="shared" si="413"/>
        <v>-</v>
      </c>
      <c r="BO329" s="2308" t="str">
        <f t="shared" si="413"/>
        <v>-</v>
      </c>
      <c r="BP329" s="1055" t="str">
        <f t="shared" si="413"/>
        <v>-</v>
      </c>
      <c r="BQ329" s="2309" t="str">
        <f t="shared" si="413"/>
        <v>-</v>
      </c>
      <c r="BR329" s="1055" t="str">
        <f t="shared" si="413"/>
        <v>-</v>
      </c>
      <c r="BS329" s="1055" t="str">
        <f t="shared" si="413"/>
        <v>-</v>
      </c>
      <c r="BT329" s="1055" t="str">
        <f t="shared" si="413"/>
        <v>-</v>
      </c>
      <c r="BU329" s="1056" t="str">
        <f t="shared" si="413"/>
        <v>-</v>
      </c>
      <c r="BV329" s="1055" t="str">
        <f t="shared" si="413"/>
        <v>-</v>
      </c>
      <c r="BW329" s="1055" t="str">
        <f t="shared" si="413"/>
        <v>-</v>
      </c>
      <c r="BX329" s="1055" t="str">
        <f t="shared" si="413"/>
        <v>-</v>
      </c>
      <c r="BY329" s="1055" t="str">
        <f t="shared" si="413"/>
        <v>-</v>
      </c>
      <c r="BZ329" s="1056" t="str">
        <f t="shared" si="413"/>
        <v>-</v>
      </c>
    </row>
    <row r="330" spans="3:78" x14ac:dyDescent="0.3">
      <c r="C330" s="126"/>
      <c r="D330" s="126">
        <f>D327+1</f>
        <v>88</v>
      </c>
      <c r="E330" s="553" t="s">
        <v>45</v>
      </c>
      <c r="F330" s="581" t="s">
        <v>28</v>
      </c>
      <c r="G330" s="581"/>
      <c r="H330" s="581"/>
      <c r="I330" s="573" t="s">
        <v>319</v>
      </c>
      <c r="J330" s="573" t="s">
        <v>348</v>
      </c>
      <c r="K330" s="1969"/>
      <c r="L330" s="1970"/>
      <c r="M330" s="1970"/>
      <c r="N330" s="1971"/>
      <c r="O330" s="1970"/>
      <c r="P330" s="1970"/>
      <c r="Q330" s="1970"/>
      <c r="R330" s="1972"/>
      <c r="S330" s="1979"/>
      <c r="T330" s="1972"/>
      <c r="U330" s="1972"/>
      <c r="V330" s="1972"/>
      <c r="W330" s="575"/>
      <c r="X330" s="1238"/>
      <c r="Y330" s="575"/>
      <c r="Z330" s="575"/>
      <c r="AA330" s="575"/>
      <c r="AB330" s="1142"/>
      <c r="AC330" s="575"/>
      <c r="AD330" s="575"/>
      <c r="AE330" s="575"/>
      <c r="AF330" s="575"/>
      <c r="AG330" s="577"/>
      <c r="AH330" s="576"/>
      <c r="AI330" s="575"/>
      <c r="AJ330" s="575"/>
      <c r="AK330" s="575"/>
      <c r="AL330" s="577"/>
      <c r="AN330" s="1052"/>
      <c r="AP330" s="2297" t="str">
        <f t="shared" si="405"/>
        <v>Price</v>
      </c>
      <c r="AQ330" s="2298" t="str">
        <f t="shared" si="405"/>
        <v>[Service]</v>
      </c>
      <c r="AR330" s="1719" t="str">
        <f t="shared" si="406"/>
        <v>[Price]</v>
      </c>
      <c r="AS330" s="2299" t="str">
        <f t="shared" si="403"/>
        <v>-</v>
      </c>
      <c r="AT330" s="1728" t="str">
        <f t="shared" si="403"/>
        <v>-</v>
      </c>
      <c r="AU330" s="1728" t="str">
        <f t="shared" si="403"/>
        <v>-</v>
      </c>
      <c r="AV330" s="2300" t="str">
        <f t="shared" si="403"/>
        <v>-</v>
      </c>
      <c r="AW330" s="1728" t="str">
        <f t="shared" si="403"/>
        <v>-</v>
      </c>
      <c r="AX330" s="2301" t="str">
        <f t="shared" si="403"/>
        <v>-</v>
      </c>
      <c r="AY330" s="1728" t="str">
        <f t="shared" si="403"/>
        <v>-</v>
      </c>
      <c r="AZ330" s="1728" t="str">
        <f t="shared" si="403"/>
        <v>-</v>
      </c>
      <c r="BA330" s="1728" t="str">
        <f t="shared" si="403"/>
        <v>-</v>
      </c>
      <c r="BB330" s="1729" t="str">
        <f t="shared" si="403"/>
        <v>-</v>
      </c>
      <c r="BC330" s="1728" t="str">
        <f t="shared" si="403"/>
        <v>-</v>
      </c>
      <c r="BD330" s="1728" t="str">
        <f t="shared" si="403"/>
        <v>-</v>
      </c>
      <c r="BE330" s="1728" t="str">
        <f t="shared" si="403"/>
        <v>-</v>
      </c>
      <c r="BF330" s="1728" t="str">
        <f t="shared" si="403"/>
        <v>-</v>
      </c>
      <c r="BG330" s="1729" t="str">
        <f t="shared" si="403"/>
        <v>-</v>
      </c>
      <c r="BH330" s="1048"/>
      <c r="BI330" s="2297" t="str">
        <f t="shared" si="336"/>
        <v>Price</v>
      </c>
      <c r="BJ330" s="2298" t="str">
        <f t="shared" si="336"/>
        <v>[Service]</v>
      </c>
      <c r="BK330" s="1719" t="str">
        <f t="shared" si="336"/>
        <v>[Price]</v>
      </c>
      <c r="BL330" s="2299" t="str">
        <f t="shared" ref="BL330:BZ330" si="414">IF(OR(X330="",X330=0),"-",IFERROR((X330/W330-1)*(W332/W$13),"-"))</f>
        <v>-</v>
      </c>
      <c r="BM330" s="1053" t="str">
        <f t="shared" si="414"/>
        <v>-</v>
      </c>
      <c r="BN330" s="1053" t="str">
        <f t="shared" si="414"/>
        <v>-</v>
      </c>
      <c r="BO330" s="2302" t="str">
        <f t="shared" si="414"/>
        <v>-</v>
      </c>
      <c r="BP330" s="1053" t="str">
        <f t="shared" si="414"/>
        <v>-</v>
      </c>
      <c r="BQ330" s="2303" t="str">
        <f t="shared" si="414"/>
        <v>-</v>
      </c>
      <c r="BR330" s="1053" t="str">
        <f t="shared" si="414"/>
        <v>-</v>
      </c>
      <c r="BS330" s="1053" t="str">
        <f t="shared" si="414"/>
        <v>-</v>
      </c>
      <c r="BT330" s="1053" t="str">
        <f t="shared" si="414"/>
        <v>-</v>
      </c>
      <c r="BU330" s="1054" t="str">
        <f t="shared" si="414"/>
        <v>-</v>
      </c>
      <c r="BV330" s="1053" t="str">
        <f t="shared" si="414"/>
        <v>-</v>
      </c>
      <c r="BW330" s="1053" t="str">
        <f t="shared" si="414"/>
        <v>-</v>
      </c>
      <c r="BX330" s="1053" t="str">
        <f t="shared" si="414"/>
        <v>-</v>
      </c>
      <c r="BY330" s="1053" t="str">
        <f t="shared" si="414"/>
        <v>-</v>
      </c>
      <c r="BZ330" s="1054" t="str">
        <f t="shared" si="414"/>
        <v>-</v>
      </c>
    </row>
    <row r="331" spans="3:78" x14ac:dyDescent="0.3">
      <c r="C331" s="126"/>
      <c r="D331" s="126"/>
      <c r="E331" s="558" t="s">
        <v>46</v>
      </c>
      <c r="F331" s="1722" t="str">
        <f>+F330</f>
        <v>[Service]</v>
      </c>
      <c r="G331" s="1724">
        <f>+G330</f>
        <v>0</v>
      </c>
      <c r="H331" s="1724">
        <f>+H330</f>
        <v>0</v>
      </c>
      <c r="I331" s="1725" t="str">
        <f>+I330</f>
        <v>[Price]</v>
      </c>
      <c r="J331" s="574" t="s">
        <v>323</v>
      </c>
      <c r="K331" s="1973"/>
      <c r="L331" s="1974"/>
      <c r="M331" s="1974"/>
      <c r="N331" s="1975"/>
      <c r="O331" s="1974"/>
      <c r="P331" s="1974"/>
      <c r="Q331" s="1974"/>
      <c r="R331" s="1976"/>
      <c r="S331" s="1980"/>
      <c r="T331" s="1976"/>
      <c r="U331" s="1976"/>
      <c r="V331" s="1976"/>
      <c r="W331" s="578"/>
      <c r="X331" s="1239"/>
      <c r="Y331" s="578"/>
      <c r="Z331" s="578"/>
      <c r="AA331" s="578"/>
      <c r="AB331" s="1143"/>
      <c r="AC331" s="578"/>
      <c r="AD331" s="578"/>
      <c r="AE331" s="578"/>
      <c r="AF331" s="578"/>
      <c r="AG331" s="580"/>
      <c r="AH331" s="579"/>
      <c r="AI331" s="578"/>
      <c r="AJ331" s="578"/>
      <c r="AK331" s="578"/>
      <c r="AL331" s="580"/>
      <c r="AN331" s="991"/>
      <c r="AP331" s="2285" t="str">
        <f t="shared" si="405"/>
        <v>Qty</v>
      </c>
      <c r="AQ331" s="2286" t="str">
        <f t="shared" si="405"/>
        <v>[Service]</v>
      </c>
      <c r="AR331" s="2287" t="str">
        <f t="shared" si="406"/>
        <v>[Price]</v>
      </c>
      <c r="AS331" s="2288" t="str">
        <f t="shared" si="403"/>
        <v>-</v>
      </c>
      <c r="AT331" s="1720" t="str">
        <f t="shared" si="403"/>
        <v>-</v>
      </c>
      <c r="AU331" s="1720" t="str">
        <f t="shared" si="403"/>
        <v>-</v>
      </c>
      <c r="AV331" s="2289" t="str">
        <f t="shared" si="403"/>
        <v>-</v>
      </c>
      <c r="AW331" s="1720" t="str">
        <f t="shared" si="403"/>
        <v>-</v>
      </c>
      <c r="AX331" s="2290" t="str">
        <f t="shared" si="403"/>
        <v>-</v>
      </c>
      <c r="AY331" s="1720" t="str">
        <f t="shared" si="403"/>
        <v>-</v>
      </c>
      <c r="AZ331" s="1720" t="str">
        <f t="shared" si="403"/>
        <v>-</v>
      </c>
      <c r="BA331" s="1720" t="str">
        <f t="shared" si="403"/>
        <v>-</v>
      </c>
      <c r="BB331" s="1721" t="str">
        <f t="shared" si="403"/>
        <v>-</v>
      </c>
      <c r="BC331" s="1720" t="str">
        <f t="shared" si="403"/>
        <v>-</v>
      </c>
      <c r="BD331" s="1720" t="str">
        <f t="shared" si="403"/>
        <v>-</v>
      </c>
      <c r="BE331" s="1720" t="str">
        <f t="shared" si="403"/>
        <v>-</v>
      </c>
      <c r="BF331" s="1720" t="str">
        <f t="shared" si="403"/>
        <v>-</v>
      </c>
      <c r="BG331" s="1721" t="str">
        <f t="shared" si="403"/>
        <v>-</v>
      </c>
      <c r="BH331" s="1048"/>
      <c r="BI331" s="2285" t="str">
        <f t="shared" si="336"/>
        <v>Qty</v>
      </c>
      <c r="BJ331" s="2286" t="str">
        <f t="shared" si="336"/>
        <v>[Service]</v>
      </c>
      <c r="BK331" s="2287" t="str">
        <f t="shared" si="336"/>
        <v>[Price]</v>
      </c>
      <c r="BL331" s="2288" t="str">
        <f t="shared" ref="BL331:BZ331" si="415">IF(OR(X331="",X331=0),"-",IFERROR((X331/W331-1)*(W332/W$13),"-"))</f>
        <v>-</v>
      </c>
      <c r="BM331" s="1720" t="str">
        <f t="shared" si="415"/>
        <v>-</v>
      </c>
      <c r="BN331" s="1720" t="str">
        <f t="shared" si="415"/>
        <v>-</v>
      </c>
      <c r="BO331" s="2289" t="str">
        <f t="shared" si="415"/>
        <v>-</v>
      </c>
      <c r="BP331" s="1720" t="str">
        <f t="shared" si="415"/>
        <v>-</v>
      </c>
      <c r="BQ331" s="2290" t="str">
        <f t="shared" si="415"/>
        <v>-</v>
      </c>
      <c r="BR331" s="1720" t="str">
        <f t="shared" si="415"/>
        <v>-</v>
      </c>
      <c r="BS331" s="1720" t="str">
        <f t="shared" si="415"/>
        <v>-</v>
      </c>
      <c r="BT331" s="1720" t="str">
        <f t="shared" si="415"/>
        <v>-</v>
      </c>
      <c r="BU331" s="1721" t="str">
        <f t="shared" si="415"/>
        <v>-</v>
      </c>
      <c r="BV331" s="1720" t="str">
        <f t="shared" si="415"/>
        <v>-</v>
      </c>
      <c r="BW331" s="1720" t="str">
        <f t="shared" si="415"/>
        <v>-</v>
      </c>
      <c r="BX331" s="1720" t="str">
        <f t="shared" si="415"/>
        <v>-</v>
      </c>
      <c r="BY331" s="1720" t="str">
        <f t="shared" si="415"/>
        <v>-</v>
      </c>
      <c r="BZ331" s="1721" t="str">
        <f t="shared" si="415"/>
        <v>-</v>
      </c>
    </row>
    <row r="332" spans="3:78" ht="12.5" thickBot="1" x14ac:dyDescent="0.35">
      <c r="C332" s="126"/>
      <c r="D332" s="126"/>
      <c r="E332" s="559" t="s">
        <v>47</v>
      </c>
      <c r="F332" s="1723" t="str">
        <f>+F330</f>
        <v>[Service]</v>
      </c>
      <c r="G332" s="1726">
        <f>+G330</f>
        <v>0</v>
      </c>
      <c r="H332" s="1726">
        <f>+H330</f>
        <v>0</v>
      </c>
      <c r="I332" s="1727" t="str">
        <f>+I330</f>
        <v>[Price]</v>
      </c>
      <c r="J332" s="556" t="s">
        <v>347</v>
      </c>
      <c r="K332" s="1977"/>
      <c r="L332" s="1206"/>
      <c r="M332" s="1206"/>
      <c r="N332" s="1978"/>
      <c r="O332" s="1206"/>
      <c r="P332" s="1206"/>
      <c r="Q332" s="1206"/>
      <c r="R332" s="1206"/>
      <c r="S332" s="1978"/>
      <c r="T332" s="1206"/>
      <c r="U332" s="1206"/>
      <c r="V332" s="1206"/>
      <c r="W332" s="1731">
        <f t="shared" ref="W332:AG332" si="416">W330*W331/10^6</f>
        <v>0</v>
      </c>
      <c r="X332" s="1730">
        <f t="shared" si="416"/>
        <v>0</v>
      </c>
      <c r="Y332" s="1731">
        <f t="shared" si="416"/>
        <v>0</v>
      </c>
      <c r="Z332" s="1731">
        <f t="shared" si="416"/>
        <v>0</v>
      </c>
      <c r="AA332" s="1731">
        <f t="shared" si="416"/>
        <v>0</v>
      </c>
      <c r="AB332" s="1733">
        <f t="shared" si="416"/>
        <v>0</v>
      </c>
      <c r="AC332" s="1731">
        <f t="shared" si="416"/>
        <v>0</v>
      </c>
      <c r="AD332" s="1731">
        <f t="shared" si="416"/>
        <v>0</v>
      </c>
      <c r="AE332" s="1731">
        <f t="shared" si="416"/>
        <v>0</v>
      </c>
      <c r="AF332" s="1731">
        <f t="shared" si="416"/>
        <v>0</v>
      </c>
      <c r="AG332" s="1733">
        <f t="shared" si="416"/>
        <v>0</v>
      </c>
      <c r="AH332" s="1732">
        <f>AH330*AH331/10^6</f>
        <v>0</v>
      </c>
      <c r="AI332" s="1731">
        <f>AI330*AI331/10^6</f>
        <v>0</v>
      </c>
      <c r="AJ332" s="1731">
        <f>AJ330*AJ331/10^6</f>
        <v>0</v>
      </c>
      <c r="AK332" s="1731">
        <f>AK330*AK331/10^6</f>
        <v>0</v>
      </c>
      <c r="AL332" s="1733">
        <f>AL330*AL331/10^6</f>
        <v>0</v>
      </c>
      <c r="AN332" s="991"/>
      <c r="AP332" s="2304" t="str">
        <f t="shared" si="405"/>
        <v>Rev</v>
      </c>
      <c r="AQ332" s="2305" t="str">
        <f t="shared" si="405"/>
        <v>[Service]</v>
      </c>
      <c r="AR332" s="2306" t="str">
        <f t="shared" si="406"/>
        <v>[Price]</v>
      </c>
      <c r="AS332" s="2307" t="str">
        <f t="shared" si="403"/>
        <v>-</v>
      </c>
      <c r="AT332" s="1055" t="str">
        <f t="shared" si="403"/>
        <v>-</v>
      </c>
      <c r="AU332" s="1055" t="str">
        <f t="shared" si="403"/>
        <v>-</v>
      </c>
      <c r="AV332" s="2308" t="str">
        <f t="shared" si="403"/>
        <v>-</v>
      </c>
      <c r="AW332" s="1055" t="str">
        <f t="shared" si="403"/>
        <v>-</v>
      </c>
      <c r="AX332" s="2309" t="str">
        <f t="shared" si="403"/>
        <v>-</v>
      </c>
      <c r="AY332" s="1055" t="str">
        <f t="shared" si="403"/>
        <v>-</v>
      </c>
      <c r="AZ332" s="1055" t="str">
        <f t="shared" si="403"/>
        <v>-</v>
      </c>
      <c r="BA332" s="1055" t="str">
        <f t="shared" si="403"/>
        <v>-</v>
      </c>
      <c r="BB332" s="1056" t="str">
        <f t="shared" si="403"/>
        <v>-</v>
      </c>
      <c r="BC332" s="1055" t="str">
        <f t="shared" si="403"/>
        <v>-</v>
      </c>
      <c r="BD332" s="1055" t="str">
        <f t="shared" si="403"/>
        <v>-</v>
      </c>
      <c r="BE332" s="1055" t="str">
        <f t="shared" si="403"/>
        <v>-</v>
      </c>
      <c r="BF332" s="1055" t="str">
        <f t="shared" si="403"/>
        <v>-</v>
      </c>
      <c r="BG332" s="1056" t="str">
        <f t="shared" si="403"/>
        <v>-</v>
      </c>
      <c r="BH332" s="1048"/>
      <c r="BI332" s="2304" t="str">
        <f t="shared" si="336"/>
        <v>Rev</v>
      </c>
      <c r="BJ332" s="2305" t="str">
        <f t="shared" si="336"/>
        <v>[Service]</v>
      </c>
      <c r="BK332" s="2306" t="str">
        <f t="shared" si="336"/>
        <v>[Price]</v>
      </c>
      <c r="BL332" s="2307" t="str">
        <f t="shared" ref="BL332:BZ332" si="417">IF(OR(X332="",X332=0),"-",IFERROR((X332/W332-1)*(W332/W$13),"-"))</f>
        <v>-</v>
      </c>
      <c r="BM332" s="1055" t="str">
        <f t="shared" si="417"/>
        <v>-</v>
      </c>
      <c r="BN332" s="1055" t="str">
        <f t="shared" si="417"/>
        <v>-</v>
      </c>
      <c r="BO332" s="2308" t="str">
        <f t="shared" si="417"/>
        <v>-</v>
      </c>
      <c r="BP332" s="1055" t="str">
        <f t="shared" si="417"/>
        <v>-</v>
      </c>
      <c r="BQ332" s="2309" t="str">
        <f t="shared" si="417"/>
        <v>-</v>
      </c>
      <c r="BR332" s="1055" t="str">
        <f t="shared" si="417"/>
        <v>-</v>
      </c>
      <c r="BS332" s="1055" t="str">
        <f t="shared" si="417"/>
        <v>-</v>
      </c>
      <c r="BT332" s="1055" t="str">
        <f t="shared" si="417"/>
        <v>-</v>
      </c>
      <c r="BU332" s="1056" t="str">
        <f t="shared" si="417"/>
        <v>-</v>
      </c>
      <c r="BV332" s="1055" t="str">
        <f t="shared" si="417"/>
        <v>-</v>
      </c>
      <c r="BW332" s="1055" t="str">
        <f t="shared" si="417"/>
        <v>-</v>
      </c>
      <c r="BX332" s="1055" t="str">
        <f t="shared" si="417"/>
        <v>-</v>
      </c>
      <c r="BY332" s="1055" t="str">
        <f t="shared" si="417"/>
        <v>-</v>
      </c>
      <c r="BZ332" s="1056" t="str">
        <f t="shared" si="417"/>
        <v>-</v>
      </c>
    </row>
    <row r="333" spans="3:78" x14ac:dyDescent="0.3">
      <c r="C333" s="126"/>
      <c r="D333" s="126">
        <f>D330+1</f>
        <v>89</v>
      </c>
      <c r="E333" s="553" t="s">
        <v>45</v>
      </c>
      <c r="F333" s="581" t="s">
        <v>28</v>
      </c>
      <c r="G333" s="581"/>
      <c r="H333" s="581"/>
      <c r="I333" s="573" t="s">
        <v>319</v>
      </c>
      <c r="J333" s="573" t="s">
        <v>348</v>
      </c>
      <c r="K333" s="1969"/>
      <c r="L333" s="1970"/>
      <c r="M333" s="1970"/>
      <c r="N333" s="1971"/>
      <c r="O333" s="1970"/>
      <c r="P333" s="1970"/>
      <c r="Q333" s="1970"/>
      <c r="R333" s="1972"/>
      <c r="S333" s="1979"/>
      <c r="T333" s="1972"/>
      <c r="U333" s="1972"/>
      <c r="V333" s="1972"/>
      <c r="W333" s="575"/>
      <c r="X333" s="1238"/>
      <c r="Y333" s="575"/>
      <c r="Z333" s="575"/>
      <c r="AA333" s="575"/>
      <c r="AB333" s="1142"/>
      <c r="AC333" s="575"/>
      <c r="AD333" s="575"/>
      <c r="AE333" s="575"/>
      <c r="AF333" s="575"/>
      <c r="AG333" s="577"/>
      <c r="AH333" s="576"/>
      <c r="AI333" s="575"/>
      <c r="AJ333" s="575"/>
      <c r="AK333" s="575"/>
      <c r="AL333" s="577"/>
      <c r="AN333" s="1052"/>
      <c r="AP333" s="2297" t="str">
        <f t="shared" si="405"/>
        <v>Price</v>
      </c>
      <c r="AQ333" s="2298" t="str">
        <f t="shared" si="405"/>
        <v>[Service]</v>
      </c>
      <c r="AR333" s="1719" t="str">
        <f t="shared" si="406"/>
        <v>[Price]</v>
      </c>
      <c r="AS333" s="2299" t="str">
        <f t="shared" si="403"/>
        <v>-</v>
      </c>
      <c r="AT333" s="1728" t="str">
        <f t="shared" si="403"/>
        <v>-</v>
      </c>
      <c r="AU333" s="1728" t="str">
        <f t="shared" si="403"/>
        <v>-</v>
      </c>
      <c r="AV333" s="2300" t="str">
        <f t="shared" si="403"/>
        <v>-</v>
      </c>
      <c r="AW333" s="1728" t="str">
        <f t="shared" si="403"/>
        <v>-</v>
      </c>
      <c r="AX333" s="2301" t="str">
        <f t="shared" si="403"/>
        <v>-</v>
      </c>
      <c r="AY333" s="1728" t="str">
        <f t="shared" si="403"/>
        <v>-</v>
      </c>
      <c r="AZ333" s="1728" t="str">
        <f t="shared" si="403"/>
        <v>-</v>
      </c>
      <c r="BA333" s="1728" t="str">
        <f t="shared" si="403"/>
        <v>-</v>
      </c>
      <c r="BB333" s="1729" t="str">
        <f t="shared" si="403"/>
        <v>-</v>
      </c>
      <c r="BC333" s="1728" t="str">
        <f t="shared" si="403"/>
        <v>-</v>
      </c>
      <c r="BD333" s="1728" t="str">
        <f t="shared" si="403"/>
        <v>-</v>
      </c>
      <c r="BE333" s="1728" t="str">
        <f t="shared" si="403"/>
        <v>-</v>
      </c>
      <c r="BF333" s="1728" t="str">
        <f t="shared" si="403"/>
        <v>-</v>
      </c>
      <c r="BG333" s="1729" t="str">
        <f t="shared" si="403"/>
        <v>-</v>
      </c>
      <c r="BH333" s="1048"/>
      <c r="BI333" s="2297" t="str">
        <f t="shared" si="336"/>
        <v>Price</v>
      </c>
      <c r="BJ333" s="2298" t="str">
        <f t="shared" si="336"/>
        <v>[Service]</v>
      </c>
      <c r="BK333" s="1719" t="str">
        <f t="shared" si="336"/>
        <v>[Price]</v>
      </c>
      <c r="BL333" s="2299" t="str">
        <f t="shared" ref="BL333:BZ333" si="418">IF(OR(X333="",X333=0),"-",IFERROR((X333/W333-1)*(W335/W$13),"-"))</f>
        <v>-</v>
      </c>
      <c r="BM333" s="1053" t="str">
        <f t="shared" si="418"/>
        <v>-</v>
      </c>
      <c r="BN333" s="1053" t="str">
        <f t="shared" si="418"/>
        <v>-</v>
      </c>
      <c r="BO333" s="2302" t="str">
        <f t="shared" si="418"/>
        <v>-</v>
      </c>
      <c r="BP333" s="1053" t="str">
        <f t="shared" si="418"/>
        <v>-</v>
      </c>
      <c r="BQ333" s="2303" t="str">
        <f t="shared" si="418"/>
        <v>-</v>
      </c>
      <c r="BR333" s="1053" t="str">
        <f t="shared" si="418"/>
        <v>-</v>
      </c>
      <c r="BS333" s="1053" t="str">
        <f t="shared" si="418"/>
        <v>-</v>
      </c>
      <c r="BT333" s="1053" t="str">
        <f t="shared" si="418"/>
        <v>-</v>
      </c>
      <c r="BU333" s="1054" t="str">
        <f t="shared" si="418"/>
        <v>-</v>
      </c>
      <c r="BV333" s="1053" t="str">
        <f t="shared" si="418"/>
        <v>-</v>
      </c>
      <c r="BW333" s="1053" t="str">
        <f t="shared" si="418"/>
        <v>-</v>
      </c>
      <c r="BX333" s="1053" t="str">
        <f t="shared" si="418"/>
        <v>-</v>
      </c>
      <c r="BY333" s="1053" t="str">
        <f t="shared" si="418"/>
        <v>-</v>
      </c>
      <c r="BZ333" s="1054" t="str">
        <f t="shared" si="418"/>
        <v>-</v>
      </c>
    </row>
    <row r="334" spans="3:78" x14ac:dyDescent="0.3">
      <c r="C334" s="126"/>
      <c r="D334" s="126"/>
      <c r="E334" s="558" t="s">
        <v>46</v>
      </c>
      <c r="F334" s="1722" t="str">
        <f>+F333</f>
        <v>[Service]</v>
      </c>
      <c r="G334" s="1724">
        <f>+G333</f>
        <v>0</v>
      </c>
      <c r="H334" s="1724">
        <f>+H333</f>
        <v>0</v>
      </c>
      <c r="I334" s="1725" t="str">
        <f>+I333</f>
        <v>[Price]</v>
      </c>
      <c r="J334" s="574" t="s">
        <v>323</v>
      </c>
      <c r="K334" s="1973"/>
      <c r="L334" s="1974"/>
      <c r="M334" s="1974"/>
      <c r="N334" s="1975"/>
      <c r="O334" s="1974"/>
      <c r="P334" s="1974"/>
      <c r="Q334" s="1974"/>
      <c r="R334" s="1976"/>
      <c r="S334" s="1980"/>
      <c r="T334" s="1976"/>
      <c r="U334" s="1976"/>
      <c r="V334" s="1976"/>
      <c r="W334" s="578"/>
      <c r="X334" s="1239"/>
      <c r="Y334" s="578"/>
      <c r="Z334" s="578"/>
      <c r="AA334" s="578"/>
      <c r="AB334" s="1143"/>
      <c r="AC334" s="578"/>
      <c r="AD334" s="578"/>
      <c r="AE334" s="578"/>
      <c r="AF334" s="578"/>
      <c r="AG334" s="580"/>
      <c r="AH334" s="579"/>
      <c r="AI334" s="578"/>
      <c r="AJ334" s="578"/>
      <c r="AK334" s="578"/>
      <c r="AL334" s="580"/>
      <c r="AN334" s="991"/>
      <c r="AP334" s="2285" t="str">
        <f t="shared" si="405"/>
        <v>Qty</v>
      </c>
      <c r="AQ334" s="2286" t="str">
        <f t="shared" si="405"/>
        <v>[Service]</v>
      </c>
      <c r="AR334" s="2287" t="str">
        <f t="shared" si="406"/>
        <v>[Price]</v>
      </c>
      <c r="AS334" s="2288" t="str">
        <f t="shared" si="403"/>
        <v>-</v>
      </c>
      <c r="AT334" s="1720" t="str">
        <f t="shared" si="403"/>
        <v>-</v>
      </c>
      <c r="AU334" s="1720" t="str">
        <f t="shared" si="403"/>
        <v>-</v>
      </c>
      <c r="AV334" s="2289" t="str">
        <f t="shared" si="403"/>
        <v>-</v>
      </c>
      <c r="AW334" s="1720" t="str">
        <f t="shared" si="403"/>
        <v>-</v>
      </c>
      <c r="AX334" s="2290" t="str">
        <f t="shared" si="403"/>
        <v>-</v>
      </c>
      <c r="AY334" s="1720" t="str">
        <f t="shared" si="403"/>
        <v>-</v>
      </c>
      <c r="AZ334" s="1720" t="str">
        <f t="shared" si="403"/>
        <v>-</v>
      </c>
      <c r="BA334" s="1720" t="str">
        <f t="shared" si="403"/>
        <v>-</v>
      </c>
      <c r="BB334" s="1721" t="str">
        <f t="shared" si="403"/>
        <v>-</v>
      </c>
      <c r="BC334" s="1720" t="str">
        <f t="shared" si="403"/>
        <v>-</v>
      </c>
      <c r="BD334" s="1720" t="str">
        <f t="shared" si="403"/>
        <v>-</v>
      </c>
      <c r="BE334" s="1720" t="str">
        <f t="shared" si="403"/>
        <v>-</v>
      </c>
      <c r="BF334" s="1720" t="str">
        <f t="shared" si="403"/>
        <v>-</v>
      </c>
      <c r="BG334" s="1721" t="str">
        <f t="shared" si="403"/>
        <v>-</v>
      </c>
      <c r="BH334" s="1048"/>
      <c r="BI334" s="2285" t="str">
        <f t="shared" si="336"/>
        <v>Qty</v>
      </c>
      <c r="BJ334" s="2286" t="str">
        <f t="shared" si="336"/>
        <v>[Service]</v>
      </c>
      <c r="BK334" s="2287" t="str">
        <f t="shared" si="336"/>
        <v>[Price]</v>
      </c>
      <c r="BL334" s="2288" t="str">
        <f t="shared" ref="BL334:BZ334" si="419">IF(OR(X334="",X334=0),"-",IFERROR((X334/W334-1)*(W335/W$13),"-"))</f>
        <v>-</v>
      </c>
      <c r="BM334" s="1720" t="str">
        <f t="shared" si="419"/>
        <v>-</v>
      </c>
      <c r="BN334" s="1720" t="str">
        <f t="shared" si="419"/>
        <v>-</v>
      </c>
      <c r="BO334" s="2289" t="str">
        <f t="shared" si="419"/>
        <v>-</v>
      </c>
      <c r="BP334" s="1720" t="str">
        <f t="shared" si="419"/>
        <v>-</v>
      </c>
      <c r="BQ334" s="2290" t="str">
        <f t="shared" si="419"/>
        <v>-</v>
      </c>
      <c r="BR334" s="1720" t="str">
        <f t="shared" si="419"/>
        <v>-</v>
      </c>
      <c r="BS334" s="1720" t="str">
        <f t="shared" si="419"/>
        <v>-</v>
      </c>
      <c r="BT334" s="1720" t="str">
        <f t="shared" si="419"/>
        <v>-</v>
      </c>
      <c r="BU334" s="1721" t="str">
        <f t="shared" si="419"/>
        <v>-</v>
      </c>
      <c r="BV334" s="1720" t="str">
        <f t="shared" si="419"/>
        <v>-</v>
      </c>
      <c r="BW334" s="1720" t="str">
        <f t="shared" si="419"/>
        <v>-</v>
      </c>
      <c r="BX334" s="1720" t="str">
        <f t="shared" si="419"/>
        <v>-</v>
      </c>
      <c r="BY334" s="1720" t="str">
        <f t="shared" si="419"/>
        <v>-</v>
      </c>
      <c r="BZ334" s="1721" t="str">
        <f t="shared" si="419"/>
        <v>-</v>
      </c>
    </row>
    <row r="335" spans="3:78" ht="12.5" thickBot="1" x14ac:dyDescent="0.35">
      <c r="C335" s="126"/>
      <c r="D335" s="126"/>
      <c r="E335" s="559" t="s">
        <v>47</v>
      </c>
      <c r="F335" s="1723" t="str">
        <f>+F333</f>
        <v>[Service]</v>
      </c>
      <c r="G335" s="1726">
        <f>+G333</f>
        <v>0</v>
      </c>
      <c r="H335" s="1726">
        <f>+H333</f>
        <v>0</v>
      </c>
      <c r="I335" s="1727" t="str">
        <f>+I333</f>
        <v>[Price]</v>
      </c>
      <c r="J335" s="556" t="s">
        <v>347</v>
      </c>
      <c r="K335" s="1977"/>
      <c r="L335" s="1206"/>
      <c r="M335" s="1206"/>
      <c r="N335" s="1978"/>
      <c r="O335" s="1206"/>
      <c r="P335" s="1206"/>
      <c r="Q335" s="1206"/>
      <c r="R335" s="1206"/>
      <c r="S335" s="1978"/>
      <c r="T335" s="1206"/>
      <c r="U335" s="1206"/>
      <c r="V335" s="1206"/>
      <c r="W335" s="1731">
        <f t="shared" ref="W335:AG335" si="420">W333*W334/10^6</f>
        <v>0</v>
      </c>
      <c r="X335" s="1730">
        <f t="shared" si="420"/>
        <v>0</v>
      </c>
      <c r="Y335" s="1731">
        <f t="shared" si="420"/>
        <v>0</v>
      </c>
      <c r="Z335" s="1731">
        <f t="shared" si="420"/>
        <v>0</v>
      </c>
      <c r="AA335" s="1731">
        <f t="shared" si="420"/>
        <v>0</v>
      </c>
      <c r="AB335" s="1733">
        <f t="shared" si="420"/>
        <v>0</v>
      </c>
      <c r="AC335" s="1731">
        <f t="shared" si="420"/>
        <v>0</v>
      </c>
      <c r="AD335" s="1731">
        <f t="shared" si="420"/>
        <v>0</v>
      </c>
      <c r="AE335" s="1731">
        <f t="shared" si="420"/>
        <v>0</v>
      </c>
      <c r="AF335" s="1731">
        <f t="shared" si="420"/>
        <v>0</v>
      </c>
      <c r="AG335" s="1733">
        <f t="shared" si="420"/>
        <v>0</v>
      </c>
      <c r="AH335" s="1732">
        <f>AH333*AH334/10^6</f>
        <v>0</v>
      </c>
      <c r="AI335" s="1731">
        <f>AI333*AI334/10^6</f>
        <v>0</v>
      </c>
      <c r="AJ335" s="1731">
        <f>AJ333*AJ334/10^6</f>
        <v>0</v>
      </c>
      <c r="AK335" s="1731">
        <f>AK333*AK334/10^6</f>
        <v>0</v>
      </c>
      <c r="AL335" s="1733">
        <f>AL333*AL334/10^6</f>
        <v>0</v>
      </c>
      <c r="AN335" s="991"/>
      <c r="AP335" s="2304" t="str">
        <f t="shared" si="405"/>
        <v>Rev</v>
      </c>
      <c r="AQ335" s="2305" t="str">
        <f t="shared" si="405"/>
        <v>[Service]</v>
      </c>
      <c r="AR335" s="2306" t="str">
        <f t="shared" si="406"/>
        <v>[Price]</v>
      </c>
      <c r="AS335" s="2307" t="str">
        <f t="shared" si="403"/>
        <v>-</v>
      </c>
      <c r="AT335" s="1055" t="str">
        <f t="shared" si="403"/>
        <v>-</v>
      </c>
      <c r="AU335" s="1055" t="str">
        <f t="shared" si="403"/>
        <v>-</v>
      </c>
      <c r="AV335" s="2308" t="str">
        <f t="shared" si="403"/>
        <v>-</v>
      </c>
      <c r="AW335" s="1055" t="str">
        <f t="shared" si="403"/>
        <v>-</v>
      </c>
      <c r="AX335" s="2309" t="str">
        <f t="shared" si="403"/>
        <v>-</v>
      </c>
      <c r="AY335" s="1055" t="str">
        <f t="shared" si="403"/>
        <v>-</v>
      </c>
      <c r="AZ335" s="1055" t="str">
        <f t="shared" si="403"/>
        <v>-</v>
      </c>
      <c r="BA335" s="1055" t="str">
        <f t="shared" si="403"/>
        <v>-</v>
      </c>
      <c r="BB335" s="1056" t="str">
        <f t="shared" si="403"/>
        <v>-</v>
      </c>
      <c r="BC335" s="1055" t="str">
        <f t="shared" si="403"/>
        <v>-</v>
      </c>
      <c r="BD335" s="1055" t="str">
        <f t="shared" si="403"/>
        <v>-</v>
      </c>
      <c r="BE335" s="1055" t="str">
        <f t="shared" si="403"/>
        <v>-</v>
      </c>
      <c r="BF335" s="1055" t="str">
        <f t="shared" si="403"/>
        <v>-</v>
      </c>
      <c r="BG335" s="1056" t="str">
        <f t="shared" si="403"/>
        <v>-</v>
      </c>
      <c r="BH335" s="1048"/>
      <c r="BI335" s="2304" t="str">
        <f t="shared" si="336"/>
        <v>Rev</v>
      </c>
      <c r="BJ335" s="2305" t="str">
        <f t="shared" si="336"/>
        <v>[Service]</v>
      </c>
      <c r="BK335" s="2306" t="str">
        <f t="shared" si="336"/>
        <v>[Price]</v>
      </c>
      <c r="BL335" s="2307" t="str">
        <f t="shared" ref="BL335:BZ335" si="421">IF(OR(X335="",X335=0),"-",IFERROR((X335/W335-1)*(W335/W$13),"-"))</f>
        <v>-</v>
      </c>
      <c r="BM335" s="1055" t="str">
        <f t="shared" si="421"/>
        <v>-</v>
      </c>
      <c r="BN335" s="1055" t="str">
        <f t="shared" si="421"/>
        <v>-</v>
      </c>
      <c r="BO335" s="2308" t="str">
        <f t="shared" si="421"/>
        <v>-</v>
      </c>
      <c r="BP335" s="1055" t="str">
        <f t="shared" si="421"/>
        <v>-</v>
      </c>
      <c r="BQ335" s="2309" t="str">
        <f t="shared" si="421"/>
        <v>-</v>
      </c>
      <c r="BR335" s="1055" t="str">
        <f t="shared" si="421"/>
        <v>-</v>
      </c>
      <c r="BS335" s="1055" t="str">
        <f t="shared" si="421"/>
        <v>-</v>
      </c>
      <c r="BT335" s="1055" t="str">
        <f t="shared" si="421"/>
        <v>-</v>
      </c>
      <c r="BU335" s="1056" t="str">
        <f t="shared" si="421"/>
        <v>-</v>
      </c>
      <c r="BV335" s="1055" t="str">
        <f t="shared" si="421"/>
        <v>-</v>
      </c>
      <c r="BW335" s="1055" t="str">
        <f t="shared" si="421"/>
        <v>-</v>
      </c>
      <c r="BX335" s="1055" t="str">
        <f t="shared" si="421"/>
        <v>-</v>
      </c>
      <c r="BY335" s="1055" t="str">
        <f t="shared" si="421"/>
        <v>-</v>
      </c>
      <c r="BZ335" s="1056" t="str">
        <f t="shared" si="421"/>
        <v>-</v>
      </c>
    </row>
    <row r="336" spans="3:78" x14ac:dyDescent="0.3">
      <c r="C336" s="126"/>
      <c r="D336" s="126">
        <f>D333+1</f>
        <v>90</v>
      </c>
      <c r="E336" s="553" t="s">
        <v>45</v>
      </c>
      <c r="F336" s="581" t="s">
        <v>28</v>
      </c>
      <c r="G336" s="581"/>
      <c r="H336" s="581"/>
      <c r="I336" s="573" t="s">
        <v>319</v>
      </c>
      <c r="J336" s="573" t="s">
        <v>348</v>
      </c>
      <c r="K336" s="1969"/>
      <c r="L336" s="1970"/>
      <c r="M336" s="1970"/>
      <c r="N336" s="1971"/>
      <c r="O336" s="1970"/>
      <c r="P336" s="1970"/>
      <c r="Q336" s="1970"/>
      <c r="R336" s="1972"/>
      <c r="S336" s="1979"/>
      <c r="T336" s="1972"/>
      <c r="U336" s="1972"/>
      <c r="V336" s="1972"/>
      <c r="W336" s="575"/>
      <c r="X336" s="1238"/>
      <c r="Y336" s="575"/>
      <c r="Z336" s="575"/>
      <c r="AA336" s="575"/>
      <c r="AB336" s="1142"/>
      <c r="AC336" s="575"/>
      <c r="AD336" s="575"/>
      <c r="AE336" s="575"/>
      <c r="AF336" s="575"/>
      <c r="AG336" s="577"/>
      <c r="AH336" s="576"/>
      <c r="AI336" s="575"/>
      <c r="AJ336" s="575"/>
      <c r="AK336" s="575"/>
      <c r="AL336" s="577"/>
      <c r="AN336" s="1052"/>
      <c r="AP336" s="2297" t="str">
        <f t="shared" si="405"/>
        <v>Price</v>
      </c>
      <c r="AQ336" s="2298" t="str">
        <f t="shared" si="405"/>
        <v>[Service]</v>
      </c>
      <c r="AR336" s="1719" t="str">
        <f t="shared" si="406"/>
        <v>[Price]</v>
      </c>
      <c r="AS336" s="2299" t="str">
        <f t="shared" si="403"/>
        <v>-</v>
      </c>
      <c r="AT336" s="1728" t="str">
        <f t="shared" si="403"/>
        <v>-</v>
      </c>
      <c r="AU336" s="1728" t="str">
        <f t="shared" si="403"/>
        <v>-</v>
      </c>
      <c r="AV336" s="2300" t="str">
        <f t="shared" si="403"/>
        <v>-</v>
      </c>
      <c r="AW336" s="1728" t="str">
        <f t="shared" si="403"/>
        <v>-</v>
      </c>
      <c r="AX336" s="2301" t="str">
        <f t="shared" si="403"/>
        <v>-</v>
      </c>
      <c r="AY336" s="1728" t="str">
        <f t="shared" si="403"/>
        <v>-</v>
      </c>
      <c r="AZ336" s="1728" t="str">
        <f t="shared" si="403"/>
        <v>-</v>
      </c>
      <c r="BA336" s="1728" t="str">
        <f t="shared" si="403"/>
        <v>-</v>
      </c>
      <c r="BB336" s="1729" t="str">
        <f t="shared" si="403"/>
        <v>-</v>
      </c>
      <c r="BC336" s="1728" t="str">
        <f t="shared" si="403"/>
        <v>-</v>
      </c>
      <c r="BD336" s="1728" t="str">
        <f t="shared" si="403"/>
        <v>-</v>
      </c>
      <c r="BE336" s="1728" t="str">
        <f t="shared" si="403"/>
        <v>-</v>
      </c>
      <c r="BF336" s="1728" t="str">
        <f t="shared" si="403"/>
        <v>-</v>
      </c>
      <c r="BG336" s="1729" t="str">
        <f t="shared" si="403"/>
        <v>-</v>
      </c>
      <c r="BH336" s="1048"/>
      <c r="BI336" s="2297" t="str">
        <f t="shared" si="336"/>
        <v>Price</v>
      </c>
      <c r="BJ336" s="2298" t="str">
        <f t="shared" si="336"/>
        <v>[Service]</v>
      </c>
      <c r="BK336" s="1719" t="str">
        <f t="shared" si="336"/>
        <v>[Price]</v>
      </c>
      <c r="BL336" s="2299" t="str">
        <f t="shared" ref="BL336:BZ336" si="422">IF(OR(X336="",X336=0),"-",IFERROR((X336/W336-1)*(W338/W$13),"-"))</f>
        <v>-</v>
      </c>
      <c r="BM336" s="1053" t="str">
        <f t="shared" si="422"/>
        <v>-</v>
      </c>
      <c r="BN336" s="1053" t="str">
        <f t="shared" si="422"/>
        <v>-</v>
      </c>
      <c r="BO336" s="2302" t="str">
        <f t="shared" si="422"/>
        <v>-</v>
      </c>
      <c r="BP336" s="1053" t="str">
        <f t="shared" si="422"/>
        <v>-</v>
      </c>
      <c r="BQ336" s="2303" t="str">
        <f t="shared" si="422"/>
        <v>-</v>
      </c>
      <c r="BR336" s="1053" t="str">
        <f t="shared" si="422"/>
        <v>-</v>
      </c>
      <c r="BS336" s="1053" t="str">
        <f t="shared" si="422"/>
        <v>-</v>
      </c>
      <c r="BT336" s="1053" t="str">
        <f t="shared" si="422"/>
        <v>-</v>
      </c>
      <c r="BU336" s="1054" t="str">
        <f t="shared" si="422"/>
        <v>-</v>
      </c>
      <c r="BV336" s="1053" t="str">
        <f t="shared" si="422"/>
        <v>-</v>
      </c>
      <c r="BW336" s="1053" t="str">
        <f t="shared" si="422"/>
        <v>-</v>
      </c>
      <c r="BX336" s="1053" t="str">
        <f t="shared" si="422"/>
        <v>-</v>
      </c>
      <c r="BY336" s="1053" t="str">
        <f t="shared" si="422"/>
        <v>-</v>
      </c>
      <c r="BZ336" s="1054" t="str">
        <f t="shared" si="422"/>
        <v>-</v>
      </c>
    </row>
    <row r="337" spans="3:78" x14ac:dyDescent="0.3">
      <c r="C337" s="126"/>
      <c r="D337" s="126"/>
      <c r="E337" s="558" t="s">
        <v>46</v>
      </c>
      <c r="F337" s="1722" t="str">
        <f>+F336</f>
        <v>[Service]</v>
      </c>
      <c r="G337" s="1724">
        <f>+G336</f>
        <v>0</v>
      </c>
      <c r="H337" s="1724">
        <f>+H336</f>
        <v>0</v>
      </c>
      <c r="I337" s="1725" t="str">
        <f>+I336</f>
        <v>[Price]</v>
      </c>
      <c r="J337" s="574" t="s">
        <v>323</v>
      </c>
      <c r="K337" s="1973"/>
      <c r="L337" s="1974"/>
      <c r="M337" s="1974"/>
      <c r="N337" s="1975"/>
      <c r="O337" s="1974"/>
      <c r="P337" s="1974"/>
      <c r="Q337" s="1974"/>
      <c r="R337" s="1976"/>
      <c r="S337" s="1980"/>
      <c r="T337" s="1976"/>
      <c r="U337" s="1976"/>
      <c r="V337" s="1976"/>
      <c r="W337" s="578"/>
      <c r="X337" s="1239"/>
      <c r="Y337" s="578"/>
      <c r="Z337" s="578"/>
      <c r="AA337" s="578"/>
      <c r="AB337" s="1143"/>
      <c r="AC337" s="578"/>
      <c r="AD337" s="578"/>
      <c r="AE337" s="578"/>
      <c r="AF337" s="578"/>
      <c r="AG337" s="580"/>
      <c r="AH337" s="579"/>
      <c r="AI337" s="578"/>
      <c r="AJ337" s="578"/>
      <c r="AK337" s="578"/>
      <c r="AL337" s="580"/>
      <c r="AN337" s="991"/>
      <c r="AP337" s="2285" t="str">
        <f t="shared" si="405"/>
        <v>Qty</v>
      </c>
      <c r="AQ337" s="2286" t="str">
        <f t="shared" si="405"/>
        <v>[Service]</v>
      </c>
      <c r="AR337" s="2287" t="str">
        <f t="shared" si="406"/>
        <v>[Price]</v>
      </c>
      <c r="AS337" s="2288" t="str">
        <f t="shared" si="403"/>
        <v>-</v>
      </c>
      <c r="AT337" s="1720" t="str">
        <f t="shared" si="403"/>
        <v>-</v>
      </c>
      <c r="AU337" s="1720" t="str">
        <f t="shared" si="403"/>
        <v>-</v>
      </c>
      <c r="AV337" s="2289" t="str">
        <f t="shared" si="403"/>
        <v>-</v>
      </c>
      <c r="AW337" s="1720" t="str">
        <f t="shared" si="403"/>
        <v>-</v>
      </c>
      <c r="AX337" s="2290" t="str">
        <f t="shared" si="403"/>
        <v>-</v>
      </c>
      <c r="AY337" s="1720" t="str">
        <f t="shared" si="403"/>
        <v>-</v>
      </c>
      <c r="AZ337" s="1720" t="str">
        <f t="shared" si="403"/>
        <v>-</v>
      </c>
      <c r="BA337" s="1720" t="str">
        <f t="shared" si="403"/>
        <v>-</v>
      </c>
      <c r="BB337" s="1721" t="str">
        <f t="shared" si="403"/>
        <v>-</v>
      </c>
      <c r="BC337" s="1720" t="str">
        <f t="shared" si="403"/>
        <v>-</v>
      </c>
      <c r="BD337" s="1720" t="str">
        <f t="shared" si="403"/>
        <v>-</v>
      </c>
      <c r="BE337" s="1720" t="str">
        <f t="shared" si="403"/>
        <v>-</v>
      </c>
      <c r="BF337" s="1720" t="str">
        <f t="shared" si="403"/>
        <v>-</v>
      </c>
      <c r="BG337" s="1721" t="str">
        <f t="shared" si="403"/>
        <v>-</v>
      </c>
      <c r="BH337" s="1048"/>
      <c r="BI337" s="2285" t="str">
        <f t="shared" si="336"/>
        <v>Qty</v>
      </c>
      <c r="BJ337" s="2286" t="str">
        <f t="shared" si="336"/>
        <v>[Service]</v>
      </c>
      <c r="BK337" s="2287" t="str">
        <f t="shared" si="336"/>
        <v>[Price]</v>
      </c>
      <c r="BL337" s="2288" t="str">
        <f t="shared" ref="BL337:BZ337" si="423">IF(OR(X337="",X337=0),"-",IFERROR((X337/W337-1)*(W338/W$13),"-"))</f>
        <v>-</v>
      </c>
      <c r="BM337" s="1720" t="str">
        <f t="shared" si="423"/>
        <v>-</v>
      </c>
      <c r="BN337" s="1720" t="str">
        <f t="shared" si="423"/>
        <v>-</v>
      </c>
      <c r="BO337" s="2289" t="str">
        <f t="shared" si="423"/>
        <v>-</v>
      </c>
      <c r="BP337" s="1720" t="str">
        <f t="shared" si="423"/>
        <v>-</v>
      </c>
      <c r="BQ337" s="2290" t="str">
        <f t="shared" si="423"/>
        <v>-</v>
      </c>
      <c r="BR337" s="1720" t="str">
        <f t="shared" si="423"/>
        <v>-</v>
      </c>
      <c r="BS337" s="1720" t="str">
        <f t="shared" si="423"/>
        <v>-</v>
      </c>
      <c r="BT337" s="1720" t="str">
        <f t="shared" si="423"/>
        <v>-</v>
      </c>
      <c r="BU337" s="1721" t="str">
        <f t="shared" si="423"/>
        <v>-</v>
      </c>
      <c r="BV337" s="1720" t="str">
        <f t="shared" si="423"/>
        <v>-</v>
      </c>
      <c r="BW337" s="1720" t="str">
        <f t="shared" si="423"/>
        <v>-</v>
      </c>
      <c r="BX337" s="1720" t="str">
        <f t="shared" si="423"/>
        <v>-</v>
      </c>
      <c r="BY337" s="1720" t="str">
        <f t="shared" si="423"/>
        <v>-</v>
      </c>
      <c r="BZ337" s="1721" t="str">
        <f t="shared" si="423"/>
        <v>-</v>
      </c>
    </row>
    <row r="338" spans="3:78" ht="12.5" thickBot="1" x14ac:dyDescent="0.35">
      <c r="C338" s="126"/>
      <c r="D338" s="126"/>
      <c r="E338" s="559" t="s">
        <v>47</v>
      </c>
      <c r="F338" s="1723" t="str">
        <f>+F336</f>
        <v>[Service]</v>
      </c>
      <c r="G338" s="1726">
        <f>+G336</f>
        <v>0</v>
      </c>
      <c r="H338" s="1726">
        <f>+H336</f>
        <v>0</v>
      </c>
      <c r="I338" s="1727" t="str">
        <f>+I336</f>
        <v>[Price]</v>
      </c>
      <c r="J338" s="556" t="s">
        <v>347</v>
      </c>
      <c r="K338" s="1977"/>
      <c r="L338" s="1206"/>
      <c r="M338" s="1206"/>
      <c r="N338" s="1978"/>
      <c r="O338" s="1206"/>
      <c r="P338" s="1206"/>
      <c r="Q338" s="1206"/>
      <c r="R338" s="1206"/>
      <c r="S338" s="1978"/>
      <c r="T338" s="1206"/>
      <c r="U338" s="1206"/>
      <c r="V338" s="1206"/>
      <c r="W338" s="1731">
        <f t="shared" ref="W338:AG338" si="424">W336*W337/10^6</f>
        <v>0</v>
      </c>
      <c r="X338" s="1730">
        <f t="shared" si="424"/>
        <v>0</v>
      </c>
      <c r="Y338" s="1731">
        <f t="shared" si="424"/>
        <v>0</v>
      </c>
      <c r="Z338" s="1731">
        <f t="shared" si="424"/>
        <v>0</v>
      </c>
      <c r="AA338" s="1731">
        <f t="shared" si="424"/>
        <v>0</v>
      </c>
      <c r="AB338" s="1733">
        <f t="shared" si="424"/>
        <v>0</v>
      </c>
      <c r="AC338" s="1731">
        <f t="shared" si="424"/>
        <v>0</v>
      </c>
      <c r="AD338" s="1731">
        <f t="shared" si="424"/>
        <v>0</v>
      </c>
      <c r="AE338" s="1731">
        <f t="shared" si="424"/>
        <v>0</v>
      </c>
      <c r="AF338" s="1731">
        <f t="shared" si="424"/>
        <v>0</v>
      </c>
      <c r="AG338" s="1733">
        <f t="shared" si="424"/>
        <v>0</v>
      </c>
      <c r="AH338" s="1732">
        <f>AH336*AH337/10^6</f>
        <v>0</v>
      </c>
      <c r="AI338" s="1731">
        <f>AI336*AI337/10^6</f>
        <v>0</v>
      </c>
      <c r="AJ338" s="1731">
        <f>AJ336*AJ337/10^6</f>
        <v>0</v>
      </c>
      <c r="AK338" s="1731">
        <f>AK336*AK337/10^6</f>
        <v>0</v>
      </c>
      <c r="AL338" s="1733">
        <f>AL336*AL337/10^6</f>
        <v>0</v>
      </c>
      <c r="AN338" s="991"/>
      <c r="AP338" s="2304" t="str">
        <f t="shared" si="405"/>
        <v>Rev</v>
      </c>
      <c r="AQ338" s="2305" t="str">
        <f t="shared" si="405"/>
        <v>[Service]</v>
      </c>
      <c r="AR338" s="2306" t="str">
        <f t="shared" si="406"/>
        <v>[Price]</v>
      </c>
      <c r="AS338" s="2307" t="str">
        <f t="shared" si="403"/>
        <v>-</v>
      </c>
      <c r="AT338" s="1055" t="str">
        <f t="shared" si="403"/>
        <v>-</v>
      </c>
      <c r="AU338" s="1055" t="str">
        <f t="shared" si="403"/>
        <v>-</v>
      </c>
      <c r="AV338" s="2308" t="str">
        <f t="shared" si="403"/>
        <v>-</v>
      </c>
      <c r="AW338" s="1055" t="str">
        <f t="shared" si="403"/>
        <v>-</v>
      </c>
      <c r="AX338" s="2309" t="str">
        <f t="shared" si="403"/>
        <v>-</v>
      </c>
      <c r="AY338" s="1055" t="str">
        <f t="shared" si="403"/>
        <v>-</v>
      </c>
      <c r="AZ338" s="1055" t="str">
        <f t="shared" si="403"/>
        <v>-</v>
      </c>
      <c r="BA338" s="1055" t="str">
        <f t="shared" si="403"/>
        <v>-</v>
      </c>
      <c r="BB338" s="1056" t="str">
        <f t="shared" si="403"/>
        <v>-</v>
      </c>
      <c r="BC338" s="1055" t="str">
        <f t="shared" si="403"/>
        <v>-</v>
      </c>
      <c r="BD338" s="1055" t="str">
        <f t="shared" si="403"/>
        <v>-</v>
      </c>
      <c r="BE338" s="1055" t="str">
        <f t="shared" si="403"/>
        <v>-</v>
      </c>
      <c r="BF338" s="1055" t="str">
        <f t="shared" si="403"/>
        <v>-</v>
      </c>
      <c r="BG338" s="1056" t="str">
        <f t="shared" si="403"/>
        <v>-</v>
      </c>
      <c r="BH338" s="1048"/>
      <c r="BI338" s="2304" t="str">
        <f t="shared" si="336"/>
        <v>Rev</v>
      </c>
      <c r="BJ338" s="2305" t="str">
        <f t="shared" si="336"/>
        <v>[Service]</v>
      </c>
      <c r="BK338" s="2306" t="str">
        <f t="shared" si="336"/>
        <v>[Price]</v>
      </c>
      <c r="BL338" s="2307" t="str">
        <f t="shared" ref="BL338:BZ338" si="425">IF(OR(X338="",X338=0),"-",IFERROR((X338/W338-1)*(W338/W$13),"-"))</f>
        <v>-</v>
      </c>
      <c r="BM338" s="1055" t="str">
        <f t="shared" si="425"/>
        <v>-</v>
      </c>
      <c r="BN338" s="1055" t="str">
        <f t="shared" si="425"/>
        <v>-</v>
      </c>
      <c r="BO338" s="2308" t="str">
        <f t="shared" si="425"/>
        <v>-</v>
      </c>
      <c r="BP338" s="1055" t="str">
        <f t="shared" si="425"/>
        <v>-</v>
      </c>
      <c r="BQ338" s="2309" t="str">
        <f t="shared" si="425"/>
        <v>-</v>
      </c>
      <c r="BR338" s="1055" t="str">
        <f t="shared" si="425"/>
        <v>-</v>
      </c>
      <c r="BS338" s="1055" t="str">
        <f t="shared" si="425"/>
        <v>-</v>
      </c>
      <c r="BT338" s="1055" t="str">
        <f t="shared" si="425"/>
        <v>-</v>
      </c>
      <c r="BU338" s="1056" t="str">
        <f t="shared" si="425"/>
        <v>-</v>
      </c>
      <c r="BV338" s="1055" t="str">
        <f t="shared" si="425"/>
        <v>-</v>
      </c>
      <c r="BW338" s="1055" t="str">
        <f t="shared" si="425"/>
        <v>-</v>
      </c>
      <c r="BX338" s="1055" t="str">
        <f t="shared" si="425"/>
        <v>-</v>
      </c>
      <c r="BY338" s="1055" t="str">
        <f t="shared" si="425"/>
        <v>-</v>
      </c>
      <c r="BZ338" s="1056" t="str">
        <f t="shared" si="425"/>
        <v>-</v>
      </c>
    </row>
    <row r="339" spans="3:78" x14ac:dyDescent="0.3">
      <c r="C339" s="126"/>
      <c r="D339" s="126">
        <f>D336+1</f>
        <v>91</v>
      </c>
      <c r="E339" s="553" t="s">
        <v>45</v>
      </c>
      <c r="F339" s="581" t="s">
        <v>28</v>
      </c>
      <c r="G339" s="581"/>
      <c r="H339" s="581"/>
      <c r="I339" s="573" t="s">
        <v>319</v>
      </c>
      <c r="J339" s="573" t="s">
        <v>348</v>
      </c>
      <c r="K339" s="1969"/>
      <c r="L339" s="1970"/>
      <c r="M339" s="1970"/>
      <c r="N339" s="1971"/>
      <c r="O339" s="1970"/>
      <c r="P339" s="1970"/>
      <c r="Q339" s="1970"/>
      <c r="R339" s="1972"/>
      <c r="S339" s="1979"/>
      <c r="T339" s="1972"/>
      <c r="U339" s="1972"/>
      <c r="V339" s="1972"/>
      <c r="W339" s="575"/>
      <c r="X339" s="1238"/>
      <c r="Y339" s="575"/>
      <c r="Z339" s="575"/>
      <c r="AA339" s="575"/>
      <c r="AB339" s="1142"/>
      <c r="AC339" s="575"/>
      <c r="AD339" s="575"/>
      <c r="AE339" s="575"/>
      <c r="AF339" s="575"/>
      <c r="AG339" s="577"/>
      <c r="AH339" s="576"/>
      <c r="AI339" s="575"/>
      <c r="AJ339" s="575"/>
      <c r="AK339" s="575"/>
      <c r="AL339" s="577"/>
      <c r="AN339" s="1052"/>
      <c r="AP339" s="2297" t="str">
        <f t="shared" si="405"/>
        <v>Price</v>
      </c>
      <c r="AQ339" s="2298" t="str">
        <f t="shared" si="405"/>
        <v>[Service]</v>
      </c>
      <c r="AR339" s="1719" t="str">
        <f t="shared" si="406"/>
        <v>[Price]</v>
      </c>
      <c r="AS339" s="2299" t="str">
        <f t="shared" si="403"/>
        <v>-</v>
      </c>
      <c r="AT339" s="1728" t="str">
        <f t="shared" si="403"/>
        <v>-</v>
      </c>
      <c r="AU339" s="1728" t="str">
        <f t="shared" si="403"/>
        <v>-</v>
      </c>
      <c r="AV339" s="2300" t="str">
        <f t="shared" si="403"/>
        <v>-</v>
      </c>
      <c r="AW339" s="1728" t="str">
        <f t="shared" si="403"/>
        <v>-</v>
      </c>
      <c r="AX339" s="2301" t="str">
        <f t="shared" si="403"/>
        <v>-</v>
      </c>
      <c r="AY339" s="1728" t="str">
        <f t="shared" si="403"/>
        <v>-</v>
      </c>
      <c r="AZ339" s="1728" t="str">
        <f t="shared" si="403"/>
        <v>-</v>
      </c>
      <c r="BA339" s="1728" t="str">
        <f t="shared" si="403"/>
        <v>-</v>
      </c>
      <c r="BB339" s="1729" t="str">
        <f t="shared" si="403"/>
        <v>-</v>
      </c>
      <c r="BC339" s="1728" t="str">
        <f t="shared" si="403"/>
        <v>-</v>
      </c>
      <c r="BD339" s="1728" t="str">
        <f t="shared" si="403"/>
        <v>-</v>
      </c>
      <c r="BE339" s="1728" t="str">
        <f t="shared" si="403"/>
        <v>-</v>
      </c>
      <c r="BF339" s="1728" t="str">
        <f t="shared" si="403"/>
        <v>-</v>
      </c>
      <c r="BG339" s="1729" t="str">
        <f t="shared" si="403"/>
        <v>-</v>
      </c>
      <c r="BH339" s="1048"/>
      <c r="BI339" s="2297" t="str">
        <f t="shared" si="336"/>
        <v>Price</v>
      </c>
      <c r="BJ339" s="2298" t="str">
        <f t="shared" si="336"/>
        <v>[Service]</v>
      </c>
      <c r="BK339" s="1719" t="str">
        <f t="shared" si="336"/>
        <v>[Price]</v>
      </c>
      <c r="BL339" s="2299" t="str">
        <f t="shared" ref="BL339:BZ339" si="426">IF(OR(X339="",X339=0),"-",IFERROR((X339/W339-1)*(W341/W$13),"-"))</f>
        <v>-</v>
      </c>
      <c r="BM339" s="1053" t="str">
        <f t="shared" si="426"/>
        <v>-</v>
      </c>
      <c r="BN339" s="1053" t="str">
        <f t="shared" si="426"/>
        <v>-</v>
      </c>
      <c r="BO339" s="2302" t="str">
        <f t="shared" si="426"/>
        <v>-</v>
      </c>
      <c r="BP339" s="1053" t="str">
        <f t="shared" si="426"/>
        <v>-</v>
      </c>
      <c r="BQ339" s="2303" t="str">
        <f t="shared" si="426"/>
        <v>-</v>
      </c>
      <c r="BR339" s="1053" t="str">
        <f t="shared" si="426"/>
        <v>-</v>
      </c>
      <c r="BS339" s="1053" t="str">
        <f t="shared" si="426"/>
        <v>-</v>
      </c>
      <c r="BT339" s="1053" t="str">
        <f t="shared" si="426"/>
        <v>-</v>
      </c>
      <c r="BU339" s="1054" t="str">
        <f t="shared" si="426"/>
        <v>-</v>
      </c>
      <c r="BV339" s="1053" t="str">
        <f t="shared" si="426"/>
        <v>-</v>
      </c>
      <c r="BW339" s="1053" t="str">
        <f t="shared" si="426"/>
        <v>-</v>
      </c>
      <c r="BX339" s="1053" t="str">
        <f t="shared" si="426"/>
        <v>-</v>
      </c>
      <c r="BY339" s="1053" t="str">
        <f t="shared" si="426"/>
        <v>-</v>
      </c>
      <c r="BZ339" s="1054" t="str">
        <f t="shared" si="426"/>
        <v>-</v>
      </c>
    </row>
    <row r="340" spans="3:78" x14ac:dyDescent="0.3">
      <c r="C340" s="126"/>
      <c r="D340" s="126"/>
      <c r="E340" s="558" t="s">
        <v>46</v>
      </c>
      <c r="F340" s="1722" t="str">
        <f>+F339</f>
        <v>[Service]</v>
      </c>
      <c r="G340" s="1724">
        <f>+G339</f>
        <v>0</v>
      </c>
      <c r="H340" s="1724">
        <f>+H339</f>
        <v>0</v>
      </c>
      <c r="I340" s="1725" t="str">
        <f>+I339</f>
        <v>[Price]</v>
      </c>
      <c r="J340" s="574" t="s">
        <v>323</v>
      </c>
      <c r="K340" s="1973"/>
      <c r="L340" s="1974"/>
      <c r="M340" s="1974"/>
      <c r="N340" s="1975"/>
      <c r="O340" s="1974"/>
      <c r="P340" s="1974"/>
      <c r="Q340" s="1974"/>
      <c r="R340" s="1976"/>
      <c r="S340" s="1980"/>
      <c r="T340" s="1976"/>
      <c r="U340" s="1976"/>
      <c r="V340" s="1976"/>
      <c r="W340" s="578"/>
      <c r="X340" s="1239"/>
      <c r="Y340" s="578"/>
      <c r="Z340" s="578"/>
      <c r="AA340" s="578"/>
      <c r="AB340" s="1143"/>
      <c r="AC340" s="578"/>
      <c r="AD340" s="578"/>
      <c r="AE340" s="578"/>
      <c r="AF340" s="578"/>
      <c r="AG340" s="580"/>
      <c r="AH340" s="579"/>
      <c r="AI340" s="578"/>
      <c r="AJ340" s="578"/>
      <c r="AK340" s="578"/>
      <c r="AL340" s="580"/>
      <c r="AN340" s="991"/>
      <c r="AP340" s="2285" t="str">
        <f t="shared" si="405"/>
        <v>Qty</v>
      </c>
      <c r="AQ340" s="2286" t="str">
        <f t="shared" si="405"/>
        <v>[Service]</v>
      </c>
      <c r="AR340" s="2287" t="str">
        <f t="shared" si="406"/>
        <v>[Price]</v>
      </c>
      <c r="AS340" s="2288" t="str">
        <f t="shared" si="403"/>
        <v>-</v>
      </c>
      <c r="AT340" s="1720" t="str">
        <f t="shared" si="403"/>
        <v>-</v>
      </c>
      <c r="AU340" s="1720" t="str">
        <f t="shared" si="403"/>
        <v>-</v>
      </c>
      <c r="AV340" s="2289" t="str">
        <f t="shared" si="403"/>
        <v>-</v>
      </c>
      <c r="AW340" s="1720" t="str">
        <f t="shared" si="403"/>
        <v>-</v>
      </c>
      <c r="AX340" s="2290" t="str">
        <f t="shared" si="403"/>
        <v>-</v>
      </c>
      <c r="AY340" s="1720" t="str">
        <f t="shared" si="403"/>
        <v>-</v>
      </c>
      <c r="AZ340" s="1720" t="str">
        <f t="shared" si="403"/>
        <v>-</v>
      </c>
      <c r="BA340" s="1720" t="str">
        <f t="shared" si="403"/>
        <v>-</v>
      </c>
      <c r="BB340" s="1721" t="str">
        <f t="shared" si="403"/>
        <v>-</v>
      </c>
      <c r="BC340" s="1720" t="str">
        <f t="shared" si="403"/>
        <v>-</v>
      </c>
      <c r="BD340" s="1720" t="str">
        <f t="shared" si="403"/>
        <v>-</v>
      </c>
      <c r="BE340" s="1720" t="str">
        <f t="shared" si="403"/>
        <v>-</v>
      </c>
      <c r="BF340" s="1720" t="str">
        <f t="shared" si="403"/>
        <v>-</v>
      </c>
      <c r="BG340" s="1721" t="str">
        <f t="shared" si="403"/>
        <v>-</v>
      </c>
      <c r="BH340" s="1048"/>
      <c r="BI340" s="2285" t="str">
        <f t="shared" ref="BI340:BK403" si="427">AP340</f>
        <v>Qty</v>
      </c>
      <c r="BJ340" s="2286" t="str">
        <f t="shared" si="427"/>
        <v>[Service]</v>
      </c>
      <c r="BK340" s="2287" t="str">
        <f t="shared" si="427"/>
        <v>[Price]</v>
      </c>
      <c r="BL340" s="2288" t="str">
        <f t="shared" ref="BL340:BZ340" si="428">IF(OR(X340="",X340=0),"-",IFERROR((X340/W340-1)*(W341/W$13),"-"))</f>
        <v>-</v>
      </c>
      <c r="BM340" s="1720" t="str">
        <f t="shared" si="428"/>
        <v>-</v>
      </c>
      <c r="BN340" s="1720" t="str">
        <f t="shared" si="428"/>
        <v>-</v>
      </c>
      <c r="BO340" s="2289" t="str">
        <f t="shared" si="428"/>
        <v>-</v>
      </c>
      <c r="BP340" s="1720" t="str">
        <f t="shared" si="428"/>
        <v>-</v>
      </c>
      <c r="BQ340" s="2290" t="str">
        <f t="shared" si="428"/>
        <v>-</v>
      </c>
      <c r="BR340" s="1720" t="str">
        <f t="shared" si="428"/>
        <v>-</v>
      </c>
      <c r="BS340" s="1720" t="str">
        <f t="shared" si="428"/>
        <v>-</v>
      </c>
      <c r="BT340" s="1720" t="str">
        <f t="shared" si="428"/>
        <v>-</v>
      </c>
      <c r="BU340" s="1721" t="str">
        <f t="shared" si="428"/>
        <v>-</v>
      </c>
      <c r="BV340" s="1720" t="str">
        <f t="shared" si="428"/>
        <v>-</v>
      </c>
      <c r="BW340" s="1720" t="str">
        <f t="shared" si="428"/>
        <v>-</v>
      </c>
      <c r="BX340" s="1720" t="str">
        <f t="shared" si="428"/>
        <v>-</v>
      </c>
      <c r="BY340" s="1720" t="str">
        <f t="shared" si="428"/>
        <v>-</v>
      </c>
      <c r="BZ340" s="1721" t="str">
        <f t="shared" si="428"/>
        <v>-</v>
      </c>
    </row>
    <row r="341" spans="3:78" ht="12.5" thickBot="1" x14ac:dyDescent="0.35">
      <c r="C341" s="126"/>
      <c r="D341" s="126"/>
      <c r="E341" s="559" t="s">
        <v>47</v>
      </c>
      <c r="F341" s="1723" t="str">
        <f>+F339</f>
        <v>[Service]</v>
      </c>
      <c r="G341" s="1726">
        <f>+G339</f>
        <v>0</v>
      </c>
      <c r="H341" s="1726">
        <f>+H339</f>
        <v>0</v>
      </c>
      <c r="I341" s="1727" t="str">
        <f>+I339</f>
        <v>[Price]</v>
      </c>
      <c r="J341" s="556" t="s">
        <v>347</v>
      </c>
      <c r="K341" s="1977"/>
      <c r="L341" s="1206"/>
      <c r="M341" s="1206"/>
      <c r="N341" s="1978"/>
      <c r="O341" s="1206"/>
      <c r="P341" s="1206"/>
      <c r="Q341" s="1206"/>
      <c r="R341" s="1206"/>
      <c r="S341" s="1978"/>
      <c r="T341" s="1206"/>
      <c r="U341" s="1206"/>
      <c r="V341" s="1206"/>
      <c r="W341" s="1731">
        <f t="shared" ref="W341:AG341" si="429">W339*W340/10^6</f>
        <v>0</v>
      </c>
      <c r="X341" s="1730">
        <f t="shared" si="429"/>
        <v>0</v>
      </c>
      <c r="Y341" s="1731">
        <f t="shared" si="429"/>
        <v>0</v>
      </c>
      <c r="Z341" s="1731">
        <f t="shared" si="429"/>
        <v>0</v>
      </c>
      <c r="AA341" s="1731">
        <f t="shared" si="429"/>
        <v>0</v>
      </c>
      <c r="AB341" s="1733">
        <f t="shared" si="429"/>
        <v>0</v>
      </c>
      <c r="AC341" s="1731">
        <f t="shared" si="429"/>
        <v>0</v>
      </c>
      <c r="AD341" s="1731">
        <f t="shared" si="429"/>
        <v>0</v>
      </c>
      <c r="AE341" s="1731">
        <f t="shared" si="429"/>
        <v>0</v>
      </c>
      <c r="AF341" s="1731">
        <f t="shared" si="429"/>
        <v>0</v>
      </c>
      <c r="AG341" s="1733">
        <f t="shared" si="429"/>
        <v>0</v>
      </c>
      <c r="AH341" s="1732">
        <f>AH339*AH340/10^6</f>
        <v>0</v>
      </c>
      <c r="AI341" s="1731">
        <f>AI339*AI340/10^6</f>
        <v>0</v>
      </c>
      <c r="AJ341" s="1731">
        <f>AJ339*AJ340/10^6</f>
        <v>0</v>
      </c>
      <c r="AK341" s="1731">
        <f>AK339*AK340/10^6</f>
        <v>0</v>
      </c>
      <c r="AL341" s="1733">
        <f>AL339*AL340/10^6</f>
        <v>0</v>
      </c>
      <c r="AN341" s="991"/>
      <c r="AP341" s="2304" t="str">
        <f t="shared" si="405"/>
        <v>Rev</v>
      </c>
      <c r="AQ341" s="2305" t="str">
        <f t="shared" si="405"/>
        <v>[Service]</v>
      </c>
      <c r="AR341" s="2306" t="str">
        <f t="shared" si="406"/>
        <v>[Price]</v>
      </c>
      <c r="AS341" s="2307" t="str">
        <f t="shared" ref="AS341:BG357" si="430">IF(OR(X341="",X341=0),"-",IFERROR(X341/W341-1,"-"))</f>
        <v>-</v>
      </c>
      <c r="AT341" s="1055" t="str">
        <f t="shared" si="430"/>
        <v>-</v>
      </c>
      <c r="AU341" s="1055" t="str">
        <f t="shared" si="430"/>
        <v>-</v>
      </c>
      <c r="AV341" s="2308" t="str">
        <f t="shared" si="430"/>
        <v>-</v>
      </c>
      <c r="AW341" s="1055" t="str">
        <f t="shared" si="430"/>
        <v>-</v>
      </c>
      <c r="AX341" s="2309" t="str">
        <f t="shared" si="430"/>
        <v>-</v>
      </c>
      <c r="AY341" s="1055" t="str">
        <f t="shared" si="430"/>
        <v>-</v>
      </c>
      <c r="AZ341" s="1055" t="str">
        <f t="shared" si="430"/>
        <v>-</v>
      </c>
      <c r="BA341" s="1055" t="str">
        <f t="shared" si="430"/>
        <v>-</v>
      </c>
      <c r="BB341" s="1056" t="str">
        <f t="shared" si="430"/>
        <v>-</v>
      </c>
      <c r="BC341" s="1055" t="str">
        <f t="shared" si="430"/>
        <v>-</v>
      </c>
      <c r="BD341" s="1055" t="str">
        <f t="shared" si="430"/>
        <v>-</v>
      </c>
      <c r="BE341" s="1055" t="str">
        <f t="shared" si="430"/>
        <v>-</v>
      </c>
      <c r="BF341" s="1055" t="str">
        <f t="shared" si="430"/>
        <v>-</v>
      </c>
      <c r="BG341" s="1056" t="str">
        <f t="shared" si="430"/>
        <v>-</v>
      </c>
      <c r="BH341" s="1048"/>
      <c r="BI341" s="2304" t="str">
        <f t="shared" si="427"/>
        <v>Rev</v>
      </c>
      <c r="BJ341" s="2305" t="str">
        <f t="shared" si="427"/>
        <v>[Service]</v>
      </c>
      <c r="BK341" s="2306" t="str">
        <f t="shared" si="427"/>
        <v>[Price]</v>
      </c>
      <c r="BL341" s="2307" t="str">
        <f t="shared" ref="BL341:BZ341" si="431">IF(OR(X341="",X341=0),"-",IFERROR((X341/W341-1)*(W341/W$13),"-"))</f>
        <v>-</v>
      </c>
      <c r="BM341" s="1055" t="str">
        <f t="shared" si="431"/>
        <v>-</v>
      </c>
      <c r="BN341" s="1055" t="str">
        <f t="shared" si="431"/>
        <v>-</v>
      </c>
      <c r="BO341" s="2308" t="str">
        <f t="shared" si="431"/>
        <v>-</v>
      </c>
      <c r="BP341" s="1055" t="str">
        <f t="shared" si="431"/>
        <v>-</v>
      </c>
      <c r="BQ341" s="2309" t="str">
        <f t="shared" si="431"/>
        <v>-</v>
      </c>
      <c r="BR341" s="1055" t="str">
        <f t="shared" si="431"/>
        <v>-</v>
      </c>
      <c r="BS341" s="1055" t="str">
        <f t="shared" si="431"/>
        <v>-</v>
      </c>
      <c r="BT341" s="1055" t="str">
        <f t="shared" si="431"/>
        <v>-</v>
      </c>
      <c r="BU341" s="1056" t="str">
        <f t="shared" si="431"/>
        <v>-</v>
      </c>
      <c r="BV341" s="1055" t="str">
        <f t="shared" si="431"/>
        <v>-</v>
      </c>
      <c r="BW341" s="1055" t="str">
        <f t="shared" si="431"/>
        <v>-</v>
      </c>
      <c r="BX341" s="1055" t="str">
        <f t="shared" si="431"/>
        <v>-</v>
      </c>
      <c r="BY341" s="1055" t="str">
        <f t="shared" si="431"/>
        <v>-</v>
      </c>
      <c r="BZ341" s="1056" t="str">
        <f t="shared" si="431"/>
        <v>-</v>
      </c>
    </row>
    <row r="342" spans="3:78" x14ac:dyDescent="0.3">
      <c r="C342" s="126"/>
      <c r="D342" s="126">
        <f>D339+1</f>
        <v>92</v>
      </c>
      <c r="E342" s="553" t="s">
        <v>45</v>
      </c>
      <c r="F342" s="581" t="s">
        <v>28</v>
      </c>
      <c r="G342" s="581"/>
      <c r="H342" s="581"/>
      <c r="I342" s="573" t="s">
        <v>319</v>
      </c>
      <c r="J342" s="573" t="s">
        <v>348</v>
      </c>
      <c r="K342" s="1969"/>
      <c r="L342" s="1970"/>
      <c r="M342" s="1970"/>
      <c r="N342" s="1971"/>
      <c r="O342" s="1970"/>
      <c r="P342" s="1970"/>
      <c r="Q342" s="1970"/>
      <c r="R342" s="1972"/>
      <c r="S342" s="1979"/>
      <c r="T342" s="1972"/>
      <c r="U342" s="1972"/>
      <c r="V342" s="1972"/>
      <c r="W342" s="575"/>
      <c r="X342" s="1238"/>
      <c r="Y342" s="575"/>
      <c r="Z342" s="575"/>
      <c r="AA342" s="575"/>
      <c r="AB342" s="1142"/>
      <c r="AC342" s="575"/>
      <c r="AD342" s="575"/>
      <c r="AE342" s="575"/>
      <c r="AF342" s="575"/>
      <c r="AG342" s="577"/>
      <c r="AH342" s="576"/>
      <c r="AI342" s="575"/>
      <c r="AJ342" s="575"/>
      <c r="AK342" s="575"/>
      <c r="AL342" s="577"/>
      <c r="AN342" s="1052"/>
      <c r="AP342" s="2297" t="str">
        <f t="shared" si="405"/>
        <v>Price</v>
      </c>
      <c r="AQ342" s="2298" t="str">
        <f t="shared" si="405"/>
        <v>[Service]</v>
      </c>
      <c r="AR342" s="1719" t="str">
        <f t="shared" si="406"/>
        <v>[Price]</v>
      </c>
      <c r="AS342" s="2299" t="str">
        <f t="shared" si="430"/>
        <v>-</v>
      </c>
      <c r="AT342" s="1728" t="str">
        <f t="shared" si="430"/>
        <v>-</v>
      </c>
      <c r="AU342" s="1728" t="str">
        <f t="shared" si="430"/>
        <v>-</v>
      </c>
      <c r="AV342" s="2300" t="str">
        <f t="shared" si="430"/>
        <v>-</v>
      </c>
      <c r="AW342" s="1728" t="str">
        <f t="shared" si="430"/>
        <v>-</v>
      </c>
      <c r="AX342" s="2301" t="str">
        <f t="shared" si="430"/>
        <v>-</v>
      </c>
      <c r="AY342" s="1728" t="str">
        <f t="shared" si="430"/>
        <v>-</v>
      </c>
      <c r="AZ342" s="1728" t="str">
        <f t="shared" si="430"/>
        <v>-</v>
      </c>
      <c r="BA342" s="1728" t="str">
        <f t="shared" si="430"/>
        <v>-</v>
      </c>
      <c r="BB342" s="1729" t="str">
        <f t="shared" si="430"/>
        <v>-</v>
      </c>
      <c r="BC342" s="1728" t="str">
        <f t="shared" si="430"/>
        <v>-</v>
      </c>
      <c r="BD342" s="1728" t="str">
        <f t="shared" si="430"/>
        <v>-</v>
      </c>
      <c r="BE342" s="1728" t="str">
        <f t="shared" si="430"/>
        <v>-</v>
      </c>
      <c r="BF342" s="1728" t="str">
        <f t="shared" si="430"/>
        <v>-</v>
      </c>
      <c r="BG342" s="1729" t="str">
        <f t="shared" si="430"/>
        <v>-</v>
      </c>
      <c r="BH342" s="1048"/>
      <c r="BI342" s="2297" t="str">
        <f t="shared" si="427"/>
        <v>Price</v>
      </c>
      <c r="BJ342" s="2298" t="str">
        <f t="shared" si="427"/>
        <v>[Service]</v>
      </c>
      <c r="BK342" s="1719" t="str">
        <f t="shared" si="427"/>
        <v>[Price]</v>
      </c>
      <c r="BL342" s="2299" t="str">
        <f t="shared" ref="BL342:BZ342" si="432">IF(OR(X342="",X342=0),"-",IFERROR((X342/W342-1)*(W344/W$13),"-"))</f>
        <v>-</v>
      </c>
      <c r="BM342" s="1053" t="str">
        <f t="shared" si="432"/>
        <v>-</v>
      </c>
      <c r="BN342" s="1053" t="str">
        <f t="shared" si="432"/>
        <v>-</v>
      </c>
      <c r="BO342" s="2302" t="str">
        <f t="shared" si="432"/>
        <v>-</v>
      </c>
      <c r="BP342" s="1053" t="str">
        <f t="shared" si="432"/>
        <v>-</v>
      </c>
      <c r="BQ342" s="2303" t="str">
        <f t="shared" si="432"/>
        <v>-</v>
      </c>
      <c r="BR342" s="1053" t="str">
        <f t="shared" si="432"/>
        <v>-</v>
      </c>
      <c r="BS342" s="1053" t="str">
        <f t="shared" si="432"/>
        <v>-</v>
      </c>
      <c r="BT342" s="1053" t="str">
        <f t="shared" si="432"/>
        <v>-</v>
      </c>
      <c r="BU342" s="1054" t="str">
        <f t="shared" si="432"/>
        <v>-</v>
      </c>
      <c r="BV342" s="1053" t="str">
        <f t="shared" si="432"/>
        <v>-</v>
      </c>
      <c r="BW342" s="1053" t="str">
        <f t="shared" si="432"/>
        <v>-</v>
      </c>
      <c r="BX342" s="1053" t="str">
        <f t="shared" si="432"/>
        <v>-</v>
      </c>
      <c r="BY342" s="1053" t="str">
        <f t="shared" si="432"/>
        <v>-</v>
      </c>
      <c r="BZ342" s="1054" t="str">
        <f t="shared" si="432"/>
        <v>-</v>
      </c>
    </row>
    <row r="343" spans="3:78" x14ac:dyDescent="0.3">
      <c r="C343" s="126"/>
      <c r="D343" s="126"/>
      <c r="E343" s="558" t="s">
        <v>46</v>
      </c>
      <c r="F343" s="1722" t="str">
        <f>+F342</f>
        <v>[Service]</v>
      </c>
      <c r="G343" s="1724">
        <f>+G342</f>
        <v>0</v>
      </c>
      <c r="H343" s="1724">
        <f>+H342</f>
        <v>0</v>
      </c>
      <c r="I343" s="1725" t="str">
        <f>+I342</f>
        <v>[Price]</v>
      </c>
      <c r="J343" s="574" t="s">
        <v>323</v>
      </c>
      <c r="K343" s="1973"/>
      <c r="L343" s="1974"/>
      <c r="M343" s="1974"/>
      <c r="N343" s="1975"/>
      <c r="O343" s="1974"/>
      <c r="P343" s="1974"/>
      <c r="Q343" s="1974"/>
      <c r="R343" s="1976"/>
      <c r="S343" s="1980"/>
      <c r="T343" s="1976"/>
      <c r="U343" s="1976"/>
      <c r="V343" s="1976"/>
      <c r="W343" s="578"/>
      <c r="X343" s="1239"/>
      <c r="Y343" s="578"/>
      <c r="Z343" s="578"/>
      <c r="AA343" s="578"/>
      <c r="AB343" s="1143"/>
      <c r="AC343" s="578"/>
      <c r="AD343" s="578"/>
      <c r="AE343" s="578"/>
      <c r="AF343" s="578"/>
      <c r="AG343" s="580"/>
      <c r="AH343" s="579"/>
      <c r="AI343" s="578"/>
      <c r="AJ343" s="578"/>
      <c r="AK343" s="578"/>
      <c r="AL343" s="580"/>
      <c r="AN343" s="991"/>
      <c r="AP343" s="2285" t="str">
        <f t="shared" si="405"/>
        <v>Qty</v>
      </c>
      <c r="AQ343" s="2286" t="str">
        <f t="shared" si="405"/>
        <v>[Service]</v>
      </c>
      <c r="AR343" s="2287" t="str">
        <f t="shared" si="406"/>
        <v>[Price]</v>
      </c>
      <c r="AS343" s="2288" t="str">
        <f t="shared" si="430"/>
        <v>-</v>
      </c>
      <c r="AT343" s="1720" t="str">
        <f t="shared" si="430"/>
        <v>-</v>
      </c>
      <c r="AU343" s="1720" t="str">
        <f t="shared" si="430"/>
        <v>-</v>
      </c>
      <c r="AV343" s="2289" t="str">
        <f t="shared" si="430"/>
        <v>-</v>
      </c>
      <c r="AW343" s="1720" t="str">
        <f t="shared" si="430"/>
        <v>-</v>
      </c>
      <c r="AX343" s="2290" t="str">
        <f t="shared" si="430"/>
        <v>-</v>
      </c>
      <c r="AY343" s="1720" t="str">
        <f t="shared" si="430"/>
        <v>-</v>
      </c>
      <c r="AZ343" s="1720" t="str">
        <f t="shared" si="430"/>
        <v>-</v>
      </c>
      <c r="BA343" s="1720" t="str">
        <f t="shared" si="430"/>
        <v>-</v>
      </c>
      <c r="BB343" s="1721" t="str">
        <f t="shared" si="430"/>
        <v>-</v>
      </c>
      <c r="BC343" s="1720" t="str">
        <f t="shared" si="430"/>
        <v>-</v>
      </c>
      <c r="BD343" s="1720" t="str">
        <f t="shared" si="430"/>
        <v>-</v>
      </c>
      <c r="BE343" s="1720" t="str">
        <f t="shared" si="430"/>
        <v>-</v>
      </c>
      <c r="BF343" s="1720" t="str">
        <f t="shared" si="430"/>
        <v>-</v>
      </c>
      <c r="BG343" s="1721" t="str">
        <f t="shared" si="430"/>
        <v>-</v>
      </c>
      <c r="BH343" s="1048"/>
      <c r="BI343" s="2285" t="str">
        <f t="shared" si="427"/>
        <v>Qty</v>
      </c>
      <c r="BJ343" s="2286" t="str">
        <f t="shared" si="427"/>
        <v>[Service]</v>
      </c>
      <c r="BK343" s="2287" t="str">
        <f t="shared" si="427"/>
        <v>[Price]</v>
      </c>
      <c r="BL343" s="2288" t="str">
        <f t="shared" ref="BL343:BZ343" si="433">IF(OR(X343="",X343=0),"-",IFERROR((X343/W343-1)*(W344/W$13),"-"))</f>
        <v>-</v>
      </c>
      <c r="BM343" s="1720" t="str">
        <f t="shared" si="433"/>
        <v>-</v>
      </c>
      <c r="BN343" s="1720" t="str">
        <f t="shared" si="433"/>
        <v>-</v>
      </c>
      <c r="BO343" s="2289" t="str">
        <f t="shared" si="433"/>
        <v>-</v>
      </c>
      <c r="BP343" s="1720" t="str">
        <f t="shared" si="433"/>
        <v>-</v>
      </c>
      <c r="BQ343" s="2290" t="str">
        <f t="shared" si="433"/>
        <v>-</v>
      </c>
      <c r="BR343" s="1720" t="str">
        <f t="shared" si="433"/>
        <v>-</v>
      </c>
      <c r="BS343" s="1720" t="str">
        <f t="shared" si="433"/>
        <v>-</v>
      </c>
      <c r="BT343" s="1720" t="str">
        <f t="shared" si="433"/>
        <v>-</v>
      </c>
      <c r="BU343" s="1721" t="str">
        <f t="shared" si="433"/>
        <v>-</v>
      </c>
      <c r="BV343" s="1720" t="str">
        <f t="shared" si="433"/>
        <v>-</v>
      </c>
      <c r="BW343" s="1720" t="str">
        <f t="shared" si="433"/>
        <v>-</v>
      </c>
      <c r="BX343" s="1720" t="str">
        <f t="shared" si="433"/>
        <v>-</v>
      </c>
      <c r="BY343" s="1720" t="str">
        <f t="shared" si="433"/>
        <v>-</v>
      </c>
      <c r="BZ343" s="1721" t="str">
        <f t="shared" si="433"/>
        <v>-</v>
      </c>
    </row>
    <row r="344" spans="3:78" ht="12.5" thickBot="1" x14ac:dyDescent="0.35">
      <c r="C344" s="126"/>
      <c r="D344" s="126"/>
      <c r="E344" s="559" t="s">
        <v>47</v>
      </c>
      <c r="F344" s="1723" t="str">
        <f>+F342</f>
        <v>[Service]</v>
      </c>
      <c r="G344" s="1726">
        <f>+G342</f>
        <v>0</v>
      </c>
      <c r="H344" s="1726">
        <f>+H342</f>
        <v>0</v>
      </c>
      <c r="I344" s="1727" t="str">
        <f>+I342</f>
        <v>[Price]</v>
      </c>
      <c r="J344" s="556" t="s">
        <v>347</v>
      </c>
      <c r="K344" s="1977"/>
      <c r="L344" s="1206"/>
      <c r="M344" s="1206"/>
      <c r="N344" s="1978"/>
      <c r="O344" s="1206"/>
      <c r="P344" s="1206"/>
      <c r="Q344" s="1206"/>
      <c r="R344" s="1206"/>
      <c r="S344" s="1978"/>
      <c r="T344" s="1206"/>
      <c r="U344" s="1206"/>
      <c r="V344" s="1206"/>
      <c r="W344" s="1731">
        <f t="shared" ref="W344:AG344" si="434">W342*W343/10^6</f>
        <v>0</v>
      </c>
      <c r="X344" s="1730">
        <f t="shared" si="434"/>
        <v>0</v>
      </c>
      <c r="Y344" s="1731">
        <f t="shared" si="434"/>
        <v>0</v>
      </c>
      <c r="Z344" s="1731">
        <f t="shared" si="434"/>
        <v>0</v>
      </c>
      <c r="AA344" s="1731">
        <f t="shared" si="434"/>
        <v>0</v>
      </c>
      <c r="AB344" s="1733">
        <f t="shared" si="434"/>
        <v>0</v>
      </c>
      <c r="AC344" s="1731">
        <f t="shared" si="434"/>
        <v>0</v>
      </c>
      <c r="AD344" s="1731">
        <f t="shared" si="434"/>
        <v>0</v>
      </c>
      <c r="AE344" s="1731">
        <f t="shared" si="434"/>
        <v>0</v>
      </c>
      <c r="AF344" s="1731">
        <f t="shared" si="434"/>
        <v>0</v>
      </c>
      <c r="AG344" s="1733">
        <f t="shared" si="434"/>
        <v>0</v>
      </c>
      <c r="AH344" s="1732">
        <f>AH342*AH343/10^6</f>
        <v>0</v>
      </c>
      <c r="AI344" s="1731">
        <f>AI342*AI343/10^6</f>
        <v>0</v>
      </c>
      <c r="AJ344" s="1731">
        <f>AJ342*AJ343/10^6</f>
        <v>0</v>
      </c>
      <c r="AK344" s="1731">
        <f>AK342*AK343/10^6</f>
        <v>0</v>
      </c>
      <c r="AL344" s="1733">
        <f>AL342*AL343/10^6</f>
        <v>0</v>
      </c>
      <c r="AN344" s="991"/>
      <c r="AP344" s="2304" t="str">
        <f t="shared" si="405"/>
        <v>Rev</v>
      </c>
      <c r="AQ344" s="2305" t="str">
        <f t="shared" si="405"/>
        <v>[Service]</v>
      </c>
      <c r="AR344" s="2306" t="str">
        <f t="shared" si="406"/>
        <v>[Price]</v>
      </c>
      <c r="AS344" s="2307" t="str">
        <f t="shared" si="430"/>
        <v>-</v>
      </c>
      <c r="AT344" s="1055" t="str">
        <f t="shared" si="430"/>
        <v>-</v>
      </c>
      <c r="AU344" s="1055" t="str">
        <f t="shared" si="430"/>
        <v>-</v>
      </c>
      <c r="AV344" s="2308" t="str">
        <f t="shared" si="430"/>
        <v>-</v>
      </c>
      <c r="AW344" s="1055" t="str">
        <f t="shared" si="430"/>
        <v>-</v>
      </c>
      <c r="AX344" s="2309" t="str">
        <f t="shared" si="430"/>
        <v>-</v>
      </c>
      <c r="AY344" s="1055" t="str">
        <f t="shared" si="430"/>
        <v>-</v>
      </c>
      <c r="AZ344" s="1055" t="str">
        <f t="shared" si="430"/>
        <v>-</v>
      </c>
      <c r="BA344" s="1055" t="str">
        <f t="shared" si="430"/>
        <v>-</v>
      </c>
      <c r="BB344" s="1056" t="str">
        <f t="shared" si="430"/>
        <v>-</v>
      </c>
      <c r="BC344" s="1055" t="str">
        <f t="shared" si="430"/>
        <v>-</v>
      </c>
      <c r="BD344" s="1055" t="str">
        <f t="shared" si="430"/>
        <v>-</v>
      </c>
      <c r="BE344" s="1055" t="str">
        <f t="shared" si="430"/>
        <v>-</v>
      </c>
      <c r="BF344" s="1055" t="str">
        <f t="shared" si="430"/>
        <v>-</v>
      </c>
      <c r="BG344" s="1056" t="str">
        <f t="shared" si="430"/>
        <v>-</v>
      </c>
      <c r="BH344" s="1048"/>
      <c r="BI344" s="2304" t="str">
        <f t="shared" si="427"/>
        <v>Rev</v>
      </c>
      <c r="BJ344" s="2305" t="str">
        <f t="shared" si="427"/>
        <v>[Service]</v>
      </c>
      <c r="BK344" s="2306" t="str">
        <f t="shared" si="427"/>
        <v>[Price]</v>
      </c>
      <c r="BL344" s="2307" t="str">
        <f t="shared" ref="BL344:BZ344" si="435">IF(OR(X344="",X344=0),"-",IFERROR((X344/W344-1)*(W344/W$13),"-"))</f>
        <v>-</v>
      </c>
      <c r="BM344" s="1055" t="str">
        <f t="shared" si="435"/>
        <v>-</v>
      </c>
      <c r="BN344" s="1055" t="str">
        <f t="shared" si="435"/>
        <v>-</v>
      </c>
      <c r="BO344" s="2308" t="str">
        <f t="shared" si="435"/>
        <v>-</v>
      </c>
      <c r="BP344" s="1055" t="str">
        <f t="shared" si="435"/>
        <v>-</v>
      </c>
      <c r="BQ344" s="2309" t="str">
        <f t="shared" si="435"/>
        <v>-</v>
      </c>
      <c r="BR344" s="1055" t="str">
        <f t="shared" si="435"/>
        <v>-</v>
      </c>
      <c r="BS344" s="1055" t="str">
        <f t="shared" si="435"/>
        <v>-</v>
      </c>
      <c r="BT344" s="1055" t="str">
        <f t="shared" si="435"/>
        <v>-</v>
      </c>
      <c r="BU344" s="1056" t="str">
        <f t="shared" si="435"/>
        <v>-</v>
      </c>
      <c r="BV344" s="1055" t="str">
        <f t="shared" si="435"/>
        <v>-</v>
      </c>
      <c r="BW344" s="1055" t="str">
        <f t="shared" si="435"/>
        <v>-</v>
      </c>
      <c r="BX344" s="1055" t="str">
        <f t="shared" si="435"/>
        <v>-</v>
      </c>
      <c r="BY344" s="1055" t="str">
        <f t="shared" si="435"/>
        <v>-</v>
      </c>
      <c r="BZ344" s="1056" t="str">
        <f t="shared" si="435"/>
        <v>-</v>
      </c>
    </row>
    <row r="345" spans="3:78" x14ac:dyDescent="0.3">
      <c r="C345" s="126"/>
      <c r="D345" s="126">
        <f>D342+1</f>
        <v>93</v>
      </c>
      <c r="E345" s="553" t="s">
        <v>45</v>
      </c>
      <c r="F345" s="581" t="s">
        <v>28</v>
      </c>
      <c r="G345" s="581"/>
      <c r="H345" s="581"/>
      <c r="I345" s="573" t="s">
        <v>319</v>
      </c>
      <c r="J345" s="573" t="s">
        <v>348</v>
      </c>
      <c r="K345" s="1969"/>
      <c r="L345" s="1970"/>
      <c r="M345" s="1970"/>
      <c r="N345" s="1971"/>
      <c r="O345" s="1970"/>
      <c r="P345" s="1970"/>
      <c r="Q345" s="1970"/>
      <c r="R345" s="1972"/>
      <c r="S345" s="1979"/>
      <c r="T345" s="1972"/>
      <c r="U345" s="1972"/>
      <c r="V345" s="1972"/>
      <c r="W345" s="575"/>
      <c r="X345" s="1238"/>
      <c r="Y345" s="575"/>
      <c r="Z345" s="575"/>
      <c r="AA345" s="575"/>
      <c r="AB345" s="1142"/>
      <c r="AC345" s="575"/>
      <c r="AD345" s="575"/>
      <c r="AE345" s="575"/>
      <c r="AF345" s="575"/>
      <c r="AG345" s="577"/>
      <c r="AH345" s="576"/>
      <c r="AI345" s="575"/>
      <c r="AJ345" s="575"/>
      <c r="AK345" s="575"/>
      <c r="AL345" s="577"/>
      <c r="AN345" s="1052"/>
      <c r="AP345" s="2297" t="str">
        <f t="shared" si="405"/>
        <v>Price</v>
      </c>
      <c r="AQ345" s="2298" t="str">
        <f t="shared" si="405"/>
        <v>[Service]</v>
      </c>
      <c r="AR345" s="1719" t="str">
        <f t="shared" si="406"/>
        <v>[Price]</v>
      </c>
      <c r="AS345" s="2299" t="str">
        <f t="shared" si="430"/>
        <v>-</v>
      </c>
      <c r="AT345" s="1728" t="str">
        <f t="shared" si="430"/>
        <v>-</v>
      </c>
      <c r="AU345" s="1728" t="str">
        <f t="shared" si="430"/>
        <v>-</v>
      </c>
      <c r="AV345" s="2300" t="str">
        <f t="shared" si="430"/>
        <v>-</v>
      </c>
      <c r="AW345" s="1728" t="str">
        <f t="shared" si="430"/>
        <v>-</v>
      </c>
      <c r="AX345" s="2301" t="str">
        <f t="shared" si="430"/>
        <v>-</v>
      </c>
      <c r="AY345" s="1728" t="str">
        <f t="shared" si="430"/>
        <v>-</v>
      </c>
      <c r="AZ345" s="1728" t="str">
        <f t="shared" si="430"/>
        <v>-</v>
      </c>
      <c r="BA345" s="1728" t="str">
        <f t="shared" si="430"/>
        <v>-</v>
      </c>
      <c r="BB345" s="1729" t="str">
        <f t="shared" si="430"/>
        <v>-</v>
      </c>
      <c r="BC345" s="1728" t="str">
        <f t="shared" si="430"/>
        <v>-</v>
      </c>
      <c r="BD345" s="1728" t="str">
        <f t="shared" si="430"/>
        <v>-</v>
      </c>
      <c r="BE345" s="1728" t="str">
        <f t="shared" si="430"/>
        <v>-</v>
      </c>
      <c r="BF345" s="1728" t="str">
        <f t="shared" si="430"/>
        <v>-</v>
      </c>
      <c r="BG345" s="1729" t="str">
        <f t="shared" si="430"/>
        <v>-</v>
      </c>
      <c r="BH345" s="1048"/>
      <c r="BI345" s="2297" t="str">
        <f t="shared" si="427"/>
        <v>Price</v>
      </c>
      <c r="BJ345" s="2298" t="str">
        <f t="shared" si="427"/>
        <v>[Service]</v>
      </c>
      <c r="BK345" s="1719" t="str">
        <f t="shared" si="427"/>
        <v>[Price]</v>
      </c>
      <c r="BL345" s="2299" t="str">
        <f t="shared" ref="BL345:BZ345" si="436">IF(OR(X345="",X345=0),"-",IFERROR((X345/W345-1)*(W347/W$13),"-"))</f>
        <v>-</v>
      </c>
      <c r="BM345" s="1053" t="str">
        <f t="shared" si="436"/>
        <v>-</v>
      </c>
      <c r="BN345" s="1053" t="str">
        <f t="shared" si="436"/>
        <v>-</v>
      </c>
      <c r="BO345" s="2302" t="str">
        <f t="shared" si="436"/>
        <v>-</v>
      </c>
      <c r="BP345" s="1053" t="str">
        <f t="shared" si="436"/>
        <v>-</v>
      </c>
      <c r="BQ345" s="2303" t="str">
        <f t="shared" si="436"/>
        <v>-</v>
      </c>
      <c r="BR345" s="1053" t="str">
        <f t="shared" si="436"/>
        <v>-</v>
      </c>
      <c r="BS345" s="1053" t="str">
        <f t="shared" si="436"/>
        <v>-</v>
      </c>
      <c r="BT345" s="1053" t="str">
        <f t="shared" si="436"/>
        <v>-</v>
      </c>
      <c r="BU345" s="1054" t="str">
        <f t="shared" si="436"/>
        <v>-</v>
      </c>
      <c r="BV345" s="1053" t="str">
        <f t="shared" si="436"/>
        <v>-</v>
      </c>
      <c r="BW345" s="1053" t="str">
        <f t="shared" si="436"/>
        <v>-</v>
      </c>
      <c r="BX345" s="1053" t="str">
        <f t="shared" si="436"/>
        <v>-</v>
      </c>
      <c r="BY345" s="1053" t="str">
        <f t="shared" si="436"/>
        <v>-</v>
      </c>
      <c r="BZ345" s="1054" t="str">
        <f t="shared" si="436"/>
        <v>-</v>
      </c>
    </row>
    <row r="346" spans="3:78" x14ac:dyDescent="0.3">
      <c r="C346" s="126"/>
      <c r="D346" s="126"/>
      <c r="E346" s="558" t="s">
        <v>46</v>
      </c>
      <c r="F346" s="1722" t="str">
        <f>+F345</f>
        <v>[Service]</v>
      </c>
      <c r="G346" s="1724">
        <f>+G345</f>
        <v>0</v>
      </c>
      <c r="H346" s="1724">
        <f>+H345</f>
        <v>0</v>
      </c>
      <c r="I346" s="1725" t="str">
        <f>+I345</f>
        <v>[Price]</v>
      </c>
      <c r="J346" s="574" t="s">
        <v>323</v>
      </c>
      <c r="K346" s="1973"/>
      <c r="L346" s="1974"/>
      <c r="M346" s="1974"/>
      <c r="N346" s="1975"/>
      <c r="O346" s="1974"/>
      <c r="P346" s="1974"/>
      <c r="Q346" s="1974"/>
      <c r="R346" s="1976"/>
      <c r="S346" s="1980"/>
      <c r="T346" s="1976"/>
      <c r="U346" s="1976"/>
      <c r="V346" s="1976"/>
      <c r="W346" s="578"/>
      <c r="X346" s="1239"/>
      <c r="Y346" s="578"/>
      <c r="Z346" s="578"/>
      <c r="AA346" s="578"/>
      <c r="AB346" s="1143"/>
      <c r="AC346" s="578"/>
      <c r="AD346" s="578"/>
      <c r="AE346" s="578"/>
      <c r="AF346" s="578"/>
      <c r="AG346" s="580"/>
      <c r="AH346" s="579"/>
      <c r="AI346" s="578"/>
      <c r="AJ346" s="578"/>
      <c r="AK346" s="578"/>
      <c r="AL346" s="580"/>
      <c r="AN346" s="991"/>
      <c r="AP346" s="2285" t="str">
        <f t="shared" si="405"/>
        <v>Qty</v>
      </c>
      <c r="AQ346" s="2286" t="str">
        <f t="shared" si="405"/>
        <v>[Service]</v>
      </c>
      <c r="AR346" s="2287" t="str">
        <f t="shared" si="406"/>
        <v>[Price]</v>
      </c>
      <c r="AS346" s="2288" t="str">
        <f t="shared" si="430"/>
        <v>-</v>
      </c>
      <c r="AT346" s="1720" t="str">
        <f t="shared" si="430"/>
        <v>-</v>
      </c>
      <c r="AU346" s="1720" t="str">
        <f t="shared" si="430"/>
        <v>-</v>
      </c>
      <c r="AV346" s="2289" t="str">
        <f t="shared" si="430"/>
        <v>-</v>
      </c>
      <c r="AW346" s="1720" t="str">
        <f t="shared" si="430"/>
        <v>-</v>
      </c>
      <c r="AX346" s="2290" t="str">
        <f t="shared" si="430"/>
        <v>-</v>
      </c>
      <c r="AY346" s="1720" t="str">
        <f t="shared" si="430"/>
        <v>-</v>
      </c>
      <c r="AZ346" s="1720" t="str">
        <f t="shared" si="430"/>
        <v>-</v>
      </c>
      <c r="BA346" s="1720" t="str">
        <f t="shared" si="430"/>
        <v>-</v>
      </c>
      <c r="BB346" s="1721" t="str">
        <f t="shared" si="430"/>
        <v>-</v>
      </c>
      <c r="BC346" s="1720" t="str">
        <f t="shared" si="430"/>
        <v>-</v>
      </c>
      <c r="BD346" s="1720" t="str">
        <f t="shared" si="430"/>
        <v>-</v>
      </c>
      <c r="BE346" s="1720" t="str">
        <f t="shared" si="430"/>
        <v>-</v>
      </c>
      <c r="BF346" s="1720" t="str">
        <f t="shared" si="430"/>
        <v>-</v>
      </c>
      <c r="BG346" s="1721" t="str">
        <f t="shared" si="430"/>
        <v>-</v>
      </c>
      <c r="BH346" s="1048"/>
      <c r="BI346" s="2285" t="str">
        <f t="shared" si="427"/>
        <v>Qty</v>
      </c>
      <c r="BJ346" s="2286" t="str">
        <f t="shared" si="427"/>
        <v>[Service]</v>
      </c>
      <c r="BK346" s="2287" t="str">
        <f t="shared" si="427"/>
        <v>[Price]</v>
      </c>
      <c r="BL346" s="2288" t="str">
        <f t="shared" ref="BL346:BZ346" si="437">IF(OR(X346="",X346=0),"-",IFERROR((X346/W346-1)*(W347/W$13),"-"))</f>
        <v>-</v>
      </c>
      <c r="BM346" s="1720" t="str">
        <f t="shared" si="437"/>
        <v>-</v>
      </c>
      <c r="BN346" s="1720" t="str">
        <f t="shared" si="437"/>
        <v>-</v>
      </c>
      <c r="BO346" s="2289" t="str">
        <f t="shared" si="437"/>
        <v>-</v>
      </c>
      <c r="BP346" s="1720" t="str">
        <f t="shared" si="437"/>
        <v>-</v>
      </c>
      <c r="BQ346" s="2290" t="str">
        <f t="shared" si="437"/>
        <v>-</v>
      </c>
      <c r="BR346" s="1720" t="str">
        <f t="shared" si="437"/>
        <v>-</v>
      </c>
      <c r="BS346" s="1720" t="str">
        <f t="shared" si="437"/>
        <v>-</v>
      </c>
      <c r="BT346" s="1720" t="str">
        <f t="shared" si="437"/>
        <v>-</v>
      </c>
      <c r="BU346" s="1721" t="str">
        <f t="shared" si="437"/>
        <v>-</v>
      </c>
      <c r="BV346" s="1720" t="str">
        <f t="shared" si="437"/>
        <v>-</v>
      </c>
      <c r="BW346" s="1720" t="str">
        <f t="shared" si="437"/>
        <v>-</v>
      </c>
      <c r="BX346" s="1720" t="str">
        <f t="shared" si="437"/>
        <v>-</v>
      </c>
      <c r="BY346" s="1720" t="str">
        <f t="shared" si="437"/>
        <v>-</v>
      </c>
      <c r="BZ346" s="1721" t="str">
        <f t="shared" si="437"/>
        <v>-</v>
      </c>
    </row>
    <row r="347" spans="3:78" ht="12.5" thickBot="1" x14ac:dyDescent="0.35">
      <c r="C347" s="126"/>
      <c r="D347" s="126"/>
      <c r="E347" s="559" t="s">
        <v>47</v>
      </c>
      <c r="F347" s="1723" t="str">
        <f>+F345</f>
        <v>[Service]</v>
      </c>
      <c r="G347" s="1726">
        <f>+G345</f>
        <v>0</v>
      </c>
      <c r="H347" s="1726">
        <f>+H345</f>
        <v>0</v>
      </c>
      <c r="I347" s="1727" t="str">
        <f>+I345</f>
        <v>[Price]</v>
      </c>
      <c r="J347" s="556" t="s">
        <v>347</v>
      </c>
      <c r="K347" s="1977"/>
      <c r="L347" s="1206"/>
      <c r="M347" s="1206"/>
      <c r="N347" s="1978"/>
      <c r="O347" s="1206"/>
      <c r="P347" s="1206"/>
      <c r="Q347" s="1206"/>
      <c r="R347" s="1206"/>
      <c r="S347" s="1978"/>
      <c r="T347" s="1206"/>
      <c r="U347" s="1206"/>
      <c r="V347" s="1206"/>
      <c r="W347" s="1731">
        <f t="shared" ref="W347:AG347" si="438">W345*W346/10^6</f>
        <v>0</v>
      </c>
      <c r="X347" s="1730">
        <f t="shared" si="438"/>
        <v>0</v>
      </c>
      <c r="Y347" s="1731">
        <f t="shared" si="438"/>
        <v>0</v>
      </c>
      <c r="Z347" s="1731">
        <f t="shared" si="438"/>
        <v>0</v>
      </c>
      <c r="AA347" s="1731">
        <f t="shared" si="438"/>
        <v>0</v>
      </c>
      <c r="AB347" s="1733">
        <f t="shared" si="438"/>
        <v>0</v>
      </c>
      <c r="AC347" s="1731">
        <f t="shared" si="438"/>
        <v>0</v>
      </c>
      <c r="AD347" s="1731">
        <f t="shared" si="438"/>
        <v>0</v>
      </c>
      <c r="AE347" s="1731">
        <f t="shared" si="438"/>
        <v>0</v>
      </c>
      <c r="AF347" s="1731">
        <f t="shared" si="438"/>
        <v>0</v>
      </c>
      <c r="AG347" s="1733">
        <f t="shared" si="438"/>
        <v>0</v>
      </c>
      <c r="AH347" s="1732">
        <f>AH345*AH346/10^6</f>
        <v>0</v>
      </c>
      <c r="AI347" s="1731">
        <f>AI345*AI346/10^6</f>
        <v>0</v>
      </c>
      <c r="AJ347" s="1731">
        <f>AJ345*AJ346/10^6</f>
        <v>0</v>
      </c>
      <c r="AK347" s="1731">
        <f>AK345*AK346/10^6</f>
        <v>0</v>
      </c>
      <c r="AL347" s="1733">
        <f>AL345*AL346/10^6</f>
        <v>0</v>
      </c>
      <c r="AN347" s="991"/>
      <c r="AP347" s="2304" t="str">
        <f t="shared" si="405"/>
        <v>Rev</v>
      </c>
      <c r="AQ347" s="2305" t="str">
        <f t="shared" si="405"/>
        <v>[Service]</v>
      </c>
      <c r="AR347" s="2306" t="str">
        <f t="shared" si="406"/>
        <v>[Price]</v>
      </c>
      <c r="AS347" s="2307" t="str">
        <f t="shared" si="430"/>
        <v>-</v>
      </c>
      <c r="AT347" s="1055" t="str">
        <f t="shared" si="430"/>
        <v>-</v>
      </c>
      <c r="AU347" s="1055" t="str">
        <f t="shared" si="430"/>
        <v>-</v>
      </c>
      <c r="AV347" s="2308" t="str">
        <f t="shared" si="430"/>
        <v>-</v>
      </c>
      <c r="AW347" s="1055" t="str">
        <f t="shared" si="430"/>
        <v>-</v>
      </c>
      <c r="AX347" s="2309" t="str">
        <f t="shared" si="430"/>
        <v>-</v>
      </c>
      <c r="AY347" s="1055" t="str">
        <f t="shared" si="430"/>
        <v>-</v>
      </c>
      <c r="AZ347" s="1055" t="str">
        <f t="shared" si="430"/>
        <v>-</v>
      </c>
      <c r="BA347" s="1055" t="str">
        <f t="shared" si="430"/>
        <v>-</v>
      </c>
      <c r="BB347" s="1056" t="str">
        <f t="shared" si="430"/>
        <v>-</v>
      </c>
      <c r="BC347" s="1055" t="str">
        <f t="shared" si="430"/>
        <v>-</v>
      </c>
      <c r="BD347" s="1055" t="str">
        <f t="shared" si="430"/>
        <v>-</v>
      </c>
      <c r="BE347" s="1055" t="str">
        <f t="shared" si="430"/>
        <v>-</v>
      </c>
      <c r="BF347" s="1055" t="str">
        <f t="shared" si="430"/>
        <v>-</v>
      </c>
      <c r="BG347" s="1056" t="str">
        <f t="shared" si="430"/>
        <v>-</v>
      </c>
      <c r="BH347" s="1048"/>
      <c r="BI347" s="2304" t="str">
        <f t="shared" si="427"/>
        <v>Rev</v>
      </c>
      <c r="BJ347" s="2305" t="str">
        <f t="shared" si="427"/>
        <v>[Service]</v>
      </c>
      <c r="BK347" s="2306" t="str">
        <f t="shared" si="427"/>
        <v>[Price]</v>
      </c>
      <c r="BL347" s="2307" t="str">
        <f t="shared" ref="BL347:BZ347" si="439">IF(OR(X347="",X347=0),"-",IFERROR((X347/W347-1)*(W347/W$13),"-"))</f>
        <v>-</v>
      </c>
      <c r="BM347" s="1055" t="str">
        <f t="shared" si="439"/>
        <v>-</v>
      </c>
      <c r="BN347" s="1055" t="str">
        <f t="shared" si="439"/>
        <v>-</v>
      </c>
      <c r="BO347" s="2308" t="str">
        <f t="shared" si="439"/>
        <v>-</v>
      </c>
      <c r="BP347" s="1055" t="str">
        <f t="shared" si="439"/>
        <v>-</v>
      </c>
      <c r="BQ347" s="2309" t="str">
        <f t="shared" si="439"/>
        <v>-</v>
      </c>
      <c r="BR347" s="1055" t="str">
        <f t="shared" si="439"/>
        <v>-</v>
      </c>
      <c r="BS347" s="1055" t="str">
        <f t="shared" si="439"/>
        <v>-</v>
      </c>
      <c r="BT347" s="1055" t="str">
        <f t="shared" si="439"/>
        <v>-</v>
      </c>
      <c r="BU347" s="1056" t="str">
        <f t="shared" si="439"/>
        <v>-</v>
      </c>
      <c r="BV347" s="1055" t="str">
        <f t="shared" si="439"/>
        <v>-</v>
      </c>
      <c r="BW347" s="1055" t="str">
        <f t="shared" si="439"/>
        <v>-</v>
      </c>
      <c r="BX347" s="1055" t="str">
        <f t="shared" si="439"/>
        <v>-</v>
      </c>
      <c r="BY347" s="1055" t="str">
        <f t="shared" si="439"/>
        <v>-</v>
      </c>
      <c r="BZ347" s="1056" t="str">
        <f t="shared" si="439"/>
        <v>-</v>
      </c>
    </row>
    <row r="348" spans="3:78" x14ac:dyDescent="0.3">
      <c r="C348" s="126"/>
      <c r="D348" s="126">
        <f>D345+1</f>
        <v>94</v>
      </c>
      <c r="E348" s="553" t="s">
        <v>45</v>
      </c>
      <c r="F348" s="581" t="s">
        <v>28</v>
      </c>
      <c r="G348" s="581"/>
      <c r="H348" s="581"/>
      <c r="I348" s="573" t="s">
        <v>319</v>
      </c>
      <c r="J348" s="573" t="s">
        <v>348</v>
      </c>
      <c r="K348" s="1969"/>
      <c r="L348" s="1970"/>
      <c r="M348" s="1970"/>
      <c r="N348" s="1971"/>
      <c r="O348" s="1970"/>
      <c r="P348" s="1970"/>
      <c r="Q348" s="1970"/>
      <c r="R348" s="1972"/>
      <c r="S348" s="1979"/>
      <c r="T348" s="1972"/>
      <c r="U348" s="1972"/>
      <c r="V348" s="1972"/>
      <c r="W348" s="575"/>
      <c r="X348" s="1238"/>
      <c r="Y348" s="575"/>
      <c r="Z348" s="575"/>
      <c r="AA348" s="575"/>
      <c r="AB348" s="1142"/>
      <c r="AC348" s="575"/>
      <c r="AD348" s="575"/>
      <c r="AE348" s="575"/>
      <c r="AF348" s="575"/>
      <c r="AG348" s="577"/>
      <c r="AH348" s="576"/>
      <c r="AI348" s="575"/>
      <c r="AJ348" s="575"/>
      <c r="AK348" s="575"/>
      <c r="AL348" s="577"/>
      <c r="AN348" s="1052"/>
      <c r="AP348" s="2297" t="str">
        <f t="shared" si="405"/>
        <v>Price</v>
      </c>
      <c r="AQ348" s="2298" t="str">
        <f t="shared" si="405"/>
        <v>[Service]</v>
      </c>
      <c r="AR348" s="1719" t="str">
        <f t="shared" si="406"/>
        <v>[Price]</v>
      </c>
      <c r="AS348" s="2299" t="str">
        <f t="shared" si="430"/>
        <v>-</v>
      </c>
      <c r="AT348" s="1728" t="str">
        <f t="shared" si="430"/>
        <v>-</v>
      </c>
      <c r="AU348" s="1728" t="str">
        <f t="shared" si="430"/>
        <v>-</v>
      </c>
      <c r="AV348" s="2300" t="str">
        <f t="shared" si="430"/>
        <v>-</v>
      </c>
      <c r="AW348" s="1728" t="str">
        <f t="shared" si="430"/>
        <v>-</v>
      </c>
      <c r="AX348" s="2301" t="str">
        <f t="shared" si="430"/>
        <v>-</v>
      </c>
      <c r="AY348" s="1728" t="str">
        <f t="shared" si="430"/>
        <v>-</v>
      </c>
      <c r="AZ348" s="1728" t="str">
        <f t="shared" si="430"/>
        <v>-</v>
      </c>
      <c r="BA348" s="1728" t="str">
        <f t="shared" si="430"/>
        <v>-</v>
      </c>
      <c r="BB348" s="1729" t="str">
        <f t="shared" si="430"/>
        <v>-</v>
      </c>
      <c r="BC348" s="1728" t="str">
        <f t="shared" si="430"/>
        <v>-</v>
      </c>
      <c r="BD348" s="1728" t="str">
        <f t="shared" si="430"/>
        <v>-</v>
      </c>
      <c r="BE348" s="1728" t="str">
        <f t="shared" si="430"/>
        <v>-</v>
      </c>
      <c r="BF348" s="1728" t="str">
        <f t="shared" si="430"/>
        <v>-</v>
      </c>
      <c r="BG348" s="1729" t="str">
        <f t="shared" si="430"/>
        <v>-</v>
      </c>
      <c r="BH348" s="1048"/>
      <c r="BI348" s="2297" t="str">
        <f t="shared" si="427"/>
        <v>Price</v>
      </c>
      <c r="BJ348" s="2298" t="str">
        <f t="shared" si="427"/>
        <v>[Service]</v>
      </c>
      <c r="BK348" s="1719" t="str">
        <f t="shared" si="427"/>
        <v>[Price]</v>
      </c>
      <c r="BL348" s="2299" t="str">
        <f t="shared" ref="BL348:BZ348" si="440">IF(OR(X348="",X348=0),"-",IFERROR((X348/W348-1)*(W350/W$13),"-"))</f>
        <v>-</v>
      </c>
      <c r="BM348" s="1053" t="str">
        <f t="shared" si="440"/>
        <v>-</v>
      </c>
      <c r="BN348" s="1053" t="str">
        <f t="shared" si="440"/>
        <v>-</v>
      </c>
      <c r="BO348" s="2302" t="str">
        <f t="shared" si="440"/>
        <v>-</v>
      </c>
      <c r="BP348" s="1053" t="str">
        <f t="shared" si="440"/>
        <v>-</v>
      </c>
      <c r="BQ348" s="2303" t="str">
        <f t="shared" si="440"/>
        <v>-</v>
      </c>
      <c r="BR348" s="1053" t="str">
        <f t="shared" si="440"/>
        <v>-</v>
      </c>
      <c r="BS348" s="1053" t="str">
        <f t="shared" si="440"/>
        <v>-</v>
      </c>
      <c r="BT348" s="1053" t="str">
        <f t="shared" si="440"/>
        <v>-</v>
      </c>
      <c r="BU348" s="1054" t="str">
        <f t="shared" si="440"/>
        <v>-</v>
      </c>
      <c r="BV348" s="1053" t="str">
        <f t="shared" si="440"/>
        <v>-</v>
      </c>
      <c r="BW348" s="1053" t="str">
        <f t="shared" si="440"/>
        <v>-</v>
      </c>
      <c r="BX348" s="1053" t="str">
        <f t="shared" si="440"/>
        <v>-</v>
      </c>
      <c r="BY348" s="1053" t="str">
        <f t="shared" si="440"/>
        <v>-</v>
      </c>
      <c r="BZ348" s="1054" t="str">
        <f t="shared" si="440"/>
        <v>-</v>
      </c>
    </row>
    <row r="349" spans="3:78" x14ac:dyDescent="0.3">
      <c r="C349" s="126"/>
      <c r="D349" s="126"/>
      <c r="E349" s="558" t="s">
        <v>46</v>
      </c>
      <c r="F349" s="1722" t="str">
        <f>+F348</f>
        <v>[Service]</v>
      </c>
      <c r="G349" s="1724">
        <f>+G348</f>
        <v>0</v>
      </c>
      <c r="H349" s="1724">
        <f>+H348</f>
        <v>0</v>
      </c>
      <c r="I349" s="1725" t="str">
        <f>+I348</f>
        <v>[Price]</v>
      </c>
      <c r="J349" s="574" t="s">
        <v>323</v>
      </c>
      <c r="K349" s="1973"/>
      <c r="L349" s="1974"/>
      <c r="M349" s="1974"/>
      <c r="N349" s="1975"/>
      <c r="O349" s="1974"/>
      <c r="P349" s="1974"/>
      <c r="Q349" s="1974"/>
      <c r="R349" s="1976"/>
      <c r="S349" s="1980"/>
      <c r="T349" s="1976"/>
      <c r="U349" s="1976"/>
      <c r="V349" s="1976"/>
      <c r="W349" s="578"/>
      <c r="X349" s="1239"/>
      <c r="Y349" s="578"/>
      <c r="Z349" s="578"/>
      <c r="AA349" s="578"/>
      <c r="AB349" s="1143"/>
      <c r="AC349" s="578"/>
      <c r="AD349" s="578"/>
      <c r="AE349" s="578"/>
      <c r="AF349" s="578"/>
      <c r="AG349" s="580"/>
      <c r="AH349" s="579"/>
      <c r="AI349" s="578"/>
      <c r="AJ349" s="578"/>
      <c r="AK349" s="578"/>
      <c r="AL349" s="580"/>
      <c r="AN349" s="991"/>
      <c r="AP349" s="2285" t="str">
        <f t="shared" si="405"/>
        <v>Qty</v>
      </c>
      <c r="AQ349" s="2286" t="str">
        <f t="shared" si="405"/>
        <v>[Service]</v>
      </c>
      <c r="AR349" s="2287" t="str">
        <f t="shared" si="406"/>
        <v>[Price]</v>
      </c>
      <c r="AS349" s="2288" t="str">
        <f t="shared" si="430"/>
        <v>-</v>
      </c>
      <c r="AT349" s="1720" t="str">
        <f t="shared" si="430"/>
        <v>-</v>
      </c>
      <c r="AU349" s="1720" t="str">
        <f t="shared" si="430"/>
        <v>-</v>
      </c>
      <c r="AV349" s="2289" t="str">
        <f t="shared" si="430"/>
        <v>-</v>
      </c>
      <c r="AW349" s="1720" t="str">
        <f t="shared" si="430"/>
        <v>-</v>
      </c>
      <c r="AX349" s="2290" t="str">
        <f t="shared" si="430"/>
        <v>-</v>
      </c>
      <c r="AY349" s="1720" t="str">
        <f t="shared" si="430"/>
        <v>-</v>
      </c>
      <c r="AZ349" s="1720" t="str">
        <f t="shared" si="430"/>
        <v>-</v>
      </c>
      <c r="BA349" s="1720" t="str">
        <f t="shared" si="430"/>
        <v>-</v>
      </c>
      <c r="BB349" s="1721" t="str">
        <f t="shared" si="430"/>
        <v>-</v>
      </c>
      <c r="BC349" s="1720" t="str">
        <f t="shared" si="430"/>
        <v>-</v>
      </c>
      <c r="BD349" s="1720" t="str">
        <f t="shared" si="430"/>
        <v>-</v>
      </c>
      <c r="BE349" s="1720" t="str">
        <f t="shared" si="430"/>
        <v>-</v>
      </c>
      <c r="BF349" s="1720" t="str">
        <f t="shared" si="430"/>
        <v>-</v>
      </c>
      <c r="BG349" s="1721" t="str">
        <f t="shared" si="430"/>
        <v>-</v>
      </c>
      <c r="BH349" s="1048"/>
      <c r="BI349" s="2285" t="str">
        <f t="shared" si="427"/>
        <v>Qty</v>
      </c>
      <c r="BJ349" s="2286" t="str">
        <f t="shared" si="427"/>
        <v>[Service]</v>
      </c>
      <c r="BK349" s="2287" t="str">
        <f t="shared" si="427"/>
        <v>[Price]</v>
      </c>
      <c r="BL349" s="2288" t="str">
        <f t="shared" ref="BL349:BZ349" si="441">IF(OR(X349="",X349=0),"-",IFERROR((X349/W349-1)*(W350/W$13),"-"))</f>
        <v>-</v>
      </c>
      <c r="BM349" s="1720" t="str">
        <f t="shared" si="441"/>
        <v>-</v>
      </c>
      <c r="BN349" s="1720" t="str">
        <f t="shared" si="441"/>
        <v>-</v>
      </c>
      <c r="BO349" s="2289" t="str">
        <f t="shared" si="441"/>
        <v>-</v>
      </c>
      <c r="BP349" s="1720" t="str">
        <f t="shared" si="441"/>
        <v>-</v>
      </c>
      <c r="BQ349" s="2290" t="str">
        <f t="shared" si="441"/>
        <v>-</v>
      </c>
      <c r="BR349" s="1720" t="str">
        <f t="shared" si="441"/>
        <v>-</v>
      </c>
      <c r="BS349" s="1720" t="str">
        <f t="shared" si="441"/>
        <v>-</v>
      </c>
      <c r="BT349" s="1720" t="str">
        <f t="shared" si="441"/>
        <v>-</v>
      </c>
      <c r="BU349" s="1721" t="str">
        <f t="shared" si="441"/>
        <v>-</v>
      </c>
      <c r="BV349" s="1720" t="str">
        <f t="shared" si="441"/>
        <v>-</v>
      </c>
      <c r="BW349" s="1720" t="str">
        <f t="shared" si="441"/>
        <v>-</v>
      </c>
      <c r="BX349" s="1720" t="str">
        <f t="shared" si="441"/>
        <v>-</v>
      </c>
      <c r="BY349" s="1720" t="str">
        <f t="shared" si="441"/>
        <v>-</v>
      </c>
      <c r="BZ349" s="1721" t="str">
        <f t="shared" si="441"/>
        <v>-</v>
      </c>
    </row>
    <row r="350" spans="3:78" ht="12.5" thickBot="1" x14ac:dyDescent="0.35">
      <c r="C350" s="126"/>
      <c r="D350" s="126"/>
      <c r="E350" s="559" t="s">
        <v>47</v>
      </c>
      <c r="F350" s="1723" t="str">
        <f>+F348</f>
        <v>[Service]</v>
      </c>
      <c r="G350" s="1726">
        <f>+G348</f>
        <v>0</v>
      </c>
      <c r="H350" s="1726">
        <f>+H348</f>
        <v>0</v>
      </c>
      <c r="I350" s="1727" t="str">
        <f>+I348</f>
        <v>[Price]</v>
      </c>
      <c r="J350" s="556" t="s">
        <v>347</v>
      </c>
      <c r="K350" s="1977"/>
      <c r="L350" s="1206"/>
      <c r="M350" s="1206"/>
      <c r="N350" s="1978"/>
      <c r="O350" s="1206"/>
      <c r="P350" s="1206"/>
      <c r="Q350" s="1206"/>
      <c r="R350" s="1206"/>
      <c r="S350" s="1978"/>
      <c r="T350" s="1206"/>
      <c r="U350" s="1206"/>
      <c r="V350" s="1206"/>
      <c r="W350" s="1731">
        <f t="shared" ref="W350:AG350" si="442">W348*W349/10^6</f>
        <v>0</v>
      </c>
      <c r="X350" s="1730">
        <f t="shared" si="442"/>
        <v>0</v>
      </c>
      <c r="Y350" s="1731">
        <f t="shared" si="442"/>
        <v>0</v>
      </c>
      <c r="Z350" s="1731">
        <f t="shared" si="442"/>
        <v>0</v>
      </c>
      <c r="AA350" s="1731">
        <f t="shared" si="442"/>
        <v>0</v>
      </c>
      <c r="AB350" s="1733">
        <f t="shared" si="442"/>
        <v>0</v>
      </c>
      <c r="AC350" s="1731">
        <f t="shared" si="442"/>
        <v>0</v>
      </c>
      <c r="AD350" s="1731">
        <f t="shared" si="442"/>
        <v>0</v>
      </c>
      <c r="AE350" s="1731">
        <f t="shared" si="442"/>
        <v>0</v>
      </c>
      <c r="AF350" s="1731">
        <f t="shared" si="442"/>
        <v>0</v>
      </c>
      <c r="AG350" s="1733">
        <f t="shared" si="442"/>
        <v>0</v>
      </c>
      <c r="AH350" s="1732">
        <f>AH348*AH349/10^6</f>
        <v>0</v>
      </c>
      <c r="AI350" s="1731">
        <f>AI348*AI349/10^6</f>
        <v>0</v>
      </c>
      <c r="AJ350" s="1731">
        <f>AJ348*AJ349/10^6</f>
        <v>0</v>
      </c>
      <c r="AK350" s="1731">
        <f>AK348*AK349/10^6</f>
        <v>0</v>
      </c>
      <c r="AL350" s="1733">
        <f>AL348*AL349/10^6</f>
        <v>0</v>
      </c>
      <c r="AN350" s="991"/>
      <c r="AP350" s="2304" t="str">
        <f t="shared" si="405"/>
        <v>Rev</v>
      </c>
      <c r="AQ350" s="2305" t="str">
        <f t="shared" si="405"/>
        <v>[Service]</v>
      </c>
      <c r="AR350" s="2306" t="str">
        <f t="shared" si="406"/>
        <v>[Price]</v>
      </c>
      <c r="AS350" s="2307" t="str">
        <f t="shared" si="430"/>
        <v>-</v>
      </c>
      <c r="AT350" s="1055" t="str">
        <f t="shared" si="430"/>
        <v>-</v>
      </c>
      <c r="AU350" s="1055" t="str">
        <f t="shared" si="430"/>
        <v>-</v>
      </c>
      <c r="AV350" s="2308" t="str">
        <f t="shared" si="430"/>
        <v>-</v>
      </c>
      <c r="AW350" s="1055" t="str">
        <f t="shared" si="430"/>
        <v>-</v>
      </c>
      <c r="AX350" s="2309" t="str">
        <f t="shared" si="430"/>
        <v>-</v>
      </c>
      <c r="AY350" s="1055" t="str">
        <f t="shared" si="430"/>
        <v>-</v>
      </c>
      <c r="AZ350" s="1055" t="str">
        <f t="shared" si="430"/>
        <v>-</v>
      </c>
      <c r="BA350" s="1055" t="str">
        <f t="shared" si="430"/>
        <v>-</v>
      </c>
      <c r="BB350" s="1056" t="str">
        <f t="shared" si="430"/>
        <v>-</v>
      </c>
      <c r="BC350" s="1055" t="str">
        <f t="shared" si="430"/>
        <v>-</v>
      </c>
      <c r="BD350" s="1055" t="str">
        <f t="shared" si="430"/>
        <v>-</v>
      </c>
      <c r="BE350" s="1055" t="str">
        <f t="shared" si="430"/>
        <v>-</v>
      </c>
      <c r="BF350" s="1055" t="str">
        <f t="shared" si="430"/>
        <v>-</v>
      </c>
      <c r="BG350" s="1056" t="str">
        <f t="shared" si="430"/>
        <v>-</v>
      </c>
      <c r="BH350" s="1048"/>
      <c r="BI350" s="2304" t="str">
        <f t="shared" si="427"/>
        <v>Rev</v>
      </c>
      <c r="BJ350" s="2305" t="str">
        <f t="shared" si="427"/>
        <v>[Service]</v>
      </c>
      <c r="BK350" s="2306" t="str">
        <f t="shared" si="427"/>
        <v>[Price]</v>
      </c>
      <c r="BL350" s="2307" t="str">
        <f t="shared" ref="BL350:BZ350" si="443">IF(OR(X350="",X350=0),"-",IFERROR((X350/W350-1)*(W350/W$13),"-"))</f>
        <v>-</v>
      </c>
      <c r="BM350" s="1055" t="str">
        <f t="shared" si="443"/>
        <v>-</v>
      </c>
      <c r="BN350" s="1055" t="str">
        <f t="shared" si="443"/>
        <v>-</v>
      </c>
      <c r="BO350" s="2308" t="str">
        <f t="shared" si="443"/>
        <v>-</v>
      </c>
      <c r="BP350" s="1055" t="str">
        <f t="shared" si="443"/>
        <v>-</v>
      </c>
      <c r="BQ350" s="2309" t="str">
        <f t="shared" si="443"/>
        <v>-</v>
      </c>
      <c r="BR350" s="1055" t="str">
        <f t="shared" si="443"/>
        <v>-</v>
      </c>
      <c r="BS350" s="1055" t="str">
        <f t="shared" si="443"/>
        <v>-</v>
      </c>
      <c r="BT350" s="1055" t="str">
        <f t="shared" si="443"/>
        <v>-</v>
      </c>
      <c r="BU350" s="1056" t="str">
        <f t="shared" si="443"/>
        <v>-</v>
      </c>
      <c r="BV350" s="1055" t="str">
        <f t="shared" si="443"/>
        <v>-</v>
      </c>
      <c r="BW350" s="1055" t="str">
        <f t="shared" si="443"/>
        <v>-</v>
      </c>
      <c r="BX350" s="1055" t="str">
        <f t="shared" si="443"/>
        <v>-</v>
      </c>
      <c r="BY350" s="1055" t="str">
        <f t="shared" si="443"/>
        <v>-</v>
      </c>
      <c r="BZ350" s="1056" t="str">
        <f t="shared" si="443"/>
        <v>-</v>
      </c>
    </row>
    <row r="351" spans="3:78" x14ac:dyDescent="0.3">
      <c r="C351" s="126"/>
      <c r="D351" s="126">
        <f>D348+1</f>
        <v>95</v>
      </c>
      <c r="E351" s="553" t="s">
        <v>45</v>
      </c>
      <c r="F351" s="581" t="s">
        <v>28</v>
      </c>
      <c r="G351" s="581"/>
      <c r="H351" s="581"/>
      <c r="I351" s="573" t="s">
        <v>319</v>
      </c>
      <c r="J351" s="573" t="s">
        <v>348</v>
      </c>
      <c r="K351" s="1969"/>
      <c r="L351" s="1970"/>
      <c r="M351" s="1970"/>
      <c r="N351" s="1971"/>
      <c r="O351" s="1970"/>
      <c r="P351" s="1970"/>
      <c r="Q351" s="1970"/>
      <c r="R351" s="1972"/>
      <c r="S351" s="1979"/>
      <c r="T351" s="1972"/>
      <c r="U351" s="1972"/>
      <c r="V351" s="1972"/>
      <c r="W351" s="575"/>
      <c r="X351" s="1238"/>
      <c r="Y351" s="575"/>
      <c r="Z351" s="575"/>
      <c r="AA351" s="575"/>
      <c r="AB351" s="1142"/>
      <c r="AC351" s="575"/>
      <c r="AD351" s="575"/>
      <c r="AE351" s="575"/>
      <c r="AF351" s="575"/>
      <c r="AG351" s="577"/>
      <c r="AH351" s="576"/>
      <c r="AI351" s="575"/>
      <c r="AJ351" s="575"/>
      <c r="AK351" s="575"/>
      <c r="AL351" s="577"/>
      <c r="AN351" s="1052"/>
      <c r="AP351" s="2297" t="str">
        <f t="shared" si="405"/>
        <v>Price</v>
      </c>
      <c r="AQ351" s="2298" t="str">
        <f t="shared" si="405"/>
        <v>[Service]</v>
      </c>
      <c r="AR351" s="1719" t="str">
        <f t="shared" si="406"/>
        <v>[Price]</v>
      </c>
      <c r="AS351" s="2299" t="str">
        <f t="shared" si="430"/>
        <v>-</v>
      </c>
      <c r="AT351" s="1728" t="str">
        <f t="shared" si="430"/>
        <v>-</v>
      </c>
      <c r="AU351" s="1728" t="str">
        <f t="shared" si="430"/>
        <v>-</v>
      </c>
      <c r="AV351" s="2300" t="str">
        <f t="shared" si="430"/>
        <v>-</v>
      </c>
      <c r="AW351" s="1728" t="str">
        <f t="shared" si="430"/>
        <v>-</v>
      </c>
      <c r="AX351" s="2301" t="str">
        <f t="shared" si="430"/>
        <v>-</v>
      </c>
      <c r="AY351" s="1728" t="str">
        <f t="shared" si="430"/>
        <v>-</v>
      </c>
      <c r="AZ351" s="1728" t="str">
        <f t="shared" si="430"/>
        <v>-</v>
      </c>
      <c r="BA351" s="1728" t="str">
        <f t="shared" si="430"/>
        <v>-</v>
      </c>
      <c r="BB351" s="1729" t="str">
        <f t="shared" si="430"/>
        <v>-</v>
      </c>
      <c r="BC351" s="1728" t="str">
        <f t="shared" si="430"/>
        <v>-</v>
      </c>
      <c r="BD351" s="1728" t="str">
        <f t="shared" si="430"/>
        <v>-</v>
      </c>
      <c r="BE351" s="1728" t="str">
        <f t="shared" si="430"/>
        <v>-</v>
      </c>
      <c r="BF351" s="1728" t="str">
        <f t="shared" si="430"/>
        <v>-</v>
      </c>
      <c r="BG351" s="1729" t="str">
        <f t="shared" si="430"/>
        <v>-</v>
      </c>
      <c r="BH351" s="1048"/>
      <c r="BI351" s="2297" t="str">
        <f t="shared" si="427"/>
        <v>Price</v>
      </c>
      <c r="BJ351" s="2298" t="str">
        <f t="shared" si="427"/>
        <v>[Service]</v>
      </c>
      <c r="BK351" s="1719" t="str">
        <f t="shared" si="427"/>
        <v>[Price]</v>
      </c>
      <c r="BL351" s="2299" t="str">
        <f t="shared" ref="BL351:BZ351" si="444">IF(OR(X351="",X351=0),"-",IFERROR((X351/W351-1)*(W353/W$13),"-"))</f>
        <v>-</v>
      </c>
      <c r="BM351" s="1053" t="str">
        <f t="shared" si="444"/>
        <v>-</v>
      </c>
      <c r="BN351" s="1053" t="str">
        <f t="shared" si="444"/>
        <v>-</v>
      </c>
      <c r="BO351" s="2302" t="str">
        <f t="shared" si="444"/>
        <v>-</v>
      </c>
      <c r="BP351" s="1053" t="str">
        <f t="shared" si="444"/>
        <v>-</v>
      </c>
      <c r="BQ351" s="2303" t="str">
        <f t="shared" si="444"/>
        <v>-</v>
      </c>
      <c r="BR351" s="1053" t="str">
        <f t="shared" si="444"/>
        <v>-</v>
      </c>
      <c r="BS351" s="1053" t="str">
        <f t="shared" si="444"/>
        <v>-</v>
      </c>
      <c r="BT351" s="1053" t="str">
        <f t="shared" si="444"/>
        <v>-</v>
      </c>
      <c r="BU351" s="1054" t="str">
        <f t="shared" si="444"/>
        <v>-</v>
      </c>
      <c r="BV351" s="1053" t="str">
        <f t="shared" si="444"/>
        <v>-</v>
      </c>
      <c r="BW351" s="1053" t="str">
        <f t="shared" si="444"/>
        <v>-</v>
      </c>
      <c r="BX351" s="1053" t="str">
        <f t="shared" si="444"/>
        <v>-</v>
      </c>
      <c r="BY351" s="1053" t="str">
        <f t="shared" si="444"/>
        <v>-</v>
      </c>
      <c r="BZ351" s="1054" t="str">
        <f t="shared" si="444"/>
        <v>-</v>
      </c>
    </row>
    <row r="352" spans="3:78" x14ac:dyDescent="0.3">
      <c r="C352" s="126"/>
      <c r="D352" s="126"/>
      <c r="E352" s="558" t="s">
        <v>46</v>
      </c>
      <c r="F352" s="1722" t="str">
        <f>+F351</f>
        <v>[Service]</v>
      </c>
      <c r="G352" s="1724">
        <f>+G351</f>
        <v>0</v>
      </c>
      <c r="H352" s="1724">
        <f>+H351</f>
        <v>0</v>
      </c>
      <c r="I352" s="1725" t="str">
        <f>+I351</f>
        <v>[Price]</v>
      </c>
      <c r="J352" s="574" t="s">
        <v>323</v>
      </c>
      <c r="K352" s="1973"/>
      <c r="L352" s="1974"/>
      <c r="M352" s="1974"/>
      <c r="N352" s="1975"/>
      <c r="O352" s="1974"/>
      <c r="P352" s="1974"/>
      <c r="Q352" s="1974"/>
      <c r="R352" s="1976"/>
      <c r="S352" s="1980"/>
      <c r="T352" s="1976"/>
      <c r="U352" s="1976"/>
      <c r="V352" s="1976"/>
      <c r="W352" s="578"/>
      <c r="X352" s="1239"/>
      <c r="Y352" s="578"/>
      <c r="Z352" s="578"/>
      <c r="AA352" s="578"/>
      <c r="AB352" s="1143"/>
      <c r="AC352" s="578"/>
      <c r="AD352" s="578"/>
      <c r="AE352" s="578"/>
      <c r="AF352" s="578"/>
      <c r="AG352" s="580"/>
      <c r="AH352" s="579"/>
      <c r="AI352" s="578"/>
      <c r="AJ352" s="578"/>
      <c r="AK352" s="578"/>
      <c r="AL352" s="580"/>
      <c r="AN352" s="991"/>
      <c r="AP352" s="2285" t="str">
        <f t="shared" si="405"/>
        <v>Qty</v>
      </c>
      <c r="AQ352" s="2286" t="str">
        <f t="shared" si="405"/>
        <v>[Service]</v>
      </c>
      <c r="AR352" s="2287" t="str">
        <f t="shared" si="406"/>
        <v>[Price]</v>
      </c>
      <c r="AS352" s="2288" t="str">
        <f t="shared" si="430"/>
        <v>-</v>
      </c>
      <c r="AT352" s="1720" t="str">
        <f t="shared" si="430"/>
        <v>-</v>
      </c>
      <c r="AU352" s="1720" t="str">
        <f t="shared" si="430"/>
        <v>-</v>
      </c>
      <c r="AV352" s="2289" t="str">
        <f t="shared" si="430"/>
        <v>-</v>
      </c>
      <c r="AW352" s="1720" t="str">
        <f t="shared" si="430"/>
        <v>-</v>
      </c>
      <c r="AX352" s="2290" t="str">
        <f t="shared" si="430"/>
        <v>-</v>
      </c>
      <c r="AY352" s="1720" t="str">
        <f t="shared" si="430"/>
        <v>-</v>
      </c>
      <c r="AZ352" s="1720" t="str">
        <f t="shared" si="430"/>
        <v>-</v>
      </c>
      <c r="BA352" s="1720" t="str">
        <f t="shared" si="430"/>
        <v>-</v>
      </c>
      <c r="BB352" s="1721" t="str">
        <f t="shared" si="430"/>
        <v>-</v>
      </c>
      <c r="BC352" s="1720" t="str">
        <f t="shared" si="430"/>
        <v>-</v>
      </c>
      <c r="BD352" s="1720" t="str">
        <f t="shared" si="430"/>
        <v>-</v>
      </c>
      <c r="BE352" s="1720" t="str">
        <f t="shared" si="430"/>
        <v>-</v>
      </c>
      <c r="BF352" s="1720" t="str">
        <f t="shared" si="430"/>
        <v>-</v>
      </c>
      <c r="BG352" s="1721" t="str">
        <f t="shared" si="430"/>
        <v>-</v>
      </c>
      <c r="BH352" s="1048"/>
      <c r="BI352" s="2285" t="str">
        <f t="shared" si="427"/>
        <v>Qty</v>
      </c>
      <c r="BJ352" s="2286" t="str">
        <f t="shared" si="427"/>
        <v>[Service]</v>
      </c>
      <c r="BK352" s="2287" t="str">
        <f t="shared" si="427"/>
        <v>[Price]</v>
      </c>
      <c r="BL352" s="2288" t="str">
        <f t="shared" ref="BL352:BZ352" si="445">IF(OR(X352="",X352=0),"-",IFERROR((X352/W352-1)*(W353/W$13),"-"))</f>
        <v>-</v>
      </c>
      <c r="BM352" s="1720" t="str">
        <f t="shared" si="445"/>
        <v>-</v>
      </c>
      <c r="BN352" s="1720" t="str">
        <f t="shared" si="445"/>
        <v>-</v>
      </c>
      <c r="BO352" s="2289" t="str">
        <f t="shared" si="445"/>
        <v>-</v>
      </c>
      <c r="BP352" s="1720" t="str">
        <f t="shared" si="445"/>
        <v>-</v>
      </c>
      <c r="BQ352" s="2290" t="str">
        <f t="shared" si="445"/>
        <v>-</v>
      </c>
      <c r="BR352" s="1720" t="str">
        <f t="shared" si="445"/>
        <v>-</v>
      </c>
      <c r="BS352" s="1720" t="str">
        <f t="shared" si="445"/>
        <v>-</v>
      </c>
      <c r="BT352" s="1720" t="str">
        <f t="shared" si="445"/>
        <v>-</v>
      </c>
      <c r="BU352" s="1721" t="str">
        <f t="shared" si="445"/>
        <v>-</v>
      </c>
      <c r="BV352" s="1720" t="str">
        <f t="shared" si="445"/>
        <v>-</v>
      </c>
      <c r="BW352" s="1720" t="str">
        <f t="shared" si="445"/>
        <v>-</v>
      </c>
      <c r="BX352" s="1720" t="str">
        <f t="shared" si="445"/>
        <v>-</v>
      </c>
      <c r="BY352" s="1720" t="str">
        <f t="shared" si="445"/>
        <v>-</v>
      </c>
      <c r="BZ352" s="1721" t="str">
        <f t="shared" si="445"/>
        <v>-</v>
      </c>
    </row>
    <row r="353" spans="3:78" ht="12.5" thickBot="1" x14ac:dyDescent="0.35">
      <c r="C353" s="126"/>
      <c r="D353" s="126"/>
      <c r="E353" s="559" t="s">
        <v>47</v>
      </c>
      <c r="F353" s="1723" t="str">
        <f>+F351</f>
        <v>[Service]</v>
      </c>
      <c r="G353" s="1726">
        <f>+G351</f>
        <v>0</v>
      </c>
      <c r="H353" s="1726">
        <f>+H351</f>
        <v>0</v>
      </c>
      <c r="I353" s="1727" t="str">
        <f>+I351</f>
        <v>[Price]</v>
      </c>
      <c r="J353" s="556" t="s">
        <v>347</v>
      </c>
      <c r="K353" s="1977"/>
      <c r="L353" s="1206"/>
      <c r="M353" s="1206"/>
      <c r="N353" s="1978"/>
      <c r="O353" s="1206"/>
      <c r="P353" s="1206"/>
      <c r="Q353" s="1206"/>
      <c r="R353" s="1206"/>
      <c r="S353" s="1978"/>
      <c r="T353" s="1206"/>
      <c r="U353" s="1206"/>
      <c r="V353" s="1206"/>
      <c r="W353" s="1731">
        <f t="shared" ref="W353:AG353" si="446">W351*W352/10^6</f>
        <v>0</v>
      </c>
      <c r="X353" s="1730">
        <f t="shared" si="446"/>
        <v>0</v>
      </c>
      <c r="Y353" s="1731">
        <f t="shared" si="446"/>
        <v>0</v>
      </c>
      <c r="Z353" s="1731">
        <f t="shared" si="446"/>
        <v>0</v>
      </c>
      <c r="AA353" s="1731">
        <f t="shared" si="446"/>
        <v>0</v>
      </c>
      <c r="AB353" s="1733">
        <f t="shared" si="446"/>
        <v>0</v>
      </c>
      <c r="AC353" s="1731">
        <f t="shared" si="446"/>
        <v>0</v>
      </c>
      <c r="AD353" s="1731">
        <f t="shared" si="446"/>
        <v>0</v>
      </c>
      <c r="AE353" s="1731">
        <f t="shared" si="446"/>
        <v>0</v>
      </c>
      <c r="AF353" s="1731">
        <f t="shared" si="446"/>
        <v>0</v>
      </c>
      <c r="AG353" s="1733">
        <f t="shared" si="446"/>
        <v>0</v>
      </c>
      <c r="AH353" s="1732">
        <f>AH351*AH352/10^6</f>
        <v>0</v>
      </c>
      <c r="AI353" s="1731">
        <f>AI351*AI352/10^6</f>
        <v>0</v>
      </c>
      <c r="AJ353" s="1731">
        <f>AJ351*AJ352/10^6</f>
        <v>0</v>
      </c>
      <c r="AK353" s="1731">
        <f>AK351*AK352/10^6</f>
        <v>0</v>
      </c>
      <c r="AL353" s="1733">
        <f>AL351*AL352/10^6</f>
        <v>0</v>
      </c>
      <c r="AN353" s="991"/>
      <c r="AP353" s="2304" t="str">
        <f t="shared" si="405"/>
        <v>Rev</v>
      </c>
      <c r="AQ353" s="2305" t="str">
        <f t="shared" si="405"/>
        <v>[Service]</v>
      </c>
      <c r="AR353" s="2306" t="str">
        <f t="shared" si="406"/>
        <v>[Price]</v>
      </c>
      <c r="AS353" s="2307" t="str">
        <f t="shared" si="430"/>
        <v>-</v>
      </c>
      <c r="AT353" s="1055" t="str">
        <f t="shared" si="430"/>
        <v>-</v>
      </c>
      <c r="AU353" s="1055" t="str">
        <f t="shared" si="430"/>
        <v>-</v>
      </c>
      <c r="AV353" s="2308" t="str">
        <f t="shared" si="430"/>
        <v>-</v>
      </c>
      <c r="AW353" s="1055" t="str">
        <f t="shared" si="430"/>
        <v>-</v>
      </c>
      <c r="AX353" s="2309" t="str">
        <f t="shared" si="430"/>
        <v>-</v>
      </c>
      <c r="AY353" s="1055" t="str">
        <f t="shared" si="430"/>
        <v>-</v>
      </c>
      <c r="AZ353" s="1055" t="str">
        <f t="shared" si="430"/>
        <v>-</v>
      </c>
      <c r="BA353" s="1055" t="str">
        <f t="shared" si="430"/>
        <v>-</v>
      </c>
      <c r="BB353" s="1056" t="str">
        <f t="shared" si="430"/>
        <v>-</v>
      </c>
      <c r="BC353" s="1055" t="str">
        <f t="shared" si="430"/>
        <v>-</v>
      </c>
      <c r="BD353" s="1055" t="str">
        <f t="shared" si="430"/>
        <v>-</v>
      </c>
      <c r="BE353" s="1055" t="str">
        <f t="shared" si="430"/>
        <v>-</v>
      </c>
      <c r="BF353" s="1055" t="str">
        <f t="shared" si="430"/>
        <v>-</v>
      </c>
      <c r="BG353" s="1056" t="str">
        <f t="shared" si="430"/>
        <v>-</v>
      </c>
      <c r="BH353" s="1048"/>
      <c r="BI353" s="2304" t="str">
        <f t="shared" si="427"/>
        <v>Rev</v>
      </c>
      <c r="BJ353" s="2305" t="str">
        <f t="shared" si="427"/>
        <v>[Service]</v>
      </c>
      <c r="BK353" s="2306" t="str">
        <f t="shared" si="427"/>
        <v>[Price]</v>
      </c>
      <c r="BL353" s="2307" t="str">
        <f t="shared" ref="BL353:BZ353" si="447">IF(OR(X353="",X353=0),"-",IFERROR((X353/W353-1)*(W353/W$13),"-"))</f>
        <v>-</v>
      </c>
      <c r="BM353" s="1055" t="str">
        <f t="shared" si="447"/>
        <v>-</v>
      </c>
      <c r="BN353" s="1055" t="str">
        <f t="shared" si="447"/>
        <v>-</v>
      </c>
      <c r="BO353" s="2308" t="str">
        <f t="shared" si="447"/>
        <v>-</v>
      </c>
      <c r="BP353" s="1055" t="str">
        <f t="shared" si="447"/>
        <v>-</v>
      </c>
      <c r="BQ353" s="2309" t="str">
        <f t="shared" si="447"/>
        <v>-</v>
      </c>
      <c r="BR353" s="1055" t="str">
        <f t="shared" si="447"/>
        <v>-</v>
      </c>
      <c r="BS353" s="1055" t="str">
        <f t="shared" si="447"/>
        <v>-</v>
      </c>
      <c r="BT353" s="1055" t="str">
        <f t="shared" si="447"/>
        <v>-</v>
      </c>
      <c r="BU353" s="1056" t="str">
        <f t="shared" si="447"/>
        <v>-</v>
      </c>
      <c r="BV353" s="1055" t="str">
        <f t="shared" si="447"/>
        <v>-</v>
      </c>
      <c r="BW353" s="1055" t="str">
        <f t="shared" si="447"/>
        <v>-</v>
      </c>
      <c r="BX353" s="1055" t="str">
        <f t="shared" si="447"/>
        <v>-</v>
      </c>
      <c r="BY353" s="1055" t="str">
        <f t="shared" si="447"/>
        <v>-</v>
      </c>
      <c r="BZ353" s="1056" t="str">
        <f t="shared" si="447"/>
        <v>-</v>
      </c>
    </row>
    <row r="354" spans="3:78" x14ac:dyDescent="0.3">
      <c r="C354" s="126"/>
      <c r="D354" s="126">
        <f>D351+1</f>
        <v>96</v>
      </c>
      <c r="E354" s="553" t="s">
        <v>45</v>
      </c>
      <c r="F354" s="581" t="s">
        <v>28</v>
      </c>
      <c r="G354" s="581"/>
      <c r="H354" s="581"/>
      <c r="I354" s="573" t="s">
        <v>319</v>
      </c>
      <c r="J354" s="573" t="s">
        <v>348</v>
      </c>
      <c r="K354" s="1969"/>
      <c r="L354" s="1970"/>
      <c r="M354" s="1970"/>
      <c r="N354" s="1971"/>
      <c r="O354" s="1970"/>
      <c r="P354" s="1970"/>
      <c r="Q354" s="1970"/>
      <c r="R354" s="1972"/>
      <c r="S354" s="1979"/>
      <c r="T354" s="1972"/>
      <c r="U354" s="1972"/>
      <c r="V354" s="1972"/>
      <c r="W354" s="575"/>
      <c r="X354" s="1238"/>
      <c r="Y354" s="575"/>
      <c r="Z354" s="575"/>
      <c r="AA354" s="575"/>
      <c r="AB354" s="1142"/>
      <c r="AC354" s="575"/>
      <c r="AD354" s="575"/>
      <c r="AE354" s="575"/>
      <c r="AF354" s="575"/>
      <c r="AG354" s="577"/>
      <c r="AH354" s="576"/>
      <c r="AI354" s="575"/>
      <c r="AJ354" s="575"/>
      <c r="AK354" s="575"/>
      <c r="AL354" s="577"/>
      <c r="AN354" s="1052"/>
      <c r="AP354" s="2297" t="str">
        <f t="shared" si="405"/>
        <v>Price</v>
      </c>
      <c r="AQ354" s="2298" t="str">
        <f t="shared" si="405"/>
        <v>[Service]</v>
      </c>
      <c r="AR354" s="1719" t="str">
        <f t="shared" si="406"/>
        <v>[Price]</v>
      </c>
      <c r="AS354" s="2299" t="str">
        <f t="shared" si="430"/>
        <v>-</v>
      </c>
      <c r="AT354" s="1728" t="str">
        <f t="shared" si="430"/>
        <v>-</v>
      </c>
      <c r="AU354" s="1728" t="str">
        <f t="shared" si="430"/>
        <v>-</v>
      </c>
      <c r="AV354" s="2300" t="str">
        <f t="shared" si="430"/>
        <v>-</v>
      </c>
      <c r="AW354" s="1728" t="str">
        <f t="shared" si="430"/>
        <v>-</v>
      </c>
      <c r="AX354" s="2301" t="str">
        <f t="shared" si="430"/>
        <v>-</v>
      </c>
      <c r="AY354" s="1728" t="str">
        <f t="shared" si="430"/>
        <v>-</v>
      </c>
      <c r="AZ354" s="1728" t="str">
        <f t="shared" si="430"/>
        <v>-</v>
      </c>
      <c r="BA354" s="1728" t="str">
        <f t="shared" si="430"/>
        <v>-</v>
      </c>
      <c r="BB354" s="1729" t="str">
        <f t="shared" si="430"/>
        <v>-</v>
      </c>
      <c r="BC354" s="1728" t="str">
        <f t="shared" si="430"/>
        <v>-</v>
      </c>
      <c r="BD354" s="1728" t="str">
        <f t="shared" si="430"/>
        <v>-</v>
      </c>
      <c r="BE354" s="1728" t="str">
        <f t="shared" si="430"/>
        <v>-</v>
      </c>
      <c r="BF354" s="1728" t="str">
        <f t="shared" si="430"/>
        <v>-</v>
      </c>
      <c r="BG354" s="1729" t="str">
        <f t="shared" si="430"/>
        <v>-</v>
      </c>
      <c r="BH354" s="1048"/>
      <c r="BI354" s="2297" t="str">
        <f t="shared" si="427"/>
        <v>Price</v>
      </c>
      <c r="BJ354" s="2298" t="str">
        <f t="shared" si="427"/>
        <v>[Service]</v>
      </c>
      <c r="BK354" s="1719" t="str">
        <f t="shared" si="427"/>
        <v>[Price]</v>
      </c>
      <c r="BL354" s="2299" t="str">
        <f t="shared" ref="BL354:BZ354" si="448">IF(OR(X354="",X354=0),"-",IFERROR((X354/W354-1)*(W356/W$13),"-"))</f>
        <v>-</v>
      </c>
      <c r="BM354" s="1053" t="str">
        <f t="shared" si="448"/>
        <v>-</v>
      </c>
      <c r="BN354" s="1053" t="str">
        <f t="shared" si="448"/>
        <v>-</v>
      </c>
      <c r="BO354" s="2302" t="str">
        <f t="shared" si="448"/>
        <v>-</v>
      </c>
      <c r="BP354" s="1053" t="str">
        <f t="shared" si="448"/>
        <v>-</v>
      </c>
      <c r="BQ354" s="2303" t="str">
        <f t="shared" si="448"/>
        <v>-</v>
      </c>
      <c r="BR354" s="1053" t="str">
        <f t="shared" si="448"/>
        <v>-</v>
      </c>
      <c r="BS354" s="1053" t="str">
        <f t="shared" si="448"/>
        <v>-</v>
      </c>
      <c r="BT354" s="1053" t="str">
        <f t="shared" si="448"/>
        <v>-</v>
      </c>
      <c r="BU354" s="1054" t="str">
        <f t="shared" si="448"/>
        <v>-</v>
      </c>
      <c r="BV354" s="1053" t="str">
        <f t="shared" si="448"/>
        <v>-</v>
      </c>
      <c r="BW354" s="1053" t="str">
        <f t="shared" si="448"/>
        <v>-</v>
      </c>
      <c r="BX354" s="1053" t="str">
        <f t="shared" si="448"/>
        <v>-</v>
      </c>
      <c r="BY354" s="1053" t="str">
        <f t="shared" si="448"/>
        <v>-</v>
      </c>
      <c r="BZ354" s="1054" t="str">
        <f t="shared" si="448"/>
        <v>-</v>
      </c>
    </row>
    <row r="355" spans="3:78" x14ac:dyDescent="0.3">
      <c r="C355" s="126"/>
      <c r="D355" s="126"/>
      <c r="E355" s="558" t="s">
        <v>46</v>
      </c>
      <c r="F355" s="1722" t="str">
        <f>+F354</f>
        <v>[Service]</v>
      </c>
      <c r="G355" s="1724">
        <f>+G354</f>
        <v>0</v>
      </c>
      <c r="H355" s="1724">
        <f>+H354</f>
        <v>0</v>
      </c>
      <c r="I355" s="1725" t="str">
        <f>+I354</f>
        <v>[Price]</v>
      </c>
      <c r="J355" s="574" t="s">
        <v>323</v>
      </c>
      <c r="K355" s="1973"/>
      <c r="L355" s="1974"/>
      <c r="M355" s="1974"/>
      <c r="N355" s="1975"/>
      <c r="O355" s="1974"/>
      <c r="P355" s="1974"/>
      <c r="Q355" s="1974"/>
      <c r="R355" s="1976"/>
      <c r="S355" s="1980"/>
      <c r="T355" s="1976"/>
      <c r="U355" s="1976"/>
      <c r="V355" s="1976"/>
      <c r="W355" s="578"/>
      <c r="X355" s="1239"/>
      <c r="Y355" s="578"/>
      <c r="Z355" s="578"/>
      <c r="AA355" s="578"/>
      <c r="AB355" s="1143"/>
      <c r="AC355" s="578"/>
      <c r="AD355" s="578"/>
      <c r="AE355" s="578"/>
      <c r="AF355" s="578"/>
      <c r="AG355" s="580"/>
      <c r="AH355" s="579"/>
      <c r="AI355" s="578"/>
      <c r="AJ355" s="578"/>
      <c r="AK355" s="578"/>
      <c r="AL355" s="580"/>
      <c r="AN355" s="991"/>
      <c r="AP355" s="2285" t="str">
        <f t="shared" si="405"/>
        <v>Qty</v>
      </c>
      <c r="AQ355" s="2286" t="str">
        <f t="shared" si="405"/>
        <v>[Service]</v>
      </c>
      <c r="AR355" s="2287" t="str">
        <f t="shared" si="406"/>
        <v>[Price]</v>
      </c>
      <c r="AS355" s="2288" t="str">
        <f t="shared" si="430"/>
        <v>-</v>
      </c>
      <c r="AT355" s="1720" t="str">
        <f t="shared" si="430"/>
        <v>-</v>
      </c>
      <c r="AU355" s="1720" t="str">
        <f t="shared" si="430"/>
        <v>-</v>
      </c>
      <c r="AV355" s="2289" t="str">
        <f t="shared" si="430"/>
        <v>-</v>
      </c>
      <c r="AW355" s="1720" t="str">
        <f t="shared" si="430"/>
        <v>-</v>
      </c>
      <c r="AX355" s="2290" t="str">
        <f t="shared" si="430"/>
        <v>-</v>
      </c>
      <c r="AY355" s="1720" t="str">
        <f t="shared" si="430"/>
        <v>-</v>
      </c>
      <c r="AZ355" s="1720" t="str">
        <f t="shared" si="430"/>
        <v>-</v>
      </c>
      <c r="BA355" s="1720" t="str">
        <f t="shared" si="430"/>
        <v>-</v>
      </c>
      <c r="BB355" s="1721" t="str">
        <f t="shared" si="430"/>
        <v>-</v>
      </c>
      <c r="BC355" s="1720" t="str">
        <f t="shared" si="430"/>
        <v>-</v>
      </c>
      <c r="BD355" s="1720" t="str">
        <f t="shared" si="430"/>
        <v>-</v>
      </c>
      <c r="BE355" s="1720" t="str">
        <f t="shared" si="430"/>
        <v>-</v>
      </c>
      <c r="BF355" s="1720" t="str">
        <f t="shared" si="430"/>
        <v>-</v>
      </c>
      <c r="BG355" s="1721" t="str">
        <f t="shared" si="430"/>
        <v>-</v>
      </c>
      <c r="BH355" s="1048"/>
      <c r="BI355" s="2285" t="str">
        <f t="shared" si="427"/>
        <v>Qty</v>
      </c>
      <c r="BJ355" s="2286" t="str">
        <f t="shared" si="427"/>
        <v>[Service]</v>
      </c>
      <c r="BK355" s="2287" t="str">
        <f t="shared" si="427"/>
        <v>[Price]</v>
      </c>
      <c r="BL355" s="2288" t="str">
        <f t="shared" ref="BL355:BZ355" si="449">IF(OR(X355="",X355=0),"-",IFERROR((X355/W355-1)*(W356/W$13),"-"))</f>
        <v>-</v>
      </c>
      <c r="BM355" s="1720" t="str">
        <f t="shared" si="449"/>
        <v>-</v>
      </c>
      <c r="BN355" s="1720" t="str">
        <f t="shared" si="449"/>
        <v>-</v>
      </c>
      <c r="BO355" s="2289" t="str">
        <f t="shared" si="449"/>
        <v>-</v>
      </c>
      <c r="BP355" s="1720" t="str">
        <f t="shared" si="449"/>
        <v>-</v>
      </c>
      <c r="BQ355" s="2290" t="str">
        <f t="shared" si="449"/>
        <v>-</v>
      </c>
      <c r="BR355" s="1720" t="str">
        <f t="shared" si="449"/>
        <v>-</v>
      </c>
      <c r="BS355" s="1720" t="str">
        <f t="shared" si="449"/>
        <v>-</v>
      </c>
      <c r="BT355" s="1720" t="str">
        <f t="shared" si="449"/>
        <v>-</v>
      </c>
      <c r="BU355" s="1721" t="str">
        <f t="shared" si="449"/>
        <v>-</v>
      </c>
      <c r="BV355" s="1720" t="str">
        <f t="shared" si="449"/>
        <v>-</v>
      </c>
      <c r="BW355" s="1720" t="str">
        <f t="shared" si="449"/>
        <v>-</v>
      </c>
      <c r="BX355" s="1720" t="str">
        <f t="shared" si="449"/>
        <v>-</v>
      </c>
      <c r="BY355" s="1720" t="str">
        <f t="shared" si="449"/>
        <v>-</v>
      </c>
      <c r="BZ355" s="1721" t="str">
        <f t="shared" si="449"/>
        <v>-</v>
      </c>
    </row>
    <row r="356" spans="3:78" ht="12.5" thickBot="1" x14ac:dyDescent="0.35">
      <c r="C356" s="126"/>
      <c r="D356" s="126"/>
      <c r="E356" s="559" t="s">
        <v>47</v>
      </c>
      <c r="F356" s="1723" t="str">
        <f>+F354</f>
        <v>[Service]</v>
      </c>
      <c r="G356" s="1726">
        <f>+G354</f>
        <v>0</v>
      </c>
      <c r="H356" s="1726">
        <f>+H354</f>
        <v>0</v>
      </c>
      <c r="I356" s="1727" t="str">
        <f>+I354</f>
        <v>[Price]</v>
      </c>
      <c r="J356" s="556" t="s">
        <v>347</v>
      </c>
      <c r="K356" s="1977"/>
      <c r="L356" s="1206"/>
      <c r="M356" s="1206"/>
      <c r="N356" s="1978"/>
      <c r="O356" s="1206"/>
      <c r="P356" s="1206"/>
      <c r="Q356" s="1206"/>
      <c r="R356" s="1206"/>
      <c r="S356" s="1978"/>
      <c r="T356" s="1206"/>
      <c r="U356" s="1206"/>
      <c r="V356" s="1206"/>
      <c r="W356" s="1731">
        <f t="shared" ref="W356:AG356" si="450">W354*W355/10^6</f>
        <v>0</v>
      </c>
      <c r="X356" s="1730">
        <f t="shared" si="450"/>
        <v>0</v>
      </c>
      <c r="Y356" s="1731">
        <f t="shared" si="450"/>
        <v>0</v>
      </c>
      <c r="Z356" s="1731">
        <f t="shared" si="450"/>
        <v>0</v>
      </c>
      <c r="AA356" s="1731">
        <f t="shared" si="450"/>
        <v>0</v>
      </c>
      <c r="AB356" s="1733">
        <f t="shared" si="450"/>
        <v>0</v>
      </c>
      <c r="AC356" s="1731">
        <f t="shared" si="450"/>
        <v>0</v>
      </c>
      <c r="AD356" s="1731">
        <f t="shared" si="450"/>
        <v>0</v>
      </c>
      <c r="AE356" s="1731">
        <f t="shared" si="450"/>
        <v>0</v>
      </c>
      <c r="AF356" s="1731">
        <f t="shared" si="450"/>
        <v>0</v>
      </c>
      <c r="AG356" s="1733">
        <f t="shared" si="450"/>
        <v>0</v>
      </c>
      <c r="AH356" s="1732">
        <f>AH354*AH355/10^6</f>
        <v>0</v>
      </c>
      <c r="AI356" s="1731">
        <f>AI354*AI355/10^6</f>
        <v>0</v>
      </c>
      <c r="AJ356" s="1731">
        <f>AJ354*AJ355/10^6</f>
        <v>0</v>
      </c>
      <c r="AK356" s="1731">
        <f>AK354*AK355/10^6</f>
        <v>0</v>
      </c>
      <c r="AL356" s="1733">
        <f>AL354*AL355/10^6</f>
        <v>0</v>
      </c>
      <c r="AN356" s="991"/>
      <c r="AP356" s="2304" t="str">
        <f t="shared" si="405"/>
        <v>Rev</v>
      </c>
      <c r="AQ356" s="2305" t="str">
        <f t="shared" si="405"/>
        <v>[Service]</v>
      </c>
      <c r="AR356" s="2306" t="str">
        <f t="shared" si="406"/>
        <v>[Price]</v>
      </c>
      <c r="AS356" s="2307" t="str">
        <f t="shared" si="430"/>
        <v>-</v>
      </c>
      <c r="AT356" s="1055" t="str">
        <f t="shared" si="430"/>
        <v>-</v>
      </c>
      <c r="AU356" s="1055" t="str">
        <f t="shared" si="430"/>
        <v>-</v>
      </c>
      <c r="AV356" s="2308" t="str">
        <f t="shared" si="430"/>
        <v>-</v>
      </c>
      <c r="AW356" s="1055" t="str">
        <f t="shared" si="430"/>
        <v>-</v>
      </c>
      <c r="AX356" s="2309" t="str">
        <f t="shared" si="430"/>
        <v>-</v>
      </c>
      <c r="AY356" s="1055" t="str">
        <f t="shared" si="430"/>
        <v>-</v>
      </c>
      <c r="AZ356" s="1055" t="str">
        <f t="shared" si="430"/>
        <v>-</v>
      </c>
      <c r="BA356" s="1055" t="str">
        <f t="shared" si="430"/>
        <v>-</v>
      </c>
      <c r="BB356" s="1056" t="str">
        <f t="shared" si="430"/>
        <v>-</v>
      </c>
      <c r="BC356" s="1055" t="str">
        <f t="shared" si="430"/>
        <v>-</v>
      </c>
      <c r="BD356" s="1055" t="str">
        <f t="shared" si="430"/>
        <v>-</v>
      </c>
      <c r="BE356" s="1055" t="str">
        <f t="shared" si="430"/>
        <v>-</v>
      </c>
      <c r="BF356" s="1055" t="str">
        <f t="shared" si="430"/>
        <v>-</v>
      </c>
      <c r="BG356" s="1056" t="str">
        <f t="shared" si="430"/>
        <v>-</v>
      </c>
      <c r="BH356" s="1048"/>
      <c r="BI356" s="2304" t="str">
        <f t="shared" si="427"/>
        <v>Rev</v>
      </c>
      <c r="BJ356" s="2305" t="str">
        <f t="shared" si="427"/>
        <v>[Service]</v>
      </c>
      <c r="BK356" s="2306" t="str">
        <f t="shared" si="427"/>
        <v>[Price]</v>
      </c>
      <c r="BL356" s="2307" t="str">
        <f t="shared" ref="BL356:BZ356" si="451">IF(OR(X356="",X356=0),"-",IFERROR((X356/W356-1)*(W356/W$13),"-"))</f>
        <v>-</v>
      </c>
      <c r="BM356" s="1055" t="str">
        <f t="shared" si="451"/>
        <v>-</v>
      </c>
      <c r="BN356" s="1055" t="str">
        <f t="shared" si="451"/>
        <v>-</v>
      </c>
      <c r="BO356" s="2308" t="str">
        <f t="shared" si="451"/>
        <v>-</v>
      </c>
      <c r="BP356" s="1055" t="str">
        <f t="shared" si="451"/>
        <v>-</v>
      </c>
      <c r="BQ356" s="2309" t="str">
        <f t="shared" si="451"/>
        <v>-</v>
      </c>
      <c r="BR356" s="1055" t="str">
        <f t="shared" si="451"/>
        <v>-</v>
      </c>
      <c r="BS356" s="1055" t="str">
        <f t="shared" si="451"/>
        <v>-</v>
      </c>
      <c r="BT356" s="1055" t="str">
        <f t="shared" si="451"/>
        <v>-</v>
      </c>
      <c r="BU356" s="1056" t="str">
        <f t="shared" si="451"/>
        <v>-</v>
      </c>
      <c r="BV356" s="1055" t="str">
        <f t="shared" si="451"/>
        <v>-</v>
      </c>
      <c r="BW356" s="1055" t="str">
        <f t="shared" si="451"/>
        <v>-</v>
      </c>
      <c r="BX356" s="1055" t="str">
        <f t="shared" si="451"/>
        <v>-</v>
      </c>
      <c r="BY356" s="1055" t="str">
        <f t="shared" si="451"/>
        <v>-</v>
      </c>
      <c r="BZ356" s="1056" t="str">
        <f t="shared" si="451"/>
        <v>-</v>
      </c>
    </row>
    <row r="357" spans="3:78" x14ac:dyDescent="0.3">
      <c r="C357" s="126"/>
      <c r="D357" s="126">
        <f>D354+1</f>
        <v>97</v>
      </c>
      <c r="E357" s="553" t="s">
        <v>45</v>
      </c>
      <c r="F357" s="581" t="s">
        <v>28</v>
      </c>
      <c r="G357" s="581"/>
      <c r="H357" s="581"/>
      <c r="I357" s="573" t="s">
        <v>319</v>
      </c>
      <c r="J357" s="573" t="s">
        <v>348</v>
      </c>
      <c r="K357" s="1969"/>
      <c r="L357" s="1970"/>
      <c r="M357" s="1970"/>
      <c r="N357" s="1971"/>
      <c r="O357" s="1970"/>
      <c r="P357" s="1970"/>
      <c r="Q357" s="1970"/>
      <c r="R357" s="1972"/>
      <c r="S357" s="1979"/>
      <c r="T357" s="1972"/>
      <c r="U357" s="1972"/>
      <c r="V357" s="1972"/>
      <c r="W357" s="575"/>
      <c r="X357" s="1238"/>
      <c r="Y357" s="575"/>
      <c r="Z357" s="575"/>
      <c r="AA357" s="575"/>
      <c r="AB357" s="1142"/>
      <c r="AC357" s="575"/>
      <c r="AD357" s="575"/>
      <c r="AE357" s="575"/>
      <c r="AF357" s="575"/>
      <c r="AG357" s="577"/>
      <c r="AH357" s="576"/>
      <c r="AI357" s="575"/>
      <c r="AJ357" s="575"/>
      <c r="AK357" s="575"/>
      <c r="AL357" s="577"/>
      <c r="AN357" s="1052"/>
      <c r="AP357" s="2297" t="str">
        <f t="shared" si="405"/>
        <v>Price</v>
      </c>
      <c r="AQ357" s="2298" t="str">
        <f t="shared" si="405"/>
        <v>[Service]</v>
      </c>
      <c r="AR357" s="1719" t="str">
        <f t="shared" si="406"/>
        <v>[Price]</v>
      </c>
      <c r="AS357" s="2299" t="str">
        <f t="shared" si="430"/>
        <v>-</v>
      </c>
      <c r="AT357" s="1728" t="str">
        <f t="shared" si="430"/>
        <v>-</v>
      </c>
      <c r="AU357" s="1728" t="str">
        <f t="shared" si="430"/>
        <v>-</v>
      </c>
      <c r="AV357" s="2300" t="str">
        <f t="shared" si="430"/>
        <v>-</v>
      </c>
      <c r="AW357" s="1728" t="str">
        <f t="shared" si="430"/>
        <v>-</v>
      </c>
      <c r="AX357" s="2301" t="str">
        <f t="shared" si="430"/>
        <v>-</v>
      </c>
      <c r="AY357" s="1728" t="str">
        <f t="shared" si="430"/>
        <v>-</v>
      </c>
      <c r="AZ357" s="1728" t="str">
        <f t="shared" si="430"/>
        <v>-</v>
      </c>
      <c r="BA357" s="1728" t="str">
        <f t="shared" si="430"/>
        <v>-</v>
      </c>
      <c r="BB357" s="1729" t="str">
        <f t="shared" si="430"/>
        <v>-</v>
      </c>
      <c r="BC357" s="1728" t="str">
        <f t="shared" si="430"/>
        <v>-</v>
      </c>
      <c r="BD357" s="1728" t="str">
        <f t="shared" si="430"/>
        <v>-</v>
      </c>
      <c r="BE357" s="1728" t="str">
        <f t="shared" si="430"/>
        <v>-</v>
      </c>
      <c r="BF357" s="1728" t="str">
        <f t="shared" si="430"/>
        <v>-</v>
      </c>
      <c r="BG357" s="1729" t="str">
        <f t="shared" si="430"/>
        <v>-</v>
      </c>
      <c r="BH357" s="1048"/>
      <c r="BI357" s="2297" t="str">
        <f t="shared" si="427"/>
        <v>Price</v>
      </c>
      <c r="BJ357" s="2298" t="str">
        <f t="shared" si="427"/>
        <v>[Service]</v>
      </c>
      <c r="BK357" s="1719" t="str">
        <f t="shared" si="427"/>
        <v>[Price]</v>
      </c>
      <c r="BL357" s="2299" t="str">
        <f t="shared" ref="BL357:BZ357" si="452">IF(OR(X357="",X357=0),"-",IFERROR((X357/W357-1)*(W359/W$13),"-"))</f>
        <v>-</v>
      </c>
      <c r="BM357" s="1053" t="str">
        <f t="shared" si="452"/>
        <v>-</v>
      </c>
      <c r="BN357" s="1053" t="str">
        <f t="shared" si="452"/>
        <v>-</v>
      </c>
      <c r="BO357" s="2302" t="str">
        <f t="shared" si="452"/>
        <v>-</v>
      </c>
      <c r="BP357" s="1053" t="str">
        <f t="shared" si="452"/>
        <v>-</v>
      </c>
      <c r="BQ357" s="2303" t="str">
        <f t="shared" si="452"/>
        <v>-</v>
      </c>
      <c r="BR357" s="1053" t="str">
        <f t="shared" si="452"/>
        <v>-</v>
      </c>
      <c r="BS357" s="1053" t="str">
        <f t="shared" si="452"/>
        <v>-</v>
      </c>
      <c r="BT357" s="1053" t="str">
        <f t="shared" si="452"/>
        <v>-</v>
      </c>
      <c r="BU357" s="1054" t="str">
        <f t="shared" si="452"/>
        <v>-</v>
      </c>
      <c r="BV357" s="1053" t="str">
        <f t="shared" si="452"/>
        <v>-</v>
      </c>
      <c r="BW357" s="1053" t="str">
        <f t="shared" si="452"/>
        <v>-</v>
      </c>
      <c r="BX357" s="1053" t="str">
        <f t="shared" si="452"/>
        <v>-</v>
      </c>
      <c r="BY357" s="1053" t="str">
        <f t="shared" si="452"/>
        <v>-</v>
      </c>
      <c r="BZ357" s="1054" t="str">
        <f t="shared" si="452"/>
        <v>-</v>
      </c>
    </row>
    <row r="358" spans="3:78" x14ac:dyDescent="0.3">
      <c r="C358" s="126"/>
      <c r="D358" s="126"/>
      <c r="E358" s="558" t="s">
        <v>46</v>
      </c>
      <c r="F358" s="1722" t="str">
        <f>+F357</f>
        <v>[Service]</v>
      </c>
      <c r="G358" s="1724">
        <f>+G357</f>
        <v>0</v>
      </c>
      <c r="H358" s="1724">
        <f>+H357</f>
        <v>0</v>
      </c>
      <c r="I358" s="1725" t="str">
        <f>+I357</f>
        <v>[Price]</v>
      </c>
      <c r="J358" s="574" t="s">
        <v>323</v>
      </c>
      <c r="K358" s="1973"/>
      <c r="L358" s="1974"/>
      <c r="M358" s="1974"/>
      <c r="N358" s="1975"/>
      <c r="O358" s="1974"/>
      <c r="P358" s="1974"/>
      <c r="Q358" s="1974"/>
      <c r="R358" s="1976"/>
      <c r="S358" s="1980"/>
      <c r="T358" s="1976"/>
      <c r="U358" s="1976"/>
      <c r="V358" s="1976"/>
      <c r="W358" s="578"/>
      <c r="X358" s="1239"/>
      <c r="Y358" s="578"/>
      <c r="Z358" s="578"/>
      <c r="AA358" s="578"/>
      <c r="AB358" s="1143"/>
      <c r="AC358" s="578"/>
      <c r="AD358" s="578"/>
      <c r="AE358" s="578"/>
      <c r="AF358" s="578"/>
      <c r="AG358" s="580"/>
      <c r="AH358" s="579"/>
      <c r="AI358" s="578"/>
      <c r="AJ358" s="578"/>
      <c r="AK358" s="578"/>
      <c r="AL358" s="580"/>
      <c r="AN358" s="991"/>
      <c r="AP358" s="2285" t="str">
        <f t="shared" si="405"/>
        <v>Qty</v>
      </c>
      <c r="AQ358" s="2286" t="str">
        <f t="shared" si="405"/>
        <v>[Service]</v>
      </c>
      <c r="AR358" s="2287" t="str">
        <f t="shared" si="406"/>
        <v>[Price]</v>
      </c>
      <c r="AS358" s="2288" t="str">
        <f t="shared" ref="AS358:BG374" si="453">IF(OR(X358="",X358=0),"-",IFERROR(X358/W358-1,"-"))</f>
        <v>-</v>
      </c>
      <c r="AT358" s="1720" t="str">
        <f t="shared" si="453"/>
        <v>-</v>
      </c>
      <c r="AU358" s="1720" t="str">
        <f t="shared" si="453"/>
        <v>-</v>
      </c>
      <c r="AV358" s="2289" t="str">
        <f t="shared" si="453"/>
        <v>-</v>
      </c>
      <c r="AW358" s="1720" t="str">
        <f t="shared" si="453"/>
        <v>-</v>
      </c>
      <c r="AX358" s="2290" t="str">
        <f t="shared" si="453"/>
        <v>-</v>
      </c>
      <c r="AY358" s="1720" t="str">
        <f t="shared" si="453"/>
        <v>-</v>
      </c>
      <c r="AZ358" s="1720" t="str">
        <f t="shared" si="453"/>
        <v>-</v>
      </c>
      <c r="BA358" s="1720" t="str">
        <f t="shared" si="453"/>
        <v>-</v>
      </c>
      <c r="BB358" s="1721" t="str">
        <f t="shared" si="453"/>
        <v>-</v>
      </c>
      <c r="BC358" s="1720" t="str">
        <f t="shared" si="453"/>
        <v>-</v>
      </c>
      <c r="BD358" s="1720" t="str">
        <f t="shared" si="453"/>
        <v>-</v>
      </c>
      <c r="BE358" s="1720" t="str">
        <f t="shared" si="453"/>
        <v>-</v>
      </c>
      <c r="BF358" s="1720" t="str">
        <f t="shared" si="453"/>
        <v>-</v>
      </c>
      <c r="BG358" s="1721" t="str">
        <f t="shared" si="453"/>
        <v>-</v>
      </c>
      <c r="BH358" s="1048"/>
      <c r="BI358" s="2285" t="str">
        <f t="shared" si="427"/>
        <v>Qty</v>
      </c>
      <c r="BJ358" s="2286" t="str">
        <f t="shared" si="427"/>
        <v>[Service]</v>
      </c>
      <c r="BK358" s="2287" t="str">
        <f t="shared" si="427"/>
        <v>[Price]</v>
      </c>
      <c r="BL358" s="2288" t="str">
        <f t="shared" ref="BL358:BZ358" si="454">IF(OR(X358="",X358=0),"-",IFERROR((X358/W358-1)*(W359/W$13),"-"))</f>
        <v>-</v>
      </c>
      <c r="BM358" s="1720" t="str">
        <f t="shared" si="454"/>
        <v>-</v>
      </c>
      <c r="BN358" s="1720" t="str">
        <f t="shared" si="454"/>
        <v>-</v>
      </c>
      <c r="BO358" s="2289" t="str">
        <f t="shared" si="454"/>
        <v>-</v>
      </c>
      <c r="BP358" s="1720" t="str">
        <f t="shared" si="454"/>
        <v>-</v>
      </c>
      <c r="BQ358" s="2290" t="str">
        <f t="shared" si="454"/>
        <v>-</v>
      </c>
      <c r="BR358" s="1720" t="str">
        <f t="shared" si="454"/>
        <v>-</v>
      </c>
      <c r="BS358" s="1720" t="str">
        <f t="shared" si="454"/>
        <v>-</v>
      </c>
      <c r="BT358" s="1720" t="str">
        <f t="shared" si="454"/>
        <v>-</v>
      </c>
      <c r="BU358" s="1721" t="str">
        <f t="shared" si="454"/>
        <v>-</v>
      </c>
      <c r="BV358" s="1720" t="str">
        <f t="shared" si="454"/>
        <v>-</v>
      </c>
      <c r="BW358" s="1720" t="str">
        <f t="shared" si="454"/>
        <v>-</v>
      </c>
      <c r="BX358" s="1720" t="str">
        <f t="shared" si="454"/>
        <v>-</v>
      </c>
      <c r="BY358" s="1720" t="str">
        <f t="shared" si="454"/>
        <v>-</v>
      </c>
      <c r="BZ358" s="1721" t="str">
        <f t="shared" si="454"/>
        <v>-</v>
      </c>
    </row>
    <row r="359" spans="3:78" ht="12.5" thickBot="1" x14ac:dyDescent="0.35">
      <c r="C359" s="126"/>
      <c r="D359" s="126"/>
      <c r="E359" s="559" t="s">
        <v>47</v>
      </c>
      <c r="F359" s="1723" t="str">
        <f>+F357</f>
        <v>[Service]</v>
      </c>
      <c r="G359" s="1726">
        <f>+G357</f>
        <v>0</v>
      </c>
      <c r="H359" s="1726">
        <f>+H357</f>
        <v>0</v>
      </c>
      <c r="I359" s="1727" t="str">
        <f>+I357</f>
        <v>[Price]</v>
      </c>
      <c r="J359" s="556" t="s">
        <v>347</v>
      </c>
      <c r="K359" s="1977"/>
      <c r="L359" s="1206"/>
      <c r="M359" s="1206"/>
      <c r="N359" s="1978"/>
      <c r="O359" s="1206"/>
      <c r="P359" s="1206"/>
      <c r="Q359" s="1206"/>
      <c r="R359" s="1206"/>
      <c r="S359" s="1978"/>
      <c r="T359" s="1206"/>
      <c r="U359" s="1206"/>
      <c r="V359" s="1206"/>
      <c r="W359" s="1731">
        <f t="shared" ref="W359:AG359" si="455">W357*W358/10^6</f>
        <v>0</v>
      </c>
      <c r="X359" s="1730">
        <f t="shared" si="455"/>
        <v>0</v>
      </c>
      <c r="Y359" s="1731">
        <f t="shared" si="455"/>
        <v>0</v>
      </c>
      <c r="Z359" s="1731">
        <f t="shared" si="455"/>
        <v>0</v>
      </c>
      <c r="AA359" s="1731">
        <f t="shared" si="455"/>
        <v>0</v>
      </c>
      <c r="AB359" s="1733">
        <f t="shared" si="455"/>
        <v>0</v>
      </c>
      <c r="AC359" s="1731">
        <f t="shared" si="455"/>
        <v>0</v>
      </c>
      <c r="AD359" s="1731">
        <f t="shared" si="455"/>
        <v>0</v>
      </c>
      <c r="AE359" s="1731">
        <f t="shared" si="455"/>
        <v>0</v>
      </c>
      <c r="AF359" s="1731">
        <f t="shared" si="455"/>
        <v>0</v>
      </c>
      <c r="AG359" s="1733">
        <f t="shared" si="455"/>
        <v>0</v>
      </c>
      <c r="AH359" s="1732">
        <f>AH357*AH358/10^6</f>
        <v>0</v>
      </c>
      <c r="AI359" s="1731">
        <f>AI357*AI358/10^6</f>
        <v>0</v>
      </c>
      <c r="AJ359" s="1731">
        <f>AJ357*AJ358/10^6</f>
        <v>0</v>
      </c>
      <c r="AK359" s="1731">
        <f>AK357*AK358/10^6</f>
        <v>0</v>
      </c>
      <c r="AL359" s="1733">
        <f>AL357*AL358/10^6</f>
        <v>0</v>
      </c>
      <c r="AN359" s="991"/>
      <c r="AP359" s="2304" t="str">
        <f t="shared" si="405"/>
        <v>Rev</v>
      </c>
      <c r="AQ359" s="2305" t="str">
        <f t="shared" si="405"/>
        <v>[Service]</v>
      </c>
      <c r="AR359" s="2306" t="str">
        <f t="shared" si="406"/>
        <v>[Price]</v>
      </c>
      <c r="AS359" s="2307" t="str">
        <f t="shared" si="453"/>
        <v>-</v>
      </c>
      <c r="AT359" s="1055" t="str">
        <f t="shared" si="453"/>
        <v>-</v>
      </c>
      <c r="AU359" s="1055" t="str">
        <f t="shared" si="453"/>
        <v>-</v>
      </c>
      <c r="AV359" s="2308" t="str">
        <f t="shared" si="453"/>
        <v>-</v>
      </c>
      <c r="AW359" s="1055" t="str">
        <f t="shared" si="453"/>
        <v>-</v>
      </c>
      <c r="AX359" s="2309" t="str">
        <f t="shared" si="453"/>
        <v>-</v>
      </c>
      <c r="AY359" s="1055" t="str">
        <f t="shared" si="453"/>
        <v>-</v>
      </c>
      <c r="AZ359" s="1055" t="str">
        <f t="shared" si="453"/>
        <v>-</v>
      </c>
      <c r="BA359" s="1055" t="str">
        <f t="shared" si="453"/>
        <v>-</v>
      </c>
      <c r="BB359" s="1056" t="str">
        <f t="shared" si="453"/>
        <v>-</v>
      </c>
      <c r="BC359" s="1055" t="str">
        <f t="shared" si="453"/>
        <v>-</v>
      </c>
      <c r="BD359" s="1055" t="str">
        <f t="shared" si="453"/>
        <v>-</v>
      </c>
      <c r="BE359" s="1055" t="str">
        <f t="shared" si="453"/>
        <v>-</v>
      </c>
      <c r="BF359" s="1055" t="str">
        <f t="shared" si="453"/>
        <v>-</v>
      </c>
      <c r="BG359" s="1056" t="str">
        <f t="shared" si="453"/>
        <v>-</v>
      </c>
      <c r="BH359" s="1048"/>
      <c r="BI359" s="2304" t="str">
        <f t="shared" si="427"/>
        <v>Rev</v>
      </c>
      <c r="BJ359" s="2305" t="str">
        <f t="shared" si="427"/>
        <v>[Service]</v>
      </c>
      <c r="BK359" s="2306" t="str">
        <f t="shared" si="427"/>
        <v>[Price]</v>
      </c>
      <c r="BL359" s="2307" t="str">
        <f t="shared" ref="BL359:BZ359" si="456">IF(OR(X359="",X359=0),"-",IFERROR((X359/W359-1)*(W359/W$13),"-"))</f>
        <v>-</v>
      </c>
      <c r="BM359" s="1055" t="str">
        <f t="shared" si="456"/>
        <v>-</v>
      </c>
      <c r="BN359" s="1055" t="str">
        <f t="shared" si="456"/>
        <v>-</v>
      </c>
      <c r="BO359" s="2308" t="str">
        <f t="shared" si="456"/>
        <v>-</v>
      </c>
      <c r="BP359" s="1055" t="str">
        <f t="shared" si="456"/>
        <v>-</v>
      </c>
      <c r="BQ359" s="2309" t="str">
        <f t="shared" si="456"/>
        <v>-</v>
      </c>
      <c r="BR359" s="1055" t="str">
        <f t="shared" si="456"/>
        <v>-</v>
      </c>
      <c r="BS359" s="1055" t="str">
        <f t="shared" si="456"/>
        <v>-</v>
      </c>
      <c r="BT359" s="1055" t="str">
        <f t="shared" si="456"/>
        <v>-</v>
      </c>
      <c r="BU359" s="1056" t="str">
        <f t="shared" si="456"/>
        <v>-</v>
      </c>
      <c r="BV359" s="1055" t="str">
        <f t="shared" si="456"/>
        <v>-</v>
      </c>
      <c r="BW359" s="1055" t="str">
        <f t="shared" si="456"/>
        <v>-</v>
      </c>
      <c r="BX359" s="1055" t="str">
        <f t="shared" si="456"/>
        <v>-</v>
      </c>
      <c r="BY359" s="1055" t="str">
        <f t="shared" si="456"/>
        <v>-</v>
      </c>
      <c r="BZ359" s="1056" t="str">
        <f t="shared" si="456"/>
        <v>-</v>
      </c>
    </row>
    <row r="360" spans="3:78" x14ac:dyDescent="0.3">
      <c r="C360" s="126"/>
      <c r="D360" s="126">
        <f>D357+1</f>
        <v>98</v>
      </c>
      <c r="E360" s="553" t="s">
        <v>45</v>
      </c>
      <c r="F360" s="581" t="s">
        <v>28</v>
      </c>
      <c r="G360" s="581"/>
      <c r="H360" s="581"/>
      <c r="I360" s="573" t="s">
        <v>319</v>
      </c>
      <c r="J360" s="573" t="s">
        <v>348</v>
      </c>
      <c r="K360" s="1969"/>
      <c r="L360" s="1970"/>
      <c r="M360" s="1970"/>
      <c r="N360" s="1971"/>
      <c r="O360" s="1970"/>
      <c r="P360" s="1970"/>
      <c r="Q360" s="1970"/>
      <c r="R360" s="1972"/>
      <c r="S360" s="1979"/>
      <c r="T360" s="1972"/>
      <c r="U360" s="1972"/>
      <c r="V360" s="1972"/>
      <c r="W360" s="575"/>
      <c r="X360" s="1238"/>
      <c r="Y360" s="575"/>
      <c r="Z360" s="575"/>
      <c r="AA360" s="575"/>
      <c r="AB360" s="1142"/>
      <c r="AC360" s="575"/>
      <c r="AD360" s="575"/>
      <c r="AE360" s="575"/>
      <c r="AF360" s="575"/>
      <c r="AG360" s="577"/>
      <c r="AH360" s="576"/>
      <c r="AI360" s="575"/>
      <c r="AJ360" s="575"/>
      <c r="AK360" s="575"/>
      <c r="AL360" s="577"/>
      <c r="AN360" s="1052"/>
      <c r="AP360" s="2297" t="str">
        <f t="shared" si="405"/>
        <v>Price</v>
      </c>
      <c r="AQ360" s="2298" t="str">
        <f t="shared" si="405"/>
        <v>[Service]</v>
      </c>
      <c r="AR360" s="1719" t="str">
        <f t="shared" si="406"/>
        <v>[Price]</v>
      </c>
      <c r="AS360" s="2299" t="str">
        <f t="shared" si="453"/>
        <v>-</v>
      </c>
      <c r="AT360" s="1728" t="str">
        <f t="shared" si="453"/>
        <v>-</v>
      </c>
      <c r="AU360" s="1728" t="str">
        <f t="shared" si="453"/>
        <v>-</v>
      </c>
      <c r="AV360" s="2300" t="str">
        <f t="shared" si="453"/>
        <v>-</v>
      </c>
      <c r="AW360" s="1728" t="str">
        <f t="shared" si="453"/>
        <v>-</v>
      </c>
      <c r="AX360" s="2301" t="str">
        <f t="shared" si="453"/>
        <v>-</v>
      </c>
      <c r="AY360" s="1728" t="str">
        <f t="shared" si="453"/>
        <v>-</v>
      </c>
      <c r="AZ360" s="1728" t="str">
        <f t="shared" si="453"/>
        <v>-</v>
      </c>
      <c r="BA360" s="1728" t="str">
        <f t="shared" si="453"/>
        <v>-</v>
      </c>
      <c r="BB360" s="1729" t="str">
        <f t="shared" si="453"/>
        <v>-</v>
      </c>
      <c r="BC360" s="1728" t="str">
        <f t="shared" si="453"/>
        <v>-</v>
      </c>
      <c r="BD360" s="1728" t="str">
        <f t="shared" si="453"/>
        <v>-</v>
      </c>
      <c r="BE360" s="1728" t="str">
        <f t="shared" si="453"/>
        <v>-</v>
      </c>
      <c r="BF360" s="1728" t="str">
        <f t="shared" si="453"/>
        <v>-</v>
      </c>
      <c r="BG360" s="1729" t="str">
        <f t="shared" si="453"/>
        <v>-</v>
      </c>
      <c r="BH360" s="1048"/>
      <c r="BI360" s="2297" t="str">
        <f t="shared" si="427"/>
        <v>Price</v>
      </c>
      <c r="BJ360" s="2298" t="str">
        <f t="shared" si="427"/>
        <v>[Service]</v>
      </c>
      <c r="BK360" s="1719" t="str">
        <f t="shared" si="427"/>
        <v>[Price]</v>
      </c>
      <c r="BL360" s="2299" t="str">
        <f t="shared" ref="BL360:BZ360" si="457">IF(OR(X360="",X360=0),"-",IFERROR((X360/W360-1)*(W362/W$13),"-"))</f>
        <v>-</v>
      </c>
      <c r="BM360" s="1053" t="str">
        <f t="shared" si="457"/>
        <v>-</v>
      </c>
      <c r="BN360" s="1053" t="str">
        <f t="shared" si="457"/>
        <v>-</v>
      </c>
      <c r="BO360" s="2302" t="str">
        <f t="shared" si="457"/>
        <v>-</v>
      </c>
      <c r="BP360" s="1053" t="str">
        <f t="shared" si="457"/>
        <v>-</v>
      </c>
      <c r="BQ360" s="2303" t="str">
        <f t="shared" si="457"/>
        <v>-</v>
      </c>
      <c r="BR360" s="1053" t="str">
        <f t="shared" si="457"/>
        <v>-</v>
      </c>
      <c r="BS360" s="1053" t="str">
        <f t="shared" si="457"/>
        <v>-</v>
      </c>
      <c r="BT360" s="1053" t="str">
        <f t="shared" si="457"/>
        <v>-</v>
      </c>
      <c r="BU360" s="1054" t="str">
        <f t="shared" si="457"/>
        <v>-</v>
      </c>
      <c r="BV360" s="1053" t="str">
        <f t="shared" si="457"/>
        <v>-</v>
      </c>
      <c r="BW360" s="1053" t="str">
        <f t="shared" si="457"/>
        <v>-</v>
      </c>
      <c r="BX360" s="1053" t="str">
        <f t="shared" si="457"/>
        <v>-</v>
      </c>
      <c r="BY360" s="1053" t="str">
        <f t="shared" si="457"/>
        <v>-</v>
      </c>
      <c r="BZ360" s="1054" t="str">
        <f t="shared" si="457"/>
        <v>-</v>
      </c>
    </row>
    <row r="361" spans="3:78" x14ac:dyDescent="0.3">
      <c r="C361" s="126"/>
      <c r="D361" s="126"/>
      <c r="E361" s="558" t="s">
        <v>46</v>
      </c>
      <c r="F361" s="1722" t="str">
        <f>+F360</f>
        <v>[Service]</v>
      </c>
      <c r="G361" s="1724">
        <f>+G360</f>
        <v>0</v>
      </c>
      <c r="H361" s="1724">
        <f>+H360</f>
        <v>0</v>
      </c>
      <c r="I361" s="1725" t="str">
        <f>+I360</f>
        <v>[Price]</v>
      </c>
      <c r="J361" s="574" t="s">
        <v>323</v>
      </c>
      <c r="K361" s="1973"/>
      <c r="L361" s="1974"/>
      <c r="M361" s="1974"/>
      <c r="N361" s="1975"/>
      <c r="O361" s="1974"/>
      <c r="P361" s="1974"/>
      <c r="Q361" s="1974"/>
      <c r="R361" s="1976"/>
      <c r="S361" s="1980"/>
      <c r="T361" s="1976"/>
      <c r="U361" s="1976"/>
      <c r="V361" s="1976"/>
      <c r="W361" s="578"/>
      <c r="X361" s="1239"/>
      <c r="Y361" s="578"/>
      <c r="Z361" s="578"/>
      <c r="AA361" s="578"/>
      <c r="AB361" s="1143"/>
      <c r="AC361" s="578"/>
      <c r="AD361" s="578"/>
      <c r="AE361" s="578"/>
      <c r="AF361" s="578"/>
      <c r="AG361" s="580"/>
      <c r="AH361" s="579"/>
      <c r="AI361" s="578"/>
      <c r="AJ361" s="578"/>
      <c r="AK361" s="578"/>
      <c r="AL361" s="580"/>
      <c r="AN361" s="991"/>
      <c r="AP361" s="2285" t="str">
        <f t="shared" si="405"/>
        <v>Qty</v>
      </c>
      <c r="AQ361" s="2286" t="str">
        <f t="shared" si="405"/>
        <v>[Service]</v>
      </c>
      <c r="AR361" s="2287" t="str">
        <f t="shared" si="406"/>
        <v>[Price]</v>
      </c>
      <c r="AS361" s="2288" t="str">
        <f t="shared" si="453"/>
        <v>-</v>
      </c>
      <c r="AT361" s="1720" t="str">
        <f t="shared" si="453"/>
        <v>-</v>
      </c>
      <c r="AU361" s="1720" t="str">
        <f t="shared" si="453"/>
        <v>-</v>
      </c>
      <c r="AV361" s="2289" t="str">
        <f t="shared" si="453"/>
        <v>-</v>
      </c>
      <c r="AW361" s="1720" t="str">
        <f t="shared" si="453"/>
        <v>-</v>
      </c>
      <c r="AX361" s="2290" t="str">
        <f t="shared" si="453"/>
        <v>-</v>
      </c>
      <c r="AY361" s="1720" t="str">
        <f t="shared" si="453"/>
        <v>-</v>
      </c>
      <c r="AZ361" s="1720" t="str">
        <f t="shared" si="453"/>
        <v>-</v>
      </c>
      <c r="BA361" s="1720" t="str">
        <f t="shared" si="453"/>
        <v>-</v>
      </c>
      <c r="BB361" s="1721" t="str">
        <f t="shared" si="453"/>
        <v>-</v>
      </c>
      <c r="BC361" s="1720" t="str">
        <f t="shared" si="453"/>
        <v>-</v>
      </c>
      <c r="BD361" s="1720" t="str">
        <f t="shared" si="453"/>
        <v>-</v>
      </c>
      <c r="BE361" s="1720" t="str">
        <f t="shared" si="453"/>
        <v>-</v>
      </c>
      <c r="BF361" s="1720" t="str">
        <f t="shared" si="453"/>
        <v>-</v>
      </c>
      <c r="BG361" s="1721" t="str">
        <f t="shared" si="453"/>
        <v>-</v>
      </c>
      <c r="BH361" s="1048"/>
      <c r="BI361" s="2285" t="str">
        <f t="shared" si="427"/>
        <v>Qty</v>
      </c>
      <c r="BJ361" s="2286" t="str">
        <f t="shared" si="427"/>
        <v>[Service]</v>
      </c>
      <c r="BK361" s="2287" t="str">
        <f t="shared" si="427"/>
        <v>[Price]</v>
      </c>
      <c r="BL361" s="2288" t="str">
        <f t="shared" ref="BL361:BZ361" si="458">IF(OR(X361="",X361=0),"-",IFERROR((X361/W361-1)*(W362/W$13),"-"))</f>
        <v>-</v>
      </c>
      <c r="BM361" s="1720" t="str">
        <f t="shared" si="458"/>
        <v>-</v>
      </c>
      <c r="BN361" s="1720" t="str">
        <f t="shared" si="458"/>
        <v>-</v>
      </c>
      <c r="BO361" s="2289" t="str">
        <f t="shared" si="458"/>
        <v>-</v>
      </c>
      <c r="BP361" s="1720" t="str">
        <f t="shared" si="458"/>
        <v>-</v>
      </c>
      <c r="BQ361" s="2290" t="str">
        <f t="shared" si="458"/>
        <v>-</v>
      </c>
      <c r="BR361" s="1720" t="str">
        <f t="shared" si="458"/>
        <v>-</v>
      </c>
      <c r="BS361" s="1720" t="str">
        <f t="shared" si="458"/>
        <v>-</v>
      </c>
      <c r="BT361" s="1720" t="str">
        <f t="shared" si="458"/>
        <v>-</v>
      </c>
      <c r="BU361" s="1721" t="str">
        <f t="shared" si="458"/>
        <v>-</v>
      </c>
      <c r="BV361" s="1720" t="str">
        <f t="shared" si="458"/>
        <v>-</v>
      </c>
      <c r="BW361" s="1720" t="str">
        <f t="shared" si="458"/>
        <v>-</v>
      </c>
      <c r="BX361" s="1720" t="str">
        <f t="shared" si="458"/>
        <v>-</v>
      </c>
      <c r="BY361" s="1720" t="str">
        <f t="shared" si="458"/>
        <v>-</v>
      </c>
      <c r="BZ361" s="1721" t="str">
        <f t="shared" si="458"/>
        <v>-</v>
      </c>
    </row>
    <row r="362" spans="3:78" ht="12.5" thickBot="1" x14ac:dyDescent="0.35">
      <c r="C362" s="126"/>
      <c r="D362" s="126"/>
      <c r="E362" s="559" t="s">
        <v>47</v>
      </c>
      <c r="F362" s="1723" t="str">
        <f>+F360</f>
        <v>[Service]</v>
      </c>
      <c r="G362" s="1726">
        <f>+G360</f>
        <v>0</v>
      </c>
      <c r="H362" s="1726">
        <f>+H360</f>
        <v>0</v>
      </c>
      <c r="I362" s="1727" t="str">
        <f>+I360</f>
        <v>[Price]</v>
      </c>
      <c r="J362" s="556" t="s">
        <v>347</v>
      </c>
      <c r="K362" s="1977"/>
      <c r="L362" s="1206"/>
      <c r="M362" s="1206"/>
      <c r="N362" s="1978"/>
      <c r="O362" s="1206"/>
      <c r="P362" s="1206"/>
      <c r="Q362" s="1206"/>
      <c r="R362" s="1206"/>
      <c r="S362" s="1978"/>
      <c r="T362" s="1206"/>
      <c r="U362" s="1206"/>
      <c r="V362" s="1206"/>
      <c r="W362" s="1731">
        <f t="shared" ref="W362:AG362" si="459">W360*W361/10^6</f>
        <v>0</v>
      </c>
      <c r="X362" s="1730">
        <f t="shared" si="459"/>
        <v>0</v>
      </c>
      <c r="Y362" s="1731">
        <f t="shared" si="459"/>
        <v>0</v>
      </c>
      <c r="Z362" s="1731">
        <f t="shared" si="459"/>
        <v>0</v>
      </c>
      <c r="AA362" s="1731">
        <f t="shared" si="459"/>
        <v>0</v>
      </c>
      <c r="AB362" s="1733">
        <f t="shared" si="459"/>
        <v>0</v>
      </c>
      <c r="AC362" s="1731">
        <f t="shared" si="459"/>
        <v>0</v>
      </c>
      <c r="AD362" s="1731">
        <f t="shared" si="459"/>
        <v>0</v>
      </c>
      <c r="AE362" s="1731">
        <f t="shared" si="459"/>
        <v>0</v>
      </c>
      <c r="AF362" s="1731">
        <f t="shared" si="459"/>
        <v>0</v>
      </c>
      <c r="AG362" s="1733">
        <f t="shared" si="459"/>
        <v>0</v>
      </c>
      <c r="AH362" s="1732">
        <f>AH360*AH361/10^6</f>
        <v>0</v>
      </c>
      <c r="AI362" s="1731">
        <f>AI360*AI361/10^6</f>
        <v>0</v>
      </c>
      <c r="AJ362" s="1731">
        <f>AJ360*AJ361/10^6</f>
        <v>0</v>
      </c>
      <c r="AK362" s="1731">
        <f>AK360*AK361/10^6</f>
        <v>0</v>
      </c>
      <c r="AL362" s="1733">
        <f>AL360*AL361/10^6</f>
        <v>0</v>
      </c>
      <c r="AN362" s="991"/>
      <c r="AP362" s="2304" t="str">
        <f t="shared" si="405"/>
        <v>Rev</v>
      </c>
      <c r="AQ362" s="2305" t="str">
        <f t="shared" si="405"/>
        <v>[Service]</v>
      </c>
      <c r="AR362" s="2306" t="str">
        <f t="shared" si="406"/>
        <v>[Price]</v>
      </c>
      <c r="AS362" s="2307" t="str">
        <f t="shared" si="453"/>
        <v>-</v>
      </c>
      <c r="AT362" s="1055" t="str">
        <f t="shared" si="453"/>
        <v>-</v>
      </c>
      <c r="AU362" s="1055" t="str">
        <f t="shared" si="453"/>
        <v>-</v>
      </c>
      <c r="AV362" s="2308" t="str">
        <f t="shared" si="453"/>
        <v>-</v>
      </c>
      <c r="AW362" s="1055" t="str">
        <f t="shared" si="453"/>
        <v>-</v>
      </c>
      <c r="AX362" s="2309" t="str">
        <f t="shared" si="453"/>
        <v>-</v>
      </c>
      <c r="AY362" s="1055" t="str">
        <f t="shared" si="453"/>
        <v>-</v>
      </c>
      <c r="AZ362" s="1055" t="str">
        <f t="shared" si="453"/>
        <v>-</v>
      </c>
      <c r="BA362" s="1055" t="str">
        <f t="shared" si="453"/>
        <v>-</v>
      </c>
      <c r="BB362" s="1056" t="str">
        <f t="shared" si="453"/>
        <v>-</v>
      </c>
      <c r="BC362" s="1055" t="str">
        <f t="shared" si="453"/>
        <v>-</v>
      </c>
      <c r="BD362" s="1055" t="str">
        <f t="shared" si="453"/>
        <v>-</v>
      </c>
      <c r="BE362" s="1055" t="str">
        <f t="shared" si="453"/>
        <v>-</v>
      </c>
      <c r="BF362" s="1055" t="str">
        <f t="shared" si="453"/>
        <v>-</v>
      </c>
      <c r="BG362" s="1056" t="str">
        <f t="shared" si="453"/>
        <v>-</v>
      </c>
      <c r="BH362" s="1048"/>
      <c r="BI362" s="2304" t="str">
        <f t="shared" si="427"/>
        <v>Rev</v>
      </c>
      <c r="BJ362" s="2305" t="str">
        <f t="shared" si="427"/>
        <v>[Service]</v>
      </c>
      <c r="BK362" s="2306" t="str">
        <f t="shared" si="427"/>
        <v>[Price]</v>
      </c>
      <c r="BL362" s="2307" t="str">
        <f t="shared" ref="BL362:BZ362" si="460">IF(OR(X362="",X362=0),"-",IFERROR((X362/W362-1)*(W362/W$13),"-"))</f>
        <v>-</v>
      </c>
      <c r="BM362" s="1055" t="str">
        <f t="shared" si="460"/>
        <v>-</v>
      </c>
      <c r="BN362" s="1055" t="str">
        <f t="shared" si="460"/>
        <v>-</v>
      </c>
      <c r="BO362" s="2308" t="str">
        <f t="shared" si="460"/>
        <v>-</v>
      </c>
      <c r="BP362" s="1055" t="str">
        <f t="shared" si="460"/>
        <v>-</v>
      </c>
      <c r="BQ362" s="2309" t="str">
        <f t="shared" si="460"/>
        <v>-</v>
      </c>
      <c r="BR362" s="1055" t="str">
        <f t="shared" si="460"/>
        <v>-</v>
      </c>
      <c r="BS362" s="1055" t="str">
        <f t="shared" si="460"/>
        <v>-</v>
      </c>
      <c r="BT362" s="1055" t="str">
        <f t="shared" si="460"/>
        <v>-</v>
      </c>
      <c r="BU362" s="1056" t="str">
        <f t="shared" si="460"/>
        <v>-</v>
      </c>
      <c r="BV362" s="1055" t="str">
        <f t="shared" si="460"/>
        <v>-</v>
      </c>
      <c r="BW362" s="1055" t="str">
        <f t="shared" si="460"/>
        <v>-</v>
      </c>
      <c r="BX362" s="1055" t="str">
        <f t="shared" si="460"/>
        <v>-</v>
      </c>
      <c r="BY362" s="1055" t="str">
        <f t="shared" si="460"/>
        <v>-</v>
      </c>
      <c r="BZ362" s="1056" t="str">
        <f t="shared" si="460"/>
        <v>-</v>
      </c>
    </row>
    <row r="363" spans="3:78" x14ac:dyDescent="0.3">
      <c r="C363" s="126"/>
      <c r="D363" s="126">
        <f>D360+1</f>
        <v>99</v>
      </c>
      <c r="E363" s="553" t="s">
        <v>45</v>
      </c>
      <c r="F363" s="581" t="s">
        <v>28</v>
      </c>
      <c r="G363" s="581"/>
      <c r="H363" s="581"/>
      <c r="I363" s="573" t="s">
        <v>319</v>
      </c>
      <c r="J363" s="573" t="s">
        <v>348</v>
      </c>
      <c r="K363" s="1969"/>
      <c r="L363" s="1970"/>
      <c r="M363" s="1970"/>
      <c r="N363" s="1971"/>
      <c r="O363" s="1970"/>
      <c r="P363" s="1970"/>
      <c r="Q363" s="1970"/>
      <c r="R363" s="1972"/>
      <c r="S363" s="1979"/>
      <c r="T363" s="1972"/>
      <c r="U363" s="1972"/>
      <c r="V363" s="1972"/>
      <c r="W363" s="575"/>
      <c r="X363" s="1238"/>
      <c r="Y363" s="575"/>
      <c r="Z363" s="575"/>
      <c r="AA363" s="575"/>
      <c r="AB363" s="1142"/>
      <c r="AC363" s="575"/>
      <c r="AD363" s="575"/>
      <c r="AE363" s="575"/>
      <c r="AF363" s="575"/>
      <c r="AG363" s="577"/>
      <c r="AH363" s="576"/>
      <c r="AI363" s="575"/>
      <c r="AJ363" s="575"/>
      <c r="AK363" s="575"/>
      <c r="AL363" s="577"/>
      <c r="AN363" s="1052"/>
      <c r="AP363" s="2297" t="str">
        <f t="shared" si="405"/>
        <v>Price</v>
      </c>
      <c r="AQ363" s="2298" t="str">
        <f t="shared" si="405"/>
        <v>[Service]</v>
      </c>
      <c r="AR363" s="1719" t="str">
        <f t="shared" si="406"/>
        <v>[Price]</v>
      </c>
      <c r="AS363" s="2299" t="str">
        <f t="shared" si="453"/>
        <v>-</v>
      </c>
      <c r="AT363" s="1728" t="str">
        <f t="shared" si="453"/>
        <v>-</v>
      </c>
      <c r="AU363" s="1728" t="str">
        <f t="shared" si="453"/>
        <v>-</v>
      </c>
      <c r="AV363" s="2300" t="str">
        <f t="shared" si="453"/>
        <v>-</v>
      </c>
      <c r="AW363" s="1728" t="str">
        <f t="shared" si="453"/>
        <v>-</v>
      </c>
      <c r="AX363" s="2301" t="str">
        <f t="shared" si="453"/>
        <v>-</v>
      </c>
      <c r="AY363" s="1728" t="str">
        <f t="shared" si="453"/>
        <v>-</v>
      </c>
      <c r="AZ363" s="1728" t="str">
        <f t="shared" si="453"/>
        <v>-</v>
      </c>
      <c r="BA363" s="1728" t="str">
        <f t="shared" si="453"/>
        <v>-</v>
      </c>
      <c r="BB363" s="1729" t="str">
        <f t="shared" si="453"/>
        <v>-</v>
      </c>
      <c r="BC363" s="1728" t="str">
        <f t="shared" si="453"/>
        <v>-</v>
      </c>
      <c r="BD363" s="1728" t="str">
        <f t="shared" si="453"/>
        <v>-</v>
      </c>
      <c r="BE363" s="1728" t="str">
        <f t="shared" si="453"/>
        <v>-</v>
      </c>
      <c r="BF363" s="1728" t="str">
        <f t="shared" si="453"/>
        <v>-</v>
      </c>
      <c r="BG363" s="1729" t="str">
        <f t="shared" si="453"/>
        <v>-</v>
      </c>
      <c r="BH363" s="1048"/>
      <c r="BI363" s="2297" t="str">
        <f t="shared" si="427"/>
        <v>Price</v>
      </c>
      <c r="BJ363" s="2298" t="str">
        <f t="shared" si="427"/>
        <v>[Service]</v>
      </c>
      <c r="BK363" s="1719" t="str">
        <f t="shared" si="427"/>
        <v>[Price]</v>
      </c>
      <c r="BL363" s="2299" t="str">
        <f t="shared" ref="BL363:BZ363" si="461">IF(OR(X363="",X363=0),"-",IFERROR((X363/W363-1)*(W365/W$13),"-"))</f>
        <v>-</v>
      </c>
      <c r="BM363" s="1053" t="str">
        <f t="shared" si="461"/>
        <v>-</v>
      </c>
      <c r="BN363" s="1053" t="str">
        <f t="shared" si="461"/>
        <v>-</v>
      </c>
      <c r="BO363" s="2302" t="str">
        <f t="shared" si="461"/>
        <v>-</v>
      </c>
      <c r="BP363" s="1053" t="str">
        <f t="shared" si="461"/>
        <v>-</v>
      </c>
      <c r="BQ363" s="2303" t="str">
        <f t="shared" si="461"/>
        <v>-</v>
      </c>
      <c r="BR363" s="1053" t="str">
        <f t="shared" si="461"/>
        <v>-</v>
      </c>
      <c r="BS363" s="1053" t="str">
        <f t="shared" si="461"/>
        <v>-</v>
      </c>
      <c r="BT363" s="1053" t="str">
        <f t="shared" si="461"/>
        <v>-</v>
      </c>
      <c r="BU363" s="1054" t="str">
        <f t="shared" si="461"/>
        <v>-</v>
      </c>
      <c r="BV363" s="1053" t="str">
        <f t="shared" si="461"/>
        <v>-</v>
      </c>
      <c r="BW363" s="1053" t="str">
        <f t="shared" si="461"/>
        <v>-</v>
      </c>
      <c r="BX363" s="1053" t="str">
        <f t="shared" si="461"/>
        <v>-</v>
      </c>
      <c r="BY363" s="1053" t="str">
        <f t="shared" si="461"/>
        <v>-</v>
      </c>
      <c r="BZ363" s="1054" t="str">
        <f t="shared" si="461"/>
        <v>-</v>
      </c>
    </row>
    <row r="364" spans="3:78" x14ac:dyDescent="0.3">
      <c r="C364" s="126"/>
      <c r="D364" s="126"/>
      <c r="E364" s="558" t="s">
        <v>46</v>
      </c>
      <c r="F364" s="1722" t="str">
        <f>+F363</f>
        <v>[Service]</v>
      </c>
      <c r="G364" s="1724">
        <f>+G363</f>
        <v>0</v>
      </c>
      <c r="H364" s="1724">
        <f>+H363</f>
        <v>0</v>
      </c>
      <c r="I364" s="1725" t="str">
        <f>+I363</f>
        <v>[Price]</v>
      </c>
      <c r="J364" s="574" t="s">
        <v>323</v>
      </c>
      <c r="K364" s="1973"/>
      <c r="L364" s="1974"/>
      <c r="M364" s="1974"/>
      <c r="N364" s="1975"/>
      <c r="O364" s="1974"/>
      <c r="P364" s="1974"/>
      <c r="Q364" s="1974"/>
      <c r="R364" s="1976"/>
      <c r="S364" s="1980"/>
      <c r="T364" s="1976"/>
      <c r="U364" s="1976"/>
      <c r="V364" s="1976"/>
      <c r="W364" s="578"/>
      <c r="X364" s="1239"/>
      <c r="Y364" s="578"/>
      <c r="Z364" s="578"/>
      <c r="AA364" s="578"/>
      <c r="AB364" s="1143"/>
      <c r="AC364" s="578"/>
      <c r="AD364" s="578"/>
      <c r="AE364" s="578"/>
      <c r="AF364" s="578"/>
      <c r="AG364" s="580"/>
      <c r="AH364" s="579"/>
      <c r="AI364" s="578"/>
      <c r="AJ364" s="578"/>
      <c r="AK364" s="578"/>
      <c r="AL364" s="580"/>
      <c r="AN364" s="991"/>
      <c r="AP364" s="2285" t="str">
        <f t="shared" si="405"/>
        <v>Qty</v>
      </c>
      <c r="AQ364" s="2286" t="str">
        <f t="shared" si="405"/>
        <v>[Service]</v>
      </c>
      <c r="AR364" s="2287" t="str">
        <f t="shared" si="406"/>
        <v>[Price]</v>
      </c>
      <c r="AS364" s="2288" t="str">
        <f t="shared" si="453"/>
        <v>-</v>
      </c>
      <c r="AT364" s="1720" t="str">
        <f t="shared" si="453"/>
        <v>-</v>
      </c>
      <c r="AU364" s="1720" t="str">
        <f t="shared" si="453"/>
        <v>-</v>
      </c>
      <c r="AV364" s="2289" t="str">
        <f t="shared" si="453"/>
        <v>-</v>
      </c>
      <c r="AW364" s="1720" t="str">
        <f t="shared" si="453"/>
        <v>-</v>
      </c>
      <c r="AX364" s="2290" t="str">
        <f t="shared" si="453"/>
        <v>-</v>
      </c>
      <c r="AY364" s="1720" t="str">
        <f t="shared" si="453"/>
        <v>-</v>
      </c>
      <c r="AZ364" s="1720" t="str">
        <f t="shared" si="453"/>
        <v>-</v>
      </c>
      <c r="BA364" s="1720" t="str">
        <f t="shared" si="453"/>
        <v>-</v>
      </c>
      <c r="BB364" s="1721" t="str">
        <f t="shared" si="453"/>
        <v>-</v>
      </c>
      <c r="BC364" s="1720" t="str">
        <f t="shared" si="453"/>
        <v>-</v>
      </c>
      <c r="BD364" s="1720" t="str">
        <f t="shared" si="453"/>
        <v>-</v>
      </c>
      <c r="BE364" s="1720" t="str">
        <f t="shared" si="453"/>
        <v>-</v>
      </c>
      <c r="BF364" s="1720" t="str">
        <f t="shared" si="453"/>
        <v>-</v>
      </c>
      <c r="BG364" s="1721" t="str">
        <f t="shared" si="453"/>
        <v>-</v>
      </c>
      <c r="BH364" s="1048"/>
      <c r="BI364" s="2285" t="str">
        <f t="shared" si="427"/>
        <v>Qty</v>
      </c>
      <c r="BJ364" s="2286" t="str">
        <f t="shared" si="427"/>
        <v>[Service]</v>
      </c>
      <c r="BK364" s="2287" t="str">
        <f t="shared" si="427"/>
        <v>[Price]</v>
      </c>
      <c r="BL364" s="2288" t="str">
        <f t="shared" ref="BL364:BZ364" si="462">IF(OR(X364="",X364=0),"-",IFERROR((X364/W364-1)*(W365/W$13),"-"))</f>
        <v>-</v>
      </c>
      <c r="BM364" s="1720" t="str">
        <f t="shared" si="462"/>
        <v>-</v>
      </c>
      <c r="BN364" s="1720" t="str">
        <f t="shared" si="462"/>
        <v>-</v>
      </c>
      <c r="BO364" s="2289" t="str">
        <f t="shared" si="462"/>
        <v>-</v>
      </c>
      <c r="BP364" s="1720" t="str">
        <f t="shared" si="462"/>
        <v>-</v>
      </c>
      <c r="BQ364" s="2290" t="str">
        <f t="shared" si="462"/>
        <v>-</v>
      </c>
      <c r="BR364" s="1720" t="str">
        <f t="shared" si="462"/>
        <v>-</v>
      </c>
      <c r="BS364" s="1720" t="str">
        <f t="shared" si="462"/>
        <v>-</v>
      </c>
      <c r="BT364" s="1720" t="str">
        <f t="shared" si="462"/>
        <v>-</v>
      </c>
      <c r="BU364" s="1721" t="str">
        <f t="shared" si="462"/>
        <v>-</v>
      </c>
      <c r="BV364" s="1720" t="str">
        <f t="shared" si="462"/>
        <v>-</v>
      </c>
      <c r="BW364" s="1720" t="str">
        <f t="shared" si="462"/>
        <v>-</v>
      </c>
      <c r="BX364" s="1720" t="str">
        <f t="shared" si="462"/>
        <v>-</v>
      </c>
      <c r="BY364" s="1720" t="str">
        <f t="shared" si="462"/>
        <v>-</v>
      </c>
      <c r="BZ364" s="1721" t="str">
        <f t="shared" si="462"/>
        <v>-</v>
      </c>
    </row>
    <row r="365" spans="3:78" ht="12.5" thickBot="1" x14ac:dyDescent="0.35">
      <c r="C365" s="126"/>
      <c r="D365" s="126"/>
      <c r="E365" s="559" t="s">
        <v>47</v>
      </c>
      <c r="F365" s="1723" t="str">
        <f>+F363</f>
        <v>[Service]</v>
      </c>
      <c r="G365" s="1726">
        <f>+G363</f>
        <v>0</v>
      </c>
      <c r="H365" s="1726">
        <f>+H363</f>
        <v>0</v>
      </c>
      <c r="I365" s="1727" t="str">
        <f>+I363</f>
        <v>[Price]</v>
      </c>
      <c r="J365" s="556" t="s">
        <v>347</v>
      </c>
      <c r="K365" s="1977"/>
      <c r="L365" s="1206"/>
      <c r="M365" s="1206"/>
      <c r="N365" s="1978"/>
      <c r="O365" s="1206"/>
      <c r="P365" s="1206"/>
      <c r="Q365" s="1206"/>
      <c r="R365" s="1206"/>
      <c r="S365" s="1978"/>
      <c r="T365" s="1206"/>
      <c r="U365" s="1206"/>
      <c r="V365" s="1206"/>
      <c r="W365" s="1731">
        <f t="shared" ref="W365:AG365" si="463">W363*W364/10^6</f>
        <v>0</v>
      </c>
      <c r="X365" s="1730">
        <f t="shared" si="463"/>
        <v>0</v>
      </c>
      <c r="Y365" s="1731">
        <f t="shared" si="463"/>
        <v>0</v>
      </c>
      <c r="Z365" s="1731">
        <f t="shared" si="463"/>
        <v>0</v>
      </c>
      <c r="AA365" s="1731">
        <f t="shared" si="463"/>
        <v>0</v>
      </c>
      <c r="AB365" s="1733">
        <f t="shared" si="463"/>
        <v>0</v>
      </c>
      <c r="AC365" s="1731">
        <f t="shared" si="463"/>
        <v>0</v>
      </c>
      <c r="AD365" s="1731">
        <f t="shared" si="463"/>
        <v>0</v>
      </c>
      <c r="AE365" s="1731">
        <f t="shared" si="463"/>
        <v>0</v>
      </c>
      <c r="AF365" s="1731">
        <f t="shared" si="463"/>
        <v>0</v>
      </c>
      <c r="AG365" s="1733">
        <f t="shared" si="463"/>
        <v>0</v>
      </c>
      <c r="AH365" s="1732">
        <f>AH363*AH364/10^6</f>
        <v>0</v>
      </c>
      <c r="AI365" s="1731">
        <f>AI363*AI364/10^6</f>
        <v>0</v>
      </c>
      <c r="AJ365" s="1731">
        <f>AJ363*AJ364/10^6</f>
        <v>0</v>
      </c>
      <c r="AK365" s="1731">
        <f>AK363*AK364/10^6</f>
        <v>0</v>
      </c>
      <c r="AL365" s="1733">
        <f>AL363*AL364/10^6</f>
        <v>0</v>
      </c>
      <c r="AN365" s="991"/>
      <c r="AP365" s="2304" t="str">
        <f t="shared" si="405"/>
        <v>Rev</v>
      </c>
      <c r="AQ365" s="2305" t="str">
        <f t="shared" si="405"/>
        <v>[Service]</v>
      </c>
      <c r="AR365" s="2306" t="str">
        <f t="shared" si="406"/>
        <v>[Price]</v>
      </c>
      <c r="AS365" s="2307" t="str">
        <f t="shared" si="453"/>
        <v>-</v>
      </c>
      <c r="AT365" s="1055" t="str">
        <f t="shared" si="453"/>
        <v>-</v>
      </c>
      <c r="AU365" s="1055" t="str">
        <f t="shared" si="453"/>
        <v>-</v>
      </c>
      <c r="AV365" s="2308" t="str">
        <f t="shared" si="453"/>
        <v>-</v>
      </c>
      <c r="AW365" s="1055" t="str">
        <f t="shared" si="453"/>
        <v>-</v>
      </c>
      <c r="AX365" s="2309" t="str">
        <f t="shared" si="453"/>
        <v>-</v>
      </c>
      <c r="AY365" s="1055" t="str">
        <f t="shared" si="453"/>
        <v>-</v>
      </c>
      <c r="AZ365" s="1055" t="str">
        <f t="shared" si="453"/>
        <v>-</v>
      </c>
      <c r="BA365" s="1055" t="str">
        <f t="shared" si="453"/>
        <v>-</v>
      </c>
      <c r="BB365" s="1056" t="str">
        <f t="shared" si="453"/>
        <v>-</v>
      </c>
      <c r="BC365" s="1055" t="str">
        <f t="shared" si="453"/>
        <v>-</v>
      </c>
      <c r="BD365" s="1055" t="str">
        <f t="shared" si="453"/>
        <v>-</v>
      </c>
      <c r="BE365" s="1055" t="str">
        <f t="shared" si="453"/>
        <v>-</v>
      </c>
      <c r="BF365" s="1055" t="str">
        <f t="shared" si="453"/>
        <v>-</v>
      </c>
      <c r="BG365" s="1056" t="str">
        <f t="shared" si="453"/>
        <v>-</v>
      </c>
      <c r="BH365" s="1048"/>
      <c r="BI365" s="2304" t="str">
        <f t="shared" si="427"/>
        <v>Rev</v>
      </c>
      <c r="BJ365" s="2305" t="str">
        <f t="shared" si="427"/>
        <v>[Service]</v>
      </c>
      <c r="BK365" s="2306" t="str">
        <f t="shared" si="427"/>
        <v>[Price]</v>
      </c>
      <c r="BL365" s="2307" t="str">
        <f t="shared" ref="BL365:BZ365" si="464">IF(OR(X365="",X365=0),"-",IFERROR((X365/W365-1)*(W365/W$13),"-"))</f>
        <v>-</v>
      </c>
      <c r="BM365" s="1055" t="str">
        <f t="shared" si="464"/>
        <v>-</v>
      </c>
      <c r="BN365" s="1055" t="str">
        <f t="shared" si="464"/>
        <v>-</v>
      </c>
      <c r="BO365" s="2308" t="str">
        <f t="shared" si="464"/>
        <v>-</v>
      </c>
      <c r="BP365" s="1055" t="str">
        <f t="shared" si="464"/>
        <v>-</v>
      </c>
      <c r="BQ365" s="2309" t="str">
        <f t="shared" si="464"/>
        <v>-</v>
      </c>
      <c r="BR365" s="1055" t="str">
        <f t="shared" si="464"/>
        <v>-</v>
      </c>
      <c r="BS365" s="1055" t="str">
        <f t="shared" si="464"/>
        <v>-</v>
      </c>
      <c r="BT365" s="1055" t="str">
        <f t="shared" si="464"/>
        <v>-</v>
      </c>
      <c r="BU365" s="1056" t="str">
        <f t="shared" si="464"/>
        <v>-</v>
      </c>
      <c r="BV365" s="1055" t="str">
        <f t="shared" si="464"/>
        <v>-</v>
      </c>
      <c r="BW365" s="1055" t="str">
        <f t="shared" si="464"/>
        <v>-</v>
      </c>
      <c r="BX365" s="1055" t="str">
        <f t="shared" si="464"/>
        <v>-</v>
      </c>
      <c r="BY365" s="1055" t="str">
        <f t="shared" si="464"/>
        <v>-</v>
      </c>
      <c r="BZ365" s="1056" t="str">
        <f t="shared" si="464"/>
        <v>-</v>
      </c>
    </row>
    <row r="366" spans="3:78" x14ac:dyDescent="0.3">
      <c r="C366" s="126"/>
      <c r="D366" s="126">
        <f>D363+1</f>
        <v>100</v>
      </c>
      <c r="E366" s="553" t="s">
        <v>45</v>
      </c>
      <c r="F366" s="581" t="s">
        <v>28</v>
      </c>
      <c r="G366" s="581"/>
      <c r="H366" s="581"/>
      <c r="I366" s="573" t="s">
        <v>319</v>
      </c>
      <c r="J366" s="573" t="s">
        <v>348</v>
      </c>
      <c r="K366" s="1969"/>
      <c r="L366" s="1970"/>
      <c r="M366" s="1970"/>
      <c r="N366" s="1971"/>
      <c r="O366" s="1970"/>
      <c r="P366" s="1970"/>
      <c r="Q366" s="1970"/>
      <c r="R366" s="1972"/>
      <c r="S366" s="1979"/>
      <c r="T366" s="1972"/>
      <c r="U366" s="1972"/>
      <c r="V366" s="1972"/>
      <c r="W366" s="575"/>
      <c r="X366" s="1238"/>
      <c r="Y366" s="575"/>
      <c r="Z366" s="575"/>
      <c r="AA366" s="575"/>
      <c r="AB366" s="1142"/>
      <c r="AC366" s="575"/>
      <c r="AD366" s="575"/>
      <c r="AE366" s="575"/>
      <c r="AF366" s="575"/>
      <c r="AG366" s="577"/>
      <c r="AH366" s="576"/>
      <c r="AI366" s="575"/>
      <c r="AJ366" s="575"/>
      <c r="AK366" s="575"/>
      <c r="AL366" s="577"/>
      <c r="AN366" s="1052"/>
      <c r="AP366" s="2297" t="str">
        <f t="shared" si="405"/>
        <v>Price</v>
      </c>
      <c r="AQ366" s="2298" t="str">
        <f t="shared" si="405"/>
        <v>[Service]</v>
      </c>
      <c r="AR366" s="1719" t="str">
        <f t="shared" si="406"/>
        <v>[Price]</v>
      </c>
      <c r="AS366" s="2299" t="str">
        <f t="shared" si="453"/>
        <v>-</v>
      </c>
      <c r="AT366" s="1728" t="str">
        <f t="shared" si="453"/>
        <v>-</v>
      </c>
      <c r="AU366" s="1728" t="str">
        <f t="shared" si="453"/>
        <v>-</v>
      </c>
      <c r="AV366" s="2300" t="str">
        <f t="shared" si="453"/>
        <v>-</v>
      </c>
      <c r="AW366" s="1728" t="str">
        <f t="shared" si="453"/>
        <v>-</v>
      </c>
      <c r="AX366" s="2301" t="str">
        <f t="shared" si="453"/>
        <v>-</v>
      </c>
      <c r="AY366" s="1728" t="str">
        <f t="shared" si="453"/>
        <v>-</v>
      </c>
      <c r="AZ366" s="1728" t="str">
        <f t="shared" si="453"/>
        <v>-</v>
      </c>
      <c r="BA366" s="1728" t="str">
        <f t="shared" si="453"/>
        <v>-</v>
      </c>
      <c r="BB366" s="1729" t="str">
        <f t="shared" si="453"/>
        <v>-</v>
      </c>
      <c r="BC366" s="1728" t="str">
        <f t="shared" si="453"/>
        <v>-</v>
      </c>
      <c r="BD366" s="1728" t="str">
        <f t="shared" si="453"/>
        <v>-</v>
      </c>
      <c r="BE366" s="1728" t="str">
        <f t="shared" si="453"/>
        <v>-</v>
      </c>
      <c r="BF366" s="1728" t="str">
        <f t="shared" si="453"/>
        <v>-</v>
      </c>
      <c r="BG366" s="1729" t="str">
        <f t="shared" si="453"/>
        <v>-</v>
      </c>
      <c r="BH366" s="1048"/>
      <c r="BI366" s="2297" t="str">
        <f t="shared" si="427"/>
        <v>Price</v>
      </c>
      <c r="BJ366" s="2298" t="str">
        <f t="shared" si="427"/>
        <v>[Service]</v>
      </c>
      <c r="BK366" s="1719" t="str">
        <f t="shared" si="427"/>
        <v>[Price]</v>
      </c>
      <c r="BL366" s="2299" t="str">
        <f t="shared" ref="BL366:BZ366" si="465">IF(OR(X366="",X366=0),"-",IFERROR((X366/W366-1)*(W368/W$13),"-"))</f>
        <v>-</v>
      </c>
      <c r="BM366" s="1053" t="str">
        <f t="shared" si="465"/>
        <v>-</v>
      </c>
      <c r="BN366" s="1053" t="str">
        <f t="shared" si="465"/>
        <v>-</v>
      </c>
      <c r="BO366" s="2302" t="str">
        <f t="shared" si="465"/>
        <v>-</v>
      </c>
      <c r="BP366" s="1053" t="str">
        <f t="shared" si="465"/>
        <v>-</v>
      </c>
      <c r="BQ366" s="2303" t="str">
        <f t="shared" si="465"/>
        <v>-</v>
      </c>
      <c r="BR366" s="1053" t="str">
        <f t="shared" si="465"/>
        <v>-</v>
      </c>
      <c r="BS366" s="1053" t="str">
        <f t="shared" si="465"/>
        <v>-</v>
      </c>
      <c r="BT366" s="1053" t="str">
        <f t="shared" si="465"/>
        <v>-</v>
      </c>
      <c r="BU366" s="1054" t="str">
        <f t="shared" si="465"/>
        <v>-</v>
      </c>
      <c r="BV366" s="1053" t="str">
        <f t="shared" si="465"/>
        <v>-</v>
      </c>
      <c r="BW366" s="1053" t="str">
        <f t="shared" si="465"/>
        <v>-</v>
      </c>
      <c r="BX366" s="1053" t="str">
        <f t="shared" si="465"/>
        <v>-</v>
      </c>
      <c r="BY366" s="1053" t="str">
        <f t="shared" si="465"/>
        <v>-</v>
      </c>
      <c r="BZ366" s="1054" t="str">
        <f t="shared" si="465"/>
        <v>-</v>
      </c>
    </row>
    <row r="367" spans="3:78" x14ac:dyDescent="0.3">
      <c r="C367" s="126"/>
      <c r="D367" s="126"/>
      <c r="E367" s="558" t="s">
        <v>46</v>
      </c>
      <c r="F367" s="1722" t="str">
        <f>+F366</f>
        <v>[Service]</v>
      </c>
      <c r="G367" s="1724">
        <f>+G366</f>
        <v>0</v>
      </c>
      <c r="H367" s="1724">
        <f>+H366</f>
        <v>0</v>
      </c>
      <c r="I367" s="1725" t="str">
        <f>+I366</f>
        <v>[Price]</v>
      </c>
      <c r="J367" s="574" t="s">
        <v>323</v>
      </c>
      <c r="K367" s="1973"/>
      <c r="L367" s="1974"/>
      <c r="M367" s="1974"/>
      <c r="N367" s="1975"/>
      <c r="O367" s="1974"/>
      <c r="P367" s="1974"/>
      <c r="Q367" s="1974"/>
      <c r="R367" s="1976"/>
      <c r="S367" s="1980"/>
      <c r="T367" s="1976"/>
      <c r="U367" s="1976"/>
      <c r="V367" s="1976"/>
      <c r="W367" s="578"/>
      <c r="X367" s="1239"/>
      <c r="Y367" s="578"/>
      <c r="Z367" s="578"/>
      <c r="AA367" s="578"/>
      <c r="AB367" s="1143"/>
      <c r="AC367" s="578"/>
      <c r="AD367" s="578"/>
      <c r="AE367" s="578"/>
      <c r="AF367" s="578"/>
      <c r="AG367" s="580"/>
      <c r="AH367" s="579"/>
      <c r="AI367" s="578"/>
      <c r="AJ367" s="578"/>
      <c r="AK367" s="578"/>
      <c r="AL367" s="580"/>
      <c r="AN367" s="991"/>
      <c r="AP367" s="2285" t="str">
        <f t="shared" si="405"/>
        <v>Qty</v>
      </c>
      <c r="AQ367" s="2286" t="str">
        <f t="shared" si="405"/>
        <v>[Service]</v>
      </c>
      <c r="AR367" s="2287" t="str">
        <f t="shared" si="406"/>
        <v>[Price]</v>
      </c>
      <c r="AS367" s="2288" t="str">
        <f t="shared" si="453"/>
        <v>-</v>
      </c>
      <c r="AT367" s="1720" t="str">
        <f t="shared" si="453"/>
        <v>-</v>
      </c>
      <c r="AU367" s="1720" t="str">
        <f t="shared" si="453"/>
        <v>-</v>
      </c>
      <c r="AV367" s="2289" t="str">
        <f t="shared" si="453"/>
        <v>-</v>
      </c>
      <c r="AW367" s="1720" t="str">
        <f t="shared" si="453"/>
        <v>-</v>
      </c>
      <c r="AX367" s="2290" t="str">
        <f t="shared" si="453"/>
        <v>-</v>
      </c>
      <c r="AY367" s="1720" t="str">
        <f t="shared" si="453"/>
        <v>-</v>
      </c>
      <c r="AZ367" s="1720" t="str">
        <f t="shared" si="453"/>
        <v>-</v>
      </c>
      <c r="BA367" s="1720" t="str">
        <f t="shared" si="453"/>
        <v>-</v>
      </c>
      <c r="BB367" s="1721" t="str">
        <f t="shared" si="453"/>
        <v>-</v>
      </c>
      <c r="BC367" s="1720" t="str">
        <f t="shared" si="453"/>
        <v>-</v>
      </c>
      <c r="BD367" s="1720" t="str">
        <f t="shared" si="453"/>
        <v>-</v>
      </c>
      <c r="BE367" s="1720" t="str">
        <f t="shared" si="453"/>
        <v>-</v>
      </c>
      <c r="BF367" s="1720" t="str">
        <f t="shared" si="453"/>
        <v>-</v>
      </c>
      <c r="BG367" s="1721" t="str">
        <f t="shared" si="453"/>
        <v>-</v>
      </c>
      <c r="BH367" s="1048"/>
      <c r="BI367" s="2285" t="str">
        <f t="shared" si="427"/>
        <v>Qty</v>
      </c>
      <c r="BJ367" s="2286" t="str">
        <f t="shared" si="427"/>
        <v>[Service]</v>
      </c>
      <c r="BK367" s="2287" t="str">
        <f t="shared" si="427"/>
        <v>[Price]</v>
      </c>
      <c r="BL367" s="2288" t="str">
        <f t="shared" ref="BL367:BZ367" si="466">IF(OR(X367="",X367=0),"-",IFERROR((X367/W367-1)*(W368/W$13),"-"))</f>
        <v>-</v>
      </c>
      <c r="BM367" s="1720" t="str">
        <f t="shared" si="466"/>
        <v>-</v>
      </c>
      <c r="BN367" s="1720" t="str">
        <f t="shared" si="466"/>
        <v>-</v>
      </c>
      <c r="BO367" s="2289" t="str">
        <f t="shared" si="466"/>
        <v>-</v>
      </c>
      <c r="BP367" s="1720" t="str">
        <f t="shared" si="466"/>
        <v>-</v>
      </c>
      <c r="BQ367" s="2290" t="str">
        <f t="shared" si="466"/>
        <v>-</v>
      </c>
      <c r="BR367" s="1720" t="str">
        <f t="shared" si="466"/>
        <v>-</v>
      </c>
      <c r="BS367" s="1720" t="str">
        <f t="shared" si="466"/>
        <v>-</v>
      </c>
      <c r="BT367" s="1720" t="str">
        <f t="shared" si="466"/>
        <v>-</v>
      </c>
      <c r="BU367" s="1721" t="str">
        <f t="shared" si="466"/>
        <v>-</v>
      </c>
      <c r="BV367" s="1720" t="str">
        <f t="shared" si="466"/>
        <v>-</v>
      </c>
      <c r="BW367" s="1720" t="str">
        <f t="shared" si="466"/>
        <v>-</v>
      </c>
      <c r="BX367" s="1720" t="str">
        <f t="shared" si="466"/>
        <v>-</v>
      </c>
      <c r="BY367" s="1720" t="str">
        <f t="shared" si="466"/>
        <v>-</v>
      </c>
      <c r="BZ367" s="1721" t="str">
        <f t="shared" si="466"/>
        <v>-</v>
      </c>
    </row>
    <row r="368" spans="3:78" ht="12.5" thickBot="1" x14ac:dyDescent="0.35">
      <c r="C368" s="126"/>
      <c r="D368" s="126"/>
      <c r="E368" s="559" t="s">
        <v>47</v>
      </c>
      <c r="F368" s="1723" t="str">
        <f>+F366</f>
        <v>[Service]</v>
      </c>
      <c r="G368" s="1726">
        <f>+G366</f>
        <v>0</v>
      </c>
      <c r="H368" s="1726">
        <f>+H366</f>
        <v>0</v>
      </c>
      <c r="I368" s="1727" t="str">
        <f>+I366</f>
        <v>[Price]</v>
      </c>
      <c r="J368" s="556" t="s">
        <v>347</v>
      </c>
      <c r="K368" s="1977"/>
      <c r="L368" s="1206"/>
      <c r="M368" s="1206"/>
      <c r="N368" s="1978"/>
      <c r="O368" s="1206"/>
      <c r="P368" s="1206"/>
      <c r="Q368" s="1206"/>
      <c r="R368" s="1206"/>
      <c r="S368" s="1978"/>
      <c r="T368" s="1206"/>
      <c r="U368" s="1206"/>
      <c r="V368" s="1206"/>
      <c r="W368" s="1731">
        <f t="shared" ref="W368:AG368" si="467">W366*W367/10^6</f>
        <v>0</v>
      </c>
      <c r="X368" s="1730">
        <f t="shared" si="467"/>
        <v>0</v>
      </c>
      <c r="Y368" s="1731">
        <f t="shared" si="467"/>
        <v>0</v>
      </c>
      <c r="Z368" s="1731">
        <f t="shared" si="467"/>
        <v>0</v>
      </c>
      <c r="AA368" s="1731">
        <f t="shared" si="467"/>
        <v>0</v>
      </c>
      <c r="AB368" s="1733">
        <f t="shared" si="467"/>
        <v>0</v>
      </c>
      <c r="AC368" s="1731">
        <f t="shared" si="467"/>
        <v>0</v>
      </c>
      <c r="AD368" s="1731">
        <f t="shared" si="467"/>
        <v>0</v>
      </c>
      <c r="AE368" s="1731">
        <f t="shared" si="467"/>
        <v>0</v>
      </c>
      <c r="AF368" s="1731">
        <f t="shared" si="467"/>
        <v>0</v>
      </c>
      <c r="AG368" s="1733">
        <f t="shared" si="467"/>
        <v>0</v>
      </c>
      <c r="AH368" s="1732">
        <f>AH366*AH367/10^6</f>
        <v>0</v>
      </c>
      <c r="AI368" s="1731">
        <f>AI366*AI367/10^6</f>
        <v>0</v>
      </c>
      <c r="AJ368" s="1731">
        <f>AJ366*AJ367/10^6</f>
        <v>0</v>
      </c>
      <c r="AK368" s="1731">
        <f>AK366*AK367/10^6</f>
        <v>0</v>
      </c>
      <c r="AL368" s="1733">
        <f>AL366*AL367/10^6</f>
        <v>0</v>
      </c>
      <c r="AN368" s="991"/>
      <c r="AP368" s="2304" t="str">
        <f t="shared" si="405"/>
        <v>Rev</v>
      </c>
      <c r="AQ368" s="2305" t="str">
        <f t="shared" si="405"/>
        <v>[Service]</v>
      </c>
      <c r="AR368" s="2306" t="str">
        <f t="shared" si="406"/>
        <v>[Price]</v>
      </c>
      <c r="AS368" s="2307" t="str">
        <f t="shared" si="453"/>
        <v>-</v>
      </c>
      <c r="AT368" s="1055" t="str">
        <f t="shared" si="453"/>
        <v>-</v>
      </c>
      <c r="AU368" s="1055" t="str">
        <f t="shared" si="453"/>
        <v>-</v>
      </c>
      <c r="AV368" s="2308" t="str">
        <f t="shared" si="453"/>
        <v>-</v>
      </c>
      <c r="AW368" s="1055" t="str">
        <f t="shared" si="453"/>
        <v>-</v>
      </c>
      <c r="AX368" s="2309" t="str">
        <f t="shared" si="453"/>
        <v>-</v>
      </c>
      <c r="AY368" s="1055" t="str">
        <f t="shared" si="453"/>
        <v>-</v>
      </c>
      <c r="AZ368" s="1055" t="str">
        <f t="shared" si="453"/>
        <v>-</v>
      </c>
      <c r="BA368" s="1055" t="str">
        <f t="shared" si="453"/>
        <v>-</v>
      </c>
      <c r="BB368" s="1056" t="str">
        <f t="shared" si="453"/>
        <v>-</v>
      </c>
      <c r="BC368" s="1055" t="str">
        <f t="shared" si="453"/>
        <v>-</v>
      </c>
      <c r="BD368" s="1055" t="str">
        <f t="shared" si="453"/>
        <v>-</v>
      </c>
      <c r="BE368" s="1055" t="str">
        <f t="shared" si="453"/>
        <v>-</v>
      </c>
      <c r="BF368" s="1055" t="str">
        <f t="shared" si="453"/>
        <v>-</v>
      </c>
      <c r="BG368" s="1056" t="str">
        <f t="shared" si="453"/>
        <v>-</v>
      </c>
      <c r="BH368" s="1048"/>
      <c r="BI368" s="2304" t="str">
        <f t="shared" si="427"/>
        <v>Rev</v>
      </c>
      <c r="BJ368" s="2305" t="str">
        <f t="shared" si="427"/>
        <v>[Service]</v>
      </c>
      <c r="BK368" s="2306" t="str">
        <f t="shared" si="427"/>
        <v>[Price]</v>
      </c>
      <c r="BL368" s="2307" t="str">
        <f t="shared" ref="BL368:BZ368" si="468">IF(OR(X368="",X368=0),"-",IFERROR((X368/W368-1)*(W368/W$13),"-"))</f>
        <v>-</v>
      </c>
      <c r="BM368" s="1055" t="str">
        <f t="shared" si="468"/>
        <v>-</v>
      </c>
      <c r="BN368" s="1055" t="str">
        <f t="shared" si="468"/>
        <v>-</v>
      </c>
      <c r="BO368" s="2308" t="str">
        <f t="shared" si="468"/>
        <v>-</v>
      </c>
      <c r="BP368" s="1055" t="str">
        <f t="shared" si="468"/>
        <v>-</v>
      </c>
      <c r="BQ368" s="2309" t="str">
        <f t="shared" si="468"/>
        <v>-</v>
      </c>
      <c r="BR368" s="1055" t="str">
        <f t="shared" si="468"/>
        <v>-</v>
      </c>
      <c r="BS368" s="1055" t="str">
        <f t="shared" si="468"/>
        <v>-</v>
      </c>
      <c r="BT368" s="1055" t="str">
        <f t="shared" si="468"/>
        <v>-</v>
      </c>
      <c r="BU368" s="1056" t="str">
        <f t="shared" si="468"/>
        <v>-</v>
      </c>
      <c r="BV368" s="1055" t="str">
        <f t="shared" si="468"/>
        <v>-</v>
      </c>
      <c r="BW368" s="1055" t="str">
        <f t="shared" si="468"/>
        <v>-</v>
      </c>
      <c r="BX368" s="1055" t="str">
        <f t="shared" si="468"/>
        <v>-</v>
      </c>
      <c r="BY368" s="1055" t="str">
        <f t="shared" si="468"/>
        <v>-</v>
      </c>
      <c r="BZ368" s="1056" t="str">
        <f t="shared" si="468"/>
        <v>-</v>
      </c>
    </row>
    <row r="369" spans="3:78" x14ac:dyDescent="0.3">
      <c r="C369" s="126"/>
      <c r="D369" s="126">
        <f>D366+1</f>
        <v>101</v>
      </c>
      <c r="E369" s="553" t="s">
        <v>45</v>
      </c>
      <c r="F369" s="581" t="s">
        <v>28</v>
      </c>
      <c r="G369" s="581"/>
      <c r="H369" s="581"/>
      <c r="I369" s="573" t="s">
        <v>319</v>
      </c>
      <c r="J369" s="573" t="s">
        <v>348</v>
      </c>
      <c r="K369" s="1969"/>
      <c r="L369" s="1970"/>
      <c r="M369" s="1970"/>
      <c r="N369" s="1971"/>
      <c r="O369" s="1970"/>
      <c r="P369" s="1970"/>
      <c r="Q369" s="1970"/>
      <c r="R369" s="1972"/>
      <c r="S369" s="1979"/>
      <c r="T369" s="1972"/>
      <c r="U369" s="1972"/>
      <c r="V369" s="1972"/>
      <c r="W369" s="575"/>
      <c r="X369" s="1238"/>
      <c r="Y369" s="575"/>
      <c r="Z369" s="575"/>
      <c r="AA369" s="575"/>
      <c r="AB369" s="1142"/>
      <c r="AC369" s="575"/>
      <c r="AD369" s="575"/>
      <c r="AE369" s="575"/>
      <c r="AF369" s="575"/>
      <c r="AG369" s="577"/>
      <c r="AH369" s="576"/>
      <c r="AI369" s="575"/>
      <c r="AJ369" s="575"/>
      <c r="AK369" s="575"/>
      <c r="AL369" s="577"/>
      <c r="AN369" s="1052"/>
      <c r="AP369" s="2297" t="str">
        <f t="shared" si="405"/>
        <v>Price</v>
      </c>
      <c r="AQ369" s="2298" t="str">
        <f t="shared" si="405"/>
        <v>[Service]</v>
      </c>
      <c r="AR369" s="1719" t="str">
        <f t="shared" si="406"/>
        <v>[Price]</v>
      </c>
      <c r="AS369" s="2299" t="str">
        <f t="shared" si="453"/>
        <v>-</v>
      </c>
      <c r="AT369" s="1728" t="str">
        <f t="shared" si="453"/>
        <v>-</v>
      </c>
      <c r="AU369" s="1728" t="str">
        <f t="shared" si="453"/>
        <v>-</v>
      </c>
      <c r="AV369" s="2300" t="str">
        <f t="shared" si="453"/>
        <v>-</v>
      </c>
      <c r="AW369" s="1728" t="str">
        <f t="shared" si="453"/>
        <v>-</v>
      </c>
      <c r="AX369" s="2301" t="str">
        <f t="shared" si="453"/>
        <v>-</v>
      </c>
      <c r="AY369" s="1728" t="str">
        <f t="shared" si="453"/>
        <v>-</v>
      </c>
      <c r="AZ369" s="1728" t="str">
        <f t="shared" si="453"/>
        <v>-</v>
      </c>
      <c r="BA369" s="1728" t="str">
        <f t="shared" si="453"/>
        <v>-</v>
      </c>
      <c r="BB369" s="1729" t="str">
        <f t="shared" si="453"/>
        <v>-</v>
      </c>
      <c r="BC369" s="1728" t="str">
        <f t="shared" si="453"/>
        <v>-</v>
      </c>
      <c r="BD369" s="1728" t="str">
        <f t="shared" si="453"/>
        <v>-</v>
      </c>
      <c r="BE369" s="1728" t="str">
        <f t="shared" si="453"/>
        <v>-</v>
      </c>
      <c r="BF369" s="1728" t="str">
        <f t="shared" si="453"/>
        <v>-</v>
      </c>
      <c r="BG369" s="1729" t="str">
        <f t="shared" si="453"/>
        <v>-</v>
      </c>
      <c r="BH369" s="1048"/>
      <c r="BI369" s="2297" t="str">
        <f t="shared" si="427"/>
        <v>Price</v>
      </c>
      <c r="BJ369" s="2298" t="str">
        <f t="shared" si="427"/>
        <v>[Service]</v>
      </c>
      <c r="BK369" s="1719" t="str">
        <f t="shared" si="427"/>
        <v>[Price]</v>
      </c>
      <c r="BL369" s="2299" t="str">
        <f t="shared" ref="BL369:BZ369" si="469">IF(OR(X369="",X369=0),"-",IFERROR((X369/W369-1)*(W371/W$13),"-"))</f>
        <v>-</v>
      </c>
      <c r="BM369" s="1053" t="str">
        <f t="shared" si="469"/>
        <v>-</v>
      </c>
      <c r="BN369" s="1053" t="str">
        <f t="shared" si="469"/>
        <v>-</v>
      </c>
      <c r="BO369" s="2302" t="str">
        <f t="shared" si="469"/>
        <v>-</v>
      </c>
      <c r="BP369" s="1053" t="str">
        <f t="shared" si="469"/>
        <v>-</v>
      </c>
      <c r="BQ369" s="2303" t="str">
        <f t="shared" si="469"/>
        <v>-</v>
      </c>
      <c r="BR369" s="1053" t="str">
        <f t="shared" si="469"/>
        <v>-</v>
      </c>
      <c r="BS369" s="1053" t="str">
        <f t="shared" si="469"/>
        <v>-</v>
      </c>
      <c r="BT369" s="1053" t="str">
        <f t="shared" si="469"/>
        <v>-</v>
      </c>
      <c r="BU369" s="1054" t="str">
        <f t="shared" si="469"/>
        <v>-</v>
      </c>
      <c r="BV369" s="1053" t="str">
        <f t="shared" si="469"/>
        <v>-</v>
      </c>
      <c r="BW369" s="1053" t="str">
        <f t="shared" si="469"/>
        <v>-</v>
      </c>
      <c r="BX369" s="1053" t="str">
        <f t="shared" si="469"/>
        <v>-</v>
      </c>
      <c r="BY369" s="1053" t="str">
        <f t="shared" si="469"/>
        <v>-</v>
      </c>
      <c r="BZ369" s="1054" t="str">
        <f t="shared" si="469"/>
        <v>-</v>
      </c>
    </row>
    <row r="370" spans="3:78" x14ac:dyDescent="0.3">
      <c r="C370" s="126"/>
      <c r="D370" s="126"/>
      <c r="E370" s="558" t="s">
        <v>46</v>
      </c>
      <c r="F370" s="1722" t="str">
        <f>+F369</f>
        <v>[Service]</v>
      </c>
      <c r="G370" s="1724">
        <f>+G369</f>
        <v>0</v>
      </c>
      <c r="H370" s="1724">
        <f>+H369</f>
        <v>0</v>
      </c>
      <c r="I370" s="1725" t="str">
        <f>+I369</f>
        <v>[Price]</v>
      </c>
      <c r="J370" s="574" t="s">
        <v>323</v>
      </c>
      <c r="K370" s="1973"/>
      <c r="L370" s="1974"/>
      <c r="M370" s="1974"/>
      <c r="N370" s="1975"/>
      <c r="O370" s="1974"/>
      <c r="P370" s="1974"/>
      <c r="Q370" s="1974"/>
      <c r="R370" s="1976"/>
      <c r="S370" s="1980"/>
      <c r="T370" s="1976"/>
      <c r="U370" s="1976"/>
      <c r="V370" s="1976"/>
      <c r="W370" s="578"/>
      <c r="X370" s="1239"/>
      <c r="Y370" s="578"/>
      <c r="Z370" s="578"/>
      <c r="AA370" s="578"/>
      <c r="AB370" s="1143"/>
      <c r="AC370" s="578"/>
      <c r="AD370" s="578"/>
      <c r="AE370" s="578"/>
      <c r="AF370" s="578"/>
      <c r="AG370" s="580"/>
      <c r="AH370" s="579"/>
      <c r="AI370" s="578"/>
      <c r="AJ370" s="578"/>
      <c r="AK370" s="578"/>
      <c r="AL370" s="580"/>
      <c r="AN370" s="991"/>
      <c r="AP370" s="2285" t="str">
        <f t="shared" si="405"/>
        <v>Qty</v>
      </c>
      <c r="AQ370" s="2286" t="str">
        <f t="shared" si="405"/>
        <v>[Service]</v>
      </c>
      <c r="AR370" s="2287" t="str">
        <f t="shared" si="406"/>
        <v>[Price]</v>
      </c>
      <c r="AS370" s="2288" t="str">
        <f t="shared" si="453"/>
        <v>-</v>
      </c>
      <c r="AT370" s="1720" t="str">
        <f t="shared" si="453"/>
        <v>-</v>
      </c>
      <c r="AU370" s="1720" t="str">
        <f t="shared" si="453"/>
        <v>-</v>
      </c>
      <c r="AV370" s="2289" t="str">
        <f t="shared" si="453"/>
        <v>-</v>
      </c>
      <c r="AW370" s="1720" t="str">
        <f t="shared" si="453"/>
        <v>-</v>
      </c>
      <c r="AX370" s="2290" t="str">
        <f t="shared" si="453"/>
        <v>-</v>
      </c>
      <c r="AY370" s="1720" t="str">
        <f t="shared" si="453"/>
        <v>-</v>
      </c>
      <c r="AZ370" s="1720" t="str">
        <f t="shared" si="453"/>
        <v>-</v>
      </c>
      <c r="BA370" s="1720" t="str">
        <f t="shared" si="453"/>
        <v>-</v>
      </c>
      <c r="BB370" s="1721" t="str">
        <f t="shared" si="453"/>
        <v>-</v>
      </c>
      <c r="BC370" s="1720" t="str">
        <f t="shared" si="453"/>
        <v>-</v>
      </c>
      <c r="BD370" s="1720" t="str">
        <f t="shared" si="453"/>
        <v>-</v>
      </c>
      <c r="BE370" s="1720" t="str">
        <f t="shared" si="453"/>
        <v>-</v>
      </c>
      <c r="BF370" s="1720" t="str">
        <f t="shared" si="453"/>
        <v>-</v>
      </c>
      <c r="BG370" s="1721" t="str">
        <f t="shared" si="453"/>
        <v>-</v>
      </c>
      <c r="BH370" s="1048"/>
      <c r="BI370" s="2285" t="str">
        <f t="shared" si="427"/>
        <v>Qty</v>
      </c>
      <c r="BJ370" s="2286" t="str">
        <f t="shared" si="427"/>
        <v>[Service]</v>
      </c>
      <c r="BK370" s="2287" t="str">
        <f t="shared" si="427"/>
        <v>[Price]</v>
      </c>
      <c r="BL370" s="2288" t="str">
        <f t="shared" ref="BL370:BZ370" si="470">IF(OR(X370="",X370=0),"-",IFERROR((X370/W370-1)*(W371/W$13),"-"))</f>
        <v>-</v>
      </c>
      <c r="BM370" s="1720" t="str">
        <f t="shared" si="470"/>
        <v>-</v>
      </c>
      <c r="BN370" s="1720" t="str">
        <f t="shared" si="470"/>
        <v>-</v>
      </c>
      <c r="BO370" s="2289" t="str">
        <f t="shared" si="470"/>
        <v>-</v>
      </c>
      <c r="BP370" s="1720" t="str">
        <f t="shared" si="470"/>
        <v>-</v>
      </c>
      <c r="BQ370" s="2290" t="str">
        <f t="shared" si="470"/>
        <v>-</v>
      </c>
      <c r="BR370" s="1720" t="str">
        <f t="shared" si="470"/>
        <v>-</v>
      </c>
      <c r="BS370" s="1720" t="str">
        <f t="shared" si="470"/>
        <v>-</v>
      </c>
      <c r="BT370" s="1720" t="str">
        <f t="shared" si="470"/>
        <v>-</v>
      </c>
      <c r="BU370" s="1721" t="str">
        <f t="shared" si="470"/>
        <v>-</v>
      </c>
      <c r="BV370" s="1720" t="str">
        <f t="shared" si="470"/>
        <v>-</v>
      </c>
      <c r="BW370" s="1720" t="str">
        <f t="shared" si="470"/>
        <v>-</v>
      </c>
      <c r="BX370" s="1720" t="str">
        <f t="shared" si="470"/>
        <v>-</v>
      </c>
      <c r="BY370" s="1720" t="str">
        <f t="shared" si="470"/>
        <v>-</v>
      </c>
      <c r="BZ370" s="1721" t="str">
        <f t="shared" si="470"/>
        <v>-</v>
      </c>
    </row>
    <row r="371" spans="3:78" ht="12.5" thickBot="1" x14ac:dyDescent="0.35">
      <c r="C371" s="126"/>
      <c r="D371" s="126"/>
      <c r="E371" s="559" t="s">
        <v>47</v>
      </c>
      <c r="F371" s="1723" t="str">
        <f>+F369</f>
        <v>[Service]</v>
      </c>
      <c r="G371" s="1726">
        <f>+G369</f>
        <v>0</v>
      </c>
      <c r="H371" s="1726">
        <f>+H369</f>
        <v>0</v>
      </c>
      <c r="I371" s="1727" t="str">
        <f>+I369</f>
        <v>[Price]</v>
      </c>
      <c r="J371" s="556" t="s">
        <v>347</v>
      </c>
      <c r="K371" s="1977"/>
      <c r="L371" s="1206"/>
      <c r="M371" s="1206"/>
      <c r="N371" s="1978"/>
      <c r="O371" s="1206"/>
      <c r="P371" s="1206"/>
      <c r="Q371" s="1206"/>
      <c r="R371" s="1206"/>
      <c r="S371" s="1978"/>
      <c r="T371" s="1206"/>
      <c r="U371" s="1206"/>
      <c r="V371" s="1206"/>
      <c r="W371" s="1731">
        <f t="shared" ref="W371:AG371" si="471">W369*W370/10^6</f>
        <v>0</v>
      </c>
      <c r="X371" s="1730">
        <f t="shared" si="471"/>
        <v>0</v>
      </c>
      <c r="Y371" s="1731">
        <f t="shared" si="471"/>
        <v>0</v>
      </c>
      <c r="Z371" s="1731">
        <f t="shared" si="471"/>
        <v>0</v>
      </c>
      <c r="AA371" s="1731">
        <f t="shared" si="471"/>
        <v>0</v>
      </c>
      <c r="AB371" s="1733">
        <f t="shared" si="471"/>
        <v>0</v>
      </c>
      <c r="AC371" s="1731">
        <f t="shared" si="471"/>
        <v>0</v>
      </c>
      <c r="AD371" s="1731">
        <f t="shared" si="471"/>
        <v>0</v>
      </c>
      <c r="AE371" s="1731">
        <f t="shared" si="471"/>
        <v>0</v>
      </c>
      <c r="AF371" s="1731">
        <f t="shared" si="471"/>
        <v>0</v>
      </c>
      <c r="AG371" s="1733">
        <f t="shared" si="471"/>
        <v>0</v>
      </c>
      <c r="AH371" s="1732">
        <f>AH369*AH370/10^6</f>
        <v>0</v>
      </c>
      <c r="AI371" s="1731">
        <f>AI369*AI370/10^6</f>
        <v>0</v>
      </c>
      <c r="AJ371" s="1731">
        <f>AJ369*AJ370/10^6</f>
        <v>0</v>
      </c>
      <c r="AK371" s="1731">
        <f>AK369*AK370/10^6</f>
        <v>0</v>
      </c>
      <c r="AL371" s="1733">
        <f>AL369*AL370/10^6</f>
        <v>0</v>
      </c>
      <c r="AN371" s="991"/>
      <c r="AP371" s="2304" t="str">
        <f t="shared" si="405"/>
        <v>Rev</v>
      </c>
      <c r="AQ371" s="2305" t="str">
        <f t="shared" si="405"/>
        <v>[Service]</v>
      </c>
      <c r="AR371" s="2306" t="str">
        <f t="shared" si="406"/>
        <v>[Price]</v>
      </c>
      <c r="AS371" s="2307" t="str">
        <f t="shared" si="453"/>
        <v>-</v>
      </c>
      <c r="AT371" s="1055" t="str">
        <f t="shared" si="453"/>
        <v>-</v>
      </c>
      <c r="AU371" s="1055" t="str">
        <f t="shared" si="453"/>
        <v>-</v>
      </c>
      <c r="AV371" s="2308" t="str">
        <f t="shared" si="453"/>
        <v>-</v>
      </c>
      <c r="AW371" s="1055" t="str">
        <f t="shared" si="453"/>
        <v>-</v>
      </c>
      <c r="AX371" s="2309" t="str">
        <f t="shared" si="453"/>
        <v>-</v>
      </c>
      <c r="AY371" s="1055" t="str">
        <f t="shared" si="453"/>
        <v>-</v>
      </c>
      <c r="AZ371" s="1055" t="str">
        <f t="shared" si="453"/>
        <v>-</v>
      </c>
      <c r="BA371" s="1055" t="str">
        <f t="shared" si="453"/>
        <v>-</v>
      </c>
      <c r="BB371" s="1056" t="str">
        <f t="shared" si="453"/>
        <v>-</v>
      </c>
      <c r="BC371" s="1055" t="str">
        <f t="shared" si="453"/>
        <v>-</v>
      </c>
      <c r="BD371" s="1055" t="str">
        <f t="shared" si="453"/>
        <v>-</v>
      </c>
      <c r="BE371" s="1055" t="str">
        <f t="shared" si="453"/>
        <v>-</v>
      </c>
      <c r="BF371" s="1055" t="str">
        <f t="shared" si="453"/>
        <v>-</v>
      </c>
      <c r="BG371" s="1056" t="str">
        <f t="shared" si="453"/>
        <v>-</v>
      </c>
      <c r="BH371" s="1048"/>
      <c r="BI371" s="2304" t="str">
        <f t="shared" si="427"/>
        <v>Rev</v>
      </c>
      <c r="BJ371" s="2305" t="str">
        <f t="shared" si="427"/>
        <v>[Service]</v>
      </c>
      <c r="BK371" s="2306" t="str">
        <f t="shared" si="427"/>
        <v>[Price]</v>
      </c>
      <c r="BL371" s="2307" t="str">
        <f t="shared" ref="BL371:BZ371" si="472">IF(OR(X371="",X371=0),"-",IFERROR((X371/W371-1)*(W371/W$13),"-"))</f>
        <v>-</v>
      </c>
      <c r="BM371" s="1055" t="str">
        <f t="shared" si="472"/>
        <v>-</v>
      </c>
      <c r="BN371" s="1055" t="str">
        <f t="shared" si="472"/>
        <v>-</v>
      </c>
      <c r="BO371" s="2308" t="str">
        <f t="shared" si="472"/>
        <v>-</v>
      </c>
      <c r="BP371" s="1055" t="str">
        <f t="shared" si="472"/>
        <v>-</v>
      </c>
      <c r="BQ371" s="2309" t="str">
        <f t="shared" si="472"/>
        <v>-</v>
      </c>
      <c r="BR371" s="1055" t="str">
        <f t="shared" si="472"/>
        <v>-</v>
      </c>
      <c r="BS371" s="1055" t="str">
        <f t="shared" si="472"/>
        <v>-</v>
      </c>
      <c r="BT371" s="1055" t="str">
        <f t="shared" si="472"/>
        <v>-</v>
      </c>
      <c r="BU371" s="1056" t="str">
        <f t="shared" si="472"/>
        <v>-</v>
      </c>
      <c r="BV371" s="1055" t="str">
        <f t="shared" si="472"/>
        <v>-</v>
      </c>
      <c r="BW371" s="1055" t="str">
        <f t="shared" si="472"/>
        <v>-</v>
      </c>
      <c r="BX371" s="1055" t="str">
        <f t="shared" si="472"/>
        <v>-</v>
      </c>
      <c r="BY371" s="1055" t="str">
        <f t="shared" si="472"/>
        <v>-</v>
      </c>
      <c r="BZ371" s="1056" t="str">
        <f t="shared" si="472"/>
        <v>-</v>
      </c>
    </row>
    <row r="372" spans="3:78" x14ac:dyDescent="0.3">
      <c r="C372" s="126"/>
      <c r="D372" s="126">
        <f>D369+1</f>
        <v>102</v>
      </c>
      <c r="E372" s="553" t="s">
        <v>45</v>
      </c>
      <c r="F372" s="581" t="s">
        <v>28</v>
      </c>
      <c r="G372" s="581"/>
      <c r="H372" s="581"/>
      <c r="I372" s="573" t="s">
        <v>319</v>
      </c>
      <c r="J372" s="573" t="s">
        <v>348</v>
      </c>
      <c r="K372" s="1969"/>
      <c r="L372" s="1970"/>
      <c r="M372" s="1970"/>
      <c r="N372" s="1971"/>
      <c r="O372" s="1970"/>
      <c r="P372" s="1970"/>
      <c r="Q372" s="1970"/>
      <c r="R372" s="1972"/>
      <c r="S372" s="1979"/>
      <c r="T372" s="1972"/>
      <c r="U372" s="1972"/>
      <c r="V372" s="1972"/>
      <c r="W372" s="575"/>
      <c r="X372" s="1238"/>
      <c r="Y372" s="575"/>
      <c r="Z372" s="575"/>
      <c r="AA372" s="575"/>
      <c r="AB372" s="1142"/>
      <c r="AC372" s="575"/>
      <c r="AD372" s="575"/>
      <c r="AE372" s="575"/>
      <c r="AF372" s="575"/>
      <c r="AG372" s="577"/>
      <c r="AH372" s="576"/>
      <c r="AI372" s="575"/>
      <c r="AJ372" s="575"/>
      <c r="AK372" s="575"/>
      <c r="AL372" s="577"/>
      <c r="AN372" s="1052"/>
      <c r="AP372" s="2297" t="str">
        <f t="shared" si="405"/>
        <v>Price</v>
      </c>
      <c r="AQ372" s="2298" t="str">
        <f t="shared" si="405"/>
        <v>[Service]</v>
      </c>
      <c r="AR372" s="1719" t="str">
        <f t="shared" si="406"/>
        <v>[Price]</v>
      </c>
      <c r="AS372" s="2299" t="str">
        <f t="shared" si="453"/>
        <v>-</v>
      </c>
      <c r="AT372" s="1728" t="str">
        <f t="shared" si="453"/>
        <v>-</v>
      </c>
      <c r="AU372" s="1728" t="str">
        <f t="shared" si="453"/>
        <v>-</v>
      </c>
      <c r="AV372" s="2300" t="str">
        <f t="shared" si="453"/>
        <v>-</v>
      </c>
      <c r="AW372" s="1728" t="str">
        <f t="shared" si="453"/>
        <v>-</v>
      </c>
      <c r="AX372" s="2301" t="str">
        <f t="shared" si="453"/>
        <v>-</v>
      </c>
      <c r="AY372" s="1728" t="str">
        <f t="shared" si="453"/>
        <v>-</v>
      </c>
      <c r="AZ372" s="1728" t="str">
        <f t="shared" si="453"/>
        <v>-</v>
      </c>
      <c r="BA372" s="1728" t="str">
        <f t="shared" si="453"/>
        <v>-</v>
      </c>
      <c r="BB372" s="1729" t="str">
        <f t="shared" si="453"/>
        <v>-</v>
      </c>
      <c r="BC372" s="1728" t="str">
        <f t="shared" si="453"/>
        <v>-</v>
      </c>
      <c r="BD372" s="1728" t="str">
        <f t="shared" si="453"/>
        <v>-</v>
      </c>
      <c r="BE372" s="1728" t="str">
        <f t="shared" si="453"/>
        <v>-</v>
      </c>
      <c r="BF372" s="1728" t="str">
        <f t="shared" si="453"/>
        <v>-</v>
      </c>
      <c r="BG372" s="1729" t="str">
        <f t="shared" si="453"/>
        <v>-</v>
      </c>
      <c r="BH372" s="1048"/>
      <c r="BI372" s="2297" t="str">
        <f t="shared" si="427"/>
        <v>Price</v>
      </c>
      <c r="BJ372" s="2298" t="str">
        <f t="shared" si="427"/>
        <v>[Service]</v>
      </c>
      <c r="BK372" s="1719" t="str">
        <f t="shared" si="427"/>
        <v>[Price]</v>
      </c>
      <c r="BL372" s="2299" t="str">
        <f t="shared" ref="BL372:BZ372" si="473">IF(OR(X372="",X372=0),"-",IFERROR((X372/W372-1)*(W374/W$13),"-"))</f>
        <v>-</v>
      </c>
      <c r="BM372" s="1053" t="str">
        <f t="shared" si="473"/>
        <v>-</v>
      </c>
      <c r="BN372" s="1053" t="str">
        <f t="shared" si="473"/>
        <v>-</v>
      </c>
      <c r="BO372" s="2302" t="str">
        <f t="shared" si="473"/>
        <v>-</v>
      </c>
      <c r="BP372" s="1053" t="str">
        <f t="shared" si="473"/>
        <v>-</v>
      </c>
      <c r="BQ372" s="2303" t="str">
        <f t="shared" si="473"/>
        <v>-</v>
      </c>
      <c r="BR372" s="1053" t="str">
        <f t="shared" si="473"/>
        <v>-</v>
      </c>
      <c r="BS372" s="1053" t="str">
        <f t="shared" si="473"/>
        <v>-</v>
      </c>
      <c r="BT372" s="1053" t="str">
        <f t="shared" si="473"/>
        <v>-</v>
      </c>
      <c r="BU372" s="1054" t="str">
        <f t="shared" si="473"/>
        <v>-</v>
      </c>
      <c r="BV372" s="1053" t="str">
        <f t="shared" si="473"/>
        <v>-</v>
      </c>
      <c r="BW372" s="1053" t="str">
        <f t="shared" si="473"/>
        <v>-</v>
      </c>
      <c r="BX372" s="1053" t="str">
        <f t="shared" si="473"/>
        <v>-</v>
      </c>
      <c r="BY372" s="1053" t="str">
        <f t="shared" si="473"/>
        <v>-</v>
      </c>
      <c r="BZ372" s="1054" t="str">
        <f t="shared" si="473"/>
        <v>-</v>
      </c>
    </row>
    <row r="373" spans="3:78" x14ac:dyDescent="0.3">
      <c r="C373" s="126"/>
      <c r="D373" s="126"/>
      <c r="E373" s="558" t="s">
        <v>46</v>
      </c>
      <c r="F373" s="1722" t="str">
        <f>+F372</f>
        <v>[Service]</v>
      </c>
      <c r="G373" s="1724">
        <f>+G372</f>
        <v>0</v>
      </c>
      <c r="H373" s="1724">
        <f>+H372</f>
        <v>0</v>
      </c>
      <c r="I373" s="1725" t="str">
        <f>+I372</f>
        <v>[Price]</v>
      </c>
      <c r="J373" s="574" t="s">
        <v>323</v>
      </c>
      <c r="K373" s="1973"/>
      <c r="L373" s="1974"/>
      <c r="M373" s="1974"/>
      <c r="N373" s="1975"/>
      <c r="O373" s="1974"/>
      <c r="P373" s="1974"/>
      <c r="Q373" s="1974"/>
      <c r="R373" s="1976"/>
      <c r="S373" s="1980"/>
      <c r="T373" s="1976"/>
      <c r="U373" s="1976"/>
      <c r="V373" s="1976"/>
      <c r="W373" s="578"/>
      <c r="X373" s="1239"/>
      <c r="Y373" s="578"/>
      <c r="Z373" s="578"/>
      <c r="AA373" s="578"/>
      <c r="AB373" s="1143"/>
      <c r="AC373" s="578"/>
      <c r="AD373" s="578"/>
      <c r="AE373" s="578"/>
      <c r="AF373" s="578"/>
      <c r="AG373" s="580"/>
      <c r="AH373" s="579"/>
      <c r="AI373" s="578"/>
      <c r="AJ373" s="578"/>
      <c r="AK373" s="578"/>
      <c r="AL373" s="580"/>
      <c r="AN373" s="991"/>
      <c r="AP373" s="2285" t="str">
        <f t="shared" si="405"/>
        <v>Qty</v>
      </c>
      <c r="AQ373" s="2286" t="str">
        <f t="shared" si="405"/>
        <v>[Service]</v>
      </c>
      <c r="AR373" s="2287" t="str">
        <f t="shared" si="406"/>
        <v>[Price]</v>
      </c>
      <c r="AS373" s="2288" t="str">
        <f t="shared" si="453"/>
        <v>-</v>
      </c>
      <c r="AT373" s="1720" t="str">
        <f t="shared" si="453"/>
        <v>-</v>
      </c>
      <c r="AU373" s="1720" t="str">
        <f t="shared" si="453"/>
        <v>-</v>
      </c>
      <c r="AV373" s="2289" t="str">
        <f t="shared" si="453"/>
        <v>-</v>
      </c>
      <c r="AW373" s="1720" t="str">
        <f t="shared" si="453"/>
        <v>-</v>
      </c>
      <c r="AX373" s="2290" t="str">
        <f t="shared" si="453"/>
        <v>-</v>
      </c>
      <c r="AY373" s="1720" t="str">
        <f t="shared" si="453"/>
        <v>-</v>
      </c>
      <c r="AZ373" s="1720" t="str">
        <f t="shared" si="453"/>
        <v>-</v>
      </c>
      <c r="BA373" s="1720" t="str">
        <f t="shared" si="453"/>
        <v>-</v>
      </c>
      <c r="BB373" s="1721" t="str">
        <f t="shared" si="453"/>
        <v>-</v>
      </c>
      <c r="BC373" s="1720" t="str">
        <f t="shared" si="453"/>
        <v>-</v>
      </c>
      <c r="BD373" s="1720" t="str">
        <f t="shared" si="453"/>
        <v>-</v>
      </c>
      <c r="BE373" s="1720" t="str">
        <f t="shared" si="453"/>
        <v>-</v>
      </c>
      <c r="BF373" s="1720" t="str">
        <f t="shared" si="453"/>
        <v>-</v>
      </c>
      <c r="BG373" s="1721" t="str">
        <f t="shared" si="453"/>
        <v>-</v>
      </c>
      <c r="BH373" s="1048"/>
      <c r="BI373" s="2285" t="str">
        <f t="shared" si="427"/>
        <v>Qty</v>
      </c>
      <c r="BJ373" s="2286" t="str">
        <f t="shared" si="427"/>
        <v>[Service]</v>
      </c>
      <c r="BK373" s="2287" t="str">
        <f t="shared" si="427"/>
        <v>[Price]</v>
      </c>
      <c r="BL373" s="2288" t="str">
        <f t="shared" ref="BL373:BZ373" si="474">IF(OR(X373="",X373=0),"-",IFERROR((X373/W373-1)*(W374/W$13),"-"))</f>
        <v>-</v>
      </c>
      <c r="BM373" s="1720" t="str">
        <f t="shared" si="474"/>
        <v>-</v>
      </c>
      <c r="BN373" s="1720" t="str">
        <f t="shared" si="474"/>
        <v>-</v>
      </c>
      <c r="BO373" s="2289" t="str">
        <f t="shared" si="474"/>
        <v>-</v>
      </c>
      <c r="BP373" s="1720" t="str">
        <f t="shared" si="474"/>
        <v>-</v>
      </c>
      <c r="BQ373" s="2290" t="str">
        <f t="shared" si="474"/>
        <v>-</v>
      </c>
      <c r="BR373" s="1720" t="str">
        <f t="shared" si="474"/>
        <v>-</v>
      </c>
      <c r="BS373" s="1720" t="str">
        <f t="shared" si="474"/>
        <v>-</v>
      </c>
      <c r="BT373" s="1720" t="str">
        <f t="shared" si="474"/>
        <v>-</v>
      </c>
      <c r="BU373" s="1721" t="str">
        <f t="shared" si="474"/>
        <v>-</v>
      </c>
      <c r="BV373" s="1720" t="str">
        <f t="shared" si="474"/>
        <v>-</v>
      </c>
      <c r="BW373" s="1720" t="str">
        <f t="shared" si="474"/>
        <v>-</v>
      </c>
      <c r="BX373" s="1720" t="str">
        <f t="shared" si="474"/>
        <v>-</v>
      </c>
      <c r="BY373" s="1720" t="str">
        <f t="shared" si="474"/>
        <v>-</v>
      </c>
      <c r="BZ373" s="1721" t="str">
        <f t="shared" si="474"/>
        <v>-</v>
      </c>
    </row>
    <row r="374" spans="3:78" ht="12.5" thickBot="1" x14ac:dyDescent="0.35">
      <c r="C374" s="126"/>
      <c r="D374" s="126"/>
      <c r="E374" s="559" t="s">
        <v>47</v>
      </c>
      <c r="F374" s="1723" t="str">
        <f>+F372</f>
        <v>[Service]</v>
      </c>
      <c r="G374" s="1726">
        <f>+G372</f>
        <v>0</v>
      </c>
      <c r="H374" s="1726">
        <f>+H372</f>
        <v>0</v>
      </c>
      <c r="I374" s="1727" t="str">
        <f>+I372</f>
        <v>[Price]</v>
      </c>
      <c r="J374" s="556" t="s">
        <v>347</v>
      </c>
      <c r="K374" s="1977"/>
      <c r="L374" s="1206"/>
      <c r="M374" s="1206"/>
      <c r="N374" s="1978"/>
      <c r="O374" s="1206"/>
      <c r="P374" s="1206"/>
      <c r="Q374" s="1206"/>
      <c r="R374" s="1206"/>
      <c r="S374" s="1978"/>
      <c r="T374" s="1206"/>
      <c r="U374" s="1206"/>
      <c r="V374" s="1206"/>
      <c r="W374" s="1731">
        <f t="shared" ref="W374:AG374" si="475">W372*W373/10^6</f>
        <v>0</v>
      </c>
      <c r="X374" s="1730">
        <f t="shared" si="475"/>
        <v>0</v>
      </c>
      <c r="Y374" s="1731">
        <f t="shared" si="475"/>
        <v>0</v>
      </c>
      <c r="Z374" s="1731">
        <f t="shared" si="475"/>
        <v>0</v>
      </c>
      <c r="AA374" s="1731">
        <f t="shared" si="475"/>
        <v>0</v>
      </c>
      <c r="AB374" s="1733">
        <f t="shared" si="475"/>
        <v>0</v>
      </c>
      <c r="AC374" s="1731">
        <f t="shared" si="475"/>
        <v>0</v>
      </c>
      <c r="AD374" s="1731">
        <f t="shared" si="475"/>
        <v>0</v>
      </c>
      <c r="AE374" s="1731">
        <f t="shared" si="475"/>
        <v>0</v>
      </c>
      <c r="AF374" s="1731">
        <f t="shared" si="475"/>
        <v>0</v>
      </c>
      <c r="AG374" s="1733">
        <f t="shared" si="475"/>
        <v>0</v>
      </c>
      <c r="AH374" s="1732">
        <f>AH372*AH373/10^6</f>
        <v>0</v>
      </c>
      <c r="AI374" s="1731">
        <f>AI372*AI373/10^6</f>
        <v>0</v>
      </c>
      <c r="AJ374" s="1731">
        <f>AJ372*AJ373/10^6</f>
        <v>0</v>
      </c>
      <c r="AK374" s="1731">
        <f>AK372*AK373/10^6</f>
        <v>0</v>
      </c>
      <c r="AL374" s="1733">
        <f>AL372*AL373/10^6</f>
        <v>0</v>
      </c>
      <c r="AN374" s="991"/>
      <c r="AP374" s="2304" t="str">
        <f t="shared" si="405"/>
        <v>Rev</v>
      </c>
      <c r="AQ374" s="2305" t="str">
        <f t="shared" si="405"/>
        <v>[Service]</v>
      </c>
      <c r="AR374" s="2306" t="str">
        <f t="shared" si="406"/>
        <v>[Price]</v>
      </c>
      <c r="AS374" s="2307" t="str">
        <f t="shared" si="453"/>
        <v>-</v>
      </c>
      <c r="AT374" s="1055" t="str">
        <f t="shared" si="453"/>
        <v>-</v>
      </c>
      <c r="AU374" s="1055" t="str">
        <f t="shared" si="453"/>
        <v>-</v>
      </c>
      <c r="AV374" s="2308" t="str">
        <f t="shared" si="453"/>
        <v>-</v>
      </c>
      <c r="AW374" s="1055" t="str">
        <f t="shared" si="453"/>
        <v>-</v>
      </c>
      <c r="AX374" s="2309" t="str">
        <f t="shared" si="453"/>
        <v>-</v>
      </c>
      <c r="AY374" s="1055" t="str">
        <f t="shared" si="453"/>
        <v>-</v>
      </c>
      <c r="AZ374" s="1055" t="str">
        <f t="shared" si="453"/>
        <v>-</v>
      </c>
      <c r="BA374" s="1055" t="str">
        <f t="shared" si="453"/>
        <v>-</v>
      </c>
      <c r="BB374" s="1056" t="str">
        <f t="shared" si="453"/>
        <v>-</v>
      </c>
      <c r="BC374" s="1055" t="str">
        <f t="shared" si="453"/>
        <v>-</v>
      </c>
      <c r="BD374" s="1055" t="str">
        <f t="shared" si="453"/>
        <v>-</v>
      </c>
      <c r="BE374" s="1055" t="str">
        <f t="shared" si="453"/>
        <v>-</v>
      </c>
      <c r="BF374" s="1055" t="str">
        <f t="shared" si="453"/>
        <v>-</v>
      </c>
      <c r="BG374" s="1056" t="str">
        <f t="shared" si="453"/>
        <v>-</v>
      </c>
      <c r="BH374" s="1048"/>
      <c r="BI374" s="2304" t="str">
        <f t="shared" si="427"/>
        <v>Rev</v>
      </c>
      <c r="BJ374" s="2305" t="str">
        <f t="shared" si="427"/>
        <v>[Service]</v>
      </c>
      <c r="BK374" s="2306" t="str">
        <f t="shared" si="427"/>
        <v>[Price]</v>
      </c>
      <c r="BL374" s="2307" t="str">
        <f t="shared" ref="BL374:BZ374" si="476">IF(OR(X374="",X374=0),"-",IFERROR((X374/W374-1)*(W374/W$13),"-"))</f>
        <v>-</v>
      </c>
      <c r="BM374" s="1055" t="str">
        <f t="shared" si="476"/>
        <v>-</v>
      </c>
      <c r="BN374" s="1055" t="str">
        <f t="shared" si="476"/>
        <v>-</v>
      </c>
      <c r="BO374" s="2308" t="str">
        <f t="shared" si="476"/>
        <v>-</v>
      </c>
      <c r="BP374" s="1055" t="str">
        <f t="shared" si="476"/>
        <v>-</v>
      </c>
      <c r="BQ374" s="2309" t="str">
        <f t="shared" si="476"/>
        <v>-</v>
      </c>
      <c r="BR374" s="1055" t="str">
        <f t="shared" si="476"/>
        <v>-</v>
      </c>
      <c r="BS374" s="1055" t="str">
        <f t="shared" si="476"/>
        <v>-</v>
      </c>
      <c r="BT374" s="1055" t="str">
        <f t="shared" si="476"/>
        <v>-</v>
      </c>
      <c r="BU374" s="1056" t="str">
        <f t="shared" si="476"/>
        <v>-</v>
      </c>
      <c r="BV374" s="1055" t="str">
        <f t="shared" si="476"/>
        <v>-</v>
      </c>
      <c r="BW374" s="1055" t="str">
        <f t="shared" si="476"/>
        <v>-</v>
      </c>
      <c r="BX374" s="1055" t="str">
        <f t="shared" si="476"/>
        <v>-</v>
      </c>
      <c r="BY374" s="1055" t="str">
        <f t="shared" si="476"/>
        <v>-</v>
      </c>
      <c r="BZ374" s="1056" t="str">
        <f t="shared" si="476"/>
        <v>-</v>
      </c>
    </row>
    <row r="375" spans="3:78" x14ac:dyDescent="0.3">
      <c r="C375" s="126"/>
      <c r="D375" s="126">
        <f>D372+1</f>
        <v>103</v>
      </c>
      <c r="E375" s="553" t="s">
        <v>45</v>
      </c>
      <c r="F375" s="581" t="s">
        <v>28</v>
      </c>
      <c r="G375" s="581"/>
      <c r="H375" s="581"/>
      <c r="I375" s="573" t="s">
        <v>319</v>
      </c>
      <c r="J375" s="573" t="s">
        <v>348</v>
      </c>
      <c r="K375" s="1969"/>
      <c r="L375" s="1970"/>
      <c r="M375" s="1970"/>
      <c r="N375" s="1971"/>
      <c r="O375" s="1970"/>
      <c r="P375" s="1970"/>
      <c r="Q375" s="1970"/>
      <c r="R375" s="1972"/>
      <c r="S375" s="1979"/>
      <c r="T375" s="1972"/>
      <c r="U375" s="1972"/>
      <c r="V375" s="1972"/>
      <c r="W375" s="575"/>
      <c r="X375" s="1238"/>
      <c r="Y375" s="575"/>
      <c r="Z375" s="575"/>
      <c r="AA375" s="575"/>
      <c r="AB375" s="1142"/>
      <c r="AC375" s="575"/>
      <c r="AD375" s="575"/>
      <c r="AE375" s="575"/>
      <c r="AF375" s="575"/>
      <c r="AG375" s="577"/>
      <c r="AH375" s="576"/>
      <c r="AI375" s="575"/>
      <c r="AJ375" s="575"/>
      <c r="AK375" s="575"/>
      <c r="AL375" s="577"/>
      <c r="AN375" s="1052"/>
      <c r="AP375" s="2297" t="str">
        <f t="shared" si="405"/>
        <v>Price</v>
      </c>
      <c r="AQ375" s="2298" t="str">
        <f t="shared" si="405"/>
        <v>[Service]</v>
      </c>
      <c r="AR375" s="1719" t="str">
        <f t="shared" si="406"/>
        <v>[Price]</v>
      </c>
      <c r="AS375" s="2299" t="str">
        <f t="shared" ref="AS375:BG391" si="477">IF(OR(X375="",X375=0),"-",IFERROR(X375/W375-1,"-"))</f>
        <v>-</v>
      </c>
      <c r="AT375" s="1728" t="str">
        <f t="shared" si="477"/>
        <v>-</v>
      </c>
      <c r="AU375" s="1728" t="str">
        <f t="shared" si="477"/>
        <v>-</v>
      </c>
      <c r="AV375" s="2300" t="str">
        <f t="shared" si="477"/>
        <v>-</v>
      </c>
      <c r="AW375" s="1728" t="str">
        <f t="shared" si="477"/>
        <v>-</v>
      </c>
      <c r="AX375" s="2301" t="str">
        <f t="shared" si="477"/>
        <v>-</v>
      </c>
      <c r="AY375" s="1728" t="str">
        <f t="shared" si="477"/>
        <v>-</v>
      </c>
      <c r="AZ375" s="1728" t="str">
        <f t="shared" si="477"/>
        <v>-</v>
      </c>
      <c r="BA375" s="1728" t="str">
        <f t="shared" si="477"/>
        <v>-</v>
      </c>
      <c r="BB375" s="1729" t="str">
        <f t="shared" si="477"/>
        <v>-</v>
      </c>
      <c r="BC375" s="1728" t="str">
        <f t="shared" si="477"/>
        <v>-</v>
      </c>
      <c r="BD375" s="1728" t="str">
        <f t="shared" si="477"/>
        <v>-</v>
      </c>
      <c r="BE375" s="1728" t="str">
        <f t="shared" si="477"/>
        <v>-</v>
      </c>
      <c r="BF375" s="1728" t="str">
        <f t="shared" si="477"/>
        <v>-</v>
      </c>
      <c r="BG375" s="1729" t="str">
        <f t="shared" si="477"/>
        <v>-</v>
      </c>
      <c r="BH375" s="1048"/>
      <c r="BI375" s="2297" t="str">
        <f t="shared" si="427"/>
        <v>Price</v>
      </c>
      <c r="BJ375" s="2298" t="str">
        <f t="shared" si="427"/>
        <v>[Service]</v>
      </c>
      <c r="BK375" s="1719" t="str">
        <f t="shared" si="427"/>
        <v>[Price]</v>
      </c>
      <c r="BL375" s="2299" t="str">
        <f t="shared" ref="BL375:BZ375" si="478">IF(OR(X375="",X375=0),"-",IFERROR((X375/W375-1)*(W377/W$13),"-"))</f>
        <v>-</v>
      </c>
      <c r="BM375" s="1053" t="str">
        <f t="shared" si="478"/>
        <v>-</v>
      </c>
      <c r="BN375" s="1053" t="str">
        <f t="shared" si="478"/>
        <v>-</v>
      </c>
      <c r="BO375" s="2302" t="str">
        <f t="shared" si="478"/>
        <v>-</v>
      </c>
      <c r="BP375" s="1053" t="str">
        <f t="shared" si="478"/>
        <v>-</v>
      </c>
      <c r="BQ375" s="2303" t="str">
        <f t="shared" si="478"/>
        <v>-</v>
      </c>
      <c r="BR375" s="1053" t="str">
        <f t="shared" si="478"/>
        <v>-</v>
      </c>
      <c r="BS375" s="1053" t="str">
        <f t="shared" si="478"/>
        <v>-</v>
      </c>
      <c r="BT375" s="1053" t="str">
        <f t="shared" si="478"/>
        <v>-</v>
      </c>
      <c r="BU375" s="1054" t="str">
        <f t="shared" si="478"/>
        <v>-</v>
      </c>
      <c r="BV375" s="1053" t="str">
        <f t="shared" si="478"/>
        <v>-</v>
      </c>
      <c r="BW375" s="1053" t="str">
        <f t="shared" si="478"/>
        <v>-</v>
      </c>
      <c r="BX375" s="1053" t="str">
        <f t="shared" si="478"/>
        <v>-</v>
      </c>
      <c r="BY375" s="1053" t="str">
        <f t="shared" si="478"/>
        <v>-</v>
      </c>
      <c r="BZ375" s="1054" t="str">
        <f t="shared" si="478"/>
        <v>-</v>
      </c>
    </row>
    <row r="376" spans="3:78" x14ac:dyDescent="0.3">
      <c r="C376" s="126"/>
      <c r="D376" s="126"/>
      <c r="E376" s="558" t="s">
        <v>46</v>
      </c>
      <c r="F376" s="1722" t="str">
        <f>+F375</f>
        <v>[Service]</v>
      </c>
      <c r="G376" s="1724">
        <f>+G375</f>
        <v>0</v>
      </c>
      <c r="H376" s="1724">
        <f>+H375</f>
        <v>0</v>
      </c>
      <c r="I376" s="1725" t="str">
        <f>+I375</f>
        <v>[Price]</v>
      </c>
      <c r="J376" s="574" t="s">
        <v>323</v>
      </c>
      <c r="K376" s="1973"/>
      <c r="L376" s="1974"/>
      <c r="M376" s="1974"/>
      <c r="N376" s="1975"/>
      <c r="O376" s="1974"/>
      <c r="P376" s="1974"/>
      <c r="Q376" s="1974"/>
      <c r="R376" s="1976"/>
      <c r="S376" s="1980"/>
      <c r="T376" s="1976"/>
      <c r="U376" s="1976"/>
      <c r="V376" s="1976"/>
      <c r="W376" s="578"/>
      <c r="X376" s="1239"/>
      <c r="Y376" s="578"/>
      <c r="Z376" s="578"/>
      <c r="AA376" s="578"/>
      <c r="AB376" s="1143"/>
      <c r="AC376" s="578"/>
      <c r="AD376" s="578"/>
      <c r="AE376" s="578"/>
      <c r="AF376" s="578"/>
      <c r="AG376" s="580"/>
      <c r="AH376" s="579"/>
      <c r="AI376" s="578"/>
      <c r="AJ376" s="578"/>
      <c r="AK376" s="578"/>
      <c r="AL376" s="580"/>
      <c r="AN376" s="991"/>
      <c r="AP376" s="2285" t="str">
        <f t="shared" si="405"/>
        <v>Qty</v>
      </c>
      <c r="AQ376" s="2286" t="str">
        <f t="shared" si="405"/>
        <v>[Service]</v>
      </c>
      <c r="AR376" s="2287" t="str">
        <f t="shared" si="406"/>
        <v>[Price]</v>
      </c>
      <c r="AS376" s="2288" t="str">
        <f t="shared" si="477"/>
        <v>-</v>
      </c>
      <c r="AT376" s="1720" t="str">
        <f t="shared" si="477"/>
        <v>-</v>
      </c>
      <c r="AU376" s="1720" t="str">
        <f t="shared" si="477"/>
        <v>-</v>
      </c>
      <c r="AV376" s="2289" t="str">
        <f t="shared" si="477"/>
        <v>-</v>
      </c>
      <c r="AW376" s="1720" t="str">
        <f t="shared" si="477"/>
        <v>-</v>
      </c>
      <c r="AX376" s="2290" t="str">
        <f t="shared" si="477"/>
        <v>-</v>
      </c>
      <c r="AY376" s="1720" t="str">
        <f t="shared" si="477"/>
        <v>-</v>
      </c>
      <c r="AZ376" s="1720" t="str">
        <f t="shared" si="477"/>
        <v>-</v>
      </c>
      <c r="BA376" s="1720" t="str">
        <f t="shared" si="477"/>
        <v>-</v>
      </c>
      <c r="BB376" s="1721" t="str">
        <f t="shared" si="477"/>
        <v>-</v>
      </c>
      <c r="BC376" s="1720" t="str">
        <f t="shared" si="477"/>
        <v>-</v>
      </c>
      <c r="BD376" s="1720" t="str">
        <f t="shared" si="477"/>
        <v>-</v>
      </c>
      <c r="BE376" s="1720" t="str">
        <f t="shared" si="477"/>
        <v>-</v>
      </c>
      <c r="BF376" s="1720" t="str">
        <f t="shared" si="477"/>
        <v>-</v>
      </c>
      <c r="BG376" s="1721" t="str">
        <f t="shared" si="477"/>
        <v>-</v>
      </c>
      <c r="BH376" s="1048"/>
      <c r="BI376" s="2285" t="str">
        <f t="shared" si="427"/>
        <v>Qty</v>
      </c>
      <c r="BJ376" s="2286" t="str">
        <f t="shared" si="427"/>
        <v>[Service]</v>
      </c>
      <c r="BK376" s="2287" t="str">
        <f t="shared" si="427"/>
        <v>[Price]</v>
      </c>
      <c r="BL376" s="2288" t="str">
        <f t="shared" ref="BL376:BZ376" si="479">IF(OR(X376="",X376=0),"-",IFERROR((X376/W376-1)*(W377/W$13),"-"))</f>
        <v>-</v>
      </c>
      <c r="BM376" s="1720" t="str">
        <f t="shared" si="479"/>
        <v>-</v>
      </c>
      <c r="BN376" s="1720" t="str">
        <f t="shared" si="479"/>
        <v>-</v>
      </c>
      <c r="BO376" s="2289" t="str">
        <f t="shared" si="479"/>
        <v>-</v>
      </c>
      <c r="BP376" s="1720" t="str">
        <f t="shared" si="479"/>
        <v>-</v>
      </c>
      <c r="BQ376" s="2290" t="str">
        <f t="shared" si="479"/>
        <v>-</v>
      </c>
      <c r="BR376" s="1720" t="str">
        <f t="shared" si="479"/>
        <v>-</v>
      </c>
      <c r="BS376" s="1720" t="str">
        <f t="shared" si="479"/>
        <v>-</v>
      </c>
      <c r="BT376" s="1720" t="str">
        <f t="shared" si="479"/>
        <v>-</v>
      </c>
      <c r="BU376" s="1721" t="str">
        <f t="shared" si="479"/>
        <v>-</v>
      </c>
      <c r="BV376" s="1720" t="str">
        <f t="shared" si="479"/>
        <v>-</v>
      </c>
      <c r="BW376" s="1720" t="str">
        <f t="shared" si="479"/>
        <v>-</v>
      </c>
      <c r="BX376" s="1720" t="str">
        <f t="shared" si="479"/>
        <v>-</v>
      </c>
      <c r="BY376" s="1720" t="str">
        <f t="shared" si="479"/>
        <v>-</v>
      </c>
      <c r="BZ376" s="1721" t="str">
        <f t="shared" si="479"/>
        <v>-</v>
      </c>
    </row>
    <row r="377" spans="3:78" ht="12.5" thickBot="1" x14ac:dyDescent="0.35">
      <c r="C377" s="126"/>
      <c r="D377" s="126"/>
      <c r="E377" s="559" t="s">
        <v>47</v>
      </c>
      <c r="F377" s="1723" t="str">
        <f>+F375</f>
        <v>[Service]</v>
      </c>
      <c r="G377" s="1726">
        <f>+G375</f>
        <v>0</v>
      </c>
      <c r="H377" s="1726">
        <f>+H375</f>
        <v>0</v>
      </c>
      <c r="I377" s="1727" t="str">
        <f>+I375</f>
        <v>[Price]</v>
      </c>
      <c r="J377" s="556" t="s">
        <v>347</v>
      </c>
      <c r="K377" s="1977"/>
      <c r="L377" s="1206"/>
      <c r="M377" s="1206"/>
      <c r="N377" s="1978"/>
      <c r="O377" s="1206"/>
      <c r="P377" s="1206"/>
      <c r="Q377" s="1206"/>
      <c r="R377" s="1206"/>
      <c r="S377" s="1978"/>
      <c r="T377" s="1206"/>
      <c r="U377" s="1206"/>
      <c r="V377" s="1206"/>
      <c r="W377" s="1731">
        <f t="shared" ref="W377:AG377" si="480">W375*W376/10^6</f>
        <v>0</v>
      </c>
      <c r="X377" s="1730">
        <f t="shared" si="480"/>
        <v>0</v>
      </c>
      <c r="Y377" s="1731">
        <f t="shared" si="480"/>
        <v>0</v>
      </c>
      <c r="Z377" s="1731">
        <f t="shared" si="480"/>
        <v>0</v>
      </c>
      <c r="AA377" s="1731">
        <f t="shared" si="480"/>
        <v>0</v>
      </c>
      <c r="AB377" s="1733">
        <f t="shared" si="480"/>
        <v>0</v>
      </c>
      <c r="AC377" s="1731">
        <f t="shared" si="480"/>
        <v>0</v>
      </c>
      <c r="AD377" s="1731">
        <f t="shared" si="480"/>
        <v>0</v>
      </c>
      <c r="AE377" s="1731">
        <f t="shared" si="480"/>
        <v>0</v>
      </c>
      <c r="AF377" s="1731">
        <f t="shared" si="480"/>
        <v>0</v>
      </c>
      <c r="AG377" s="1733">
        <f t="shared" si="480"/>
        <v>0</v>
      </c>
      <c r="AH377" s="1732">
        <f>AH375*AH376/10^6</f>
        <v>0</v>
      </c>
      <c r="AI377" s="1731">
        <f>AI375*AI376/10^6</f>
        <v>0</v>
      </c>
      <c r="AJ377" s="1731">
        <f>AJ375*AJ376/10^6</f>
        <v>0</v>
      </c>
      <c r="AK377" s="1731">
        <f>AK375*AK376/10^6</f>
        <v>0</v>
      </c>
      <c r="AL377" s="1733">
        <f>AL375*AL376/10^6</f>
        <v>0</v>
      </c>
      <c r="AN377" s="991"/>
      <c r="AP377" s="2304" t="str">
        <f t="shared" si="405"/>
        <v>Rev</v>
      </c>
      <c r="AQ377" s="2305" t="str">
        <f t="shared" si="405"/>
        <v>[Service]</v>
      </c>
      <c r="AR377" s="2306" t="str">
        <f t="shared" si="406"/>
        <v>[Price]</v>
      </c>
      <c r="AS377" s="2307" t="str">
        <f t="shared" si="477"/>
        <v>-</v>
      </c>
      <c r="AT377" s="1055" t="str">
        <f t="shared" si="477"/>
        <v>-</v>
      </c>
      <c r="AU377" s="1055" t="str">
        <f t="shared" si="477"/>
        <v>-</v>
      </c>
      <c r="AV377" s="2308" t="str">
        <f t="shared" si="477"/>
        <v>-</v>
      </c>
      <c r="AW377" s="1055" t="str">
        <f t="shared" si="477"/>
        <v>-</v>
      </c>
      <c r="AX377" s="2309" t="str">
        <f t="shared" si="477"/>
        <v>-</v>
      </c>
      <c r="AY377" s="1055" t="str">
        <f t="shared" si="477"/>
        <v>-</v>
      </c>
      <c r="AZ377" s="1055" t="str">
        <f t="shared" si="477"/>
        <v>-</v>
      </c>
      <c r="BA377" s="1055" t="str">
        <f t="shared" si="477"/>
        <v>-</v>
      </c>
      <c r="BB377" s="1056" t="str">
        <f t="shared" si="477"/>
        <v>-</v>
      </c>
      <c r="BC377" s="1055" t="str">
        <f t="shared" si="477"/>
        <v>-</v>
      </c>
      <c r="BD377" s="1055" t="str">
        <f t="shared" si="477"/>
        <v>-</v>
      </c>
      <c r="BE377" s="1055" t="str">
        <f t="shared" si="477"/>
        <v>-</v>
      </c>
      <c r="BF377" s="1055" t="str">
        <f t="shared" si="477"/>
        <v>-</v>
      </c>
      <c r="BG377" s="1056" t="str">
        <f t="shared" si="477"/>
        <v>-</v>
      </c>
      <c r="BH377" s="1048"/>
      <c r="BI377" s="2304" t="str">
        <f t="shared" si="427"/>
        <v>Rev</v>
      </c>
      <c r="BJ377" s="2305" t="str">
        <f t="shared" si="427"/>
        <v>[Service]</v>
      </c>
      <c r="BK377" s="2306" t="str">
        <f t="shared" si="427"/>
        <v>[Price]</v>
      </c>
      <c r="BL377" s="2307" t="str">
        <f t="shared" ref="BL377:BZ377" si="481">IF(OR(X377="",X377=0),"-",IFERROR((X377/W377-1)*(W377/W$13),"-"))</f>
        <v>-</v>
      </c>
      <c r="BM377" s="1055" t="str">
        <f t="shared" si="481"/>
        <v>-</v>
      </c>
      <c r="BN377" s="1055" t="str">
        <f t="shared" si="481"/>
        <v>-</v>
      </c>
      <c r="BO377" s="2308" t="str">
        <f t="shared" si="481"/>
        <v>-</v>
      </c>
      <c r="BP377" s="1055" t="str">
        <f t="shared" si="481"/>
        <v>-</v>
      </c>
      <c r="BQ377" s="2309" t="str">
        <f t="shared" si="481"/>
        <v>-</v>
      </c>
      <c r="BR377" s="1055" t="str">
        <f t="shared" si="481"/>
        <v>-</v>
      </c>
      <c r="BS377" s="1055" t="str">
        <f t="shared" si="481"/>
        <v>-</v>
      </c>
      <c r="BT377" s="1055" t="str">
        <f t="shared" si="481"/>
        <v>-</v>
      </c>
      <c r="BU377" s="1056" t="str">
        <f t="shared" si="481"/>
        <v>-</v>
      </c>
      <c r="BV377" s="1055" t="str">
        <f t="shared" si="481"/>
        <v>-</v>
      </c>
      <c r="BW377" s="1055" t="str">
        <f t="shared" si="481"/>
        <v>-</v>
      </c>
      <c r="BX377" s="1055" t="str">
        <f t="shared" si="481"/>
        <v>-</v>
      </c>
      <c r="BY377" s="1055" t="str">
        <f t="shared" si="481"/>
        <v>-</v>
      </c>
      <c r="BZ377" s="1056" t="str">
        <f t="shared" si="481"/>
        <v>-</v>
      </c>
    </row>
    <row r="378" spans="3:78" x14ac:dyDescent="0.3">
      <c r="C378" s="126"/>
      <c r="D378" s="126">
        <f>D375+1</f>
        <v>104</v>
      </c>
      <c r="E378" s="553" t="s">
        <v>45</v>
      </c>
      <c r="F378" s="581" t="s">
        <v>28</v>
      </c>
      <c r="G378" s="581"/>
      <c r="H378" s="581"/>
      <c r="I378" s="573" t="s">
        <v>319</v>
      </c>
      <c r="J378" s="573" t="s">
        <v>348</v>
      </c>
      <c r="K378" s="1969"/>
      <c r="L378" s="1970"/>
      <c r="M378" s="1970"/>
      <c r="N378" s="1971"/>
      <c r="O378" s="1970"/>
      <c r="P378" s="1970"/>
      <c r="Q378" s="1970"/>
      <c r="R378" s="1972"/>
      <c r="S378" s="1979"/>
      <c r="T378" s="1972"/>
      <c r="U378" s="1972"/>
      <c r="V378" s="1972"/>
      <c r="W378" s="575"/>
      <c r="X378" s="1238"/>
      <c r="Y378" s="575"/>
      <c r="Z378" s="575"/>
      <c r="AA378" s="575"/>
      <c r="AB378" s="1142"/>
      <c r="AC378" s="575"/>
      <c r="AD378" s="575"/>
      <c r="AE378" s="575"/>
      <c r="AF378" s="575"/>
      <c r="AG378" s="577"/>
      <c r="AH378" s="576"/>
      <c r="AI378" s="575"/>
      <c r="AJ378" s="575"/>
      <c r="AK378" s="575"/>
      <c r="AL378" s="577"/>
      <c r="AN378" s="1052"/>
      <c r="AP378" s="2297" t="str">
        <f t="shared" si="405"/>
        <v>Price</v>
      </c>
      <c r="AQ378" s="2298" t="str">
        <f t="shared" si="405"/>
        <v>[Service]</v>
      </c>
      <c r="AR378" s="1719" t="str">
        <f t="shared" si="406"/>
        <v>[Price]</v>
      </c>
      <c r="AS378" s="2299" t="str">
        <f t="shared" si="477"/>
        <v>-</v>
      </c>
      <c r="AT378" s="1728" t="str">
        <f t="shared" si="477"/>
        <v>-</v>
      </c>
      <c r="AU378" s="1728" t="str">
        <f t="shared" si="477"/>
        <v>-</v>
      </c>
      <c r="AV378" s="2300" t="str">
        <f t="shared" si="477"/>
        <v>-</v>
      </c>
      <c r="AW378" s="1728" t="str">
        <f t="shared" si="477"/>
        <v>-</v>
      </c>
      <c r="AX378" s="2301" t="str">
        <f t="shared" si="477"/>
        <v>-</v>
      </c>
      <c r="AY378" s="1728" t="str">
        <f t="shared" si="477"/>
        <v>-</v>
      </c>
      <c r="AZ378" s="1728" t="str">
        <f t="shared" si="477"/>
        <v>-</v>
      </c>
      <c r="BA378" s="1728" t="str">
        <f t="shared" si="477"/>
        <v>-</v>
      </c>
      <c r="BB378" s="1729" t="str">
        <f t="shared" si="477"/>
        <v>-</v>
      </c>
      <c r="BC378" s="1728" t="str">
        <f t="shared" si="477"/>
        <v>-</v>
      </c>
      <c r="BD378" s="1728" t="str">
        <f t="shared" si="477"/>
        <v>-</v>
      </c>
      <c r="BE378" s="1728" t="str">
        <f t="shared" si="477"/>
        <v>-</v>
      </c>
      <c r="BF378" s="1728" t="str">
        <f t="shared" si="477"/>
        <v>-</v>
      </c>
      <c r="BG378" s="1729" t="str">
        <f t="shared" si="477"/>
        <v>-</v>
      </c>
      <c r="BH378" s="1048"/>
      <c r="BI378" s="2297" t="str">
        <f t="shared" si="427"/>
        <v>Price</v>
      </c>
      <c r="BJ378" s="2298" t="str">
        <f t="shared" si="427"/>
        <v>[Service]</v>
      </c>
      <c r="BK378" s="1719" t="str">
        <f t="shared" si="427"/>
        <v>[Price]</v>
      </c>
      <c r="BL378" s="2299" t="str">
        <f t="shared" ref="BL378:BZ378" si="482">IF(OR(X378="",X378=0),"-",IFERROR((X378/W378-1)*(W380/W$13),"-"))</f>
        <v>-</v>
      </c>
      <c r="BM378" s="1053" t="str">
        <f t="shared" si="482"/>
        <v>-</v>
      </c>
      <c r="BN378" s="1053" t="str">
        <f t="shared" si="482"/>
        <v>-</v>
      </c>
      <c r="BO378" s="2302" t="str">
        <f t="shared" si="482"/>
        <v>-</v>
      </c>
      <c r="BP378" s="1053" t="str">
        <f t="shared" si="482"/>
        <v>-</v>
      </c>
      <c r="BQ378" s="2303" t="str">
        <f t="shared" si="482"/>
        <v>-</v>
      </c>
      <c r="BR378" s="1053" t="str">
        <f t="shared" si="482"/>
        <v>-</v>
      </c>
      <c r="BS378" s="1053" t="str">
        <f t="shared" si="482"/>
        <v>-</v>
      </c>
      <c r="BT378" s="1053" t="str">
        <f t="shared" si="482"/>
        <v>-</v>
      </c>
      <c r="BU378" s="1054" t="str">
        <f t="shared" si="482"/>
        <v>-</v>
      </c>
      <c r="BV378" s="1053" t="str">
        <f t="shared" si="482"/>
        <v>-</v>
      </c>
      <c r="BW378" s="1053" t="str">
        <f t="shared" si="482"/>
        <v>-</v>
      </c>
      <c r="BX378" s="1053" t="str">
        <f t="shared" si="482"/>
        <v>-</v>
      </c>
      <c r="BY378" s="1053" t="str">
        <f t="shared" si="482"/>
        <v>-</v>
      </c>
      <c r="BZ378" s="1054" t="str">
        <f t="shared" si="482"/>
        <v>-</v>
      </c>
    </row>
    <row r="379" spans="3:78" x14ac:dyDescent="0.3">
      <c r="C379" s="126"/>
      <c r="D379" s="126"/>
      <c r="E379" s="558" t="s">
        <v>46</v>
      </c>
      <c r="F379" s="1722" t="str">
        <f>+F378</f>
        <v>[Service]</v>
      </c>
      <c r="G379" s="1724">
        <f>+G378</f>
        <v>0</v>
      </c>
      <c r="H379" s="1724">
        <f>+H378</f>
        <v>0</v>
      </c>
      <c r="I379" s="1725" t="str">
        <f>+I378</f>
        <v>[Price]</v>
      </c>
      <c r="J379" s="574" t="s">
        <v>323</v>
      </c>
      <c r="K379" s="1973"/>
      <c r="L379" s="1974"/>
      <c r="M379" s="1974"/>
      <c r="N379" s="1975"/>
      <c r="O379" s="1974"/>
      <c r="P379" s="1974"/>
      <c r="Q379" s="1974"/>
      <c r="R379" s="1976"/>
      <c r="S379" s="1980"/>
      <c r="T379" s="1976"/>
      <c r="U379" s="1976"/>
      <c r="V379" s="1976"/>
      <c r="W379" s="578"/>
      <c r="X379" s="1239"/>
      <c r="Y379" s="578"/>
      <c r="Z379" s="578"/>
      <c r="AA379" s="578"/>
      <c r="AB379" s="1143"/>
      <c r="AC379" s="578"/>
      <c r="AD379" s="578"/>
      <c r="AE379" s="578"/>
      <c r="AF379" s="578"/>
      <c r="AG379" s="580"/>
      <c r="AH379" s="579"/>
      <c r="AI379" s="578"/>
      <c r="AJ379" s="578"/>
      <c r="AK379" s="578"/>
      <c r="AL379" s="580"/>
      <c r="AN379" s="991"/>
      <c r="AP379" s="2285" t="str">
        <f t="shared" si="405"/>
        <v>Qty</v>
      </c>
      <c r="AQ379" s="2286" t="str">
        <f t="shared" si="405"/>
        <v>[Service]</v>
      </c>
      <c r="AR379" s="2287" t="str">
        <f t="shared" si="406"/>
        <v>[Price]</v>
      </c>
      <c r="AS379" s="2288" t="str">
        <f t="shared" si="477"/>
        <v>-</v>
      </c>
      <c r="AT379" s="1720" t="str">
        <f t="shared" si="477"/>
        <v>-</v>
      </c>
      <c r="AU379" s="1720" t="str">
        <f t="shared" si="477"/>
        <v>-</v>
      </c>
      <c r="AV379" s="2289" t="str">
        <f t="shared" si="477"/>
        <v>-</v>
      </c>
      <c r="AW379" s="1720" t="str">
        <f t="shared" si="477"/>
        <v>-</v>
      </c>
      <c r="AX379" s="2290" t="str">
        <f t="shared" si="477"/>
        <v>-</v>
      </c>
      <c r="AY379" s="1720" t="str">
        <f t="shared" si="477"/>
        <v>-</v>
      </c>
      <c r="AZ379" s="1720" t="str">
        <f t="shared" si="477"/>
        <v>-</v>
      </c>
      <c r="BA379" s="1720" t="str">
        <f t="shared" si="477"/>
        <v>-</v>
      </c>
      <c r="BB379" s="1721" t="str">
        <f t="shared" si="477"/>
        <v>-</v>
      </c>
      <c r="BC379" s="1720" t="str">
        <f t="shared" si="477"/>
        <v>-</v>
      </c>
      <c r="BD379" s="1720" t="str">
        <f t="shared" si="477"/>
        <v>-</v>
      </c>
      <c r="BE379" s="1720" t="str">
        <f t="shared" si="477"/>
        <v>-</v>
      </c>
      <c r="BF379" s="1720" t="str">
        <f t="shared" si="477"/>
        <v>-</v>
      </c>
      <c r="BG379" s="1721" t="str">
        <f t="shared" si="477"/>
        <v>-</v>
      </c>
      <c r="BH379" s="1048"/>
      <c r="BI379" s="2285" t="str">
        <f t="shared" si="427"/>
        <v>Qty</v>
      </c>
      <c r="BJ379" s="2286" t="str">
        <f t="shared" si="427"/>
        <v>[Service]</v>
      </c>
      <c r="BK379" s="2287" t="str">
        <f t="shared" si="427"/>
        <v>[Price]</v>
      </c>
      <c r="BL379" s="2288" t="str">
        <f t="shared" ref="BL379:BZ379" si="483">IF(OR(X379="",X379=0),"-",IFERROR((X379/W379-1)*(W380/W$13),"-"))</f>
        <v>-</v>
      </c>
      <c r="BM379" s="1720" t="str">
        <f t="shared" si="483"/>
        <v>-</v>
      </c>
      <c r="BN379" s="1720" t="str">
        <f t="shared" si="483"/>
        <v>-</v>
      </c>
      <c r="BO379" s="2289" t="str">
        <f t="shared" si="483"/>
        <v>-</v>
      </c>
      <c r="BP379" s="1720" t="str">
        <f t="shared" si="483"/>
        <v>-</v>
      </c>
      <c r="BQ379" s="2290" t="str">
        <f t="shared" si="483"/>
        <v>-</v>
      </c>
      <c r="BR379" s="1720" t="str">
        <f t="shared" si="483"/>
        <v>-</v>
      </c>
      <c r="BS379" s="1720" t="str">
        <f t="shared" si="483"/>
        <v>-</v>
      </c>
      <c r="BT379" s="1720" t="str">
        <f t="shared" si="483"/>
        <v>-</v>
      </c>
      <c r="BU379" s="1721" t="str">
        <f t="shared" si="483"/>
        <v>-</v>
      </c>
      <c r="BV379" s="1720" t="str">
        <f t="shared" si="483"/>
        <v>-</v>
      </c>
      <c r="BW379" s="1720" t="str">
        <f t="shared" si="483"/>
        <v>-</v>
      </c>
      <c r="BX379" s="1720" t="str">
        <f t="shared" si="483"/>
        <v>-</v>
      </c>
      <c r="BY379" s="1720" t="str">
        <f t="shared" si="483"/>
        <v>-</v>
      </c>
      <c r="BZ379" s="1721" t="str">
        <f t="shared" si="483"/>
        <v>-</v>
      </c>
    </row>
    <row r="380" spans="3:78" ht="12.5" thickBot="1" x14ac:dyDescent="0.35">
      <c r="C380" s="126"/>
      <c r="D380" s="126"/>
      <c r="E380" s="559" t="s">
        <v>47</v>
      </c>
      <c r="F380" s="1723" t="str">
        <f>+F378</f>
        <v>[Service]</v>
      </c>
      <c r="G380" s="1726">
        <f>+G378</f>
        <v>0</v>
      </c>
      <c r="H380" s="1726">
        <f>+H378</f>
        <v>0</v>
      </c>
      <c r="I380" s="1727" t="str">
        <f>+I378</f>
        <v>[Price]</v>
      </c>
      <c r="J380" s="556" t="s">
        <v>347</v>
      </c>
      <c r="K380" s="1977"/>
      <c r="L380" s="1206"/>
      <c r="M380" s="1206"/>
      <c r="N380" s="1978"/>
      <c r="O380" s="1206"/>
      <c r="P380" s="1206"/>
      <c r="Q380" s="1206"/>
      <c r="R380" s="1206"/>
      <c r="S380" s="1978"/>
      <c r="T380" s="1206"/>
      <c r="U380" s="1206"/>
      <c r="V380" s="1206"/>
      <c r="W380" s="1731">
        <f t="shared" ref="W380:AG380" si="484">W378*W379/10^6</f>
        <v>0</v>
      </c>
      <c r="X380" s="1730">
        <f t="shared" si="484"/>
        <v>0</v>
      </c>
      <c r="Y380" s="1731">
        <f t="shared" si="484"/>
        <v>0</v>
      </c>
      <c r="Z380" s="1731">
        <f t="shared" si="484"/>
        <v>0</v>
      </c>
      <c r="AA380" s="1731">
        <f t="shared" si="484"/>
        <v>0</v>
      </c>
      <c r="AB380" s="1733">
        <f t="shared" si="484"/>
        <v>0</v>
      </c>
      <c r="AC380" s="1731">
        <f t="shared" si="484"/>
        <v>0</v>
      </c>
      <c r="AD380" s="1731">
        <f t="shared" si="484"/>
        <v>0</v>
      </c>
      <c r="AE380" s="1731">
        <f t="shared" si="484"/>
        <v>0</v>
      </c>
      <c r="AF380" s="1731">
        <f t="shared" si="484"/>
        <v>0</v>
      </c>
      <c r="AG380" s="1733">
        <f t="shared" si="484"/>
        <v>0</v>
      </c>
      <c r="AH380" s="1732">
        <f>AH378*AH379/10^6</f>
        <v>0</v>
      </c>
      <c r="AI380" s="1731">
        <f>AI378*AI379/10^6</f>
        <v>0</v>
      </c>
      <c r="AJ380" s="1731">
        <f>AJ378*AJ379/10^6</f>
        <v>0</v>
      </c>
      <c r="AK380" s="1731">
        <f>AK378*AK379/10^6</f>
        <v>0</v>
      </c>
      <c r="AL380" s="1733">
        <f>AL378*AL379/10^6</f>
        <v>0</v>
      </c>
      <c r="AN380" s="991"/>
      <c r="AP380" s="2304" t="str">
        <f t="shared" si="405"/>
        <v>Rev</v>
      </c>
      <c r="AQ380" s="2305" t="str">
        <f t="shared" si="405"/>
        <v>[Service]</v>
      </c>
      <c r="AR380" s="2306" t="str">
        <f t="shared" si="406"/>
        <v>[Price]</v>
      </c>
      <c r="AS380" s="2307" t="str">
        <f t="shared" si="477"/>
        <v>-</v>
      </c>
      <c r="AT380" s="1055" t="str">
        <f t="shared" si="477"/>
        <v>-</v>
      </c>
      <c r="AU380" s="1055" t="str">
        <f t="shared" si="477"/>
        <v>-</v>
      </c>
      <c r="AV380" s="2308" t="str">
        <f t="shared" si="477"/>
        <v>-</v>
      </c>
      <c r="AW380" s="1055" t="str">
        <f t="shared" si="477"/>
        <v>-</v>
      </c>
      <c r="AX380" s="2309" t="str">
        <f t="shared" si="477"/>
        <v>-</v>
      </c>
      <c r="AY380" s="1055" t="str">
        <f t="shared" si="477"/>
        <v>-</v>
      </c>
      <c r="AZ380" s="1055" t="str">
        <f t="shared" si="477"/>
        <v>-</v>
      </c>
      <c r="BA380" s="1055" t="str">
        <f t="shared" si="477"/>
        <v>-</v>
      </c>
      <c r="BB380" s="1056" t="str">
        <f t="shared" si="477"/>
        <v>-</v>
      </c>
      <c r="BC380" s="1055" t="str">
        <f t="shared" si="477"/>
        <v>-</v>
      </c>
      <c r="BD380" s="1055" t="str">
        <f t="shared" si="477"/>
        <v>-</v>
      </c>
      <c r="BE380" s="1055" t="str">
        <f t="shared" si="477"/>
        <v>-</v>
      </c>
      <c r="BF380" s="1055" t="str">
        <f t="shared" si="477"/>
        <v>-</v>
      </c>
      <c r="BG380" s="1056" t="str">
        <f t="shared" si="477"/>
        <v>-</v>
      </c>
      <c r="BH380" s="1048"/>
      <c r="BI380" s="2304" t="str">
        <f t="shared" si="427"/>
        <v>Rev</v>
      </c>
      <c r="BJ380" s="2305" t="str">
        <f t="shared" si="427"/>
        <v>[Service]</v>
      </c>
      <c r="BK380" s="2306" t="str">
        <f t="shared" si="427"/>
        <v>[Price]</v>
      </c>
      <c r="BL380" s="2307" t="str">
        <f t="shared" ref="BL380:BZ380" si="485">IF(OR(X380="",X380=0),"-",IFERROR((X380/W380-1)*(W380/W$13),"-"))</f>
        <v>-</v>
      </c>
      <c r="BM380" s="1055" t="str">
        <f t="shared" si="485"/>
        <v>-</v>
      </c>
      <c r="BN380" s="1055" t="str">
        <f t="shared" si="485"/>
        <v>-</v>
      </c>
      <c r="BO380" s="2308" t="str">
        <f t="shared" si="485"/>
        <v>-</v>
      </c>
      <c r="BP380" s="1055" t="str">
        <f t="shared" si="485"/>
        <v>-</v>
      </c>
      <c r="BQ380" s="2309" t="str">
        <f t="shared" si="485"/>
        <v>-</v>
      </c>
      <c r="BR380" s="1055" t="str">
        <f t="shared" si="485"/>
        <v>-</v>
      </c>
      <c r="BS380" s="1055" t="str">
        <f t="shared" si="485"/>
        <v>-</v>
      </c>
      <c r="BT380" s="1055" t="str">
        <f t="shared" si="485"/>
        <v>-</v>
      </c>
      <c r="BU380" s="1056" t="str">
        <f t="shared" si="485"/>
        <v>-</v>
      </c>
      <c r="BV380" s="1055" t="str">
        <f t="shared" si="485"/>
        <v>-</v>
      </c>
      <c r="BW380" s="1055" t="str">
        <f t="shared" si="485"/>
        <v>-</v>
      </c>
      <c r="BX380" s="1055" t="str">
        <f t="shared" si="485"/>
        <v>-</v>
      </c>
      <c r="BY380" s="1055" t="str">
        <f t="shared" si="485"/>
        <v>-</v>
      </c>
      <c r="BZ380" s="1056" t="str">
        <f t="shared" si="485"/>
        <v>-</v>
      </c>
    </row>
    <row r="381" spans="3:78" x14ac:dyDescent="0.3">
      <c r="C381" s="126"/>
      <c r="D381" s="126">
        <f>D378+1</f>
        <v>105</v>
      </c>
      <c r="E381" s="553" t="s">
        <v>45</v>
      </c>
      <c r="F381" s="581" t="s">
        <v>28</v>
      </c>
      <c r="G381" s="581"/>
      <c r="H381" s="581"/>
      <c r="I381" s="573" t="s">
        <v>319</v>
      </c>
      <c r="J381" s="573" t="s">
        <v>348</v>
      </c>
      <c r="K381" s="1969"/>
      <c r="L381" s="1970"/>
      <c r="M381" s="1970"/>
      <c r="N381" s="1971"/>
      <c r="O381" s="1970"/>
      <c r="P381" s="1970"/>
      <c r="Q381" s="1970"/>
      <c r="R381" s="1972"/>
      <c r="S381" s="1979"/>
      <c r="T381" s="1972"/>
      <c r="U381" s="1972"/>
      <c r="V381" s="1972"/>
      <c r="W381" s="575"/>
      <c r="X381" s="1238"/>
      <c r="Y381" s="575"/>
      <c r="Z381" s="575"/>
      <c r="AA381" s="575"/>
      <c r="AB381" s="1142"/>
      <c r="AC381" s="575"/>
      <c r="AD381" s="575"/>
      <c r="AE381" s="575"/>
      <c r="AF381" s="575"/>
      <c r="AG381" s="577"/>
      <c r="AH381" s="576"/>
      <c r="AI381" s="575"/>
      <c r="AJ381" s="575"/>
      <c r="AK381" s="575"/>
      <c r="AL381" s="577"/>
      <c r="AN381" s="1052"/>
      <c r="AP381" s="2297" t="str">
        <f t="shared" si="405"/>
        <v>Price</v>
      </c>
      <c r="AQ381" s="2298" t="str">
        <f t="shared" si="405"/>
        <v>[Service]</v>
      </c>
      <c r="AR381" s="1719" t="str">
        <f t="shared" si="406"/>
        <v>[Price]</v>
      </c>
      <c r="AS381" s="2299" t="str">
        <f t="shared" si="477"/>
        <v>-</v>
      </c>
      <c r="AT381" s="1728" t="str">
        <f t="shared" si="477"/>
        <v>-</v>
      </c>
      <c r="AU381" s="1728" t="str">
        <f t="shared" si="477"/>
        <v>-</v>
      </c>
      <c r="AV381" s="2300" t="str">
        <f t="shared" si="477"/>
        <v>-</v>
      </c>
      <c r="AW381" s="1728" t="str">
        <f t="shared" si="477"/>
        <v>-</v>
      </c>
      <c r="AX381" s="2301" t="str">
        <f t="shared" si="477"/>
        <v>-</v>
      </c>
      <c r="AY381" s="1728" t="str">
        <f t="shared" si="477"/>
        <v>-</v>
      </c>
      <c r="AZ381" s="1728" t="str">
        <f t="shared" si="477"/>
        <v>-</v>
      </c>
      <c r="BA381" s="1728" t="str">
        <f t="shared" si="477"/>
        <v>-</v>
      </c>
      <c r="BB381" s="1729" t="str">
        <f t="shared" si="477"/>
        <v>-</v>
      </c>
      <c r="BC381" s="1728" t="str">
        <f t="shared" si="477"/>
        <v>-</v>
      </c>
      <c r="BD381" s="1728" t="str">
        <f t="shared" si="477"/>
        <v>-</v>
      </c>
      <c r="BE381" s="1728" t="str">
        <f t="shared" si="477"/>
        <v>-</v>
      </c>
      <c r="BF381" s="1728" t="str">
        <f t="shared" si="477"/>
        <v>-</v>
      </c>
      <c r="BG381" s="1729" t="str">
        <f t="shared" si="477"/>
        <v>-</v>
      </c>
      <c r="BH381" s="1048"/>
      <c r="BI381" s="2297" t="str">
        <f t="shared" si="427"/>
        <v>Price</v>
      </c>
      <c r="BJ381" s="2298" t="str">
        <f t="shared" si="427"/>
        <v>[Service]</v>
      </c>
      <c r="BK381" s="1719" t="str">
        <f t="shared" si="427"/>
        <v>[Price]</v>
      </c>
      <c r="BL381" s="2299" t="str">
        <f t="shared" ref="BL381:BZ381" si="486">IF(OR(X381="",X381=0),"-",IFERROR((X381/W381-1)*(W383/W$13),"-"))</f>
        <v>-</v>
      </c>
      <c r="BM381" s="1053" t="str">
        <f t="shared" si="486"/>
        <v>-</v>
      </c>
      <c r="BN381" s="1053" t="str">
        <f t="shared" si="486"/>
        <v>-</v>
      </c>
      <c r="BO381" s="2302" t="str">
        <f t="shared" si="486"/>
        <v>-</v>
      </c>
      <c r="BP381" s="1053" t="str">
        <f t="shared" si="486"/>
        <v>-</v>
      </c>
      <c r="BQ381" s="2303" t="str">
        <f t="shared" si="486"/>
        <v>-</v>
      </c>
      <c r="BR381" s="1053" t="str">
        <f t="shared" si="486"/>
        <v>-</v>
      </c>
      <c r="BS381" s="1053" t="str">
        <f t="shared" si="486"/>
        <v>-</v>
      </c>
      <c r="BT381" s="1053" t="str">
        <f t="shared" si="486"/>
        <v>-</v>
      </c>
      <c r="BU381" s="1054" t="str">
        <f t="shared" si="486"/>
        <v>-</v>
      </c>
      <c r="BV381" s="1053" t="str">
        <f t="shared" si="486"/>
        <v>-</v>
      </c>
      <c r="BW381" s="1053" t="str">
        <f t="shared" si="486"/>
        <v>-</v>
      </c>
      <c r="BX381" s="1053" t="str">
        <f t="shared" si="486"/>
        <v>-</v>
      </c>
      <c r="BY381" s="1053" t="str">
        <f t="shared" si="486"/>
        <v>-</v>
      </c>
      <c r="BZ381" s="1054" t="str">
        <f t="shared" si="486"/>
        <v>-</v>
      </c>
    </row>
    <row r="382" spans="3:78" x14ac:dyDescent="0.3">
      <c r="C382" s="126"/>
      <c r="D382" s="126"/>
      <c r="E382" s="558" t="s">
        <v>46</v>
      </c>
      <c r="F382" s="1722" t="str">
        <f>+F381</f>
        <v>[Service]</v>
      </c>
      <c r="G382" s="1724">
        <f>+G381</f>
        <v>0</v>
      </c>
      <c r="H382" s="1724">
        <f>+H381</f>
        <v>0</v>
      </c>
      <c r="I382" s="1725" t="str">
        <f>+I381</f>
        <v>[Price]</v>
      </c>
      <c r="J382" s="574" t="s">
        <v>323</v>
      </c>
      <c r="K382" s="1973"/>
      <c r="L382" s="1974"/>
      <c r="M382" s="1974"/>
      <c r="N382" s="1975"/>
      <c r="O382" s="1974"/>
      <c r="P382" s="1974"/>
      <c r="Q382" s="1974"/>
      <c r="R382" s="1976"/>
      <c r="S382" s="1980"/>
      <c r="T382" s="1976"/>
      <c r="U382" s="1976"/>
      <c r="V382" s="1976"/>
      <c r="W382" s="578"/>
      <c r="X382" s="1239"/>
      <c r="Y382" s="578"/>
      <c r="Z382" s="578"/>
      <c r="AA382" s="578"/>
      <c r="AB382" s="1143"/>
      <c r="AC382" s="578"/>
      <c r="AD382" s="578"/>
      <c r="AE382" s="578"/>
      <c r="AF382" s="578"/>
      <c r="AG382" s="580"/>
      <c r="AH382" s="579"/>
      <c r="AI382" s="578"/>
      <c r="AJ382" s="578"/>
      <c r="AK382" s="578"/>
      <c r="AL382" s="580"/>
      <c r="AN382" s="991"/>
      <c r="AP382" s="2285" t="str">
        <f t="shared" si="405"/>
        <v>Qty</v>
      </c>
      <c r="AQ382" s="2286" t="str">
        <f t="shared" si="405"/>
        <v>[Service]</v>
      </c>
      <c r="AR382" s="2287" t="str">
        <f t="shared" si="406"/>
        <v>[Price]</v>
      </c>
      <c r="AS382" s="2288" t="str">
        <f t="shared" si="477"/>
        <v>-</v>
      </c>
      <c r="AT382" s="1720" t="str">
        <f t="shared" si="477"/>
        <v>-</v>
      </c>
      <c r="AU382" s="1720" t="str">
        <f t="shared" si="477"/>
        <v>-</v>
      </c>
      <c r="AV382" s="2289" t="str">
        <f t="shared" si="477"/>
        <v>-</v>
      </c>
      <c r="AW382" s="1720" t="str">
        <f t="shared" si="477"/>
        <v>-</v>
      </c>
      <c r="AX382" s="2290" t="str">
        <f t="shared" si="477"/>
        <v>-</v>
      </c>
      <c r="AY382" s="1720" t="str">
        <f t="shared" si="477"/>
        <v>-</v>
      </c>
      <c r="AZ382" s="1720" t="str">
        <f t="shared" si="477"/>
        <v>-</v>
      </c>
      <c r="BA382" s="1720" t="str">
        <f t="shared" si="477"/>
        <v>-</v>
      </c>
      <c r="BB382" s="1721" t="str">
        <f t="shared" si="477"/>
        <v>-</v>
      </c>
      <c r="BC382" s="1720" t="str">
        <f t="shared" si="477"/>
        <v>-</v>
      </c>
      <c r="BD382" s="1720" t="str">
        <f t="shared" si="477"/>
        <v>-</v>
      </c>
      <c r="BE382" s="1720" t="str">
        <f t="shared" si="477"/>
        <v>-</v>
      </c>
      <c r="BF382" s="1720" t="str">
        <f t="shared" si="477"/>
        <v>-</v>
      </c>
      <c r="BG382" s="1721" t="str">
        <f t="shared" si="477"/>
        <v>-</v>
      </c>
      <c r="BH382" s="1048"/>
      <c r="BI382" s="2285" t="str">
        <f t="shared" si="427"/>
        <v>Qty</v>
      </c>
      <c r="BJ382" s="2286" t="str">
        <f t="shared" si="427"/>
        <v>[Service]</v>
      </c>
      <c r="BK382" s="2287" t="str">
        <f t="shared" si="427"/>
        <v>[Price]</v>
      </c>
      <c r="BL382" s="2288" t="str">
        <f t="shared" ref="BL382:BZ382" si="487">IF(OR(X382="",X382=0),"-",IFERROR((X382/W382-1)*(W383/W$13),"-"))</f>
        <v>-</v>
      </c>
      <c r="BM382" s="1720" t="str">
        <f t="shared" si="487"/>
        <v>-</v>
      </c>
      <c r="BN382" s="1720" t="str">
        <f t="shared" si="487"/>
        <v>-</v>
      </c>
      <c r="BO382" s="2289" t="str">
        <f t="shared" si="487"/>
        <v>-</v>
      </c>
      <c r="BP382" s="1720" t="str">
        <f t="shared" si="487"/>
        <v>-</v>
      </c>
      <c r="BQ382" s="2290" t="str">
        <f t="shared" si="487"/>
        <v>-</v>
      </c>
      <c r="BR382" s="1720" t="str">
        <f t="shared" si="487"/>
        <v>-</v>
      </c>
      <c r="BS382" s="1720" t="str">
        <f t="shared" si="487"/>
        <v>-</v>
      </c>
      <c r="BT382" s="1720" t="str">
        <f t="shared" si="487"/>
        <v>-</v>
      </c>
      <c r="BU382" s="1721" t="str">
        <f t="shared" si="487"/>
        <v>-</v>
      </c>
      <c r="BV382" s="1720" t="str">
        <f t="shared" si="487"/>
        <v>-</v>
      </c>
      <c r="BW382" s="1720" t="str">
        <f t="shared" si="487"/>
        <v>-</v>
      </c>
      <c r="BX382" s="1720" t="str">
        <f t="shared" si="487"/>
        <v>-</v>
      </c>
      <c r="BY382" s="1720" t="str">
        <f t="shared" si="487"/>
        <v>-</v>
      </c>
      <c r="BZ382" s="1721" t="str">
        <f t="shared" si="487"/>
        <v>-</v>
      </c>
    </row>
    <row r="383" spans="3:78" ht="12.5" thickBot="1" x14ac:dyDescent="0.35">
      <c r="C383" s="126"/>
      <c r="D383" s="126"/>
      <c r="E383" s="559" t="s">
        <v>47</v>
      </c>
      <c r="F383" s="1723" t="str">
        <f>+F381</f>
        <v>[Service]</v>
      </c>
      <c r="G383" s="1726">
        <f>+G381</f>
        <v>0</v>
      </c>
      <c r="H383" s="1726">
        <f>+H381</f>
        <v>0</v>
      </c>
      <c r="I383" s="1727" t="str">
        <f>+I381</f>
        <v>[Price]</v>
      </c>
      <c r="J383" s="556" t="s">
        <v>347</v>
      </c>
      <c r="K383" s="1977"/>
      <c r="L383" s="1206"/>
      <c r="M383" s="1206"/>
      <c r="N383" s="1978"/>
      <c r="O383" s="1206"/>
      <c r="P383" s="1206"/>
      <c r="Q383" s="1206"/>
      <c r="R383" s="1206"/>
      <c r="S383" s="1978"/>
      <c r="T383" s="1206"/>
      <c r="U383" s="1206"/>
      <c r="V383" s="1206"/>
      <c r="W383" s="1731">
        <f t="shared" ref="W383:AG383" si="488">W381*W382/10^6</f>
        <v>0</v>
      </c>
      <c r="X383" s="1730">
        <f t="shared" si="488"/>
        <v>0</v>
      </c>
      <c r="Y383" s="1731">
        <f t="shared" si="488"/>
        <v>0</v>
      </c>
      <c r="Z383" s="1731">
        <f t="shared" si="488"/>
        <v>0</v>
      </c>
      <c r="AA383" s="1731">
        <f t="shared" si="488"/>
        <v>0</v>
      </c>
      <c r="AB383" s="1733">
        <f t="shared" si="488"/>
        <v>0</v>
      </c>
      <c r="AC383" s="1731">
        <f t="shared" si="488"/>
        <v>0</v>
      </c>
      <c r="AD383" s="1731">
        <f t="shared" si="488"/>
        <v>0</v>
      </c>
      <c r="AE383" s="1731">
        <f t="shared" si="488"/>
        <v>0</v>
      </c>
      <c r="AF383" s="1731">
        <f t="shared" si="488"/>
        <v>0</v>
      </c>
      <c r="AG383" s="1733">
        <f t="shared" si="488"/>
        <v>0</v>
      </c>
      <c r="AH383" s="1732">
        <f>AH381*AH382/10^6</f>
        <v>0</v>
      </c>
      <c r="AI383" s="1731">
        <f>AI381*AI382/10^6</f>
        <v>0</v>
      </c>
      <c r="AJ383" s="1731">
        <f>AJ381*AJ382/10^6</f>
        <v>0</v>
      </c>
      <c r="AK383" s="1731">
        <f>AK381*AK382/10^6</f>
        <v>0</v>
      </c>
      <c r="AL383" s="1733">
        <f>AL381*AL382/10^6</f>
        <v>0</v>
      </c>
      <c r="AN383" s="991"/>
      <c r="AP383" s="2304" t="str">
        <f t="shared" si="405"/>
        <v>Rev</v>
      </c>
      <c r="AQ383" s="2305" t="str">
        <f t="shared" si="405"/>
        <v>[Service]</v>
      </c>
      <c r="AR383" s="2306" t="str">
        <f t="shared" si="406"/>
        <v>[Price]</v>
      </c>
      <c r="AS383" s="2307" t="str">
        <f t="shared" si="477"/>
        <v>-</v>
      </c>
      <c r="AT383" s="1055" t="str">
        <f t="shared" si="477"/>
        <v>-</v>
      </c>
      <c r="AU383" s="1055" t="str">
        <f t="shared" si="477"/>
        <v>-</v>
      </c>
      <c r="AV383" s="2308" t="str">
        <f t="shared" si="477"/>
        <v>-</v>
      </c>
      <c r="AW383" s="1055" t="str">
        <f t="shared" si="477"/>
        <v>-</v>
      </c>
      <c r="AX383" s="2309" t="str">
        <f t="shared" si="477"/>
        <v>-</v>
      </c>
      <c r="AY383" s="1055" t="str">
        <f t="shared" si="477"/>
        <v>-</v>
      </c>
      <c r="AZ383" s="1055" t="str">
        <f t="shared" si="477"/>
        <v>-</v>
      </c>
      <c r="BA383" s="1055" t="str">
        <f t="shared" si="477"/>
        <v>-</v>
      </c>
      <c r="BB383" s="1056" t="str">
        <f t="shared" si="477"/>
        <v>-</v>
      </c>
      <c r="BC383" s="1055" t="str">
        <f t="shared" si="477"/>
        <v>-</v>
      </c>
      <c r="BD383" s="1055" t="str">
        <f t="shared" si="477"/>
        <v>-</v>
      </c>
      <c r="BE383" s="1055" t="str">
        <f t="shared" si="477"/>
        <v>-</v>
      </c>
      <c r="BF383" s="1055" t="str">
        <f t="shared" si="477"/>
        <v>-</v>
      </c>
      <c r="BG383" s="1056" t="str">
        <f t="shared" si="477"/>
        <v>-</v>
      </c>
      <c r="BH383" s="1048"/>
      <c r="BI383" s="2304" t="str">
        <f t="shared" si="427"/>
        <v>Rev</v>
      </c>
      <c r="BJ383" s="2305" t="str">
        <f t="shared" si="427"/>
        <v>[Service]</v>
      </c>
      <c r="BK383" s="2306" t="str">
        <f t="shared" si="427"/>
        <v>[Price]</v>
      </c>
      <c r="BL383" s="2307" t="str">
        <f t="shared" ref="BL383:BZ383" si="489">IF(OR(X383="",X383=0),"-",IFERROR((X383/W383-1)*(W383/W$13),"-"))</f>
        <v>-</v>
      </c>
      <c r="BM383" s="1055" t="str">
        <f t="shared" si="489"/>
        <v>-</v>
      </c>
      <c r="BN383" s="1055" t="str">
        <f t="shared" si="489"/>
        <v>-</v>
      </c>
      <c r="BO383" s="2308" t="str">
        <f t="shared" si="489"/>
        <v>-</v>
      </c>
      <c r="BP383" s="1055" t="str">
        <f t="shared" si="489"/>
        <v>-</v>
      </c>
      <c r="BQ383" s="2309" t="str">
        <f t="shared" si="489"/>
        <v>-</v>
      </c>
      <c r="BR383" s="1055" t="str">
        <f t="shared" si="489"/>
        <v>-</v>
      </c>
      <c r="BS383" s="1055" t="str">
        <f t="shared" si="489"/>
        <v>-</v>
      </c>
      <c r="BT383" s="1055" t="str">
        <f t="shared" si="489"/>
        <v>-</v>
      </c>
      <c r="BU383" s="1056" t="str">
        <f t="shared" si="489"/>
        <v>-</v>
      </c>
      <c r="BV383" s="1055" t="str">
        <f t="shared" si="489"/>
        <v>-</v>
      </c>
      <c r="BW383" s="1055" t="str">
        <f t="shared" si="489"/>
        <v>-</v>
      </c>
      <c r="BX383" s="1055" t="str">
        <f t="shared" si="489"/>
        <v>-</v>
      </c>
      <c r="BY383" s="1055" t="str">
        <f t="shared" si="489"/>
        <v>-</v>
      </c>
      <c r="BZ383" s="1056" t="str">
        <f t="shared" si="489"/>
        <v>-</v>
      </c>
    </row>
    <row r="384" spans="3:78" x14ac:dyDescent="0.3">
      <c r="C384" s="126"/>
      <c r="D384" s="126">
        <f>D381+1</f>
        <v>106</v>
      </c>
      <c r="E384" s="553" t="s">
        <v>45</v>
      </c>
      <c r="F384" s="581" t="s">
        <v>28</v>
      </c>
      <c r="G384" s="581"/>
      <c r="H384" s="581"/>
      <c r="I384" s="573" t="s">
        <v>319</v>
      </c>
      <c r="J384" s="573" t="s">
        <v>348</v>
      </c>
      <c r="K384" s="1969"/>
      <c r="L384" s="1970"/>
      <c r="M384" s="1970"/>
      <c r="N384" s="1971"/>
      <c r="O384" s="1970"/>
      <c r="P384" s="1970"/>
      <c r="Q384" s="1970"/>
      <c r="R384" s="1972"/>
      <c r="S384" s="1979"/>
      <c r="T384" s="1972"/>
      <c r="U384" s="1972"/>
      <c r="V384" s="1972"/>
      <c r="W384" s="575"/>
      <c r="X384" s="1238"/>
      <c r="Y384" s="575"/>
      <c r="Z384" s="575"/>
      <c r="AA384" s="575"/>
      <c r="AB384" s="1142"/>
      <c r="AC384" s="575"/>
      <c r="AD384" s="575"/>
      <c r="AE384" s="575"/>
      <c r="AF384" s="575"/>
      <c r="AG384" s="577"/>
      <c r="AH384" s="576"/>
      <c r="AI384" s="575"/>
      <c r="AJ384" s="575"/>
      <c r="AK384" s="575"/>
      <c r="AL384" s="577"/>
      <c r="AN384" s="1052"/>
      <c r="AP384" s="2297" t="str">
        <f t="shared" si="405"/>
        <v>Price</v>
      </c>
      <c r="AQ384" s="2298" t="str">
        <f t="shared" si="405"/>
        <v>[Service]</v>
      </c>
      <c r="AR384" s="1719" t="str">
        <f t="shared" si="406"/>
        <v>[Price]</v>
      </c>
      <c r="AS384" s="2299" t="str">
        <f t="shared" si="477"/>
        <v>-</v>
      </c>
      <c r="AT384" s="1728" t="str">
        <f t="shared" si="477"/>
        <v>-</v>
      </c>
      <c r="AU384" s="1728" t="str">
        <f t="shared" si="477"/>
        <v>-</v>
      </c>
      <c r="AV384" s="2300" t="str">
        <f t="shared" si="477"/>
        <v>-</v>
      </c>
      <c r="AW384" s="1728" t="str">
        <f t="shared" si="477"/>
        <v>-</v>
      </c>
      <c r="AX384" s="2301" t="str">
        <f t="shared" si="477"/>
        <v>-</v>
      </c>
      <c r="AY384" s="1728" t="str">
        <f t="shared" si="477"/>
        <v>-</v>
      </c>
      <c r="AZ384" s="1728" t="str">
        <f t="shared" si="477"/>
        <v>-</v>
      </c>
      <c r="BA384" s="1728" t="str">
        <f t="shared" si="477"/>
        <v>-</v>
      </c>
      <c r="BB384" s="1729" t="str">
        <f t="shared" si="477"/>
        <v>-</v>
      </c>
      <c r="BC384" s="1728" t="str">
        <f t="shared" si="477"/>
        <v>-</v>
      </c>
      <c r="BD384" s="1728" t="str">
        <f t="shared" si="477"/>
        <v>-</v>
      </c>
      <c r="BE384" s="1728" t="str">
        <f t="shared" si="477"/>
        <v>-</v>
      </c>
      <c r="BF384" s="1728" t="str">
        <f t="shared" si="477"/>
        <v>-</v>
      </c>
      <c r="BG384" s="1729" t="str">
        <f t="shared" si="477"/>
        <v>-</v>
      </c>
      <c r="BH384" s="1048"/>
      <c r="BI384" s="2297" t="str">
        <f t="shared" si="427"/>
        <v>Price</v>
      </c>
      <c r="BJ384" s="2298" t="str">
        <f t="shared" si="427"/>
        <v>[Service]</v>
      </c>
      <c r="BK384" s="1719" t="str">
        <f t="shared" si="427"/>
        <v>[Price]</v>
      </c>
      <c r="BL384" s="2299" t="str">
        <f t="shared" ref="BL384:BZ384" si="490">IF(OR(X384="",X384=0),"-",IFERROR((X384/W384-1)*(W386/W$13),"-"))</f>
        <v>-</v>
      </c>
      <c r="BM384" s="1053" t="str">
        <f t="shared" si="490"/>
        <v>-</v>
      </c>
      <c r="BN384" s="1053" t="str">
        <f t="shared" si="490"/>
        <v>-</v>
      </c>
      <c r="BO384" s="2302" t="str">
        <f t="shared" si="490"/>
        <v>-</v>
      </c>
      <c r="BP384" s="1053" t="str">
        <f t="shared" si="490"/>
        <v>-</v>
      </c>
      <c r="BQ384" s="2303" t="str">
        <f t="shared" si="490"/>
        <v>-</v>
      </c>
      <c r="BR384" s="1053" t="str">
        <f t="shared" si="490"/>
        <v>-</v>
      </c>
      <c r="BS384" s="1053" t="str">
        <f t="shared" si="490"/>
        <v>-</v>
      </c>
      <c r="BT384" s="1053" t="str">
        <f t="shared" si="490"/>
        <v>-</v>
      </c>
      <c r="BU384" s="1054" t="str">
        <f t="shared" si="490"/>
        <v>-</v>
      </c>
      <c r="BV384" s="1053" t="str">
        <f t="shared" si="490"/>
        <v>-</v>
      </c>
      <c r="BW384" s="1053" t="str">
        <f t="shared" si="490"/>
        <v>-</v>
      </c>
      <c r="BX384" s="1053" t="str">
        <f t="shared" si="490"/>
        <v>-</v>
      </c>
      <c r="BY384" s="1053" t="str">
        <f t="shared" si="490"/>
        <v>-</v>
      </c>
      <c r="BZ384" s="1054" t="str">
        <f t="shared" si="490"/>
        <v>-</v>
      </c>
    </row>
    <row r="385" spans="3:78" x14ac:dyDescent="0.3">
      <c r="C385" s="126"/>
      <c r="D385" s="126"/>
      <c r="E385" s="558" t="s">
        <v>46</v>
      </c>
      <c r="F385" s="1722" t="str">
        <f>+F384</f>
        <v>[Service]</v>
      </c>
      <c r="G385" s="1724">
        <f>+G384</f>
        <v>0</v>
      </c>
      <c r="H385" s="1724">
        <f>+H384</f>
        <v>0</v>
      </c>
      <c r="I385" s="1725" t="str">
        <f>+I384</f>
        <v>[Price]</v>
      </c>
      <c r="J385" s="574" t="s">
        <v>323</v>
      </c>
      <c r="K385" s="1973"/>
      <c r="L385" s="1974"/>
      <c r="M385" s="1974"/>
      <c r="N385" s="1975"/>
      <c r="O385" s="1974"/>
      <c r="P385" s="1974"/>
      <c r="Q385" s="1974"/>
      <c r="R385" s="1976"/>
      <c r="S385" s="1980"/>
      <c r="T385" s="1976"/>
      <c r="U385" s="1976"/>
      <c r="V385" s="1976"/>
      <c r="W385" s="578"/>
      <c r="X385" s="1239"/>
      <c r="Y385" s="578"/>
      <c r="Z385" s="578"/>
      <c r="AA385" s="578"/>
      <c r="AB385" s="1143"/>
      <c r="AC385" s="578"/>
      <c r="AD385" s="578"/>
      <c r="AE385" s="578"/>
      <c r="AF385" s="578"/>
      <c r="AG385" s="580"/>
      <c r="AH385" s="579"/>
      <c r="AI385" s="578"/>
      <c r="AJ385" s="578"/>
      <c r="AK385" s="578"/>
      <c r="AL385" s="580"/>
      <c r="AN385" s="991"/>
      <c r="AP385" s="2285" t="str">
        <f t="shared" si="405"/>
        <v>Qty</v>
      </c>
      <c r="AQ385" s="2286" t="str">
        <f t="shared" si="405"/>
        <v>[Service]</v>
      </c>
      <c r="AR385" s="2287" t="str">
        <f t="shared" si="406"/>
        <v>[Price]</v>
      </c>
      <c r="AS385" s="2288" t="str">
        <f t="shared" si="477"/>
        <v>-</v>
      </c>
      <c r="AT385" s="1720" t="str">
        <f t="shared" si="477"/>
        <v>-</v>
      </c>
      <c r="AU385" s="1720" t="str">
        <f t="shared" si="477"/>
        <v>-</v>
      </c>
      <c r="AV385" s="2289" t="str">
        <f t="shared" si="477"/>
        <v>-</v>
      </c>
      <c r="AW385" s="1720" t="str">
        <f t="shared" si="477"/>
        <v>-</v>
      </c>
      <c r="AX385" s="2290" t="str">
        <f t="shared" si="477"/>
        <v>-</v>
      </c>
      <c r="AY385" s="1720" t="str">
        <f t="shared" si="477"/>
        <v>-</v>
      </c>
      <c r="AZ385" s="1720" t="str">
        <f t="shared" si="477"/>
        <v>-</v>
      </c>
      <c r="BA385" s="1720" t="str">
        <f t="shared" si="477"/>
        <v>-</v>
      </c>
      <c r="BB385" s="1721" t="str">
        <f t="shared" si="477"/>
        <v>-</v>
      </c>
      <c r="BC385" s="1720" t="str">
        <f t="shared" si="477"/>
        <v>-</v>
      </c>
      <c r="BD385" s="1720" t="str">
        <f t="shared" si="477"/>
        <v>-</v>
      </c>
      <c r="BE385" s="1720" t="str">
        <f t="shared" si="477"/>
        <v>-</v>
      </c>
      <c r="BF385" s="1720" t="str">
        <f t="shared" si="477"/>
        <v>-</v>
      </c>
      <c r="BG385" s="1721" t="str">
        <f t="shared" si="477"/>
        <v>-</v>
      </c>
      <c r="BH385" s="1048"/>
      <c r="BI385" s="2285" t="str">
        <f t="shared" si="427"/>
        <v>Qty</v>
      </c>
      <c r="BJ385" s="2286" t="str">
        <f t="shared" si="427"/>
        <v>[Service]</v>
      </c>
      <c r="BK385" s="2287" t="str">
        <f t="shared" si="427"/>
        <v>[Price]</v>
      </c>
      <c r="BL385" s="2288" t="str">
        <f t="shared" ref="BL385:BZ385" si="491">IF(OR(X385="",X385=0),"-",IFERROR((X385/W385-1)*(W386/W$13),"-"))</f>
        <v>-</v>
      </c>
      <c r="BM385" s="1720" t="str">
        <f t="shared" si="491"/>
        <v>-</v>
      </c>
      <c r="BN385" s="1720" t="str">
        <f t="shared" si="491"/>
        <v>-</v>
      </c>
      <c r="BO385" s="2289" t="str">
        <f t="shared" si="491"/>
        <v>-</v>
      </c>
      <c r="BP385" s="1720" t="str">
        <f t="shared" si="491"/>
        <v>-</v>
      </c>
      <c r="BQ385" s="2290" t="str">
        <f t="shared" si="491"/>
        <v>-</v>
      </c>
      <c r="BR385" s="1720" t="str">
        <f t="shared" si="491"/>
        <v>-</v>
      </c>
      <c r="BS385" s="1720" t="str">
        <f t="shared" si="491"/>
        <v>-</v>
      </c>
      <c r="BT385" s="1720" t="str">
        <f t="shared" si="491"/>
        <v>-</v>
      </c>
      <c r="BU385" s="1721" t="str">
        <f t="shared" si="491"/>
        <v>-</v>
      </c>
      <c r="BV385" s="1720" t="str">
        <f t="shared" si="491"/>
        <v>-</v>
      </c>
      <c r="BW385" s="1720" t="str">
        <f t="shared" si="491"/>
        <v>-</v>
      </c>
      <c r="BX385" s="1720" t="str">
        <f t="shared" si="491"/>
        <v>-</v>
      </c>
      <c r="BY385" s="1720" t="str">
        <f t="shared" si="491"/>
        <v>-</v>
      </c>
      <c r="BZ385" s="1721" t="str">
        <f t="shared" si="491"/>
        <v>-</v>
      </c>
    </row>
    <row r="386" spans="3:78" ht="12.5" thickBot="1" x14ac:dyDescent="0.35">
      <c r="C386" s="126"/>
      <c r="D386" s="126"/>
      <c r="E386" s="559" t="s">
        <v>47</v>
      </c>
      <c r="F386" s="1723" t="str">
        <f>+F384</f>
        <v>[Service]</v>
      </c>
      <c r="G386" s="1726">
        <f>+G384</f>
        <v>0</v>
      </c>
      <c r="H386" s="1726">
        <f>+H384</f>
        <v>0</v>
      </c>
      <c r="I386" s="1727" t="str">
        <f>+I384</f>
        <v>[Price]</v>
      </c>
      <c r="J386" s="556" t="s">
        <v>347</v>
      </c>
      <c r="K386" s="1977"/>
      <c r="L386" s="1206"/>
      <c r="M386" s="1206"/>
      <c r="N386" s="1978"/>
      <c r="O386" s="1206"/>
      <c r="P386" s="1206"/>
      <c r="Q386" s="1206"/>
      <c r="R386" s="1206"/>
      <c r="S386" s="1978"/>
      <c r="T386" s="1206"/>
      <c r="U386" s="1206"/>
      <c r="V386" s="1206"/>
      <c r="W386" s="1731">
        <f t="shared" ref="W386:AG386" si="492">W384*W385/10^6</f>
        <v>0</v>
      </c>
      <c r="X386" s="1730">
        <f t="shared" si="492"/>
        <v>0</v>
      </c>
      <c r="Y386" s="1731">
        <f t="shared" si="492"/>
        <v>0</v>
      </c>
      <c r="Z386" s="1731">
        <f t="shared" si="492"/>
        <v>0</v>
      </c>
      <c r="AA386" s="1731">
        <f t="shared" si="492"/>
        <v>0</v>
      </c>
      <c r="AB386" s="1733">
        <f t="shared" si="492"/>
        <v>0</v>
      </c>
      <c r="AC386" s="1731">
        <f t="shared" si="492"/>
        <v>0</v>
      </c>
      <c r="AD386" s="1731">
        <f t="shared" si="492"/>
        <v>0</v>
      </c>
      <c r="AE386" s="1731">
        <f t="shared" si="492"/>
        <v>0</v>
      </c>
      <c r="AF386" s="1731">
        <f t="shared" si="492"/>
        <v>0</v>
      </c>
      <c r="AG386" s="1733">
        <f t="shared" si="492"/>
        <v>0</v>
      </c>
      <c r="AH386" s="1732">
        <f>AH384*AH385/10^6</f>
        <v>0</v>
      </c>
      <c r="AI386" s="1731">
        <f>AI384*AI385/10^6</f>
        <v>0</v>
      </c>
      <c r="AJ386" s="1731">
        <f>AJ384*AJ385/10^6</f>
        <v>0</v>
      </c>
      <c r="AK386" s="1731">
        <f>AK384*AK385/10^6</f>
        <v>0</v>
      </c>
      <c r="AL386" s="1733">
        <f>AL384*AL385/10^6</f>
        <v>0</v>
      </c>
      <c r="AN386" s="991"/>
      <c r="AP386" s="2304" t="str">
        <f t="shared" si="405"/>
        <v>Rev</v>
      </c>
      <c r="AQ386" s="2305" t="str">
        <f t="shared" si="405"/>
        <v>[Service]</v>
      </c>
      <c r="AR386" s="2306" t="str">
        <f t="shared" si="406"/>
        <v>[Price]</v>
      </c>
      <c r="AS386" s="2307" t="str">
        <f t="shared" si="477"/>
        <v>-</v>
      </c>
      <c r="AT386" s="1055" t="str">
        <f t="shared" si="477"/>
        <v>-</v>
      </c>
      <c r="AU386" s="1055" t="str">
        <f t="shared" si="477"/>
        <v>-</v>
      </c>
      <c r="AV386" s="2308" t="str">
        <f t="shared" si="477"/>
        <v>-</v>
      </c>
      <c r="AW386" s="1055" t="str">
        <f t="shared" si="477"/>
        <v>-</v>
      </c>
      <c r="AX386" s="2309" t="str">
        <f t="shared" si="477"/>
        <v>-</v>
      </c>
      <c r="AY386" s="1055" t="str">
        <f t="shared" si="477"/>
        <v>-</v>
      </c>
      <c r="AZ386" s="1055" t="str">
        <f t="shared" si="477"/>
        <v>-</v>
      </c>
      <c r="BA386" s="1055" t="str">
        <f t="shared" si="477"/>
        <v>-</v>
      </c>
      <c r="BB386" s="1056" t="str">
        <f t="shared" si="477"/>
        <v>-</v>
      </c>
      <c r="BC386" s="1055" t="str">
        <f t="shared" si="477"/>
        <v>-</v>
      </c>
      <c r="BD386" s="1055" t="str">
        <f t="shared" si="477"/>
        <v>-</v>
      </c>
      <c r="BE386" s="1055" t="str">
        <f t="shared" si="477"/>
        <v>-</v>
      </c>
      <c r="BF386" s="1055" t="str">
        <f t="shared" si="477"/>
        <v>-</v>
      </c>
      <c r="BG386" s="1056" t="str">
        <f t="shared" si="477"/>
        <v>-</v>
      </c>
      <c r="BH386" s="1048"/>
      <c r="BI386" s="2304" t="str">
        <f t="shared" si="427"/>
        <v>Rev</v>
      </c>
      <c r="BJ386" s="2305" t="str">
        <f t="shared" si="427"/>
        <v>[Service]</v>
      </c>
      <c r="BK386" s="2306" t="str">
        <f t="shared" si="427"/>
        <v>[Price]</v>
      </c>
      <c r="BL386" s="2307" t="str">
        <f t="shared" ref="BL386:BZ386" si="493">IF(OR(X386="",X386=0),"-",IFERROR((X386/W386-1)*(W386/W$13),"-"))</f>
        <v>-</v>
      </c>
      <c r="BM386" s="1055" t="str">
        <f t="shared" si="493"/>
        <v>-</v>
      </c>
      <c r="BN386" s="1055" t="str">
        <f t="shared" si="493"/>
        <v>-</v>
      </c>
      <c r="BO386" s="2308" t="str">
        <f t="shared" si="493"/>
        <v>-</v>
      </c>
      <c r="BP386" s="1055" t="str">
        <f t="shared" si="493"/>
        <v>-</v>
      </c>
      <c r="BQ386" s="2309" t="str">
        <f t="shared" si="493"/>
        <v>-</v>
      </c>
      <c r="BR386" s="1055" t="str">
        <f t="shared" si="493"/>
        <v>-</v>
      </c>
      <c r="BS386" s="1055" t="str">
        <f t="shared" si="493"/>
        <v>-</v>
      </c>
      <c r="BT386" s="1055" t="str">
        <f t="shared" si="493"/>
        <v>-</v>
      </c>
      <c r="BU386" s="1056" t="str">
        <f t="shared" si="493"/>
        <v>-</v>
      </c>
      <c r="BV386" s="1055" t="str">
        <f t="shared" si="493"/>
        <v>-</v>
      </c>
      <c r="BW386" s="1055" t="str">
        <f t="shared" si="493"/>
        <v>-</v>
      </c>
      <c r="BX386" s="1055" t="str">
        <f t="shared" si="493"/>
        <v>-</v>
      </c>
      <c r="BY386" s="1055" t="str">
        <f t="shared" si="493"/>
        <v>-</v>
      </c>
      <c r="BZ386" s="1056" t="str">
        <f t="shared" si="493"/>
        <v>-</v>
      </c>
    </row>
    <row r="387" spans="3:78" x14ac:dyDescent="0.3">
      <c r="C387" s="126"/>
      <c r="D387" s="126">
        <f>D384+1</f>
        <v>107</v>
      </c>
      <c r="E387" s="553" t="s">
        <v>45</v>
      </c>
      <c r="F387" s="581" t="s">
        <v>28</v>
      </c>
      <c r="G387" s="581"/>
      <c r="H387" s="581"/>
      <c r="I387" s="573" t="s">
        <v>319</v>
      </c>
      <c r="J387" s="573" t="s">
        <v>348</v>
      </c>
      <c r="K387" s="1969"/>
      <c r="L387" s="1970"/>
      <c r="M387" s="1970"/>
      <c r="N387" s="1971"/>
      <c r="O387" s="1970"/>
      <c r="P387" s="1970"/>
      <c r="Q387" s="1970"/>
      <c r="R387" s="1972"/>
      <c r="S387" s="1979"/>
      <c r="T387" s="1972"/>
      <c r="U387" s="1972"/>
      <c r="V387" s="1972"/>
      <c r="W387" s="575"/>
      <c r="X387" s="1238"/>
      <c r="Y387" s="575"/>
      <c r="Z387" s="575"/>
      <c r="AA387" s="575"/>
      <c r="AB387" s="1142"/>
      <c r="AC387" s="575"/>
      <c r="AD387" s="575"/>
      <c r="AE387" s="575"/>
      <c r="AF387" s="575"/>
      <c r="AG387" s="577"/>
      <c r="AH387" s="576"/>
      <c r="AI387" s="575"/>
      <c r="AJ387" s="575"/>
      <c r="AK387" s="575"/>
      <c r="AL387" s="577"/>
      <c r="AN387" s="1052"/>
      <c r="AP387" s="2297" t="str">
        <f t="shared" si="405"/>
        <v>Price</v>
      </c>
      <c r="AQ387" s="2298" t="str">
        <f t="shared" si="405"/>
        <v>[Service]</v>
      </c>
      <c r="AR387" s="1719" t="str">
        <f t="shared" si="406"/>
        <v>[Price]</v>
      </c>
      <c r="AS387" s="2299" t="str">
        <f t="shared" si="477"/>
        <v>-</v>
      </c>
      <c r="AT387" s="1728" t="str">
        <f t="shared" si="477"/>
        <v>-</v>
      </c>
      <c r="AU387" s="1728" t="str">
        <f t="shared" si="477"/>
        <v>-</v>
      </c>
      <c r="AV387" s="2300" t="str">
        <f t="shared" si="477"/>
        <v>-</v>
      </c>
      <c r="AW387" s="1728" t="str">
        <f t="shared" si="477"/>
        <v>-</v>
      </c>
      <c r="AX387" s="2301" t="str">
        <f t="shared" si="477"/>
        <v>-</v>
      </c>
      <c r="AY387" s="1728" t="str">
        <f t="shared" si="477"/>
        <v>-</v>
      </c>
      <c r="AZ387" s="1728" t="str">
        <f t="shared" si="477"/>
        <v>-</v>
      </c>
      <c r="BA387" s="1728" t="str">
        <f t="shared" si="477"/>
        <v>-</v>
      </c>
      <c r="BB387" s="1729" t="str">
        <f t="shared" si="477"/>
        <v>-</v>
      </c>
      <c r="BC387" s="1728" t="str">
        <f t="shared" si="477"/>
        <v>-</v>
      </c>
      <c r="BD387" s="1728" t="str">
        <f t="shared" si="477"/>
        <v>-</v>
      </c>
      <c r="BE387" s="1728" t="str">
        <f t="shared" si="477"/>
        <v>-</v>
      </c>
      <c r="BF387" s="1728" t="str">
        <f t="shared" si="477"/>
        <v>-</v>
      </c>
      <c r="BG387" s="1729" t="str">
        <f t="shared" si="477"/>
        <v>-</v>
      </c>
      <c r="BH387" s="1048"/>
      <c r="BI387" s="2297" t="str">
        <f t="shared" si="427"/>
        <v>Price</v>
      </c>
      <c r="BJ387" s="2298" t="str">
        <f t="shared" si="427"/>
        <v>[Service]</v>
      </c>
      <c r="BK387" s="1719" t="str">
        <f t="shared" si="427"/>
        <v>[Price]</v>
      </c>
      <c r="BL387" s="2299" t="str">
        <f t="shared" ref="BL387:BZ387" si="494">IF(OR(X387="",X387=0),"-",IFERROR((X387/W387-1)*(W389/W$13),"-"))</f>
        <v>-</v>
      </c>
      <c r="BM387" s="1053" t="str">
        <f t="shared" si="494"/>
        <v>-</v>
      </c>
      <c r="BN387" s="1053" t="str">
        <f t="shared" si="494"/>
        <v>-</v>
      </c>
      <c r="BO387" s="2302" t="str">
        <f t="shared" si="494"/>
        <v>-</v>
      </c>
      <c r="BP387" s="1053" t="str">
        <f t="shared" si="494"/>
        <v>-</v>
      </c>
      <c r="BQ387" s="2303" t="str">
        <f t="shared" si="494"/>
        <v>-</v>
      </c>
      <c r="BR387" s="1053" t="str">
        <f t="shared" si="494"/>
        <v>-</v>
      </c>
      <c r="BS387" s="1053" t="str">
        <f t="shared" si="494"/>
        <v>-</v>
      </c>
      <c r="BT387" s="1053" t="str">
        <f t="shared" si="494"/>
        <v>-</v>
      </c>
      <c r="BU387" s="1054" t="str">
        <f t="shared" si="494"/>
        <v>-</v>
      </c>
      <c r="BV387" s="1053" t="str">
        <f t="shared" si="494"/>
        <v>-</v>
      </c>
      <c r="BW387" s="1053" t="str">
        <f t="shared" si="494"/>
        <v>-</v>
      </c>
      <c r="BX387" s="1053" t="str">
        <f t="shared" si="494"/>
        <v>-</v>
      </c>
      <c r="BY387" s="1053" t="str">
        <f t="shared" si="494"/>
        <v>-</v>
      </c>
      <c r="BZ387" s="1054" t="str">
        <f t="shared" si="494"/>
        <v>-</v>
      </c>
    </row>
    <row r="388" spans="3:78" x14ac:dyDescent="0.3">
      <c r="C388" s="126"/>
      <c r="D388" s="126"/>
      <c r="E388" s="558" t="s">
        <v>46</v>
      </c>
      <c r="F388" s="1722" t="str">
        <f>+F387</f>
        <v>[Service]</v>
      </c>
      <c r="G388" s="1724">
        <f>+G387</f>
        <v>0</v>
      </c>
      <c r="H388" s="1724">
        <f>+H387</f>
        <v>0</v>
      </c>
      <c r="I388" s="1725" t="str">
        <f>+I387</f>
        <v>[Price]</v>
      </c>
      <c r="J388" s="574" t="s">
        <v>323</v>
      </c>
      <c r="K388" s="1973"/>
      <c r="L388" s="1974"/>
      <c r="M388" s="1974"/>
      <c r="N388" s="1975"/>
      <c r="O388" s="1974"/>
      <c r="P388" s="1974"/>
      <c r="Q388" s="1974"/>
      <c r="R388" s="1976"/>
      <c r="S388" s="1980"/>
      <c r="T388" s="1976"/>
      <c r="U388" s="1976"/>
      <c r="V388" s="1976"/>
      <c r="W388" s="578"/>
      <c r="X388" s="1239"/>
      <c r="Y388" s="578"/>
      <c r="Z388" s="578"/>
      <c r="AA388" s="578"/>
      <c r="AB388" s="1143"/>
      <c r="AC388" s="578"/>
      <c r="AD388" s="578"/>
      <c r="AE388" s="578"/>
      <c r="AF388" s="578"/>
      <c r="AG388" s="580"/>
      <c r="AH388" s="579"/>
      <c r="AI388" s="578"/>
      <c r="AJ388" s="578"/>
      <c r="AK388" s="578"/>
      <c r="AL388" s="580"/>
      <c r="AN388" s="991"/>
      <c r="AP388" s="2285" t="str">
        <f t="shared" si="405"/>
        <v>Qty</v>
      </c>
      <c r="AQ388" s="2286" t="str">
        <f t="shared" si="405"/>
        <v>[Service]</v>
      </c>
      <c r="AR388" s="2287" t="str">
        <f t="shared" si="406"/>
        <v>[Price]</v>
      </c>
      <c r="AS388" s="2288" t="str">
        <f t="shared" si="477"/>
        <v>-</v>
      </c>
      <c r="AT388" s="1720" t="str">
        <f t="shared" si="477"/>
        <v>-</v>
      </c>
      <c r="AU388" s="1720" t="str">
        <f t="shared" si="477"/>
        <v>-</v>
      </c>
      <c r="AV388" s="2289" t="str">
        <f t="shared" si="477"/>
        <v>-</v>
      </c>
      <c r="AW388" s="1720" t="str">
        <f t="shared" si="477"/>
        <v>-</v>
      </c>
      <c r="AX388" s="2290" t="str">
        <f t="shared" si="477"/>
        <v>-</v>
      </c>
      <c r="AY388" s="1720" t="str">
        <f t="shared" si="477"/>
        <v>-</v>
      </c>
      <c r="AZ388" s="1720" t="str">
        <f t="shared" si="477"/>
        <v>-</v>
      </c>
      <c r="BA388" s="1720" t="str">
        <f t="shared" si="477"/>
        <v>-</v>
      </c>
      <c r="BB388" s="1721" t="str">
        <f t="shared" si="477"/>
        <v>-</v>
      </c>
      <c r="BC388" s="1720" t="str">
        <f t="shared" si="477"/>
        <v>-</v>
      </c>
      <c r="BD388" s="1720" t="str">
        <f t="shared" si="477"/>
        <v>-</v>
      </c>
      <c r="BE388" s="1720" t="str">
        <f t="shared" si="477"/>
        <v>-</v>
      </c>
      <c r="BF388" s="1720" t="str">
        <f t="shared" si="477"/>
        <v>-</v>
      </c>
      <c r="BG388" s="1721" t="str">
        <f t="shared" si="477"/>
        <v>-</v>
      </c>
      <c r="BH388" s="1048"/>
      <c r="BI388" s="2285" t="str">
        <f t="shared" si="427"/>
        <v>Qty</v>
      </c>
      <c r="BJ388" s="2286" t="str">
        <f t="shared" si="427"/>
        <v>[Service]</v>
      </c>
      <c r="BK388" s="2287" t="str">
        <f t="shared" si="427"/>
        <v>[Price]</v>
      </c>
      <c r="BL388" s="2288" t="str">
        <f t="shared" ref="BL388:BZ388" si="495">IF(OR(X388="",X388=0),"-",IFERROR((X388/W388-1)*(W389/W$13),"-"))</f>
        <v>-</v>
      </c>
      <c r="BM388" s="1720" t="str">
        <f t="shared" si="495"/>
        <v>-</v>
      </c>
      <c r="BN388" s="1720" t="str">
        <f t="shared" si="495"/>
        <v>-</v>
      </c>
      <c r="BO388" s="2289" t="str">
        <f t="shared" si="495"/>
        <v>-</v>
      </c>
      <c r="BP388" s="1720" t="str">
        <f t="shared" si="495"/>
        <v>-</v>
      </c>
      <c r="BQ388" s="2290" t="str">
        <f t="shared" si="495"/>
        <v>-</v>
      </c>
      <c r="BR388" s="1720" t="str">
        <f t="shared" si="495"/>
        <v>-</v>
      </c>
      <c r="BS388" s="1720" t="str">
        <f t="shared" si="495"/>
        <v>-</v>
      </c>
      <c r="BT388" s="1720" t="str">
        <f t="shared" si="495"/>
        <v>-</v>
      </c>
      <c r="BU388" s="1721" t="str">
        <f t="shared" si="495"/>
        <v>-</v>
      </c>
      <c r="BV388" s="1720" t="str">
        <f t="shared" si="495"/>
        <v>-</v>
      </c>
      <c r="BW388" s="1720" t="str">
        <f t="shared" si="495"/>
        <v>-</v>
      </c>
      <c r="BX388" s="1720" t="str">
        <f t="shared" si="495"/>
        <v>-</v>
      </c>
      <c r="BY388" s="1720" t="str">
        <f t="shared" si="495"/>
        <v>-</v>
      </c>
      <c r="BZ388" s="1721" t="str">
        <f t="shared" si="495"/>
        <v>-</v>
      </c>
    </row>
    <row r="389" spans="3:78" ht="12.5" thickBot="1" x14ac:dyDescent="0.35">
      <c r="C389" s="126"/>
      <c r="D389" s="126"/>
      <c r="E389" s="559" t="s">
        <v>47</v>
      </c>
      <c r="F389" s="1723" t="str">
        <f>+F387</f>
        <v>[Service]</v>
      </c>
      <c r="G389" s="1726">
        <f>+G387</f>
        <v>0</v>
      </c>
      <c r="H389" s="1726">
        <f>+H387</f>
        <v>0</v>
      </c>
      <c r="I389" s="1727" t="str">
        <f>+I387</f>
        <v>[Price]</v>
      </c>
      <c r="J389" s="556" t="s">
        <v>347</v>
      </c>
      <c r="K389" s="1977"/>
      <c r="L389" s="1206"/>
      <c r="M389" s="1206"/>
      <c r="N389" s="1978"/>
      <c r="O389" s="1206"/>
      <c r="P389" s="1206"/>
      <c r="Q389" s="1206"/>
      <c r="R389" s="1206"/>
      <c r="S389" s="1978"/>
      <c r="T389" s="1206"/>
      <c r="U389" s="1206"/>
      <c r="V389" s="1206"/>
      <c r="W389" s="1731">
        <f t="shared" ref="W389:AG389" si="496">W387*W388/10^6</f>
        <v>0</v>
      </c>
      <c r="X389" s="1730">
        <f t="shared" si="496"/>
        <v>0</v>
      </c>
      <c r="Y389" s="1731">
        <f t="shared" si="496"/>
        <v>0</v>
      </c>
      <c r="Z389" s="1731">
        <f t="shared" si="496"/>
        <v>0</v>
      </c>
      <c r="AA389" s="1731">
        <f t="shared" si="496"/>
        <v>0</v>
      </c>
      <c r="AB389" s="1733">
        <f t="shared" si="496"/>
        <v>0</v>
      </c>
      <c r="AC389" s="1731">
        <f t="shared" si="496"/>
        <v>0</v>
      </c>
      <c r="AD389" s="1731">
        <f t="shared" si="496"/>
        <v>0</v>
      </c>
      <c r="AE389" s="1731">
        <f t="shared" si="496"/>
        <v>0</v>
      </c>
      <c r="AF389" s="1731">
        <f t="shared" si="496"/>
        <v>0</v>
      </c>
      <c r="AG389" s="1733">
        <f t="shared" si="496"/>
        <v>0</v>
      </c>
      <c r="AH389" s="1732">
        <f>AH387*AH388/10^6</f>
        <v>0</v>
      </c>
      <c r="AI389" s="1731">
        <f>AI387*AI388/10^6</f>
        <v>0</v>
      </c>
      <c r="AJ389" s="1731">
        <f>AJ387*AJ388/10^6</f>
        <v>0</v>
      </c>
      <c r="AK389" s="1731">
        <f>AK387*AK388/10^6</f>
        <v>0</v>
      </c>
      <c r="AL389" s="1733">
        <f>AL387*AL388/10^6</f>
        <v>0</v>
      </c>
      <c r="AN389" s="991"/>
      <c r="AP389" s="2304" t="str">
        <f t="shared" ref="AP389:AQ443" si="497">E389</f>
        <v>Rev</v>
      </c>
      <c r="AQ389" s="2305" t="str">
        <f t="shared" si="497"/>
        <v>[Service]</v>
      </c>
      <c r="AR389" s="2306" t="str">
        <f t="shared" ref="AR389:AR443" si="498">I389</f>
        <v>[Price]</v>
      </c>
      <c r="AS389" s="2307" t="str">
        <f t="shared" si="477"/>
        <v>-</v>
      </c>
      <c r="AT389" s="1055" t="str">
        <f t="shared" si="477"/>
        <v>-</v>
      </c>
      <c r="AU389" s="1055" t="str">
        <f t="shared" si="477"/>
        <v>-</v>
      </c>
      <c r="AV389" s="2308" t="str">
        <f t="shared" si="477"/>
        <v>-</v>
      </c>
      <c r="AW389" s="1055" t="str">
        <f t="shared" si="477"/>
        <v>-</v>
      </c>
      <c r="AX389" s="2309" t="str">
        <f t="shared" si="477"/>
        <v>-</v>
      </c>
      <c r="AY389" s="1055" t="str">
        <f t="shared" si="477"/>
        <v>-</v>
      </c>
      <c r="AZ389" s="1055" t="str">
        <f t="shared" si="477"/>
        <v>-</v>
      </c>
      <c r="BA389" s="1055" t="str">
        <f t="shared" si="477"/>
        <v>-</v>
      </c>
      <c r="BB389" s="1056" t="str">
        <f t="shared" si="477"/>
        <v>-</v>
      </c>
      <c r="BC389" s="1055" t="str">
        <f t="shared" si="477"/>
        <v>-</v>
      </c>
      <c r="BD389" s="1055" t="str">
        <f t="shared" si="477"/>
        <v>-</v>
      </c>
      <c r="BE389" s="1055" t="str">
        <f t="shared" si="477"/>
        <v>-</v>
      </c>
      <c r="BF389" s="1055" t="str">
        <f t="shared" si="477"/>
        <v>-</v>
      </c>
      <c r="BG389" s="1056" t="str">
        <f t="shared" si="477"/>
        <v>-</v>
      </c>
      <c r="BH389" s="1048"/>
      <c r="BI389" s="2304" t="str">
        <f t="shared" si="427"/>
        <v>Rev</v>
      </c>
      <c r="BJ389" s="2305" t="str">
        <f t="shared" si="427"/>
        <v>[Service]</v>
      </c>
      <c r="BK389" s="2306" t="str">
        <f t="shared" si="427"/>
        <v>[Price]</v>
      </c>
      <c r="BL389" s="2307" t="str">
        <f t="shared" ref="BL389:BZ389" si="499">IF(OR(X389="",X389=0),"-",IFERROR((X389/W389-1)*(W389/W$13),"-"))</f>
        <v>-</v>
      </c>
      <c r="BM389" s="1055" t="str">
        <f t="shared" si="499"/>
        <v>-</v>
      </c>
      <c r="BN389" s="1055" t="str">
        <f t="shared" si="499"/>
        <v>-</v>
      </c>
      <c r="BO389" s="2308" t="str">
        <f t="shared" si="499"/>
        <v>-</v>
      </c>
      <c r="BP389" s="1055" t="str">
        <f t="shared" si="499"/>
        <v>-</v>
      </c>
      <c r="BQ389" s="2309" t="str">
        <f t="shared" si="499"/>
        <v>-</v>
      </c>
      <c r="BR389" s="1055" t="str">
        <f t="shared" si="499"/>
        <v>-</v>
      </c>
      <c r="BS389" s="1055" t="str">
        <f t="shared" si="499"/>
        <v>-</v>
      </c>
      <c r="BT389" s="1055" t="str">
        <f t="shared" si="499"/>
        <v>-</v>
      </c>
      <c r="BU389" s="1056" t="str">
        <f t="shared" si="499"/>
        <v>-</v>
      </c>
      <c r="BV389" s="1055" t="str">
        <f t="shared" si="499"/>
        <v>-</v>
      </c>
      <c r="BW389" s="1055" t="str">
        <f t="shared" si="499"/>
        <v>-</v>
      </c>
      <c r="BX389" s="1055" t="str">
        <f t="shared" si="499"/>
        <v>-</v>
      </c>
      <c r="BY389" s="1055" t="str">
        <f t="shared" si="499"/>
        <v>-</v>
      </c>
      <c r="BZ389" s="1056" t="str">
        <f t="shared" si="499"/>
        <v>-</v>
      </c>
    </row>
    <row r="390" spans="3:78" x14ac:dyDescent="0.3">
      <c r="C390" s="126"/>
      <c r="D390" s="126">
        <f>D387+1</f>
        <v>108</v>
      </c>
      <c r="E390" s="553" t="s">
        <v>45</v>
      </c>
      <c r="F390" s="581" t="s">
        <v>28</v>
      </c>
      <c r="G390" s="581"/>
      <c r="H390" s="581"/>
      <c r="I390" s="573" t="s">
        <v>319</v>
      </c>
      <c r="J390" s="573" t="s">
        <v>348</v>
      </c>
      <c r="K390" s="1969"/>
      <c r="L390" s="1970"/>
      <c r="M390" s="1970"/>
      <c r="N390" s="1971"/>
      <c r="O390" s="1970"/>
      <c r="P390" s="1970"/>
      <c r="Q390" s="1970"/>
      <c r="R390" s="1972"/>
      <c r="S390" s="1979"/>
      <c r="T390" s="1972"/>
      <c r="U390" s="1972"/>
      <c r="V390" s="1972"/>
      <c r="W390" s="575"/>
      <c r="X390" s="1238"/>
      <c r="Y390" s="575"/>
      <c r="Z390" s="575"/>
      <c r="AA390" s="575"/>
      <c r="AB390" s="1142"/>
      <c r="AC390" s="575"/>
      <c r="AD390" s="575"/>
      <c r="AE390" s="575"/>
      <c r="AF390" s="575"/>
      <c r="AG390" s="577"/>
      <c r="AH390" s="576"/>
      <c r="AI390" s="575"/>
      <c r="AJ390" s="575"/>
      <c r="AK390" s="575"/>
      <c r="AL390" s="577"/>
      <c r="AN390" s="1052"/>
      <c r="AP390" s="2297" t="str">
        <f t="shared" si="497"/>
        <v>Price</v>
      </c>
      <c r="AQ390" s="2298" t="str">
        <f t="shared" si="497"/>
        <v>[Service]</v>
      </c>
      <c r="AR390" s="1719" t="str">
        <f t="shared" si="498"/>
        <v>[Price]</v>
      </c>
      <c r="AS390" s="2299" t="str">
        <f t="shared" si="477"/>
        <v>-</v>
      </c>
      <c r="AT390" s="1728" t="str">
        <f t="shared" si="477"/>
        <v>-</v>
      </c>
      <c r="AU390" s="1728" t="str">
        <f t="shared" si="477"/>
        <v>-</v>
      </c>
      <c r="AV390" s="2300" t="str">
        <f t="shared" si="477"/>
        <v>-</v>
      </c>
      <c r="AW390" s="1728" t="str">
        <f t="shared" si="477"/>
        <v>-</v>
      </c>
      <c r="AX390" s="2301" t="str">
        <f t="shared" si="477"/>
        <v>-</v>
      </c>
      <c r="AY390" s="1728" t="str">
        <f t="shared" si="477"/>
        <v>-</v>
      </c>
      <c r="AZ390" s="1728" t="str">
        <f t="shared" si="477"/>
        <v>-</v>
      </c>
      <c r="BA390" s="1728" t="str">
        <f t="shared" si="477"/>
        <v>-</v>
      </c>
      <c r="BB390" s="1729" t="str">
        <f t="shared" si="477"/>
        <v>-</v>
      </c>
      <c r="BC390" s="1728" t="str">
        <f t="shared" si="477"/>
        <v>-</v>
      </c>
      <c r="BD390" s="1728" t="str">
        <f t="shared" si="477"/>
        <v>-</v>
      </c>
      <c r="BE390" s="1728" t="str">
        <f t="shared" si="477"/>
        <v>-</v>
      </c>
      <c r="BF390" s="1728" t="str">
        <f t="shared" si="477"/>
        <v>-</v>
      </c>
      <c r="BG390" s="1729" t="str">
        <f t="shared" si="477"/>
        <v>-</v>
      </c>
      <c r="BH390" s="1048"/>
      <c r="BI390" s="2297" t="str">
        <f t="shared" si="427"/>
        <v>Price</v>
      </c>
      <c r="BJ390" s="2298" t="str">
        <f t="shared" si="427"/>
        <v>[Service]</v>
      </c>
      <c r="BK390" s="1719" t="str">
        <f t="shared" si="427"/>
        <v>[Price]</v>
      </c>
      <c r="BL390" s="2299" t="str">
        <f t="shared" ref="BL390:BZ390" si="500">IF(OR(X390="",X390=0),"-",IFERROR((X390/W390-1)*(W392/W$13),"-"))</f>
        <v>-</v>
      </c>
      <c r="BM390" s="1053" t="str">
        <f t="shared" si="500"/>
        <v>-</v>
      </c>
      <c r="BN390" s="1053" t="str">
        <f t="shared" si="500"/>
        <v>-</v>
      </c>
      <c r="BO390" s="2302" t="str">
        <f t="shared" si="500"/>
        <v>-</v>
      </c>
      <c r="BP390" s="1053" t="str">
        <f t="shared" si="500"/>
        <v>-</v>
      </c>
      <c r="BQ390" s="2303" t="str">
        <f t="shared" si="500"/>
        <v>-</v>
      </c>
      <c r="BR390" s="1053" t="str">
        <f t="shared" si="500"/>
        <v>-</v>
      </c>
      <c r="BS390" s="1053" t="str">
        <f t="shared" si="500"/>
        <v>-</v>
      </c>
      <c r="BT390" s="1053" t="str">
        <f t="shared" si="500"/>
        <v>-</v>
      </c>
      <c r="BU390" s="1054" t="str">
        <f t="shared" si="500"/>
        <v>-</v>
      </c>
      <c r="BV390" s="1053" t="str">
        <f t="shared" si="500"/>
        <v>-</v>
      </c>
      <c r="BW390" s="1053" t="str">
        <f t="shared" si="500"/>
        <v>-</v>
      </c>
      <c r="BX390" s="1053" t="str">
        <f t="shared" si="500"/>
        <v>-</v>
      </c>
      <c r="BY390" s="1053" t="str">
        <f t="shared" si="500"/>
        <v>-</v>
      </c>
      <c r="BZ390" s="1054" t="str">
        <f t="shared" si="500"/>
        <v>-</v>
      </c>
    </row>
    <row r="391" spans="3:78" x14ac:dyDescent="0.3">
      <c r="C391" s="126"/>
      <c r="D391" s="126"/>
      <c r="E391" s="558" t="s">
        <v>46</v>
      </c>
      <c r="F391" s="1722" t="str">
        <f>+F390</f>
        <v>[Service]</v>
      </c>
      <c r="G391" s="1724">
        <f>+G390</f>
        <v>0</v>
      </c>
      <c r="H391" s="1724">
        <f>+H390</f>
        <v>0</v>
      </c>
      <c r="I391" s="1725" t="str">
        <f>+I390</f>
        <v>[Price]</v>
      </c>
      <c r="J391" s="574" t="s">
        <v>323</v>
      </c>
      <c r="K391" s="1973"/>
      <c r="L391" s="1974"/>
      <c r="M391" s="1974"/>
      <c r="N391" s="1975"/>
      <c r="O391" s="1974"/>
      <c r="P391" s="1974"/>
      <c r="Q391" s="1974"/>
      <c r="R391" s="1976"/>
      <c r="S391" s="1980"/>
      <c r="T391" s="1976"/>
      <c r="U391" s="1976"/>
      <c r="V391" s="1976"/>
      <c r="W391" s="578"/>
      <c r="X391" s="1239"/>
      <c r="Y391" s="578"/>
      <c r="Z391" s="578"/>
      <c r="AA391" s="578"/>
      <c r="AB391" s="1143"/>
      <c r="AC391" s="578"/>
      <c r="AD391" s="578"/>
      <c r="AE391" s="578"/>
      <c r="AF391" s="578"/>
      <c r="AG391" s="580"/>
      <c r="AH391" s="579"/>
      <c r="AI391" s="578"/>
      <c r="AJ391" s="578"/>
      <c r="AK391" s="578"/>
      <c r="AL391" s="580"/>
      <c r="AN391" s="991"/>
      <c r="AP391" s="2285" t="str">
        <f t="shared" si="497"/>
        <v>Qty</v>
      </c>
      <c r="AQ391" s="2286" t="str">
        <f t="shared" si="497"/>
        <v>[Service]</v>
      </c>
      <c r="AR391" s="2287" t="str">
        <f t="shared" si="498"/>
        <v>[Price]</v>
      </c>
      <c r="AS391" s="2288" t="str">
        <f t="shared" si="477"/>
        <v>-</v>
      </c>
      <c r="AT391" s="1720" t="str">
        <f t="shared" si="477"/>
        <v>-</v>
      </c>
      <c r="AU391" s="1720" t="str">
        <f t="shared" si="477"/>
        <v>-</v>
      </c>
      <c r="AV391" s="2289" t="str">
        <f t="shared" si="477"/>
        <v>-</v>
      </c>
      <c r="AW391" s="1720" t="str">
        <f t="shared" si="477"/>
        <v>-</v>
      </c>
      <c r="AX391" s="2290" t="str">
        <f t="shared" si="477"/>
        <v>-</v>
      </c>
      <c r="AY391" s="1720" t="str">
        <f t="shared" si="477"/>
        <v>-</v>
      </c>
      <c r="AZ391" s="1720" t="str">
        <f t="shared" si="477"/>
        <v>-</v>
      </c>
      <c r="BA391" s="1720" t="str">
        <f t="shared" si="477"/>
        <v>-</v>
      </c>
      <c r="BB391" s="1721" t="str">
        <f t="shared" si="477"/>
        <v>-</v>
      </c>
      <c r="BC391" s="1720" t="str">
        <f t="shared" si="477"/>
        <v>-</v>
      </c>
      <c r="BD391" s="1720" t="str">
        <f t="shared" si="477"/>
        <v>-</v>
      </c>
      <c r="BE391" s="1720" t="str">
        <f t="shared" si="477"/>
        <v>-</v>
      </c>
      <c r="BF391" s="1720" t="str">
        <f t="shared" si="477"/>
        <v>-</v>
      </c>
      <c r="BG391" s="1721" t="str">
        <f t="shared" si="477"/>
        <v>-</v>
      </c>
      <c r="BH391" s="1048"/>
      <c r="BI391" s="2285" t="str">
        <f t="shared" si="427"/>
        <v>Qty</v>
      </c>
      <c r="BJ391" s="2286" t="str">
        <f t="shared" si="427"/>
        <v>[Service]</v>
      </c>
      <c r="BK391" s="2287" t="str">
        <f t="shared" si="427"/>
        <v>[Price]</v>
      </c>
      <c r="BL391" s="2288" t="str">
        <f t="shared" ref="BL391:BZ391" si="501">IF(OR(X391="",X391=0),"-",IFERROR((X391/W391-1)*(W392/W$13),"-"))</f>
        <v>-</v>
      </c>
      <c r="BM391" s="1720" t="str">
        <f t="shared" si="501"/>
        <v>-</v>
      </c>
      <c r="BN391" s="1720" t="str">
        <f t="shared" si="501"/>
        <v>-</v>
      </c>
      <c r="BO391" s="2289" t="str">
        <f t="shared" si="501"/>
        <v>-</v>
      </c>
      <c r="BP391" s="1720" t="str">
        <f t="shared" si="501"/>
        <v>-</v>
      </c>
      <c r="BQ391" s="2290" t="str">
        <f t="shared" si="501"/>
        <v>-</v>
      </c>
      <c r="BR391" s="1720" t="str">
        <f t="shared" si="501"/>
        <v>-</v>
      </c>
      <c r="BS391" s="1720" t="str">
        <f t="shared" si="501"/>
        <v>-</v>
      </c>
      <c r="BT391" s="1720" t="str">
        <f t="shared" si="501"/>
        <v>-</v>
      </c>
      <c r="BU391" s="1721" t="str">
        <f t="shared" si="501"/>
        <v>-</v>
      </c>
      <c r="BV391" s="1720" t="str">
        <f t="shared" si="501"/>
        <v>-</v>
      </c>
      <c r="BW391" s="1720" t="str">
        <f t="shared" si="501"/>
        <v>-</v>
      </c>
      <c r="BX391" s="1720" t="str">
        <f t="shared" si="501"/>
        <v>-</v>
      </c>
      <c r="BY391" s="1720" t="str">
        <f t="shared" si="501"/>
        <v>-</v>
      </c>
      <c r="BZ391" s="1721" t="str">
        <f t="shared" si="501"/>
        <v>-</v>
      </c>
    </row>
    <row r="392" spans="3:78" ht="12.5" thickBot="1" x14ac:dyDescent="0.35">
      <c r="C392" s="126"/>
      <c r="D392" s="126"/>
      <c r="E392" s="559" t="s">
        <v>47</v>
      </c>
      <c r="F392" s="1723" t="str">
        <f>+F390</f>
        <v>[Service]</v>
      </c>
      <c r="G392" s="1726">
        <f>+G390</f>
        <v>0</v>
      </c>
      <c r="H392" s="1726">
        <f>+H390</f>
        <v>0</v>
      </c>
      <c r="I392" s="1727" t="str">
        <f>+I390</f>
        <v>[Price]</v>
      </c>
      <c r="J392" s="556" t="s">
        <v>347</v>
      </c>
      <c r="K392" s="1977"/>
      <c r="L392" s="1206"/>
      <c r="M392" s="1206"/>
      <c r="N392" s="1978"/>
      <c r="O392" s="1206"/>
      <c r="P392" s="1206"/>
      <c r="Q392" s="1206"/>
      <c r="R392" s="1206"/>
      <c r="S392" s="1978"/>
      <c r="T392" s="1206"/>
      <c r="U392" s="1206"/>
      <c r="V392" s="1206"/>
      <c r="W392" s="1731">
        <f t="shared" ref="W392:AG392" si="502">W390*W391/10^6</f>
        <v>0</v>
      </c>
      <c r="X392" s="1730">
        <f t="shared" si="502"/>
        <v>0</v>
      </c>
      <c r="Y392" s="1731">
        <f t="shared" si="502"/>
        <v>0</v>
      </c>
      <c r="Z392" s="1731">
        <f t="shared" si="502"/>
        <v>0</v>
      </c>
      <c r="AA392" s="1731">
        <f t="shared" si="502"/>
        <v>0</v>
      </c>
      <c r="AB392" s="1733">
        <f t="shared" si="502"/>
        <v>0</v>
      </c>
      <c r="AC392" s="1731">
        <f t="shared" si="502"/>
        <v>0</v>
      </c>
      <c r="AD392" s="1731">
        <f t="shared" si="502"/>
        <v>0</v>
      </c>
      <c r="AE392" s="1731">
        <f t="shared" si="502"/>
        <v>0</v>
      </c>
      <c r="AF392" s="1731">
        <f t="shared" si="502"/>
        <v>0</v>
      </c>
      <c r="AG392" s="1733">
        <f t="shared" si="502"/>
        <v>0</v>
      </c>
      <c r="AH392" s="1732">
        <f>AH390*AH391/10^6</f>
        <v>0</v>
      </c>
      <c r="AI392" s="1731">
        <f>AI390*AI391/10^6</f>
        <v>0</v>
      </c>
      <c r="AJ392" s="1731">
        <f>AJ390*AJ391/10^6</f>
        <v>0</v>
      </c>
      <c r="AK392" s="1731">
        <f>AK390*AK391/10^6</f>
        <v>0</v>
      </c>
      <c r="AL392" s="1733">
        <f>AL390*AL391/10^6</f>
        <v>0</v>
      </c>
      <c r="AN392" s="991"/>
      <c r="AP392" s="2304" t="str">
        <f t="shared" si="497"/>
        <v>Rev</v>
      </c>
      <c r="AQ392" s="2305" t="str">
        <f t="shared" si="497"/>
        <v>[Service]</v>
      </c>
      <c r="AR392" s="2306" t="str">
        <f t="shared" si="498"/>
        <v>[Price]</v>
      </c>
      <c r="AS392" s="2307" t="str">
        <f t="shared" ref="AS392:BG408" si="503">IF(OR(X392="",X392=0),"-",IFERROR(X392/W392-1,"-"))</f>
        <v>-</v>
      </c>
      <c r="AT392" s="1055" t="str">
        <f t="shared" si="503"/>
        <v>-</v>
      </c>
      <c r="AU392" s="1055" t="str">
        <f t="shared" si="503"/>
        <v>-</v>
      </c>
      <c r="AV392" s="2308" t="str">
        <f t="shared" si="503"/>
        <v>-</v>
      </c>
      <c r="AW392" s="1055" t="str">
        <f t="shared" si="503"/>
        <v>-</v>
      </c>
      <c r="AX392" s="2309" t="str">
        <f t="shared" si="503"/>
        <v>-</v>
      </c>
      <c r="AY392" s="1055" t="str">
        <f t="shared" si="503"/>
        <v>-</v>
      </c>
      <c r="AZ392" s="1055" t="str">
        <f t="shared" si="503"/>
        <v>-</v>
      </c>
      <c r="BA392" s="1055" t="str">
        <f t="shared" si="503"/>
        <v>-</v>
      </c>
      <c r="BB392" s="1056" t="str">
        <f t="shared" si="503"/>
        <v>-</v>
      </c>
      <c r="BC392" s="1055" t="str">
        <f t="shared" si="503"/>
        <v>-</v>
      </c>
      <c r="BD392" s="1055" t="str">
        <f t="shared" si="503"/>
        <v>-</v>
      </c>
      <c r="BE392" s="1055" t="str">
        <f t="shared" si="503"/>
        <v>-</v>
      </c>
      <c r="BF392" s="1055" t="str">
        <f t="shared" si="503"/>
        <v>-</v>
      </c>
      <c r="BG392" s="1056" t="str">
        <f t="shared" si="503"/>
        <v>-</v>
      </c>
      <c r="BH392" s="1048"/>
      <c r="BI392" s="2304" t="str">
        <f t="shared" si="427"/>
        <v>Rev</v>
      </c>
      <c r="BJ392" s="2305" t="str">
        <f t="shared" si="427"/>
        <v>[Service]</v>
      </c>
      <c r="BK392" s="2306" t="str">
        <f t="shared" si="427"/>
        <v>[Price]</v>
      </c>
      <c r="BL392" s="2307" t="str">
        <f t="shared" ref="BL392:BZ392" si="504">IF(OR(X392="",X392=0),"-",IFERROR((X392/W392-1)*(W392/W$13),"-"))</f>
        <v>-</v>
      </c>
      <c r="BM392" s="1055" t="str">
        <f t="shared" si="504"/>
        <v>-</v>
      </c>
      <c r="BN392" s="1055" t="str">
        <f t="shared" si="504"/>
        <v>-</v>
      </c>
      <c r="BO392" s="2308" t="str">
        <f t="shared" si="504"/>
        <v>-</v>
      </c>
      <c r="BP392" s="1055" t="str">
        <f t="shared" si="504"/>
        <v>-</v>
      </c>
      <c r="BQ392" s="2309" t="str">
        <f t="shared" si="504"/>
        <v>-</v>
      </c>
      <c r="BR392" s="1055" t="str">
        <f t="shared" si="504"/>
        <v>-</v>
      </c>
      <c r="BS392" s="1055" t="str">
        <f t="shared" si="504"/>
        <v>-</v>
      </c>
      <c r="BT392" s="1055" t="str">
        <f t="shared" si="504"/>
        <v>-</v>
      </c>
      <c r="BU392" s="1056" t="str">
        <f t="shared" si="504"/>
        <v>-</v>
      </c>
      <c r="BV392" s="1055" t="str">
        <f t="shared" si="504"/>
        <v>-</v>
      </c>
      <c r="BW392" s="1055" t="str">
        <f t="shared" si="504"/>
        <v>-</v>
      </c>
      <c r="BX392" s="1055" t="str">
        <f t="shared" si="504"/>
        <v>-</v>
      </c>
      <c r="BY392" s="1055" t="str">
        <f t="shared" si="504"/>
        <v>-</v>
      </c>
      <c r="BZ392" s="1056" t="str">
        <f t="shared" si="504"/>
        <v>-</v>
      </c>
    </row>
    <row r="393" spans="3:78" x14ac:dyDescent="0.3">
      <c r="C393" s="126"/>
      <c r="D393" s="126">
        <f>D390+1</f>
        <v>109</v>
      </c>
      <c r="E393" s="553" t="s">
        <v>45</v>
      </c>
      <c r="F393" s="581" t="s">
        <v>28</v>
      </c>
      <c r="G393" s="581"/>
      <c r="H393" s="581"/>
      <c r="I393" s="573" t="s">
        <v>319</v>
      </c>
      <c r="J393" s="573" t="s">
        <v>348</v>
      </c>
      <c r="K393" s="1969"/>
      <c r="L393" s="1970"/>
      <c r="M393" s="1970"/>
      <c r="N393" s="1971"/>
      <c r="O393" s="1970"/>
      <c r="P393" s="1970"/>
      <c r="Q393" s="1970"/>
      <c r="R393" s="1972"/>
      <c r="S393" s="1979"/>
      <c r="T393" s="1972"/>
      <c r="U393" s="1972"/>
      <c r="V393" s="1972"/>
      <c r="W393" s="575"/>
      <c r="X393" s="1238"/>
      <c r="Y393" s="575"/>
      <c r="Z393" s="575"/>
      <c r="AA393" s="575"/>
      <c r="AB393" s="1142"/>
      <c r="AC393" s="575"/>
      <c r="AD393" s="575"/>
      <c r="AE393" s="575"/>
      <c r="AF393" s="575"/>
      <c r="AG393" s="577"/>
      <c r="AH393" s="576"/>
      <c r="AI393" s="575"/>
      <c r="AJ393" s="575"/>
      <c r="AK393" s="575"/>
      <c r="AL393" s="577"/>
      <c r="AN393" s="1052"/>
      <c r="AP393" s="2297" t="str">
        <f t="shared" si="497"/>
        <v>Price</v>
      </c>
      <c r="AQ393" s="2298" t="str">
        <f t="shared" si="497"/>
        <v>[Service]</v>
      </c>
      <c r="AR393" s="1719" t="str">
        <f t="shared" si="498"/>
        <v>[Price]</v>
      </c>
      <c r="AS393" s="2299" t="str">
        <f t="shared" si="503"/>
        <v>-</v>
      </c>
      <c r="AT393" s="1728" t="str">
        <f t="shared" si="503"/>
        <v>-</v>
      </c>
      <c r="AU393" s="1728" t="str">
        <f t="shared" si="503"/>
        <v>-</v>
      </c>
      <c r="AV393" s="2300" t="str">
        <f t="shared" si="503"/>
        <v>-</v>
      </c>
      <c r="AW393" s="1728" t="str">
        <f t="shared" si="503"/>
        <v>-</v>
      </c>
      <c r="AX393" s="2301" t="str">
        <f t="shared" si="503"/>
        <v>-</v>
      </c>
      <c r="AY393" s="1728" t="str">
        <f t="shared" si="503"/>
        <v>-</v>
      </c>
      <c r="AZ393" s="1728" t="str">
        <f t="shared" si="503"/>
        <v>-</v>
      </c>
      <c r="BA393" s="1728" t="str">
        <f t="shared" si="503"/>
        <v>-</v>
      </c>
      <c r="BB393" s="1729" t="str">
        <f t="shared" si="503"/>
        <v>-</v>
      </c>
      <c r="BC393" s="1728" t="str">
        <f t="shared" si="503"/>
        <v>-</v>
      </c>
      <c r="BD393" s="1728" t="str">
        <f t="shared" si="503"/>
        <v>-</v>
      </c>
      <c r="BE393" s="1728" t="str">
        <f t="shared" si="503"/>
        <v>-</v>
      </c>
      <c r="BF393" s="1728" t="str">
        <f t="shared" si="503"/>
        <v>-</v>
      </c>
      <c r="BG393" s="1729" t="str">
        <f t="shared" si="503"/>
        <v>-</v>
      </c>
      <c r="BH393" s="1048"/>
      <c r="BI393" s="2297" t="str">
        <f t="shared" si="427"/>
        <v>Price</v>
      </c>
      <c r="BJ393" s="2298" t="str">
        <f t="shared" si="427"/>
        <v>[Service]</v>
      </c>
      <c r="BK393" s="1719" t="str">
        <f t="shared" si="427"/>
        <v>[Price]</v>
      </c>
      <c r="BL393" s="2299" t="str">
        <f t="shared" ref="BL393:BZ393" si="505">IF(OR(X393="",X393=0),"-",IFERROR((X393/W393-1)*(W395/W$13),"-"))</f>
        <v>-</v>
      </c>
      <c r="BM393" s="1053" t="str">
        <f t="shared" si="505"/>
        <v>-</v>
      </c>
      <c r="BN393" s="1053" t="str">
        <f t="shared" si="505"/>
        <v>-</v>
      </c>
      <c r="BO393" s="2302" t="str">
        <f t="shared" si="505"/>
        <v>-</v>
      </c>
      <c r="BP393" s="1053" t="str">
        <f t="shared" si="505"/>
        <v>-</v>
      </c>
      <c r="BQ393" s="2303" t="str">
        <f t="shared" si="505"/>
        <v>-</v>
      </c>
      <c r="BR393" s="1053" t="str">
        <f t="shared" si="505"/>
        <v>-</v>
      </c>
      <c r="BS393" s="1053" t="str">
        <f t="shared" si="505"/>
        <v>-</v>
      </c>
      <c r="BT393" s="1053" t="str">
        <f t="shared" si="505"/>
        <v>-</v>
      </c>
      <c r="BU393" s="1054" t="str">
        <f t="shared" si="505"/>
        <v>-</v>
      </c>
      <c r="BV393" s="1053" t="str">
        <f t="shared" si="505"/>
        <v>-</v>
      </c>
      <c r="BW393" s="1053" t="str">
        <f t="shared" si="505"/>
        <v>-</v>
      </c>
      <c r="BX393" s="1053" t="str">
        <f t="shared" si="505"/>
        <v>-</v>
      </c>
      <c r="BY393" s="1053" t="str">
        <f t="shared" si="505"/>
        <v>-</v>
      </c>
      <c r="BZ393" s="1054" t="str">
        <f t="shared" si="505"/>
        <v>-</v>
      </c>
    </row>
    <row r="394" spans="3:78" x14ac:dyDescent="0.3">
      <c r="C394" s="126"/>
      <c r="D394" s="126"/>
      <c r="E394" s="558" t="s">
        <v>46</v>
      </c>
      <c r="F394" s="1722" t="str">
        <f>+F393</f>
        <v>[Service]</v>
      </c>
      <c r="G394" s="1724">
        <f>+G393</f>
        <v>0</v>
      </c>
      <c r="H394" s="1724">
        <f>+H393</f>
        <v>0</v>
      </c>
      <c r="I394" s="1725" t="str">
        <f>+I393</f>
        <v>[Price]</v>
      </c>
      <c r="J394" s="574" t="s">
        <v>323</v>
      </c>
      <c r="K394" s="1973"/>
      <c r="L394" s="1974"/>
      <c r="M394" s="1974"/>
      <c r="N394" s="1975"/>
      <c r="O394" s="1974"/>
      <c r="P394" s="1974"/>
      <c r="Q394" s="1974"/>
      <c r="R394" s="1976"/>
      <c r="S394" s="1980"/>
      <c r="T394" s="1976"/>
      <c r="U394" s="1976"/>
      <c r="V394" s="1976"/>
      <c r="W394" s="578"/>
      <c r="X394" s="1239"/>
      <c r="Y394" s="578"/>
      <c r="Z394" s="578"/>
      <c r="AA394" s="578"/>
      <c r="AB394" s="1143"/>
      <c r="AC394" s="578"/>
      <c r="AD394" s="578"/>
      <c r="AE394" s="578"/>
      <c r="AF394" s="578"/>
      <c r="AG394" s="580"/>
      <c r="AH394" s="579"/>
      <c r="AI394" s="578"/>
      <c r="AJ394" s="578"/>
      <c r="AK394" s="578"/>
      <c r="AL394" s="580"/>
      <c r="AN394" s="991"/>
      <c r="AP394" s="2285" t="str">
        <f t="shared" si="497"/>
        <v>Qty</v>
      </c>
      <c r="AQ394" s="2286" t="str">
        <f t="shared" si="497"/>
        <v>[Service]</v>
      </c>
      <c r="AR394" s="2287" t="str">
        <f t="shared" si="498"/>
        <v>[Price]</v>
      </c>
      <c r="AS394" s="2288" t="str">
        <f t="shared" si="503"/>
        <v>-</v>
      </c>
      <c r="AT394" s="1720" t="str">
        <f t="shared" si="503"/>
        <v>-</v>
      </c>
      <c r="AU394" s="1720" t="str">
        <f t="shared" si="503"/>
        <v>-</v>
      </c>
      <c r="AV394" s="2289" t="str">
        <f t="shared" si="503"/>
        <v>-</v>
      </c>
      <c r="AW394" s="1720" t="str">
        <f t="shared" si="503"/>
        <v>-</v>
      </c>
      <c r="AX394" s="2290" t="str">
        <f t="shared" si="503"/>
        <v>-</v>
      </c>
      <c r="AY394" s="1720" t="str">
        <f t="shared" si="503"/>
        <v>-</v>
      </c>
      <c r="AZ394" s="1720" t="str">
        <f t="shared" si="503"/>
        <v>-</v>
      </c>
      <c r="BA394" s="1720" t="str">
        <f t="shared" si="503"/>
        <v>-</v>
      </c>
      <c r="BB394" s="1721" t="str">
        <f t="shared" si="503"/>
        <v>-</v>
      </c>
      <c r="BC394" s="1720" t="str">
        <f t="shared" si="503"/>
        <v>-</v>
      </c>
      <c r="BD394" s="1720" t="str">
        <f t="shared" si="503"/>
        <v>-</v>
      </c>
      <c r="BE394" s="1720" t="str">
        <f t="shared" si="503"/>
        <v>-</v>
      </c>
      <c r="BF394" s="1720" t="str">
        <f t="shared" si="503"/>
        <v>-</v>
      </c>
      <c r="BG394" s="1721" t="str">
        <f t="shared" si="503"/>
        <v>-</v>
      </c>
      <c r="BH394" s="1048"/>
      <c r="BI394" s="2285" t="str">
        <f t="shared" si="427"/>
        <v>Qty</v>
      </c>
      <c r="BJ394" s="2286" t="str">
        <f t="shared" si="427"/>
        <v>[Service]</v>
      </c>
      <c r="BK394" s="2287" t="str">
        <f t="shared" si="427"/>
        <v>[Price]</v>
      </c>
      <c r="BL394" s="2288" t="str">
        <f t="shared" ref="BL394:BZ394" si="506">IF(OR(X394="",X394=0),"-",IFERROR((X394/W394-1)*(W395/W$13),"-"))</f>
        <v>-</v>
      </c>
      <c r="BM394" s="1720" t="str">
        <f t="shared" si="506"/>
        <v>-</v>
      </c>
      <c r="BN394" s="1720" t="str">
        <f t="shared" si="506"/>
        <v>-</v>
      </c>
      <c r="BO394" s="2289" t="str">
        <f t="shared" si="506"/>
        <v>-</v>
      </c>
      <c r="BP394" s="1720" t="str">
        <f t="shared" si="506"/>
        <v>-</v>
      </c>
      <c r="BQ394" s="2290" t="str">
        <f t="shared" si="506"/>
        <v>-</v>
      </c>
      <c r="BR394" s="1720" t="str">
        <f t="shared" si="506"/>
        <v>-</v>
      </c>
      <c r="BS394" s="1720" t="str">
        <f t="shared" si="506"/>
        <v>-</v>
      </c>
      <c r="BT394" s="1720" t="str">
        <f t="shared" si="506"/>
        <v>-</v>
      </c>
      <c r="BU394" s="1721" t="str">
        <f t="shared" si="506"/>
        <v>-</v>
      </c>
      <c r="BV394" s="1720" t="str">
        <f t="shared" si="506"/>
        <v>-</v>
      </c>
      <c r="BW394" s="1720" t="str">
        <f t="shared" si="506"/>
        <v>-</v>
      </c>
      <c r="BX394" s="1720" t="str">
        <f t="shared" si="506"/>
        <v>-</v>
      </c>
      <c r="BY394" s="1720" t="str">
        <f t="shared" si="506"/>
        <v>-</v>
      </c>
      <c r="BZ394" s="1721" t="str">
        <f t="shared" si="506"/>
        <v>-</v>
      </c>
    </row>
    <row r="395" spans="3:78" ht="12.5" thickBot="1" x14ac:dyDescent="0.35">
      <c r="C395" s="126"/>
      <c r="D395" s="126"/>
      <c r="E395" s="559" t="s">
        <v>47</v>
      </c>
      <c r="F395" s="1723" t="str">
        <f>+F393</f>
        <v>[Service]</v>
      </c>
      <c r="G395" s="1726">
        <f>+G393</f>
        <v>0</v>
      </c>
      <c r="H395" s="1726">
        <f>+H393</f>
        <v>0</v>
      </c>
      <c r="I395" s="1727" t="str">
        <f>+I393</f>
        <v>[Price]</v>
      </c>
      <c r="J395" s="556" t="s">
        <v>347</v>
      </c>
      <c r="K395" s="1977"/>
      <c r="L395" s="1206"/>
      <c r="M395" s="1206"/>
      <c r="N395" s="1978"/>
      <c r="O395" s="1206"/>
      <c r="P395" s="1206"/>
      <c r="Q395" s="1206"/>
      <c r="R395" s="1206"/>
      <c r="S395" s="1978"/>
      <c r="T395" s="1206"/>
      <c r="U395" s="1206"/>
      <c r="V395" s="1206"/>
      <c r="W395" s="1731">
        <f t="shared" ref="W395:AG395" si="507">W393*W394/10^6</f>
        <v>0</v>
      </c>
      <c r="X395" s="1730">
        <f t="shared" si="507"/>
        <v>0</v>
      </c>
      <c r="Y395" s="1731">
        <f t="shared" si="507"/>
        <v>0</v>
      </c>
      <c r="Z395" s="1731">
        <f t="shared" si="507"/>
        <v>0</v>
      </c>
      <c r="AA395" s="1731">
        <f t="shared" si="507"/>
        <v>0</v>
      </c>
      <c r="AB395" s="1733">
        <f t="shared" si="507"/>
        <v>0</v>
      </c>
      <c r="AC395" s="1731">
        <f t="shared" si="507"/>
        <v>0</v>
      </c>
      <c r="AD395" s="1731">
        <f t="shared" si="507"/>
        <v>0</v>
      </c>
      <c r="AE395" s="1731">
        <f t="shared" si="507"/>
        <v>0</v>
      </c>
      <c r="AF395" s="1731">
        <f t="shared" si="507"/>
        <v>0</v>
      </c>
      <c r="AG395" s="1733">
        <f t="shared" si="507"/>
        <v>0</v>
      </c>
      <c r="AH395" s="1732">
        <f>AH393*AH394/10^6</f>
        <v>0</v>
      </c>
      <c r="AI395" s="1731">
        <f>AI393*AI394/10^6</f>
        <v>0</v>
      </c>
      <c r="AJ395" s="1731">
        <f>AJ393*AJ394/10^6</f>
        <v>0</v>
      </c>
      <c r="AK395" s="1731">
        <f>AK393*AK394/10^6</f>
        <v>0</v>
      </c>
      <c r="AL395" s="1733">
        <f>AL393*AL394/10^6</f>
        <v>0</v>
      </c>
      <c r="AN395" s="991"/>
      <c r="AP395" s="2304" t="str">
        <f t="shared" si="497"/>
        <v>Rev</v>
      </c>
      <c r="AQ395" s="2305" t="str">
        <f t="shared" si="497"/>
        <v>[Service]</v>
      </c>
      <c r="AR395" s="2306" t="str">
        <f t="shared" si="498"/>
        <v>[Price]</v>
      </c>
      <c r="AS395" s="2307" t="str">
        <f t="shared" si="503"/>
        <v>-</v>
      </c>
      <c r="AT395" s="1055" t="str">
        <f t="shared" si="503"/>
        <v>-</v>
      </c>
      <c r="AU395" s="1055" t="str">
        <f t="shared" si="503"/>
        <v>-</v>
      </c>
      <c r="AV395" s="2308" t="str">
        <f t="shared" si="503"/>
        <v>-</v>
      </c>
      <c r="AW395" s="1055" t="str">
        <f t="shared" si="503"/>
        <v>-</v>
      </c>
      <c r="AX395" s="2309" t="str">
        <f t="shared" si="503"/>
        <v>-</v>
      </c>
      <c r="AY395" s="1055" t="str">
        <f t="shared" si="503"/>
        <v>-</v>
      </c>
      <c r="AZ395" s="1055" t="str">
        <f t="shared" si="503"/>
        <v>-</v>
      </c>
      <c r="BA395" s="1055" t="str">
        <f t="shared" si="503"/>
        <v>-</v>
      </c>
      <c r="BB395" s="1056" t="str">
        <f t="shared" si="503"/>
        <v>-</v>
      </c>
      <c r="BC395" s="1055" t="str">
        <f t="shared" si="503"/>
        <v>-</v>
      </c>
      <c r="BD395" s="1055" t="str">
        <f t="shared" si="503"/>
        <v>-</v>
      </c>
      <c r="BE395" s="1055" t="str">
        <f t="shared" si="503"/>
        <v>-</v>
      </c>
      <c r="BF395" s="1055" t="str">
        <f t="shared" si="503"/>
        <v>-</v>
      </c>
      <c r="BG395" s="1056" t="str">
        <f t="shared" si="503"/>
        <v>-</v>
      </c>
      <c r="BH395" s="1048"/>
      <c r="BI395" s="2304" t="str">
        <f t="shared" si="427"/>
        <v>Rev</v>
      </c>
      <c r="BJ395" s="2305" t="str">
        <f t="shared" si="427"/>
        <v>[Service]</v>
      </c>
      <c r="BK395" s="2306" t="str">
        <f t="shared" si="427"/>
        <v>[Price]</v>
      </c>
      <c r="BL395" s="2307" t="str">
        <f t="shared" ref="BL395:BZ395" si="508">IF(OR(X395="",X395=0),"-",IFERROR((X395/W395-1)*(W395/W$13),"-"))</f>
        <v>-</v>
      </c>
      <c r="BM395" s="1055" t="str">
        <f t="shared" si="508"/>
        <v>-</v>
      </c>
      <c r="BN395" s="1055" t="str">
        <f t="shared" si="508"/>
        <v>-</v>
      </c>
      <c r="BO395" s="2308" t="str">
        <f t="shared" si="508"/>
        <v>-</v>
      </c>
      <c r="BP395" s="1055" t="str">
        <f t="shared" si="508"/>
        <v>-</v>
      </c>
      <c r="BQ395" s="2309" t="str">
        <f t="shared" si="508"/>
        <v>-</v>
      </c>
      <c r="BR395" s="1055" t="str">
        <f t="shared" si="508"/>
        <v>-</v>
      </c>
      <c r="BS395" s="1055" t="str">
        <f t="shared" si="508"/>
        <v>-</v>
      </c>
      <c r="BT395" s="1055" t="str">
        <f t="shared" si="508"/>
        <v>-</v>
      </c>
      <c r="BU395" s="1056" t="str">
        <f t="shared" si="508"/>
        <v>-</v>
      </c>
      <c r="BV395" s="1055" t="str">
        <f t="shared" si="508"/>
        <v>-</v>
      </c>
      <c r="BW395" s="1055" t="str">
        <f t="shared" si="508"/>
        <v>-</v>
      </c>
      <c r="BX395" s="1055" t="str">
        <f t="shared" si="508"/>
        <v>-</v>
      </c>
      <c r="BY395" s="1055" t="str">
        <f t="shared" si="508"/>
        <v>-</v>
      </c>
      <c r="BZ395" s="1056" t="str">
        <f t="shared" si="508"/>
        <v>-</v>
      </c>
    </row>
    <row r="396" spans="3:78" x14ac:dyDescent="0.3">
      <c r="C396" s="126"/>
      <c r="D396" s="126">
        <f>D393+1</f>
        <v>110</v>
      </c>
      <c r="E396" s="553" t="s">
        <v>45</v>
      </c>
      <c r="F396" s="581" t="s">
        <v>28</v>
      </c>
      <c r="G396" s="581"/>
      <c r="H396" s="581"/>
      <c r="I396" s="573" t="s">
        <v>319</v>
      </c>
      <c r="J396" s="573" t="s">
        <v>348</v>
      </c>
      <c r="K396" s="1969"/>
      <c r="L396" s="1970"/>
      <c r="M396" s="1970"/>
      <c r="N396" s="1971"/>
      <c r="O396" s="1970"/>
      <c r="P396" s="1970"/>
      <c r="Q396" s="1970"/>
      <c r="R396" s="1972"/>
      <c r="S396" s="1979"/>
      <c r="T396" s="1972"/>
      <c r="U396" s="1972"/>
      <c r="V396" s="1972"/>
      <c r="W396" s="575"/>
      <c r="X396" s="1238"/>
      <c r="Y396" s="575"/>
      <c r="Z396" s="575"/>
      <c r="AA396" s="575"/>
      <c r="AB396" s="1142"/>
      <c r="AC396" s="575"/>
      <c r="AD396" s="575"/>
      <c r="AE396" s="575"/>
      <c r="AF396" s="575"/>
      <c r="AG396" s="577"/>
      <c r="AH396" s="576"/>
      <c r="AI396" s="575"/>
      <c r="AJ396" s="575"/>
      <c r="AK396" s="575"/>
      <c r="AL396" s="577"/>
      <c r="AN396" s="1052"/>
      <c r="AP396" s="2297" t="str">
        <f t="shared" si="497"/>
        <v>Price</v>
      </c>
      <c r="AQ396" s="2298" t="str">
        <f t="shared" si="497"/>
        <v>[Service]</v>
      </c>
      <c r="AR396" s="1719" t="str">
        <f t="shared" si="498"/>
        <v>[Price]</v>
      </c>
      <c r="AS396" s="2299" t="str">
        <f t="shared" si="503"/>
        <v>-</v>
      </c>
      <c r="AT396" s="1728" t="str">
        <f t="shared" si="503"/>
        <v>-</v>
      </c>
      <c r="AU396" s="1728" t="str">
        <f t="shared" si="503"/>
        <v>-</v>
      </c>
      <c r="AV396" s="2300" t="str">
        <f t="shared" si="503"/>
        <v>-</v>
      </c>
      <c r="AW396" s="1728" t="str">
        <f t="shared" si="503"/>
        <v>-</v>
      </c>
      <c r="AX396" s="2301" t="str">
        <f t="shared" si="503"/>
        <v>-</v>
      </c>
      <c r="AY396" s="1728" t="str">
        <f t="shared" si="503"/>
        <v>-</v>
      </c>
      <c r="AZ396" s="1728" t="str">
        <f t="shared" si="503"/>
        <v>-</v>
      </c>
      <c r="BA396" s="1728" t="str">
        <f t="shared" si="503"/>
        <v>-</v>
      </c>
      <c r="BB396" s="1729" t="str">
        <f t="shared" si="503"/>
        <v>-</v>
      </c>
      <c r="BC396" s="1728" t="str">
        <f t="shared" si="503"/>
        <v>-</v>
      </c>
      <c r="BD396" s="1728" t="str">
        <f t="shared" si="503"/>
        <v>-</v>
      </c>
      <c r="BE396" s="1728" t="str">
        <f t="shared" si="503"/>
        <v>-</v>
      </c>
      <c r="BF396" s="1728" t="str">
        <f t="shared" si="503"/>
        <v>-</v>
      </c>
      <c r="BG396" s="1729" t="str">
        <f t="shared" si="503"/>
        <v>-</v>
      </c>
      <c r="BH396" s="1048"/>
      <c r="BI396" s="2297" t="str">
        <f t="shared" si="427"/>
        <v>Price</v>
      </c>
      <c r="BJ396" s="2298" t="str">
        <f t="shared" si="427"/>
        <v>[Service]</v>
      </c>
      <c r="BK396" s="1719" t="str">
        <f t="shared" si="427"/>
        <v>[Price]</v>
      </c>
      <c r="BL396" s="2299" t="str">
        <f t="shared" ref="BL396:BZ396" si="509">IF(OR(X396="",X396=0),"-",IFERROR((X396/W396-1)*(W398/W$13),"-"))</f>
        <v>-</v>
      </c>
      <c r="BM396" s="1053" t="str">
        <f t="shared" si="509"/>
        <v>-</v>
      </c>
      <c r="BN396" s="1053" t="str">
        <f t="shared" si="509"/>
        <v>-</v>
      </c>
      <c r="BO396" s="2302" t="str">
        <f t="shared" si="509"/>
        <v>-</v>
      </c>
      <c r="BP396" s="1053" t="str">
        <f t="shared" si="509"/>
        <v>-</v>
      </c>
      <c r="BQ396" s="2303" t="str">
        <f t="shared" si="509"/>
        <v>-</v>
      </c>
      <c r="BR396" s="1053" t="str">
        <f t="shared" si="509"/>
        <v>-</v>
      </c>
      <c r="BS396" s="1053" t="str">
        <f t="shared" si="509"/>
        <v>-</v>
      </c>
      <c r="BT396" s="1053" t="str">
        <f t="shared" si="509"/>
        <v>-</v>
      </c>
      <c r="BU396" s="1054" t="str">
        <f t="shared" si="509"/>
        <v>-</v>
      </c>
      <c r="BV396" s="1053" t="str">
        <f t="shared" si="509"/>
        <v>-</v>
      </c>
      <c r="BW396" s="1053" t="str">
        <f t="shared" si="509"/>
        <v>-</v>
      </c>
      <c r="BX396" s="1053" t="str">
        <f t="shared" si="509"/>
        <v>-</v>
      </c>
      <c r="BY396" s="1053" t="str">
        <f t="shared" si="509"/>
        <v>-</v>
      </c>
      <c r="BZ396" s="1054" t="str">
        <f t="shared" si="509"/>
        <v>-</v>
      </c>
    </row>
    <row r="397" spans="3:78" x14ac:dyDescent="0.3">
      <c r="C397" s="126"/>
      <c r="D397" s="126"/>
      <c r="E397" s="558" t="s">
        <v>46</v>
      </c>
      <c r="F397" s="1722" t="str">
        <f>+F396</f>
        <v>[Service]</v>
      </c>
      <c r="G397" s="1724">
        <f>+G396</f>
        <v>0</v>
      </c>
      <c r="H397" s="1724">
        <f>+H396</f>
        <v>0</v>
      </c>
      <c r="I397" s="1725" t="str">
        <f>+I396</f>
        <v>[Price]</v>
      </c>
      <c r="J397" s="574" t="s">
        <v>323</v>
      </c>
      <c r="K397" s="1973"/>
      <c r="L397" s="1974"/>
      <c r="M397" s="1974"/>
      <c r="N397" s="1975"/>
      <c r="O397" s="1974"/>
      <c r="P397" s="1974"/>
      <c r="Q397" s="1974"/>
      <c r="R397" s="1976"/>
      <c r="S397" s="1980"/>
      <c r="T397" s="1976"/>
      <c r="U397" s="1976"/>
      <c r="V397" s="1976"/>
      <c r="W397" s="578"/>
      <c r="X397" s="1239"/>
      <c r="Y397" s="578"/>
      <c r="Z397" s="578"/>
      <c r="AA397" s="578"/>
      <c r="AB397" s="1143"/>
      <c r="AC397" s="578"/>
      <c r="AD397" s="578"/>
      <c r="AE397" s="578"/>
      <c r="AF397" s="578"/>
      <c r="AG397" s="580"/>
      <c r="AH397" s="579"/>
      <c r="AI397" s="578"/>
      <c r="AJ397" s="578"/>
      <c r="AK397" s="578"/>
      <c r="AL397" s="580"/>
      <c r="AN397" s="991"/>
      <c r="AP397" s="2285" t="str">
        <f t="shared" si="497"/>
        <v>Qty</v>
      </c>
      <c r="AQ397" s="2286" t="str">
        <f t="shared" si="497"/>
        <v>[Service]</v>
      </c>
      <c r="AR397" s="2287" t="str">
        <f t="shared" si="498"/>
        <v>[Price]</v>
      </c>
      <c r="AS397" s="2288" t="str">
        <f t="shared" si="503"/>
        <v>-</v>
      </c>
      <c r="AT397" s="1720" t="str">
        <f t="shared" si="503"/>
        <v>-</v>
      </c>
      <c r="AU397" s="1720" t="str">
        <f t="shared" si="503"/>
        <v>-</v>
      </c>
      <c r="AV397" s="2289" t="str">
        <f t="shared" si="503"/>
        <v>-</v>
      </c>
      <c r="AW397" s="1720" t="str">
        <f t="shared" si="503"/>
        <v>-</v>
      </c>
      <c r="AX397" s="2290" t="str">
        <f t="shared" si="503"/>
        <v>-</v>
      </c>
      <c r="AY397" s="1720" t="str">
        <f t="shared" si="503"/>
        <v>-</v>
      </c>
      <c r="AZ397" s="1720" t="str">
        <f t="shared" si="503"/>
        <v>-</v>
      </c>
      <c r="BA397" s="1720" t="str">
        <f t="shared" si="503"/>
        <v>-</v>
      </c>
      <c r="BB397" s="1721" t="str">
        <f t="shared" si="503"/>
        <v>-</v>
      </c>
      <c r="BC397" s="1720" t="str">
        <f t="shared" si="503"/>
        <v>-</v>
      </c>
      <c r="BD397" s="1720" t="str">
        <f t="shared" si="503"/>
        <v>-</v>
      </c>
      <c r="BE397" s="1720" t="str">
        <f t="shared" si="503"/>
        <v>-</v>
      </c>
      <c r="BF397" s="1720" t="str">
        <f t="shared" si="503"/>
        <v>-</v>
      </c>
      <c r="BG397" s="1721" t="str">
        <f t="shared" si="503"/>
        <v>-</v>
      </c>
      <c r="BH397" s="1048"/>
      <c r="BI397" s="2285" t="str">
        <f t="shared" si="427"/>
        <v>Qty</v>
      </c>
      <c r="BJ397" s="2286" t="str">
        <f t="shared" si="427"/>
        <v>[Service]</v>
      </c>
      <c r="BK397" s="2287" t="str">
        <f t="shared" si="427"/>
        <v>[Price]</v>
      </c>
      <c r="BL397" s="2288" t="str">
        <f t="shared" ref="BL397:BZ397" si="510">IF(OR(X397="",X397=0),"-",IFERROR((X397/W397-1)*(W398/W$13),"-"))</f>
        <v>-</v>
      </c>
      <c r="BM397" s="1720" t="str">
        <f t="shared" si="510"/>
        <v>-</v>
      </c>
      <c r="BN397" s="1720" t="str">
        <f t="shared" si="510"/>
        <v>-</v>
      </c>
      <c r="BO397" s="2289" t="str">
        <f t="shared" si="510"/>
        <v>-</v>
      </c>
      <c r="BP397" s="1720" t="str">
        <f t="shared" si="510"/>
        <v>-</v>
      </c>
      <c r="BQ397" s="2290" t="str">
        <f t="shared" si="510"/>
        <v>-</v>
      </c>
      <c r="BR397" s="1720" t="str">
        <f t="shared" si="510"/>
        <v>-</v>
      </c>
      <c r="BS397" s="1720" t="str">
        <f t="shared" si="510"/>
        <v>-</v>
      </c>
      <c r="BT397" s="1720" t="str">
        <f t="shared" si="510"/>
        <v>-</v>
      </c>
      <c r="BU397" s="1721" t="str">
        <f t="shared" si="510"/>
        <v>-</v>
      </c>
      <c r="BV397" s="1720" t="str">
        <f t="shared" si="510"/>
        <v>-</v>
      </c>
      <c r="BW397" s="1720" t="str">
        <f t="shared" si="510"/>
        <v>-</v>
      </c>
      <c r="BX397" s="1720" t="str">
        <f t="shared" si="510"/>
        <v>-</v>
      </c>
      <c r="BY397" s="1720" t="str">
        <f t="shared" si="510"/>
        <v>-</v>
      </c>
      <c r="BZ397" s="1721" t="str">
        <f t="shared" si="510"/>
        <v>-</v>
      </c>
    </row>
    <row r="398" spans="3:78" ht="12.5" thickBot="1" x14ac:dyDescent="0.35">
      <c r="C398" s="126"/>
      <c r="D398" s="126"/>
      <c r="E398" s="559" t="s">
        <v>47</v>
      </c>
      <c r="F398" s="1723" t="str">
        <f>+F396</f>
        <v>[Service]</v>
      </c>
      <c r="G398" s="1726">
        <f>+G396</f>
        <v>0</v>
      </c>
      <c r="H398" s="1726">
        <f>+H396</f>
        <v>0</v>
      </c>
      <c r="I398" s="1727" t="str">
        <f>+I396</f>
        <v>[Price]</v>
      </c>
      <c r="J398" s="556" t="s">
        <v>347</v>
      </c>
      <c r="K398" s="1977"/>
      <c r="L398" s="1206"/>
      <c r="M398" s="1206"/>
      <c r="N398" s="1978"/>
      <c r="O398" s="1206"/>
      <c r="P398" s="1206"/>
      <c r="Q398" s="1206"/>
      <c r="R398" s="1206"/>
      <c r="S398" s="1978"/>
      <c r="T398" s="1206"/>
      <c r="U398" s="1206"/>
      <c r="V398" s="1206"/>
      <c r="W398" s="1731">
        <f t="shared" ref="W398:AG398" si="511">W396*W397/10^6</f>
        <v>0</v>
      </c>
      <c r="X398" s="1730">
        <f t="shared" si="511"/>
        <v>0</v>
      </c>
      <c r="Y398" s="1731">
        <f t="shared" si="511"/>
        <v>0</v>
      </c>
      <c r="Z398" s="1731">
        <f t="shared" si="511"/>
        <v>0</v>
      </c>
      <c r="AA398" s="1731">
        <f t="shared" si="511"/>
        <v>0</v>
      </c>
      <c r="AB398" s="1733">
        <f t="shared" si="511"/>
        <v>0</v>
      </c>
      <c r="AC398" s="1731">
        <f t="shared" si="511"/>
        <v>0</v>
      </c>
      <c r="AD398" s="1731">
        <f t="shared" si="511"/>
        <v>0</v>
      </c>
      <c r="AE398" s="1731">
        <f t="shared" si="511"/>
        <v>0</v>
      </c>
      <c r="AF398" s="1731">
        <f t="shared" si="511"/>
        <v>0</v>
      </c>
      <c r="AG398" s="1733">
        <f t="shared" si="511"/>
        <v>0</v>
      </c>
      <c r="AH398" s="1732">
        <f>AH396*AH397/10^6</f>
        <v>0</v>
      </c>
      <c r="AI398" s="1731">
        <f>AI396*AI397/10^6</f>
        <v>0</v>
      </c>
      <c r="AJ398" s="1731">
        <f>AJ396*AJ397/10^6</f>
        <v>0</v>
      </c>
      <c r="AK398" s="1731">
        <f>AK396*AK397/10^6</f>
        <v>0</v>
      </c>
      <c r="AL398" s="1733">
        <f>AL396*AL397/10^6</f>
        <v>0</v>
      </c>
      <c r="AN398" s="991"/>
      <c r="AP398" s="2304" t="str">
        <f t="shared" si="497"/>
        <v>Rev</v>
      </c>
      <c r="AQ398" s="2305" t="str">
        <f t="shared" si="497"/>
        <v>[Service]</v>
      </c>
      <c r="AR398" s="2306" t="str">
        <f t="shared" si="498"/>
        <v>[Price]</v>
      </c>
      <c r="AS398" s="2307" t="str">
        <f t="shared" si="503"/>
        <v>-</v>
      </c>
      <c r="AT398" s="1055" t="str">
        <f t="shared" si="503"/>
        <v>-</v>
      </c>
      <c r="AU398" s="1055" t="str">
        <f t="shared" si="503"/>
        <v>-</v>
      </c>
      <c r="AV398" s="2308" t="str">
        <f t="shared" si="503"/>
        <v>-</v>
      </c>
      <c r="AW398" s="1055" t="str">
        <f t="shared" si="503"/>
        <v>-</v>
      </c>
      <c r="AX398" s="2309" t="str">
        <f t="shared" si="503"/>
        <v>-</v>
      </c>
      <c r="AY398" s="1055" t="str">
        <f t="shared" si="503"/>
        <v>-</v>
      </c>
      <c r="AZ398" s="1055" t="str">
        <f t="shared" si="503"/>
        <v>-</v>
      </c>
      <c r="BA398" s="1055" t="str">
        <f t="shared" si="503"/>
        <v>-</v>
      </c>
      <c r="BB398" s="1056" t="str">
        <f t="shared" si="503"/>
        <v>-</v>
      </c>
      <c r="BC398" s="1055" t="str">
        <f t="shared" si="503"/>
        <v>-</v>
      </c>
      <c r="BD398" s="1055" t="str">
        <f t="shared" si="503"/>
        <v>-</v>
      </c>
      <c r="BE398" s="1055" t="str">
        <f t="shared" si="503"/>
        <v>-</v>
      </c>
      <c r="BF398" s="1055" t="str">
        <f t="shared" si="503"/>
        <v>-</v>
      </c>
      <c r="BG398" s="1056" t="str">
        <f t="shared" si="503"/>
        <v>-</v>
      </c>
      <c r="BH398" s="1048"/>
      <c r="BI398" s="2304" t="str">
        <f t="shared" si="427"/>
        <v>Rev</v>
      </c>
      <c r="BJ398" s="2305" t="str">
        <f t="shared" si="427"/>
        <v>[Service]</v>
      </c>
      <c r="BK398" s="2306" t="str">
        <f t="shared" si="427"/>
        <v>[Price]</v>
      </c>
      <c r="BL398" s="2307" t="str">
        <f t="shared" ref="BL398:BZ398" si="512">IF(OR(X398="",X398=0),"-",IFERROR((X398/W398-1)*(W398/W$13),"-"))</f>
        <v>-</v>
      </c>
      <c r="BM398" s="1055" t="str">
        <f t="shared" si="512"/>
        <v>-</v>
      </c>
      <c r="BN398" s="1055" t="str">
        <f t="shared" si="512"/>
        <v>-</v>
      </c>
      <c r="BO398" s="2308" t="str">
        <f t="shared" si="512"/>
        <v>-</v>
      </c>
      <c r="BP398" s="1055" t="str">
        <f t="shared" si="512"/>
        <v>-</v>
      </c>
      <c r="BQ398" s="2309" t="str">
        <f t="shared" si="512"/>
        <v>-</v>
      </c>
      <c r="BR398" s="1055" t="str">
        <f t="shared" si="512"/>
        <v>-</v>
      </c>
      <c r="BS398" s="1055" t="str">
        <f t="shared" si="512"/>
        <v>-</v>
      </c>
      <c r="BT398" s="1055" t="str">
        <f t="shared" si="512"/>
        <v>-</v>
      </c>
      <c r="BU398" s="1056" t="str">
        <f t="shared" si="512"/>
        <v>-</v>
      </c>
      <c r="BV398" s="1055" t="str">
        <f t="shared" si="512"/>
        <v>-</v>
      </c>
      <c r="BW398" s="1055" t="str">
        <f t="shared" si="512"/>
        <v>-</v>
      </c>
      <c r="BX398" s="1055" t="str">
        <f t="shared" si="512"/>
        <v>-</v>
      </c>
      <c r="BY398" s="1055" t="str">
        <f t="shared" si="512"/>
        <v>-</v>
      </c>
      <c r="BZ398" s="1056" t="str">
        <f t="shared" si="512"/>
        <v>-</v>
      </c>
    </row>
    <row r="399" spans="3:78" x14ac:dyDescent="0.3">
      <c r="C399" s="126"/>
      <c r="D399" s="126">
        <f>D396+1</f>
        <v>111</v>
      </c>
      <c r="E399" s="553" t="s">
        <v>45</v>
      </c>
      <c r="F399" s="581" t="s">
        <v>28</v>
      </c>
      <c r="G399" s="581"/>
      <c r="H399" s="581"/>
      <c r="I399" s="573" t="s">
        <v>319</v>
      </c>
      <c r="J399" s="573" t="s">
        <v>348</v>
      </c>
      <c r="K399" s="1969"/>
      <c r="L399" s="1970"/>
      <c r="M399" s="1970"/>
      <c r="N399" s="1971"/>
      <c r="O399" s="1970"/>
      <c r="P399" s="1970"/>
      <c r="Q399" s="1970"/>
      <c r="R399" s="1972"/>
      <c r="S399" s="1979"/>
      <c r="T399" s="1972"/>
      <c r="U399" s="1972"/>
      <c r="V399" s="1972"/>
      <c r="W399" s="575"/>
      <c r="X399" s="1238"/>
      <c r="Y399" s="575"/>
      <c r="Z399" s="575"/>
      <c r="AA399" s="575"/>
      <c r="AB399" s="1142"/>
      <c r="AC399" s="575"/>
      <c r="AD399" s="575"/>
      <c r="AE399" s="575"/>
      <c r="AF399" s="575"/>
      <c r="AG399" s="577"/>
      <c r="AH399" s="576"/>
      <c r="AI399" s="575"/>
      <c r="AJ399" s="575"/>
      <c r="AK399" s="575"/>
      <c r="AL399" s="577"/>
      <c r="AN399" s="1052"/>
      <c r="AP399" s="2297" t="str">
        <f t="shared" si="497"/>
        <v>Price</v>
      </c>
      <c r="AQ399" s="2298" t="str">
        <f t="shared" si="497"/>
        <v>[Service]</v>
      </c>
      <c r="AR399" s="1719" t="str">
        <f t="shared" si="498"/>
        <v>[Price]</v>
      </c>
      <c r="AS399" s="2299" t="str">
        <f t="shared" si="503"/>
        <v>-</v>
      </c>
      <c r="AT399" s="1728" t="str">
        <f t="shared" si="503"/>
        <v>-</v>
      </c>
      <c r="AU399" s="1728" t="str">
        <f t="shared" si="503"/>
        <v>-</v>
      </c>
      <c r="AV399" s="2300" t="str">
        <f t="shared" si="503"/>
        <v>-</v>
      </c>
      <c r="AW399" s="1728" t="str">
        <f t="shared" si="503"/>
        <v>-</v>
      </c>
      <c r="AX399" s="2301" t="str">
        <f t="shared" si="503"/>
        <v>-</v>
      </c>
      <c r="AY399" s="1728" t="str">
        <f t="shared" si="503"/>
        <v>-</v>
      </c>
      <c r="AZ399" s="1728" t="str">
        <f t="shared" si="503"/>
        <v>-</v>
      </c>
      <c r="BA399" s="1728" t="str">
        <f t="shared" si="503"/>
        <v>-</v>
      </c>
      <c r="BB399" s="1729" t="str">
        <f t="shared" si="503"/>
        <v>-</v>
      </c>
      <c r="BC399" s="1728" t="str">
        <f t="shared" si="503"/>
        <v>-</v>
      </c>
      <c r="BD399" s="1728" t="str">
        <f t="shared" si="503"/>
        <v>-</v>
      </c>
      <c r="BE399" s="1728" t="str">
        <f t="shared" si="503"/>
        <v>-</v>
      </c>
      <c r="BF399" s="1728" t="str">
        <f t="shared" si="503"/>
        <v>-</v>
      </c>
      <c r="BG399" s="1729" t="str">
        <f t="shared" si="503"/>
        <v>-</v>
      </c>
      <c r="BH399" s="1048"/>
      <c r="BI399" s="2297" t="str">
        <f t="shared" si="427"/>
        <v>Price</v>
      </c>
      <c r="BJ399" s="2298" t="str">
        <f t="shared" si="427"/>
        <v>[Service]</v>
      </c>
      <c r="BK399" s="1719" t="str">
        <f t="shared" si="427"/>
        <v>[Price]</v>
      </c>
      <c r="BL399" s="2299" t="str">
        <f t="shared" ref="BL399:BZ399" si="513">IF(OR(X399="",X399=0),"-",IFERROR((X399/W399-1)*(W401/W$13),"-"))</f>
        <v>-</v>
      </c>
      <c r="BM399" s="1053" t="str">
        <f t="shared" si="513"/>
        <v>-</v>
      </c>
      <c r="BN399" s="1053" t="str">
        <f t="shared" si="513"/>
        <v>-</v>
      </c>
      <c r="BO399" s="2302" t="str">
        <f t="shared" si="513"/>
        <v>-</v>
      </c>
      <c r="BP399" s="1053" t="str">
        <f t="shared" si="513"/>
        <v>-</v>
      </c>
      <c r="BQ399" s="2303" t="str">
        <f t="shared" si="513"/>
        <v>-</v>
      </c>
      <c r="BR399" s="1053" t="str">
        <f t="shared" si="513"/>
        <v>-</v>
      </c>
      <c r="BS399" s="1053" t="str">
        <f t="shared" si="513"/>
        <v>-</v>
      </c>
      <c r="BT399" s="1053" t="str">
        <f t="shared" si="513"/>
        <v>-</v>
      </c>
      <c r="BU399" s="1054" t="str">
        <f t="shared" si="513"/>
        <v>-</v>
      </c>
      <c r="BV399" s="1053" t="str">
        <f t="shared" si="513"/>
        <v>-</v>
      </c>
      <c r="BW399" s="1053" t="str">
        <f t="shared" si="513"/>
        <v>-</v>
      </c>
      <c r="BX399" s="1053" t="str">
        <f t="shared" si="513"/>
        <v>-</v>
      </c>
      <c r="BY399" s="1053" t="str">
        <f t="shared" si="513"/>
        <v>-</v>
      </c>
      <c r="BZ399" s="1054" t="str">
        <f t="shared" si="513"/>
        <v>-</v>
      </c>
    </row>
    <row r="400" spans="3:78" x14ac:dyDescent="0.3">
      <c r="C400" s="126"/>
      <c r="D400" s="126"/>
      <c r="E400" s="558" t="s">
        <v>46</v>
      </c>
      <c r="F400" s="1722" t="str">
        <f>+F399</f>
        <v>[Service]</v>
      </c>
      <c r="G400" s="1724">
        <f>+G399</f>
        <v>0</v>
      </c>
      <c r="H400" s="1724">
        <f>+H399</f>
        <v>0</v>
      </c>
      <c r="I400" s="1725" t="str">
        <f>+I399</f>
        <v>[Price]</v>
      </c>
      <c r="J400" s="574" t="s">
        <v>323</v>
      </c>
      <c r="K400" s="1973"/>
      <c r="L400" s="1974"/>
      <c r="M400" s="1974"/>
      <c r="N400" s="1975"/>
      <c r="O400" s="1974"/>
      <c r="P400" s="1974"/>
      <c r="Q400" s="1974"/>
      <c r="R400" s="1976"/>
      <c r="S400" s="1980"/>
      <c r="T400" s="1976"/>
      <c r="U400" s="1976"/>
      <c r="V400" s="1976"/>
      <c r="W400" s="578"/>
      <c r="X400" s="1239"/>
      <c r="Y400" s="578"/>
      <c r="Z400" s="578"/>
      <c r="AA400" s="578"/>
      <c r="AB400" s="1143"/>
      <c r="AC400" s="578"/>
      <c r="AD400" s="578"/>
      <c r="AE400" s="578"/>
      <c r="AF400" s="578"/>
      <c r="AG400" s="580"/>
      <c r="AH400" s="579"/>
      <c r="AI400" s="578"/>
      <c r="AJ400" s="578"/>
      <c r="AK400" s="578"/>
      <c r="AL400" s="580"/>
      <c r="AN400" s="991"/>
      <c r="AP400" s="2285" t="str">
        <f t="shared" si="497"/>
        <v>Qty</v>
      </c>
      <c r="AQ400" s="2286" t="str">
        <f t="shared" si="497"/>
        <v>[Service]</v>
      </c>
      <c r="AR400" s="2287" t="str">
        <f t="shared" si="498"/>
        <v>[Price]</v>
      </c>
      <c r="AS400" s="2288" t="str">
        <f t="shared" si="503"/>
        <v>-</v>
      </c>
      <c r="AT400" s="1720" t="str">
        <f t="shared" si="503"/>
        <v>-</v>
      </c>
      <c r="AU400" s="1720" t="str">
        <f t="shared" si="503"/>
        <v>-</v>
      </c>
      <c r="AV400" s="2289" t="str">
        <f t="shared" si="503"/>
        <v>-</v>
      </c>
      <c r="AW400" s="1720" t="str">
        <f t="shared" si="503"/>
        <v>-</v>
      </c>
      <c r="AX400" s="2290" t="str">
        <f t="shared" si="503"/>
        <v>-</v>
      </c>
      <c r="AY400" s="1720" t="str">
        <f t="shared" si="503"/>
        <v>-</v>
      </c>
      <c r="AZ400" s="1720" t="str">
        <f t="shared" si="503"/>
        <v>-</v>
      </c>
      <c r="BA400" s="1720" t="str">
        <f t="shared" si="503"/>
        <v>-</v>
      </c>
      <c r="BB400" s="1721" t="str">
        <f t="shared" si="503"/>
        <v>-</v>
      </c>
      <c r="BC400" s="1720" t="str">
        <f t="shared" si="503"/>
        <v>-</v>
      </c>
      <c r="BD400" s="1720" t="str">
        <f t="shared" si="503"/>
        <v>-</v>
      </c>
      <c r="BE400" s="1720" t="str">
        <f t="shared" si="503"/>
        <v>-</v>
      </c>
      <c r="BF400" s="1720" t="str">
        <f t="shared" si="503"/>
        <v>-</v>
      </c>
      <c r="BG400" s="1721" t="str">
        <f t="shared" si="503"/>
        <v>-</v>
      </c>
      <c r="BH400" s="1048"/>
      <c r="BI400" s="2285" t="str">
        <f t="shared" si="427"/>
        <v>Qty</v>
      </c>
      <c r="BJ400" s="2286" t="str">
        <f t="shared" si="427"/>
        <v>[Service]</v>
      </c>
      <c r="BK400" s="2287" t="str">
        <f t="shared" si="427"/>
        <v>[Price]</v>
      </c>
      <c r="BL400" s="2288" t="str">
        <f t="shared" ref="BL400:BZ400" si="514">IF(OR(X400="",X400=0),"-",IFERROR((X400/W400-1)*(W401/W$13),"-"))</f>
        <v>-</v>
      </c>
      <c r="BM400" s="1720" t="str">
        <f t="shared" si="514"/>
        <v>-</v>
      </c>
      <c r="BN400" s="1720" t="str">
        <f t="shared" si="514"/>
        <v>-</v>
      </c>
      <c r="BO400" s="2289" t="str">
        <f t="shared" si="514"/>
        <v>-</v>
      </c>
      <c r="BP400" s="1720" t="str">
        <f t="shared" si="514"/>
        <v>-</v>
      </c>
      <c r="BQ400" s="2290" t="str">
        <f t="shared" si="514"/>
        <v>-</v>
      </c>
      <c r="BR400" s="1720" t="str">
        <f t="shared" si="514"/>
        <v>-</v>
      </c>
      <c r="BS400" s="1720" t="str">
        <f t="shared" si="514"/>
        <v>-</v>
      </c>
      <c r="BT400" s="1720" t="str">
        <f t="shared" si="514"/>
        <v>-</v>
      </c>
      <c r="BU400" s="1721" t="str">
        <f t="shared" si="514"/>
        <v>-</v>
      </c>
      <c r="BV400" s="1720" t="str">
        <f t="shared" si="514"/>
        <v>-</v>
      </c>
      <c r="BW400" s="1720" t="str">
        <f t="shared" si="514"/>
        <v>-</v>
      </c>
      <c r="BX400" s="1720" t="str">
        <f t="shared" si="514"/>
        <v>-</v>
      </c>
      <c r="BY400" s="1720" t="str">
        <f t="shared" si="514"/>
        <v>-</v>
      </c>
      <c r="BZ400" s="1721" t="str">
        <f t="shared" si="514"/>
        <v>-</v>
      </c>
    </row>
    <row r="401" spans="3:78" ht="12.5" thickBot="1" x14ac:dyDescent="0.35">
      <c r="C401" s="126"/>
      <c r="D401" s="126"/>
      <c r="E401" s="559" t="s">
        <v>47</v>
      </c>
      <c r="F401" s="1723" t="str">
        <f>+F399</f>
        <v>[Service]</v>
      </c>
      <c r="G401" s="1726">
        <f>+G399</f>
        <v>0</v>
      </c>
      <c r="H401" s="1726">
        <f>+H399</f>
        <v>0</v>
      </c>
      <c r="I401" s="1727" t="str">
        <f>+I399</f>
        <v>[Price]</v>
      </c>
      <c r="J401" s="556" t="s">
        <v>347</v>
      </c>
      <c r="K401" s="1977"/>
      <c r="L401" s="1206"/>
      <c r="M401" s="1206"/>
      <c r="N401" s="1978"/>
      <c r="O401" s="1206"/>
      <c r="P401" s="1206"/>
      <c r="Q401" s="1206"/>
      <c r="R401" s="1206"/>
      <c r="S401" s="1978"/>
      <c r="T401" s="1206"/>
      <c r="U401" s="1206"/>
      <c r="V401" s="1206"/>
      <c r="W401" s="1731">
        <f t="shared" ref="W401:AG401" si="515">W399*W400/10^6</f>
        <v>0</v>
      </c>
      <c r="X401" s="1730">
        <f t="shared" si="515"/>
        <v>0</v>
      </c>
      <c r="Y401" s="1731">
        <f t="shared" si="515"/>
        <v>0</v>
      </c>
      <c r="Z401" s="1731">
        <f t="shared" si="515"/>
        <v>0</v>
      </c>
      <c r="AA401" s="1731">
        <f t="shared" si="515"/>
        <v>0</v>
      </c>
      <c r="AB401" s="1733">
        <f t="shared" si="515"/>
        <v>0</v>
      </c>
      <c r="AC401" s="1731">
        <f t="shared" si="515"/>
        <v>0</v>
      </c>
      <c r="AD401" s="1731">
        <f t="shared" si="515"/>
        <v>0</v>
      </c>
      <c r="AE401" s="1731">
        <f t="shared" si="515"/>
        <v>0</v>
      </c>
      <c r="AF401" s="1731">
        <f t="shared" si="515"/>
        <v>0</v>
      </c>
      <c r="AG401" s="1733">
        <f t="shared" si="515"/>
        <v>0</v>
      </c>
      <c r="AH401" s="1732">
        <f>AH399*AH400/10^6</f>
        <v>0</v>
      </c>
      <c r="AI401" s="1731">
        <f>AI399*AI400/10^6</f>
        <v>0</v>
      </c>
      <c r="AJ401" s="1731">
        <f>AJ399*AJ400/10^6</f>
        <v>0</v>
      </c>
      <c r="AK401" s="1731">
        <f>AK399*AK400/10^6</f>
        <v>0</v>
      </c>
      <c r="AL401" s="1733">
        <f>AL399*AL400/10^6</f>
        <v>0</v>
      </c>
      <c r="AN401" s="991"/>
      <c r="AP401" s="2304" t="str">
        <f t="shared" si="497"/>
        <v>Rev</v>
      </c>
      <c r="AQ401" s="2305" t="str">
        <f t="shared" si="497"/>
        <v>[Service]</v>
      </c>
      <c r="AR401" s="2306" t="str">
        <f t="shared" si="498"/>
        <v>[Price]</v>
      </c>
      <c r="AS401" s="2307" t="str">
        <f t="shared" si="503"/>
        <v>-</v>
      </c>
      <c r="AT401" s="1055" t="str">
        <f t="shared" si="503"/>
        <v>-</v>
      </c>
      <c r="AU401" s="1055" t="str">
        <f t="shared" si="503"/>
        <v>-</v>
      </c>
      <c r="AV401" s="2308" t="str">
        <f t="shared" si="503"/>
        <v>-</v>
      </c>
      <c r="AW401" s="1055" t="str">
        <f t="shared" si="503"/>
        <v>-</v>
      </c>
      <c r="AX401" s="2309" t="str">
        <f t="shared" si="503"/>
        <v>-</v>
      </c>
      <c r="AY401" s="1055" t="str">
        <f t="shared" si="503"/>
        <v>-</v>
      </c>
      <c r="AZ401" s="1055" t="str">
        <f t="shared" si="503"/>
        <v>-</v>
      </c>
      <c r="BA401" s="1055" t="str">
        <f t="shared" si="503"/>
        <v>-</v>
      </c>
      <c r="BB401" s="1056" t="str">
        <f t="shared" si="503"/>
        <v>-</v>
      </c>
      <c r="BC401" s="1055" t="str">
        <f t="shared" si="503"/>
        <v>-</v>
      </c>
      <c r="BD401" s="1055" t="str">
        <f t="shared" si="503"/>
        <v>-</v>
      </c>
      <c r="BE401" s="1055" t="str">
        <f t="shared" si="503"/>
        <v>-</v>
      </c>
      <c r="BF401" s="1055" t="str">
        <f t="shared" si="503"/>
        <v>-</v>
      </c>
      <c r="BG401" s="1056" t="str">
        <f t="shared" si="503"/>
        <v>-</v>
      </c>
      <c r="BH401" s="1048"/>
      <c r="BI401" s="2304" t="str">
        <f t="shared" si="427"/>
        <v>Rev</v>
      </c>
      <c r="BJ401" s="2305" t="str">
        <f t="shared" si="427"/>
        <v>[Service]</v>
      </c>
      <c r="BK401" s="2306" t="str">
        <f t="shared" si="427"/>
        <v>[Price]</v>
      </c>
      <c r="BL401" s="2307" t="str">
        <f t="shared" ref="BL401:BZ401" si="516">IF(OR(X401="",X401=0),"-",IFERROR((X401/W401-1)*(W401/W$13),"-"))</f>
        <v>-</v>
      </c>
      <c r="BM401" s="1055" t="str">
        <f t="shared" si="516"/>
        <v>-</v>
      </c>
      <c r="BN401" s="1055" t="str">
        <f t="shared" si="516"/>
        <v>-</v>
      </c>
      <c r="BO401" s="2308" t="str">
        <f t="shared" si="516"/>
        <v>-</v>
      </c>
      <c r="BP401" s="1055" t="str">
        <f t="shared" si="516"/>
        <v>-</v>
      </c>
      <c r="BQ401" s="2309" t="str">
        <f t="shared" si="516"/>
        <v>-</v>
      </c>
      <c r="BR401" s="1055" t="str">
        <f t="shared" si="516"/>
        <v>-</v>
      </c>
      <c r="BS401" s="1055" t="str">
        <f t="shared" si="516"/>
        <v>-</v>
      </c>
      <c r="BT401" s="1055" t="str">
        <f t="shared" si="516"/>
        <v>-</v>
      </c>
      <c r="BU401" s="1056" t="str">
        <f t="shared" si="516"/>
        <v>-</v>
      </c>
      <c r="BV401" s="1055" t="str">
        <f t="shared" si="516"/>
        <v>-</v>
      </c>
      <c r="BW401" s="1055" t="str">
        <f t="shared" si="516"/>
        <v>-</v>
      </c>
      <c r="BX401" s="1055" t="str">
        <f t="shared" si="516"/>
        <v>-</v>
      </c>
      <c r="BY401" s="1055" t="str">
        <f t="shared" si="516"/>
        <v>-</v>
      </c>
      <c r="BZ401" s="1056" t="str">
        <f t="shared" si="516"/>
        <v>-</v>
      </c>
    </row>
    <row r="402" spans="3:78" x14ac:dyDescent="0.3">
      <c r="C402" s="126"/>
      <c r="D402" s="126">
        <f>D399+1</f>
        <v>112</v>
      </c>
      <c r="E402" s="553" t="s">
        <v>45</v>
      </c>
      <c r="F402" s="581" t="s">
        <v>28</v>
      </c>
      <c r="G402" s="581"/>
      <c r="H402" s="581"/>
      <c r="I402" s="573" t="s">
        <v>319</v>
      </c>
      <c r="J402" s="573" t="s">
        <v>348</v>
      </c>
      <c r="K402" s="1969"/>
      <c r="L402" s="1970"/>
      <c r="M402" s="1970"/>
      <c r="N402" s="1971"/>
      <c r="O402" s="1970"/>
      <c r="P402" s="1970"/>
      <c r="Q402" s="1970"/>
      <c r="R402" s="1972"/>
      <c r="S402" s="1979"/>
      <c r="T402" s="1972"/>
      <c r="U402" s="1972"/>
      <c r="V402" s="1972"/>
      <c r="W402" s="575"/>
      <c r="X402" s="1238"/>
      <c r="Y402" s="575"/>
      <c r="Z402" s="575"/>
      <c r="AA402" s="575"/>
      <c r="AB402" s="1142"/>
      <c r="AC402" s="575"/>
      <c r="AD402" s="575"/>
      <c r="AE402" s="575"/>
      <c r="AF402" s="575"/>
      <c r="AG402" s="577"/>
      <c r="AH402" s="576"/>
      <c r="AI402" s="575"/>
      <c r="AJ402" s="575"/>
      <c r="AK402" s="575"/>
      <c r="AL402" s="577"/>
      <c r="AN402" s="1052"/>
      <c r="AP402" s="2297" t="str">
        <f t="shared" si="497"/>
        <v>Price</v>
      </c>
      <c r="AQ402" s="2298" t="str">
        <f t="shared" si="497"/>
        <v>[Service]</v>
      </c>
      <c r="AR402" s="1719" t="str">
        <f t="shared" si="498"/>
        <v>[Price]</v>
      </c>
      <c r="AS402" s="2299" t="str">
        <f t="shared" si="503"/>
        <v>-</v>
      </c>
      <c r="AT402" s="1728" t="str">
        <f t="shared" si="503"/>
        <v>-</v>
      </c>
      <c r="AU402" s="1728" t="str">
        <f t="shared" si="503"/>
        <v>-</v>
      </c>
      <c r="AV402" s="2300" t="str">
        <f t="shared" si="503"/>
        <v>-</v>
      </c>
      <c r="AW402" s="1728" t="str">
        <f t="shared" si="503"/>
        <v>-</v>
      </c>
      <c r="AX402" s="2301" t="str">
        <f t="shared" si="503"/>
        <v>-</v>
      </c>
      <c r="AY402" s="1728" t="str">
        <f t="shared" si="503"/>
        <v>-</v>
      </c>
      <c r="AZ402" s="1728" t="str">
        <f t="shared" si="503"/>
        <v>-</v>
      </c>
      <c r="BA402" s="1728" t="str">
        <f t="shared" si="503"/>
        <v>-</v>
      </c>
      <c r="BB402" s="1729" t="str">
        <f t="shared" si="503"/>
        <v>-</v>
      </c>
      <c r="BC402" s="1728" t="str">
        <f t="shared" si="503"/>
        <v>-</v>
      </c>
      <c r="BD402" s="1728" t="str">
        <f t="shared" si="503"/>
        <v>-</v>
      </c>
      <c r="BE402" s="1728" t="str">
        <f t="shared" si="503"/>
        <v>-</v>
      </c>
      <c r="BF402" s="1728" t="str">
        <f t="shared" si="503"/>
        <v>-</v>
      </c>
      <c r="BG402" s="1729" t="str">
        <f t="shared" si="503"/>
        <v>-</v>
      </c>
      <c r="BH402" s="1048"/>
      <c r="BI402" s="2297" t="str">
        <f t="shared" si="427"/>
        <v>Price</v>
      </c>
      <c r="BJ402" s="2298" t="str">
        <f t="shared" si="427"/>
        <v>[Service]</v>
      </c>
      <c r="BK402" s="1719" t="str">
        <f t="shared" si="427"/>
        <v>[Price]</v>
      </c>
      <c r="BL402" s="2299" t="str">
        <f t="shared" ref="BL402:BZ402" si="517">IF(OR(X402="",X402=0),"-",IFERROR((X402/W402-1)*(W404/W$13),"-"))</f>
        <v>-</v>
      </c>
      <c r="BM402" s="1053" t="str">
        <f t="shared" si="517"/>
        <v>-</v>
      </c>
      <c r="BN402" s="1053" t="str">
        <f t="shared" si="517"/>
        <v>-</v>
      </c>
      <c r="BO402" s="2302" t="str">
        <f t="shared" si="517"/>
        <v>-</v>
      </c>
      <c r="BP402" s="1053" t="str">
        <f t="shared" si="517"/>
        <v>-</v>
      </c>
      <c r="BQ402" s="2303" t="str">
        <f t="shared" si="517"/>
        <v>-</v>
      </c>
      <c r="BR402" s="1053" t="str">
        <f t="shared" si="517"/>
        <v>-</v>
      </c>
      <c r="BS402" s="1053" t="str">
        <f t="shared" si="517"/>
        <v>-</v>
      </c>
      <c r="BT402" s="1053" t="str">
        <f t="shared" si="517"/>
        <v>-</v>
      </c>
      <c r="BU402" s="1054" t="str">
        <f t="shared" si="517"/>
        <v>-</v>
      </c>
      <c r="BV402" s="1053" t="str">
        <f t="shared" si="517"/>
        <v>-</v>
      </c>
      <c r="BW402" s="1053" t="str">
        <f t="shared" si="517"/>
        <v>-</v>
      </c>
      <c r="BX402" s="1053" t="str">
        <f t="shared" si="517"/>
        <v>-</v>
      </c>
      <c r="BY402" s="1053" t="str">
        <f t="shared" si="517"/>
        <v>-</v>
      </c>
      <c r="BZ402" s="1054" t="str">
        <f t="shared" si="517"/>
        <v>-</v>
      </c>
    </row>
    <row r="403" spans="3:78" x14ac:dyDescent="0.3">
      <c r="C403" s="126"/>
      <c r="D403" s="126"/>
      <c r="E403" s="558" t="s">
        <v>46</v>
      </c>
      <c r="F403" s="1722" t="str">
        <f>+F402</f>
        <v>[Service]</v>
      </c>
      <c r="G403" s="1724">
        <f>+G402</f>
        <v>0</v>
      </c>
      <c r="H403" s="1724">
        <f>+H402</f>
        <v>0</v>
      </c>
      <c r="I403" s="1725" t="str">
        <f>+I402</f>
        <v>[Price]</v>
      </c>
      <c r="J403" s="574" t="s">
        <v>323</v>
      </c>
      <c r="K403" s="1973"/>
      <c r="L403" s="1974"/>
      <c r="M403" s="1974"/>
      <c r="N403" s="1975"/>
      <c r="O403" s="1974"/>
      <c r="P403" s="1974"/>
      <c r="Q403" s="1974"/>
      <c r="R403" s="1976"/>
      <c r="S403" s="1980"/>
      <c r="T403" s="1976"/>
      <c r="U403" s="1976"/>
      <c r="V403" s="1976"/>
      <c r="W403" s="578"/>
      <c r="X403" s="1239"/>
      <c r="Y403" s="578"/>
      <c r="Z403" s="578"/>
      <c r="AA403" s="578"/>
      <c r="AB403" s="1143"/>
      <c r="AC403" s="578"/>
      <c r="AD403" s="578"/>
      <c r="AE403" s="578"/>
      <c r="AF403" s="578"/>
      <c r="AG403" s="580"/>
      <c r="AH403" s="579"/>
      <c r="AI403" s="578"/>
      <c r="AJ403" s="578"/>
      <c r="AK403" s="578"/>
      <c r="AL403" s="580"/>
      <c r="AN403" s="991"/>
      <c r="AP403" s="2285" t="str">
        <f t="shared" si="497"/>
        <v>Qty</v>
      </c>
      <c r="AQ403" s="2286" t="str">
        <f t="shared" si="497"/>
        <v>[Service]</v>
      </c>
      <c r="AR403" s="2287" t="str">
        <f t="shared" si="498"/>
        <v>[Price]</v>
      </c>
      <c r="AS403" s="2288" t="str">
        <f t="shared" si="503"/>
        <v>-</v>
      </c>
      <c r="AT403" s="1720" t="str">
        <f t="shared" si="503"/>
        <v>-</v>
      </c>
      <c r="AU403" s="1720" t="str">
        <f t="shared" si="503"/>
        <v>-</v>
      </c>
      <c r="AV403" s="2289" t="str">
        <f t="shared" si="503"/>
        <v>-</v>
      </c>
      <c r="AW403" s="1720" t="str">
        <f t="shared" si="503"/>
        <v>-</v>
      </c>
      <c r="AX403" s="2290" t="str">
        <f t="shared" si="503"/>
        <v>-</v>
      </c>
      <c r="AY403" s="1720" t="str">
        <f t="shared" si="503"/>
        <v>-</v>
      </c>
      <c r="AZ403" s="1720" t="str">
        <f t="shared" si="503"/>
        <v>-</v>
      </c>
      <c r="BA403" s="1720" t="str">
        <f t="shared" si="503"/>
        <v>-</v>
      </c>
      <c r="BB403" s="1721" t="str">
        <f t="shared" si="503"/>
        <v>-</v>
      </c>
      <c r="BC403" s="1720" t="str">
        <f t="shared" si="503"/>
        <v>-</v>
      </c>
      <c r="BD403" s="1720" t="str">
        <f t="shared" si="503"/>
        <v>-</v>
      </c>
      <c r="BE403" s="1720" t="str">
        <f t="shared" si="503"/>
        <v>-</v>
      </c>
      <c r="BF403" s="1720" t="str">
        <f t="shared" si="503"/>
        <v>-</v>
      </c>
      <c r="BG403" s="1721" t="str">
        <f t="shared" si="503"/>
        <v>-</v>
      </c>
      <c r="BH403" s="1048"/>
      <c r="BI403" s="2285" t="str">
        <f t="shared" si="427"/>
        <v>Qty</v>
      </c>
      <c r="BJ403" s="2286" t="str">
        <f t="shared" si="427"/>
        <v>[Service]</v>
      </c>
      <c r="BK403" s="2287" t="str">
        <f t="shared" si="427"/>
        <v>[Price]</v>
      </c>
      <c r="BL403" s="2288" t="str">
        <f t="shared" ref="BL403:BZ403" si="518">IF(OR(X403="",X403=0),"-",IFERROR((X403/W403-1)*(W404/W$13),"-"))</f>
        <v>-</v>
      </c>
      <c r="BM403" s="1720" t="str">
        <f t="shared" si="518"/>
        <v>-</v>
      </c>
      <c r="BN403" s="1720" t="str">
        <f t="shared" si="518"/>
        <v>-</v>
      </c>
      <c r="BO403" s="2289" t="str">
        <f t="shared" si="518"/>
        <v>-</v>
      </c>
      <c r="BP403" s="1720" t="str">
        <f t="shared" si="518"/>
        <v>-</v>
      </c>
      <c r="BQ403" s="2290" t="str">
        <f t="shared" si="518"/>
        <v>-</v>
      </c>
      <c r="BR403" s="1720" t="str">
        <f t="shared" si="518"/>
        <v>-</v>
      </c>
      <c r="BS403" s="1720" t="str">
        <f t="shared" si="518"/>
        <v>-</v>
      </c>
      <c r="BT403" s="1720" t="str">
        <f t="shared" si="518"/>
        <v>-</v>
      </c>
      <c r="BU403" s="1721" t="str">
        <f t="shared" si="518"/>
        <v>-</v>
      </c>
      <c r="BV403" s="1720" t="str">
        <f t="shared" si="518"/>
        <v>-</v>
      </c>
      <c r="BW403" s="1720" t="str">
        <f t="shared" si="518"/>
        <v>-</v>
      </c>
      <c r="BX403" s="1720" t="str">
        <f t="shared" si="518"/>
        <v>-</v>
      </c>
      <c r="BY403" s="1720" t="str">
        <f t="shared" si="518"/>
        <v>-</v>
      </c>
      <c r="BZ403" s="1721" t="str">
        <f t="shared" si="518"/>
        <v>-</v>
      </c>
    </row>
    <row r="404" spans="3:78" ht="12.5" thickBot="1" x14ac:dyDescent="0.35">
      <c r="C404" s="126"/>
      <c r="D404" s="126"/>
      <c r="E404" s="559" t="s">
        <v>47</v>
      </c>
      <c r="F404" s="1723" t="str">
        <f>+F402</f>
        <v>[Service]</v>
      </c>
      <c r="G404" s="1726">
        <f>+G402</f>
        <v>0</v>
      </c>
      <c r="H404" s="1726">
        <f>+H402</f>
        <v>0</v>
      </c>
      <c r="I404" s="1727" t="str">
        <f>+I402</f>
        <v>[Price]</v>
      </c>
      <c r="J404" s="556" t="s">
        <v>347</v>
      </c>
      <c r="K404" s="1977"/>
      <c r="L404" s="1206"/>
      <c r="M404" s="1206"/>
      <c r="N404" s="1978"/>
      <c r="O404" s="1206"/>
      <c r="P404" s="1206"/>
      <c r="Q404" s="1206"/>
      <c r="R404" s="1206"/>
      <c r="S404" s="1978"/>
      <c r="T404" s="1206"/>
      <c r="U404" s="1206"/>
      <c r="V404" s="1206"/>
      <c r="W404" s="1731">
        <f t="shared" ref="W404:AG404" si="519">W402*W403/10^6</f>
        <v>0</v>
      </c>
      <c r="X404" s="1730">
        <f t="shared" si="519"/>
        <v>0</v>
      </c>
      <c r="Y404" s="1731">
        <f t="shared" si="519"/>
        <v>0</v>
      </c>
      <c r="Z404" s="1731">
        <f t="shared" si="519"/>
        <v>0</v>
      </c>
      <c r="AA404" s="1731">
        <f t="shared" si="519"/>
        <v>0</v>
      </c>
      <c r="AB404" s="1733">
        <f t="shared" si="519"/>
        <v>0</v>
      </c>
      <c r="AC404" s="1731">
        <f t="shared" si="519"/>
        <v>0</v>
      </c>
      <c r="AD404" s="1731">
        <f t="shared" si="519"/>
        <v>0</v>
      </c>
      <c r="AE404" s="1731">
        <f t="shared" si="519"/>
        <v>0</v>
      </c>
      <c r="AF404" s="1731">
        <f t="shared" si="519"/>
        <v>0</v>
      </c>
      <c r="AG404" s="1733">
        <f t="shared" si="519"/>
        <v>0</v>
      </c>
      <c r="AH404" s="1732">
        <f>AH402*AH403/10^6</f>
        <v>0</v>
      </c>
      <c r="AI404" s="1731">
        <f>AI402*AI403/10^6</f>
        <v>0</v>
      </c>
      <c r="AJ404" s="1731">
        <f>AJ402*AJ403/10^6</f>
        <v>0</v>
      </c>
      <c r="AK404" s="1731">
        <f>AK402*AK403/10^6</f>
        <v>0</v>
      </c>
      <c r="AL404" s="1733">
        <f>AL402*AL403/10^6</f>
        <v>0</v>
      </c>
      <c r="AN404" s="991"/>
      <c r="AP404" s="2304" t="str">
        <f t="shared" si="497"/>
        <v>Rev</v>
      </c>
      <c r="AQ404" s="2305" t="str">
        <f t="shared" si="497"/>
        <v>[Service]</v>
      </c>
      <c r="AR404" s="2306" t="str">
        <f t="shared" si="498"/>
        <v>[Price]</v>
      </c>
      <c r="AS404" s="2307" t="str">
        <f t="shared" si="503"/>
        <v>-</v>
      </c>
      <c r="AT404" s="1055" t="str">
        <f t="shared" si="503"/>
        <v>-</v>
      </c>
      <c r="AU404" s="1055" t="str">
        <f t="shared" si="503"/>
        <v>-</v>
      </c>
      <c r="AV404" s="2308" t="str">
        <f t="shared" si="503"/>
        <v>-</v>
      </c>
      <c r="AW404" s="1055" t="str">
        <f t="shared" si="503"/>
        <v>-</v>
      </c>
      <c r="AX404" s="2309" t="str">
        <f t="shared" si="503"/>
        <v>-</v>
      </c>
      <c r="AY404" s="1055" t="str">
        <f t="shared" si="503"/>
        <v>-</v>
      </c>
      <c r="AZ404" s="1055" t="str">
        <f t="shared" si="503"/>
        <v>-</v>
      </c>
      <c r="BA404" s="1055" t="str">
        <f t="shared" si="503"/>
        <v>-</v>
      </c>
      <c r="BB404" s="1056" t="str">
        <f t="shared" si="503"/>
        <v>-</v>
      </c>
      <c r="BC404" s="1055" t="str">
        <f t="shared" si="503"/>
        <v>-</v>
      </c>
      <c r="BD404" s="1055" t="str">
        <f t="shared" si="503"/>
        <v>-</v>
      </c>
      <c r="BE404" s="1055" t="str">
        <f t="shared" si="503"/>
        <v>-</v>
      </c>
      <c r="BF404" s="1055" t="str">
        <f t="shared" si="503"/>
        <v>-</v>
      </c>
      <c r="BG404" s="1056" t="str">
        <f t="shared" si="503"/>
        <v>-</v>
      </c>
      <c r="BH404" s="1048"/>
      <c r="BI404" s="2304" t="str">
        <f t="shared" ref="BI404:BK443" si="520">AP404</f>
        <v>Rev</v>
      </c>
      <c r="BJ404" s="2305" t="str">
        <f t="shared" si="520"/>
        <v>[Service]</v>
      </c>
      <c r="BK404" s="2306" t="str">
        <f t="shared" si="520"/>
        <v>[Price]</v>
      </c>
      <c r="BL404" s="2307" t="str">
        <f t="shared" ref="BL404:BZ404" si="521">IF(OR(X404="",X404=0),"-",IFERROR((X404/W404-1)*(W404/W$13),"-"))</f>
        <v>-</v>
      </c>
      <c r="BM404" s="1055" t="str">
        <f t="shared" si="521"/>
        <v>-</v>
      </c>
      <c r="BN404" s="1055" t="str">
        <f t="shared" si="521"/>
        <v>-</v>
      </c>
      <c r="BO404" s="2308" t="str">
        <f t="shared" si="521"/>
        <v>-</v>
      </c>
      <c r="BP404" s="1055" t="str">
        <f t="shared" si="521"/>
        <v>-</v>
      </c>
      <c r="BQ404" s="2309" t="str">
        <f t="shared" si="521"/>
        <v>-</v>
      </c>
      <c r="BR404" s="1055" t="str">
        <f t="shared" si="521"/>
        <v>-</v>
      </c>
      <c r="BS404" s="1055" t="str">
        <f t="shared" si="521"/>
        <v>-</v>
      </c>
      <c r="BT404" s="1055" t="str">
        <f t="shared" si="521"/>
        <v>-</v>
      </c>
      <c r="BU404" s="1056" t="str">
        <f t="shared" si="521"/>
        <v>-</v>
      </c>
      <c r="BV404" s="1055" t="str">
        <f t="shared" si="521"/>
        <v>-</v>
      </c>
      <c r="BW404" s="1055" t="str">
        <f t="shared" si="521"/>
        <v>-</v>
      </c>
      <c r="BX404" s="1055" t="str">
        <f t="shared" si="521"/>
        <v>-</v>
      </c>
      <c r="BY404" s="1055" t="str">
        <f t="shared" si="521"/>
        <v>-</v>
      </c>
      <c r="BZ404" s="1056" t="str">
        <f t="shared" si="521"/>
        <v>-</v>
      </c>
    </row>
    <row r="405" spans="3:78" x14ac:dyDescent="0.3">
      <c r="C405" s="126"/>
      <c r="D405" s="126">
        <f>D402+1</f>
        <v>113</v>
      </c>
      <c r="E405" s="553" t="s">
        <v>45</v>
      </c>
      <c r="F405" s="581" t="s">
        <v>28</v>
      </c>
      <c r="G405" s="581"/>
      <c r="H405" s="581"/>
      <c r="I405" s="573" t="s">
        <v>319</v>
      </c>
      <c r="J405" s="573" t="s">
        <v>348</v>
      </c>
      <c r="K405" s="1969"/>
      <c r="L405" s="1970"/>
      <c r="M405" s="1970"/>
      <c r="N405" s="1971"/>
      <c r="O405" s="1970"/>
      <c r="P405" s="1970"/>
      <c r="Q405" s="1970"/>
      <c r="R405" s="1972"/>
      <c r="S405" s="1979"/>
      <c r="T405" s="1972"/>
      <c r="U405" s="1972"/>
      <c r="V405" s="1972"/>
      <c r="W405" s="575"/>
      <c r="X405" s="1238"/>
      <c r="Y405" s="575"/>
      <c r="Z405" s="575"/>
      <c r="AA405" s="575"/>
      <c r="AB405" s="1142"/>
      <c r="AC405" s="575"/>
      <c r="AD405" s="575"/>
      <c r="AE405" s="575"/>
      <c r="AF405" s="575"/>
      <c r="AG405" s="577"/>
      <c r="AH405" s="576"/>
      <c r="AI405" s="575"/>
      <c r="AJ405" s="575"/>
      <c r="AK405" s="575"/>
      <c r="AL405" s="577"/>
      <c r="AN405" s="1052"/>
      <c r="AP405" s="2297" t="str">
        <f t="shared" si="497"/>
        <v>Price</v>
      </c>
      <c r="AQ405" s="2298" t="str">
        <f t="shared" si="497"/>
        <v>[Service]</v>
      </c>
      <c r="AR405" s="1719" t="str">
        <f t="shared" si="498"/>
        <v>[Price]</v>
      </c>
      <c r="AS405" s="2299" t="str">
        <f t="shared" si="503"/>
        <v>-</v>
      </c>
      <c r="AT405" s="1728" t="str">
        <f t="shared" si="503"/>
        <v>-</v>
      </c>
      <c r="AU405" s="1728" t="str">
        <f t="shared" si="503"/>
        <v>-</v>
      </c>
      <c r="AV405" s="2300" t="str">
        <f t="shared" si="503"/>
        <v>-</v>
      </c>
      <c r="AW405" s="1728" t="str">
        <f t="shared" si="503"/>
        <v>-</v>
      </c>
      <c r="AX405" s="2301" t="str">
        <f t="shared" si="503"/>
        <v>-</v>
      </c>
      <c r="AY405" s="1728" t="str">
        <f t="shared" si="503"/>
        <v>-</v>
      </c>
      <c r="AZ405" s="1728" t="str">
        <f t="shared" si="503"/>
        <v>-</v>
      </c>
      <c r="BA405" s="1728" t="str">
        <f t="shared" si="503"/>
        <v>-</v>
      </c>
      <c r="BB405" s="1729" t="str">
        <f t="shared" si="503"/>
        <v>-</v>
      </c>
      <c r="BC405" s="1728" t="str">
        <f t="shared" si="503"/>
        <v>-</v>
      </c>
      <c r="BD405" s="1728" t="str">
        <f t="shared" si="503"/>
        <v>-</v>
      </c>
      <c r="BE405" s="1728" t="str">
        <f t="shared" si="503"/>
        <v>-</v>
      </c>
      <c r="BF405" s="1728" t="str">
        <f t="shared" si="503"/>
        <v>-</v>
      </c>
      <c r="BG405" s="1729" t="str">
        <f t="shared" si="503"/>
        <v>-</v>
      </c>
      <c r="BH405" s="1048"/>
      <c r="BI405" s="2297" t="str">
        <f t="shared" si="520"/>
        <v>Price</v>
      </c>
      <c r="BJ405" s="2298" t="str">
        <f t="shared" si="520"/>
        <v>[Service]</v>
      </c>
      <c r="BK405" s="1719" t="str">
        <f t="shared" si="520"/>
        <v>[Price]</v>
      </c>
      <c r="BL405" s="2299" t="str">
        <f t="shared" ref="BL405:BZ405" si="522">IF(OR(X405="",X405=0),"-",IFERROR((X405/W405-1)*(W407/W$13),"-"))</f>
        <v>-</v>
      </c>
      <c r="BM405" s="1053" t="str">
        <f t="shared" si="522"/>
        <v>-</v>
      </c>
      <c r="BN405" s="1053" t="str">
        <f t="shared" si="522"/>
        <v>-</v>
      </c>
      <c r="BO405" s="2302" t="str">
        <f t="shared" si="522"/>
        <v>-</v>
      </c>
      <c r="BP405" s="1053" t="str">
        <f t="shared" si="522"/>
        <v>-</v>
      </c>
      <c r="BQ405" s="2303" t="str">
        <f t="shared" si="522"/>
        <v>-</v>
      </c>
      <c r="BR405" s="1053" t="str">
        <f t="shared" si="522"/>
        <v>-</v>
      </c>
      <c r="BS405" s="1053" t="str">
        <f t="shared" si="522"/>
        <v>-</v>
      </c>
      <c r="BT405" s="1053" t="str">
        <f t="shared" si="522"/>
        <v>-</v>
      </c>
      <c r="BU405" s="1054" t="str">
        <f t="shared" si="522"/>
        <v>-</v>
      </c>
      <c r="BV405" s="1053" t="str">
        <f t="shared" si="522"/>
        <v>-</v>
      </c>
      <c r="BW405" s="1053" t="str">
        <f t="shared" si="522"/>
        <v>-</v>
      </c>
      <c r="BX405" s="1053" t="str">
        <f t="shared" si="522"/>
        <v>-</v>
      </c>
      <c r="BY405" s="1053" t="str">
        <f t="shared" si="522"/>
        <v>-</v>
      </c>
      <c r="BZ405" s="1054" t="str">
        <f t="shared" si="522"/>
        <v>-</v>
      </c>
    </row>
    <row r="406" spans="3:78" x14ac:dyDescent="0.3">
      <c r="C406" s="126"/>
      <c r="D406" s="126"/>
      <c r="E406" s="558" t="s">
        <v>46</v>
      </c>
      <c r="F406" s="1722" t="str">
        <f>+F405</f>
        <v>[Service]</v>
      </c>
      <c r="G406" s="1724">
        <f>+G405</f>
        <v>0</v>
      </c>
      <c r="H406" s="1724">
        <f>+H405</f>
        <v>0</v>
      </c>
      <c r="I406" s="1725" t="str">
        <f>+I405</f>
        <v>[Price]</v>
      </c>
      <c r="J406" s="574" t="s">
        <v>323</v>
      </c>
      <c r="K406" s="1973"/>
      <c r="L406" s="1974"/>
      <c r="M406" s="1974"/>
      <c r="N406" s="1975"/>
      <c r="O406" s="1974"/>
      <c r="P406" s="1974"/>
      <c r="Q406" s="1974"/>
      <c r="R406" s="1976"/>
      <c r="S406" s="1980"/>
      <c r="T406" s="1976"/>
      <c r="U406" s="1976"/>
      <c r="V406" s="1976"/>
      <c r="W406" s="578"/>
      <c r="X406" s="1239"/>
      <c r="Y406" s="578"/>
      <c r="Z406" s="578"/>
      <c r="AA406" s="578"/>
      <c r="AB406" s="1143"/>
      <c r="AC406" s="578"/>
      <c r="AD406" s="578"/>
      <c r="AE406" s="578"/>
      <c r="AF406" s="578"/>
      <c r="AG406" s="580"/>
      <c r="AH406" s="579"/>
      <c r="AI406" s="578"/>
      <c r="AJ406" s="578"/>
      <c r="AK406" s="578"/>
      <c r="AL406" s="580"/>
      <c r="AN406" s="991"/>
      <c r="AP406" s="2285" t="str">
        <f t="shared" si="497"/>
        <v>Qty</v>
      </c>
      <c r="AQ406" s="2286" t="str">
        <f t="shared" si="497"/>
        <v>[Service]</v>
      </c>
      <c r="AR406" s="2287" t="str">
        <f t="shared" si="498"/>
        <v>[Price]</v>
      </c>
      <c r="AS406" s="2288" t="str">
        <f t="shared" si="503"/>
        <v>-</v>
      </c>
      <c r="AT406" s="1720" t="str">
        <f t="shared" si="503"/>
        <v>-</v>
      </c>
      <c r="AU406" s="1720" t="str">
        <f t="shared" si="503"/>
        <v>-</v>
      </c>
      <c r="AV406" s="2289" t="str">
        <f t="shared" si="503"/>
        <v>-</v>
      </c>
      <c r="AW406" s="1720" t="str">
        <f t="shared" si="503"/>
        <v>-</v>
      </c>
      <c r="AX406" s="2290" t="str">
        <f t="shared" si="503"/>
        <v>-</v>
      </c>
      <c r="AY406" s="1720" t="str">
        <f t="shared" si="503"/>
        <v>-</v>
      </c>
      <c r="AZ406" s="1720" t="str">
        <f t="shared" si="503"/>
        <v>-</v>
      </c>
      <c r="BA406" s="1720" t="str">
        <f t="shared" si="503"/>
        <v>-</v>
      </c>
      <c r="BB406" s="1721" t="str">
        <f t="shared" si="503"/>
        <v>-</v>
      </c>
      <c r="BC406" s="1720" t="str">
        <f t="shared" si="503"/>
        <v>-</v>
      </c>
      <c r="BD406" s="1720" t="str">
        <f t="shared" si="503"/>
        <v>-</v>
      </c>
      <c r="BE406" s="1720" t="str">
        <f t="shared" si="503"/>
        <v>-</v>
      </c>
      <c r="BF406" s="1720" t="str">
        <f t="shared" si="503"/>
        <v>-</v>
      </c>
      <c r="BG406" s="1721" t="str">
        <f t="shared" si="503"/>
        <v>-</v>
      </c>
      <c r="BH406" s="1048"/>
      <c r="BI406" s="2285" t="str">
        <f t="shared" si="520"/>
        <v>Qty</v>
      </c>
      <c r="BJ406" s="2286" t="str">
        <f t="shared" si="520"/>
        <v>[Service]</v>
      </c>
      <c r="BK406" s="2287" t="str">
        <f t="shared" si="520"/>
        <v>[Price]</v>
      </c>
      <c r="BL406" s="2288" t="str">
        <f t="shared" ref="BL406:BZ406" si="523">IF(OR(X406="",X406=0),"-",IFERROR((X406/W406-1)*(W407/W$13),"-"))</f>
        <v>-</v>
      </c>
      <c r="BM406" s="1720" t="str">
        <f t="shared" si="523"/>
        <v>-</v>
      </c>
      <c r="BN406" s="1720" t="str">
        <f t="shared" si="523"/>
        <v>-</v>
      </c>
      <c r="BO406" s="2289" t="str">
        <f t="shared" si="523"/>
        <v>-</v>
      </c>
      <c r="BP406" s="1720" t="str">
        <f t="shared" si="523"/>
        <v>-</v>
      </c>
      <c r="BQ406" s="2290" t="str">
        <f t="shared" si="523"/>
        <v>-</v>
      </c>
      <c r="BR406" s="1720" t="str">
        <f t="shared" si="523"/>
        <v>-</v>
      </c>
      <c r="BS406" s="1720" t="str">
        <f t="shared" si="523"/>
        <v>-</v>
      </c>
      <c r="BT406" s="1720" t="str">
        <f t="shared" si="523"/>
        <v>-</v>
      </c>
      <c r="BU406" s="1721" t="str">
        <f t="shared" si="523"/>
        <v>-</v>
      </c>
      <c r="BV406" s="1720" t="str">
        <f t="shared" si="523"/>
        <v>-</v>
      </c>
      <c r="BW406" s="1720" t="str">
        <f t="shared" si="523"/>
        <v>-</v>
      </c>
      <c r="BX406" s="1720" t="str">
        <f t="shared" si="523"/>
        <v>-</v>
      </c>
      <c r="BY406" s="1720" t="str">
        <f t="shared" si="523"/>
        <v>-</v>
      </c>
      <c r="BZ406" s="1721" t="str">
        <f t="shared" si="523"/>
        <v>-</v>
      </c>
    </row>
    <row r="407" spans="3:78" ht="12.5" thickBot="1" x14ac:dyDescent="0.35">
      <c r="C407" s="126"/>
      <c r="D407" s="126"/>
      <c r="E407" s="559" t="s">
        <v>47</v>
      </c>
      <c r="F407" s="1723" t="str">
        <f>+F405</f>
        <v>[Service]</v>
      </c>
      <c r="G407" s="1726">
        <f>+G405</f>
        <v>0</v>
      </c>
      <c r="H407" s="1726">
        <f>+H405</f>
        <v>0</v>
      </c>
      <c r="I407" s="1727" t="str">
        <f>+I405</f>
        <v>[Price]</v>
      </c>
      <c r="J407" s="556" t="s">
        <v>347</v>
      </c>
      <c r="K407" s="1977"/>
      <c r="L407" s="1206"/>
      <c r="M407" s="1206"/>
      <c r="N407" s="1978"/>
      <c r="O407" s="1206"/>
      <c r="P407" s="1206"/>
      <c r="Q407" s="1206"/>
      <c r="R407" s="1206"/>
      <c r="S407" s="1978"/>
      <c r="T407" s="1206"/>
      <c r="U407" s="1206"/>
      <c r="V407" s="1206"/>
      <c r="W407" s="1731">
        <f t="shared" ref="W407:AG407" si="524">W405*W406/10^6</f>
        <v>0</v>
      </c>
      <c r="X407" s="1730">
        <f t="shared" si="524"/>
        <v>0</v>
      </c>
      <c r="Y407" s="1731">
        <f t="shared" si="524"/>
        <v>0</v>
      </c>
      <c r="Z407" s="1731">
        <f t="shared" si="524"/>
        <v>0</v>
      </c>
      <c r="AA407" s="1731">
        <f t="shared" si="524"/>
        <v>0</v>
      </c>
      <c r="AB407" s="1733">
        <f t="shared" si="524"/>
        <v>0</v>
      </c>
      <c r="AC407" s="1731">
        <f t="shared" si="524"/>
        <v>0</v>
      </c>
      <c r="AD407" s="1731">
        <f t="shared" si="524"/>
        <v>0</v>
      </c>
      <c r="AE407" s="1731">
        <f t="shared" si="524"/>
        <v>0</v>
      </c>
      <c r="AF407" s="1731">
        <f t="shared" si="524"/>
        <v>0</v>
      </c>
      <c r="AG407" s="1733">
        <f t="shared" si="524"/>
        <v>0</v>
      </c>
      <c r="AH407" s="1732">
        <f>AH405*AH406/10^6</f>
        <v>0</v>
      </c>
      <c r="AI407" s="1731">
        <f>AI405*AI406/10^6</f>
        <v>0</v>
      </c>
      <c r="AJ407" s="1731">
        <f>AJ405*AJ406/10^6</f>
        <v>0</v>
      </c>
      <c r="AK407" s="1731">
        <f>AK405*AK406/10^6</f>
        <v>0</v>
      </c>
      <c r="AL407" s="1733">
        <f>AL405*AL406/10^6</f>
        <v>0</v>
      </c>
      <c r="AN407" s="991"/>
      <c r="AP407" s="2304" t="str">
        <f t="shared" si="497"/>
        <v>Rev</v>
      </c>
      <c r="AQ407" s="2305" t="str">
        <f t="shared" si="497"/>
        <v>[Service]</v>
      </c>
      <c r="AR407" s="2306" t="str">
        <f t="shared" si="498"/>
        <v>[Price]</v>
      </c>
      <c r="AS407" s="2307" t="str">
        <f t="shared" si="503"/>
        <v>-</v>
      </c>
      <c r="AT407" s="1055" t="str">
        <f t="shared" si="503"/>
        <v>-</v>
      </c>
      <c r="AU407" s="1055" t="str">
        <f t="shared" si="503"/>
        <v>-</v>
      </c>
      <c r="AV407" s="2308" t="str">
        <f t="shared" si="503"/>
        <v>-</v>
      </c>
      <c r="AW407" s="1055" t="str">
        <f t="shared" si="503"/>
        <v>-</v>
      </c>
      <c r="AX407" s="2309" t="str">
        <f t="shared" si="503"/>
        <v>-</v>
      </c>
      <c r="AY407" s="1055" t="str">
        <f t="shared" si="503"/>
        <v>-</v>
      </c>
      <c r="AZ407" s="1055" t="str">
        <f t="shared" si="503"/>
        <v>-</v>
      </c>
      <c r="BA407" s="1055" t="str">
        <f t="shared" si="503"/>
        <v>-</v>
      </c>
      <c r="BB407" s="1056" t="str">
        <f t="shared" si="503"/>
        <v>-</v>
      </c>
      <c r="BC407" s="1055" t="str">
        <f t="shared" si="503"/>
        <v>-</v>
      </c>
      <c r="BD407" s="1055" t="str">
        <f t="shared" si="503"/>
        <v>-</v>
      </c>
      <c r="BE407" s="1055" t="str">
        <f t="shared" si="503"/>
        <v>-</v>
      </c>
      <c r="BF407" s="1055" t="str">
        <f t="shared" si="503"/>
        <v>-</v>
      </c>
      <c r="BG407" s="1056" t="str">
        <f t="shared" si="503"/>
        <v>-</v>
      </c>
      <c r="BH407" s="1048"/>
      <c r="BI407" s="2304" t="str">
        <f t="shared" si="520"/>
        <v>Rev</v>
      </c>
      <c r="BJ407" s="2305" t="str">
        <f t="shared" si="520"/>
        <v>[Service]</v>
      </c>
      <c r="BK407" s="2306" t="str">
        <f t="shared" si="520"/>
        <v>[Price]</v>
      </c>
      <c r="BL407" s="2307" t="str">
        <f t="shared" ref="BL407:BZ407" si="525">IF(OR(X407="",X407=0),"-",IFERROR((X407/W407-1)*(W407/W$13),"-"))</f>
        <v>-</v>
      </c>
      <c r="BM407" s="1055" t="str">
        <f t="shared" si="525"/>
        <v>-</v>
      </c>
      <c r="BN407" s="1055" t="str">
        <f t="shared" si="525"/>
        <v>-</v>
      </c>
      <c r="BO407" s="2308" t="str">
        <f t="shared" si="525"/>
        <v>-</v>
      </c>
      <c r="BP407" s="1055" t="str">
        <f t="shared" si="525"/>
        <v>-</v>
      </c>
      <c r="BQ407" s="2309" t="str">
        <f t="shared" si="525"/>
        <v>-</v>
      </c>
      <c r="BR407" s="1055" t="str">
        <f t="shared" si="525"/>
        <v>-</v>
      </c>
      <c r="BS407" s="1055" t="str">
        <f t="shared" si="525"/>
        <v>-</v>
      </c>
      <c r="BT407" s="1055" t="str">
        <f t="shared" si="525"/>
        <v>-</v>
      </c>
      <c r="BU407" s="1056" t="str">
        <f t="shared" si="525"/>
        <v>-</v>
      </c>
      <c r="BV407" s="1055" t="str">
        <f t="shared" si="525"/>
        <v>-</v>
      </c>
      <c r="BW407" s="1055" t="str">
        <f t="shared" si="525"/>
        <v>-</v>
      </c>
      <c r="BX407" s="1055" t="str">
        <f t="shared" si="525"/>
        <v>-</v>
      </c>
      <c r="BY407" s="1055" t="str">
        <f t="shared" si="525"/>
        <v>-</v>
      </c>
      <c r="BZ407" s="1056" t="str">
        <f t="shared" si="525"/>
        <v>-</v>
      </c>
    </row>
    <row r="408" spans="3:78" x14ac:dyDescent="0.3">
      <c r="C408" s="126"/>
      <c r="D408" s="126">
        <f>D405+1</f>
        <v>114</v>
      </c>
      <c r="E408" s="553" t="s">
        <v>45</v>
      </c>
      <c r="F408" s="581" t="s">
        <v>28</v>
      </c>
      <c r="G408" s="581"/>
      <c r="H408" s="581"/>
      <c r="I408" s="573" t="s">
        <v>319</v>
      </c>
      <c r="J408" s="573" t="s">
        <v>348</v>
      </c>
      <c r="K408" s="1969"/>
      <c r="L408" s="1970"/>
      <c r="M408" s="1970"/>
      <c r="N408" s="1971"/>
      <c r="O408" s="1970"/>
      <c r="P408" s="1970"/>
      <c r="Q408" s="1970"/>
      <c r="R408" s="1972"/>
      <c r="S408" s="1979"/>
      <c r="T408" s="1972"/>
      <c r="U408" s="1972"/>
      <c r="V408" s="1972"/>
      <c r="W408" s="575"/>
      <c r="X408" s="1238"/>
      <c r="Y408" s="575"/>
      <c r="Z408" s="575"/>
      <c r="AA408" s="575"/>
      <c r="AB408" s="1142"/>
      <c r="AC408" s="575"/>
      <c r="AD408" s="575"/>
      <c r="AE408" s="575"/>
      <c r="AF408" s="575"/>
      <c r="AG408" s="577"/>
      <c r="AH408" s="576"/>
      <c r="AI408" s="575"/>
      <c r="AJ408" s="575"/>
      <c r="AK408" s="575"/>
      <c r="AL408" s="577"/>
      <c r="AN408" s="1052"/>
      <c r="AP408" s="2297" t="str">
        <f t="shared" si="497"/>
        <v>Price</v>
      </c>
      <c r="AQ408" s="2298" t="str">
        <f t="shared" si="497"/>
        <v>[Service]</v>
      </c>
      <c r="AR408" s="1719" t="str">
        <f t="shared" si="498"/>
        <v>[Price]</v>
      </c>
      <c r="AS408" s="2299" t="str">
        <f t="shared" si="503"/>
        <v>-</v>
      </c>
      <c r="AT408" s="1728" t="str">
        <f t="shared" si="503"/>
        <v>-</v>
      </c>
      <c r="AU408" s="1728" t="str">
        <f t="shared" si="503"/>
        <v>-</v>
      </c>
      <c r="AV408" s="2300" t="str">
        <f t="shared" si="503"/>
        <v>-</v>
      </c>
      <c r="AW408" s="1728" t="str">
        <f t="shared" si="503"/>
        <v>-</v>
      </c>
      <c r="AX408" s="2301" t="str">
        <f t="shared" si="503"/>
        <v>-</v>
      </c>
      <c r="AY408" s="1728" t="str">
        <f t="shared" si="503"/>
        <v>-</v>
      </c>
      <c r="AZ408" s="1728" t="str">
        <f t="shared" si="503"/>
        <v>-</v>
      </c>
      <c r="BA408" s="1728" t="str">
        <f t="shared" si="503"/>
        <v>-</v>
      </c>
      <c r="BB408" s="1729" t="str">
        <f t="shared" si="503"/>
        <v>-</v>
      </c>
      <c r="BC408" s="1728" t="str">
        <f t="shared" si="503"/>
        <v>-</v>
      </c>
      <c r="BD408" s="1728" t="str">
        <f t="shared" si="503"/>
        <v>-</v>
      </c>
      <c r="BE408" s="1728" t="str">
        <f t="shared" si="503"/>
        <v>-</v>
      </c>
      <c r="BF408" s="1728" t="str">
        <f t="shared" si="503"/>
        <v>-</v>
      </c>
      <c r="BG408" s="1729" t="str">
        <f t="shared" si="503"/>
        <v>-</v>
      </c>
      <c r="BH408" s="1048"/>
      <c r="BI408" s="2297" t="str">
        <f t="shared" si="520"/>
        <v>Price</v>
      </c>
      <c r="BJ408" s="2298" t="str">
        <f t="shared" si="520"/>
        <v>[Service]</v>
      </c>
      <c r="BK408" s="1719" t="str">
        <f t="shared" si="520"/>
        <v>[Price]</v>
      </c>
      <c r="BL408" s="2299" t="str">
        <f t="shared" ref="BL408:BZ408" si="526">IF(OR(X408="",X408=0),"-",IFERROR((X408/W408-1)*(W410/W$13),"-"))</f>
        <v>-</v>
      </c>
      <c r="BM408" s="1053" t="str">
        <f t="shared" si="526"/>
        <v>-</v>
      </c>
      <c r="BN408" s="1053" t="str">
        <f t="shared" si="526"/>
        <v>-</v>
      </c>
      <c r="BO408" s="2302" t="str">
        <f t="shared" si="526"/>
        <v>-</v>
      </c>
      <c r="BP408" s="1053" t="str">
        <f t="shared" si="526"/>
        <v>-</v>
      </c>
      <c r="BQ408" s="2303" t="str">
        <f t="shared" si="526"/>
        <v>-</v>
      </c>
      <c r="BR408" s="1053" t="str">
        <f t="shared" si="526"/>
        <v>-</v>
      </c>
      <c r="BS408" s="1053" t="str">
        <f t="shared" si="526"/>
        <v>-</v>
      </c>
      <c r="BT408" s="1053" t="str">
        <f t="shared" si="526"/>
        <v>-</v>
      </c>
      <c r="BU408" s="1054" t="str">
        <f t="shared" si="526"/>
        <v>-</v>
      </c>
      <c r="BV408" s="1053" t="str">
        <f t="shared" si="526"/>
        <v>-</v>
      </c>
      <c r="BW408" s="1053" t="str">
        <f t="shared" si="526"/>
        <v>-</v>
      </c>
      <c r="BX408" s="1053" t="str">
        <f t="shared" si="526"/>
        <v>-</v>
      </c>
      <c r="BY408" s="1053" t="str">
        <f t="shared" si="526"/>
        <v>-</v>
      </c>
      <c r="BZ408" s="1054" t="str">
        <f t="shared" si="526"/>
        <v>-</v>
      </c>
    </row>
    <row r="409" spans="3:78" x14ac:dyDescent="0.3">
      <c r="C409" s="126"/>
      <c r="D409" s="126"/>
      <c r="E409" s="558" t="s">
        <v>46</v>
      </c>
      <c r="F409" s="1722" t="str">
        <f>+F408</f>
        <v>[Service]</v>
      </c>
      <c r="G409" s="1724">
        <f>+G408</f>
        <v>0</v>
      </c>
      <c r="H409" s="1724">
        <f>+H408</f>
        <v>0</v>
      </c>
      <c r="I409" s="1725" t="str">
        <f>+I408</f>
        <v>[Price]</v>
      </c>
      <c r="J409" s="574" t="s">
        <v>323</v>
      </c>
      <c r="K409" s="1973"/>
      <c r="L409" s="1974"/>
      <c r="M409" s="1974"/>
      <c r="N409" s="1975"/>
      <c r="O409" s="1974"/>
      <c r="P409" s="1974"/>
      <c r="Q409" s="1974"/>
      <c r="R409" s="1976"/>
      <c r="S409" s="1980"/>
      <c r="T409" s="1976"/>
      <c r="U409" s="1976"/>
      <c r="V409" s="1976"/>
      <c r="W409" s="578"/>
      <c r="X409" s="1239"/>
      <c r="Y409" s="578"/>
      <c r="Z409" s="578"/>
      <c r="AA409" s="578"/>
      <c r="AB409" s="1143"/>
      <c r="AC409" s="578"/>
      <c r="AD409" s="578"/>
      <c r="AE409" s="578"/>
      <c r="AF409" s="578"/>
      <c r="AG409" s="580"/>
      <c r="AH409" s="579"/>
      <c r="AI409" s="578"/>
      <c r="AJ409" s="578"/>
      <c r="AK409" s="578"/>
      <c r="AL409" s="580"/>
      <c r="AN409" s="991"/>
      <c r="AP409" s="2285" t="str">
        <f t="shared" si="497"/>
        <v>Qty</v>
      </c>
      <c r="AQ409" s="2286" t="str">
        <f t="shared" si="497"/>
        <v>[Service]</v>
      </c>
      <c r="AR409" s="2287" t="str">
        <f t="shared" si="498"/>
        <v>[Price]</v>
      </c>
      <c r="AS409" s="2288" t="str">
        <f t="shared" ref="AS409:BG425" si="527">IF(OR(X409="",X409=0),"-",IFERROR(X409/W409-1,"-"))</f>
        <v>-</v>
      </c>
      <c r="AT409" s="1720" t="str">
        <f t="shared" si="527"/>
        <v>-</v>
      </c>
      <c r="AU409" s="1720" t="str">
        <f t="shared" si="527"/>
        <v>-</v>
      </c>
      <c r="AV409" s="2289" t="str">
        <f t="shared" si="527"/>
        <v>-</v>
      </c>
      <c r="AW409" s="1720" t="str">
        <f t="shared" si="527"/>
        <v>-</v>
      </c>
      <c r="AX409" s="2290" t="str">
        <f t="shared" si="527"/>
        <v>-</v>
      </c>
      <c r="AY409" s="1720" t="str">
        <f t="shared" si="527"/>
        <v>-</v>
      </c>
      <c r="AZ409" s="1720" t="str">
        <f t="shared" si="527"/>
        <v>-</v>
      </c>
      <c r="BA409" s="1720" t="str">
        <f t="shared" si="527"/>
        <v>-</v>
      </c>
      <c r="BB409" s="1721" t="str">
        <f t="shared" si="527"/>
        <v>-</v>
      </c>
      <c r="BC409" s="1720" t="str">
        <f t="shared" si="527"/>
        <v>-</v>
      </c>
      <c r="BD409" s="1720" t="str">
        <f t="shared" si="527"/>
        <v>-</v>
      </c>
      <c r="BE409" s="1720" t="str">
        <f t="shared" si="527"/>
        <v>-</v>
      </c>
      <c r="BF409" s="1720" t="str">
        <f t="shared" si="527"/>
        <v>-</v>
      </c>
      <c r="BG409" s="1721" t="str">
        <f t="shared" si="527"/>
        <v>-</v>
      </c>
      <c r="BH409" s="1048"/>
      <c r="BI409" s="2285" t="str">
        <f t="shared" si="520"/>
        <v>Qty</v>
      </c>
      <c r="BJ409" s="2286" t="str">
        <f t="shared" si="520"/>
        <v>[Service]</v>
      </c>
      <c r="BK409" s="2287" t="str">
        <f t="shared" si="520"/>
        <v>[Price]</v>
      </c>
      <c r="BL409" s="2288" t="str">
        <f t="shared" ref="BL409:BZ409" si="528">IF(OR(X409="",X409=0),"-",IFERROR((X409/W409-1)*(W410/W$13),"-"))</f>
        <v>-</v>
      </c>
      <c r="BM409" s="1720" t="str">
        <f t="shared" si="528"/>
        <v>-</v>
      </c>
      <c r="BN409" s="1720" t="str">
        <f t="shared" si="528"/>
        <v>-</v>
      </c>
      <c r="BO409" s="2289" t="str">
        <f t="shared" si="528"/>
        <v>-</v>
      </c>
      <c r="BP409" s="1720" t="str">
        <f t="shared" si="528"/>
        <v>-</v>
      </c>
      <c r="BQ409" s="2290" t="str">
        <f t="shared" si="528"/>
        <v>-</v>
      </c>
      <c r="BR409" s="1720" t="str">
        <f t="shared" si="528"/>
        <v>-</v>
      </c>
      <c r="BS409" s="1720" t="str">
        <f t="shared" si="528"/>
        <v>-</v>
      </c>
      <c r="BT409" s="1720" t="str">
        <f t="shared" si="528"/>
        <v>-</v>
      </c>
      <c r="BU409" s="1721" t="str">
        <f t="shared" si="528"/>
        <v>-</v>
      </c>
      <c r="BV409" s="1720" t="str">
        <f t="shared" si="528"/>
        <v>-</v>
      </c>
      <c r="BW409" s="1720" t="str">
        <f t="shared" si="528"/>
        <v>-</v>
      </c>
      <c r="BX409" s="1720" t="str">
        <f t="shared" si="528"/>
        <v>-</v>
      </c>
      <c r="BY409" s="1720" t="str">
        <f t="shared" si="528"/>
        <v>-</v>
      </c>
      <c r="BZ409" s="1721" t="str">
        <f t="shared" si="528"/>
        <v>-</v>
      </c>
    </row>
    <row r="410" spans="3:78" ht="12.5" thickBot="1" x14ac:dyDescent="0.35">
      <c r="C410" s="126"/>
      <c r="D410" s="126"/>
      <c r="E410" s="559" t="s">
        <v>47</v>
      </c>
      <c r="F410" s="1723" t="str">
        <f>+F408</f>
        <v>[Service]</v>
      </c>
      <c r="G410" s="1726">
        <f>+G408</f>
        <v>0</v>
      </c>
      <c r="H410" s="1726">
        <f>+H408</f>
        <v>0</v>
      </c>
      <c r="I410" s="1727" t="str">
        <f>+I408</f>
        <v>[Price]</v>
      </c>
      <c r="J410" s="556" t="s">
        <v>347</v>
      </c>
      <c r="K410" s="1977"/>
      <c r="L410" s="1206"/>
      <c r="M410" s="1206"/>
      <c r="N410" s="1978"/>
      <c r="O410" s="1206"/>
      <c r="P410" s="1206"/>
      <c r="Q410" s="1206"/>
      <c r="R410" s="1206"/>
      <c r="S410" s="1978"/>
      <c r="T410" s="1206"/>
      <c r="U410" s="1206"/>
      <c r="V410" s="1206"/>
      <c r="W410" s="1731">
        <f t="shared" ref="W410:AG410" si="529">W408*W409/10^6</f>
        <v>0</v>
      </c>
      <c r="X410" s="1730">
        <f t="shared" si="529"/>
        <v>0</v>
      </c>
      <c r="Y410" s="1731">
        <f t="shared" si="529"/>
        <v>0</v>
      </c>
      <c r="Z410" s="1731">
        <f t="shared" si="529"/>
        <v>0</v>
      </c>
      <c r="AA410" s="1731">
        <f t="shared" si="529"/>
        <v>0</v>
      </c>
      <c r="AB410" s="1733">
        <f t="shared" si="529"/>
        <v>0</v>
      </c>
      <c r="AC410" s="1731">
        <f t="shared" si="529"/>
        <v>0</v>
      </c>
      <c r="AD410" s="1731">
        <f t="shared" si="529"/>
        <v>0</v>
      </c>
      <c r="AE410" s="1731">
        <f t="shared" si="529"/>
        <v>0</v>
      </c>
      <c r="AF410" s="1731">
        <f t="shared" si="529"/>
        <v>0</v>
      </c>
      <c r="AG410" s="1733">
        <f t="shared" si="529"/>
        <v>0</v>
      </c>
      <c r="AH410" s="1732">
        <f>AH408*AH409/10^6</f>
        <v>0</v>
      </c>
      <c r="AI410" s="1731">
        <f>AI408*AI409/10^6</f>
        <v>0</v>
      </c>
      <c r="AJ410" s="1731">
        <f>AJ408*AJ409/10^6</f>
        <v>0</v>
      </c>
      <c r="AK410" s="1731">
        <f>AK408*AK409/10^6</f>
        <v>0</v>
      </c>
      <c r="AL410" s="1733">
        <f>AL408*AL409/10^6</f>
        <v>0</v>
      </c>
      <c r="AN410" s="991"/>
      <c r="AP410" s="2304" t="str">
        <f t="shared" si="497"/>
        <v>Rev</v>
      </c>
      <c r="AQ410" s="2305" t="str">
        <f t="shared" si="497"/>
        <v>[Service]</v>
      </c>
      <c r="AR410" s="2306" t="str">
        <f t="shared" si="498"/>
        <v>[Price]</v>
      </c>
      <c r="AS410" s="2307" t="str">
        <f t="shared" si="527"/>
        <v>-</v>
      </c>
      <c r="AT410" s="1055" t="str">
        <f t="shared" si="527"/>
        <v>-</v>
      </c>
      <c r="AU410" s="1055" t="str">
        <f t="shared" si="527"/>
        <v>-</v>
      </c>
      <c r="AV410" s="2308" t="str">
        <f t="shared" si="527"/>
        <v>-</v>
      </c>
      <c r="AW410" s="1055" t="str">
        <f t="shared" si="527"/>
        <v>-</v>
      </c>
      <c r="AX410" s="2309" t="str">
        <f t="shared" si="527"/>
        <v>-</v>
      </c>
      <c r="AY410" s="1055" t="str">
        <f t="shared" si="527"/>
        <v>-</v>
      </c>
      <c r="AZ410" s="1055" t="str">
        <f t="shared" si="527"/>
        <v>-</v>
      </c>
      <c r="BA410" s="1055" t="str">
        <f t="shared" si="527"/>
        <v>-</v>
      </c>
      <c r="BB410" s="1056" t="str">
        <f t="shared" si="527"/>
        <v>-</v>
      </c>
      <c r="BC410" s="1055" t="str">
        <f t="shared" si="527"/>
        <v>-</v>
      </c>
      <c r="BD410" s="1055" t="str">
        <f t="shared" si="527"/>
        <v>-</v>
      </c>
      <c r="BE410" s="1055" t="str">
        <f t="shared" si="527"/>
        <v>-</v>
      </c>
      <c r="BF410" s="1055" t="str">
        <f t="shared" si="527"/>
        <v>-</v>
      </c>
      <c r="BG410" s="1056" t="str">
        <f t="shared" si="527"/>
        <v>-</v>
      </c>
      <c r="BH410" s="1048"/>
      <c r="BI410" s="2304" t="str">
        <f t="shared" si="520"/>
        <v>Rev</v>
      </c>
      <c r="BJ410" s="2305" t="str">
        <f t="shared" si="520"/>
        <v>[Service]</v>
      </c>
      <c r="BK410" s="2306" t="str">
        <f t="shared" si="520"/>
        <v>[Price]</v>
      </c>
      <c r="BL410" s="2307" t="str">
        <f t="shared" ref="BL410:BZ410" si="530">IF(OR(X410="",X410=0),"-",IFERROR((X410/W410-1)*(W410/W$13),"-"))</f>
        <v>-</v>
      </c>
      <c r="BM410" s="1055" t="str">
        <f t="shared" si="530"/>
        <v>-</v>
      </c>
      <c r="BN410" s="1055" t="str">
        <f t="shared" si="530"/>
        <v>-</v>
      </c>
      <c r="BO410" s="2308" t="str">
        <f t="shared" si="530"/>
        <v>-</v>
      </c>
      <c r="BP410" s="1055" t="str">
        <f t="shared" si="530"/>
        <v>-</v>
      </c>
      <c r="BQ410" s="2309" t="str">
        <f t="shared" si="530"/>
        <v>-</v>
      </c>
      <c r="BR410" s="1055" t="str">
        <f t="shared" si="530"/>
        <v>-</v>
      </c>
      <c r="BS410" s="1055" t="str">
        <f t="shared" si="530"/>
        <v>-</v>
      </c>
      <c r="BT410" s="1055" t="str">
        <f t="shared" si="530"/>
        <v>-</v>
      </c>
      <c r="BU410" s="1056" t="str">
        <f t="shared" si="530"/>
        <v>-</v>
      </c>
      <c r="BV410" s="1055" t="str">
        <f t="shared" si="530"/>
        <v>-</v>
      </c>
      <c r="BW410" s="1055" t="str">
        <f t="shared" si="530"/>
        <v>-</v>
      </c>
      <c r="BX410" s="1055" t="str">
        <f t="shared" si="530"/>
        <v>-</v>
      </c>
      <c r="BY410" s="1055" t="str">
        <f t="shared" si="530"/>
        <v>-</v>
      </c>
      <c r="BZ410" s="1056" t="str">
        <f t="shared" si="530"/>
        <v>-</v>
      </c>
    </row>
    <row r="411" spans="3:78" x14ac:dyDescent="0.3">
      <c r="C411" s="126"/>
      <c r="D411" s="126">
        <f>D408+1</f>
        <v>115</v>
      </c>
      <c r="E411" s="553" t="s">
        <v>45</v>
      </c>
      <c r="F411" s="581" t="s">
        <v>28</v>
      </c>
      <c r="G411" s="581"/>
      <c r="H411" s="581"/>
      <c r="I411" s="573" t="s">
        <v>319</v>
      </c>
      <c r="J411" s="573" t="s">
        <v>348</v>
      </c>
      <c r="K411" s="1969"/>
      <c r="L411" s="1970"/>
      <c r="M411" s="1970"/>
      <c r="N411" s="1971"/>
      <c r="O411" s="1970"/>
      <c r="P411" s="1970"/>
      <c r="Q411" s="1970"/>
      <c r="R411" s="1972"/>
      <c r="S411" s="1979"/>
      <c r="T411" s="1972"/>
      <c r="U411" s="1972"/>
      <c r="V411" s="1972"/>
      <c r="W411" s="575"/>
      <c r="X411" s="1238"/>
      <c r="Y411" s="575"/>
      <c r="Z411" s="575"/>
      <c r="AA411" s="575"/>
      <c r="AB411" s="1142"/>
      <c r="AC411" s="575"/>
      <c r="AD411" s="575"/>
      <c r="AE411" s="575"/>
      <c r="AF411" s="575"/>
      <c r="AG411" s="577"/>
      <c r="AH411" s="576"/>
      <c r="AI411" s="575"/>
      <c r="AJ411" s="575"/>
      <c r="AK411" s="575"/>
      <c r="AL411" s="577"/>
      <c r="AN411" s="1052"/>
      <c r="AP411" s="2297" t="str">
        <f t="shared" si="497"/>
        <v>Price</v>
      </c>
      <c r="AQ411" s="2298" t="str">
        <f t="shared" si="497"/>
        <v>[Service]</v>
      </c>
      <c r="AR411" s="1719" t="str">
        <f t="shared" si="498"/>
        <v>[Price]</v>
      </c>
      <c r="AS411" s="2299" t="str">
        <f t="shared" si="527"/>
        <v>-</v>
      </c>
      <c r="AT411" s="1728" t="str">
        <f t="shared" si="527"/>
        <v>-</v>
      </c>
      <c r="AU411" s="1728" t="str">
        <f t="shared" si="527"/>
        <v>-</v>
      </c>
      <c r="AV411" s="2300" t="str">
        <f t="shared" si="527"/>
        <v>-</v>
      </c>
      <c r="AW411" s="1728" t="str">
        <f t="shared" si="527"/>
        <v>-</v>
      </c>
      <c r="AX411" s="2301" t="str">
        <f t="shared" si="527"/>
        <v>-</v>
      </c>
      <c r="AY411" s="1728" t="str">
        <f t="shared" si="527"/>
        <v>-</v>
      </c>
      <c r="AZ411" s="1728" t="str">
        <f t="shared" si="527"/>
        <v>-</v>
      </c>
      <c r="BA411" s="1728" t="str">
        <f t="shared" si="527"/>
        <v>-</v>
      </c>
      <c r="BB411" s="1729" t="str">
        <f t="shared" si="527"/>
        <v>-</v>
      </c>
      <c r="BC411" s="1728" t="str">
        <f t="shared" si="527"/>
        <v>-</v>
      </c>
      <c r="BD411" s="1728" t="str">
        <f t="shared" si="527"/>
        <v>-</v>
      </c>
      <c r="BE411" s="1728" t="str">
        <f t="shared" si="527"/>
        <v>-</v>
      </c>
      <c r="BF411" s="1728" t="str">
        <f t="shared" si="527"/>
        <v>-</v>
      </c>
      <c r="BG411" s="1729" t="str">
        <f t="shared" si="527"/>
        <v>-</v>
      </c>
      <c r="BH411" s="1048"/>
      <c r="BI411" s="2297" t="str">
        <f t="shared" si="520"/>
        <v>Price</v>
      </c>
      <c r="BJ411" s="2298" t="str">
        <f t="shared" si="520"/>
        <v>[Service]</v>
      </c>
      <c r="BK411" s="1719" t="str">
        <f t="shared" si="520"/>
        <v>[Price]</v>
      </c>
      <c r="BL411" s="2299" t="str">
        <f t="shared" ref="BL411:BZ411" si="531">IF(OR(X411="",X411=0),"-",IFERROR((X411/W411-1)*(W413/W$13),"-"))</f>
        <v>-</v>
      </c>
      <c r="BM411" s="1053" t="str">
        <f t="shared" si="531"/>
        <v>-</v>
      </c>
      <c r="BN411" s="1053" t="str">
        <f t="shared" si="531"/>
        <v>-</v>
      </c>
      <c r="BO411" s="2302" t="str">
        <f t="shared" si="531"/>
        <v>-</v>
      </c>
      <c r="BP411" s="1053" t="str">
        <f t="shared" si="531"/>
        <v>-</v>
      </c>
      <c r="BQ411" s="2303" t="str">
        <f t="shared" si="531"/>
        <v>-</v>
      </c>
      <c r="BR411" s="1053" t="str">
        <f t="shared" si="531"/>
        <v>-</v>
      </c>
      <c r="BS411" s="1053" t="str">
        <f t="shared" si="531"/>
        <v>-</v>
      </c>
      <c r="BT411" s="1053" t="str">
        <f t="shared" si="531"/>
        <v>-</v>
      </c>
      <c r="BU411" s="1054" t="str">
        <f t="shared" si="531"/>
        <v>-</v>
      </c>
      <c r="BV411" s="1053" t="str">
        <f t="shared" si="531"/>
        <v>-</v>
      </c>
      <c r="BW411" s="1053" t="str">
        <f t="shared" si="531"/>
        <v>-</v>
      </c>
      <c r="BX411" s="1053" t="str">
        <f t="shared" si="531"/>
        <v>-</v>
      </c>
      <c r="BY411" s="1053" t="str">
        <f t="shared" si="531"/>
        <v>-</v>
      </c>
      <c r="BZ411" s="1054" t="str">
        <f t="shared" si="531"/>
        <v>-</v>
      </c>
    </row>
    <row r="412" spans="3:78" x14ac:dyDescent="0.3">
      <c r="C412" s="126"/>
      <c r="D412" s="126"/>
      <c r="E412" s="558" t="s">
        <v>46</v>
      </c>
      <c r="F412" s="1722" t="str">
        <f>+F411</f>
        <v>[Service]</v>
      </c>
      <c r="G412" s="1724">
        <f>+G411</f>
        <v>0</v>
      </c>
      <c r="H412" s="1724">
        <f>+H411</f>
        <v>0</v>
      </c>
      <c r="I412" s="1725" t="str">
        <f>+I411</f>
        <v>[Price]</v>
      </c>
      <c r="J412" s="574" t="s">
        <v>323</v>
      </c>
      <c r="K412" s="1973"/>
      <c r="L412" s="1974"/>
      <c r="M412" s="1974"/>
      <c r="N412" s="1975"/>
      <c r="O412" s="1974"/>
      <c r="P412" s="1974"/>
      <c r="Q412" s="1974"/>
      <c r="R412" s="1976"/>
      <c r="S412" s="1980"/>
      <c r="T412" s="1976"/>
      <c r="U412" s="1976"/>
      <c r="V412" s="1976"/>
      <c r="W412" s="578"/>
      <c r="X412" s="1239"/>
      <c r="Y412" s="578"/>
      <c r="Z412" s="578"/>
      <c r="AA412" s="578"/>
      <c r="AB412" s="1143"/>
      <c r="AC412" s="578"/>
      <c r="AD412" s="578"/>
      <c r="AE412" s="578"/>
      <c r="AF412" s="578"/>
      <c r="AG412" s="580"/>
      <c r="AH412" s="579"/>
      <c r="AI412" s="578"/>
      <c r="AJ412" s="578"/>
      <c r="AK412" s="578"/>
      <c r="AL412" s="580"/>
      <c r="AN412" s="991"/>
      <c r="AP412" s="2285" t="str">
        <f t="shared" si="497"/>
        <v>Qty</v>
      </c>
      <c r="AQ412" s="2286" t="str">
        <f t="shared" si="497"/>
        <v>[Service]</v>
      </c>
      <c r="AR412" s="2287" t="str">
        <f t="shared" si="498"/>
        <v>[Price]</v>
      </c>
      <c r="AS412" s="2288" t="str">
        <f t="shared" si="527"/>
        <v>-</v>
      </c>
      <c r="AT412" s="1720" t="str">
        <f t="shared" si="527"/>
        <v>-</v>
      </c>
      <c r="AU412" s="1720" t="str">
        <f t="shared" si="527"/>
        <v>-</v>
      </c>
      <c r="AV412" s="2289" t="str">
        <f t="shared" si="527"/>
        <v>-</v>
      </c>
      <c r="AW412" s="1720" t="str">
        <f t="shared" si="527"/>
        <v>-</v>
      </c>
      <c r="AX412" s="2290" t="str">
        <f t="shared" si="527"/>
        <v>-</v>
      </c>
      <c r="AY412" s="1720" t="str">
        <f t="shared" si="527"/>
        <v>-</v>
      </c>
      <c r="AZ412" s="1720" t="str">
        <f t="shared" si="527"/>
        <v>-</v>
      </c>
      <c r="BA412" s="1720" t="str">
        <f t="shared" si="527"/>
        <v>-</v>
      </c>
      <c r="BB412" s="1721" t="str">
        <f t="shared" si="527"/>
        <v>-</v>
      </c>
      <c r="BC412" s="1720" t="str">
        <f t="shared" si="527"/>
        <v>-</v>
      </c>
      <c r="BD412" s="1720" t="str">
        <f t="shared" si="527"/>
        <v>-</v>
      </c>
      <c r="BE412" s="1720" t="str">
        <f t="shared" si="527"/>
        <v>-</v>
      </c>
      <c r="BF412" s="1720" t="str">
        <f t="shared" si="527"/>
        <v>-</v>
      </c>
      <c r="BG412" s="1721" t="str">
        <f t="shared" si="527"/>
        <v>-</v>
      </c>
      <c r="BH412" s="1048"/>
      <c r="BI412" s="2285" t="str">
        <f t="shared" si="520"/>
        <v>Qty</v>
      </c>
      <c r="BJ412" s="2286" t="str">
        <f t="shared" si="520"/>
        <v>[Service]</v>
      </c>
      <c r="BK412" s="2287" t="str">
        <f t="shared" si="520"/>
        <v>[Price]</v>
      </c>
      <c r="BL412" s="2288" t="str">
        <f t="shared" ref="BL412:BZ412" si="532">IF(OR(X412="",X412=0),"-",IFERROR((X412/W412-1)*(W413/W$13),"-"))</f>
        <v>-</v>
      </c>
      <c r="BM412" s="1720" t="str">
        <f t="shared" si="532"/>
        <v>-</v>
      </c>
      <c r="BN412" s="1720" t="str">
        <f t="shared" si="532"/>
        <v>-</v>
      </c>
      <c r="BO412" s="2289" t="str">
        <f t="shared" si="532"/>
        <v>-</v>
      </c>
      <c r="BP412" s="1720" t="str">
        <f t="shared" si="532"/>
        <v>-</v>
      </c>
      <c r="BQ412" s="2290" t="str">
        <f t="shared" si="532"/>
        <v>-</v>
      </c>
      <c r="BR412" s="1720" t="str">
        <f t="shared" si="532"/>
        <v>-</v>
      </c>
      <c r="BS412" s="1720" t="str">
        <f t="shared" si="532"/>
        <v>-</v>
      </c>
      <c r="BT412" s="1720" t="str">
        <f t="shared" si="532"/>
        <v>-</v>
      </c>
      <c r="BU412" s="1721" t="str">
        <f t="shared" si="532"/>
        <v>-</v>
      </c>
      <c r="BV412" s="1720" t="str">
        <f t="shared" si="532"/>
        <v>-</v>
      </c>
      <c r="BW412" s="1720" t="str">
        <f t="shared" si="532"/>
        <v>-</v>
      </c>
      <c r="BX412" s="1720" t="str">
        <f t="shared" si="532"/>
        <v>-</v>
      </c>
      <c r="BY412" s="1720" t="str">
        <f t="shared" si="532"/>
        <v>-</v>
      </c>
      <c r="BZ412" s="1721" t="str">
        <f t="shared" si="532"/>
        <v>-</v>
      </c>
    </row>
    <row r="413" spans="3:78" ht="12.5" thickBot="1" x14ac:dyDescent="0.35">
      <c r="C413" s="126"/>
      <c r="D413" s="126"/>
      <c r="E413" s="559" t="s">
        <v>47</v>
      </c>
      <c r="F413" s="1723" t="str">
        <f>+F411</f>
        <v>[Service]</v>
      </c>
      <c r="G413" s="1726">
        <f>+G411</f>
        <v>0</v>
      </c>
      <c r="H413" s="1726">
        <f>+H411</f>
        <v>0</v>
      </c>
      <c r="I413" s="1727" t="str">
        <f>+I411</f>
        <v>[Price]</v>
      </c>
      <c r="J413" s="556" t="s">
        <v>347</v>
      </c>
      <c r="K413" s="1977"/>
      <c r="L413" s="1206"/>
      <c r="M413" s="1206"/>
      <c r="N413" s="1978"/>
      <c r="O413" s="1206"/>
      <c r="P413" s="1206"/>
      <c r="Q413" s="1206"/>
      <c r="R413" s="1206"/>
      <c r="S413" s="1978"/>
      <c r="T413" s="1206"/>
      <c r="U413" s="1206"/>
      <c r="V413" s="1206"/>
      <c r="W413" s="1731">
        <f t="shared" ref="W413:AG413" si="533">W411*W412/10^6</f>
        <v>0</v>
      </c>
      <c r="X413" s="1730">
        <f t="shared" si="533"/>
        <v>0</v>
      </c>
      <c r="Y413" s="1731">
        <f t="shared" si="533"/>
        <v>0</v>
      </c>
      <c r="Z413" s="1731">
        <f t="shared" si="533"/>
        <v>0</v>
      </c>
      <c r="AA413" s="1731">
        <f t="shared" si="533"/>
        <v>0</v>
      </c>
      <c r="AB413" s="1733">
        <f t="shared" si="533"/>
        <v>0</v>
      </c>
      <c r="AC413" s="1731">
        <f t="shared" si="533"/>
        <v>0</v>
      </c>
      <c r="AD413" s="1731">
        <f t="shared" si="533"/>
        <v>0</v>
      </c>
      <c r="AE413" s="1731">
        <f t="shared" si="533"/>
        <v>0</v>
      </c>
      <c r="AF413" s="1731">
        <f t="shared" si="533"/>
        <v>0</v>
      </c>
      <c r="AG413" s="1733">
        <f t="shared" si="533"/>
        <v>0</v>
      </c>
      <c r="AH413" s="1732">
        <f>AH411*AH412/10^6</f>
        <v>0</v>
      </c>
      <c r="AI413" s="1731">
        <f>AI411*AI412/10^6</f>
        <v>0</v>
      </c>
      <c r="AJ413" s="1731">
        <f>AJ411*AJ412/10^6</f>
        <v>0</v>
      </c>
      <c r="AK413" s="1731">
        <f>AK411*AK412/10^6</f>
        <v>0</v>
      </c>
      <c r="AL413" s="1733">
        <f>AL411*AL412/10^6</f>
        <v>0</v>
      </c>
      <c r="AN413" s="991"/>
      <c r="AP413" s="2304" t="str">
        <f t="shared" si="497"/>
        <v>Rev</v>
      </c>
      <c r="AQ413" s="2305" t="str">
        <f t="shared" si="497"/>
        <v>[Service]</v>
      </c>
      <c r="AR413" s="2306" t="str">
        <f t="shared" si="498"/>
        <v>[Price]</v>
      </c>
      <c r="AS413" s="2307" t="str">
        <f t="shared" si="527"/>
        <v>-</v>
      </c>
      <c r="AT413" s="1055" t="str">
        <f t="shared" si="527"/>
        <v>-</v>
      </c>
      <c r="AU413" s="1055" t="str">
        <f t="shared" si="527"/>
        <v>-</v>
      </c>
      <c r="AV413" s="2308" t="str">
        <f t="shared" si="527"/>
        <v>-</v>
      </c>
      <c r="AW413" s="1055" t="str">
        <f t="shared" si="527"/>
        <v>-</v>
      </c>
      <c r="AX413" s="2309" t="str">
        <f t="shared" si="527"/>
        <v>-</v>
      </c>
      <c r="AY413" s="1055" t="str">
        <f t="shared" si="527"/>
        <v>-</v>
      </c>
      <c r="AZ413" s="1055" t="str">
        <f t="shared" si="527"/>
        <v>-</v>
      </c>
      <c r="BA413" s="1055" t="str">
        <f t="shared" si="527"/>
        <v>-</v>
      </c>
      <c r="BB413" s="1056" t="str">
        <f t="shared" si="527"/>
        <v>-</v>
      </c>
      <c r="BC413" s="1055" t="str">
        <f t="shared" si="527"/>
        <v>-</v>
      </c>
      <c r="BD413" s="1055" t="str">
        <f t="shared" si="527"/>
        <v>-</v>
      </c>
      <c r="BE413" s="1055" t="str">
        <f t="shared" si="527"/>
        <v>-</v>
      </c>
      <c r="BF413" s="1055" t="str">
        <f t="shared" si="527"/>
        <v>-</v>
      </c>
      <c r="BG413" s="1056" t="str">
        <f t="shared" si="527"/>
        <v>-</v>
      </c>
      <c r="BH413" s="1048"/>
      <c r="BI413" s="2304" t="str">
        <f t="shared" si="520"/>
        <v>Rev</v>
      </c>
      <c r="BJ413" s="2305" t="str">
        <f t="shared" si="520"/>
        <v>[Service]</v>
      </c>
      <c r="BK413" s="2306" t="str">
        <f t="shared" si="520"/>
        <v>[Price]</v>
      </c>
      <c r="BL413" s="2307" t="str">
        <f t="shared" ref="BL413:BZ413" si="534">IF(OR(X413="",X413=0),"-",IFERROR((X413/W413-1)*(W413/W$13),"-"))</f>
        <v>-</v>
      </c>
      <c r="BM413" s="1055" t="str">
        <f t="shared" si="534"/>
        <v>-</v>
      </c>
      <c r="BN413" s="1055" t="str">
        <f t="shared" si="534"/>
        <v>-</v>
      </c>
      <c r="BO413" s="2308" t="str">
        <f t="shared" si="534"/>
        <v>-</v>
      </c>
      <c r="BP413" s="1055" t="str">
        <f t="shared" si="534"/>
        <v>-</v>
      </c>
      <c r="BQ413" s="2309" t="str">
        <f t="shared" si="534"/>
        <v>-</v>
      </c>
      <c r="BR413" s="1055" t="str">
        <f t="shared" si="534"/>
        <v>-</v>
      </c>
      <c r="BS413" s="1055" t="str">
        <f t="shared" si="534"/>
        <v>-</v>
      </c>
      <c r="BT413" s="1055" t="str">
        <f t="shared" si="534"/>
        <v>-</v>
      </c>
      <c r="BU413" s="1056" t="str">
        <f t="shared" si="534"/>
        <v>-</v>
      </c>
      <c r="BV413" s="1055" t="str">
        <f t="shared" si="534"/>
        <v>-</v>
      </c>
      <c r="BW413" s="1055" t="str">
        <f t="shared" si="534"/>
        <v>-</v>
      </c>
      <c r="BX413" s="1055" t="str">
        <f t="shared" si="534"/>
        <v>-</v>
      </c>
      <c r="BY413" s="1055" t="str">
        <f t="shared" si="534"/>
        <v>-</v>
      </c>
      <c r="BZ413" s="1056" t="str">
        <f t="shared" si="534"/>
        <v>-</v>
      </c>
    </row>
    <row r="414" spans="3:78" x14ac:dyDescent="0.3">
      <c r="C414" s="126"/>
      <c r="D414" s="126">
        <f>D411+1</f>
        <v>116</v>
      </c>
      <c r="E414" s="553" t="s">
        <v>45</v>
      </c>
      <c r="F414" s="581" t="s">
        <v>28</v>
      </c>
      <c r="G414" s="581"/>
      <c r="H414" s="581"/>
      <c r="I414" s="573" t="s">
        <v>319</v>
      </c>
      <c r="J414" s="573" t="s">
        <v>348</v>
      </c>
      <c r="K414" s="1969"/>
      <c r="L414" s="1970"/>
      <c r="M414" s="1970"/>
      <c r="N414" s="1971"/>
      <c r="O414" s="1970"/>
      <c r="P414" s="1970"/>
      <c r="Q414" s="1970"/>
      <c r="R414" s="1972"/>
      <c r="S414" s="1979"/>
      <c r="T414" s="1972"/>
      <c r="U414" s="1972"/>
      <c r="V414" s="1972"/>
      <c r="W414" s="575"/>
      <c r="X414" s="1238"/>
      <c r="Y414" s="575"/>
      <c r="Z414" s="575"/>
      <c r="AA414" s="575"/>
      <c r="AB414" s="1142"/>
      <c r="AC414" s="575"/>
      <c r="AD414" s="575"/>
      <c r="AE414" s="575"/>
      <c r="AF414" s="575"/>
      <c r="AG414" s="577"/>
      <c r="AH414" s="576"/>
      <c r="AI414" s="575"/>
      <c r="AJ414" s="575"/>
      <c r="AK414" s="575"/>
      <c r="AL414" s="577"/>
      <c r="AN414" s="1052"/>
      <c r="AP414" s="2297" t="str">
        <f t="shared" si="497"/>
        <v>Price</v>
      </c>
      <c r="AQ414" s="2298" t="str">
        <f t="shared" si="497"/>
        <v>[Service]</v>
      </c>
      <c r="AR414" s="1719" t="str">
        <f t="shared" si="498"/>
        <v>[Price]</v>
      </c>
      <c r="AS414" s="2299" t="str">
        <f t="shared" si="527"/>
        <v>-</v>
      </c>
      <c r="AT414" s="1728" t="str">
        <f t="shared" si="527"/>
        <v>-</v>
      </c>
      <c r="AU414" s="1728" t="str">
        <f t="shared" si="527"/>
        <v>-</v>
      </c>
      <c r="AV414" s="2300" t="str">
        <f t="shared" si="527"/>
        <v>-</v>
      </c>
      <c r="AW414" s="1728" t="str">
        <f t="shared" si="527"/>
        <v>-</v>
      </c>
      <c r="AX414" s="2301" t="str">
        <f t="shared" si="527"/>
        <v>-</v>
      </c>
      <c r="AY414" s="1728" t="str">
        <f t="shared" si="527"/>
        <v>-</v>
      </c>
      <c r="AZ414" s="1728" t="str">
        <f t="shared" si="527"/>
        <v>-</v>
      </c>
      <c r="BA414" s="1728" t="str">
        <f t="shared" si="527"/>
        <v>-</v>
      </c>
      <c r="BB414" s="1729" t="str">
        <f t="shared" si="527"/>
        <v>-</v>
      </c>
      <c r="BC414" s="1728" t="str">
        <f t="shared" si="527"/>
        <v>-</v>
      </c>
      <c r="BD414" s="1728" t="str">
        <f t="shared" si="527"/>
        <v>-</v>
      </c>
      <c r="BE414" s="1728" t="str">
        <f t="shared" si="527"/>
        <v>-</v>
      </c>
      <c r="BF414" s="1728" t="str">
        <f t="shared" si="527"/>
        <v>-</v>
      </c>
      <c r="BG414" s="1729" t="str">
        <f t="shared" si="527"/>
        <v>-</v>
      </c>
      <c r="BH414" s="1048"/>
      <c r="BI414" s="2297" t="str">
        <f t="shared" si="520"/>
        <v>Price</v>
      </c>
      <c r="BJ414" s="2298" t="str">
        <f t="shared" si="520"/>
        <v>[Service]</v>
      </c>
      <c r="BK414" s="1719" t="str">
        <f t="shared" si="520"/>
        <v>[Price]</v>
      </c>
      <c r="BL414" s="2299" t="str">
        <f t="shared" ref="BL414:BZ414" si="535">IF(OR(X414="",X414=0),"-",IFERROR((X414/W414-1)*(W416/W$13),"-"))</f>
        <v>-</v>
      </c>
      <c r="BM414" s="1053" t="str">
        <f t="shared" si="535"/>
        <v>-</v>
      </c>
      <c r="BN414" s="1053" t="str">
        <f t="shared" si="535"/>
        <v>-</v>
      </c>
      <c r="BO414" s="2302" t="str">
        <f t="shared" si="535"/>
        <v>-</v>
      </c>
      <c r="BP414" s="1053" t="str">
        <f t="shared" si="535"/>
        <v>-</v>
      </c>
      <c r="BQ414" s="2303" t="str">
        <f t="shared" si="535"/>
        <v>-</v>
      </c>
      <c r="BR414" s="1053" t="str">
        <f t="shared" si="535"/>
        <v>-</v>
      </c>
      <c r="BS414" s="1053" t="str">
        <f t="shared" si="535"/>
        <v>-</v>
      </c>
      <c r="BT414" s="1053" t="str">
        <f t="shared" si="535"/>
        <v>-</v>
      </c>
      <c r="BU414" s="1054" t="str">
        <f t="shared" si="535"/>
        <v>-</v>
      </c>
      <c r="BV414" s="1053" t="str">
        <f t="shared" si="535"/>
        <v>-</v>
      </c>
      <c r="BW414" s="1053" t="str">
        <f t="shared" si="535"/>
        <v>-</v>
      </c>
      <c r="BX414" s="1053" t="str">
        <f t="shared" si="535"/>
        <v>-</v>
      </c>
      <c r="BY414" s="1053" t="str">
        <f t="shared" si="535"/>
        <v>-</v>
      </c>
      <c r="BZ414" s="1054" t="str">
        <f t="shared" si="535"/>
        <v>-</v>
      </c>
    </row>
    <row r="415" spans="3:78" x14ac:dyDescent="0.3">
      <c r="C415" s="126"/>
      <c r="D415" s="126"/>
      <c r="E415" s="558" t="s">
        <v>46</v>
      </c>
      <c r="F415" s="1722" t="str">
        <f>+F414</f>
        <v>[Service]</v>
      </c>
      <c r="G415" s="1724">
        <f>+G414</f>
        <v>0</v>
      </c>
      <c r="H415" s="1724">
        <f>+H414</f>
        <v>0</v>
      </c>
      <c r="I415" s="1725" t="str">
        <f>+I414</f>
        <v>[Price]</v>
      </c>
      <c r="J415" s="574" t="s">
        <v>323</v>
      </c>
      <c r="K415" s="1973"/>
      <c r="L415" s="1974"/>
      <c r="M415" s="1974"/>
      <c r="N415" s="1975"/>
      <c r="O415" s="1974"/>
      <c r="P415" s="1974"/>
      <c r="Q415" s="1974"/>
      <c r="R415" s="1976"/>
      <c r="S415" s="1980"/>
      <c r="T415" s="1976"/>
      <c r="U415" s="1976"/>
      <c r="V415" s="1976"/>
      <c r="W415" s="578"/>
      <c r="X415" s="1239"/>
      <c r="Y415" s="578"/>
      <c r="Z415" s="578"/>
      <c r="AA415" s="578"/>
      <c r="AB415" s="1143"/>
      <c r="AC415" s="578"/>
      <c r="AD415" s="578"/>
      <c r="AE415" s="578"/>
      <c r="AF415" s="578"/>
      <c r="AG415" s="580"/>
      <c r="AH415" s="579"/>
      <c r="AI415" s="578"/>
      <c r="AJ415" s="578"/>
      <c r="AK415" s="578"/>
      <c r="AL415" s="580"/>
      <c r="AN415" s="991"/>
      <c r="AP415" s="2285" t="str">
        <f t="shared" si="497"/>
        <v>Qty</v>
      </c>
      <c r="AQ415" s="2286" t="str">
        <f t="shared" si="497"/>
        <v>[Service]</v>
      </c>
      <c r="AR415" s="2287" t="str">
        <f t="shared" si="498"/>
        <v>[Price]</v>
      </c>
      <c r="AS415" s="2288" t="str">
        <f t="shared" si="527"/>
        <v>-</v>
      </c>
      <c r="AT415" s="1720" t="str">
        <f t="shared" si="527"/>
        <v>-</v>
      </c>
      <c r="AU415" s="1720" t="str">
        <f t="shared" si="527"/>
        <v>-</v>
      </c>
      <c r="AV415" s="2289" t="str">
        <f t="shared" si="527"/>
        <v>-</v>
      </c>
      <c r="AW415" s="1720" t="str">
        <f t="shared" si="527"/>
        <v>-</v>
      </c>
      <c r="AX415" s="2290" t="str">
        <f t="shared" si="527"/>
        <v>-</v>
      </c>
      <c r="AY415" s="1720" t="str">
        <f t="shared" si="527"/>
        <v>-</v>
      </c>
      <c r="AZ415" s="1720" t="str">
        <f t="shared" si="527"/>
        <v>-</v>
      </c>
      <c r="BA415" s="1720" t="str">
        <f t="shared" si="527"/>
        <v>-</v>
      </c>
      <c r="BB415" s="1721" t="str">
        <f t="shared" si="527"/>
        <v>-</v>
      </c>
      <c r="BC415" s="1720" t="str">
        <f t="shared" si="527"/>
        <v>-</v>
      </c>
      <c r="BD415" s="1720" t="str">
        <f t="shared" si="527"/>
        <v>-</v>
      </c>
      <c r="BE415" s="1720" t="str">
        <f t="shared" si="527"/>
        <v>-</v>
      </c>
      <c r="BF415" s="1720" t="str">
        <f t="shared" si="527"/>
        <v>-</v>
      </c>
      <c r="BG415" s="1721" t="str">
        <f t="shared" si="527"/>
        <v>-</v>
      </c>
      <c r="BH415" s="1048"/>
      <c r="BI415" s="2285" t="str">
        <f t="shared" si="520"/>
        <v>Qty</v>
      </c>
      <c r="BJ415" s="2286" t="str">
        <f t="shared" si="520"/>
        <v>[Service]</v>
      </c>
      <c r="BK415" s="2287" t="str">
        <f t="shared" si="520"/>
        <v>[Price]</v>
      </c>
      <c r="BL415" s="2288" t="str">
        <f t="shared" ref="BL415:BZ415" si="536">IF(OR(X415="",X415=0),"-",IFERROR((X415/W415-1)*(W416/W$13),"-"))</f>
        <v>-</v>
      </c>
      <c r="BM415" s="1720" t="str">
        <f t="shared" si="536"/>
        <v>-</v>
      </c>
      <c r="BN415" s="1720" t="str">
        <f t="shared" si="536"/>
        <v>-</v>
      </c>
      <c r="BO415" s="2289" t="str">
        <f t="shared" si="536"/>
        <v>-</v>
      </c>
      <c r="BP415" s="1720" t="str">
        <f t="shared" si="536"/>
        <v>-</v>
      </c>
      <c r="BQ415" s="2290" t="str">
        <f t="shared" si="536"/>
        <v>-</v>
      </c>
      <c r="BR415" s="1720" t="str">
        <f t="shared" si="536"/>
        <v>-</v>
      </c>
      <c r="BS415" s="1720" t="str">
        <f t="shared" si="536"/>
        <v>-</v>
      </c>
      <c r="BT415" s="1720" t="str">
        <f t="shared" si="536"/>
        <v>-</v>
      </c>
      <c r="BU415" s="1721" t="str">
        <f t="shared" si="536"/>
        <v>-</v>
      </c>
      <c r="BV415" s="1720" t="str">
        <f t="shared" si="536"/>
        <v>-</v>
      </c>
      <c r="BW415" s="1720" t="str">
        <f t="shared" si="536"/>
        <v>-</v>
      </c>
      <c r="BX415" s="1720" t="str">
        <f t="shared" si="536"/>
        <v>-</v>
      </c>
      <c r="BY415" s="1720" t="str">
        <f t="shared" si="536"/>
        <v>-</v>
      </c>
      <c r="BZ415" s="1721" t="str">
        <f t="shared" si="536"/>
        <v>-</v>
      </c>
    </row>
    <row r="416" spans="3:78" ht="12.5" thickBot="1" x14ac:dyDescent="0.35">
      <c r="C416" s="126"/>
      <c r="D416" s="126"/>
      <c r="E416" s="559" t="s">
        <v>47</v>
      </c>
      <c r="F416" s="1723" t="str">
        <f>+F414</f>
        <v>[Service]</v>
      </c>
      <c r="G416" s="1726">
        <f>+G414</f>
        <v>0</v>
      </c>
      <c r="H416" s="1726">
        <f>+H414</f>
        <v>0</v>
      </c>
      <c r="I416" s="1727" t="str">
        <f>+I414</f>
        <v>[Price]</v>
      </c>
      <c r="J416" s="556" t="s">
        <v>347</v>
      </c>
      <c r="K416" s="1977"/>
      <c r="L416" s="1206"/>
      <c r="M416" s="1206"/>
      <c r="N416" s="1978"/>
      <c r="O416" s="1206"/>
      <c r="P416" s="1206"/>
      <c r="Q416" s="1206"/>
      <c r="R416" s="1206"/>
      <c r="S416" s="1978"/>
      <c r="T416" s="1206"/>
      <c r="U416" s="1206"/>
      <c r="V416" s="1206"/>
      <c r="W416" s="1731">
        <f t="shared" ref="W416:AG416" si="537">W414*W415/10^6</f>
        <v>0</v>
      </c>
      <c r="X416" s="1730">
        <f t="shared" si="537"/>
        <v>0</v>
      </c>
      <c r="Y416" s="1731">
        <f t="shared" si="537"/>
        <v>0</v>
      </c>
      <c r="Z416" s="1731">
        <f t="shared" si="537"/>
        <v>0</v>
      </c>
      <c r="AA416" s="1731">
        <f t="shared" si="537"/>
        <v>0</v>
      </c>
      <c r="AB416" s="1733">
        <f t="shared" si="537"/>
        <v>0</v>
      </c>
      <c r="AC416" s="1731">
        <f t="shared" si="537"/>
        <v>0</v>
      </c>
      <c r="AD416" s="1731">
        <f t="shared" si="537"/>
        <v>0</v>
      </c>
      <c r="AE416" s="1731">
        <f t="shared" si="537"/>
        <v>0</v>
      </c>
      <c r="AF416" s="1731">
        <f t="shared" si="537"/>
        <v>0</v>
      </c>
      <c r="AG416" s="1733">
        <f t="shared" si="537"/>
        <v>0</v>
      </c>
      <c r="AH416" s="1732">
        <f>AH414*AH415/10^6</f>
        <v>0</v>
      </c>
      <c r="AI416" s="1731">
        <f>AI414*AI415/10^6</f>
        <v>0</v>
      </c>
      <c r="AJ416" s="1731">
        <f>AJ414*AJ415/10^6</f>
        <v>0</v>
      </c>
      <c r="AK416" s="1731">
        <f>AK414*AK415/10^6</f>
        <v>0</v>
      </c>
      <c r="AL416" s="1733">
        <f>AL414*AL415/10^6</f>
        <v>0</v>
      </c>
      <c r="AN416" s="991"/>
      <c r="AP416" s="2304" t="str">
        <f t="shared" si="497"/>
        <v>Rev</v>
      </c>
      <c r="AQ416" s="2305" t="str">
        <f t="shared" si="497"/>
        <v>[Service]</v>
      </c>
      <c r="AR416" s="2306" t="str">
        <f t="shared" si="498"/>
        <v>[Price]</v>
      </c>
      <c r="AS416" s="2307" t="str">
        <f t="shared" si="527"/>
        <v>-</v>
      </c>
      <c r="AT416" s="1055" t="str">
        <f t="shared" si="527"/>
        <v>-</v>
      </c>
      <c r="AU416" s="1055" t="str">
        <f t="shared" si="527"/>
        <v>-</v>
      </c>
      <c r="AV416" s="2308" t="str">
        <f t="shared" si="527"/>
        <v>-</v>
      </c>
      <c r="AW416" s="1055" t="str">
        <f t="shared" si="527"/>
        <v>-</v>
      </c>
      <c r="AX416" s="2309" t="str">
        <f t="shared" si="527"/>
        <v>-</v>
      </c>
      <c r="AY416" s="1055" t="str">
        <f t="shared" si="527"/>
        <v>-</v>
      </c>
      <c r="AZ416" s="1055" t="str">
        <f t="shared" si="527"/>
        <v>-</v>
      </c>
      <c r="BA416" s="1055" t="str">
        <f t="shared" si="527"/>
        <v>-</v>
      </c>
      <c r="BB416" s="1056" t="str">
        <f t="shared" si="527"/>
        <v>-</v>
      </c>
      <c r="BC416" s="1055" t="str">
        <f t="shared" si="527"/>
        <v>-</v>
      </c>
      <c r="BD416" s="1055" t="str">
        <f t="shared" si="527"/>
        <v>-</v>
      </c>
      <c r="BE416" s="1055" t="str">
        <f t="shared" si="527"/>
        <v>-</v>
      </c>
      <c r="BF416" s="1055" t="str">
        <f t="shared" si="527"/>
        <v>-</v>
      </c>
      <c r="BG416" s="1056" t="str">
        <f t="shared" si="527"/>
        <v>-</v>
      </c>
      <c r="BH416" s="1048"/>
      <c r="BI416" s="2304" t="str">
        <f t="shared" si="520"/>
        <v>Rev</v>
      </c>
      <c r="BJ416" s="2305" t="str">
        <f t="shared" si="520"/>
        <v>[Service]</v>
      </c>
      <c r="BK416" s="2306" t="str">
        <f t="shared" si="520"/>
        <v>[Price]</v>
      </c>
      <c r="BL416" s="2307" t="str">
        <f t="shared" ref="BL416:BZ416" si="538">IF(OR(X416="",X416=0),"-",IFERROR((X416/W416-1)*(W416/W$13),"-"))</f>
        <v>-</v>
      </c>
      <c r="BM416" s="1055" t="str">
        <f t="shared" si="538"/>
        <v>-</v>
      </c>
      <c r="BN416" s="1055" t="str">
        <f t="shared" si="538"/>
        <v>-</v>
      </c>
      <c r="BO416" s="2308" t="str">
        <f t="shared" si="538"/>
        <v>-</v>
      </c>
      <c r="BP416" s="1055" t="str">
        <f t="shared" si="538"/>
        <v>-</v>
      </c>
      <c r="BQ416" s="2309" t="str">
        <f t="shared" si="538"/>
        <v>-</v>
      </c>
      <c r="BR416" s="1055" t="str">
        <f t="shared" si="538"/>
        <v>-</v>
      </c>
      <c r="BS416" s="1055" t="str">
        <f t="shared" si="538"/>
        <v>-</v>
      </c>
      <c r="BT416" s="1055" t="str">
        <f t="shared" si="538"/>
        <v>-</v>
      </c>
      <c r="BU416" s="1056" t="str">
        <f t="shared" si="538"/>
        <v>-</v>
      </c>
      <c r="BV416" s="1055" t="str">
        <f t="shared" si="538"/>
        <v>-</v>
      </c>
      <c r="BW416" s="1055" t="str">
        <f t="shared" si="538"/>
        <v>-</v>
      </c>
      <c r="BX416" s="1055" t="str">
        <f t="shared" si="538"/>
        <v>-</v>
      </c>
      <c r="BY416" s="1055" t="str">
        <f t="shared" si="538"/>
        <v>-</v>
      </c>
      <c r="BZ416" s="1056" t="str">
        <f t="shared" si="538"/>
        <v>-</v>
      </c>
    </row>
    <row r="417" spans="3:78" x14ac:dyDescent="0.3">
      <c r="C417" s="126"/>
      <c r="D417" s="126">
        <f>D414+1</f>
        <v>117</v>
      </c>
      <c r="E417" s="553" t="s">
        <v>45</v>
      </c>
      <c r="F417" s="581" t="s">
        <v>28</v>
      </c>
      <c r="G417" s="581"/>
      <c r="H417" s="581"/>
      <c r="I417" s="573" t="s">
        <v>319</v>
      </c>
      <c r="J417" s="573" t="s">
        <v>348</v>
      </c>
      <c r="K417" s="1969"/>
      <c r="L417" s="1970"/>
      <c r="M417" s="1970"/>
      <c r="N417" s="1971"/>
      <c r="O417" s="1970"/>
      <c r="P417" s="1970"/>
      <c r="Q417" s="1970"/>
      <c r="R417" s="1972"/>
      <c r="S417" s="1979"/>
      <c r="T417" s="1972"/>
      <c r="U417" s="1972"/>
      <c r="V417" s="1972"/>
      <c r="W417" s="575"/>
      <c r="X417" s="1238"/>
      <c r="Y417" s="575"/>
      <c r="Z417" s="575"/>
      <c r="AA417" s="575"/>
      <c r="AB417" s="1142"/>
      <c r="AC417" s="575"/>
      <c r="AD417" s="575"/>
      <c r="AE417" s="575"/>
      <c r="AF417" s="575"/>
      <c r="AG417" s="577"/>
      <c r="AH417" s="576"/>
      <c r="AI417" s="575"/>
      <c r="AJ417" s="575"/>
      <c r="AK417" s="575"/>
      <c r="AL417" s="577"/>
      <c r="AN417" s="1052"/>
      <c r="AP417" s="2297" t="str">
        <f t="shared" si="497"/>
        <v>Price</v>
      </c>
      <c r="AQ417" s="2298" t="str">
        <f t="shared" si="497"/>
        <v>[Service]</v>
      </c>
      <c r="AR417" s="1719" t="str">
        <f t="shared" si="498"/>
        <v>[Price]</v>
      </c>
      <c r="AS417" s="2299" t="str">
        <f t="shared" si="527"/>
        <v>-</v>
      </c>
      <c r="AT417" s="1728" t="str">
        <f t="shared" si="527"/>
        <v>-</v>
      </c>
      <c r="AU417" s="1728" t="str">
        <f t="shared" si="527"/>
        <v>-</v>
      </c>
      <c r="AV417" s="2300" t="str">
        <f t="shared" si="527"/>
        <v>-</v>
      </c>
      <c r="AW417" s="1728" t="str">
        <f t="shared" si="527"/>
        <v>-</v>
      </c>
      <c r="AX417" s="2301" t="str">
        <f t="shared" si="527"/>
        <v>-</v>
      </c>
      <c r="AY417" s="1728" t="str">
        <f t="shared" si="527"/>
        <v>-</v>
      </c>
      <c r="AZ417" s="1728" t="str">
        <f t="shared" si="527"/>
        <v>-</v>
      </c>
      <c r="BA417" s="1728" t="str">
        <f t="shared" si="527"/>
        <v>-</v>
      </c>
      <c r="BB417" s="1729" t="str">
        <f t="shared" si="527"/>
        <v>-</v>
      </c>
      <c r="BC417" s="1728" t="str">
        <f t="shared" si="527"/>
        <v>-</v>
      </c>
      <c r="BD417" s="1728" t="str">
        <f t="shared" si="527"/>
        <v>-</v>
      </c>
      <c r="BE417" s="1728" t="str">
        <f t="shared" si="527"/>
        <v>-</v>
      </c>
      <c r="BF417" s="1728" t="str">
        <f t="shared" si="527"/>
        <v>-</v>
      </c>
      <c r="BG417" s="1729" t="str">
        <f t="shared" si="527"/>
        <v>-</v>
      </c>
      <c r="BH417" s="1048"/>
      <c r="BI417" s="2297" t="str">
        <f t="shared" si="520"/>
        <v>Price</v>
      </c>
      <c r="BJ417" s="2298" t="str">
        <f t="shared" si="520"/>
        <v>[Service]</v>
      </c>
      <c r="BK417" s="1719" t="str">
        <f t="shared" si="520"/>
        <v>[Price]</v>
      </c>
      <c r="BL417" s="2299" t="str">
        <f t="shared" ref="BL417:BZ417" si="539">IF(OR(X417="",X417=0),"-",IFERROR((X417/W417-1)*(W419/W$13),"-"))</f>
        <v>-</v>
      </c>
      <c r="BM417" s="1053" t="str">
        <f t="shared" si="539"/>
        <v>-</v>
      </c>
      <c r="BN417" s="1053" t="str">
        <f t="shared" si="539"/>
        <v>-</v>
      </c>
      <c r="BO417" s="2302" t="str">
        <f t="shared" si="539"/>
        <v>-</v>
      </c>
      <c r="BP417" s="1053" t="str">
        <f t="shared" si="539"/>
        <v>-</v>
      </c>
      <c r="BQ417" s="2303" t="str">
        <f t="shared" si="539"/>
        <v>-</v>
      </c>
      <c r="BR417" s="1053" t="str">
        <f t="shared" si="539"/>
        <v>-</v>
      </c>
      <c r="BS417" s="1053" t="str">
        <f t="shared" si="539"/>
        <v>-</v>
      </c>
      <c r="BT417" s="1053" t="str">
        <f t="shared" si="539"/>
        <v>-</v>
      </c>
      <c r="BU417" s="1054" t="str">
        <f t="shared" si="539"/>
        <v>-</v>
      </c>
      <c r="BV417" s="1053" t="str">
        <f t="shared" si="539"/>
        <v>-</v>
      </c>
      <c r="BW417" s="1053" t="str">
        <f t="shared" si="539"/>
        <v>-</v>
      </c>
      <c r="BX417" s="1053" t="str">
        <f t="shared" si="539"/>
        <v>-</v>
      </c>
      <c r="BY417" s="1053" t="str">
        <f t="shared" si="539"/>
        <v>-</v>
      </c>
      <c r="BZ417" s="1054" t="str">
        <f t="shared" si="539"/>
        <v>-</v>
      </c>
    </row>
    <row r="418" spans="3:78" x14ac:dyDescent="0.3">
      <c r="C418" s="126"/>
      <c r="D418" s="126"/>
      <c r="E418" s="558" t="s">
        <v>46</v>
      </c>
      <c r="F418" s="1722" t="str">
        <f>+F417</f>
        <v>[Service]</v>
      </c>
      <c r="G418" s="1724">
        <f>+G417</f>
        <v>0</v>
      </c>
      <c r="H418" s="1724">
        <f>+H417</f>
        <v>0</v>
      </c>
      <c r="I418" s="1725" t="str">
        <f>+I417</f>
        <v>[Price]</v>
      </c>
      <c r="J418" s="574" t="s">
        <v>323</v>
      </c>
      <c r="K418" s="1973"/>
      <c r="L418" s="1974"/>
      <c r="M418" s="1974"/>
      <c r="N418" s="1975"/>
      <c r="O418" s="1974"/>
      <c r="P418" s="1974"/>
      <c r="Q418" s="1974"/>
      <c r="R418" s="1976"/>
      <c r="S418" s="1980"/>
      <c r="T418" s="1976"/>
      <c r="U418" s="1976"/>
      <c r="V418" s="1976"/>
      <c r="W418" s="578"/>
      <c r="X418" s="1239"/>
      <c r="Y418" s="578"/>
      <c r="Z418" s="578"/>
      <c r="AA418" s="578"/>
      <c r="AB418" s="1143"/>
      <c r="AC418" s="578"/>
      <c r="AD418" s="578"/>
      <c r="AE418" s="578"/>
      <c r="AF418" s="578"/>
      <c r="AG418" s="580"/>
      <c r="AH418" s="579"/>
      <c r="AI418" s="578"/>
      <c r="AJ418" s="578"/>
      <c r="AK418" s="578"/>
      <c r="AL418" s="580"/>
      <c r="AN418" s="991"/>
      <c r="AP418" s="2285" t="str">
        <f t="shared" si="497"/>
        <v>Qty</v>
      </c>
      <c r="AQ418" s="2286" t="str">
        <f t="shared" si="497"/>
        <v>[Service]</v>
      </c>
      <c r="AR418" s="2287" t="str">
        <f t="shared" si="498"/>
        <v>[Price]</v>
      </c>
      <c r="AS418" s="2288" t="str">
        <f t="shared" si="527"/>
        <v>-</v>
      </c>
      <c r="AT418" s="1720" t="str">
        <f t="shared" si="527"/>
        <v>-</v>
      </c>
      <c r="AU418" s="1720" t="str">
        <f t="shared" si="527"/>
        <v>-</v>
      </c>
      <c r="AV418" s="2289" t="str">
        <f t="shared" si="527"/>
        <v>-</v>
      </c>
      <c r="AW418" s="1720" t="str">
        <f t="shared" si="527"/>
        <v>-</v>
      </c>
      <c r="AX418" s="2290" t="str">
        <f t="shared" si="527"/>
        <v>-</v>
      </c>
      <c r="AY418" s="1720" t="str">
        <f t="shared" si="527"/>
        <v>-</v>
      </c>
      <c r="AZ418" s="1720" t="str">
        <f t="shared" si="527"/>
        <v>-</v>
      </c>
      <c r="BA418" s="1720" t="str">
        <f t="shared" si="527"/>
        <v>-</v>
      </c>
      <c r="BB418" s="1721" t="str">
        <f t="shared" si="527"/>
        <v>-</v>
      </c>
      <c r="BC418" s="1720" t="str">
        <f t="shared" si="527"/>
        <v>-</v>
      </c>
      <c r="BD418" s="1720" t="str">
        <f t="shared" si="527"/>
        <v>-</v>
      </c>
      <c r="BE418" s="1720" t="str">
        <f t="shared" si="527"/>
        <v>-</v>
      </c>
      <c r="BF418" s="1720" t="str">
        <f t="shared" si="527"/>
        <v>-</v>
      </c>
      <c r="BG418" s="1721" t="str">
        <f t="shared" si="527"/>
        <v>-</v>
      </c>
      <c r="BH418" s="1048"/>
      <c r="BI418" s="2285" t="str">
        <f t="shared" si="520"/>
        <v>Qty</v>
      </c>
      <c r="BJ418" s="2286" t="str">
        <f t="shared" si="520"/>
        <v>[Service]</v>
      </c>
      <c r="BK418" s="2287" t="str">
        <f t="shared" si="520"/>
        <v>[Price]</v>
      </c>
      <c r="BL418" s="2288" t="str">
        <f t="shared" ref="BL418:BZ418" si="540">IF(OR(X418="",X418=0),"-",IFERROR((X418/W418-1)*(W419/W$13),"-"))</f>
        <v>-</v>
      </c>
      <c r="BM418" s="1720" t="str">
        <f t="shared" si="540"/>
        <v>-</v>
      </c>
      <c r="BN418" s="1720" t="str">
        <f t="shared" si="540"/>
        <v>-</v>
      </c>
      <c r="BO418" s="2289" t="str">
        <f t="shared" si="540"/>
        <v>-</v>
      </c>
      <c r="BP418" s="1720" t="str">
        <f t="shared" si="540"/>
        <v>-</v>
      </c>
      <c r="BQ418" s="2290" t="str">
        <f t="shared" si="540"/>
        <v>-</v>
      </c>
      <c r="BR418" s="1720" t="str">
        <f t="shared" si="540"/>
        <v>-</v>
      </c>
      <c r="BS418" s="1720" t="str">
        <f t="shared" si="540"/>
        <v>-</v>
      </c>
      <c r="BT418" s="1720" t="str">
        <f t="shared" si="540"/>
        <v>-</v>
      </c>
      <c r="BU418" s="1721" t="str">
        <f t="shared" si="540"/>
        <v>-</v>
      </c>
      <c r="BV418" s="1720" t="str">
        <f t="shared" si="540"/>
        <v>-</v>
      </c>
      <c r="BW418" s="1720" t="str">
        <f t="shared" si="540"/>
        <v>-</v>
      </c>
      <c r="BX418" s="1720" t="str">
        <f t="shared" si="540"/>
        <v>-</v>
      </c>
      <c r="BY418" s="1720" t="str">
        <f t="shared" si="540"/>
        <v>-</v>
      </c>
      <c r="BZ418" s="1721" t="str">
        <f t="shared" si="540"/>
        <v>-</v>
      </c>
    </row>
    <row r="419" spans="3:78" ht="12.5" thickBot="1" x14ac:dyDescent="0.35">
      <c r="C419" s="126"/>
      <c r="D419" s="126"/>
      <c r="E419" s="559" t="s">
        <v>47</v>
      </c>
      <c r="F419" s="1723" t="str">
        <f>+F417</f>
        <v>[Service]</v>
      </c>
      <c r="G419" s="1726">
        <f>+G417</f>
        <v>0</v>
      </c>
      <c r="H419" s="1726">
        <f>+H417</f>
        <v>0</v>
      </c>
      <c r="I419" s="1727" t="str">
        <f>+I417</f>
        <v>[Price]</v>
      </c>
      <c r="J419" s="556" t="s">
        <v>347</v>
      </c>
      <c r="K419" s="1977"/>
      <c r="L419" s="1206"/>
      <c r="M419" s="1206"/>
      <c r="N419" s="1978"/>
      <c r="O419" s="1206"/>
      <c r="P419" s="1206"/>
      <c r="Q419" s="1206"/>
      <c r="R419" s="1206"/>
      <c r="S419" s="1978"/>
      <c r="T419" s="1206"/>
      <c r="U419" s="1206"/>
      <c r="V419" s="1206"/>
      <c r="W419" s="1731">
        <f t="shared" ref="W419:AG419" si="541">W417*W418/10^6</f>
        <v>0</v>
      </c>
      <c r="X419" s="1730">
        <f t="shared" si="541"/>
        <v>0</v>
      </c>
      <c r="Y419" s="1731">
        <f t="shared" si="541"/>
        <v>0</v>
      </c>
      <c r="Z419" s="1731">
        <f t="shared" si="541"/>
        <v>0</v>
      </c>
      <c r="AA419" s="1731">
        <f t="shared" si="541"/>
        <v>0</v>
      </c>
      <c r="AB419" s="1733">
        <f t="shared" si="541"/>
        <v>0</v>
      </c>
      <c r="AC419" s="1731">
        <f t="shared" si="541"/>
        <v>0</v>
      </c>
      <c r="AD419" s="1731">
        <f t="shared" si="541"/>
        <v>0</v>
      </c>
      <c r="AE419" s="1731">
        <f t="shared" si="541"/>
        <v>0</v>
      </c>
      <c r="AF419" s="1731">
        <f t="shared" si="541"/>
        <v>0</v>
      </c>
      <c r="AG419" s="1733">
        <f t="shared" si="541"/>
        <v>0</v>
      </c>
      <c r="AH419" s="1732">
        <f>AH417*AH418/10^6</f>
        <v>0</v>
      </c>
      <c r="AI419" s="1731">
        <f>AI417*AI418/10^6</f>
        <v>0</v>
      </c>
      <c r="AJ419" s="1731">
        <f>AJ417*AJ418/10^6</f>
        <v>0</v>
      </c>
      <c r="AK419" s="1731">
        <f>AK417*AK418/10^6</f>
        <v>0</v>
      </c>
      <c r="AL419" s="1733">
        <f>AL417*AL418/10^6</f>
        <v>0</v>
      </c>
      <c r="AN419" s="991"/>
      <c r="AP419" s="2304" t="str">
        <f t="shared" si="497"/>
        <v>Rev</v>
      </c>
      <c r="AQ419" s="2305" t="str">
        <f t="shared" si="497"/>
        <v>[Service]</v>
      </c>
      <c r="AR419" s="2306" t="str">
        <f t="shared" si="498"/>
        <v>[Price]</v>
      </c>
      <c r="AS419" s="2307" t="str">
        <f t="shared" si="527"/>
        <v>-</v>
      </c>
      <c r="AT419" s="1055" t="str">
        <f t="shared" si="527"/>
        <v>-</v>
      </c>
      <c r="AU419" s="1055" t="str">
        <f t="shared" si="527"/>
        <v>-</v>
      </c>
      <c r="AV419" s="2308" t="str">
        <f t="shared" si="527"/>
        <v>-</v>
      </c>
      <c r="AW419" s="1055" t="str">
        <f t="shared" si="527"/>
        <v>-</v>
      </c>
      <c r="AX419" s="2309" t="str">
        <f t="shared" si="527"/>
        <v>-</v>
      </c>
      <c r="AY419" s="1055" t="str">
        <f t="shared" si="527"/>
        <v>-</v>
      </c>
      <c r="AZ419" s="1055" t="str">
        <f t="shared" si="527"/>
        <v>-</v>
      </c>
      <c r="BA419" s="1055" t="str">
        <f t="shared" si="527"/>
        <v>-</v>
      </c>
      <c r="BB419" s="1056" t="str">
        <f t="shared" si="527"/>
        <v>-</v>
      </c>
      <c r="BC419" s="1055" t="str">
        <f t="shared" si="527"/>
        <v>-</v>
      </c>
      <c r="BD419" s="1055" t="str">
        <f t="shared" si="527"/>
        <v>-</v>
      </c>
      <c r="BE419" s="1055" t="str">
        <f t="shared" si="527"/>
        <v>-</v>
      </c>
      <c r="BF419" s="1055" t="str">
        <f t="shared" si="527"/>
        <v>-</v>
      </c>
      <c r="BG419" s="1056" t="str">
        <f t="shared" si="527"/>
        <v>-</v>
      </c>
      <c r="BH419" s="1048"/>
      <c r="BI419" s="2304" t="str">
        <f t="shared" si="520"/>
        <v>Rev</v>
      </c>
      <c r="BJ419" s="2305" t="str">
        <f t="shared" si="520"/>
        <v>[Service]</v>
      </c>
      <c r="BK419" s="2306" t="str">
        <f t="shared" si="520"/>
        <v>[Price]</v>
      </c>
      <c r="BL419" s="2307" t="str">
        <f t="shared" ref="BL419:BZ419" si="542">IF(OR(X419="",X419=0),"-",IFERROR((X419/W419-1)*(W419/W$13),"-"))</f>
        <v>-</v>
      </c>
      <c r="BM419" s="1055" t="str">
        <f t="shared" si="542"/>
        <v>-</v>
      </c>
      <c r="BN419" s="1055" t="str">
        <f t="shared" si="542"/>
        <v>-</v>
      </c>
      <c r="BO419" s="2308" t="str">
        <f t="shared" si="542"/>
        <v>-</v>
      </c>
      <c r="BP419" s="1055" t="str">
        <f t="shared" si="542"/>
        <v>-</v>
      </c>
      <c r="BQ419" s="2309" t="str">
        <f t="shared" si="542"/>
        <v>-</v>
      </c>
      <c r="BR419" s="1055" t="str">
        <f t="shared" si="542"/>
        <v>-</v>
      </c>
      <c r="BS419" s="1055" t="str">
        <f t="shared" si="542"/>
        <v>-</v>
      </c>
      <c r="BT419" s="1055" t="str">
        <f t="shared" si="542"/>
        <v>-</v>
      </c>
      <c r="BU419" s="1056" t="str">
        <f t="shared" si="542"/>
        <v>-</v>
      </c>
      <c r="BV419" s="1055" t="str">
        <f t="shared" si="542"/>
        <v>-</v>
      </c>
      <c r="BW419" s="1055" t="str">
        <f t="shared" si="542"/>
        <v>-</v>
      </c>
      <c r="BX419" s="1055" t="str">
        <f t="shared" si="542"/>
        <v>-</v>
      </c>
      <c r="BY419" s="1055" t="str">
        <f t="shared" si="542"/>
        <v>-</v>
      </c>
      <c r="BZ419" s="1056" t="str">
        <f t="shared" si="542"/>
        <v>-</v>
      </c>
    </row>
    <row r="420" spans="3:78" x14ac:dyDescent="0.3">
      <c r="C420" s="126"/>
      <c r="D420" s="126">
        <f>D417+1</f>
        <v>118</v>
      </c>
      <c r="E420" s="553" t="s">
        <v>45</v>
      </c>
      <c r="F420" s="581" t="s">
        <v>28</v>
      </c>
      <c r="G420" s="581"/>
      <c r="H420" s="581"/>
      <c r="I420" s="573" t="s">
        <v>319</v>
      </c>
      <c r="J420" s="573" t="s">
        <v>348</v>
      </c>
      <c r="K420" s="1969"/>
      <c r="L420" s="1970"/>
      <c r="M420" s="1970"/>
      <c r="N420" s="1971"/>
      <c r="O420" s="1970"/>
      <c r="P420" s="1970"/>
      <c r="Q420" s="1970"/>
      <c r="R420" s="1972"/>
      <c r="S420" s="1979"/>
      <c r="T420" s="1972"/>
      <c r="U420" s="1972"/>
      <c r="V420" s="1972"/>
      <c r="W420" s="575"/>
      <c r="X420" s="1238"/>
      <c r="Y420" s="575"/>
      <c r="Z420" s="575"/>
      <c r="AA420" s="575"/>
      <c r="AB420" s="1142"/>
      <c r="AC420" s="575"/>
      <c r="AD420" s="575"/>
      <c r="AE420" s="575"/>
      <c r="AF420" s="575"/>
      <c r="AG420" s="577"/>
      <c r="AH420" s="576"/>
      <c r="AI420" s="575"/>
      <c r="AJ420" s="575"/>
      <c r="AK420" s="575"/>
      <c r="AL420" s="577"/>
      <c r="AN420" s="1052"/>
      <c r="AP420" s="2297" t="str">
        <f t="shared" si="497"/>
        <v>Price</v>
      </c>
      <c r="AQ420" s="2298" t="str">
        <f t="shared" si="497"/>
        <v>[Service]</v>
      </c>
      <c r="AR420" s="1719" t="str">
        <f t="shared" si="498"/>
        <v>[Price]</v>
      </c>
      <c r="AS420" s="2299" t="str">
        <f t="shared" si="527"/>
        <v>-</v>
      </c>
      <c r="AT420" s="1728" t="str">
        <f t="shared" si="527"/>
        <v>-</v>
      </c>
      <c r="AU420" s="1728" t="str">
        <f t="shared" si="527"/>
        <v>-</v>
      </c>
      <c r="AV420" s="2300" t="str">
        <f t="shared" si="527"/>
        <v>-</v>
      </c>
      <c r="AW420" s="1728" t="str">
        <f t="shared" si="527"/>
        <v>-</v>
      </c>
      <c r="AX420" s="2301" t="str">
        <f t="shared" si="527"/>
        <v>-</v>
      </c>
      <c r="AY420" s="1728" t="str">
        <f t="shared" si="527"/>
        <v>-</v>
      </c>
      <c r="AZ420" s="1728" t="str">
        <f t="shared" si="527"/>
        <v>-</v>
      </c>
      <c r="BA420" s="1728" t="str">
        <f t="shared" si="527"/>
        <v>-</v>
      </c>
      <c r="BB420" s="1729" t="str">
        <f t="shared" si="527"/>
        <v>-</v>
      </c>
      <c r="BC420" s="1728" t="str">
        <f t="shared" si="527"/>
        <v>-</v>
      </c>
      <c r="BD420" s="1728" t="str">
        <f t="shared" si="527"/>
        <v>-</v>
      </c>
      <c r="BE420" s="1728" t="str">
        <f t="shared" si="527"/>
        <v>-</v>
      </c>
      <c r="BF420" s="1728" t="str">
        <f t="shared" si="527"/>
        <v>-</v>
      </c>
      <c r="BG420" s="1729" t="str">
        <f t="shared" si="527"/>
        <v>-</v>
      </c>
      <c r="BH420" s="1048"/>
      <c r="BI420" s="2297" t="str">
        <f t="shared" si="520"/>
        <v>Price</v>
      </c>
      <c r="BJ420" s="2298" t="str">
        <f t="shared" si="520"/>
        <v>[Service]</v>
      </c>
      <c r="BK420" s="1719" t="str">
        <f t="shared" si="520"/>
        <v>[Price]</v>
      </c>
      <c r="BL420" s="2299" t="str">
        <f t="shared" ref="BL420:BZ420" si="543">IF(OR(X420="",X420=0),"-",IFERROR((X420/W420-1)*(W422/W$13),"-"))</f>
        <v>-</v>
      </c>
      <c r="BM420" s="1053" t="str">
        <f t="shared" si="543"/>
        <v>-</v>
      </c>
      <c r="BN420" s="1053" t="str">
        <f t="shared" si="543"/>
        <v>-</v>
      </c>
      <c r="BO420" s="2302" t="str">
        <f t="shared" si="543"/>
        <v>-</v>
      </c>
      <c r="BP420" s="1053" t="str">
        <f t="shared" si="543"/>
        <v>-</v>
      </c>
      <c r="BQ420" s="2303" t="str">
        <f t="shared" si="543"/>
        <v>-</v>
      </c>
      <c r="BR420" s="1053" t="str">
        <f t="shared" si="543"/>
        <v>-</v>
      </c>
      <c r="BS420" s="1053" t="str">
        <f t="shared" si="543"/>
        <v>-</v>
      </c>
      <c r="BT420" s="1053" t="str">
        <f t="shared" si="543"/>
        <v>-</v>
      </c>
      <c r="BU420" s="1054" t="str">
        <f t="shared" si="543"/>
        <v>-</v>
      </c>
      <c r="BV420" s="1053" t="str">
        <f t="shared" si="543"/>
        <v>-</v>
      </c>
      <c r="BW420" s="1053" t="str">
        <f t="shared" si="543"/>
        <v>-</v>
      </c>
      <c r="BX420" s="1053" t="str">
        <f t="shared" si="543"/>
        <v>-</v>
      </c>
      <c r="BY420" s="1053" t="str">
        <f t="shared" si="543"/>
        <v>-</v>
      </c>
      <c r="BZ420" s="1054" t="str">
        <f t="shared" si="543"/>
        <v>-</v>
      </c>
    </row>
    <row r="421" spans="3:78" x14ac:dyDescent="0.3">
      <c r="C421" s="126"/>
      <c r="D421" s="126"/>
      <c r="E421" s="558" t="s">
        <v>46</v>
      </c>
      <c r="F421" s="1722" t="str">
        <f>+F420</f>
        <v>[Service]</v>
      </c>
      <c r="G421" s="1724">
        <f>+G420</f>
        <v>0</v>
      </c>
      <c r="H421" s="1724">
        <f>+H420</f>
        <v>0</v>
      </c>
      <c r="I421" s="1725" t="str">
        <f>+I420</f>
        <v>[Price]</v>
      </c>
      <c r="J421" s="574" t="s">
        <v>323</v>
      </c>
      <c r="K421" s="1973"/>
      <c r="L421" s="1974"/>
      <c r="M421" s="1974"/>
      <c r="N421" s="1975"/>
      <c r="O421" s="1974"/>
      <c r="P421" s="1974"/>
      <c r="Q421" s="1974"/>
      <c r="R421" s="1976"/>
      <c r="S421" s="1980"/>
      <c r="T421" s="1976"/>
      <c r="U421" s="1976"/>
      <c r="V421" s="1976"/>
      <c r="W421" s="578"/>
      <c r="X421" s="1239"/>
      <c r="Y421" s="578"/>
      <c r="Z421" s="578"/>
      <c r="AA421" s="578"/>
      <c r="AB421" s="1143"/>
      <c r="AC421" s="578"/>
      <c r="AD421" s="578"/>
      <c r="AE421" s="578"/>
      <c r="AF421" s="578"/>
      <c r="AG421" s="580"/>
      <c r="AH421" s="579"/>
      <c r="AI421" s="578"/>
      <c r="AJ421" s="578"/>
      <c r="AK421" s="578"/>
      <c r="AL421" s="580"/>
      <c r="AN421" s="991"/>
      <c r="AP421" s="2285" t="str">
        <f t="shared" si="497"/>
        <v>Qty</v>
      </c>
      <c r="AQ421" s="2286" t="str">
        <f t="shared" si="497"/>
        <v>[Service]</v>
      </c>
      <c r="AR421" s="2287" t="str">
        <f t="shared" si="498"/>
        <v>[Price]</v>
      </c>
      <c r="AS421" s="2288" t="str">
        <f t="shared" si="527"/>
        <v>-</v>
      </c>
      <c r="AT421" s="1720" t="str">
        <f t="shared" si="527"/>
        <v>-</v>
      </c>
      <c r="AU421" s="1720" t="str">
        <f t="shared" si="527"/>
        <v>-</v>
      </c>
      <c r="AV421" s="2289" t="str">
        <f t="shared" si="527"/>
        <v>-</v>
      </c>
      <c r="AW421" s="1720" t="str">
        <f t="shared" si="527"/>
        <v>-</v>
      </c>
      <c r="AX421" s="2290" t="str">
        <f t="shared" si="527"/>
        <v>-</v>
      </c>
      <c r="AY421" s="1720" t="str">
        <f t="shared" si="527"/>
        <v>-</v>
      </c>
      <c r="AZ421" s="1720" t="str">
        <f t="shared" si="527"/>
        <v>-</v>
      </c>
      <c r="BA421" s="1720" t="str">
        <f t="shared" si="527"/>
        <v>-</v>
      </c>
      <c r="BB421" s="1721" t="str">
        <f t="shared" si="527"/>
        <v>-</v>
      </c>
      <c r="BC421" s="1720" t="str">
        <f t="shared" si="527"/>
        <v>-</v>
      </c>
      <c r="BD421" s="1720" t="str">
        <f t="shared" si="527"/>
        <v>-</v>
      </c>
      <c r="BE421" s="1720" t="str">
        <f t="shared" si="527"/>
        <v>-</v>
      </c>
      <c r="BF421" s="1720" t="str">
        <f t="shared" si="527"/>
        <v>-</v>
      </c>
      <c r="BG421" s="1721" t="str">
        <f t="shared" si="527"/>
        <v>-</v>
      </c>
      <c r="BH421" s="1048"/>
      <c r="BI421" s="2285" t="str">
        <f t="shared" si="520"/>
        <v>Qty</v>
      </c>
      <c r="BJ421" s="2286" t="str">
        <f t="shared" si="520"/>
        <v>[Service]</v>
      </c>
      <c r="BK421" s="2287" t="str">
        <f t="shared" si="520"/>
        <v>[Price]</v>
      </c>
      <c r="BL421" s="2288" t="str">
        <f t="shared" ref="BL421:BZ421" si="544">IF(OR(X421="",X421=0),"-",IFERROR((X421/W421-1)*(W422/W$13),"-"))</f>
        <v>-</v>
      </c>
      <c r="BM421" s="1720" t="str">
        <f t="shared" si="544"/>
        <v>-</v>
      </c>
      <c r="BN421" s="1720" t="str">
        <f t="shared" si="544"/>
        <v>-</v>
      </c>
      <c r="BO421" s="2289" t="str">
        <f t="shared" si="544"/>
        <v>-</v>
      </c>
      <c r="BP421" s="1720" t="str">
        <f t="shared" si="544"/>
        <v>-</v>
      </c>
      <c r="BQ421" s="2290" t="str">
        <f t="shared" si="544"/>
        <v>-</v>
      </c>
      <c r="BR421" s="1720" t="str">
        <f t="shared" si="544"/>
        <v>-</v>
      </c>
      <c r="BS421" s="1720" t="str">
        <f t="shared" si="544"/>
        <v>-</v>
      </c>
      <c r="BT421" s="1720" t="str">
        <f t="shared" si="544"/>
        <v>-</v>
      </c>
      <c r="BU421" s="1721" t="str">
        <f t="shared" si="544"/>
        <v>-</v>
      </c>
      <c r="BV421" s="1720" t="str">
        <f t="shared" si="544"/>
        <v>-</v>
      </c>
      <c r="BW421" s="1720" t="str">
        <f t="shared" si="544"/>
        <v>-</v>
      </c>
      <c r="BX421" s="1720" t="str">
        <f t="shared" si="544"/>
        <v>-</v>
      </c>
      <c r="BY421" s="1720" t="str">
        <f t="shared" si="544"/>
        <v>-</v>
      </c>
      <c r="BZ421" s="1721" t="str">
        <f t="shared" si="544"/>
        <v>-</v>
      </c>
    </row>
    <row r="422" spans="3:78" ht="12.5" thickBot="1" x14ac:dyDescent="0.35">
      <c r="C422" s="126"/>
      <c r="D422" s="126"/>
      <c r="E422" s="559" t="s">
        <v>47</v>
      </c>
      <c r="F422" s="1723" t="str">
        <f>+F420</f>
        <v>[Service]</v>
      </c>
      <c r="G422" s="1726">
        <f>+G420</f>
        <v>0</v>
      </c>
      <c r="H422" s="1726">
        <f>+H420</f>
        <v>0</v>
      </c>
      <c r="I422" s="1727" t="str">
        <f>+I420</f>
        <v>[Price]</v>
      </c>
      <c r="J422" s="556" t="s">
        <v>347</v>
      </c>
      <c r="K422" s="1977"/>
      <c r="L422" s="1206"/>
      <c r="M422" s="1206"/>
      <c r="N422" s="1978"/>
      <c r="O422" s="1206"/>
      <c r="P422" s="1206"/>
      <c r="Q422" s="1206"/>
      <c r="R422" s="1206"/>
      <c r="S422" s="1978"/>
      <c r="T422" s="1206"/>
      <c r="U422" s="1206"/>
      <c r="V422" s="1206"/>
      <c r="W422" s="1731">
        <f t="shared" ref="W422:AG422" si="545">W420*W421/10^6</f>
        <v>0</v>
      </c>
      <c r="X422" s="1730">
        <f t="shared" si="545"/>
        <v>0</v>
      </c>
      <c r="Y422" s="1731">
        <f t="shared" si="545"/>
        <v>0</v>
      </c>
      <c r="Z422" s="1731">
        <f t="shared" si="545"/>
        <v>0</v>
      </c>
      <c r="AA422" s="1731">
        <f t="shared" si="545"/>
        <v>0</v>
      </c>
      <c r="AB422" s="1733">
        <f t="shared" si="545"/>
        <v>0</v>
      </c>
      <c r="AC422" s="1731">
        <f t="shared" si="545"/>
        <v>0</v>
      </c>
      <c r="AD422" s="1731">
        <f t="shared" si="545"/>
        <v>0</v>
      </c>
      <c r="AE422" s="1731">
        <f t="shared" si="545"/>
        <v>0</v>
      </c>
      <c r="AF422" s="1731">
        <f t="shared" si="545"/>
        <v>0</v>
      </c>
      <c r="AG422" s="1733">
        <f t="shared" si="545"/>
        <v>0</v>
      </c>
      <c r="AH422" s="1732">
        <f>AH420*AH421/10^6</f>
        <v>0</v>
      </c>
      <c r="AI422" s="1731">
        <f>AI420*AI421/10^6</f>
        <v>0</v>
      </c>
      <c r="AJ422" s="1731">
        <f>AJ420*AJ421/10^6</f>
        <v>0</v>
      </c>
      <c r="AK422" s="1731">
        <f>AK420*AK421/10^6</f>
        <v>0</v>
      </c>
      <c r="AL422" s="1733">
        <f>AL420*AL421/10^6</f>
        <v>0</v>
      </c>
      <c r="AN422" s="991"/>
      <c r="AP422" s="2304" t="str">
        <f t="shared" si="497"/>
        <v>Rev</v>
      </c>
      <c r="AQ422" s="2305" t="str">
        <f t="shared" si="497"/>
        <v>[Service]</v>
      </c>
      <c r="AR422" s="2306" t="str">
        <f t="shared" si="498"/>
        <v>[Price]</v>
      </c>
      <c r="AS422" s="2307" t="str">
        <f t="shared" si="527"/>
        <v>-</v>
      </c>
      <c r="AT422" s="1055" t="str">
        <f t="shared" si="527"/>
        <v>-</v>
      </c>
      <c r="AU422" s="1055" t="str">
        <f t="shared" si="527"/>
        <v>-</v>
      </c>
      <c r="AV422" s="2308" t="str">
        <f t="shared" si="527"/>
        <v>-</v>
      </c>
      <c r="AW422" s="1055" t="str">
        <f t="shared" si="527"/>
        <v>-</v>
      </c>
      <c r="AX422" s="2309" t="str">
        <f t="shared" si="527"/>
        <v>-</v>
      </c>
      <c r="AY422" s="1055" t="str">
        <f t="shared" si="527"/>
        <v>-</v>
      </c>
      <c r="AZ422" s="1055" t="str">
        <f t="shared" si="527"/>
        <v>-</v>
      </c>
      <c r="BA422" s="1055" t="str">
        <f t="shared" si="527"/>
        <v>-</v>
      </c>
      <c r="BB422" s="1056" t="str">
        <f t="shared" si="527"/>
        <v>-</v>
      </c>
      <c r="BC422" s="1055" t="str">
        <f t="shared" si="527"/>
        <v>-</v>
      </c>
      <c r="BD422" s="1055" t="str">
        <f t="shared" si="527"/>
        <v>-</v>
      </c>
      <c r="BE422" s="1055" t="str">
        <f t="shared" si="527"/>
        <v>-</v>
      </c>
      <c r="BF422" s="1055" t="str">
        <f t="shared" si="527"/>
        <v>-</v>
      </c>
      <c r="BG422" s="1056" t="str">
        <f t="shared" si="527"/>
        <v>-</v>
      </c>
      <c r="BH422" s="1048"/>
      <c r="BI422" s="2304" t="str">
        <f t="shared" si="520"/>
        <v>Rev</v>
      </c>
      <c r="BJ422" s="2305" t="str">
        <f t="shared" si="520"/>
        <v>[Service]</v>
      </c>
      <c r="BK422" s="2306" t="str">
        <f t="shared" si="520"/>
        <v>[Price]</v>
      </c>
      <c r="BL422" s="2307" t="str">
        <f t="shared" ref="BL422:BZ422" si="546">IF(OR(X422="",X422=0),"-",IFERROR((X422/W422-1)*(W422/W$13),"-"))</f>
        <v>-</v>
      </c>
      <c r="BM422" s="1055" t="str">
        <f t="shared" si="546"/>
        <v>-</v>
      </c>
      <c r="BN422" s="1055" t="str">
        <f t="shared" si="546"/>
        <v>-</v>
      </c>
      <c r="BO422" s="2308" t="str">
        <f t="shared" si="546"/>
        <v>-</v>
      </c>
      <c r="BP422" s="1055" t="str">
        <f t="shared" si="546"/>
        <v>-</v>
      </c>
      <c r="BQ422" s="2309" t="str">
        <f t="shared" si="546"/>
        <v>-</v>
      </c>
      <c r="BR422" s="1055" t="str">
        <f t="shared" si="546"/>
        <v>-</v>
      </c>
      <c r="BS422" s="1055" t="str">
        <f t="shared" si="546"/>
        <v>-</v>
      </c>
      <c r="BT422" s="1055" t="str">
        <f t="shared" si="546"/>
        <v>-</v>
      </c>
      <c r="BU422" s="1056" t="str">
        <f t="shared" si="546"/>
        <v>-</v>
      </c>
      <c r="BV422" s="1055" t="str">
        <f t="shared" si="546"/>
        <v>-</v>
      </c>
      <c r="BW422" s="1055" t="str">
        <f t="shared" si="546"/>
        <v>-</v>
      </c>
      <c r="BX422" s="1055" t="str">
        <f t="shared" si="546"/>
        <v>-</v>
      </c>
      <c r="BY422" s="1055" t="str">
        <f t="shared" si="546"/>
        <v>-</v>
      </c>
      <c r="BZ422" s="1056" t="str">
        <f t="shared" si="546"/>
        <v>-</v>
      </c>
    </row>
    <row r="423" spans="3:78" x14ac:dyDescent="0.3">
      <c r="C423" s="126"/>
      <c r="D423" s="126">
        <f>D420+1</f>
        <v>119</v>
      </c>
      <c r="E423" s="553" t="s">
        <v>45</v>
      </c>
      <c r="F423" s="581" t="s">
        <v>28</v>
      </c>
      <c r="G423" s="581"/>
      <c r="H423" s="581"/>
      <c r="I423" s="573" t="s">
        <v>319</v>
      </c>
      <c r="J423" s="573" t="s">
        <v>348</v>
      </c>
      <c r="K423" s="1969"/>
      <c r="L423" s="1970"/>
      <c r="M423" s="1970"/>
      <c r="N423" s="1971"/>
      <c r="O423" s="1970"/>
      <c r="P423" s="1970"/>
      <c r="Q423" s="1970"/>
      <c r="R423" s="1972"/>
      <c r="S423" s="1979"/>
      <c r="T423" s="1972"/>
      <c r="U423" s="1972"/>
      <c r="V423" s="1972"/>
      <c r="W423" s="575"/>
      <c r="X423" s="1238"/>
      <c r="Y423" s="575"/>
      <c r="Z423" s="575"/>
      <c r="AA423" s="575"/>
      <c r="AB423" s="1142"/>
      <c r="AC423" s="575"/>
      <c r="AD423" s="575"/>
      <c r="AE423" s="575"/>
      <c r="AF423" s="575"/>
      <c r="AG423" s="577"/>
      <c r="AH423" s="576"/>
      <c r="AI423" s="575"/>
      <c r="AJ423" s="575"/>
      <c r="AK423" s="575"/>
      <c r="AL423" s="577"/>
      <c r="AN423" s="1052"/>
      <c r="AP423" s="2297" t="str">
        <f t="shared" si="497"/>
        <v>Price</v>
      </c>
      <c r="AQ423" s="2298" t="str">
        <f t="shared" si="497"/>
        <v>[Service]</v>
      </c>
      <c r="AR423" s="1719" t="str">
        <f t="shared" si="498"/>
        <v>[Price]</v>
      </c>
      <c r="AS423" s="2299" t="str">
        <f t="shared" si="527"/>
        <v>-</v>
      </c>
      <c r="AT423" s="1728" t="str">
        <f t="shared" si="527"/>
        <v>-</v>
      </c>
      <c r="AU423" s="1728" t="str">
        <f t="shared" si="527"/>
        <v>-</v>
      </c>
      <c r="AV423" s="2300" t="str">
        <f t="shared" si="527"/>
        <v>-</v>
      </c>
      <c r="AW423" s="1728" t="str">
        <f t="shared" si="527"/>
        <v>-</v>
      </c>
      <c r="AX423" s="2301" t="str">
        <f t="shared" si="527"/>
        <v>-</v>
      </c>
      <c r="AY423" s="1728" t="str">
        <f t="shared" si="527"/>
        <v>-</v>
      </c>
      <c r="AZ423" s="1728" t="str">
        <f t="shared" si="527"/>
        <v>-</v>
      </c>
      <c r="BA423" s="1728" t="str">
        <f t="shared" si="527"/>
        <v>-</v>
      </c>
      <c r="BB423" s="1729" t="str">
        <f t="shared" si="527"/>
        <v>-</v>
      </c>
      <c r="BC423" s="1728" t="str">
        <f t="shared" si="527"/>
        <v>-</v>
      </c>
      <c r="BD423" s="1728" t="str">
        <f t="shared" si="527"/>
        <v>-</v>
      </c>
      <c r="BE423" s="1728" t="str">
        <f t="shared" si="527"/>
        <v>-</v>
      </c>
      <c r="BF423" s="1728" t="str">
        <f t="shared" si="527"/>
        <v>-</v>
      </c>
      <c r="BG423" s="1729" t="str">
        <f t="shared" si="527"/>
        <v>-</v>
      </c>
      <c r="BH423" s="1048"/>
      <c r="BI423" s="2297" t="str">
        <f t="shared" si="520"/>
        <v>Price</v>
      </c>
      <c r="BJ423" s="2298" t="str">
        <f t="shared" si="520"/>
        <v>[Service]</v>
      </c>
      <c r="BK423" s="1719" t="str">
        <f t="shared" si="520"/>
        <v>[Price]</v>
      </c>
      <c r="BL423" s="2299" t="str">
        <f t="shared" ref="BL423:BZ423" si="547">IF(OR(X423="",X423=0),"-",IFERROR((X423/W423-1)*(W425/W$13),"-"))</f>
        <v>-</v>
      </c>
      <c r="BM423" s="1053" t="str">
        <f t="shared" si="547"/>
        <v>-</v>
      </c>
      <c r="BN423" s="1053" t="str">
        <f t="shared" si="547"/>
        <v>-</v>
      </c>
      <c r="BO423" s="2302" t="str">
        <f t="shared" si="547"/>
        <v>-</v>
      </c>
      <c r="BP423" s="1053" t="str">
        <f t="shared" si="547"/>
        <v>-</v>
      </c>
      <c r="BQ423" s="2303" t="str">
        <f t="shared" si="547"/>
        <v>-</v>
      </c>
      <c r="BR423" s="1053" t="str">
        <f t="shared" si="547"/>
        <v>-</v>
      </c>
      <c r="BS423" s="1053" t="str">
        <f t="shared" si="547"/>
        <v>-</v>
      </c>
      <c r="BT423" s="1053" t="str">
        <f t="shared" si="547"/>
        <v>-</v>
      </c>
      <c r="BU423" s="1054" t="str">
        <f t="shared" si="547"/>
        <v>-</v>
      </c>
      <c r="BV423" s="1053" t="str">
        <f t="shared" si="547"/>
        <v>-</v>
      </c>
      <c r="BW423" s="1053" t="str">
        <f t="shared" si="547"/>
        <v>-</v>
      </c>
      <c r="BX423" s="1053" t="str">
        <f t="shared" si="547"/>
        <v>-</v>
      </c>
      <c r="BY423" s="1053" t="str">
        <f t="shared" si="547"/>
        <v>-</v>
      </c>
      <c r="BZ423" s="1054" t="str">
        <f t="shared" si="547"/>
        <v>-</v>
      </c>
    </row>
    <row r="424" spans="3:78" x14ac:dyDescent="0.3">
      <c r="C424" s="126"/>
      <c r="D424" s="126"/>
      <c r="E424" s="558" t="s">
        <v>46</v>
      </c>
      <c r="F424" s="1722" t="str">
        <f>+F423</f>
        <v>[Service]</v>
      </c>
      <c r="G424" s="1724">
        <f>+G423</f>
        <v>0</v>
      </c>
      <c r="H424" s="1724">
        <f>+H423</f>
        <v>0</v>
      </c>
      <c r="I424" s="1725" t="str">
        <f>+I423</f>
        <v>[Price]</v>
      </c>
      <c r="J424" s="574" t="s">
        <v>323</v>
      </c>
      <c r="K424" s="1973"/>
      <c r="L424" s="1974"/>
      <c r="M424" s="1974"/>
      <c r="N424" s="1975"/>
      <c r="O424" s="1974"/>
      <c r="P424" s="1974"/>
      <c r="Q424" s="1974"/>
      <c r="R424" s="1976"/>
      <c r="S424" s="1980"/>
      <c r="T424" s="1976"/>
      <c r="U424" s="1976"/>
      <c r="V424" s="1976"/>
      <c r="W424" s="578"/>
      <c r="X424" s="1239"/>
      <c r="Y424" s="578"/>
      <c r="Z424" s="578"/>
      <c r="AA424" s="578"/>
      <c r="AB424" s="1143"/>
      <c r="AC424" s="578"/>
      <c r="AD424" s="578"/>
      <c r="AE424" s="578"/>
      <c r="AF424" s="578"/>
      <c r="AG424" s="580"/>
      <c r="AH424" s="579"/>
      <c r="AI424" s="578"/>
      <c r="AJ424" s="578"/>
      <c r="AK424" s="578"/>
      <c r="AL424" s="580"/>
      <c r="AN424" s="991"/>
      <c r="AP424" s="2285" t="str">
        <f t="shared" si="497"/>
        <v>Qty</v>
      </c>
      <c r="AQ424" s="2286" t="str">
        <f t="shared" si="497"/>
        <v>[Service]</v>
      </c>
      <c r="AR424" s="2287" t="str">
        <f t="shared" si="498"/>
        <v>[Price]</v>
      </c>
      <c r="AS424" s="2288" t="str">
        <f t="shared" si="527"/>
        <v>-</v>
      </c>
      <c r="AT424" s="1720" t="str">
        <f t="shared" si="527"/>
        <v>-</v>
      </c>
      <c r="AU424" s="1720" t="str">
        <f t="shared" si="527"/>
        <v>-</v>
      </c>
      <c r="AV424" s="2289" t="str">
        <f t="shared" si="527"/>
        <v>-</v>
      </c>
      <c r="AW424" s="1720" t="str">
        <f t="shared" si="527"/>
        <v>-</v>
      </c>
      <c r="AX424" s="2290" t="str">
        <f t="shared" si="527"/>
        <v>-</v>
      </c>
      <c r="AY424" s="1720" t="str">
        <f t="shared" si="527"/>
        <v>-</v>
      </c>
      <c r="AZ424" s="1720" t="str">
        <f t="shared" si="527"/>
        <v>-</v>
      </c>
      <c r="BA424" s="1720" t="str">
        <f t="shared" si="527"/>
        <v>-</v>
      </c>
      <c r="BB424" s="1721" t="str">
        <f t="shared" si="527"/>
        <v>-</v>
      </c>
      <c r="BC424" s="1720" t="str">
        <f t="shared" si="527"/>
        <v>-</v>
      </c>
      <c r="BD424" s="1720" t="str">
        <f t="shared" si="527"/>
        <v>-</v>
      </c>
      <c r="BE424" s="1720" t="str">
        <f t="shared" si="527"/>
        <v>-</v>
      </c>
      <c r="BF424" s="1720" t="str">
        <f t="shared" si="527"/>
        <v>-</v>
      </c>
      <c r="BG424" s="1721" t="str">
        <f t="shared" si="527"/>
        <v>-</v>
      </c>
      <c r="BH424" s="1048"/>
      <c r="BI424" s="2285" t="str">
        <f t="shared" si="520"/>
        <v>Qty</v>
      </c>
      <c r="BJ424" s="2286" t="str">
        <f t="shared" si="520"/>
        <v>[Service]</v>
      </c>
      <c r="BK424" s="2287" t="str">
        <f t="shared" si="520"/>
        <v>[Price]</v>
      </c>
      <c r="BL424" s="2288" t="str">
        <f t="shared" ref="BL424:BZ424" si="548">IF(OR(X424="",X424=0),"-",IFERROR((X424/W424-1)*(W425/W$13),"-"))</f>
        <v>-</v>
      </c>
      <c r="BM424" s="1720" t="str">
        <f t="shared" si="548"/>
        <v>-</v>
      </c>
      <c r="BN424" s="1720" t="str">
        <f t="shared" si="548"/>
        <v>-</v>
      </c>
      <c r="BO424" s="2289" t="str">
        <f t="shared" si="548"/>
        <v>-</v>
      </c>
      <c r="BP424" s="1720" t="str">
        <f t="shared" si="548"/>
        <v>-</v>
      </c>
      <c r="BQ424" s="2290" t="str">
        <f t="shared" si="548"/>
        <v>-</v>
      </c>
      <c r="BR424" s="1720" t="str">
        <f t="shared" si="548"/>
        <v>-</v>
      </c>
      <c r="BS424" s="1720" t="str">
        <f t="shared" si="548"/>
        <v>-</v>
      </c>
      <c r="BT424" s="1720" t="str">
        <f t="shared" si="548"/>
        <v>-</v>
      </c>
      <c r="BU424" s="1721" t="str">
        <f t="shared" si="548"/>
        <v>-</v>
      </c>
      <c r="BV424" s="1720" t="str">
        <f t="shared" si="548"/>
        <v>-</v>
      </c>
      <c r="BW424" s="1720" t="str">
        <f t="shared" si="548"/>
        <v>-</v>
      </c>
      <c r="BX424" s="1720" t="str">
        <f t="shared" si="548"/>
        <v>-</v>
      </c>
      <c r="BY424" s="1720" t="str">
        <f t="shared" si="548"/>
        <v>-</v>
      </c>
      <c r="BZ424" s="1721" t="str">
        <f t="shared" si="548"/>
        <v>-</v>
      </c>
    </row>
    <row r="425" spans="3:78" ht="12.5" thickBot="1" x14ac:dyDescent="0.35">
      <c r="C425" s="126"/>
      <c r="D425" s="126"/>
      <c r="E425" s="559" t="s">
        <v>47</v>
      </c>
      <c r="F425" s="1723" t="str">
        <f>+F423</f>
        <v>[Service]</v>
      </c>
      <c r="G425" s="1726">
        <f>+G423</f>
        <v>0</v>
      </c>
      <c r="H425" s="1726">
        <f>+H423</f>
        <v>0</v>
      </c>
      <c r="I425" s="1727" t="str">
        <f>+I423</f>
        <v>[Price]</v>
      </c>
      <c r="J425" s="556" t="s">
        <v>347</v>
      </c>
      <c r="K425" s="1977"/>
      <c r="L425" s="1206"/>
      <c r="M425" s="1206"/>
      <c r="N425" s="1978"/>
      <c r="O425" s="1206"/>
      <c r="P425" s="1206"/>
      <c r="Q425" s="1206"/>
      <c r="R425" s="1206"/>
      <c r="S425" s="1978"/>
      <c r="T425" s="1206"/>
      <c r="U425" s="1206"/>
      <c r="V425" s="1206"/>
      <c r="W425" s="1731">
        <f t="shared" ref="W425:AG425" si="549">W423*W424/10^6</f>
        <v>0</v>
      </c>
      <c r="X425" s="1730">
        <f t="shared" si="549"/>
        <v>0</v>
      </c>
      <c r="Y425" s="1731">
        <f t="shared" si="549"/>
        <v>0</v>
      </c>
      <c r="Z425" s="1731">
        <f t="shared" si="549"/>
        <v>0</v>
      </c>
      <c r="AA425" s="1731">
        <f t="shared" si="549"/>
        <v>0</v>
      </c>
      <c r="AB425" s="1733">
        <f t="shared" si="549"/>
        <v>0</v>
      </c>
      <c r="AC425" s="1731">
        <f t="shared" si="549"/>
        <v>0</v>
      </c>
      <c r="AD425" s="1731">
        <f t="shared" si="549"/>
        <v>0</v>
      </c>
      <c r="AE425" s="1731">
        <f t="shared" si="549"/>
        <v>0</v>
      </c>
      <c r="AF425" s="1731">
        <f t="shared" si="549"/>
        <v>0</v>
      </c>
      <c r="AG425" s="1733">
        <f t="shared" si="549"/>
        <v>0</v>
      </c>
      <c r="AH425" s="1732">
        <f>AH423*AH424/10^6</f>
        <v>0</v>
      </c>
      <c r="AI425" s="1731">
        <f>AI423*AI424/10^6</f>
        <v>0</v>
      </c>
      <c r="AJ425" s="1731">
        <f>AJ423*AJ424/10^6</f>
        <v>0</v>
      </c>
      <c r="AK425" s="1731">
        <f>AK423*AK424/10^6</f>
        <v>0</v>
      </c>
      <c r="AL425" s="1733">
        <f>AL423*AL424/10^6</f>
        <v>0</v>
      </c>
      <c r="AN425" s="991"/>
      <c r="AP425" s="2304" t="str">
        <f t="shared" si="497"/>
        <v>Rev</v>
      </c>
      <c r="AQ425" s="2305" t="str">
        <f t="shared" si="497"/>
        <v>[Service]</v>
      </c>
      <c r="AR425" s="2306" t="str">
        <f t="shared" si="498"/>
        <v>[Price]</v>
      </c>
      <c r="AS425" s="2307" t="str">
        <f t="shared" si="527"/>
        <v>-</v>
      </c>
      <c r="AT425" s="1055" t="str">
        <f t="shared" si="527"/>
        <v>-</v>
      </c>
      <c r="AU425" s="1055" t="str">
        <f t="shared" si="527"/>
        <v>-</v>
      </c>
      <c r="AV425" s="2308" t="str">
        <f t="shared" si="527"/>
        <v>-</v>
      </c>
      <c r="AW425" s="1055" t="str">
        <f t="shared" si="527"/>
        <v>-</v>
      </c>
      <c r="AX425" s="2309" t="str">
        <f t="shared" si="527"/>
        <v>-</v>
      </c>
      <c r="AY425" s="1055" t="str">
        <f t="shared" si="527"/>
        <v>-</v>
      </c>
      <c r="AZ425" s="1055" t="str">
        <f t="shared" si="527"/>
        <v>-</v>
      </c>
      <c r="BA425" s="1055" t="str">
        <f t="shared" si="527"/>
        <v>-</v>
      </c>
      <c r="BB425" s="1056" t="str">
        <f t="shared" si="527"/>
        <v>-</v>
      </c>
      <c r="BC425" s="1055" t="str">
        <f t="shared" si="527"/>
        <v>-</v>
      </c>
      <c r="BD425" s="1055" t="str">
        <f t="shared" si="527"/>
        <v>-</v>
      </c>
      <c r="BE425" s="1055" t="str">
        <f t="shared" si="527"/>
        <v>-</v>
      </c>
      <c r="BF425" s="1055" t="str">
        <f t="shared" si="527"/>
        <v>-</v>
      </c>
      <c r="BG425" s="1056" t="str">
        <f t="shared" si="527"/>
        <v>-</v>
      </c>
      <c r="BH425" s="1048"/>
      <c r="BI425" s="2304" t="str">
        <f t="shared" si="520"/>
        <v>Rev</v>
      </c>
      <c r="BJ425" s="2305" t="str">
        <f t="shared" si="520"/>
        <v>[Service]</v>
      </c>
      <c r="BK425" s="2306" t="str">
        <f t="shared" si="520"/>
        <v>[Price]</v>
      </c>
      <c r="BL425" s="2307" t="str">
        <f t="shared" ref="BL425:BZ425" si="550">IF(OR(X425="",X425=0),"-",IFERROR((X425/W425-1)*(W425/W$13),"-"))</f>
        <v>-</v>
      </c>
      <c r="BM425" s="1055" t="str">
        <f t="shared" si="550"/>
        <v>-</v>
      </c>
      <c r="BN425" s="1055" t="str">
        <f t="shared" si="550"/>
        <v>-</v>
      </c>
      <c r="BO425" s="2308" t="str">
        <f t="shared" si="550"/>
        <v>-</v>
      </c>
      <c r="BP425" s="1055" t="str">
        <f t="shared" si="550"/>
        <v>-</v>
      </c>
      <c r="BQ425" s="2309" t="str">
        <f t="shared" si="550"/>
        <v>-</v>
      </c>
      <c r="BR425" s="1055" t="str">
        <f t="shared" si="550"/>
        <v>-</v>
      </c>
      <c r="BS425" s="1055" t="str">
        <f t="shared" si="550"/>
        <v>-</v>
      </c>
      <c r="BT425" s="1055" t="str">
        <f t="shared" si="550"/>
        <v>-</v>
      </c>
      <c r="BU425" s="1056" t="str">
        <f t="shared" si="550"/>
        <v>-</v>
      </c>
      <c r="BV425" s="1055" t="str">
        <f t="shared" si="550"/>
        <v>-</v>
      </c>
      <c r="BW425" s="1055" t="str">
        <f t="shared" si="550"/>
        <v>-</v>
      </c>
      <c r="BX425" s="1055" t="str">
        <f t="shared" si="550"/>
        <v>-</v>
      </c>
      <c r="BY425" s="1055" t="str">
        <f t="shared" si="550"/>
        <v>-</v>
      </c>
      <c r="BZ425" s="1056" t="str">
        <f t="shared" si="550"/>
        <v>-</v>
      </c>
    </row>
    <row r="426" spans="3:78" x14ac:dyDescent="0.3">
      <c r="C426" s="126"/>
      <c r="D426" s="126">
        <f>D423+1</f>
        <v>120</v>
      </c>
      <c r="E426" s="553" t="s">
        <v>45</v>
      </c>
      <c r="F426" s="581" t="s">
        <v>28</v>
      </c>
      <c r="G426" s="581"/>
      <c r="H426" s="581"/>
      <c r="I426" s="573" t="s">
        <v>319</v>
      </c>
      <c r="J426" s="573" t="s">
        <v>348</v>
      </c>
      <c r="K426" s="1969"/>
      <c r="L426" s="1970"/>
      <c r="M426" s="1970"/>
      <c r="N426" s="1971"/>
      <c r="O426" s="1970"/>
      <c r="P426" s="1970"/>
      <c r="Q426" s="1970"/>
      <c r="R426" s="1972"/>
      <c r="S426" s="1979"/>
      <c r="T426" s="1972"/>
      <c r="U426" s="1972"/>
      <c r="V426" s="1972"/>
      <c r="W426" s="575"/>
      <c r="X426" s="1238"/>
      <c r="Y426" s="575"/>
      <c r="Z426" s="575"/>
      <c r="AA426" s="575"/>
      <c r="AB426" s="1142"/>
      <c r="AC426" s="575"/>
      <c r="AD426" s="575"/>
      <c r="AE426" s="575"/>
      <c r="AF426" s="575"/>
      <c r="AG426" s="577"/>
      <c r="AH426" s="576"/>
      <c r="AI426" s="575"/>
      <c r="AJ426" s="575"/>
      <c r="AK426" s="575"/>
      <c r="AL426" s="577"/>
      <c r="AN426" s="1052"/>
      <c r="AP426" s="2297" t="str">
        <f t="shared" si="497"/>
        <v>Price</v>
      </c>
      <c r="AQ426" s="2298" t="str">
        <f t="shared" si="497"/>
        <v>[Service]</v>
      </c>
      <c r="AR426" s="1719" t="str">
        <f t="shared" si="498"/>
        <v>[Price]</v>
      </c>
      <c r="AS426" s="2299" t="str">
        <f t="shared" ref="AS426:BG442" si="551">IF(OR(X426="",X426=0),"-",IFERROR(X426/W426-1,"-"))</f>
        <v>-</v>
      </c>
      <c r="AT426" s="1728" t="str">
        <f t="shared" si="551"/>
        <v>-</v>
      </c>
      <c r="AU426" s="1728" t="str">
        <f t="shared" si="551"/>
        <v>-</v>
      </c>
      <c r="AV426" s="2300" t="str">
        <f t="shared" si="551"/>
        <v>-</v>
      </c>
      <c r="AW426" s="1728" t="str">
        <f t="shared" si="551"/>
        <v>-</v>
      </c>
      <c r="AX426" s="2301" t="str">
        <f t="shared" si="551"/>
        <v>-</v>
      </c>
      <c r="AY426" s="1728" t="str">
        <f t="shared" si="551"/>
        <v>-</v>
      </c>
      <c r="AZ426" s="1728" t="str">
        <f t="shared" si="551"/>
        <v>-</v>
      </c>
      <c r="BA426" s="1728" t="str">
        <f t="shared" si="551"/>
        <v>-</v>
      </c>
      <c r="BB426" s="1729" t="str">
        <f t="shared" si="551"/>
        <v>-</v>
      </c>
      <c r="BC426" s="1728" t="str">
        <f t="shared" si="551"/>
        <v>-</v>
      </c>
      <c r="BD426" s="1728" t="str">
        <f t="shared" si="551"/>
        <v>-</v>
      </c>
      <c r="BE426" s="1728" t="str">
        <f t="shared" si="551"/>
        <v>-</v>
      </c>
      <c r="BF426" s="1728" t="str">
        <f t="shared" si="551"/>
        <v>-</v>
      </c>
      <c r="BG426" s="1729" t="str">
        <f t="shared" si="551"/>
        <v>-</v>
      </c>
      <c r="BH426" s="1048"/>
      <c r="BI426" s="2297" t="str">
        <f t="shared" si="520"/>
        <v>Price</v>
      </c>
      <c r="BJ426" s="2298" t="str">
        <f t="shared" si="520"/>
        <v>[Service]</v>
      </c>
      <c r="BK426" s="1719" t="str">
        <f t="shared" si="520"/>
        <v>[Price]</v>
      </c>
      <c r="BL426" s="2299" t="str">
        <f t="shared" ref="BL426:BZ426" si="552">IF(OR(X426="",X426=0),"-",IFERROR((X426/W426-1)*(W428/W$13),"-"))</f>
        <v>-</v>
      </c>
      <c r="BM426" s="1053" t="str">
        <f t="shared" si="552"/>
        <v>-</v>
      </c>
      <c r="BN426" s="1053" t="str">
        <f t="shared" si="552"/>
        <v>-</v>
      </c>
      <c r="BO426" s="2302" t="str">
        <f t="shared" si="552"/>
        <v>-</v>
      </c>
      <c r="BP426" s="1053" t="str">
        <f t="shared" si="552"/>
        <v>-</v>
      </c>
      <c r="BQ426" s="2303" t="str">
        <f t="shared" si="552"/>
        <v>-</v>
      </c>
      <c r="BR426" s="1053" t="str">
        <f t="shared" si="552"/>
        <v>-</v>
      </c>
      <c r="BS426" s="1053" t="str">
        <f t="shared" si="552"/>
        <v>-</v>
      </c>
      <c r="BT426" s="1053" t="str">
        <f t="shared" si="552"/>
        <v>-</v>
      </c>
      <c r="BU426" s="1054" t="str">
        <f t="shared" si="552"/>
        <v>-</v>
      </c>
      <c r="BV426" s="1053" t="str">
        <f t="shared" si="552"/>
        <v>-</v>
      </c>
      <c r="BW426" s="1053" t="str">
        <f t="shared" si="552"/>
        <v>-</v>
      </c>
      <c r="BX426" s="1053" t="str">
        <f t="shared" si="552"/>
        <v>-</v>
      </c>
      <c r="BY426" s="1053" t="str">
        <f t="shared" si="552"/>
        <v>-</v>
      </c>
      <c r="BZ426" s="1054" t="str">
        <f t="shared" si="552"/>
        <v>-</v>
      </c>
    </row>
    <row r="427" spans="3:78" x14ac:dyDescent="0.3">
      <c r="C427" s="126"/>
      <c r="D427" s="126"/>
      <c r="E427" s="558" t="s">
        <v>46</v>
      </c>
      <c r="F427" s="1722" t="str">
        <f>+F426</f>
        <v>[Service]</v>
      </c>
      <c r="G427" s="1724">
        <f>+G426</f>
        <v>0</v>
      </c>
      <c r="H427" s="1724">
        <f>+H426</f>
        <v>0</v>
      </c>
      <c r="I427" s="1725" t="str">
        <f>+I426</f>
        <v>[Price]</v>
      </c>
      <c r="J427" s="574" t="s">
        <v>323</v>
      </c>
      <c r="K427" s="1973"/>
      <c r="L427" s="1974"/>
      <c r="M427" s="1974"/>
      <c r="N427" s="1975"/>
      <c r="O427" s="1974"/>
      <c r="P427" s="1974"/>
      <c r="Q427" s="1974"/>
      <c r="R427" s="1976"/>
      <c r="S427" s="1980"/>
      <c r="T427" s="1976"/>
      <c r="U427" s="1976"/>
      <c r="V427" s="1976"/>
      <c r="W427" s="578"/>
      <c r="X427" s="1239"/>
      <c r="Y427" s="578"/>
      <c r="Z427" s="578"/>
      <c r="AA427" s="578"/>
      <c r="AB427" s="1143"/>
      <c r="AC427" s="578"/>
      <c r="AD427" s="578"/>
      <c r="AE427" s="578"/>
      <c r="AF427" s="578"/>
      <c r="AG427" s="580"/>
      <c r="AH427" s="579"/>
      <c r="AI427" s="578"/>
      <c r="AJ427" s="578"/>
      <c r="AK427" s="578"/>
      <c r="AL427" s="580"/>
      <c r="AN427" s="991"/>
      <c r="AP427" s="2285" t="str">
        <f t="shared" si="497"/>
        <v>Qty</v>
      </c>
      <c r="AQ427" s="2286" t="str">
        <f t="shared" si="497"/>
        <v>[Service]</v>
      </c>
      <c r="AR427" s="2287" t="str">
        <f t="shared" si="498"/>
        <v>[Price]</v>
      </c>
      <c r="AS427" s="2288" t="str">
        <f t="shared" si="551"/>
        <v>-</v>
      </c>
      <c r="AT427" s="1720" t="str">
        <f t="shared" si="551"/>
        <v>-</v>
      </c>
      <c r="AU427" s="1720" t="str">
        <f t="shared" si="551"/>
        <v>-</v>
      </c>
      <c r="AV427" s="2289" t="str">
        <f t="shared" si="551"/>
        <v>-</v>
      </c>
      <c r="AW427" s="1720" t="str">
        <f t="shared" si="551"/>
        <v>-</v>
      </c>
      <c r="AX427" s="2290" t="str">
        <f t="shared" si="551"/>
        <v>-</v>
      </c>
      <c r="AY427" s="1720" t="str">
        <f t="shared" si="551"/>
        <v>-</v>
      </c>
      <c r="AZ427" s="1720" t="str">
        <f t="shared" si="551"/>
        <v>-</v>
      </c>
      <c r="BA427" s="1720" t="str">
        <f t="shared" si="551"/>
        <v>-</v>
      </c>
      <c r="BB427" s="1721" t="str">
        <f t="shared" si="551"/>
        <v>-</v>
      </c>
      <c r="BC427" s="1720" t="str">
        <f t="shared" si="551"/>
        <v>-</v>
      </c>
      <c r="BD427" s="1720" t="str">
        <f t="shared" si="551"/>
        <v>-</v>
      </c>
      <c r="BE427" s="1720" t="str">
        <f t="shared" si="551"/>
        <v>-</v>
      </c>
      <c r="BF427" s="1720" t="str">
        <f t="shared" si="551"/>
        <v>-</v>
      </c>
      <c r="BG427" s="1721" t="str">
        <f t="shared" si="551"/>
        <v>-</v>
      </c>
      <c r="BH427" s="1048"/>
      <c r="BI427" s="2285" t="str">
        <f t="shared" si="520"/>
        <v>Qty</v>
      </c>
      <c r="BJ427" s="2286" t="str">
        <f t="shared" si="520"/>
        <v>[Service]</v>
      </c>
      <c r="BK427" s="2287" t="str">
        <f t="shared" si="520"/>
        <v>[Price]</v>
      </c>
      <c r="BL427" s="2288" t="str">
        <f t="shared" ref="BL427:BZ427" si="553">IF(OR(X427="",X427=0),"-",IFERROR((X427/W427-1)*(W428/W$13),"-"))</f>
        <v>-</v>
      </c>
      <c r="BM427" s="1720" t="str">
        <f t="shared" si="553"/>
        <v>-</v>
      </c>
      <c r="BN427" s="1720" t="str">
        <f t="shared" si="553"/>
        <v>-</v>
      </c>
      <c r="BO427" s="2289" t="str">
        <f t="shared" si="553"/>
        <v>-</v>
      </c>
      <c r="BP427" s="1720" t="str">
        <f t="shared" si="553"/>
        <v>-</v>
      </c>
      <c r="BQ427" s="2290" t="str">
        <f t="shared" si="553"/>
        <v>-</v>
      </c>
      <c r="BR427" s="1720" t="str">
        <f t="shared" si="553"/>
        <v>-</v>
      </c>
      <c r="BS427" s="1720" t="str">
        <f t="shared" si="553"/>
        <v>-</v>
      </c>
      <c r="BT427" s="1720" t="str">
        <f t="shared" si="553"/>
        <v>-</v>
      </c>
      <c r="BU427" s="1721" t="str">
        <f t="shared" si="553"/>
        <v>-</v>
      </c>
      <c r="BV427" s="1720" t="str">
        <f t="shared" si="553"/>
        <v>-</v>
      </c>
      <c r="BW427" s="1720" t="str">
        <f t="shared" si="553"/>
        <v>-</v>
      </c>
      <c r="BX427" s="1720" t="str">
        <f t="shared" si="553"/>
        <v>-</v>
      </c>
      <c r="BY427" s="1720" t="str">
        <f t="shared" si="553"/>
        <v>-</v>
      </c>
      <c r="BZ427" s="1721" t="str">
        <f t="shared" si="553"/>
        <v>-</v>
      </c>
    </row>
    <row r="428" spans="3:78" ht="12.5" thickBot="1" x14ac:dyDescent="0.35">
      <c r="C428" s="126"/>
      <c r="D428" s="126"/>
      <c r="E428" s="559" t="s">
        <v>47</v>
      </c>
      <c r="F428" s="1723" t="str">
        <f>+F426</f>
        <v>[Service]</v>
      </c>
      <c r="G428" s="1726">
        <f>+G426</f>
        <v>0</v>
      </c>
      <c r="H428" s="1726">
        <f>+H426</f>
        <v>0</v>
      </c>
      <c r="I428" s="1727" t="str">
        <f>+I426</f>
        <v>[Price]</v>
      </c>
      <c r="J428" s="556" t="s">
        <v>347</v>
      </c>
      <c r="K428" s="1977"/>
      <c r="L428" s="1206"/>
      <c r="M428" s="1206"/>
      <c r="N428" s="1978"/>
      <c r="O428" s="1206"/>
      <c r="P428" s="1206"/>
      <c r="Q428" s="1206"/>
      <c r="R428" s="1206"/>
      <c r="S428" s="1978"/>
      <c r="T428" s="1206"/>
      <c r="U428" s="1206"/>
      <c r="V428" s="1206"/>
      <c r="W428" s="1731">
        <f t="shared" ref="W428:AG428" si="554">W426*W427/10^6</f>
        <v>0</v>
      </c>
      <c r="X428" s="1730">
        <f t="shared" si="554"/>
        <v>0</v>
      </c>
      <c r="Y428" s="1731">
        <f t="shared" si="554"/>
        <v>0</v>
      </c>
      <c r="Z428" s="1731">
        <f t="shared" si="554"/>
        <v>0</v>
      </c>
      <c r="AA428" s="1731">
        <f t="shared" si="554"/>
        <v>0</v>
      </c>
      <c r="AB428" s="1733">
        <f t="shared" si="554"/>
        <v>0</v>
      </c>
      <c r="AC428" s="1731">
        <f t="shared" si="554"/>
        <v>0</v>
      </c>
      <c r="AD428" s="1731">
        <f t="shared" si="554"/>
        <v>0</v>
      </c>
      <c r="AE428" s="1731">
        <f t="shared" si="554"/>
        <v>0</v>
      </c>
      <c r="AF428" s="1731">
        <f t="shared" si="554"/>
        <v>0</v>
      </c>
      <c r="AG428" s="1733">
        <f t="shared" si="554"/>
        <v>0</v>
      </c>
      <c r="AH428" s="1732">
        <f>AH426*AH427/10^6</f>
        <v>0</v>
      </c>
      <c r="AI428" s="1731">
        <f>AI426*AI427/10^6</f>
        <v>0</v>
      </c>
      <c r="AJ428" s="1731">
        <f>AJ426*AJ427/10^6</f>
        <v>0</v>
      </c>
      <c r="AK428" s="1731">
        <f>AK426*AK427/10^6</f>
        <v>0</v>
      </c>
      <c r="AL428" s="1733">
        <f>AL426*AL427/10^6</f>
        <v>0</v>
      </c>
      <c r="AN428" s="991"/>
      <c r="AP428" s="2304" t="str">
        <f t="shared" si="497"/>
        <v>Rev</v>
      </c>
      <c r="AQ428" s="2305" t="str">
        <f t="shared" si="497"/>
        <v>[Service]</v>
      </c>
      <c r="AR428" s="2306" t="str">
        <f t="shared" si="498"/>
        <v>[Price]</v>
      </c>
      <c r="AS428" s="2307" t="str">
        <f t="shared" si="551"/>
        <v>-</v>
      </c>
      <c r="AT428" s="1055" t="str">
        <f t="shared" si="551"/>
        <v>-</v>
      </c>
      <c r="AU428" s="1055" t="str">
        <f t="shared" si="551"/>
        <v>-</v>
      </c>
      <c r="AV428" s="2308" t="str">
        <f t="shared" si="551"/>
        <v>-</v>
      </c>
      <c r="AW428" s="1055" t="str">
        <f t="shared" si="551"/>
        <v>-</v>
      </c>
      <c r="AX428" s="2309" t="str">
        <f t="shared" si="551"/>
        <v>-</v>
      </c>
      <c r="AY428" s="1055" t="str">
        <f t="shared" si="551"/>
        <v>-</v>
      </c>
      <c r="AZ428" s="1055" t="str">
        <f t="shared" si="551"/>
        <v>-</v>
      </c>
      <c r="BA428" s="1055" t="str">
        <f t="shared" si="551"/>
        <v>-</v>
      </c>
      <c r="BB428" s="1056" t="str">
        <f t="shared" si="551"/>
        <v>-</v>
      </c>
      <c r="BC428" s="1055" t="str">
        <f t="shared" si="551"/>
        <v>-</v>
      </c>
      <c r="BD428" s="1055" t="str">
        <f t="shared" si="551"/>
        <v>-</v>
      </c>
      <c r="BE428" s="1055" t="str">
        <f t="shared" si="551"/>
        <v>-</v>
      </c>
      <c r="BF428" s="1055" t="str">
        <f t="shared" si="551"/>
        <v>-</v>
      </c>
      <c r="BG428" s="1056" t="str">
        <f t="shared" si="551"/>
        <v>-</v>
      </c>
      <c r="BH428" s="1048"/>
      <c r="BI428" s="2304" t="str">
        <f t="shared" si="520"/>
        <v>Rev</v>
      </c>
      <c r="BJ428" s="2305" t="str">
        <f t="shared" si="520"/>
        <v>[Service]</v>
      </c>
      <c r="BK428" s="2306" t="str">
        <f t="shared" si="520"/>
        <v>[Price]</v>
      </c>
      <c r="BL428" s="2307" t="str">
        <f t="shared" ref="BL428:BZ428" si="555">IF(OR(X428="",X428=0),"-",IFERROR((X428/W428-1)*(W428/W$13),"-"))</f>
        <v>-</v>
      </c>
      <c r="BM428" s="1055" t="str">
        <f t="shared" si="555"/>
        <v>-</v>
      </c>
      <c r="BN428" s="1055" t="str">
        <f t="shared" si="555"/>
        <v>-</v>
      </c>
      <c r="BO428" s="2308" t="str">
        <f t="shared" si="555"/>
        <v>-</v>
      </c>
      <c r="BP428" s="1055" t="str">
        <f t="shared" si="555"/>
        <v>-</v>
      </c>
      <c r="BQ428" s="2309" t="str">
        <f t="shared" si="555"/>
        <v>-</v>
      </c>
      <c r="BR428" s="1055" t="str">
        <f t="shared" si="555"/>
        <v>-</v>
      </c>
      <c r="BS428" s="1055" t="str">
        <f t="shared" si="555"/>
        <v>-</v>
      </c>
      <c r="BT428" s="1055" t="str">
        <f t="shared" si="555"/>
        <v>-</v>
      </c>
      <c r="BU428" s="1056" t="str">
        <f t="shared" si="555"/>
        <v>-</v>
      </c>
      <c r="BV428" s="1055" t="str">
        <f t="shared" si="555"/>
        <v>-</v>
      </c>
      <c r="BW428" s="1055" t="str">
        <f t="shared" si="555"/>
        <v>-</v>
      </c>
      <c r="BX428" s="1055" t="str">
        <f t="shared" si="555"/>
        <v>-</v>
      </c>
      <c r="BY428" s="1055" t="str">
        <f t="shared" si="555"/>
        <v>-</v>
      </c>
      <c r="BZ428" s="1056" t="str">
        <f t="shared" si="555"/>
        <v>-</v>
      </c>
    </row>
    <row r="429" spans="3:78" x14ac:dyDescent="0.3">
      <c r="C429" s="126"/>
      <c r="D429" s="126">
        <f>D426+1</f>
        <v>121</v>
      </c>
      <c r="E429" s="553" t="s">
        <v>45</v>
      </c>
      <c r="F429" s="581" t="s">
        <v>28</v>
      </c>
      <c r="G429" s="581"/>
      <c r="H429" s="581"/>
      <c r="I429" s="573" t="s">
        <v>319</v>
      </c>
      <c r="J429" s="573" t="s">
        <v>348</v>
      </c>
      <c r="K429" s="1969"/>
      <c r="L429" s="1970"/>
      <c r="M429" s="1970"/>
      <c r="N429" s="1971"/>
      <c r="O429" s="1970"/>
      <c r="P429" s="1970"/>
      <c r="Q429" s="1970"/>
      <c r="R429" s="1972"/>
      <c r="S429" s="1979"/>
      <c r="T429" s="1972"/>
      <c r="U429" s="1972"/>
      <c r="V429" s="1972"/>
      <c r="W429" s="575"/>
      <c r="X429" s="1238"/>
      <c r="Y429" s="575"/>
      <c r="Z429" s="575"/>
      <c r="AA429" s="575"/>
      <c r="AB429" s="1142"/>
      <c r="AC429" s="575"/>
      <c r="AD429" s="575"/>
      <c r="AE429" s="575"/>
      <c r="AF429" s="575"/>
      <c r="AG429" s="577"/>
      <c r="AH429" s="576"/>
      <c r="AI429" s="575"/>
      <c r="AJ429" s="575"/>
      <c r="AK429" s="575"/>
      <c r="AL429" s="577"/>
      <c r="AN429" s="1052"/>
      <c r="AP429" s="2297" t="str">
        <f t="shared" si="497"/>
        <v>Price</v>
      </c>
      <c r="AQ429" s="2298" t="str">
        <f t="shared" si="497"/>
        <v>[Service]</v>
      </c>
      <c r="AR429" s="1719" t="str">
        <f t="shared" si="498"/>
        <v>[Price]</v>
      </c>
      <c r="AS429" s="2299" t="str">
        <f t="shared" si="551"/>
        <v>-</v>
      </c>
      <c r="AT429" s="1728" t="str">
        <f t="shared" si="551"/>
        <v>-</v>
      </c>
      <c r="AU429" s="1728" t="str">
        <f t="shared" si="551"/>
        <v>-</v>
      </c>
      <c r="AV429" s="2300" t="str">
        <f t="shared" si="551"/>
        <v>-</v>
      </c>
      <c r="AW429" s="1728" t="str">
        <f t="shared" si="551"/>
        <v>-</v>
      </c>
      <c r="AX429" s="2301" t="str">
        <f t="shared" si="551"/>
        <v>-</v>
      </c>
      <c r="AY429" s="1728" t="str">
        <f t="shared" si="551"/>
        <v>-</v>
      </c>
      <c r="AZ429" s="1728" t="str">
        <f t="shared" si="551"/>
        <v>-</v>
      </c>
      <c r="BA429" s="1728" t="str">
        <f t="shared" si="551"/>
        <v>-</v>
      </c>
      <c r="BB429" s="1729" t="str">
        <f t="shared" si="551"/>
        <v>-</v>
      </c>
      <c r="BC429" s="1728" t="str">
        <f t="shared" si="551"/>
        <v>-</v>
      </c>
      <c r="BD429" s="1728" t="str">
        <f t="shared" si="551"/>
        <v>-</v>
      </c>
      <c r="BE429" s="1728" t="str">
        <f t="shared" si="551"/>
        <v>-</v>
      </c>
      <c r="BF429" s="1728" t="str">
        <f t="shared" si="551"/>
        <v>-</v>
      </c>
      <c r="BG429" s="1729" t="str">
        <f t="shared" si="551"/>
        <v>-</v>
      </c>
      <c r="BH429" s="1048"/>
      <c r="BI429" s="2297" t="str">
        <f t="shared" si="520"/>
        <v>Price</v>
      </c>
      <c r="BJ429" s="2298" t="str">
        <f t="shared" si="520"/>
        <v>[Service]</v>
      </c>
      <c r="BK429" s="1719" t="str">
        <f t="shared" si="520"/>
        <v>[Price]</v>
      </c>
      <c r="BL429" s="2299" t="str">
        <f t="shared" ref="BL429:BZ429" si="556">IF(OR(X429="",X429=0),"-",IFERROR((X429/W429-1)*(W431/W$13),"-"))</f>
        <v>-</v>
      </c>
      <c r="BM429" s="1053" t="str">
        <f t="shared" si="556"/>
        <v>-</v>
      </c>
      <c r="BN429" s="1053" t="str">
        <f t="shared" si="556"/>
        <v>-</v>
      </c>
      <c r="BO429" s="2302" t="str">
        <f t="shared" si="556"/>
        <v>-</v>
      </c>
      <c r="BP429" s="1053" t="str">
        <f t="shared" si="556"/>
        <v>-</v>
      </c>
      <c r="BQ429" s="2303" t="str">
        <f t="shared" si="556"/>
        <v>-</v>
      </c>
      <c r="BR429" s="1053" t="str">
        <f t="shared" si="556"/>
        <v>-</v>
      </c>
      <c r="BS429" s="1053" t="str">
        <f t="shared" si="556"/>
        <v>-</v>
      </c>
      <c r="BT429" s="1053" t="str">
        <f t="shared" si="556"/>
        <v>-</v>
      </c>
      <c r="BU429" s="1054" t="str">
        <f t="shared" si="556"/>
        <v>-</v>
      </c>
      <c r="BV429" s="1053" t="str">
        <f t="shared" si="556"/>
        <v>-</v>
      </c>
      <c r="BW429" s="1053" t="str">
        <f t="shared" si="556"/>
        <v>-</v>
      </c>
      <c r="BX429" s="1053" t="str">
        <f t="shared" si="556"/>
        <v>-</v>
      </c>
      <c r="BY429" s="1053" t="str">
        <f t="shared" si="556"/>
        <v>-</v>
      </c>
      <c r="BZ429" s="1054" t="str">
        <f t="shared" si="556"/>
        <v>-</v>
      </c>
    </row>
    <row r="430" spans="3:78" x14ac:dyDescent="0.3">
      <c r="C430" s="126"/>
      <c r="D430" s="126"/>
      <c r="E430" s="558" t="s">
        <v>46</v>
      </c>
      <c r="F430" s="1722" t="str">
        <f>+F429</f>
        <v>[Service]</v>
      </c>
      <c r="G430" s="1724">
        <f>+G429</f>
        <v>0</v>
      </c>
      <c r="H430" s="1724">
        <f>+H429</f>
        <v>0</v>
      </c>
      <c r="I430" s="1725" t="str">
        <f>+I429</f>
        <v>[Price]</v>
      </c>
      <c r="J430" s="574" t="s">
        <v>323</v>
      </c>
      <c r="K430" s="1973"/>
      <c r="L430" s="1974"/>
      <c r="M430" s="1974"/>
      <c r="N430" s="1975"/>
      <c r="O430" s="1974"/>
      <c r="P430" s="1974"/>
      <c r="Q430" s="1974"/>
      <c r="R430" s="1976"/>
      <c r="S430" s="1980"/>
      <c r="T430" s="1976"/>
      <c r="U430" s="1976"/>
      <c r="V430" s="1976"/>
      <c r="W430" s="578"/>
      <c r="X430" s="1239"/>
      <c r="Y430" s="578"/>
      <c r="Z430" s="578"/>
      <c r="AA430" s="578"/>
      <c r="AB430" s="1143"/>
      <c r="AC430" s="578"/>
      <c r="AD430" s="578"/>
      <c r="AE430" s="578"/>
      <c r="AF430" s="578"/>
      <c r="AG430" s="580"/>
      <c r="AH430" s="579"/>
      <c r="AI430" s="578"/>
      <c r="AJ430" s="578"/>
      <c r="AK430" s="578"/>
      <c r="AL430" s="580"/>
      <c r="AN430" s="991"/>
      <c r="AP430" s="2285" t="str">
        <f t="shared" si="497"/>
        <v>Qty</v>
      </c>
      <c r="AQ430" s="2286" t="str">
        <f t="shared" si="497"/>
        <v>[Service]</v>
      </c>
      <c r="AR430" s="2287" t="str">
        <f t="shared" si="498"/>
        <v>[Price]</v>
      </c>
      <c r="AS430" s="2288" t="str">
        <f t="shared" si="551"/>
        <v>-</v>
      </c>
      <c r="AT430" s="1720" t="str">
        <f t="shared" si="551"/>
        <v>-</v>
      </c>
      <c r="AU430" s="1720" t="str">
        <f t="shared" si="551"/>
        <v>-</v>
      </c>
      <c r="AV430" s="2289" t="str">
        <f t="shared" si="551"/>
        <v>-</v>
      </c>
      <c r="AW430" s="1720" t="str">
        <f t="shared" si="551"/>
        <v>-</v>
      </c>
      <c r="AX430" s="2290" t="str">
        <f t="shared" si="551"/>
        <v>-</v>
      </c>
      <c r="AY430" s="1720" t="str">
        <f t="shared" si="551"/>
        <v>-</v>
      </c>
      <c r="AZ430" s="1720" t="str">
        <f t="shared" si="551"/>
        <v>-</v>
      </c>
      <c r="BA430" s="1720" t="str">
        <f t="shared" si="551"/>
        <v>-</v>
      </c>
      <c r="BB430" s="1721" t="str">
        <f t="shared" si="551"/>
        <v>-</v>
      </c>
      <c r="BC430" s="1720" t="str">
        <f t="shared" si="551"/>
        <v>-</v>
      </c>
      <c r="BD430" s="1720" t="str">
        <f t="shared" si="551"/>
        <v>-</v>
      </c>
      <c r="BE430" s="1720" t="str">
        <f t="shared" si="551"/>
        <v>-</v>
      </c>
      <c r="BF430" s="1720" t="str">
        <f t="shared" si="551"/>
        <v>-</v>
      </c>
      <c r="BG430" s="1721" t="str">
        <f t="shared" si="551"/>
        <v>-</v>
      </c>
      <c r="BH430" s="1048"/>
      <c r="BI430" s="2285" t="str">
        <f t="shared" si="520"/>
        <v>Qty</v>
      </c>
      <c r="BJ430" s="2286" t="str">
        <f t="shared" si="520"/>
        <v>[Service]</v>
      </c>
      <c r="BK430" s="2287" t="str">
        <f t="shared" si="520"/>
        <v>[Price]</v>
      </c>
      <c r="BL430" s="2288" t="str">
        <f t="shared" ref="BL430:BZ430" si="557">IF(OR(X430="",X430=0),"-",IFERROR((X430/W430-1)*(W431/W$13),"-"))</f>
        <v>-</v>
      </c>
      <c r="BM430" s="1720" t="str">
        <f t="shared" si="557"/>
        <v>-</v>
      </c>
      <c r="BN430" s="1720" t="str">
        <f t="shared" si="557"/>
        <v>-</v>
      </c>
      <c r="BO430" s="2289" t="str">
        <f t="shared" si="557"/>
        <v>-</v>
      </c>
      <c r="BP430" s="1720" t="str">
        <f t="shared" si="557"/>
        <v>-</v>
      </c>
      <c r="BQ430" s="2290" t="str">
        <f t="shared" si="557"/>
        <v>-</v>
      </c>
      <c r="BR430" s="1720" t="str">
        <f t="shared" si="557"/>
        <v>-</v>
      </c>
      <c r="BS430" s="1720" t="str">
        <f t="shared" si="557"/>
        <v>-</v>
      </c>
      <c r="BT430" s="1720" t="str">
        <f t="shared" si="557"/>
        <v>-</v>
      </c>
      <c r="BU430" s="1721" t="str">
        <f t="shared" si="557"/>
        <v>-</v>
      </c>
      <c r="BV430" s="1720" t="str">
        <f t="shared" si="557"/>
        <v>-</v>
      </c>
      <c r="BW430" s="1720" t="str">
        <f t="shared" si="557"/>
        <v>-</v>
      </c>
      <c r="BX430" s="1720" t="str">
        <f t="shared" si="557"/>
        <v>-</v>
      </c>
      <c r="BY430" s="1720" t="str">
        <f t="shared" si="557"/>
        <v>-</v>
      </c>
      <c r="BZ430" s="1721" t="str">
        <f t="shared" si="557"/>
        <v>-</v>
      </c>
    </row>
    <row r="431" spans="3:78" ht="12.5" thickBot="1" x14ac:dyDescent="0.35">
      <c r="C431" s="126"/>
      <c r="D431" s="126"/>
      <c r="E431" s="559" t="s">
        <v>47</v>
      </c>
      <c r="F431" s="1723" t="str">
        <f>+F429</f>
        <v>[Service]</v>
      </c>
      <c r="G431" s="1726">
        <f>+G429</f>
        <v>0</v>
      </c>
      <c r="H431" s="1726">
        <f>+H429</f>
        <v>0</v>
      </c>
      <c r="I431" s="1727" t="str">
        <f>+I429</f>
        <v>[Price]</v>
      </c>
      <c r="J431" s="556" t="s">
        <v>347</v>
      </c>
      <c r="K431" s="1977"/>
      <c r="L431" s="1206"/>
      <c r="M431" s="1206"/>
      <c r="N431" s="1978"/>
      <c r="O431" s="1206"/>
      <c r="P431" s="1206"/>
      <c r="Q431" s="1206"/>
      <c r="R431" s="1206"/>
      <c r="S431" s="1978"/>
      <c r="T431" s="1206"/>
      <c r="U431" s="1206"/>
      <c r="V431" s="1206"/>
      <c r="W431" s="1731">
        <f t="shared" ref="W431:AG431" si="558">W429*W430/10^6</f>
        <v>0</v>
      </c>
      <c r="X431" s="1730">
        <f t="shared" si="558"/>
        <v>0</v>
      </c>
      <c r="Y431" s="1731">
        <f t="shared" si="558"/>
        <v>0</v>
      </c>
      <c r="Z431" s="1731">
        <f t="shared" si="558"/>
        <v>0</v>
      </c>
      <c r="AA431" s="1731">
        <f t="shared" si="558"/>
        <v>0</v>
      </c>
      <c r="AB431" s="1733">
        <f t="shared" si="558"/>
        <v>0</v>
      </c>
      <c r="AC431" s="1731">
        <f t="shared" si="558"/>
        <v>0</v>
      </c>
      <c r="AD431" s="1731">
        <f t="shared" si="558"/>
        <v>0</v>
      </c>
      <c r="AE431" s="1731">
        <f t="shared" si="558"/>
        <v>0</v>
      </c>
      <c r="AF431" s="1731">
        <f t="shared" si="558"/>
        <v>0</v>
      </c>
      <c r="AG431" s="1733">
        <f t="shared" si="558"/>
        <v>0</v>
      </c>
      <c r="AH431" s="1732">
        <f>AH429*AH430/10^6</f>
        <v>0</v>
      </c>
      <c r="AI431" s="1731">
        <f>AI429*AI430/10^6</f>
        <v>0</v>
      </c>
      <c r="AJ431" s="1731">
        <f>AJ429*AJ430/10^6</f>
        <v>0</v>
      </c>
      <c r="AK431" s="1731">
        <f>AK429*AK430/10^6</f>
        <v>0</v>
      </c>
      <c r="AL431" s="1733">
        <f>AL429*AL430/10^6</f>
        <v>0</v>
      </c>
      <c r="AN431" s="991"/>
      <c r="AP431" s="2304" t="str">
        <f t="shared" si="497"/>
        <v>Rev</v>
      </c>
      <c r="AQ431" s="2305" t="str">
        <f t="shared" si="497"/>
        <v>[Service]</v>
      </c>
      <c r="AR431" s="2306" t="str">
        <f t="shared" si="498"/>
        <v>[Price]</v>
      </c>
      <c r="AS431" s="2307" t="str">
        <f t="shared" si="551"/>
        <v>-</v>
      </c>
      <c r="AT431" s="1055" t="str">
        <f t="shared" si="551"/>
        <v>-</v>
      </c>
      <c r="AU431" s="1055" t="str">
        <f t="shared" si="551"/>
        <v>-</v>
      </c>
      <c r="AV431" s="2308" t="str">
        <f t="shared" si="551"/>
        <v>-</v>
      </c>
      <c r="AW431" s="1055" t="str">
        <f t="shared" si="551"/>
        <v>-</v>
      </c>
      <c r="AX431" s="2309" t="str">
        <f t="shared" si="551"/>
        <v>-</v>
      </c>
      <c r="AY431" s="1055" t="str">
        <f t="shared" si="551"/>
        <v>-</v>
      </c>
      <c r="AZ431" s="1055" t="str">
        <f t="shared" si="551"/>
        <v>-</v>
      </c>
      <c r="BA431" s="1055" t="str">
        <f t="shared" si="551"/>
        <v>-</v>
      </c>
      <c r="BB431" s="1056" t="str">
        <f t="shared" si="551"/>
        <v>-</v>
      </c>
      <c r="BC431" s="1055" t="str">
        <f t="shared" si="551"/>
        <v>-</v>
      </c>
      <c r="BD431" s="1055" t="str">
        <f t="shared" si="551"/>
        <v>-</v>
      </c>
      <c r="BE431" s="1055" t="str">
        <f t="shared" si="551"/>
        <v>-</v>
      </c>
      <c r="BF431" s="1055" t="str">
        <f t="shared" si="551"/>
        <v>-</v>
      </c>
      <c r="BG431" s="1056" t="str">
        <f t="shared" si="551"/>
        <v>-</v>
      </c>
      <c r="BH431" s="1048"/>
      <c r="BI431" s="2304" t="str">
        <f t="shared" si="520"/>
        <v>Rev</v>
      </c>
      <c r="BJ431" s="2305" t="str">
        <f t="shared" si="520"/>
        <v>[Service]</v>
      </c>
      <c r="BK431" s="2306" t="str">
        <f t="shared" si="520"/>
        <v>[Price]</v>
      </c>
      <c r="BL431" s="2307" t="str">
        <f t="shared" ref="BL431:BZ431" si="559">IF(OR(X431="",X431=0),"-",IFERROR((X431/W431-1)*(W431/W$13),"-"))</f>
        <v>-</v>
      </c>
      <c r="BM431" s="1055" t="str">
        <f t="shared" si="559"/>
        <v>-</v>
      </c>
      <c r="BN431" s="1055" t="str">
        <f t="shared" si="559"/>
        <v>-</v>
      </c>
      <c r="BO431" s="2308" t="str">
        <f t="shared" si="559"/>
        <v>-</v>
      </c>
      <c r="BP431" s="1055" t="str">
        <f t="shared" si="559"/>
        <v>-</v>
      </c>
      <c r="BQ431" s="2309" t="str">
        <f t="shared" si="559"/>
        <v>-</v>
      </c>
      <c r="BR431" s="1055" t="str">
        <f t="shared" si="559"/>
        <v>-</v>
      </c>
      <c r="BS431" s="1055" t="str">
        <f t="shared" si="559"/>
        <v>-</v>
      </c>
      <c r="BT431" s="1055" t="str">
        <f t="shared" si="559"/>
        <v>-</v>
      </c>
      <c r="BU431" s="1056" t="str">
        <f t="shared" si="559"/>
        <v>-</v>
      </c>
      <c r="BV431" s="1055" t="str">
        <f t="shared" si="559"/>
        <v>-</v>
      </c>
      <c r="BW431" s="1055" t="str">
        <f t="shared" si="559"/>
        <v>-</v>
      </c>
      <c r="BX431" s="1055" t="str">
        <f t="shared" si="559"/>
        <v>-</v>
      </c>
      <c r="BY431" s="1055" t="str">
        <f t="shared" si="559"/>
        <v>-</v>
      </c>
      <c r="BZ431" s="1056" t="str">
        <f t="shared" si="559"/>
        <v>-</v>
      </c>
    </row>
    <row r="432" spans="3:78" x14ac:dyDescent="0.3">
      <c r="C432" s="126"/>
      <c r="D432" s="126">
        <f>D429+1</f>
        <v>122</v>
      </c>
      <c r="E432" s="553" t="s">
        <v>45</v>
      </c>
      <c r="F432" s="581" t="s">
        <v>28</v>
      </c>
      <c r="G432" s="581"/>
      <c r="H432" s="581"/>
      <c r="I432" s="573" t="s">
        <v>319</v>
      </c>
      <c r="J432" s="573" t="s">
        <v>348</v>
      </c>
      <c r="K432" s="1969"/>
      <c r="L432" s="1970"/>
      <c r="M432" s="1970"/>
      <c r="N432" s="1971"/>
      <c r="O432" s="1970"/>
      <c r="P432" s="1970"/>
      <c r="Q432" s="1970"/>
      <c r="R432" s="1972"/>
      <c r="S432" s="1979"/>
      <c r="T432" s="1972"/>
      <c r="U432" s="1972"/>
      <c r="V432" s="1972"/>
      <c r="W432" s="575"/>
      <c r="X432" s="1238"/>
      <c r="Y432" s="575"/>
      <c r="Z432" s="575"/>
      <c r="AA432" s="575"/>
      <c r="AB432" s="1142"/>
      <c r="AC432" s="575"/>
      <c r="AD432" s="575"/>
      <c r="AE432" s="575"/>
      <c r="AF432" s="575"/>
      <c r="AG432" s="577"/>
      <c r="AH432" s="576"/>
      <c r="AI432" s="575"/>
      <c r="AJ432" s="575"/>
      <c r="AK432" s="575"/>
      <c r="AL432" s="577"/>
      <c r="AN432" s="1052"/>
      <c r="AP432" s="2297" t="str">
        <f t="shared" si="497"/>
        <v>Price</v>
      </c>
      <c r="AQ432" s="2298" t="str">
        <f t="shared" si="497"/>
        <v>[Service]</v>
      </c>
      <c r="AR432" s="1719" t="str">
        <f t="shared" si="498"/>
        <v>[Price]</v>
      </c>
      <c r="AS432" s="2299" t="str">
        <f t="shared" si="551"/>
        <v>-</v>
      </c>
      <c r="AT432" s="1728" t="str">
        <f t="shared" si="551"/>
        <v>-</v>
      </c>
      <c r="AU432" s="1728" t="str">
        <f t="shared" si="551"/>
        <v>-</v>
      </c>
      <c r="AV432" s="2300" t="str">
        <f t="shared" si="551"/>
        <v>-</v>
      </c>
      <c r="AW432" s="1728" t="str">
        <f t="shared" si="551"/>
        <v>-</v>
      </c>
      <c r="AX432" s="2301" t="str">
        <f t="shared" si="551"/>
        <v>-</v>
      </c>
      <c r="AY432" s="1728" t="str">
        <f t="shared" si="551"/>
        <v>-</v>
      </c>
      <c r="AZ432" s="1728" t="str">
        <f t="shared" si="551"/>
        <v>-</v>
      </c>
      <c r="BA432" s="1728" t="str">
        <f t="shared" si="551"/>
        <v>-</v>
      </c>
      <c r="BB432" s="1729" t="str">
        <f t="shared" si="551"/>
        <v>-</v>
      </c>
      <c r="BC432" s="1728" t="str">
        <f t="shared" si="551"/>
        <v>-</v>
      </c>
      <c r="BD432" s="1728" t="str">
        <f t="shared" si="551"/>
        <v>-</v>
      </c>
      <c r="BE432" s="1728" t="str">
        <f t="shared" si="551"/>
        <v>-</v>
      </c>
      <c r="BF432" s="1728" t="str">
        <f t="shared" si="551"/>
        <v>-</v>
      </c>
      <c r="BG432" s="1729" t="str">
        <f t="shared" si="551"/>
        <v>-</v>
      </c>
      <c r="BH432" s="1048"/>
      <c r="BI432" s="2297" t="str">
        <f t="shared" si="520"/>
        <v>Price</v>
      </c>
      <c r="BJ432" s="2298" t="str">
        <f t="shared" si="520"/>
        <v>[Service]</v>
      </c>
      <c r="BK432" s="1719" t="str">
        <f t="shared" si="520"/>
        <v>[Price]</v>
      </c>
      <c r="BL432" s="2299" t="str">
        <f t="shared" ref="BL432:BZ432" si="560">IF(OR(X432="",X432=0),"-",IFERROR((X432/W432-1)*(W434/W$13),"-"))</f>
        <v>-</v>
      </c>
      <c r="BM432" s="1053" t="str">
        <f t="shared" si="560"/>
        <v>-</v>
      </c>
      <c r="BN432" s="1053" t="str">
        <f t="shared" si="560"/>
        <v>-</v>
      </c>
      <c r="BO432" s="2302" t="str">
        <f t="shared" si="560"/>
        <v>-</v>
      </c>
      <c r="BP432" s="1053" t="str">
        <f t="shared" si="560"/>
        <v>-</v>
      </c>
      <c r="BQ432" s="2303" t="str">
        <f t="shared" si="560"/>
        <v>-</v>
      </c>
      <c r="BR432" s="1053" t="str">
        <f t="shared" si="560"/>
        <v>-</v>
      </c>
      <c r="BS432" s="1053" t="str">
        <f t="shared" si="560"/>
        <v>-</v>
      </c>
      <c r="BT432" s="1053" t="str">
        <f t="shared" si="560"/>
        <v>-</v>
      </c>
      <c r="BU432" s="1054" t="str">
        <f t="shared" si="560"/>
        <v>-</v>
      </c>
      <c r="BV432" s="1053" t="str">
        <f t="shared" si="560"/>
        <v>-</v>
      </c>
      <c r="BW432" s="1053" t="str">
        <f t="shared" si="560"/>
        <v>-</v>
      </c>
      <c r="BX432" s="1053" t="str">
        <f t="shared" si="560"/>
        <v>-</v>
      </c>
      <c r="BY432" s="1053" t="str">
        <f t="shared" si="560"/>
        <v>-</v>
      </c>
      <c r="BZ432" s="1054" t="str">
        <f t="shared" si="560"/>
        <v>-</v>
      </c>
    </row>
    <row r="433" spans="3:78" x14ac:dyDescent="0.3">
      <c r="C433" s="126"/>
      <c r="D433" s="126"/>
      <c r="E433" s="558" t="s">
        <v>46</v>
      </c>
      <c r="F433" s="1722" t="str">
        <f>+F432</f>
        <v>[Service]</v>
      </c>
      <c r="G433" s="1724">
        <f>+G432</f>
        <v>0</v>
      </c>
      <c r="H433" s="1724">
        <f>+H432</f>
        <v>0</v>
      </c>
      <c r="I433" s="1725" t="str">
        <f>+I432</f>
        <v>[Price]</v>
      </c>
      <c r="J433" s="574" t="s">
        <v>323</v>
      </c>
      <c r="K433" s="1973"/>
      <c r="L433" s="1974"/>
      <c r="M433" s="1974"/>
      <c r="N433" s="1975"/>
      <c r="O433" s="1974"/>
      <c r="P433" s="1974"/>
      <c r="Q433" s="1974"/>
      <c r="R433" s="1976"/>
      <c r="S433" s="1980"/>
      <c r="T433" s="1976"/>
      <c r="U433" s="1976"/>
      <c r="V433" s="1976"/>
      <c r="W433" s="578"/>
      <c r="X433" s="1239"/>
      <c r="Y433" s="578"/>
      <c r="Z433" s="578"/>
      <c r="AA433" s="578"/>
      <c r="AB433" s="1143"/>
      <c r="AC433" s="578"/>
      <c r="AD433" s="578"/>
      <c r="AE433" s="578"/>
      <c r="AF433" s="578"/>
      <c r="AG433" s="580"/>
      <c r="AH433" s="579"/>
      <c r="AI433" s="578"/>
      <c r="AJ433" s="578"/>
      <c r="AK433" s="578"/>
      <c r="AL433" s="580"/>
      <c r="AN433" s="991"/>
      <c r="AP433" s="2285" t="str">
        <f t="shared" si="497"/>
        <v>Qty</v>
      </c>
      <c r="AQ433" s="2286" t="str">
        <f t="shared" si="497"/>
        <v>[Service]</v>
      </c>
      <c r="AR433" s="2287" t="str">
        <f t="shared" si="498"/>
        <v>[Price]</v>
      </c>
      <c r="AS433" s="2288" t="str">
        <f t="shared" si="551"/>
        <v>-</v>
      </c>
      <c r="AT433" s="1720" t="str">
        <f t="shared" si="551"/>
        <v>-</v>
      </c>
      <c r="AU433" s="1720" t="str">
        <f t="shared" si="551"/>
        <v>-</v>
      </c>
      <c r="AV433" s="2289" t="str">
        <f t="shared" si="551"/>
        <v>-</v>
      </c>
      <c r="AW433" s="1720" t="str">
        <f t="shared" si="551"/>
        <v>-</v>
      </c>
      <c r="AX433" s="2290" t="str">
        <f t="shared" si="551"/>
        <v>-</v>
      </c>
      <c r="AY433" s="1720" t="str">
        <f t="shared" si="551"/>
        <v>-</v>
      </c>
      <c r="AZ433" s="1720" t="str">
        <f t="shared" si="551"/>
        <v>-</v>
      </c>
      <c r="BA433" s="1720" t="str">
        <f t="shared" si="551"/>
        <v>-</v>
      </c>
      <c r="BB433" s="1721" t="str">
        <f t="shared" si="551"/>
        <v>-</v>
      </c>
      <c r="BC433" s="1720" t="str">
        <f t="shared" si="551"/>
        <v>-</v>
      </c>
      <c r="BD433" s="1720" t="str">
        <f t="shared" si="551"/>
        <v>-</v>
      </c>
      <c r="BE433" s="1720" t="str">
        <f t="shared" si="551"/>
        <v>-</v>
      </c>
      <c r="BF433" s="1720" t="str">
        <f t="shared" si="551"/>
        <v>-</v>
      </c>
      <c r="BG433" s="1721" t="str">
        <f t="shared" si="551"/>
        <v>-</v>
      </c>
      <c r="BH433" s="1048"/>
      <c r="BI433" s="2285" t="str">
        <f t="shared" si="520"/>
        <v>Qty</v>
      </c>
      <c r="BJ433" s="2286" t="str">
        <f t="shared" si="520"/>
        <v>[Service]</v>
      </c>
      <c r="BK433" s="2287" t="str">
        <f t="shared" si="520"/>
        <v>[Price]</v>
      </c>
      <c r="BL433" s="2288" t="str">
        <f t="shared" ref="BL433:BZ433" si="561">IF(OR(X433="",X433=0),"-",IFERROR((X433/W433-1)*(W434/W$13),"-"))</f>
        <v>-</v>
      </c>
      <c r="BM433" s="1720" t="str">
        <f t="shared" si="561"/>
        <v>-</v>
      </c>
      <c r="BN433" s="1720" t="str">
        <f t="shared" si="561"/>
        <v>-</v>
      </c>
      <c r="BO433" s="2289" t="str">
        <f t="shared" si="561"/>
        <v>-</v>
      </c>
      <c r="BP433" s="1720" t="str">
        <f t="shared" si="561"/>
        <v>-</v>
      </c>
      <c r="BQ433" s="2290" t="str">
        <f t="shared" si="561"/>
        <v>-</v>
      </c>
      <c r="BR433" s="1720" t="str">
        <f t="shared" si="561"/>
        <v>-</v>
      </c>
      <c r="BS433" s="1720" t="str">
        <f t="shared" si="561"/>
        <v>-</v>
      </c>
      <c r="BT433" s="1720" t="str">
        <f t="shared" si="561"/>
        <v>-</v>
      </c>
      <c r="BU433" s="1721" t="str">
        <f t="shared" si="561"/>
        <v>-</v>
      </c>
      <c r="BV433" s="1720" t="str">
        <f t="shared" si="561"/>
        <v>-</v>
      </c>
      <c r="BW433" s="1720" t="str">
        <f t="shared" si="561"/>
        <v>-</v>
      </c>
      <c r="BX433" s="1720" t="str">
        <f t="shared" si="561"/>
        <v>-</v>
      </c>
      <c r="BY433" s="1720" t="str">
        <f t="shared" si="561"/>
        <v>-</v>
      </c>
      <c r="BZ433" s="1721" t="str">
        <f t="shared" si="561"/>
        <v>-</v>
      </c>
    </row>
    <row r="434" spans="3:78" ht="12.5" thickBot="1" x14ac:dyDescent="0.35">
      <c r="C434" s="126"/>
      <c r="D434" s="126"/>
      <c r="E434" s="559" t="s">
        <v>47</v>
      </c>
      <c r="F434" s="1723" t="str">
        <f>+F432</f>
        <v>[Service]</v>
      </c>
      <c r="G434" s="1726">
        <f>+G432</f>
        <v>0</v>
      </c>
      <c r="H434" s="1726">
        <f>+H432</f>
        <v>0</v>
      </c>
      <c r="I434" s="1727" t="str">
        <f>+I432</f>
        <v>[Price]</v>
      </c>
      <c r="J434" s="556" t="s">
        <v>347</v>
      </c>
      <c r="K434" s="1977"/>
      <c r="L434" s="1206"/>
      <c r="M434" s="1206"/>
      <c r="N434" s="1978"/>
      <c r="O434" s="1206"/>
      <c r="P434" s="1206"/>
      <c r="Q434" s="1206"/>
      <c r="R434" s="1206"/>
      <c r="S434" s="1978"/>
      <c r="T434" s="1206"/>
      <c r="U434" s="1206"/>
      <c r="V434" s="1206"/>
      <c r="W434" s="1731">
        <f t="shared" ref="W434:AG434" si="562">W432*W433/10^6</f>
        <v>0</v>
      </c>
      <c r="X434" s="1730">
        <f t="shared" si="562"/>
        <v>0</v>
      </c>
      <c r="Y434" s="1731">
        <f t="shared" si="562"/>
        <v>0</v>
      </c>
      <c r="Z434" s="1731">
        <f t="shared" si="562"/>
        <v>0</v>
      </c>
      <c r="AA434" s="1731">
        <f t="shared" si="562"/>
        <v>0</v>
      </c>
      <c r="AB434" s="1733">
        <f t="shared" si="562"/>
        <v>0</v>
      </c>
      <c r="AC434" s="1731">
        <f t="shared" si="562"/>
        <v>0</v>
      </c>
      <c r="AD434" s="1731">
        <f t="shared" si="562"/>
        <v>0</v>
      </c>
      <c r="AE434" s="1731">
        <f t="shared" si="562"/>
        <v>0</v>
      </c>
      <c r="AF434" s="1731">
        <f t="shared" si="562"/>
        <v>0</v>
      </c>
      <c r="AG434" s="1733">
        <f t="shared" si="562"/>
        <v>0</v>
      </c>
      <c r="AH434" s="1732">
        <f>AH432*AH433/10^6</f>
        <v>0</v>
      </c>
      <c r="AI434" s="1731">
        <f>AI432*AI433/10^6</f>
        <v>0</v>
      </c>
      <c r="AJ434" s="1731">
        <f>AJ432*AJ433/10^6</f>
        <v>0</v>
      </c>
      <c r="AK434" s="1731">
        <f>AK432*AK433/10^6</f>
        <v>0</v>
      </c>
      <c r="AL434" s="1733">
        <f>AL432*AL433/10^6</f>
        <v>0</v>
      </c>
      <c r="AN434" s="991"/>
      <c r="AP434" s="2304" t="str">
        <f t="shared" si="497"/>
        <v>Rev</v>
      </c>
      <c r="AQ434" s="2305" t="str">
        <f t="shared" si="497"/>
        <v>[Service]</v>
      </c>
      <c r="AR434" s="2306" t="str">
        <f t="shared" si="498"/>
        <v>[Price]</v>
      </c>
      <c r="AS434" s="2307" t="str">
        <f t="shared" si="551"/>
        <v>-</v>
      </c>
      <c r="AT434" s="1055" t="str">
        <f t="shared" si="551"/>
        <v>-</v>
      </c>
      <c r="AU434" s="1055" t="str">
        <f t="shared" si="551"/>
        <v>-</v>
      </c>
      <c r="AV434" s="2308" t="str">
        <f t="shared" si="551"/>
        <v>-</v>
      </c>
      <c r="AW434" s="1055" t="str">
        <f t="shared" si="551"/>
        <v>-</v>
      </c>
      <c r="AX434" s="2309" t="str">
        <f t="shared" si="551"/>
        <v>-</v>
      </c>
      <c r="AY434" s="1055" t="str">
        <f t="shared" si="551"/>
        <v>-</v>
      </c>
      <c r="AZ434" s="1055" t="str">
        <f t="shared" si="551"/>
        <v>-</v>
      </c>
      <c r="BA434" s="1055" t="str">
        <f t="shared" si="551"/>
        <v>-</v>
      </c>
      <c r="BB434" s="1056" t="str">
        <f t="shared" si="551"/>
        <v>-</v>
      </c>
      <c r="BC434" s="1055" t="str">
        <f t="shared" si="551"/>
        <v>-</v>
      </c>
      <c r="BD434" s="1055" t="str">
        <f t="shared" si="551"/>
        <v>-</v>
      </c>
      <c r="BE434" s="1055" t="str">
        <f t="shared" si="551"/>
        <v>-</v>
      </c>
      <c r="BF434" s="1055" t="str">
        <f t="shared" si="551"/>
        <v>-</v>
      </c>
      <c r="BG434" s="1056" t="str">
        <f t="shared" si="551"/>
        <v>-</v>
      </c>
      <c r="BH434" s="1048"/>
      <c r="BI434" s="2304" t="str">
        <f t="shared" si="520"/>
        <v>Rev</v>
      </c>
      <c r="BJ434" s="2305" t="str">
        <f t="shared" si="520"/>
        <v>[Service]</v>
      </c>
      <c r="BK434" s="2306" t="str">
        <f t="shared" si="520"/>
        <v>[Price]</v>
      </c>
      <c r="BL434" s="2307" t="str">
        <f t="shared" ref="BL434:BZ434" si="563">IF(OR(X434="",X434=0),"-",IFERROR((X434/W434-1)*(W434/W$13),"-"))</f>
        <v>-</v>
      </c>
      <c r="BM434" s="1055" t="str">
        <f t="shared" si="563"/>
        <v>-</v>
      </c>
      <c r="BN434" s="1055" t="str">
        <f t="shared" si="563"/>
        <v>-</v>
      </c>
      <c r="BO434" s="2308" t="str">
        <f t="shared" si="563"/>
        <v>-</v>
      </c>
      <c r="BP434" s="1055" t="str">
        <f t="shared" si="563"/>
        <v>-</v>
      </c>
      <c r="BQ434" s="2309" t="str">
        <f t="shared" si="563"/>
        <v>-</v>
      </c>
      <c r="BR434" s="1055" t="str">
        <f t="shared" si="563"/>
        <v>-</v>
      </c>
      <c r="BS434" s="1055" t="str">
        <f t="shared" si="563"/>
        <v>-</v>
      </c>
      <c r="BT434" s="1055" t="str">
        <f t="shared" si="563"/>
        <v>-</v>
      </c>
      <c r="BU434" s="1056" t="str">
        <f t="shared" si="563"/>
        <v>-</v>
      </c>
      <c r="BV434" s="1055" t="str">
        <f t="shared" si="563"/>
        <v>-</v>
      </c>
      <c r="BW434" s="1055" t="str">
        <f t="shared" si="563"/>
        <v>-</v>
      </c>
      <c r="BX434" s="1055" t="str">
        <f t="shared" si="563"/>
        <v>-</v>
      </c>
      <c r="BY434" s="1055" t="str">
        <f t="shared" si="563"/>
        <v>-</v>
      </c>
      <c r="BZ434" s="1056" t="str">
        <f t="shared" si="563"/>
        <v>-</v>
      </c>
    </row>
    <row r="435" spans="3:78" x14ac:dyDescent="0.3">
      <c r="C435" s="126"/>
      <c r="D435" s="126">
        <f>D432+1</f>
        <v>123</v>
      </c>
      <c r="E435" s="553" t="s">
        <v>45</v>
      </c>
      <c r="F435" s="581" t="s">
        <v>28</v>
      </c>
      <c r="G435" s="581"/>
      <c r="H435" s="581"/>
      <c r="I435" s="573" t="s">
        <v>319</v>
      </c>
      <c r="J435" s="573" t="s">
        <v>348</v>
      </c>
      <c r="K435" s="1969"/>
      <c r="L435" s="1970"/>
      <c r="M435" s="1970"/>
      <c r="N435" s="1971"/>
      <c r="O435" s="1970"/>
      <c r="P435" s="1970"/>
      <c r="Q435" s="1970"/>
      <c r="R435" s="1972"/>
      <c r="S435" s="1979"/>
      <c r="T435" s="1972"/>
      <c r="U435" s="1972"/>
      <c r="V435" s="1972"/>
      <c r="W435" s="575"/>
      <c r="X435" s="1238"/>
      <c r="Y435" s="575"/>
      <c r="Z435" s="575"/>
      <c r="AA435" s="575"/>
      <c r="AB435" s="1142"/>
      <c r="AC435" s="575"/>
      <c r="AD435" s="575"/>
      <c r="AE435" s="575"/>
      <c r="AF435" s="575"/>
      <c r="AG435" s="577"/>
      <c r="AH435" s="576"/>
      <c r="AI435" s="575"/>
      <c r="AJ435" s="575"/>
      <c r="AK435" s="575"/>
      <c r="AL435" s="577"/>
      <c r="AN435" s="1052"/>
      <c r="AP435" s="2297" t="str">
        <f t="shared" si="497"/>
        <v>Price</v>
      </c>
      <c r="AQ435" s="2298" t="str">
        <f t="shared" si="497"/>
        <v>[Service]</v>
      </c>
      <c r="AR435" s="1719" t="str">
        <f t="shared" si="498"/>
        <v>[Price]</v>
      </c>
      <c r="AS435" s="2299" t="str">
        <f t="shared" si="551"/>
        <v>-</v>
      </c>
      <c r="AT435" s="1728" t="str">
        <f t="shared" si="551"/>
        <v>-</v>
      </c>
      <c r="AU435" s="1728" t="str">
        <f t="shared" si="551"/>
        <v>-</v>
      </c>
      <c r="AV435" s="2300" t="str">
        <f t="shared" si="551"/>
        <v>-</v>
      </c>
      <c r="AW435" s="1728" t="str">
        <f t="shared" si="551"/>
        <v>-</v>
      </c>
      <c r="AX435" s="2301" t="str">
        <f t="shared" si="551"/>
        <v>-</v>
      </c>
      <c r="AY435" s="1728" t="str">
        <f t="shared" si="551"/>
        <v>-</v>
      </c>
      <c r="AZ435" s="1728" t="str">
        <f t="shared" si="551"/>
        <v>-</v>
      </c>
      <c r="BA435" s="1728" t="str">
        <f t="shared" si="551"/>
        <v>-</v>
      </c>
      <c r="BB435" s="1729" t="str">
        <f t="shared" si="551"/>
        <v>-</v>
      </c>
      <c r="BC435" s="1728" t="str">
        <f t="shared" si="551"/>
        <v>-</v>
      </c>
      <c r="BD435" s="1728" t="str">
        <f t="shared" si="551"/>
        <v>-</v>
      </c>
      <c r="BE435" s="1728" t="str">
        <f t="shared" si="551"/>
        <v>-</v>
      </c>
      <c r="BF435" s="1728" t="str">
        <f t="shared" si="551"/>
        <v>-</v>
      </c>
      <c r="BG435" s="1729" t="str">
        <f t="shared" si="551"/>
        <v>-</v>
      </c>
      <c r="BH435" s="1048"/>
      <c r="BI435" s="2297" t="str">
        <f t="shared" si="520"/>
        <v>Price</v>
      </c>
      <c r="BJ435" s="2298" t="str">
        <f t="shared" si="520"/>
        <v>[Service]</v>
      </c>
      <c r="BK435" s="1719" t="str">
        <f t="shared" si="520"/>
        <v>[Price]</v>
      </c>
      <c r="BL435" s="2299" t="str">
        <f t="shared" ref="BL435:BZ435" si="564">IF(OR(X435="",X435=0),"-",IFERROR((X435/W435-1)*(W437/W$13),"-"))</f>
        <v>-</v>
      </c>
      <c r="BM435" s="1053" t="str">
        <f t="shared" si="564"/>
        <v>-</v>
      </c>
      <c r="BN435" s="1053" t="str">
        <f t="shared" si="564"/>
        <v>-</v>
      </c>
      <c r="BO435" s="2302" t="str">
        <f t="shared" si="564"/>
        <v>-</v>
      </c>
      <c r="BP435" s="1053" t="str">
        <f t="shared" si="564"/>
        <v>-</v>
      </c>
      <c r="BQ435" s="2303" t="str">
        <f t="shared" si="564"/>
        <v>-</v>
      </c>
      <c r="BR435" s="1053" t="str">
        <f t="shared" si="564"/>
        <v>-</v>
      </c>
      <c r="BS435" s="1053" t="str">
        <f t="shared" si="564"/>
        <v>-</v>
      </c>
      <c r="BT435" s="1053" t="str">
        <f t="shared" si="564"/>
        <v>-</v>
      </c>
      <c r="BU435" s="1054" t="str">
        <f t="shared" si="564"/>
        <v>-</v>
      </c>
      <c r="BV435" s="1053" t="str">
        <f t="shared" si="564"/>
        <v>-</v>
      </c>
      <c r="BW435" s="1053" t="str">
        <f t="shared" si="564"/>
        <v>-</v>
      </c>
      <c r="BX435" s="1053" t="str">
        <f t="shared" si="564"/>
        <v>-</v>
      </c>
      <c r="BY435" s="1053" t="str">
        <f t="shared" si="564"/>
        <v>-</v>
      </c>
      <c r="BZ435" s="1054" t="str">
        <f t="shared" si="564"/>
        <v>-</v>
      </c>
    </row>
    <row r="436" spans="3:78" x14ac:dyDescent="0.3">
      <c r="C436" s="126"/>
      <c r="D436" s="126"/>
      <c r="E436" s="558" t="s">
        <v>46</v>
      </c>
      <c r="F436" s="1722" t="str">
        <f>+F435</f>
        <v>[Service]</v>
      </c>
      <c r="G436" s="1724">
        <f>+G435</f>
        <v>0</v>
      </c>
      <c r="H436" s="1724">
        <f>+H435</f>
        <v>0</v>
      </c>
      <c r="I436" s="1725" t="str">
        <f>+I435</f>
        <v>[Price]</v>
      </c>
      <c r="J436" s="574" t="s">
        <v>323</v>
      </c>
      <c r="K436" s="1973"/>
      <c r="L436" s="1974"/>
      <c r="M436" s="1974"/>
      <c r="N436" s="1975"/>
      <c r="O436" s="1974"/>
      <c r="P436" s="1974"/>
      <c r="Q436" s="1974"/>
      <c r="R436" s="1976"/>
      <c r="S436" s="1980"/>
      <c r="T436" s="1976"/>
      <c r="U436" s="1976"/>
      <c r="V436" s="1976"/>
      <c r="W436" s="578"/>
      <c r="X436" s="1239"/>
      <c r="Y436" s="578"/>
      <c r="Z436" s="578"/>
      <c r="AA436" s="578"/>
      <c r="AB436" s="1143"/>
      <c r="AC436" s="578"/>
      <c r="AD436" s="578"/>
      <c r="AE436" s="578"/>
      <c r="AF436" s="578"/>
      <c r="AG436" s="580"/>
      <c r="AH436" s="579"/>
      <c r="AI436" s="578"/>
      <c r="AJ436" s="578"/>
      <c r="AK436" s="578"/>
      <c r="AL436" s="580"/>
      <c r="AN436" s="991"/>
      <c r="AP436" s="2285" t="str">
        <f t="shared" si="497"/>
        <v>Qty</v>
      </c>
      <c r="AQ436" s="2286" t="str">
        <f t="shared" si="497"/>
        <v>[Service]</v>
      </c>
      <c r="AR436" s="2287" t="str">
        <f t="shared" si="498"/>
        <v>[Price]</v>
      </c>
      <c r="AS436" s="2288" t="str">
        <f t="shared" si="551"/>
        <v>-</v>
      </c>
      <c r="AT436" s="1720" t="str">
        <f t="shared" si="551"/>
        <v>-</v>
      </c>
      <c r="AU436" s="1720" t="str">
        <f t="shared" si="551"/>
        <v>-</v>
      </c>
      <c r="AV436" s="2289" t="str">
        <f t="shared" si="551"/>
        <v>-</v>
      </c>
      <c r="AW436" s="1720" t="str">
        <f t="shared" si="551"/>
        <v>-</v>
      </c>
      <c r="AX436" s="2290" t="str">
        <f t="shared" si="551"/>
        <v>-</v>
      </c>
      <c r="AY436" s="1720" t="str">
        <f t="shared" si="551"/>
        <v>-</v>
      </c>
      <c r="AZ436" s="1720" t="str">
        <f t="shared" si="551"/>
        <v>-</v>
      </c>
      <c r="BA436" s="1720" t="str">
        <f t="shared" si="551"/>
        <v>-</v>
      </c>
      <c r="BB436" s="1721" t="str">
        <f t="shared" si="551"/>
        <v>-</v>
      </c>
      <c r="BC436" s="1720" t="str">
        <f t="shared" si="551"/>
        <v>-</v>
      </c>
      <c r="BD436" s="1720" t="str">
        <f t="shared" si="551"/>
        <v>-</v>
      </c>
      <c r="BE436" s="1720" t="str">
        <f t="shared" si="551"/>
        <v>-</v>
      </c>
      <c r="BF436" s="1720" t="str">
        <f t="shared" si="551"/>
        <v>-</v>
      </c>
      <c r="BG436" s="1721" t="str">
        <f t="shared" si="551"/>
        <v>-</v>
      </c>
      <c r="BH436" s="1048"/>
      <c r="BI436" s="2285" t="str">
        <f t="shared" si="520"/>
        <v>Qty</v>
      </c>
      <c r="BJ436" s="2286" t="str">
        <f t="shared" si="520"/>
        <v>[Service]</v>
      </c>
      <c r="BK436" s="2287" t="str">
        <f t="shared" si="520"/>
        <v>[Price]</v>
      </c>
      <c r="BL436" s="2288" t="str">
        <f t="shared" ref="BL436:BZ436" si="565">IF(OR(X436="",X436=0),"-",IFERROR((X436/W436-1)*(W437/W$13),"-"))</f>
        <v>-</v>
      </c>
      <c r="BM436" s="1720" t="str">
        <f t="shared" si="565"/>
        <v>-</v>
      </c>
      <c r="BN436" s="1720" t="str">
        <f t="shared" si="565"/>
        <v>-</v>
      </c>
      <c r="BO436" s="2289" t="str">
        <f t="shared" si="565"/>
        <v>-</v>
      </c>
      <c r="BP436" s="1720" t="str">
        <f t="shared" si="565"/>
        <v>-</v>
      </c>
      <c r="BQ436" s="2290" t="str">
        <f t="shared" si="565"/>
        <v>-</v>
      </c>
      <c r="BR436" s="1720" t="str">
        <f t="shared" si="565"/>
        <v>-</v>
      </c>
      <c r="BS436" s="1720" t="str">
        <f t="shared" si="565"/>
        <v>-</v>
      </c>
      <c r="BT436" s="1720" t="str">
        <f t="shared" si="565"/>
        <v>-</v>
      </c>
      <c r="BU436" s="1721" t="str">
        <f t="shared" si="565"/>
        <v>-</v>
      </c>
      <c r="BV436" s="1720" t="str">
        <f t="shared" si="565"/>
        <v>-</v>
      </c>
      <c r="BW436" s="1720" t="str">
        <f t="shared" si="565"/>
        <v>-</v>
      </c>
      <c r="BX436" s="1720" t="str">
        <f t="shared" si="565"/>
        <v>-</v>
      </c>
      <c r="BY436" s="1720" t="str">
        <f t="shared" si="565"/>
        <v>-</v>
      </c>
      <c r="BZ436" s="1721" t="str">
        <f t="shared" si="565"/>
        <v>-</v>
      </c>
    </row>
    <row r="437" spans="3:78" ht="12.5" thickBot="1" x14ac:dyDescent="0.35">
      <c r="C437" s="126"/>
      <c r="D437" s="126"/>
      <c r="E437" s="559" t="s">
        <v>47</v>
      </c>
      <c r="F437" s="1723" t="str">
        <f>+F435</f>
        <v>[Service]</v>
      </c>
      <c r="G437" s="1726">
        <f>+G435</f>
        <v>0</v>
      </c>
      <c r="H437" s="1726">
        <f>+H435</f>
        <v>0</v>
      </c>
      <c r="I437" s="1727" t="str">
        <f>+I435</f>
        <v>[Price]</v>
      </c>
      <c r="J437" s="556" t="s">
        <v>347</v>
      </c>
      <c r="K437" s="1977"/>
      <c r="L437" s="1206"/>
      <c r="M437" s="1206"/>
      <c r="N437" s="1978"/>
      <c r="O437" s="1206"/>
      <c r="P437" s="1206"/>
      <c r="Q437" s="1206"/>
      <c r="R437" s="1206"/>
      <c r="S437" s="1978"/>
      <c r="T437" s="1206"/>
      <c r="U437" s="1206"/>
      <c r="V437" s="1206"/>
      <c r="W437" s="1731">
        <f t="shared" ref="W437:AG437" si="566">W435*W436/10^6</f>
        <v>0</v>
      </c>
      <c r="X437" s="1730">
        <f t="shared" si="566"/>
        <v>0</v>
      </c>
      <c r="Y437" s="1731">
        <f t="shared" si="566"/>
        <v>0</v>
      </c>
      <c r="Z437" s="1731">
        <f t="shared" si="566"/>
        <v>0</v>
      </c>
      <c r="AA437" s="1731">
        <f t="shared" si="566"/>
        <v>0</v>
      </c>
      <c r="AB437" s="1733">
        <f t="shared" si="566"/>
        <v>0</v>
      </c>
      <c r="AC437" s="1731">
        <f t="shared" si="566"/>
        <v>0</v>
      </c>
      <c r="AD437" s="1731">
        <f t="shared" si="566"/>
        <v>0</v>
      </c>
      <c r="AE437" s="1731">
        <f t="shared" si="566"/>
        <v>0</v>
      </c>
      <c r="AF437" s="1731">
        <f t="shared" si="566"/>
        <v>0</v>
      </c>
      <c r="AG437" s="1733">
        <f t="shared" si="566"/>
        <v>0</v>
      </c>
      <c r="AH437" s="1732">
        <f>AH435*AH436/10^6</f>
        <v>0</v>
      </c>
      <c r="AI437" s="1731">
        <f>AI435*AI436/10^6</f>
        <v>0</v>
      </c>
      <c r="AJ437" s="1731">
        <f>AJ435*AJ436/10^6</f>
        <v>0</v>
      </c>
      <c r="AK437" s="1731">
        <f>AK435*AK436/10^6</f>
        <v>0</v>
      </c>
      <c r="AL437" s="1733">
        <f>AL435*AL436/10^6</f>
        <v>0</v>
      </c>
      <c r="AN437" s="991"/>
      <c r="AP437" s="2304" t="str">
        <f t="shared" si="497"/>
        <v>Rev</v>
      </c>
      <c r="AQ437" s="2305" t="str">
        <f t="shared" si="497"/>
        <v>[Service]</v>
      </c>
      <c r="AR437" s="2306" t="str">
        <f t="shared" si="498"/>
        <v>[Price]</v>
      </c>
      <c r="AS437" s="2307" t="str">
        <f t="shared" si="551"/>
        <v>-</v>
      </c>
      <c r="AT437" s="1055" t="str">
        <f t="shared" si="551"/>
        <v>-</v>
      </c>
      <c r="AU437" s="1055" t="str">
        <f t="shared" si="551"/>
        <v>-</v>
      </c>
      <c r="AV437" s="2308" t="str">
        <f t="shared" si="551"/>
        <v>-</v>
      </c>
      <c r="AW437" s="1055" t="str">
        <f t="shared" si="551"/>
        <v>-</v>
      </c>
      <c r="AX437" s="2309" t="str">
        <f t="shared" si="551"/>
        <v>-</v>
      </c>
      <c r="AY437" s="1055" t="str">
        <f t="shared" si="551"/>
        <v>-</v>
      </c>
      <c r="AZ437" s="1055" t="str">
        <f t="shared" si="551"/>
        <v>-</v>
      </c>
      <c r="BA437" s="1055" t="str">
        <f t="shared" si="551"/>
        <v>-</v>
      </c>
      <c r="BB437" s="1056" t="str">
        <f t="shared" si="551"/>
        <v>-</v>
      </c>
      <c r="BC437" s="1055" t="str">
        <f t="shared" si="551"/>
        <v>-</v>
      </c>
      <c r="BD437" s="1055" t="str">
        <f t="shared" si="551"/>
        <v>-</v>
      </c>
      <c r="BE437" s="1055" t="str">
        <f t="shared" si="551"/>
        <v>-</v>
      </c>
      <c r="BF437" s="1055" t="str">
        <f t="shared" si="551"/>
        <v>-</v>
      </c>
      <c r="BG437" s="1056" t="str">
        <f t="shared" si="551"/>
        <v>-</v>
      </c>
      <c r="BH437" s="1048"/>
      <c r="BI437" s="2304" t="str">
        <f t="shared" si="520"/>
        <v>Rev</v>
      </c>
      <c r="BJ437" s="2305" t="str">
        <f t="shared" si="520"/>
        <v>[Service]</v>
      </c>
      <c r="BK437" s="2306" t="str">
        <f t="shared" si="520"/>
        <v>[Price]</v>
      </c>
      <c r="BL437" s="2307" t="str">
        <f t="shared" ref="BL437:BZ437" si="567">IF(OR(X437="",X437=0),"-",IFERROR((X437/W437-1)*(W437/W$13),"-"))</f>
        <v>-</v>
      </c>
      <c r="BM437" s="1055" t="str">
        <f t="shared" si="567"/>
        <v>-</v>
      </c>
      <c r="BN437" s="1055" t="str">
        <f t="shared" si="567"/>
        <v>-</v>
      </c>
      <c r="BO437" s="2308" t="str">
        <f t="shared" si="567"/>
        <v>-</v>
      </c>
      <c r="BP437" s="1055" t="str">
        <f t="shared" si="567"/>
        <v>-</v>
      </c>
      <c r="BQ437" s="2309" t="str">
        <f t="shared" si="567"/>
        <v>-</v>
      </c>
      <c r="BR437" s="1055" t="str">
        <f t="shared" si="567"/>
        <v>-</v>
      </c>
      <c r="BS437" s="1055" t="str">
        <f t="shared" si="567"/>
        <v>-</v>
      </c>
      <c r="BT437" s="1055" t="str">
        <f t="shared" si="567"/>
        <v>-</v>
      </c>
      <c r="BU437" s="1056" t="str">
        <f t="shared" si="567"/>
        <v>-</v>
      </c>
      <c r="BV437" s="1055" t="str">
        <f t="shared" si="567"/>
        <v>-</v>
      </c>
      <c r="BW437" s="1055" t="str">
        <f t="shared" si="567"/>
        <v>-</v>
      </c>
      <c r="BX437" s="1055" t="str">
        <f t="shared" si="567"/>
        <v>-</v>
      </c>
      <c r="BY437" s="1055" t="str">
        <f t="shared" si="567"/>
        <v>-</v>
      </c>
      <c r="BZ437" s="1056" t="str">
        <f t="shared" si="567"/>
        <v>-</v>
      </c>
    </row>
    <row r="438" spans="3:78" x14ac:dyDescent="0.3">
      <c r="C438" s="126"/>
      <c r="D438" s="126">
        <f>D435+1</f>
        <v>124</v>
      </c>
      <c r="E438" s="553" t="s">
        <v>45</v>
      </c>
      <c r="F438" s="581" t="s">
        <v>28</v>
      </c>
      <c r="G438" s="581"/>
      <c r="H438" s="581"/>
      <c r="I438" s="573" t="s">
        <v>319</v>
      </c>
      <c r="J438" s="573" t="s">
        <v>348</v>
      </c>
      <c r="K438" s="1969"/>
      <c r="L438" s="1970"/>
      <c r="M438" s="1970"/>
      <c r="N438" s="1971"/>
      <c r="O438" s="1970"/>
      <c r="P438" s="1970"/>
      <c r="Q438" s="1970"/>
      <c r="R438" s="1972"/>
      <c r="S438" s="1979"/>
      <c r="T438" s="1972"/>
      <c r="U438" s="1972"/>
      <c r="V438" s="1972"/>
      <c r="W438" s="575"/>
      <c r="X438" s="1238"/>
      <c r="Y438" s="575"/>
      <c r="Z438" s="575"/>
      <c r="AA438" s="575"/>
      <c r="AB438" s="1142"/>
      <c r="AC438" s="575"/>
      <c r="AD438" s="575"/>
      <c r="AE438" s="575"/>
      <c r="AF438" s="575"/>
      <c r="AG438" s="577"/>
      <c r="AH438" s="576"/>
      <c r="AI438" s="575"/>
      <c r="AJ438" s="575"/>
      <c r="AK438" s="575"/>
      <c r="AL438" s="577"/>
      <c r="AN438" s="1052"/>
      <c r="AP438" s="2297" t="str">
        <f t="shared" si="497"/>
        <v>Price</v>
      </c>
      <c r="AQ438" s="2298" t="str">
        <f t="shared" si="497"/>
        <v>[Service]</v>
      </c>
      <c r="AR438" s="1719" t="str">
        <f t="shared" si="498"/>
        <v>[Price]</v>
      </c>
      <c r="AS438" s="2299" t="str">
        <f t="shared" si="551"/>
        <v>-</v>
      </c>
      <c r="AT438" s="1728" t="str">
        <f t="shared" si="551"/>
        <v>-</v>
      </c>
      <c r="AU438" s="1728" t="str">
        <f t="shared" si="551"/>
        <v>-</v>
      </c>
      <c r="AV438" s="2300" t="str">
        <f t="shared" si="551"/>
        <v>-</v>
      </c>
      <c r="AW438" s="1728" t="str">
        <f t="shared" si="551"/>
        <v>-</v>
      </c>
      <c r="AX438" s="2301" t="str">
        <f t="shared" si="551"/>
        <v>-</v>
      </c>
      <c r="AY438" s="1728" t="str">
        <f t="shared" si="551"/>
        <v>-</v>
      </c>
      <c r="AZ438" s="1728" t="str">
        <f t="shared" si="551"/>
        <v>-</v>
      </c>
      <c r="BA438" s="1728" t="str">
        <f t="shared" si="551"/>
        <v>-</v>
      </c>
      <c r="BB438" s="1729" t="str">
        <f t="shared" si="551"/>
        <v>-</v>
      </c>
      <c r="BC438" s="1728" t="str">
        <f t="shared" si="551"/>
        <v>-</v>
      </c>
      <c r="BD438" s="1728" t="str">
        <f t="shared" si="551"/>
        <v>-</v>
      </c>
      <c r="BE438" s="1728" t="str">
        <f t="shared" si="551"/>
        <v>-</v>
      </c>
      <c r="BF438" s="1728" t="str">
        <f t="shared" si="551"/>
        <v>-</v>
      </c>
      <c r="BG438" s="1729" t="str">
        <f t="shared" si="551"/>
        <v>-</v>
      </c>
      <c r="BH438" s="1048"/>
      <c r="BI438" s="2297" t="str">
        <f t="shared" si="520"/>
        <v>Price</v>
      </c>
      <c r="BJ438" s="2298" t="str">
        <f t="shared" si="520"/>
        <v>[Service]</v>
      </c>
      <c r="BK438" s="1719" t="str">
        <f t="shared" si="520"/>
        <v>[Price]</v>
      </c>
      <c r="BL438" s="2299" t="str">
        <f t="shared" ref="BL438:BZ438" si="568">IF(OR(X438="",X438=0),"-",IFERROR((X438/W438-1)*(W440/W$13),"-"))</f>
        <v>-</v>
      </c>
      <c r="BM438" s="1053" t="str">
        <f t="shared" si="568"/>
        <v>-</v>
      </c>
      <c r="BN438" s="1053" t="str">
        <f t="shared" si="568"/>
        <v>-</v>
      </c>
      <c r="BO438" s="2302" t="str">
        <f t="shared" si="568"/>
        <v>-</v>
      </c>
      <c r="BP438" s="1053" t="str">
        <f t="shared" si="568"/>
        <v>-</v>
      </c>
      <c r="BQ438" s="2303" t="str">
        <f t="shared" si="568"/>
        <v>-</v>
      </c>
      <c r="BR438" s="1053" t="str">
        <f t="shared" si="568"/>
        <v>-</v>
      </c>
      <c r="BS438" s="1053" t="str">
        <f t="shared" si="568"/>
        <v>-</v>
      </c>
      <c r="BT438" s="1053" t="str">
        <f t="shared" si="568"/>
        <v>-</v>
      </c>
      <c r="BU438" s="1054" t="str">
        <f t="shared" si="568"/>
        <v>-</v>
      </c>
      <c r="BV438" s="1053" t="str">
        <f t="shared" si="568"/>
        <v>-</v>
      </c>
      <c r="BW438" s="1053" t="str">
        <f t="shared" si="568"/>
        <v>-</v>
      </c>
      <c r="BX438" s="1053" t="str">
        <f t="shared" si="568"/>
        <v>-</v>
      </c>
      <c r="BY438" s="1053" t="str">
        <f t="shared" si="568"/>
        <v>-</v>
      </c>
      <c r="BZ438" s="1054" t="str">
        <f t="shared" si="568"/>
        <v>-</v>
      </c>
    </row>
    <row r="439" spans="3:78" x14ac:dyDescent="0.3">
      <c r="C439" s="126"/>
      <c r="D439" s="126"/>
      <c r="E439" s="558" t="s">
        <v>46</v>
      </c>
      <c r="F439" s="1722" t="str">
        <f>+F438</f>
        <v>[Service]</v>
      </c>
      <c r="G439" s="1724">
        <f>+G438</f>
        <v>0</v>
      </c>
      <c r="H439" s="1724">
        <f>+H438</f>
        <v>0</v>
      </c>
      <c r="I439" s="1725" t="str">
        <f>+I438</f>
        <v>[Price]</v>
      </c>
      <c r="J439" s="574" t="s">
        <v>323</v>
      </c>
      <c r="K439" s="1973"/>
      <c r="L439" s="1974"/>
      <c r="M439" s="1974"/>
      <c r="N439" s="1975"/>
      <c r="O439" s="1974"/>
      <c r="P439" s="1974"/>
      <c r="Q439" s="1974"/>
      <c r="R439" s="1976"/>
      <c r="S439" s="1980"/>
      <c r="T439" s="1976"/>
      <c r="U439" s="1976"/>
      <c r="V439" s="1976"/>
      <c r="W439" s="578"/>
      <c r="X439" s="1239"/>
      <c r="Y439" s="578"/>
      <c r="Z439" s="578"/>
      <c r="AA439" s="578"/>
      <c r="AB439" s="1143"/>
      <c r="AC439" s="578"/>
      <c r="AD439" s="578"/>
      <c r="AE439" s="578"/>
      <c r="AF439" s="578"/>
      <c r="AG439" s="580"/>
      <c r="AH439" s="579"/>
      <c r="AI439" s="578"/>
      <c r="AJ439" s="578"/>
      <c r="AK439" s="578"/>
      <c r="AL439" s="580"/>
      <c r="AN439" s="991"/>
      <c r="AP439" s="2285" t="str">
        <f t="shared" si="497"/>
        <v>Qty</v>
      </c>
      <c r="AQ439" s="2286" t="str">
        <f t="shared" si="497"/>
        <v>[Service]</v>
      </c>
      <c r="AR439" s="2287" t="str">
        <f t="shared" si="498"/>
        <v>[Price]</v>
      </c>
      <c r="AS439" s="2288" t="str">
        <f t="shared" si="551"/>
        <v>-</v>
      </c>
      <c r="AT439" s="1720" t="str">
        <f t="shared" si="551"/>
        <v>-</v>
      </c>
      <c r="AU439" s="1720" t="str">
        <f t="shared" si="551"/>
        <v>-</v>
      </c>
      <c r="AV439" s="2289" t="str">
        <f t="shared" si="551"/>
        <v>-</v>
      </c>
      <c r="AW439" s="1720" t="str">
        <f t="shared" si="551"/>
        <v>-</v>
      </c>
      <c r="AX439" s="2290" t="str">
        <f t="shared" si="551"/>
        <v>-</v>
      </c>
      <c r="AY439" s="1720" t="str">
        <f t="shared" si="551"/>
        <v>-</v>
      </c>
      <c r="AZ439" s="1720" t="str">
        <f t="shared" si="551"/>
        <v>-</v>
      </c>
      <c r="BA439" s="1720" t="str">
        <f t="shared" si="551"/>
        <v>-</v>
      </c>
      <c r="BB439" s="1721" t="str">
        <f t="shared" si="551"/>
        <v>-</v>
      </c>
      <c r="BC439" s="1720" t="str">
        <f t="shared" si="551"/>
        <v>-</v>
      </c>
      <c r="BD439" s="1720" t="str">
        <f t="shared" si="551"/>
        <v>-</v>
      </c>
      <c r="BE439" s="1720" t="str">
        <f t="shared" si="551"/>
        <v>-</v>
      </c>
      <c r="BF439" s="1720" t="str">
        <f t="shared" si="551"/>
        <v>-</v>
      </c>
      <c r="BG439" s="1721" t="str">
        <f t="shared" si="551"/>
        <v>-</v>
      </c>
      <c r="BH439" s="1048"/>
      <c r="BI439" s="2285" t="str">
        <f t="shared" si="520"/>
        <v>Qty</v>
      </c>
      <c r="BJ439" s="2286" t="str">
        <f t="shared" si="520"/>
        <v>[Service]</v>
      </c>
      <c r="BK439" s="2287" t="str">
        <f t="shared" si="520"/>
        <v>[Price]</v>
      </c>
      <c r="BL439" s="2288" t="str">
        <f t="shared" ref="BL439:BZ439" si="569">IF(OR(X439="",X439=0),"-",IFERROR((X439/W439-1)*(W440/W$13),"-"))</f>
        <v>-</v>
      </c>
      <c r="BM439" s="1720" t="str">
        <f t="shared" si="569"/>
        <v>-</v>
      </c>
      <c r="BN439" s="1720" t="str">
        <f t="shared" si="569"/>
        <v>-</v>
      </c>
      <c r="BO439" s="2289" t="str">
        <f t="shared" si="569"/>
        <v>-</v>
      </c>
      <c r="BP439" s="1720" t="str">
        <f t="shared" si="569"/>
        <v>-</v>
      </c>
      <c r="BQ439" s="2290" t="str">
        <f t="shared" si="569"/>
        <v>-</v>
      </c>
      <c r="BR439" s="1720" t="str">
        <f t="shared" si="569"/>
        <v>-</v>
      </c>
      <c r="BS439" s="1720" t="str">
        <f t="shared" si="569"/>
        <v>-</v>
      </c>
      <c r="BT439" s="1720" t="str">
        <f t="shared" si="569"/>
        <v>-</v>
      </c>
      <c r="BU439" s="1721" t="str">
        <f t="shared" si="569"/>
        <v>-</v>
      </c>
      <c r="BV439" s="1720" t="str">
        <f t="shared" si="569"/>
        <v>-</v>
      </c>
      <c r="BW439" s="1720" t="str">
        <f t="shared" si="569"/>
        <v>-</v>
      </c>
      <c r="BX439" s="1720" t="str">
        <f t="shared" si="569"/>
        <v>-</v>
      </c>
      <c r="BY439" s="1720" t="str">
        <f t="shared" si="569"/>
        <v>-</v>
      </c>
      <c r="BZ439" s="1721" t="str">
        <f t="shared" si="569"/>
        <v>-</v>
      </c>
    </row>
    <row r="440" spans="3:78" ht="12.5" thickBot="1" x14ac:dyDescent="0.35">
      <c r="C440" s="126"/>
      <c r="D440" s="126"/>
      <c r="E440" s="559" t="s">
        <v>47</v>
      </c>
      <c r="F440" s="1723" t="str">
        <f>+F438</f>
        <v>[Service]</v>
      </c>
      <c r="G440" s="1726">
        <f>+G438</f>
        <v>0</v>
      </c>
      <c r="H440" s="1726">
        <f>+H438</f>
        <v>0</v>
      </c>
      <c r="I440" s="1727" t="str">
        <f>+I438</f>
        <v>[Price]</v>
      </c>
      <c r="J440" s="556" t="s">
        <v>347</v>
      </c>
      <c r="K440" s="1977"/>
      <c r="L440" s="1206"/>
      <c r="M440" s="1206"/>
      <c r="N440" s="1978"/>
      <c r="O440" s="1206"/>
      <c r="P440" s="1206"/>
      <c r="Q440" s="1206"/>
      <c r="R440" s="1206"/>
      <c r="S440" s="1978"/>
      <c r="T440" s="1206"/>
      <c r="U440" s="1206"/>
      <c r="V440" s="1206"/>
      <c r="W440" s="1731">
        <f t="shared" ref="W440:AG440" si="570">W438*W439/10^6</f>
        <v>0</v>
      </c>
      <c r="X440" s="1730">
        <f t="shared" si="570"/>
        <v>0</v>
      </c>
      <c r="Y440" s="1731">
        <f t="shared" si="570"/>
        <v>0</v>
      </c>
      <c r="Z440" s="1731">
        <f t="shared" si="570"/>
        <v>0</v>
      </c>
      <c r="AA440" s="1731">
        <f t="shared" si="570"/>
        <v>0</v>
      </c>
      <c r="AB440" s="1733">
        <f t="shared" si="570"/>
        <v>0</v>
      </c>
      <c r="AC440" s="1731">
        <f t="shared" si="570"/>
        <v>0</v>
      </c>
      <c r="AD440" s="1731">
        <f t="shared" si="570"/>
        <v>0</v>
      </c>
      <c r="AE440" s="1731">
        <f t="shared" si="570"/>
        <v>0</v>
      </c>
      <c r="AF440" s="1731">
        <f t="shared" si="570"/>
        <v>0</v>
      </c>
      <c r="AG440" s="1733">
        <f t="shared" si="570"/>
        <v>0</v>
      </c>
      <c r="AH440" s="1732">
        <f>AH438*AH439/10^6</f>
        <v>0</v>
      </c>
      <c r="AI440" s="1731">
        <f>AI438*AI439/10^6</f>
        <v>0</v>
      </c>
      <c r="AJ440" s="1731">
        <f>AJ438*AJ439/10^6</f>
        <v>0</v>
      </c>
      <c r="AK440" s="1731">
        <f>AK438*AK439/10^6</f>
        <v>0</v>
      </c>
      <c r="AL440" s="1733">
        <f>AL438*AL439/10^6</f>
        <v>0</v>
      </c>
      <c r="AN440" s="991"/>
      <c r="AP440" s="2304" t="str">
        <f t="shared" si="497"/>
        <v>Rev</v>
      </c>
      <c r="AQ440" s="2305" t="str">
        <f t="shared" si="497"/>
        <v>[Service]</v>
      </c>
      <c r="AR440" s="2306" t="str">
        <f t="shared" si="498"/>
        <v>[Price]</v>
      </c>
      <c r="AS440" s="2307" t="str">
        <f t="shared" si="551"/>
        <v>-</v>
      </c>
      <c r="AT440" s="1055" t="str">
        <f t="shared" si="551"/>
        <v>-</v>
      </c>
      <c r="AU440" s="1055" t="str">
        <f t="shared" si="551"/>
        <v>-</v>
      </c>
      <c r="AV440" s="2308" t="str">
        <f t="shared" si="551"/>
        <v>-</v>
      </c>
      <c r="AW440" s="1055" t="str">
        <f t="shared" si="551"/>
        <v>-</v>
      </c>
      <c r="AX440" s="2309" t="str">
        <f t="shared" si="551"/>
        <v>-</v>
      </c>
      <c r="AY440" s="1055" t="str">
        <f t="shared" si="551"/>
        <v>-</v>
      </c>
      <c r="AZ440" s="1055" t="str">
        <f t="shared" si="551"/>
        <v>-</v>
      </c>
      <c r="BA440" s="1055" t="str">
        <f t="shared" si="551"/>
        <v>-</v>
      </c>
      <c r="BB440" s="1056" t="str">
        <f t="shared" si="551"/>
        <v>-</v>
      </c>
      <c r="BC440" s="1055" t="str">
        <f t="shared" si="551"/>
        <v>-</v>
      </c>
      <c r="BD440" s="1055" t="str">
        <f t="shared" si="551"/>
        <v>-</v>
      </c>
      <c r="BE440" s="1055" t="str">
        <f t="shared" si="551"/>
        <v>-</v>
      </c>
      <c r="BF440" s="1055" t="str">
        <f t="shared" si="551"/>
        <v>-</v>
      </c>
      <c r="BG440" s="1056" t="str">
        <f t="shared" si="551"/>
        <v>-</v>
      </c>
      <c r="BH440" s="1048"/>
      <c r="BI440" s="2304" t="str">
        <f t="shared" si="520"/>
        <v>Rev</v>
      </c>
      <c r="BJ440" s="2305" t="str">
        <f t="shared" si="520"/>
        <v>[Service]</v>
      </c>
      <c r="BK440" s="2306" t="str">
        <f t="shared" si="520"/>
        <v>[Price]</v>
      </c>
      <c r="BL440" s="2307" t="str">
        <f t="shared" ref="BL440:BZ440" si="571">IF(OR(X440="",X440=0),"-",IFERROR((X440/W440-1)*(W440/W$13),"-"))</f>
        <v>-</v>
      </c>
      <c r="BM440" s="1055" t="str">
        <f t="shared" si="571"/>
        <v>-</v>
      </c>
      <c r="BN440" s="1055" t="str">
        <f t="shared" si="571"/>
        <v>-</v>
      </c>
      <c r="BO440" s="2308" t="str">
        <f t="shared" si="571"/>
        <v>-</v>
      </c>
      <c r="BP440" s="1055" t="str">
        <f t="shared" si="571"/>
        <v>-</v>
      </c>
      <c r="BQ440" s="2309" t="str">
        <f t="shared" si="571"/>
        <v>-</v>
      </c>
      <c r="BR440" s="1055" t="str">
        <f t="shared" si="571"/>
        <v>-</v>
      </c>
      <c r="BS440" s="1055" t="str">
        <f t="shared" si="571"/>
        <v>-</v>
      </c>
      <c r="BT440" s="1055" t="str">
        <f t="shared" si="571"/>
        <v>-</v>
      </c>
      <c r="BU440" s="1056" t="str">
        <f t="shared" si="571"/>
        <v>-</v>
      </c>
      <c r="BV440" s="1055" t="str">
        <f t="shared" si="571"/>
        <v>-</v>
      </c>
      <c r="BW440" s="1055" t="str">
        <f t="shared" si="571"/>
        <v>-</v>
      </c>
      <c r="BX440" s="1055" t="str">
        <f t="shared" si="571"/>
        <v>-</v>
      </c>
      <c r="BY440" s="1055" t="str">
        <f t="shared" si="571"/>
        <v>-</v>
      </c>
      <c r="BZ440" s="1056" t="str">
        <f t="shared" si="571"/>
        <v>-</v>
      </c>
    </row>
    <row r="441" spans="3:78" x14ac:dyDescent="0.3">
      <c r="C441" s="126"/>
      <c r="D441" s="126">
        <f>D438+1</f>
        <v>125</v>
      </c>
      <c r="E441" s="553" t="s">
        <v>45</v>
      </c>
      <c r="F441" s="581" t="s">
        <v>28</v>
      </c>
      <c r="G441" s="581"/>
      <c r="H441" s="581"/>
      <c r="I441" s="573" t="s">
        <v>319</v>
      </c>
      <c r="J441" s="573" t="s">
        <v>348</v>
      </c>
      <c r="K441" s="1969"/>
      <c r="L441" s="1970"/>
      <c r="M441" s="1970"/>
      <c r="N441" s="1971"/>
      <c r="O441" s="1970"/>
      <c r="P441" s="1970"/>
      <c r="Q441" s="1970"/>
      <c r="R441" s="1972"/>
      <c r="S441" s="1979"/>
      <c r="T441" s="1972"/>
      <c r="U441" s="1972"/>
      <c r="V441" s="1972"/>
      <c r="W441" s="575"/>
      <c r="X441" s="1238"/>
      <c r="Y441" s="575"/>
      <c r="Z441" s="575"/>
      <c r="AA441" s="575"/>
      <c r="AB441" s="1142"/>
      <c r="AC441" s="575"/>
      <c r="AD441" s="575"/>
      <c r="AE441" s="575"/>
      <c r="AF441" s="575"/>
      <c r="AG441" s="577"/>
      <c r="AH441" s="576"/>
      <c r="AI441" s="575"/>
      <c r="AJ441" s="575"/>
      <c r="AK441" s="575"/>
      <c r="AL441" s="577"/>
      <c r="AN441" s="1052"/>
      <c r="AP441" s="2297" t="str">
        <f t="shared" si="497"/>
        <v>Price</v>
      </c>
      <c r="AQ441" s="2298" t="str">
        <f t="shared" si="497"/>
        <v>[Service]</v>
      </c>
      <c r="AR441" s="1719" t="str">
        <f t="shared" si="498"/>
        <v>[Price]</v>
      </c>
      <c r="AS441" s="2299" t="str">
        <f t="shared" si="551"/>
        <v>-</v>
      </c>
      <c r="AT441" s="1728" t="str">
        <f t="shared" si="551"/>
        <v>-</v>
      </c>
      <c r="AU441" s="1728" t="str">
        <f t="shared" si="551"/>
        <v>-</v>
      </c>
      <c r="AV441" s="2300" t="str">
        <f t="shared" si="551"/>
        <v>-</v>
      </c>
      <c r="AW441" s="1728" t="str">
        <f t="shared" si="551"/>
        <v>-</v>
      </c>
      <c r="AX441" s="2301" t="str">
        <f t="shared" si="551"/>
        <v>-</v>
      </c>
      <c r="AY441" s="1728" t="str">
        <f t="shared" si="551"/>
        <v>-</v>
      </c>
      <c r="AZ441" s="1728" t="str">
        <f t="shared" si="551"/>
        <v>-</v>
      </c>
      <c r="BA441" s="1728" t="str">
        <f t="shared" si="551"/>
        <v>-</v>
      </c>
      <c r="BB441" s="1729" t="str">
        <f t="shared" si="551"/>
        <v>-</v>
      </c>
      <c r="BC441" s="1728" t="str">
        <f t="shared" si="551"/>
        <v>-</v>
      </c>
      <c r="BD441" s="1728" t="str">
        <f t="shared" si="551"/>
        <v>-</v>
      </c>
      <c r="BE441" s="1728" t="str">
        <f t="shared" si="551"/>
        <v>-</v>
      </c>
      <c r="BF441" s="1728" t="str">
        <f t="shared" si="551"/>
        <v>-</v>
      </c>
      <c r="BG441" s="1729" t="str">
        <f t="shared" si="551"/>
        <v>-</v>
      </c>
      <c r="BH441" s="1048"/>
      <c r="BI441" s="2297" t="str">
        <f t="shared" si="520"/>
        <v>Price</v>
      </c>
      <c r="BJ441" s="2298" t="str">
        <f t="shared" si="520"/>
        <v>[Service]</v>
      </c>
      <c r="BK441" s="1719" t="str">
        <f t="shared" si="520"/>
        <v>[Price]</v>
      </c>
      <c r="BL441" s="2299" t="str">
        <f t="shared" ref="BL441:BZ441" si="572">IF(OR(X441="",X441=0),"-",IFERROR((X441/W441-1)*(W443/W$13),"-"))</f>
        <v>-</v>
      </c>
      <c r="BM441" s="1053" t="str">
        <f t="shared" si="572"/>
        <v>-</v>
      </c>
      <c r="BN441" s="1053" t="str">
        <f t="shared" si="572"/>
        <v>-</v>
      </c>
      <c r="BO441" s="2302" t="str">
        <f t="shared" si="572"/>
        <v>-</v>
      </c>
      <c r="BP441" s="1053" t="str">
        <f t="shared" si="572"/>
        <v>-</v>
      </c>
      <c r="BQ441" s="2303" t="str">
        <f t="shared" si="572"/>
        <v>-</v>
      </c>
      <c r="BR441" s="1053" t="str">
        <f t="shared" si="572"/>
        <v>-</v>
      </c>
      <c r="BS441" s="1053" t="str">
        <f t="shared" si="572"/>
        <v>-</v>
      </c>
      <c r="BT441" s="1053" t="str">
        <f t="shared" si="572"/>
        <v>-</v>
      </c>
      <c r="BU441" s="1054" t="str">
        <f t="shared" si="572"/>
        <v>-</v>
      </c>
      <c r="BV441" s="1053" t="str">
        <f t="shared" si="572"/>
        <v>-</v>
      </c>
      <c r="BW441" s="1053" t="str">
        <f t="shared" si="572"/>
        <v>-</v>
      </c>
      <c r="BX441" s="1053" t="str">
        <f t="shared" si="572"/>
        <v>-</v>
      </c>
      <c r="BY441" s="1053" t="str">
        <f t="shared" si="572"/>
        <v>-</v>
      </c>
      <c r="BZ441" s="1054" t="str">
        <f t="shared" si="572"/>
        <v>-</v>
      </c>
    </row>
    <row r="442" spans="3:78" x14ac:dyDescent="0.3">
      <c r="C442" s="126"/>
      <c r="D442" s="126"/>
      <c r="E442" s="558" t="s">
        <v>46</v>
      </c>
      <c r="F442" s="1722" t="str">
        <f>+F441</f>
        <v>[Service]</v>
      </c>
      <c r="G442" s="1724">
        <f>+G441</f>
        <v>0</v>
      </c>
      <c r="H442" s="1724">
        <f>+H441</f>
        <v>0</v>
      </c>
      <c r="I442" s="1725" t="str">
        <f>+I441</f>
        <v>[Price]</v>
      </c>
      <c r="J442" s="574" t="s">
        <v>323</v>
      </c>
      <c r="K442" s="1973"/>
      <c r="L442" s="1974"/>
      <c r="M442" s="1974"/>
      <c r="N442" s="1975"/>
      <c r="O442" s="1974"/>
      <c r="P442" s="1974"/>
      <c r="Q442" s="1974"/>
      <c r="R442" s="1976"/>
      <c r="S442" s="1980"/>
      <c r="T442" s="1976"/>
      <c r="U442" s="1976"/>
      <c r="V442" s="1976"/>
      <c r="W442" s="578"/>
      <c r="X442" s="1239"/>
      <c r="Y442" s="578"/>
      <c r="Z442" s="578"/>
      <c r="AA442" s="578"/>
      <c r="AB442" s="1143"/>
      <c r="AC442" s="578"/>
      <c r="AD442" s="578"/>
      <c r="AE442" s="578"/>
      <c r="AF442" s="578"/>
      <c r="AG442" s="580"/>
      <c r="AH442" s="579"/>
      <c r="AI442" s="578"/>
      <c r="AJ442" s="578"/>
      <c r="AK442" s="578"/>
      <c r="AL442" s="580"/>
      <c r="AN442" s="991"/>
      <c r="AP442" s="2285" t="str">
        <f t="shared" si="497"/>
        <v>Qty</v>
      </c>
      <c r="AQ442" s="2286" t="str">
        <f t="shared" si="497"/>
        <v>[Service]</v>
      </c>
      <c r="AR442" s="2287" t="str">
        <f t="shared" si="498"/>
        <v>[Price]</v>
      </c>
      <c r="AS442" s="2288" t="str">
        <f t="shared" si="551"/>
        <v>-</v>
      </c>
      <c r="AT442" s="1720" t="str">
        <f t="shared" si="551"/>
        <v>-</v>
      </c>
      <c r="AU442" s="1720" t="str">
        <f t="shared" si="551"/>
        <v>-</v>
      </c>
      <c r="AV442" s="2289" t="str">
        <f t="shared" si="551"/>
        <v>-</v>
      </c>
      <c r="AW442" s="1720" t="str">
        <f t="shared" si="551"/>
        <v>-</v>
      </c>
      <c r="AX442" s="2290" t="str">
        <f t="shared" si="551"/>
        <v>-</v>
      </c>
      <c r="AY442" s="1720" t="str">
        <f t="shared" si="551"/>
        <v>-</v>
      </c>
      <c r="AZ442" s="1720" t="str">
        <f t="shared" si="551"/>
        <v>-</v>
      </c>
      <c r="BA442" s="1720" t="str">
        <f t="shared" si="551"/>
        <v>-</v>
      </c>
      <c r="BB442" s="1721" t="str">
        <f t="shared" si="551"/>
        <v>-</v>
      </c>
      <c r="BC442" s="1720" t="str">
        <f t="shared" si="551"/>
        <v>-</v>
      </c>
      <c r="BD442" s="1720" t="str">
        <f t="shared" si="551"/>
        <v>-</v>
      </c>
      <c r="BE442" s="1720" t="str">
        <f t="shared" si="551"/>
        <v>-</v>
      </c>
      <c r="BF442" s="1720" t="str">
        <f t="shared" si="551"/>
        <v>-</v>
      </c>
      <c r="BG442" s="1721" t="str">
        <f t="shared" si="551"/>
        <v>-</v>
      </c>
      <c r="BH442" s="1048"/>
      <c r="BI442" s="2285" t="str">
        <f t="shared" si="520"/>
        <v>Qty</v>
      </c>
      <c r="BJ442" s="2286" t="str">
        <f t="shared" si="520"/>
        <v>[Service]</v>
      </c>
      <c r="BK442" s="2287" t="str">
        <f t="shared" si="520"/>
        <v>[Price]</v>
      </c>
      <c r="BL442" s="2288" t="str">
        <f t="shared" ref="BL442:BZ442" si="573">IF(OR(X442="",X442=0),"-",IFERROR((X442/W442-1)*(W443/W$13),"-"))</f>
        <v>-</v>
      </c>
      <c r="BM442" s="1720" t="str">
        <f t="shared" si="573"/>
        <v>-</v>
      </c>
      <c r="BN442" s="1720" t="str">
        <f t="shared" si="573"/>
        <v>-</v>
      </c>
      <c r="BO442" s="2289" t="str">
        <f t="shared" si="573"/>
        <v>-</v>
      </c>
      <c r="BP442" s="1720" t="str">
        <f t="shared" si="573"/>
        <v>-</v>
      </c>
      <c r="BQ442" s="2290" t="str">
        <f t="shared" si="573"/>
        <v>-</v>
      </c>
      <c r="BR442" s="1720" t="str">
        <f t="shared" si="573"/>
        <v>-</v>
      </c>
      <c r="BS442" s="1720" t="str">
        <f t="shared" si="573"/>
        <v>-</v>
      </c>
      <c r="BT442" s="1720" t="str">
        <f t="shared" si="573"/>
        <v>-</v>
      </c>
      <c r="BU442" s="1721" t="str">
        <f t="shared" si="573"/>
        <v>-</v>
      </c>
      <c r="BV442" s="1720" t="str">
        <f t="shared" si="573"/>
        <v>-</v>
      </c>
      <c r="BW442" s="1720" t="str">
        <f t="shared" si="573"/>
        <v>-</v>
      </c>
      <c r="BX442" s="1720" t="str">
        <f t="shared" si="573"/>
        <v>-</v>
      </c>
      <c r="BY442" s="1720" t="str">
        <f t="shared" si="573"/>
        <v>-</v>
      </c>
      <c r="BZ442" s="1721" t="str">
        <f t="shared" si="573"/>
        <v>-</v>
      </c>
    </row>
    <row r="443" spans="3:78" ht="12.5" thickBot="1" x14ac:dyDescent="0.35">
      <c r="C443" s="126"/>
      <c r="D443" s="126"/>
      <c r="E443" s="559" t="s">
        <v>47</v>
      </c>
      <c r="F443" s="1723" t="str">
        <f>+F441</f>
        <v>[Service]</v>
      </c>
      <c r="G443" s="1726">
        <f>+G441</f>
        <v>0</v>
      </c>
      <c r="H443" s="1726">
        <f>+H441</f>
        <v>0</v>
      </c>
      <c r="I443" s="1727" t="str">
        <f>+I441</f>
        <v>[Price]</v>
      </c>
      <c r="J443" s="556" t="s">
        <v>347</v>
      </c>
      <c r="K443" s="1977"/>
      <c r="L443" s="1206"/>
      <c r="M443" s="1206"/>
      <c r="N443" s="1978"/>
      <c r="O443" s="1206"/>
      <c r="P443" s="1206"/>
      <c r="Q443" s="1206"/>
      <c r="R443" s="1206"/>
      <c r="S443" s="1978"/>
      <c r="T443" s="1206"/>
      <c r="U443" s="1206"/>
      <c r="V443" s="1206"/>
      <c r="W443" s="1731">
        <f t="shared" ref="W443:AG443" si="574">W441*W442/10^6</f>
        <v>0</v>
      </c>
      <c r="X443" s="1730">
        <f t="shared" si="574"/>
        <v>0</v>
      </c>
      <c r="Y443" s="1731">
        <f t="shared" si="574"/>
        <v>0</v>
      </c>
      <c r="Z443" s="1731">
        <f t="shared" si="574"/>
        <v>0</v>
      </c>
      <c r="AA443" s="1731">
        <f t="shared" si="574"/>
        <v>0</v>
      </c>
      <c r="AB443" s="1733">
        <f t="shared" si="574"/>
        <v>0</v>
      </c>
      <c r="AC443" s="1731">
        <f t="shared" si="574"/>
        <v>0</v>
      </c>
      <c r="AD443" s="1731">
        <f t="shared" si="574"/>
        <v>0</v>
      </c>
      <c r="AE443" s="1731">
        <f t="shared" si="574"/>
        <v>0</v>
      </c>
      <c r="AF443" s="1731">
        <f t="shared" si="574"/>
        <v>0</v>
      </c>
      <c r="AG443" s="1733">
        <f t="shared" si="574"/>
        <v>0</v>
      </c>
      <c r="AH443" s="1732">
        <f>AH441*AH442/10^6</f>
        <v>0</v>
      </c>
      <c r="AI443" s="1731">
        <f>AI441*AI442/10^6</f>
        <v>0</v>
      </c>
      <c r="AJ443" s="1731">
        <f>AJ441*AJ442/10^6</f>
        <v>0</v>
      </c>
      <c r="AK443" s="1731">
        <f>AK441*AK442/10^6</f>
        <v>0</v>
      </c>
      <c r="AL443" s="1733">
        <f>AL441*AL442/10^6</f>
        <v>0</v>
      </c>
      <c r="AN443" s="991"/>
      <c r="AP443" s="2316" t="str">
        <f t="shared" si="497"/>
        <v>Rev</v>
      </c>
      <c r="AQ443" s="2317" t="str">
        <f t="shared" si="497"/>
        <v>[Service]</v>
      </c>
      <c r="AR443" s="2318" t="str">
        <f t="shared" si="498"/>
        <v>[Price]</v>
      </c>
      <c r="AS443" s="2319" t="str">
        <f t="shared" ref="AS443:BG443" si="575">IF(OR(X443="",X443=0),"-",IFERROR(X443/W443-1,"-"))</f>
        <v>-</v>
      </c>
      <c r="AT443" s="1057" t="str">
        <f t="shared" si="575"/>
        <v>-</v>
      </c>
      <c r="AU443" s="1057" t="str">
        <f t="shared" si="575"/>
        <v>-</v>
      </c>
      <c r="AV443" s="2320" t="str">
        <f t="shared" si="575"/>
        <v>-</v>
      </c>
      <c r="AW443" s="1057" t="str">
        <f t="shared" si="575"/>
        <v>-</v>
      </c>
      <c r="AX443" s="2321" t="str">
        <f t="shared" si="575"/>
        <v>-</v>
      </c>
      <c r="AY443" s="1057" t="str">
        <f t="shared" si="575"/>
        <v>-</v>
      </c>
      <c r="AZ443" s="1057" t="str">
        <f t="shared" si="575"/>
        <v>-</v>
      </c>
      <c r="BA443" s="1057" t="str">
        <f t="shared" si="575"/>
        <v>-</v>
      </c>
      <c r="BB443" s="1058" t="str">
        <f t="shared" si="575"/>
        <v>-</v>
      </c>
      <c r="BC443" s="1057" t="str">
        <f t="shared" si="575"/>
        <v>-</v>
      </c>
      <c r="BD443" s="1057" t="str">
        <f t="shared" si="575"/>
        <v>-</v>
      </c>
      <c r="BE443" s="1057" t="str">
        <f t="shared" si="575"/>
        <v>-</v>
      </c>
      <c r="BF443" s="1057" t="str">
        <f t="shared" si="575"/>
        <v>-</v>
      </c>
      <c r="BG443" s="1058" t="str">
        <f t="shared" si="575"/>
        <v>-</v>
      </c>
      <c r="BH443" s="1048"/>
      <c r="BI443" s="2316" t="str">
        <f t="shared" si="520"/>
        <v>Rev</v>
      </c>
      <c r="BJ443" s="2317" t="str">
        <f t="shared" si="520"/>
        <v>[Service]</v>
      </c>
      <c r="BK443" s="2318" t="str">
        <f t="shared" si="520"/>
        <v>[Price]</v>
      </c>
      <c r="BL443" s="2319" t="str">
        <f t="shared" ref="BL443:BZ443" si="576">IF(OR(X443="",X443=0),"-",IFERROR((X443/W443-1)*(W443/W$13),"-"))</f>
        <v>-</v>
      </c>
      <c r="BM443" s="1057" t="str">
        <f t="shared" si="576"/>
        <v>-</v>
      </c>
      <c r="BN443" s="1057" t="str">
        <f t="shared" si="576"/>
        <v>-</v>
      </c>
      <c r="BO443" s="2320" t="str">
        <f t="shared" si="576"/>
        <v>-</v>
      </c>
      <c r="BP443" s="1057" t="str">
        <f t="shared" si="576"/>
        <v>-</v>
      </c>
      <c r="BQ443" s="2321" t="str">
        <f t="shared" si="576"/>
        <v>-</v>
      </c>
      <c r="BR443" s="1057" t="str">
        <f t="shared" si="576"/>
        <v>-</v>
      </c>
      <c r="BS443" s="1057" t="str">
        <f t="shared" si="576"/>
        <v>-</v>
      </c>
      <c r="BT443" s="1057" t="str">
        <f t="shared" si="576"/>
        <v>-</v>
      </c>
      <c r="BU443" s="1058" t="str">
        <f t="shared" si="576"/>
        <v>-</v>
      </c>
      <c r="BV443" s="1057" t="str">
        <f t="shared" si="576"/>
        <v>-</v>
      </c>
      <c r="BW443" s="1057" t="str">
        <f t="shared" si="576"/>
        <v>-</v>
      </c>
      <c r="BX443" s="1057" t="str">
        <f t="shared" si="576"/>
        <v>-</v>
      </c>
      <c r="BY443" s="1057" t="str">
        <f t="shared" si="576"/>
        <v>-</v>
      </c>
      <c r="BZ443" s="1058" t="str">
        <f t="shared" si="576"/>
        <v>-</v>
      </c>
    </row>
    <row r="447" spans="3:78" x14ac:dyDescent="0.3">
      <c r="I447" s="78" t="s">
        <v>691</v>
      </c>
      <c r="J447" s="562"/>
      <c r="K447" s="78"/>
      <c r="L447" s="78"/>
      <c r="M447" s="78"/>
      <c r="N447" s="78"/>
      <c r="O447" s="78"/>
      <c r="P447" s="78"/>
      <c r="Q447" s="78"/>
      <c r="R447" s="78"/>
      <c r="S447" s="78"/>
      <c r="T447" s="78"/>
      <c r="U447" s="78"/>
      <c r="V447" s="78"/>
      <c r="W447" s="78"/>
      <c r="X447" s="78"/>
      <c r="Y447" s="78"/>
      <c r="Z447" s="78"/>
      <c r="AA447" s="78"/>
      <c r="AB447" s="78"/>
      <c r="AC447" s="78"/>
      <c r="AD447" s="78"/>
      <c r="AE447" s="78"/>
      <c r="AF447" s="563"/>
      <c r="AG447" s="564"/>
      <c r="AH447" s="78"/>
      <c r="AI447" s="78"/>
      <c r="AJ447" s="78"/>
      <c r="AK447" s="563"/>
      <c r="AL447" s="564"/>
      <c r="AR447" s="73"/>
      <c r="BK447" s="73"/>
    </row>
    <row r="448" spans="3:78" x14ac:dyDescent="0.3">
      <c r="I448" s="565" t="s">
        <v>21</v>
      </c>
      <c r="J448" s="330"/>
      <c r="K448" s="1738"/>
      <c r="L448" s="1738"/>
      <c r="M448" s="1738"/>
      <c r="N448" s="1737"/>
      <c r="O448" s="1738"/>
      <c r="P448" s="1738"/>
      <c r="Q448" s="1738"/>
      <c r="R448" s="1739"/>
      <c r="S448" s="1793"/>
      <c r="T448" s="1793"/>
      <c r="U448" s="1793"/>
      <c r="V448" s="1793"/>
      <c r="W448" s="1793">
        <f t="shared" ref="W448:AH453" si="577">+SUMIFS(W$69:W$444,$E$69:$E$444,$E$71,$F$69:$F$444,$I448)</f>
        <v>0</v>
      </c>
      <c r="X448" s="1737">
        <f t="shared" si="577"/>
        <v>0</v>
      </c>
      <c r="Y448" s="1738">
        <f t="shared" si="577"/>
        <v>0</v>
      </c>
      <c r="Z448" s="1738">
        <f t="shared" si="577"/>
        <v>0</v>
      </c>
      <c r="AA448" s="1738">
        <f t="shared" si="577"/>
        <v>0</v>
      </c>
      <c r="AB448" s="1739">
        <f t="shared" si="577"/>
        <v>0</v>
      </c>
      <c r="AC448" s="1793">
        <f t="shared" si="577"/>
        <v>0</v>
      </c>
      <c r="AD448" s="1793">
        <f t="shared" si="577"/>
        <v>0</v>
      </c>
      <c r="AE448" s="1793">
        <f t="shared" si="577"/>
        <v>0</v>
      </c>
      <c r="AF448" s="1793">
        <f t="shared" si="577"/>
        <v>0</v>
      </c>
      <c r="AG448" s="1793">
        <f t="shared" si="577"/>
        <v>0</v>
      </c>
      <c r="AH448" s="1793">
        <f t="shared" si="577"/>
        <v>0</v>
      </c>
      <c r="AI448" s="1793">
        <f t="shared" ref="AH448:AL453" si="578">+SUMIFS(AI$69:AI$444,$E$69:$E$444,$E$71,$F$69:$F$444,$I448)</f>
        <v>0</v>
      </c>
      <c r="AJ448" s="1793">
        <f t="shared" si="578"/>
        <v>0</v>
      </c>
      <c r="AK448" s="1793">
        <f t="shared" si="578"/>
        <v>0</v>
      </c>
      <c r="AL448" s="1793">
        <f t="shared" si="578"/>
        <v>0</v>
      </c>
      <c r="AR448" s="73"/>
      <c r="BK448" s="73"/>
    </row>
    <row r="449" spans="9:63" x14ac:dyDescent="0.3">
      <c r="I449" s="565" t="s">
        <v>22</v>
      </c>
      <c r="J449" s="330"/>
      <c r="K449" s="1738"/>
      <c r="L449" s="1738"/>
      <c r="M449" s="1738"/>
      <c r="N449" s="1737"/>
      <c r="O449" s="1738"/>
      <c r="P449" s="1738"/>
      <c r="Q449" s="1738"/>
      <c r="R449" s="1739"/>
      <c r="S449" s="1793"/>
      <c r="T449" s="1793"/>
      <c r="U449" s="1793"/>
      <c r="V449" s="1793"/>
      <c r="W449" s="1793">
        <f t="shared" ref="W449:Z449" si="579">+SUMIFS(W$69:W$444,$E$69:$E$444,$E$71,$F$69:$F$444,$I449)</f>
        <v>0</v>
      </c>
      <c r="X449" s="1737">
        <f t="shared" si="579"/>
        <v>0</v>
      </c>
      <c r="Y449" s="1738">
        <f t="shared" si="579"/>
        <v>0</v>
      </c>
      <c r="Z449" s="1738">
        <f t="shared" si="579"/>
        <v>0</v>
      </c>
      <c r="AA449" s="1738">
        <f t="shared" si="577"/>
        <v>0</v>
      </c>
      <c r="AB449" s="1739">
        <f t="shared" si="577"/>
        <v>0</v>
      </c>
      <c r="AC449" s="1793">
        <f t="shared" si="577"/>
        <v>0</v>
      </c>
      <c r="AD449" s="1793">
        <f t="shared" si="577"/>
        <v>0</v>
      </c>
      <c r="AE449" s="1793">
        <f t="shared" si="577"/>
        <v>0</v>
      </c>
      <c r="AF449" s="1793">
        <f t="shared" si="577"/>
        <v>0</v>
      </c>
      <c r="AG449" s="1793">
        <f t="shared" si="577"/>
        <v>0</v>
      </c>
      <c r="AH449" s="1793">
        <f t="shared" si="578"/>
        <v>0</v>
      </c>
      <c r="AI449" s="1793">
        <f t="shared" si="578"/>
        <v>0</v>
      </c>
      <c r="AJ449" s="1793">
        <f t="shared" si="578"/>
        <v>0</v>
      </c>
      <c r="AK449" s="1793">
        <f t="shared" si="578"/>
        <v>0</v>
      </c>
      <c r="AL449" s="1793">
        <f t="shared" si="578"/>
        <v>0</v>
      </c>
      <c r="AR449" s="73"/>
      <c r="BK449" s="73"/>
    </row>
    <row r="450" spans="9:63" x14ac:dyDescent="0.3">
      <c r="I450" s="565" t="s">
        <v>275</v>
      </c>
      <c r="J450" s="330"/>
      <c r="K450" s="1738"/>
      <c r="L450" s="1738"/>
      <c r="M450" s="1738"/>
      <c r="N450" s="1737"/>
      <c r="O450" s="1738"/>
      <c r="P450" s="1738"/>
      <c r="Q450" s="1738"/>
      <c r="R450" s="1739"/>
      <c r="S450" s="1793"/>
      <c r="T450" s="1793"/>
      <c r="U450" s="1793"/>
      <c r="V450" s="1793"/>
      <c r="W450" s="1793">
        <f t="shared" si="577"/>
        <v>0</v>
      </c>
      <c r="X450" s="1737">
        <f t="shared" si="577"/>
        <v>0</v>
      </c>
      <c r="Y450" s="1738">
        <f t="shared" si="577"/>
        <v>0</v>
      </c>
      <c r="Z450" s="1738">
        <f t="shared" si="577"/>
        <v>0</v>
      </c>
      <c r="AA450" s="1738">
        <f t="shared" si="577"/>
        <v>0</v>
      </c>
      <c r="AB450" s="1739">
        <f t="shared" si="577"/>
        <v>0</v>
      </c>
      <c r="AC450" s="1793">
        <f t="shared" si="577"/>
        <v>0</v>
      </c>
      <c r="AD450" s="1793">
        <f t="shared" si="577"/>
        <v>0</v>
      </c>
      <c r="AE450" s="1793">
        <f t="shared" si="577"/>
        <v>0</v>
      </c>
      <c r="AF450" s="1793">
        <f t="shared" si="577"/>
        <v>0</v>
      </c>
      <c r="AG450" s="1793">
        <f t="shared" si="577"/>
        <v>0</v>
      </c>
      <c r="AH450" s="1793">
        <f t="shared" si="578"/>
        <v>0</v>
      </c>
      <c r="AI450" s="1793">
        <f t="shared" si="578"/>
        <v>0</v>
      </c>
      <c r="AJ450" s="1793">
        <f t="shared" si="578"/>
        <v>0</v>
      </c>
      <c r="AK450" s="1793">
        <f t="shared" si="578"/>
        <v>0</v>
      </c>
      <c r="AL450" s="1793">
        <f t="shared" si="578"/>
        <v>0</v>
      </c>
      <c r="AR450" s="73"/>
      <c r="BK450" s="73"/>
    </row>
    <row r="451" spans="9:63" x14ac:dyDescent="0.3">
      <c r="I451" s="565" t="s">
        <v>317</v>
      </c>
      <c r="J451" s="330"/>
      <c r="K451" s="1738"/>
      <c r="L451" s="1738"/>
      <c r="M451" s="1738"/>
      <c r="N451" s="1737"/>
      <c r="O451" s="1738"/>
      <c r="P451" s="1738"/>
      <c r="Q451" s="1738"/>
      <c r="R451" s="1739"/>
      <c r="S451" s="1793"/>
      <c r="T451" s="1793"/>
      <c r="U451" s="1793"/>
      <c r="V451" s="1793"/>
      <c r="W451" s="1793">
        <f t="shared" si="577"/>
        <v>0</v>
      </c>
      <c r="X451" s="1737">
        <f t="shared" si="577"/>
        <v>0</v>
      </c>
      <c r="Y451" s="1738">
        <f t="shared" si="577"/>
        <v>0</v>
      </c>
      <c r="Z451" s="1738">
        <f t="shared" si="577"/>
        <v>0</v>
      </c>
      <c r="AA451" s="1738">
        <f t="shared" si="577"/>
        <v>0</v>
      </c>
      <c r="AB451" s="1739">
        <f t="shared" si="577"/>
        <v>0</v>
      </c>
      <c r="AC451" s="1793">
        <f t="shared" si="577"/>
        <v>0</v>
      </c>
      <c r="AD451" s="1793">
        <f t="shared" si="577"/>
        <v>0</v>
      </c>
      <c r="AE451" s="1793">
        <f t="shared" si="577"/>
        <v>0</v>
      </c>
      <c r="AF451" s="1793">
        <f t="shared" si="577"/>
        <v>0</v>
      </c>
      <c r="AG451" s="1793">
        <f t="shared" si="577"/>
        <v>0</v>
      </c>
      <c r="AH451" s="1793">
        <f t="shared" si="578"/>
        <v>0</v>
      </c>
      <c r="AI451" s="1793">
        <f t="shared" si="578"/>
        <v>0</v>
      </c>
      <c r="AJ451" s="1793">
        <f t="shared" si="578"/>
        <v>0</v>
      </c>
      <c r="AK451" s="1793">
        <f t="shared" si="578"/>
        <v>0</v>
      </c>
      <c r="AL451" s="1793">
        <f t="shared" si="578"/>
        <v>0</v>
      </c>
      <c r="AR451" s="73"/>
      <c r="BK451" s="73"/>
    </row>
    <row r="452" spans="9:63" x14ac:dyDescent="0.3">
      <c r="I452" s="565" t="s">
        <v>353</v>
      </c>
      <c r="J452" s="330"/>
      <c r="K452" s="1738"/>
      <c r="L452" s="1738"/>
      <c r="M452" s="1738"/>
      <c r="N452" s="1737"/>
      <c r="O452" s="1738"/>
      <c r="P452" s="1738"/>
      <c r="Q452" s="1738"/>
      <c r="R452" s="1739"/>
      <c r="S452" s="1793"/>
      <c r="T452" s="1793"/>
      <c r="U452" s="1793"/>
      <c r="V452" s="1793"/>
      <c r="W452" s="1793">
        <f t="shared" si="577"/>
        <v>0</v>
      </c>
      <c r="X452" s="1737">
        <f t="shared" si="577"/>
        <v>0</v>
      </c>
      <c r="Y452" s="1738">
        <f t="shared" si="577"/>
        <v>0</v>
      </c>
      <c r="Z452" s="1738">
        <f t="shared" si="577"/>
        <v>0</v>
      </c>
      <c r="AA452" s="1738">
        <f t="shared" si="577"/>
        <v>0</v>
      </c>
      <c r="AB452" s="1739">
        <f t="shared" si="577"/>
        <v>0</v>
      </c>
      <c r="AC452" s="1793">
        <f t="shared" si="577"/>
        <v>0</v>
      </c>
      <c r="AD452" s="1793">
        <f t="shared" si="577"/>
        <v>0</v>
      </c>
      <c r="AE452" s="1793">
        <f t="shared" si="577"/>
        <v>0</v>
      </c>
      <c r="AF452" s="1793">
        <f t="shared" si="577"/>
        <v>0</v>
      </c>
      <c r="AG452" s="1793">
        <f t="shared" si="577"/>
        <v>0</v>
      </c>
      <c r="AH452" s="1793">
        <f t="shared" si="578"/>
        <v>0</v>
      </c>
      <c r="AI452" s="1793">
        <f t="shared" si="578"/>
        <v>0</v>
      </c>
      <c r="AJ452" s="1793">
        <f t="shared" si="578"/>
        <v>0</v>
      </c>
      <c r="AK452" s="1793">
        <f t="shared" si="578"/>
        <v>0</v>
      </c>
      <c r="AL452" s="1793">
        <f t="shared" si="578"/>
        <v>0</v>
      </c>
      <c r="AR452" s="73"/>
      <c r="BK452" s="73"/>
    </row>
    <row r="453" spans="9:63" x14ac:dyDescent="0.3">
      <c r="I453" s="566" t="s">
        <v>354</v>
      </c>
      <c r="J453" s="333"/>
      <c r="K453" s="1740"/>
      <c r="L453" s="1740"/>
      <c r="M453" s="1740"/>
      <c r="N453" s="1742"/>
      <c r="O453" s="1740"/>
      <c r="P453" s="1740"/>
      <c r="Q453" s="1740"/>
      <c r="R453" s="1741"/>
      <c r="S453" s="1740"/>
      <c r="T453" s="1740"/>
      <c r="U453" s="1740"/>
      <c r="V453" s="1740"/>
      <c r="W453" s="1740">
        <f t="shared" si="577"/>
        <v>0</v>
      </c>
      <c r="X453" s="1742">
        <f t="shared" si="577"/>
        <v>0</v>
      </c>
      <c r="Y453" s="1740">
        <f t="shared" si="577"/>
        <v>0</v>
      </c>
      <c r="Z453" s="1740">
        <f t="shared" si="577"/>
        <v>0</v>
      </c>
      <c r="AA453" s="1740">
        <f t="shared" si="577"/>
        <v>0</v>
      </c>
      <c r="AB453" s="1741">
        <f t="shared" si="577"/>
        <v>0</v>
      </c>
      <c r="AC453" s="1740">
        <f t="shared" si="577"/>
        <v>0</v>
      </c>
      <c r="AD453" s="1740">
        <f t="shared" si="577"/>
        <v>0</v>
      </c>
      <c r="AE453" s="1740">
        <f t="shared" si="577"/>
        <v>0</v>
      </c>
      <c r="AF453" s="1740">
        <f t="shared" si="577"/>
        <v>0</v>
      </c>
      <c r="AG453" s="1740">
        <f>+SUMIFS(AG$69:AG$444,$E$69:$E$444,$E$71,$F$69:$F$444,$I453)</f>
        <v>0</v>
      </c>
      <c r="AH453" s="1740">
        <f t="shared" si="578"/>
        <v>0</v>
      </c>
      <c r="AI453" s="1740">
        <f t="shared" si="578"/>
        <v>0</v>
      </c>
      <c r="AJ453" s="1740">
        <f t="shared" si="578"/>
        <v>0</v>
      </c>
      <c r="AK453" s="1740">
        <f t="shared" si="578"/>
        <v>0</v>
      </c>
      <c r="AL453" s="1740">
        <f>+SUMIFS(AL$69:AL$444,$E$69:$E$444,$E$71,$F$69:$F$444,$I453)</f>
        <v>0</v>
      </c>
      <c r="AR453" s="73"/>
      <c r="BK453" s="73"/>
    </row>
    <row r="454" spans="9:63" x14ac:dyDescent="0.3">
      <c r="I454" s="105" t="s">
        <v>687</v>
      </c>
      <c r="J454" s="72"/>
      <c r="K454" s="457"/>
      <c r="L454" s="457"/>
      <c r="M454" s="1744"/>
      <c r="N454" s="457"/>
      <c r="O454" s="457"/>
      <c r="P454" s="457"/>
      <c r="Q454" s="457"/>
      <c r="R454" s="1743"/>
      <c r="S454" s="1745"/>
      <c r="T454" s="1743"/>
      <c r="U454" s="1743"/>
      <c r="V454" s="1743"/>
      <c r="W454" s="1744">
        <f t="shared" ref="W454:AG454" si="580">SUM(W448:W453)</f>
        <v>0</v>
      </c>
      <c r="X454" s="457">
        <f t="shared" si="580"/>
        <v>0</v>
      </c>
      <c r="Y454" s="457">
        <f t="shared" si="580"/>
        <v>0</v>
      </c>
      <c r="Z454" s="457">
        <f t="shared" si="580"/>
        <v>0</v>
      </c>
      <c r="AA454" s="457">
        <f t="shared" si="580"/>
        <v>0</v>
      </c>
      <c r="AB454" s="1744">
        <f t="shared" si="580"/>
        <v>0</v>
      </c>
      <c r="AC454" s="457">
        <f t="shared" si="580"/>
        <v>0</v>
      </c>
      <c r="AD454" s="457">
        <f t="shared" si="580"/>
        <v>0</v>
      </c>
      <c r="AE454" s="457">
        <f t="shared" si="580"/>
        <v>0</v>
      </c>
      <c r="AF454" s="457">
        <f t="shared" si="580"/>
        <v>0</v>
      </c>
      <c r="AG454" s="457">
        <f t="shared" si="580"/>
        <v>0</v>
      </c>
      <c r="AH454" s="457">
        <f>SUM(AH448:AH453)</f>
        <v>0</v>
      </c>
      <c r="AI454" s="457">
        <f>SUM(AI448:AI453)</f>
        <v>0</v>
      </c>
      <c r="AJ454" s="457">
        <f>SUM(AJ448:AJ453)</f>
        <v>0</v>
      </c>
      <c r="AK454" s="457">
        <f>SUM(AK448:AK453)</f>
        <v>0</v>
      </c>
      <c r="AL454" s="457">
        <f>SUM(AL448:AL453)</f>
        <v>0</v>
      </c>
      <c r="AR454" s="73"/>
      <c r="BK454" s="73"/>
    </row>
    <row r="455" spans="9:63" x14ac:dyDescent="0.3">
      <c r="I455" s="72" t="s">
        <v>688</v>
      </c>
      <c r="K455" s="632"/>
      <c r="L455" s="632"/>
      <c r="M455" s="1150"/>
      <c r="N455" s="632"/>
      <c r="O455" s="632"/>
      <c r="P455" s="632"/>
      <c r="Q455" s="632"/>
      <c r="R455" s="449"/>
      <c r="S455" s="1149"/>
      <c r="T455" s="449"/>
      <c r="U455" s="449"/>
      <c r="V455" s="449"/>
      <c r="W455" s="1150">
        <f t="shared" ref="W455:Y455" si="581">+W13-W65</f>
        <v>0</v>
      </c>
      <c r="X455" s="632">
        <f t="shared" si="581"/>
        <v>0</v>
      </c>
      <c r="Y455" s="632">
        <f t="shared" si="581"/>
        <v>0</v>
      </c>
      <c r="Z455" s="2160">
        <f t="shared" ref="Z455:AG455" si="582">+Z13</f>
        <v>0</v>
      </c>
      <c r="AA455" s="632">
        <f t="shared" si="582"/>
        <v>0</v>
      </c>
      <c r="AB455" s="1150">
        <f t="shared" si="582"/>
        <v>0</v>
      </c>
      <c r="AC455" s="632">
        <f t="shared" si="582"/>
        <v>0</v>
      </c>
      <c r="AD455" s="632">
        <f t="shared" si="582"/>
        <v>0</v>
      </c>
      <c r="AE455" s="632">
        <f t="shared" si="582"/>
        <v>0</v>
      </c>
      <c r="AF455" s="632">
        <f t="shared" si="582"/>
        <v>0</v>
      </c>
      <c r="AG455" s="632">
        <f t="shared" si="582"/>
        <v>0</v>
      </c>
      <c r="AH455" s="632">
        <f>+AH13</f>
        <v>0</v>
      </c>
      <c r="AI455" s="632">
        <f>+AI13</f>
        <v>0</v>
      </c>
      <c r="AJ455" s="632">
        <f>+AJ13</f>
        <v>0</v>
      </c>
      <c r="AK455" s="632">
        <f>+AK13</f>
        <v>0</v>
      </c>
      <c r="AL455" s="632">
        <f>+AL13</f>
        <v>0</v>
      </c>
      <c r="AR455" s="73"/>
      <c r="BK455" s="73"/>
    </row>
    <row r="456" spans="9:63" x14ac:dyDescent="0.3">
      <c r="I456" s="78" t="s">
        <v>461</v>
      </c>
      <c r="J456" s="78"/>
      <c r="K456" s="1151"/>
      <c r="L456" s="1151"/>
      <c r="M456" s="1152"/>
      <c r="N456" s="1151"/>
      <c r="O456" s="1151"/>
      <c r="P456" s="1151"/>
      <c r="Q456" s="1151"/>
      <c r="R456" s="1151"/>
      <c r="S456" s="1694"/>
      <c r="T456" s="1151"/>
      <c r="U456" s="1151"/>
      <c r="V456" s="1151"/>
      <c r="W456" s="1152">
        <f t="shared" ref="W456:AG456" si="583">+W455-W454</f>
        <v>0</v>
      </c>
      <c r="X456" s="1151">
        <f t="shared" si="583"/>
        <v>0</v>
      </c>
      <c r="Y456" s="1151">
        <f t="shared" si="583"/>
        <v>0</v>
      </c>
      <c r="Z456" s="1151">
        <f t="shared" si="583"/>
        <v>0</v>
      </c>
      <c r="AA456" s="1151">
        <f t="shared" si="583"/>
        <v>0</v>
      </c>
      <c r="AB456" s="1152">
        <f t="shared" si="583"/>
        <v>0</v>
      </c>
      <c r="AC456" s="1151">
        <f t="shared" si="583"/>
        <v>0</v>
      </c>
      <c r="AD456" s="1151">
        <f t="shared" si="583"/>
        <v>0</v>
      </c>
      <c r="AE456" s="1151">
        <f t="shared" si="583"/>
        <v>0</v>
      </c>
      <c r="AF456" s="1151">
        <f t="shared" si="583"/>
        <v>0</v>
      </c>
      <c r="AG456" s="1151">
        <f t="shared" si="583"/>
        <v>0</v>
      </c>
      <c r="AH456" s="1151">
        <f>+AH455-AH454</f>
        <v>0</v>
      </c>
      <c r="AI456" s="1151">
        <f>+AI455-AI454</f>
        <v>0</v>
      </c>
      <c r="AJ456" s="1151">
        <f>+AJ455-AJ454</f>
        <v>0</v>
      </c>
      <c r="AK456" s="1151">
        <f>+AK455-AK454</f>
        <v>0</v>
      </c>
      <c r="AL456" s="1151">
        <f>+AL455-AL454</f>
        <v>0</v>
      </c>
      <c r="AR456" s="73"/>
      <c r="BK456" s="73"/>
    </row>
    <row r="457" spans="9:63" x14ac:dyDescent="0.3">
      <c r="AR457" s="73"/>
      <c r="BK457" s="73"/>
    </row>
    <row r="458" spans="9:63" x14ac:dyDescent="0.3">
      <c r="K458" s="1940"/>
      <c r="L458" s="1940"/>
      <c r="M458" s="1940"/>
      <c r="N458" s="1940"/>
      <c r="O458" s="1940"/>
      <c r="P458" s="1940"/>
      <c r="Q458" s="1940"/>
      <c r="R458" s="1940"/>
      <c r="S458" s="1940"/>
      <c r="T458" s="1940"/>
      <c r="U458" s="1940"/>
      <c r="V458" s="1940"/>
      <c r="W458" s="1967">
        <f t="shared" ref="W458:AL458" si="584">IF(ROUND(W454,2)=ROUND(W465,2),0,1)</f>
        <v>0</v>
      </c>
      <c r="X458" s="1967">
        <f t="shared" si="584"/>
        <v>0</v>
      </c>
      <c r="Y458" s="1967">
        <f t="shared" si="584"/>
        <v>0</v>
      </c>
      <c r="Z458" s="1967">
        <f t="shared" si="584"/>
        <v>0</v>
      </c>
      <c r="AA458" s="1967">
        <f t="shared" si="584"/>
        <v>0</v>
      </c>
      <c r="AB458" s="1967">
        <f t="shared" si="584"/>
        <v>0</v>
      </c>
      <c r="AC458" s="1967">
        <f t="shared" si="584"/>
        <v>0</v>
      </c>
      <c r="AD458" s="1967">
        <f t="shared" si="584"/>
        <v>0</v>
      </c>
      <c r="AE458" s="1967">
        <f t="shared" si="584"/>
        <v>0</v>
      </c>
      <c r="AF458" s="1967">
        <f t="shared" si="584"/>
        <v>0</v>
      </c>
      <c r="AG458" s="1967">
        <f t="shared" si="584"/>
        <v>0</v>
      </c>
      <c r="AH458" s="1967">
        <f t="shared" si="584"/>
        <v>0</v>
      </c>
      <c r="AI458" s="1967">
        <f t="shared" si="584"/>
        <v>0</v>
      </c>
      <c r="AJ458" s="1967">
        <f t="shared" si="584"/>
        <v>0</v>
      </c>
      <c r="AK458" s="1967">
        <f t="shared" si="584"/>
        <v>0</v>
      </c>
      <c r="AL458" s="1967">
        <f t="shared" si="584"/>
        <v>0</v>
      </c>
      <c r="AR458" s="73"/>
      <c r="BK458" s="73"/>
    </row>
    <row r="459" spans="9:63" x14ac:dyDescent="0.3">
      <c r="AR459" s="73"/>
      <c r="BK459" s="73"/>
    </row>
    <row r="460" spans="9:63" x14ac:dyDescent="0.3">
      <c r="I460" s="72" t="s">
        <v>690</v>
      </c>
      <c r="J460" s="560"/>
      <c r="K460" s="564"/>
      <c r="L460" s="564"/>
      <c r="M460" s="564"/>
      <c r="N460" s="564"/>
      <c r="O460" s="564"/>
      <c r="P460" s="564"/>
      <c r="Q460" s="564"/>
      <c r="R460" s="564"/>
      <c r="S460" s="564"/>
      <c r="T460" s="564"/>
      <c r="U460" s="564"/>
      <c r="V460" s="564"/>
      <c r="W460" s="564"/>
      <c r="X460" s="564"/>
      <c r="Y460" s="564"/>
      <c r="Z460" s="564"/>
      <c r="AA460" s="564"/>
      <c r="AB460" s="564"/>
      <c r="AC460" s="564"/>
      <c r="AD460" s="564"/>
      <c r="AE460" s="564"/>
      <c r="AF460" s="564"/>
      <c r="AG460" s="564"/>
      <c r="AH460" s="564"/>
      <c r="AI460" s="564"/>
      <c r="AJ460" s="564"/>
      <c r="AK460" s="564"/>
      <c r="AL460" s="564"/>
      <c r="AR460" s="73"/>
      <c r="BK460" s="73"/>
    </row>
    <row r="461" spans="9:63" x14ac:dyDescent="0.3">
      <c r="I461" s="567" t="s">
        <v>555</v>
      </c>
      <c r="J461" s="568"/>
      <c r="K461" s="1794"/>
      <c r="L461" s="1794"/>
      <c r="M461" s="1795"/>
      <c r="N461" s="1794"/>
      <c r="O461" s="1794"/>
      <c r="P461" s="1794"/>
      <c r="Q461" s="1794"/>
      <c r="R461" s="1795"/>
      <c r="S461" s="1794"/>
      <c r="T461" s="1794"/>
      <c r="U461" s="1794"/>
      <c r="V461" s="1794"/>
      <c r="W461" s="1795">
        <f t="shared" ref="W461:AJ464" si="585">+SUMIFS(W$69:W$444,$E$69:$E$444,$E$71,$I$69:$I$444,$I461)</f>
        <v>0</v>
      </c>
      <c r="X461" s="1794">
        <f t="shared" si="585"/>
        <v>0</v>
      </c>
      <c r="Y461" s="1794">
        <f t="shared" si="585"/>
        <v>0</v>
      </c>
      <c r="Z461" s="1794">
        <f t="shared" si="585"/>
        <v>0</v>
      </c>
      <c r="AA461" s="1794">
        <f t="shared" si="585"/>
        <v>0</v>
      </c>
      <c r="AB461" s="1795">
        <f t="shared" si="585"/>
        <v>0</v>
      </c>
      <c r="AC461" s="1794">
        <f t="shared" si="585"/>
        <v>0</v>
      </c>
      <c r="AD461" s="1794">
        <f t="shared" si="585"/>
        <v>0</v>
      </c>
      <c r="AE461" s="1794">
        <f t="shared" si="585"/>
        <v>0</v>
      </c>
      <c r="AF461" s="1794">
        <f t="shared" si="585"/>
        <v>0</v>
      </c>
      <c r="AG461" s="1794">
        <f t="shared" si="585"/>
        <v>0</v>
      </c>
      <c r="AH461" s="1794">
        <f t="shared" si="585"/>
        <v>0</v>
      </c>
      <c r="AI461" s="1794">
        <f t="shared" si="585"/>
        <v>0</v>
      </c>
      <c r="AJ461" s="1794">
        <f t="shared" si="585"/>
        <v>0</v>
      </c>
      <c r="AK461" s="1794">
        <f t="shared" ref="AH461:AL464" si="586">+SUMIFS(AK$69:AK$444,$E$69:$E$444,$E$71,$I$69:$I$444,$I461)</f>
        <v>0</v>
      </c>
      <c r="AL461" s="1794">
        <f t="shared" si="586"/>
        <v>0</v>
      </c>
      <c r="AR461" s="73"/>
      <c r="BK461" s="73"/>
    </row>
    <row r="462" spans="9:63" x14ac:dyDescent="0.3">
      <c r="I462" s="607" t="s">
        <v>556</v>
      </c>
      <c r="J462" s="608"/>
      <c r="K462" s="1758"/>
      <c r="L462" s="1758"/>
      <c r="M462" s="1760"/>
      <c r="N462" s="1758"/>
      <c r="O462" s="1758"/>
      <c r="P462" s="1758"/>
      <c r="Q462" s="1758"/>
      <c r="R462" s="1760"/>
      <c r="S462" s="1758"/>
      <c r="T462" s="1758"/>
      <c r="U462" s="1758"/>
      <c r="V462" s="1758"/>
      <c r="W462" s="1760">
        <f t="shared" si="585"/>
        <v>0</v>
      </c>
      <c r="X462" s="1758">
        <f t="shared" si="585"/>
        <v>0</v>
      </c>
      <c r="Y462" s="1758">
        <f t="shared" si="585"/>
        <v>0</v>
      </c>
      <c r="Z462" s="1758">
        <f t="shared" si="585"/>
        <v>0</v>
      </c>
      <c r="AA462" s="1758">
        <f t="shared" si="585"/>
        <v>0</v>
      </c>
      <c r="AB462" s="1760">
        <f t="shared" si="585"/>
        <v>0</v>
      </c>
      <c r="AC462" s="1758">
        <f t="shared" si="585"/>
        <v>0</v>
      </c>
      <c r="AD462" s="1758">
        <f t="shared" si="585"/>
        <v>0</v>
      </c>
      <c r="AE462" s="1758">
        <f t="shared" si="585"/>
        <v>0</v>
      </c>
      <c r="AF462" s="1758">
        <f t="shared" si="585"/>
        <v>0</v>
      </c>
      <c r="AG462" s="1758">
        <f t="shared" si="585"/>
        <v>0</v>
      </c>
      <c r="AH462" s="1758">
        <f t="shared" si="586"/>
        <v>0</v>
      </c>
      <c r="AI462" s="1758">
        <f t="shared" si="586"/>
        <v>0</v>
      </c>
      <c r="AJ462" s="1758">
        <f t="shared" si="586"/>
        <v>0</v>
      </c>
      <c r="AK462" s="1758">
        <f t="shared" si="586"/>
        <v>0</v>
      </c>
      <c r="AL462" s="1758">
        <f t="shared" si="586"/>
        <v>0</v>
      </c>
      <c r="AR462" s="73"/>
      <c r="BK462" s="73"/>
    </row>
    <row r="463" spans="9:63" x14ac:dyDescent="0.3">
      <c r="I463" s="330" t="s">
        <v>557</v>
      </c>
      <c r="J463" s="330"/>
      <c r="K463" s="1758"/>
      <c r="L463" s="1758"/>
      <c r="M463" s="1760"/>
      <c r="N463" s="1758"/>
      <c r="O463" s="1758"/>
      <c r="P463" s="1758"/>
      <c r="Q463" s="1758"/>
      <c r="R463" s="1760"/>
      <c r="S463" s="1758"/>
      <c r="T463" s="1758"/>
      <c r="U463" s="1758"/>
      <c r="V463" s="1758"/>
      <c r="W463" s="1760">
        <f t="shared" si="585"/>
        <v>0</v>
      </c>
      <c r="X463" s="1758">
        <f t="shared" si="585"/>
        <v>0</v>
      </c>
      <c r="Y463" s="1758">
        <f t="shared" si="585"/>
        <v>0</v>
      </c>
      <c r="Z463" s="1758">
        <f t="shared" si="585"/>
        <v>0</v>
      </c>
      <c r="AA463" s="1758">
        <f t="shared" si="585"/>
        <v>0</v>
      </c>
      <c r="AB463" s="1760">
        <f t="shared" si="585"/>
        <v>0</v>
      </c>
      <c r="AC463" s="1758">
        <f t="shared" si="585"/>
        <v>0</v>
      </c>
      <c r="AD463" s="1758">
        <f t="shared" si="585"/>
        <v>0</v>
      </c>
      <c r="AE463" s="1758">
        <f t="shared" si="585"/>
        <v>0</v>
      </c>
      <c r="AF463" s="1758">
        <f t="shared" si="585"/>
        <v>0</v>
      </c>
      <c r="AG463" s="1758">
        <f t="shared" si="585"/>
        <v>0</v>
      </c>
      <c r="AH463" s="1758">
        <f t="shared" si="586"/>
        <v>0</v>
      </c>
      <c r="AI463" s="1758">
        <f t="shared" si="586"/>
        <v>0</v>
      </c>
      <c r="AJ463" s="1758">
        <f t="shared" si="586"/>
        <v>0</v>
      </c>
      <c r="AK463" s="1758">
        <f t="shared" si="586"/>
        <v>0</v>
      </c>
      <c r="AL463" s="1758">
        <f t="shared" si="586"/>
        <v>0</v>
      </c>
      <c r="AR463" s="73"/>
      <c r="BK463" s="73"/>
    </row>
    <row r="464" spans="9:63" x14ac:dyDescent="0.3">
      <c r="I464" s="333" t="s">
        <v>558</v>
      </c>
      <c r="J464" s="333"/>
      <c r="K464" s="1796"/>
      <c r="L464" s="1796"/>
      <c r="M464" s="1797"/>
      <c r="N464" s="1796"/>
      <c r="O464" s="1796"/>
      <c r="P464" s="1796"/>
      <c r="Q464" s="1796"/>
      <c r="R464" s="1797"/>
      <c r="S464" s="1796"/>
      <c r="T464" s="1796"/>
      <c r="U464" s="1796"/>
      <c r="V464" s="1796"/>
      <c r="W464" s="1797">
        <f t="shared" si="585"/>
        <v>0</v>
      </c>
      <c r="X464" s="1796">
        <f t="shared" si="585"/>
        <v>0</v>
      </c>
      <c r="Y464" s="1796">
        <f t="shared" si="585"/>
        <v>0</v>
      </c>
      <c r="Z464" s="1796">
        <f t="shared" si="585"/>
        <v>0</v>
      </c>
      <c r="AA464" s="1796">
        <f t="shared" si="585"/>
        <v>0</v>
      </c>
      <c r="AB464" s="1797">
        <f t="shared" si="585"/>
        <v>0</v>
      </c>
      <c r="AC464" s="1796">
        <f t="shared" si="585"/>
        <v>0</v>
      </c>
      <c r="AD464" s="1796">
        <f t="shared" si="585"/>
        <v>0</v>
      </c>
      <c r="AE464" s="1796">
        <f t="shared" si="585"/>
        <v>0</v>
      </c>
      <c r="AF464" s="1796">
        <f t="shared" si="585"/>
        <v>0</v>
      </c>
      <c r="AG464" s="1796">
        <f t="shared" si="585"/>
        <v>0</v>
      </c>
      <c r="AH464" s="1796">
        <f t="shared" si="586"/>
        <v>0</v>
      </c>
      <c r="AI464" s="1796">
        <f t="shared" si="586"/>
        <v>0</v>
      </c>
      <c r="AJ464" s="1796">
        <f t="shared" si="586"/>
        <v>0</v>
      </c>
      <c r="AK464" s="1796">
        <f t="shared" si="586"/>
        <v>0</v>
      </c>
      <c r="AL464" s="1796">
        <f t="shared" si="586"/>
        <v>0</v>
      </c>
      <c r="AR464" s="73"/>
      <c r="BK464" s="73"/>
    </row>
    <row r="465" spans="1:78" x14ac:dyDescent="0.3">
      <c r="I465" s="108" t="s">
        <v>687</v>
      </c>
      <c r="K465" s="1787"/>
      <c r="L465" s="1787"/>
      <c r="M465" s="1744"/>
      <c r="N465" s="1787"/>
      <c r="O465" s="1787"/>
      <c r="P465" s="1787"/>
      <c r="Q465" s="1787"/>
      <c r="R465" s="1744"/>
      <c r="S465" s="1787"/>
      <c r="T465" s="1787"/>
      <c r="U465" s="1787"/>
      <c r="V465" s="1787"/>
      <c r="W465" s="1744">
        <f t="shared" ref="W465:AG465" si="587">SUM(W461:W464)</f>
        <v>0</v>
      </c>
      <c r="X465" s="1787">
        <f t="shared" si="587"/>
        <v>0</v>
      </c>
      <c r="Y465" s="1787">
        <f t="shared" si="587"/>
        <v>0</v>
      </c>
      <c r="Z465" s="1787">
        <f t="shared" si="587"/>
        <v>0</v>
      </c>
      <c r="AA465" s="1787">
        <f t="shared" si="587"/>
        <v>0</v>
      </c>
      <c r="AB465" s="1744">
        <f t="shared" si="587"/>
        <v>0</v>
      </c>
      <c r="AC465" s="1787">
        <f t="shared" si="587"/>
        <v>0</v>
      </c>
      <c r="AD465" s="1787">
        <f t="shared" si="587"/>
        <v>0</v>
      </c>
      <c r="AE465" s="1787">
        <f t="shared" si="587"/>
        <v>0</v>
      </c>
      <c r="AF465" s="1787">
        <f t="shared" si="587"/>
        <v>0</v>
      </c>
      <c r="AG465" s="1787">
        <f t="shared" si="587"/>
        <v>0</v>
      </c>
      <c r="AH465" s="1787">
        <f>SUM(AH461:AH464)</f>
        <v>0</v>
      </c>
      <c r="AI465" s="1787">
        <f>SUM(AI461:AI464)</f>
        <v>0</v>
      </c>
      <c r="AJ465" s="1787">
        <f>SUM(AJ461:AJ464)</f>
        <v>0</v>
      </c>
      <c r="AK465" s="1787">
        <f>SUM(AK461:AK464)</f>
        <v>0</v>
      </c>
      <c r="AL465" s="1787">
        <f>SUM(AL461:AL464)</f>
        <v>0</v>
      </c>
      <c r="AR465" s="73"/>
      <c r="BK465" s="73"/>
    </row>
    <row r="466" spans="1:78" x14ac:dyDescent="0.3">
      <c r="I466" s="570" t="s">
        <v>686</v>
      </c>
      <c r="J466" s="561"/>
      <c r="K466" s="1798"/>
      <c r="L466" s="1798"/>
      <c r="M466" s="1800"/>
      <c r="N466" s="1798"/>
      <c r="O466" s="1798"/>
      <c r="P466" s="1798"/>
      <c r="Q466" s="1798"/>
      <c r="R466" s="1800"/>
      <c r="S466" s="1798"/>
      <c r="T466" s="1798"/>
      <c r="U466" s="1798"/>
      <c r="V466" s="1798"/>
      <c r="W466" s="1800" t="str">
        <f t="shared" ref="W466:AG466" si="588">IFERROR((W461+W463)/W465,"")</f>
        <v/>
      </c>
      <c r="X466" s="1798" t="str">
        <f t="shared" si="588"/>
        <v/>
      </c>
      <c r="Y466" s="1798" t="str">
        <f t="shared" si="588"/>
        <v/>
      </c>
      <c r="Z466" s="1798" t="str">
        <f t="shared" si="588"/>
        <v/>
      </c>
      <c r="AA466" s="1798" t="str">
        <f t="shared" si="588"/>
        <v/>
      </c>
      <c r="AB466" s="1800" t="str">
        <f t="shared" si="588"/>
        <v/>
      </c>
      <c r="AC466" s="1798" t="str">
        <f t="shared" si="588"/>
        <v/>
      </c>
      <c r="AD466" s="1798" t="str">
        <f t="shared" si="588"/>
        <v/>
      </c>
      <c r="AE466" s="1798" t="str">
        <f t="shared" si="588"/>
        <v/>
      </c>
      <c r="AF466" s="1798" t="str">
        <f t="shared" si="588"/>
        <v/>
      </c>
      <c r="AG466" s="1798" t="str">
        <f t="shared" si="588"/>
        <v/>
      </c>
      <c r="AH466" s="1798" t="str">
        <f>IFERROR((AH461+AH463)/AH465,"")</f>
        <v/>
      </c>
      <c r="AI466" s="1798" t="str">
        <f>IFERROR((AI461+AI463)/AI465,"")</f>
        <v/>
      </c>
      <c r="AJ466" s="1798" t="str">
        <f>IFERROR((AJ461+AJ463)/AJ465,"")</f>
        <v/>
      </c>
      <c r="AK466" s="1798" t="str">
        <f>IFERROR((AK461+AK463)/AK465,"")</f>
        <v/>
      </c>
      <c r="AL466" s="1798" t="str">
        <f>IFERROR((AL461+AL463)/AL465,"")</f>
        <v/>
      </c>
      <c r="AR466" s="73"/>
      <c r="BK466" s="73"/>
    </row>
    <row r="467" spans="1:78" x14ac:dyDescent="0.3">
      <c r="I467" s="571" t="s">
        <v>689</v>
      </c>
      <c r="J467" s="572"/>
      <c r="K467" s="1799"/>
      <c r="L467" s="1799"/>
      <c r="M467" s="1801"/>
      <c r="N467" s="1799"/>
      <c r="O467" s="1799"/>
      <c r="P467" s="1799"/>
      <c r="Q467" s="1799"/>
      <c r="R467" s="1801"/>
      <c r="S467" s="1799"/>
      <c r="T467" s="1799"/>
      <c r="U467" s="1799"/>
      <c r="V467" s="1799"/>
      <c r="W467" s="1801" t="str">
        <f t="shared" ref="W467:AG467" si="589">IFERROR((W462+W464)/W465,"")</f>
        <v/>
      </c>
      <c r="X467" s="1799" t="str">
        <f t="shared" si="589"/>
        <v/>
      </c>
      <c r="Y467" s="1799" t="str">
        <f t="shared" si="589"/>
        <v/>
      </c>
      <c r="Z467" s="1799" t="str">
        <f t="shared" si="589"/>
        <v/>
      </c>
      <c r="AA467" s="1799" t="str">
        <f t="shared" si="589"/>
        <v/>
      </c>
      <c r="AB467" s="1801" t="str">
        <f t="shared" si="589"/>
        <v/>
      </c>
      <c r="AC467" s="1799" t="str">
        <f t="shared" si="589"/>
        <v/>
      </c>
      <c r="AD467" s="1799" t="str">
        <f t="shared" si="589"/>
        <v/>
      </c>
      <c r="AE467" s="1799" t="str">
        <f t="shared" si="589"/>
        <v/>
      </c>
      <c r="AF467" s="1799" t="str">
        <f t="shared" si="589"/>
        <v/>
      </c>
      <c r="AG467" s="1799" t="str">
        <f t="shared" si="589"/>
        <v/>
      </c>
      <c r="AH467" s="1799" t="str">
        <f>IFERROR((AH462+AH464)/AH465,"")</f>
        <v/>
      </c>
      <c r="AI467" s="1799" t="str">
        <f>IFERROR((AI462+AI464)/AI465,"")</f>
        <v/>
      </c>
      <c r="AJ467" s="1799" t="str">
        <f>IFERROR((AJ462+AJ464)/AJ465,"")</f>
        <v/>
      </c>
      <c r="AK467" s="1799" t="str">
        <f>IFERROR((AK462+AK464)/AK465,"")</f>
        <v/>
      </c>
      <c r="AL467" s="1799" t="str">
        <f>IFERROR((AL462+AL464)/AL465,"")</f>
        <v/>
      </c>
      <c r="AR467" s="73"/>
      <c r="BK467" s="73"/>
    </row>
    <row r="469" spans="1:78" x14ac:dyDescent="0.3">
      <c r="A469" s="990"/>
      <c r="B469" s="990"/>
      <c r="C469" s="990"/>
      <c r="D469" s="990"/>
      <c r="E469" s="990"/>
      <c r="F469" s="990"/>
      <c r="G469" s="990"/>
      <c r="H469" s="990"/>
      <c r="I469" s="991"/>
      <c r="J469" s="990"/>
      <c r="K469" s="990"/>
      <c r="L469" s="990"/>
      <c r="M469" s="990"/>
      <c r="N469" s="990"/>
      <c r="O469" s="990"/>
      <c r="P469" s="990"/>
      <c r="Q469" s="990"/>
      <c r="R469" s="990"/>
      <c r="S469" s="990"/>
      <c r="T469" s="990"/>
      <c r="U469" s="990"/>
      <c r="V469" s="990"/>
      <c r="W469" s="990"/>
      <c r="X469" s="990"/>
      <c r="Y469" s="990"/>
      <c r="Z469" s="990"/>
      <c r="AA469" s="990"/>
      <c r="AB469" s="990"/>
      <c r="AC469" s="990"/>
      <c r="AD469" s="990"/>
      <c r="AE469" s="990"/>
      <c r="AF469" s="990"/>
      <c r="AG469" s="990"/>
      <c r="AH469" s="990"/>
      <c r="AI469" s="990"/>
      <c r="AJ469" s="990"/>
      <c r="AK469" s="990"/>
      <c r="AL469" s="990"/>
      <c r="AM469" s="990"/>
    </row>
    <row r="471" spans="1:78" ht="12.5" thickBot="1" x14ac:dyDescent="0.35"/>
    <row r="472" spans="1:78" ht="12.5" thickBot="1" x14ac:dyDescent="0.35">
      <c r="I472" s="2384" t="s">
        <v>1049</v>
      </c>
      <c r="J472" s="2385"/>
      <c r="K472" s="2385"/>
      <c r="L472" s="2385"/>
      <c r="M472" s="2385"/>
      <c r="N472" s="2385"/>
      <c r="O472" s="2385"/>
      <c r="P472" s="2385"/>
      <c r="Q472" s="2385"/>
      <c r="R472" s="2385"/>
      <c r="S472" s="2385"/>
      <c r="T472" s="2385"/>
      <c r="U472" s="2385"/>
      <c r="V472" s="2385"/>
      <c r="W472" s="2385"/>
      <c r="X472" s="2385"/>
      <c r="Y472" s="2385"/>
      <c r="Z472" s="2385"/>
      <c r="AA472" s="2385"/>
      <c r="AB472" s="2385"/>
      <c r="AC472" s="2385"/>
      <c r="AD472" s="2385"/>
      <c r="AE472" s="2385"/>
      <c r="AF472" s="2385"/>
      <c r="AG472" s="2386"/>
      <c r="AH472" s="1554"/>
      <c r="AI472" s="1554"/>
      <c r="AJ472" s="1554"/>
      <c r="AK472" s="1554"/>
      <c r="AL472" s="1554"/>
    </row>
    <row r="473" spans="1:78" s="103" customFormat="1" x14ac:dyDescent="0.3">
      <c r="H473" s="993"/>
      <c r="I473" s="1755" t="str">
        <f>I448</f>
        <v>Water</v>
      </c>
      <c r="J473" s="994"/>
      <c r="K473" s="1757"/>
      <c r="L473" s="1757"/>
      <c r="M473" s="1759"/>
      <c r="N473" s="1757"/>
      <c r="O473" s="1757"/>
      <c r="P473" s="1757"/>
      <c r="Q473" s="1757"/>
      <c r="R473" s="1759"/>
      <c r="S473" s="1757"/>
      <c r="T473" s="1757"/>
      <c r="U473" s="1757"/>
      <c r="V473" s="1757"/>
      <c r="W473" s="1759">
        <f t="shared" ref="W473:AG473" si="590">SUM(W474:W477)</f>
        <v>0</v>
      </c>
      <c r="X473" s="1757">
        <f t="shared" si="590"/>
        <v>0</v>
      </c>
      <c r="Y473" s="1757">
        <f t="shared" si="590"/>
        <v>0</v>
      </c>
      <c r="Z473" s="1757">
        <f t="shared" si="590"/>
        <v>0</v>
      </c>
      <c r="AA473" s="1757">
        <f t="shared" si="590"/>
        <v>0</v>
      </c>
      <c r="AB473" s="1759">
        <f t="shared" si="590"/>
        <v>0</v>
      </c>
      <c r="AC473" s="1757">
        <f t="shared" si="590"/>
        <v>0</v>
      </c>
      <c r="AD473" s="1757">
        <f t="shared" si="590"/>
        <v>0</v>
      </c>
      <c r="AE473" s="1757">
        <f t="shared" si="590"/>
        <v>0</v>
      </c>
      <c r="AF473" s="1757">
        <f t="shared" si="590"/>
        <v>0</v>
      </c>
      <c r="AG473" s="1802">
        <f t="shared" si="590"/>
        <v>0</v>
      </c>
      <c r="AH473" s="1757">
        <f>SUM(AH474:AH477)</f>
        <v>0</v>
      </c>
      <c r="AI473" s="1757">
        <f>SUM(AI474:AI477)</f>
        <v>0</v>
      </c>
      <c r="AJ473" s="1757">
        <f>SUM(AJ474:AJ477)</f>
        <v>0</v>
      </c>
      <c r="AK473" s="1757">
        <f>SUM(AK474:AK477)</f>
        <v>0</v>
      </c>
      <c r="AL473" s="1802">
        <f>SUM(AL474:AL477)</f>
        <v>0</v>
      </c>
      <c r="AN473" s="1010"/>
      <c r="AR473" s="105"/>
      <c r="BH473" s="995"/>
      <c r="BK473" s="105"/>
    </row>
    <row r="474" spans="1:78" x14ac:dyDescent="0.3">
      <c r="H474" s="996"/>
      <c r="I474" s="1756" t="str">
        <f>$I$461</f>
        <v>Price cap - Fixed</v>
      </c>
      <c r="J474" s="998"/>
      <c r="K474" s="1758"/>
      <c r="L474" s="1758"/>
      <c r="M474" s="1760"/>
      <c r="N474" s="1758"/>
      <c r="O474" s="1758"/>
      <c r="P474" s="1758"/>
      <c r="Q474" s="1758"/>
      <c r="R474" s="1760"/>
      <c r="S474" s="1758"/>
      <c r="T474" s="1758"/>
      <c r="U474" s="1758"/>
      <c r="V474" s="1758"/>
      <c r="W474" s="1760">
        <f t="shared" ref="W474:AH477" si="591">+SUMIFS(W$69:W$444,$E$69:$E$444,$E$71,$F$69:$F$444,$I$473,$I$69:$I$444,$I474)</f>
        <v>0</v>
      </c>
      <c r="X474" s="1758">
        <f t="shared" si="591"/>
        <v>0</v>
      </c>
      <c r="Y474" s="1758">
        <f t="shared" si="591"/>
        <v>0</v>
      </c>
      <c r="Z474" s="1758">
        <f t="shared" si="591"/>
        <v>0</v>
      </c>
      <c r="AA474" s="1758">
        <f t="shared" si="591"/>
        <v>0</v>
      </c>
      <c r="AB474" s="1760">
        <f t="shared" si="591"/>
        <v>0</v>
      </c>
      <c r="AC474" s="1758">
        <f t="shared" si="591"/>
        <v>0</v>
      </c>
      <c r="AD474" s="1758">
        <f t="shared" si="591"/>
        <v>0</v>
      </c>
      <c r="AE474" s="1758">
        <f t="shared" si="591"/>
        <v>0</v>
      </c>
      <c r="AF474" s="1758">
        <f t="shared" si="591"/>
        <v>0</v>
      </c>
      <c r="AG474" s="1803">
        <f t="shared" si="591"/>
        <v>0</v>
      </c>
      <c r="AH474" s="1758">
        <f t="shared" si="591"/>
        <v>0</v>
      </c>
      <c r="AI474" s="1758">
        <f t="shared" ref="AH474:AL477" si="592">+SUMIFS(AI$69:AI$444,$E$69:$E$444,$E$71,$F$69:$F$444,$I$473,$I$69:$I$444,$I474)</f>
        <v>0</v>
      </c>
      <c r="AJ474" s="1758">
        <f t="shared" si="592"/>
        <v>0</v>
      </c>
      <c r="AK474" s="1758">
        <f t="shared" si="592"/>
        <v>0</v>
      </c>
      <c r="AL474" s="1803">
        <f t="shared" si="592"/>
        <v>0</v>
      </c>
    </row>
    <row r="475" spans="1:78" x14ac:dyDescent="0.3">
      <c r="H475" s="996"/>
      <c r="I475" s="1756" t="str">
        <f>$I$462</f>
        <v xml:space="preserve">Price cap - Variable </v>
      </c>
      <c r="J475" s="998"/>
      <c r="K475" s="1758"/>
      <c r="L475" s="1758"/>
      <c r="M475" s="1760"/>
      <c r="N475" s="1758"/>
      <c r="O475" s="1758"/>
      <c r="P475" s="1758"/>
      <c r="Q475" s="1758"/>
      <c r="R475" s="1760"/>
      <c r="S475" s="1758"/>
      <c r="T475" s="1758"/>
      <c r="U475" s="1758"/>
      <c r="V475" s="1758"/>
      <c r="W475" s="1760">
        <f t="shared" si="591"/>
        <v>0</v>
      </c>
      <c r="X475" s="1758">
        <f t="shared" si="591"/>
        <v>0</v>
      </c>
      <c r="Y475" s="1758">
        <f t="shared" si="591"/>
        <v>0</v>
      </c>
      <c r="Z475" s="1758">
        <f t="shared" si="591"/>
        <v>0</v>
      </c>
      <c r="AA475" s="1758">
        <f t="shared" si="591"/>
        <v>0</v>
      </c>
      <c r="AB475" s="1760">
        <f t="shared" si="591"/>
        <v>0</v>
      </c>
      <c r="AC475" s="1758">
        <f t="shared" si="591"/>
        <v>0</v>
      </c>
      <c r="AD475" s="1758">
        <f t="shared" si="591"/>
        <v>0</v>
      </c>
      <c r="AE475" s="1758">
        <f t="shared" si="591"/>
        <v>0</v>
      </c>
      <c r="AF475" s="1758">
        <f t="shared" si="591"/>
        <v>0</v>
      </c>
      <c r="AG475" s="1803">
        <f t="shared" si="591"/>
        <v>0</v>
      </c>
      <c r="AH475" s="1758">
        <f t="shared" si="592"/>
        <v>0</v>
      </c>
      <c r="AI475" s="1758">
        <f t="shared" si="592"/>
        <v>0</v>
      </c>
      <c r="AJ475" s="1758">
        <f t="shared" si="592"/>
        <v>0</v>
      </c>
      <c r="AK475" s="1758">
        <f t="shared" si="592"/>
        <v>0</v>
      </c>
      <c r="AL475" s="1803">
        <f t="shared" si="592"/>
        <v>0</v>
      </c>
    </row>
    <row r="476" spans="1:78" x14ac:dyDescent="0.3">
      <c r="H476" s="996"/>
      <c r="I476" s="1756" t="str">
        <f>$I$463</f>
        <v xml:space="preserve">Revenue cap - Fixed </v>
      </c>
      <c r="J476" s="998"/>
      <c r="K476" s="1758"/>
      <c r="L476" s="1758"/>
      <c r="M476" s="1760"/>
      <c r="N476" s="1758"/>
      <c r="O476" s="1758"/>
      <c r="P476" s="1758"/>
      <c r="Q476" s="1758"/>
      <c r="R476" s="1760"/>
      <c r="S476" s="1758"/>
      <c r="T476" s="1758"/>
      <c r="U476" s="1758"/>
      <c r="V476" s="1758"/>
      <c r="W476" s="1760">
        <f t="shared" si="591"/>
        <v>0</v>
      </c>
      <c r="X476" s="1758">
        <f t="shared" si="591"/>
        <v>0</v>
      </c>
      <c r="Y476" s="1758">
        <f t="shared" si="591"/>
        <v>0</v>
      </c>
      <c r="Z476" s="1758">
        <f t="shared" si="591"/>
        <v>0</v>
      </c>
      <c r="AA476" s="1758">
        <f t="shared" si="591"/>
        <v>0</v>
      </c>
      <c r="AB476" s="1760">
        <f t="shared" si="591"/>
        <v>0</v>
      </c>
      <c r="AC476" s="1758">
        <f t="shared" si="591"/>
        <v>0</v>
      </c>
      <c r="AD476" s="1758">
        <f t="shared" si="591"/>
        <v>0</v>
      </c>
      <c r="AE476" s="1758">
        <f t="shared" si="591"/>
        <v>0</v>
      </c>
      <c r="AF476" s="1758">
        <f t="shared" si="591"/>
        <v>0</v>
      </c>
      <c r="AG476" s="1803">
        <f t="shared" si="591"/>
        <v>0</v>
      </c>
      <c r="AH476" s="1758">
        <f t="shared" si="592"/>
        <v>0</v>
      </c>
      <c r="AI476" s="1758">
        <f t="shared" si="592"/>
        <v>0</v>
      </c>
      <c r="AJ476" s="1758">
        <f t="shared" si="592"/>
        <v>0</v>
      </c>
      <c r="AK476" s="1758">
        <f t="shared" si="592"/>
        <v>0</v>
      </c>
      <c r="AL476" s="1803">
        <f t="shared" si="592"/>
        <v>0</v>
      </c>
    </row>
    <row r="477" spans="1:78" x14ac:dyDescent="0.3">
      <c r="H477" s="996"/>
      <c r="I477" s="1756" t="str">
        <f>$I$464</f>
        <v>Revenue cap - Variable</v>
      </c>
      <c r="J477" s="998"/>
      <c r="K477" s="1758"/>
      <c r="L477" s="1758"/>
      <c r="M477" s="1760"/>
      <c r="N477" s="1758"/>
      <c r="O477" s="1758"/>
      <c r="P477" s="1758"/>
      <c r="Q477" s="1758"/>
      <c r="R477" s="1760"/>
      <c r="S477" s="1758"/>
      <c r="T477" s="1758"/>
      <c r="U477" s="1758"/>
      <c r="V477" s="1758"/>
      <c r="W477" s="1760">
        <f t="shared" si="591"/>
        <v>0</v>
      </c>
      <c r="X477" s="1758">
        <f t="shared" si="591"/>
        <v>0</v>
      </c>
      <c r="Y477" s="1758">
        <f t="shared" si="591"/>
        <v>0</v>
      </c>
      <c r="Z477" s="1758">
        <f t="shared" si="591"/>
        <v>0</v>
      </c>
      <c r="AA477" s="1758">
        <f t="shared" si="591"/>
        <v>0</v>
      </c>
      <c r="AB477" s="1760">
        <f t="shared" si="591"/>
        <v>0</v>
      </c>
      <c r="AC477" s="1758">
        <f t="shared" si="591"/>
        <v>0</v>
      </c>
      <c r="AD477" s="1758">
        <f t="shared" si="591"/>
        <v>0</v>
      </c>
      <c r="AE477" s="1758">
        <f t="shared" si="591"/>
        <v>0</v>
      </c>
      <c r="AF477" s="1758">
        <f t="shared" si="591"/>
        <v>0</v>
      </c>
      <c r="AG477" s="1803">
        <f t="shared" si="591"/>
        <v>0</v>
      </c>
      <c r="AH477" s="1758">
        <f t="shared" si="592"/>
        <v>0</v>
      </c>
      <c r="AI477" s="1758">
        <f t="shared" si="592"/>
        <v>0</v>
      </c>
      <c r="AJ477" s="1758">
        <f t="shared" si="592"/>
        <v>0</v>
      </c>
      <c r="AK477" s="1758">
        <f t="shared" si="592"/>
        <v>0</v>
      </c>
      <c r="AL477" s="1803">
        <f t="shared" si="592"/>
        <v>0</v>
      </c>
    </row>
    <row r="478" spans="1:78" s="999" customFormat="1" x14ac:dyDescent="0.3">
      <c r="H478" s="1000"/>
      <c r="I478" s="1001" t="s">
        <v>688</v>
      </c>
      <c r="J478" s="1002"/>
      <c r="K478" s="1804"/>
      <c r="L478" s="1804"/>
      <c r="M478" s="1805"/>
      <c r="N478" s="1804"/>
      <c r="O478" s="1804"/>
      <c r="P478" s="1804"/>
      <c r="Q478" s="1804"/>
      <c r="R478" s="1762"/>
      <c r="S478" s="1761"/>
      <c r="T478" s="1761"/>
      <c r="U478" s="1761"/>
      <c r="V478" s="1761"/>
      <c r="W478" s="1762">
        <f t="shared" ref="W478:AG478" si="593">W473-W448</f>
        <v>0</v>
      </c>
      <c r="X478" s="1761">
        <f t="shared" si="593"/>
        <v>0</v>
      </c>
      <c r="Y478" s="1761">
        <f t="shared" si="593"/>
        <v>0</v>
      </c>
      <c r="Z478" s="1761">
        <f t="shared" si="593"/>
        <v>0</v>
      </c>
      <c r="AA478" s="1761">
        <f t="shared" si="593"/>
        <v>0</v>
      </c>
      <c r="AB478" s="1762">
        <f t="shared" si="593"/>
        <v>0</v>
      </c>
      <c r="AC478" s="1761">
        <f t="shared" si="593"/>
        <v>0</v>
      </c>
      <c r="AD478" s="1761">
        <f t="shared" si="593"/>
        <v>0</v>
      </c>
      <c r="AE478" s="1761">
        <f t="shared" si="593"/>
        <v>0</v>
      </c>
      <c r="AF478" s="1761">
        <f t="shared" si="593"/>
        <v>0</v>
      </c>
      <c r="AG478" s="1806">
        <f t="shared" si="593"/>
        <v>0</v>
      </c>
      <c r="AH478" s="1761">
        <f>AH473-AH448</f>
        <v>0</v>
      </c>
      <c r="AI478" s="1761">
        <f>AI473-AI448</f>
        <v>0</v>
      </c>
      <c r="AJ478" s="1761">
        <f>AJ473-AJ448</f>
        <v>0</v>
      </c>
      <c r="AK478" s="1761">
        <f>AK473-AK448</f>
        <v>0</v>
      </c>
      <c r="AL478" s="1806">
        <f>AL473-AL448</f>
        <v>0</v>
      </c>
      <c r="AN478" s="1013"/>
      <c r="AR478" s="1008"/>
      <c r="BH478" s="1009"/>
      <c r="BK478" s="1008"/>
    </row>
    <row r="479" spans="1:78" s="103" customFormat="1" x14ac:dyDescent="0.3">
      <c r="H479" s="993"/>
      <c r="I479" s="1755" t="str">
        <f>I449</f>
        <v>Sewerage</v>
      </c>
      <c r="J479" s="994"/>
      <c r="K479" s="1757"/>
      <c r="L479" s="1757"/>
      <c r="M479" s="1759"/>
      <c r="N479" s="1757"/>
      <c r="O479" s="1757"/>
      <c r="P479" s="1757"/>
      <c r="Q479" s="1757"/>
      <c r="R479" s="1759"/>
      <c r="S479" s="1757"/>
      <c r="T479" s="1757"/>
      <c r="U479" s="1757"/>
      <c r="V479" s="1757"/>
      <c r="W479" s="1759">
        <f t="shared" ref="W479:AG479" si="594">SUM(W480:W483)</f>
        <v>0</v>
      </c>
      <c r="X479" s="1757">
        <f t="shared" si="594"/>
        <v>0</v>
      </c>
      <c r="Y479" s="1757">
        <f t="shared" si="594"/>
        <v>0</v>
      </c>
      <c r="Z479" s="1757">
        <f t="shared" si="594"/>
        <v>0</v>
      </c>
      <c r="AA479" s="1757">
        <f t="shared" si="594"/>
        <v>0</v>
      </c>
      <c r="AB479" s="1759">
        <f t="shared" si="594"/>
        <v>0</v>
      </c>
      <c r="AC479" s="1757">
        <f t="shared" si="594"/>
        <v>0</v>
      </c>
      <c r="AD479" s="1757">
        <f t="shared" si="594"/>
        <v>0</v>
      </c>
      <c r="AE479" s="1757">
        <f t="shared" si="594"/>
        <v>0</v>
      </c>
      <c r="AF479" s="1757">
        <f t="shared" si="594"/>
        <v>0</v>
      </c>
      <c r="AG479" s="1802">
        <f t="shared" si="594"/>
        <v>0</v>
      </c>
      <c r="AH479" s="1757">
        <f>SUM(AH480:AH483)</f>
        <v>0</v>
      </c>
      <c r="AI479" s="1757">
        <f>SUM(AI480:AI483)</f>
        <v>0</v>
      </c>
      <c r="AJ479" s="1757">
        <f>SUM(AJ480:AJ483)</f>
        <v>0</v>
      </c>
      <c r="AK479" s="1757">
        <f>SUM(AK480:AK483)</f>
        <v>0</v>
      </c>
      <c r="AL479" s="1802">
        <f>SUM(AL480:AL483)</f>
        <v>0</v>
      </c>
      <c r="AN479" s="1010"/>
      <c r="AP479" s="999"/>
      <c r="AQ479" s="999"/>
      <c r="AR479" s="1008"/>
      <c r="AS479" s="999"/>
      <c r="AT479" s="999"/>
      <c r="AU479" s="999"/>
      <c r="AV479" s="999"/>
      <c r="AW479" s="999"/>
      <c r="AX479" s="999"/>
      <c r="AY479" s="999"/>
      <c r="AZ479" s="999"/>
      <c r="BA479" s="999"/>
      <c r="BB479" s="999"/>
      <c r="BC479" s="999"/>
      <c r="BD479" s="999"/>
      <c r="BE479" s="999"/>
      <c r="BF479" s="999"/>
      <c r="BG479" s="999"/>
      <c r="BH479" s="1009"/>
      <c r="BI479" s="999"/>
      <c r="BJ479" s="999"/>
      <c r="BK479" s="1008"/>
      <c r="BL479" s="999"/>
      <c r="BM479" s="999"/>
      <c r="BN479" s="999"/>
      <c r="BO479" s="999"/>
      <c r="BP479" s="999"/>
      <c r="BQ479" s="999"/>
      <c r="BR479" s="999"/>
      <c r="BS479" s="999"/>
      <c r="BT479" s="999"/>
      <c r="BU479" s="999"/>
      <c r="BV479" s="999"/>
      <c r="BW479" s="999"/>
      <c r="BX479" s="999"/>
      <c r="BY479" s="999"/>
      <c r="BZ479" s="999"/>
    </row>
    <row r="480" spans="1:78" x14ac:dyDescent="0.3">
      <c r="H480" s="996"/>
      <c r="I480" s="1756" t="str">
        <f>I474</f>
        <v>Price cap - Fixed</v>
      </c>
      <c r="J480" s="998"/>
      <c r="K480" s="1758"/>
      <c r="L480" s="1758"/>
      <c r="M480" s="1760"/>
      <c r="N480" s="1758"/>
      <c r="O480" s="1758"/>
      <c r="P480" s="1758"/>
      <c r="Q480" s="1758"/>
      <c r="R480" s="1760"/>
      <c r="S480" s="1758"/>
      <c r="T480" s="1758"/>
      <c r="U480" s="1758"/>
      <c r="V480" s="1758"/>
      <c r="W480" s="1760">
        <f t="shared" ref="W480:AH483" si="595">+SUMIFS(W$69:W$444,$E$69:$E$444,$E$71,$F$69:$F$444,$I$479,$I$69:$I$444,$I480)</f>
        <v>0</v>
      </c>
      <c r="X480" s="1758">
        <f t="shared" si="595"/>
        <v>0</v>
      </c>
      <c r="Y480" s="1758">
        <f t="shared" si="595"/>
        <v>0</v>
      </c>
      <c r="Z480" s="1758">
        <f t="shared" si="595"/>
        <v>0</v>
      </c>
      <c r="AA480" s="1758">
        <f t="shared" si="595"/>
        <v>0</v>
      </c>
      <c r="AB480" s="1760">
        <f t="shared" si="595"/>
        <v>0</v>
      </c>
      <c r="AC480" s="1758">
        <f t="shared" si="595"/>
        <v>0</v>
      </c>
      <c r="AD480" s="1758">
        <f t="shared" si="595"/>
        <v>0</v>
      </c>
      <c r="AE480" s="1758">
        <f t="shared" si="595"/>
        <v>0</v>
      </c>
      <c r="AF480" s="1758">
        <f t="shared" si="595"/>
        <v>0</v>
      </c>
      <c r="AG480" s="1803">
        <f t="shared" si="595"/>
        <v>0</v>
      </c>
      <c r="AH480" s="1758">
        <f t="shared" si="595"/>
        <v>0</v>
      </c>
      <c r="AI480" s="1758">
        <f t="shared" ref="AH480:AL483" si="596">+SUMIFS(AI$69:AI$444,$E$69:$E$444,$E$71,$F$69:$F$444,$I$479,$I$69:$I$444,$I480)</f>
        <v>0</v>
      </c>
      <c r="AJ480" s="1758">
        <f t="shared" si="596"/>
        <v>0</v>
      </c>
      <c r="AK480" s="1758">
        <f t="shared" si="596"/>
        <v>0</v>
      </c>
      <c r="AL480" s="1803">
        <f t="shared" si="596"/>
        <v>0</v>
      </c>
      <c r="AP480" s="999"/>
      <c r="AQ480" s="999"/>
      <c r="AR480" s="1008"/>
      <c r="AS480" s="999"/>
      <c r="AT480" s="999"/>
      <c r="AU480" s="999"/>
      <c r="AV480" s="999"/>
      <c r="AW480" s="999"/>
      <c r="AX480" s="999"/>
      <c r="AY480" s="999"/>
      <c r="AZ480" s="999"/>
      <c r="BA480" s="999"/>
      <c r="BB480" s="999"/>
      <c r="BC480" s="999"/>
      <c r="BD480" s="999"/>
      <c r="BE480" s="999"/>
      <c r="BF480" s="999"/>
      <c r="BG480" s="999"/>
      <c r="BH480" s="1009"/>
      <c r="BI480" s="999"/>
      <c r="BJ480" s="999"/>
      <c r="BK480" s="1008"/>
      <c r="BL480" s="999"/>
      <c r="BM480" s="999"/>
      <c r="BN480" s="999"/>
      <c r="BO480" s="999"/>
      <c r="BP480" s="999"/>
      <c r="BQ480" s="999"/>
      <c r="BR480" s="999"/>
      <c r="BS480" s="999"/>
      <c r="BT480" s="999"/>
      <c r="BU480" s="999"/>
      <c r="BV480" s="999"/>
      <c r="BW480" s="999"/>
      <c r="BX480" s="999"/>
      <c r="BY480" s="999"/>
      <c r="BZ480" s="999"/>
    </row>
    <row r="481" spans="8:78" x14ac:dyDescent="0.3">
      <c r="H481" s="996"/>
      <c r="I481" s="1756" t="str">
        <f>I475</f>
        <v xml:space="preserve">Price cap - Variable </v>
      </c>
      <c r="J481" s="998"/>
      <c r="K481" s="1758"/>
      <c r="L481" s="1758"/>
      <c r="M481" s="1760"/>
      <c r="N481" s="1758"/>
      <c r="O481" s="1758"/>
      <c r="P481" s="1758"/>
      <c r="Q481" s="1758"/>
      <c r="R481" s="1760"/>
      <c r="S481" s="1758"/>
      <c r="T481" s="1758"/>
      <c r="U481" s="1758"/>
      <c r="V481" s="1758"/>
      <c r="W481" s="1760">
        <f t="shared" si="595"/>
        <v>0</v>
      </c>
      <c r="X481" s="1758">
        <f t="shared" si="595"/>
        <v>0</v>
      </c>
      <c r="Y481" s="1758">
        <f t="shared" si="595"/>
        <v>0</v>
      </c>
      <c r="Z481" s="1758">
        <f t="shared" si="595"/>
        <v>0</v>
      </c>
      <c r="AA481" s="1758">
        <f t="shared" si="595"/>
        <v>0</v>
      </c>
      <c r="AB481" s="1760">
        <f t="shared" si="595"/>
        <v>0</v>
      </c>
      <c r="AC481" s="1758">
        <f t="shared" si="595"/>
        <v>0</v>
      </c>
      <c r="AD481" s="1758">
        <f t="shared" si="595"/>
        <v>0</v>
      </c>
      <c r="AE481" s="1758">
        <f t="shared" si="595"/>
        <v>0</v>
      </c>
      <c r="AF481" s="1758">
        <f t="shared" si="595"/>
        <v>0</v>
      </c>
      <c r="AG481" s="1803">
        <f t="shared" si="595"/>
        <v>0</v>
      </c>
      <c r="AH481" s="1758">
        <f t="shared" si="596"/>
        <v>0</v>
      </c>
      <c r="AI481" s="1758">
        <f t="shared" si="596"/>
        <v>0</v>
      </c>
      <c r="AJ481" s="1758">
        <f t="shared" si="596"/>
        <v>0</v>
      </c>
      <c r="AK481" s="1758">
        <f t="shared" si="596"/>
        <v>0</v>
      </c>
      <c r="AL481" s="1803">
        <f t="shared" si="596"/>
        <v>0</v>
      </c>
      <c r="AP481" s="103"/>
      <c r="AQ481" s="103"/>
      <c r="AR481" s="105"/>
      <c r="AS481" s="103"/>
      <c r="AT481" s="103"/>
      <c r="AU481" s="103"/>
      <c r="AV481" s="103"/>
      <c r="AW481" s="103"/>
      <c r="AX481" s="103"/>
      <c r="AY481" s="103"/>
      <c r="AZ481" s="103"/>
      <c r="BA481" s="103"/>
      <c r="BB481" s="103"/>
      <c r="BC481" s="103"/>
      <c r="BD481" s="103"/>
      <c r="BE481" s="103"/>
      <c r="BF481" s="103"/>
      <c r="BG481" s="103"/>
      <c r="BH481" s="995"/>
      <c r="BI481" s="103"/>
      <c r="BJ481" s="103"/>
      <c r="BK481" s="105"/>
      <c r="BL481" s="103"/>
      <c r="BM481" s="103"/>
      <c r="BN481" s="103"/>
      <c r="BO481" s="103"/>
      <c r="BP481" s="103"/>
      <c r="BQ481" s="103"/>
      <c r="BR481" s="103"/>
      <c r="BS481" s="103"/>
      <c r="BT481" s="103"/>
      <c r="BU481" s="103"/>
      <c r="BV481" s="103"/>
      <c r="BW481" s="103"/>
      <c r="BX481" s="103"/>
      <c r="BY481" s="103"/>
      <c r="BZ481" s="103"/>
    </row>
    <row r="482" spans="8:78" x14ac:dyDescent="0.3">
      <c r="H482" s="996"/>
      <c r="I482" s="1756" t="str">
        <f>I476</f>
        <v xml:space="preserve">Revenue cap - Fixed </v>
      </c>
      <c r="J482" s="998"/>
      <c r="K482" s="1758"/>
      <c r="L482" s="1758"/>
      <c r="M482" s="1760"/>
      <c r="N482" s="1758"/>
      <c r="O482" s="1758"/>
      <c r="P482" s="1758"/>
      <c r="Q482" s="1758"/>
      <c r="R482" s="1760"/>
      <c r="S482" s="1758"/>
      <c r="T482" s="1758"/>
      <c r="U482" s="1758"/>
      <c r="V482" s="1758"/>
      <c r="W482" s="1760">
        <f t="shared" si="595"/>
        <v>0</v>
      </c>
      <c r="X482" s="1758">
        <f t="shared" si="595"/>
        <v>0</v>
      </c>
      <c r="Y482" s="1758">
        <f t="shared" si="595"/>
        <v>0</v>
      </c>
      <c r="Z482" s="1758">
        <f t="shared" si="595"/>
        <v>0</v>
      </c>
      <c r="AA482" s="1758">
        <f t="shared" si="595"/>
        <v>0</v>
      </c>
      <c r="AB482" s="1760">
        <f t="shared" si="595"/>
        <v>0</v>
      </c>
      <c r="AC482" s="1758">
        <f t="shared" si="595"/>
        <v>0</v>
      </c>
      <c r="AD482" s="1758">
        <f t="shared" si="595"/>
        <v>0</v>
      </c>
      <c r="AE482" s="1758">
        <f t="shared" si="595"/>
        <v>0</v>
      </c>
      <c r="AF482" s="1758">
        <f t="shared" si="595"/>
        <v>0</v>
      </c>
      <c r="AG482" s="1803">
        <f t="shared" si="595"/>
        <v>0</v>
      </c>
      <c r="AH482" s="1758">
        <f t="shared" si="596"/>
        <v>0</v>
      </c>
      <c r="AI482" s="1758">
        <f t="shared" si="596"/>
        <v>0</v>
      </c>
      <c r="AJ482" s="1758">
        <f t="shared" si="596"/>
        <v>0</v>
      </c>
      <c r="AK482" s="1758">
        <f t="shared" si="596"/>
        <v>0</v>
      </c>
      <c r="AL482" s="1803">
        <f t="shared" si="596"/>
        <v>0</v>
      </c>
      <c r="AP482" s="103"/>
      <c r="AQ482" s="103"/>
      <c r="AR482" s="105"/>
      <c r="AS482" s="103"/>
      <c r="AT482" s="103"/>
      <c r="AU482" s="103"/>
      <c r="AV482" s="103"/>
      <c r="AW482" s="103"/>
      <c r="AX482" s="103"/>
      <c r="AY482" s="103"/>
      <c r="AZ482" s="103"/>
      <c r="BA482" s="103"/>
      <c r="BB482" s="103"/>
      <c r="BC482" s="103"/>
      <c r="BD482" s="103"/>
      <c r="BE482" s="103"/>
      <c r="BF482" s="103"/>
      <c r="BG482" s="103"/>
      <c r="BH482" s="995"/>
      <c r="BI482" s="103"/>
      <c r="BJ482" s="103"/>
      <c r="BK482" s="105"/>
      <c r="BL482" s="103"/>
      <c r="BM482" s="103"/>
      <c r="BN482" s="103"/>
      <c r="BO482" s="103"/>
      <c r="BP482" s="103"/>
      <c r="BQ482" s="103"/>
      <c r="BR482" s="103"/>
      <c r="BS482" s="103"/>
      <c r="BT482" s="103"/>
      <c r="BU482" s="103"/>
      <c r="BV482" s="103"/>
      <c r="BW482" s="103"/>
      <c r="BX482" s="103"/>
      <c r="BY482" s="103"/>
      <c r="BZ482" s="103"/>
    </row>
    <row r="483" spans="8:78" x14ac:dyDescent="0.3">
      <c r="H483" s="996"/>
      <c r="I483" s="1756" t="str">
        <f>I477</f>
        <v>Revenue cap - Variable</v>
      </c>
      <c r="J483" s="998"/>
      <c r="K483" s="1758"/>
      <c r="L483" s="1758"/>
      <c r="M483" s="1760"/>
      <c r="N483" s="1758"/>
      <c r="O483" s="1758"/>
      <c r="P483" s="1758"/>
      <c r="Q483" s="1758"/>
      <c r="R483" s="1760"/>
      <c r="S483" s="1758"/>
      <c r="T483" s="1758"/>
      <c r="U483" s="1758"/>
      <c r="V483" s="1758"/>
      <c r="W483" s="1760">
        <f t="shared" si="595"/>
        <v>0</v>
      </c>
      <c r="X483" s="1758">
        <f t="shared" si="595"/>
        <v>0</v>
      </c>
      <c r="Y483" s="1758">
        <f t="shared" si="595"/>
        <v>0</v>
      </c>
      <c r="Z483" s="1758">
        <f t="shared" si="595"/>
        <v>0</v>
      </c>
      <c r="AA483" s="1758">
        <f t="shared" si="595"/>
        <v>0</v>
      </c>
      <c r="AB483" s="1760">
        <f t="shared" si="595"/>
        <v>0</v>
      </c>
      <c r="AC483" s="1758">
        <f t="shared" si="595"/>
        <v>0</v>
      </c>
      <c r="AD483" s="1758">
        <f t="shared" si="595"/>
        <v>0</v>
      </c>
      <c r="AE483" s="1758">
        <f t="shared" si="595"/>
        <v>0</v>
      </c>
      <c r="AF483" s="1758">
        <f t="shared" si="595"/>
        <v>0</v>
      </c>
      <c r="AG483" s="1803">
        <f t="shared" si="595"/>
        <v>0</v>
      </c>
      <c r="AH483" s="1758">
        <f t="shared" si="596"/>
        <v>0</v>
      </c>
      <c r="AI483" s="1758">
        <f t="shared" si="596"/>
        <v>0</v>
      </c>
      <c r="AJ483" s="1758">
        <f t="shared" si="596"/>
        <v>0</v>
      </c>
      <c r="AK483" s="1758">
        <f t="shared" si="596"/>
        <v>0</v>
      </c>
      <c r="AL483" s="1803">
        <f t="shared" si="596"/>
        <v>0</v>
      </c>
    </row>
    <row r="484" spans="8:78" s="999" customFormat="1" x14ac:dyDescent="0.3">
      <c r="H484" s="1000"/>
      <c r="I484" s="1001" t="s">
        <v>688</v>
      </c>
      <c r="J484" s="1002"/>
      <c r="K484" s="1804"/>
      <c r="L484" s="1804"/>
      <c r="M484" s="1805"/>
      <c r="N484" s="1804"/>
      <c r="O484" s="1804"/>
      <c r="P484" s="1804"/>
      <c r="Q484" s="1804"/>
      <c r="R484" s="1762"/>
      <c r="S484" s="1761"/>
      <c r="T484" s="1761"/>
      <c r="U484" s="1761"/>
      <c r="V484" s="1761"/>
      <c r="W484" s="1762">
        <f t="shared" ref="W484:AG484" si="597">W479-W449</f>
        <v>0</v>
      </c>
      <c r="X484" s="1761">
        <f t="shared" si="597"/>
        <v>0</v>
      </c>
      <c r="Y484" s="1761">
        <f t="shared" si="597"/>
        <v>0</v>
      </c>
      <c r="Z484" s="1761">
        <f t="shared" si="597"/>
        <v>0</v>
      </c>
      <c r="AA484" s="1761">
        <f t="shared" si="597"/>
        <v>0</v>
      </c>
      <c r="AB484" s="1762">
        <f t="shared" si="597"/>
        <v>0</v>
      </c>
      <c r="AC484" s="1761">
        <f t="shared" si="597"/>
        <v>0</v>
      </c>
      <c r="AD484" s="1761">
        <f t="shared" si="597"/>
        <v>0</v>
      </c>
      <c r="AE484" s="1761">
        <f t="shared" si="597"/>
        <v>0</v>
      </c>
      <c r="AF484" s="1761">
        <f t="shared" si="597"/>
        <v>0</v>
      </c>
      <c r="AG484" s="1806">
        <f t="shared" si="597"/>
        <v>0</v>
      </c>
      <c r="AH484" s="1761">
        <f>AH479-AH449</f>
        <v>0</v>
      </c>
      <c r="AI484" s="1761">
        <f>AI479-AI449</f>
        <v>0</v>
      </c>
      <c r="AJ484" s="1761">
        <f>AJ479-AJ449</f>
        <v>0</v>
      </c>
      <c r="AK484" s="1761">
        <f>AK479-AK449</f>
        <v>0</v>
      </c>
      <c r="AL484" s="1806">
        <f>AL479-AL449</f>
        <v>0</v>
      </c>
      <c r="AN484" s="1013"/>
      <c r="AP484" s="73"/>
      <c r="AQ484" s="73"/>
      <c r="AR484" s="72"/>
      <c r="AS484" s="73"/>
      <c r="AT484" s="73"/>
      <c r="AU484" s="73"/>
      <c r="AV484" s="73"/>
      <c r="AW484" s="73"/>
      <c r="AX484" s="73"/>
      <c r="AY484" s="73"/>
      <c r="AZ484" s="73"/>
      <c r="BA484" s="73"/>
      <c r="BB484" s="73"/>
      <c r="BC484" s="73"/>
      <c r="BD484" s="73"/>
      <c r="BE484" s="73"/>
      <c r="BF484" s="73"/>
      <c r="BG484" s="73"/>
      <c r="BH484" s="126"/>
      <c r="BI484" s="73"/>
      <c r="BJ484" s="73"/>
      <c r="BK484" s="72"/>
      <c r="BL484" s="73"/>
      <c r="BM484" s="73"/>
      <c r="BN484" s="73"/>
      <c r="BO484" s="73"/>
      <c r="BP484" s="73"/>
      <c r="BQ484" s="73"/>
      <c r="BR484" s="73"/>
      <c r="BS484" s="73"/>
      <c r="BT484" s="73"/>
      <c r="BU484" s="73"/>
      <c r="BV484" s="73"/>
      <c r="BW484" s="73"/>
      <c r="BX484" s="73"/>
      <c r="BY484" s="73"/>
      <c r="BZ484" s="73"/>
    </row>
    <row r="485" spans="8:78" s="103" customFormat="1" x14ac:dyDescent="0.3">
      <c r="H485" s="993"/>
      <c r="I485" s="1763" t="str">
        <f>I450</f>
        <v>Recycled Water</v>
      </c>
      <c r="J485" s="1011"/>
      <c r="K485" s="1757"/>
      <c r="L485" s="1757"/>
      <c r="M485" s="1759"/>
      <c r="N485" s="1757"/>
      <c r="O485" s="1757"/>
      <c r="P485" s="1757"/>
      <c r="Q485" s="1757"/>
      <c r="R485" s="1759"/>
      <c r="S485" s="1757"/>
      <c r="T485" s="1757"/>
      <c r="U485" s="1757"/>
      <c r="V485" s="1757"/>
      <c r="W485" s="1759">
        <f t="shared" ref="W485:AG485" si="598">SUM(W486:W489)</f>
        <v>0</v>
      </c>
      <c r="X485" s="1757">
        <f t="shared" si="598"/>
        <v>0</v>
      </c>
      <c r="Y485" s="1757">
        <f t="shared" si="598"/>
        <v>0</v>
      </c>
      <c r="Z485" s="1757">
        <f t="shared" si="598"/>
        <v>0</v>
      </c>
      <c r="AA485" s="1757">
        <f t="shared" si="598"/>
        <v>0</v>
      </c>
      <c r="AB485" s="1759">
        <f t="shared" si="598"/>
        <v>0</v>
      </c>
      <c r="AC485" s="1757">
        <f t="shared" si="598"/>
        <v>0</v>
      </c>
      <c r="AD485" s="1757">
        <f t="shared" si="598"/>
        <v>0</v>
      </c>
      <c r="AE485" s="1757">
        <f t="shared" si="598"/>
        <v>0</v>
      </c>
      <c r="AF485" s="1757">
        <f t="shared" si="598"/>
        <v>0</v>
      </c>
      <c r="AG485" s="1802">
        <f t="shared" si="598"/>
        <v>0</v>
      </c>
      <c r="AH485" s="1757">
        <f>SUM(AH486:AH489)</f>
        <v>0</v>
      </c>
      <c r="AI485" s="1757">
        <f>SUM(AI486:AI489)</f>
        <v>0</v>
      </c>
      <c r="AJ485" s="1757">
        <f>SUM(AJ486:AJ489)</f>
        <v>0</v>
      </c>
      <c r="AK485" s="1757">
        <f>SUM(AK486:AK489)</f>
        <v>0</v>
      </c>
      <c r="AL485" s="1802">
        <f>SUM(AL486:AL489)</f>
        <v>0</v>
      </c>
      <c r="AN485" s="1010"/>
      <c r="AP485" s="73"/>
      <c r="AQ485" s="73"/>
      <c r="AR485" s="72"/>
      <c r="AS485" s="73"/>
      <c r="AT485" s="73"/>
      <c r="AU485" s="73"/>
      <c r="AV485" s="73"/>
      <c r="AW485" s="73"/>
      <c r="AX485" s="73"/>
      <c r="AY485" s="73"/>
      <c r="AZ485" s="73"/>
      <c r="BA485" s="73"/>
      <c r="BB485" s="73"/>
      <c r="BC485" s="73"/>
      <c r="BD485" s="73"/>
      <c r="BE485" s="73"/>
      <c r="BF485" s="73"/>
      <c r="BG485" s="73"/>
      <c r="BH485" s="126"/>
      <c r="BI485" s="73"/>
      <c r="BJ485" s="73"/>
      <c r="BK485" s="72"/>
      <c r="BL485" s="73"/>
      <c r="BM485" s="73"/>
      <c r="BN485" s="73"/>
      <c r="BO485" s="73"/>
      <c r="BP485" s="73"/>
      <c r="BQ485" s="73"/>
      <c r="BR485" s="73"/>
      <c r="BS485" s="73"/>
      <c r="BT485" s="73"/>
      <c r="BU485" s="73"/>
      <c r="BV485" s="73"/>
      <c r="BW485" s="73"/>
      <c r="BX485" s="73"/>
      <c r="BY485" s="73"/>
      <c r="BZ485" s="73"/>
    </row>
    <row r="486" spans="8:78" x14ac:dyDescent="0.3">
      <c r="H486" s="1012"/>
      <c r="I486" s="1756" t="str">
        <f>I480</f>
        <v>Price cap - Fixed</v>
      </c>
      <c r="J486" s="998"/>
      <c r="K486" s="1758"/>
      <c r="L486" s="1758"/>
      <c r="M486" s="1760"/>
      <c r="N486" s="1758"/>
      <c r="O486" s="1758"/>
      <c r="P486" s="1758"/>
      <c r="Q486" s="1758"/>
      <c r="R486" s="1760"/>
      <c r="S486" s="1758"/>
      <c r="T486" s="1758"/>
      <c r="U486" s="1758"/>
      <c r="V486" s="1758"/>
      <c r="W486" s="1760">
        <f t="shared" ref="W486:AH489" si="599">+SUMIFS(W$69:W$444,$E$69:$E$444,$E$71,$F$69:$F$444,$I$485,$I$69:$I$444,$I486)</f>
        <v>0</v>
      </c>
      <c r="X486" s="1758">
        <f t="shared" si="599"/>
        <v>0</v>
      </c>
      <c r="Y486" s="1758">
        <f t="shared" si="599"/>
        <v>0</v>
      </c>
      <c r="Z486" s="1758">
        <f t="shared" si="599"/>
        <v>0</v>
      </c>
      <c r="AA486" s="1758">
        <f t="shared" si="599"/>
        <v>0</v>
      </c>
      <c r="AB486" s="1760">
        <f t="shared" si="599"/>
        <v>0</v>
      </c>
      <c r="AC486" s="1758">
        <f t="shared" si="599"/>
        <v>0</v>
      </c>
      <c r="AD486" s="1758">
        <f t="shared" si="599"/>
        <v>0</v>
      </c>
      <c r="AE486" s="1758">
        <f t="shared" si="599"/>
        <v>0</v>
      </c>
      <c r="AF486" s="1758">
        <f t="shared" si="599"/>
        <v>0</v>
      </c>
      <c r="AG486" s="1803">
        <f t="shared" si="599"/>
        <v>0</v>
      </c>
      <c r="AH486" s="1758">
        <f t="shared" si="599"/>
        <v>0</v>
      </c>
      <c r="AI486" s="1758">
        <f t="shared" ref="AH486:AL489" si="600">+SUMIFS(AI$69:AI$444,$E$69:$E$444,$E$71,$F$69:$F$444,$I$485,$I$69:$I$444,$I486)</f>
        <v>0</v>
      </c>
      <c r="AJ486" s="1758">
        <f t="shared" si="600"/>
        <v>0</v>
      </c>
      <c r="AK486" s="1758">
        <f t="shared" si="600"/>
        <v>0</v>
      </c>
      <c r="AL486" s="1803">
        <f t="shared" si="600"/>
        <v>0</v>
      </c>
    </row>
    <row r="487" spans="8:78" x14ac:dyDescent="0.3">
      <c r="H487" s="1012"/>
      <c r="I487" s="1756" t="str">
        <f>I481</f>
        <v xml:space="preserve">Price cap - Variable </v>
      </c>
      <c r="J487" s="998"/>
      <c r="K487" s="1758"/>
      <c r="L487" s="1758"/>
      <c r="M487" s="1760"/>
      <c r="N487" s="1758"/>
      <c r="O487" s="1758"/>
      <c r="P487" s="1758"/>
      <c r="Q487" s="1758"/>
      <c r="R487" s="1760"/>
      <c r="S487" s="1758"/>
      <c r="T487" s="1758"/>
      <c r="U487" s="1758"/>
      <c r="V487" s="1758"/>
      <c r="W487" s="1760">
        <f t="shared" si="599"/>
        <v>0</v>
      </c>
      <c r="X487" s="1758">
        <f t="shared" si="599"/>
        <v>0</v>
      </c>
      <c r="Y487" s="1758">
        <f t="shared" si="599"/>
        <v>0</v>
      </c>
      <c r="Z487" s="1758">
        <f t="shared" si="599"/>
        <v>0</v>
      </c>
      <c r="AA487" s="1758">
        <f t="shared" si="599"/>
        <v>0</v>
      </c>
      <c r="AB487" s="1760">
        <f t="shared" si="599"/>
        <v>0</v>
      </c>
      <c r="AC487" s="1758">
        <f t="shared" si="599"/>
        <v>0</v>
      </c>
      <c r="AD487" s="1758">
        <f t="shared" si="599"/>
        <v>0</v>
      </c>
      <c r="AE487" s="1758">
        <f t="shared" si="599"/>
        <v>0</v>
      </c>
      <c r="AF487" s="1758">
        <f t="shared" si="599"/>
        <v>0</v>
      </c>
      <c r="AG487" s="1803">
        <f t="shared" si="599"/>
        <v>0</v>
      </c>
      <c r="AH487" s="1758">
        <f t="shared" si="600"/>
        <v>0</v>
      </c>
      <c r="AI487" s="1758">
        <f t="shared" si="600"/>
        <v>0</v>
      </c>
      <c r="AJ487" s="1758">
        <f t="shared" si="600"/>
        <v>0</v>
      </c>
      <c r="AK487" s="1758">
        <f t="shared" si="600"/>
        <v>0</v>
      </c>
      <c r="AL487" s="1803">
        <f t="shared" si="600"/>
        <v>0</v>
      </c>
    </row>
    <row r="488" spans="8:78" x14ac:dyDescent="0.3">
      <c r="H488" s="1012"/>
      <c r="I488" s="1756" t="str">
        <f>I482</f>
        <v xml:space="preserve">Revenue cap - Fixed </v>
      </c>
      <c r="J488" s="998"/>
      <c r="K488" s="1758"/>
      <c r="L488" s="1758"/>
      <c r="M488" s="1760"/>
      <c r="N488" s="1758"/>
      <c r="O488" s="1758"/>
      <c r="P488" s="1758"/>
      <c r="Q488" s="1758"/>
      <c r="R488" s="1760"/>
      <c r="S488" s="1758"/>
      <c r="T488" s="1758"/>
      <c r="U488" s="1758"/>
      <c r="V488" s="1758"/>
      <c r="W488" s="1760">
        <f t="shared" si="599"/>
        <v>0</v>
      </c>
      <c r="X488" s="1758">
        <f t="shared" si="599"/>
        <v>0</v>
      </c>
      <c r="Y488" s="1758">
        <f t="shared" si="599"/>
        <v>0</v>
      </c>
      <c r="Z488" s="1758">
        <f t="shared" si="599"/>
        <v>0</v>
      </c>
      <c r="AA488" s="1758">
        <f t="shared" si="599"/>
        <v>0</v>
      </c>
      <c r="AB488" s="1760">
        <f t="shared" si="599"/>
        <v>0</v>
      </c>
      <c r="AC488" s="1758">
        <f t="shared" si="599"/>
        <v>0</v>
      </c>
      <c r="AD488" s="1758">
        <f t="shared" si="599"/>
        <v>0</v>
      </c>
      <c r="AE488" s="1758">
        <f t="shared" si="599"/>
        <v>0</v>
      </c>
      <c r="AF488" s="1758">
        <f t="shared" si="599"/>
        <v>0</v>
      </c>
      <c r="AG488" s="1803">
        <f t="shared" si="599"/>
        <v>0</v>
      </c>
      <c r="AH488" s="1758">
        <f t="shared" si="600"/>
        <v>0</v>
      </c>
      <c r="AI488" s="1758">
        <f t="shared" si="600"/>
        <v>0</v>
      </c>
      <c r="AJ488" s="1758">
        <f t="shared" si="600"/>
        <v>0</v>
      </c>
      <c r="AK488" s="1758">
        <f t="shared" si="600"/>
        <v>0</v>
      </c>
      <c r="AL488" s="1803">
        <f t="shared" si="600"/>
        <v>0</v>
      </c>
    </row>
    <row r="489" spans="8:78" x14ac:dyDescent="0.3">
      <c r="H489" s="1012"/>
      <c r="I489" s="1756" t="str">
        <f>I483</f>
        <v>Revenue cap - Variable</v>
      </c>
      <c r="J489" s="998"/>
      <c r="K489" s="1758"/>
      <c r="L489" s="1758"/>
      <c r="M489" s="1760"/>
      <c r="N489" s="1758"/>
      <c r="O489" s="1758"/>
      <c r="P489" s="1758"/>
      <c r="Q489" s="1758"/>
      <c r="R489" s="1760"/>
      <c r="S489" s="1758"/>
      <c r="T489" s="1758"/>
      <c r="U489" s="1758"/>
      <c r="V489" s="1758"/>
      <c r="W489" s="1760">
        <f t="shared" si="599"/>
        <v>0</v>
      </c>
      <c r="X489" s="1758">
        <f t="shared" si="599"/>
        <v>0</v>
      </c>
      <c r="Y489" s="1758">
        <f t="shared" si="599"/>
        <v>0</v>
      </c>
      <c r="Z489" s="1758">
        <f t="shared" si="599"/>
        <v>0</v>
      </c>
      <c r="AA489" s="1758">
        <f t="shared" si="599"/>
        <v>0</v>
      </c>
      <c r="AB489" s="1760">
        <f t="shared" si="599"/>
        <v>0</v>
      </c>
      <c r="AC489" s="1758">
        <f t="shared" si="599"/>
        <v>0</v>
      </c>
      <c r="AD489" s="1758">
        <f t="shared" si="599"/>
        <v>0</v>
      </c>
      <c r="AE489" s="1758">
        <f t="shared" si="599"/>
        <v>0</v>
      </c>
      <c r="AF489" s="1758">
        <f t="shared" si="599"/>
        <v>0</v>
      </c>
      <c r="AG489" s="1803">
        <f t="shared" si="599"/>
        <v>0</v>
      </c>
      <c r="AH489" s="1758">
        <f t="shared" si="600"/>
        <v>0</v>
      </c>
      <c r="AI489" s="1758">
        <f t="shared" si="600"/>
        <v>0</v>
      </c>
      <c r="AJ489" s="1758">
        <f t="shared" si="600"/>
        <v>0</v>
      </c>
      <c r="AK489" s="1758">
        <f t="shared" si="600"/>
        <v>0</v>
      </c>
      <c r="AL489" s="1803">
        <f t="shared" si="600"/>
        <v>0</v>
      </c>
      <c r="AP489" s="999"/>
      <c r="AQ489" s="999"/>
      <c r="AR489" s="1008"/>
      <c r="AS489" s="999"/>
      <c r="AT489" s="999"/>
      <c r="AU489" s="999"/>
      <c r="AV489" s="999"/>
      <c r="AW489" s="999"/>
      <c r="AX489" s="999"/>
      <c r="AY489" s="999"/>
      <c r="AZ489" s="999"/>
      <c r="BA489" s="999"/>
      <c r="BB489" s="999"/>
      <c r="BC489" s="999"/>
      <c r="BD489" s="999"/>
      <c r="BE489" s="999"/>
      <c r="BF489" s="999"/>
      <c r="BG489" s="999"/>
      <c r="BH489" s="1009"/>
      <c r="BI489" s="999"/>
      <c r="BJ489" s="999"/>
      <c r="BK489" s="1008"/>
      <c r="BL489" s="999"/>
      <c r="BM489" s="999"/>
      <c r="BN489" s="999"/>
      <c r="BO489" s="999"/>
      <c r="BP489" s="999"/>
      <c r="BQ489" s="999"/>
      <c r="BR489" s="999"/>
      <c r="BS489" s="999"/>
      <c r="BT489" s="999"/>
      <c r="BU489" s="999"/>
      <c r="BV489" s="999"/>
      <c r="BW489" s="999"/>
      <c r="BX489" s="999"/>
      <c r="BY489" s="999"/>
      <c r="BZ489" s="999"/>
    </row>
    <row r="490" spans="8:78" s="999" customFormat="1" x14ac:dyDescent="0.3">
      <c r="H490" s="1000"/>
      <c r="I490" s="1001" t="s">
        <v>688</v>
      </c>
      <c r="J490" s="1002"/>
      <c r="K490" s="1804"/>
      <c r="L490" s="1804"/>
      <c r="M490" s="1805"/>
      <c r="N490" s="1804"/>
      <c r="O490" s="1804"/>
      <c r="P490" s="1804"/>
      <c r="Q490" s="1804"/>
      <c r="R490" s="1762"/>
      <c r="S490" s="1761"/>
      <c r="T490" s="1761"/>
      <c r="U490" s="1761"/>
      <c r="V490" s="1761"/>
      <c r="W490" s="1762">
        <f t="shared" ref="W490:AG490" si="601">W485-W450</f>
        <v>0</v>
      </c>
      <c r="X490" s="1761">
        <f t="shared" si="601"/>
        <v>0</v>
      </c>
      <c r="Y490" s="1761">
        <f t="shared" si="601"/>
        <v>0</v>
      </c>
      <c r="Z490" s="1761">
        <f t="shared" si="601"/>
        <v>0</v>
      </c>
      <c r="AA490" s="1761">
        <f t="shared" si="601"/>
        <v>0</v>
      </c>
      <c r="AB490" s="1762">
        <f t="shared" si="601"/>
        <v>0</v>
      </c>
      <c r="AC490" s="1761">
        <f t="shared" si="601"/>
        <v>0</v>
      </c>
      <c r="AD490" s="1761">
        <f t="shared" si="601"/>
        <v>0</v>
      </c>
      <c r="AE490" s="1761">
        <f t="shared" si="601"/>
        <v>0</v>
      </c>
      <c r="AF490" s="1761">
        <f t="shared" si="601"/>
        <v>0</v>
      </c>
      <c r="AG490" s="1806">
        <f t="shared" si="601"/>
        <v>0</v>
      </c>
      <c r="AH490" s="1761">
        <f>AH485-AH450</f>
        <v>0</v>
      </c>
      <c r="AI490" s="1761">
        <f>AI485-AI450</f>
        <v>0</v>
      </c>
      <c r="AJ490" s="1761">
        <f>AJ485-AJ450</f>
        <v>0</v>
      </c>
      <c r="AK490" s="1761">
        <f>AK485-AK450</f>
        <v>0</v>
      </c>
      <c r="AL490" s="1806">
        <f>AL485-AL450</f>
        <v>0</v>
      </c>
      <c r="AN490" s="1013"/>
      <c r="AP490" s="103"/>
      <c r="AQ490" s="103"/>
      <c r="AR490" s="105"/>
      <c r="AS490" s="103"/>
      <c r="AT490" s="103"/>
      <c r="AU490" s="103"/>
      <c r="AV490" s="103"/>
      <c r="AW490" s="103"/>
      <c r="AX490" s="103"/>
      <c r="AY490" s="103"/>
      <c r="AZ490" s="103"/>
      <c r="BA490" s="103"/>
      <c r="BB490" s="103"/>
      <c r="BC490" s="103"/>
      <c r="BD490" s="103"/>
      <c r="BE490" s="103"/>
      <c r="BF490" s="103"/>
      <c r="BG490" s="103"/>
      <c r="BH490" s="995"/>
      <c r="BI490" s="103"/>
      <c r="BJ490" s="103"/>
      <c r="BK490" s="105"/>
      <c r="BL490" s="103"/>
      <c r="BM490" s="103"/>
      <c r="BN490" s="103"/>
      <c r="BO490" s="103"/>
      <c r="BP490" s="103"/>
      <c r="BQ490" s="103"/>
      <c r="BR490" s="103"/>
      <c r="BS490" s="103"/>
      <c r="BT490" s="103"/>
      <c r="BU490" s="103"/>
      <c r="BV490" s="103"/>
      <c r="BW490" s="103"/>
      <c r="BX490" s="103"/>
      <c r="BY490" s="103"/>
      <c r="BZ490" s="103"/>
    </row>
    <row r="491" spans="8:78" s="103" customFormat="1" x14ac:dyDescent="0.3">
      <c r="H491" s="993"/>
      <c r="I491" s="1763" t="str">
        <f>I451</f>
        <v>Trade Waste</v>
      </c>
      <c r="J491" s="1011"/>
      <c r="K491" s="1757"/>
      <c r="L491" s="1757"/>
      <c r="M491" s="1759"/>
      <c r="N491" s="1757"/>
      <c r="O491" s="1757"/>
      <c r="P491" s="1757"/>
      <c r="Q491" s="1757"/>
      <c r="R491" s="1759"/>
      <c r="S491" s="1757"/>
      <c r="T491" s="1757"/>
      <c r="U491" s="1757"/>
      <c r="V491" s="1757"/>
      <c r="W491" s="1759">
        <f t="shared" ref="W491:AG491" si="602">SUM(W492:W495)</f>
        <v>0</v>
      </c>
      <c r="X491" s="1757">
        <f t="shared" si="602"/>
        <v>0</v>
      </c>
      <c r="Y491" s="1757">
        <f t="shared" si="602"/>
        <v>0</v>
      </c>
      <c r="Z491" s="1757">
        <f t="shared" si="602"/>
        <v>0</v>
      </c>
      <c r="AA491" s="1757">
        <f t="shared" si="602"/>
        <v>0</v>
      </c>
      <c r="AB491" s="1759">
        <f t="shared" si="602"/>
        <v>0</v>
      </c>
      <c r="AC491" s="1757">
        <f t="shared" si="602"/>
        <v>0</v>
      </c>
      <c r="AD491" s="1757">
        <f t="shared" si="602"/>
        <v>0</v>
      </c>
      <c r="AE491" s="1757">
        <f t="shared" si="602"/>
        <v>0</v>
      </c>
      <c r="AF491" s="1757">
        <f t="shared" si="602"/>
        <v>0</v>
      </c>
      <c r="AG491" s="1802">
        <f t="shared" si="602"/>
        <v>0</v>
      </c>
      <c r="AH491" s="1757">
        <f>SUM(AH492:AH495)</f>
        <v>0</v>
      </c>
      <c r="AI491" s="1757">
        <f>SUM(AI492:AI495)</f>
        <v>0</v>
      </c>
      <c r="AJ491" s="1757">
        <f>SUM(AJ492:AJ495)</f>
        <v>0</v>
      </c>
      <c r="AK491" s="1757">
        <f>SUM(AK492:AK495)</f>
        <v>0</v>
      </c>
      <c r="AL491" s="1802">
        <f>SUM(AL492:AL495)</f>
        <v>0</v>
      </c>
      <c r="AN491" s="1010"/>
      <c r="AR491" s="105"/>
      <c r="BH491" s="995"/>
      <c r="BK491" s="105"/>
    </row>
    <row r="492" spans="8:78" x14ac:dyDescent="0.3">
      <c r="H492" s="1012"/>
      <c r="I492" s="1756" t="str">
        <f>I486</f>
        <v>Price cap - Fixed</v>
      </c>
      <c r="J492" s="998"/>
      <c r="K492" s="1758"/>
      <c r="L492" s="1758"/>
      <c r="M492" s="1760"/>
      <c r="N492" s="1758"/>
      <c r="O492" s="1758"/>
      <c r="P492" s="1758"/>
      <c r="Q492" s="1758"/>
      <c r="R492" s="1760"/>
      <c r="S492" s="1758"/>
      <c r="T492" s="1758"/>
      <c r="U492" s="1758"/>
      <c r="V492" s="1758"/>
      <c r="W492" s="1760">
        <f t="shared" ref="W492:AH495" si="603">+SUMIFS(W$69:W$444,$E$69:$E$444,$E$71,$F$69:$F$444,$I$491,$I$69:$I$444,$I492)</f>
        <v>0</v>
      </c>
      <c r="X492" s="1758">
        <f t="shared" si="603"/>
        <v>0</v>
      </c>
      <c r="Y492" s="1758">
        <f t="shared" si="603"/>
        <v>0</v>
      </c>
      <c r="Z492" s="1758">
        <f t="shared" si="603"/>
        <v>0</v>
      </c>
      <c r="AA492" s="1758">
        <f t="shared" si="603"/>
        <v>0</v>
      </c>
      <c r="AB492" s="1760">
        <f t="shared" si="603"/>
        <v>0</v>
      </c>
      <c r="AC492" s="1758">
        <f t="shared" si="603"/>
        <v>0</v>
      </c>
      <c r="AD492" s="1758">
        <f t="shared" si="603"/>
        <v>0</v>
      </c>
      <c r="AE492" s="1758">
        <f t="shared" si="603"/>
        <v>0</v>
      </c>
      <c r="AF492" s="1758">
        <f t="shared" si="603"/>
        <v>0</v>
      </c>
      <c r="AG492" s="1803">
        <f t="shared" si="603"/>
        <v>0</v>
      </c>
      <c r="AH492" s="1758">
        <f t="shared" si="603"/>
        <v>0</v>
      </c>
      <c r="AI492" s="1758">
        <f t="shared" ref="AH492:AL495" si="604">+SUMIFS(AI$69:AI$444,$E$69:$E$444,$E$71,$F$69:$F$444,$I$491,$I$69:$I$444,$I492)</f>
        <v>0</v>
      </c>
      <c r="AJ492" s="1758">
        <f t="shared" si="604"/>
        <v>0</v>
      </c>
      <c r="AK492" s="1758">
        <f t="shared" si="604"/>
        <v>0</v>
      </c>
      <c r="AL492" s="1803">
        <f t="shared" si="604"/>
        <v>0</v>
      </c>
    </row>
    <row r="493" spans="8:78" x14ac:dyDescent="0.3">
      <c r="H493" s="1012"/>
      <c r="I493" s="1756" t="str">
        <f>I487</f>
        <v xml:space="preserve">Price cap - Variable </v>
      </c>
      <c r="J493" s="998"/>
      <c r="K493" s="1758"/>
      <c r="L493" s="1758"/>
      <c r="M493" s="1760"/>
      <c r="N493" s="1758"/>
      <c r="O493" s="1758"/>
      <c r="P493" s="1758"/>
      <c r="Q493" s="1758"/>
      <c r="R493" s="1760"/>
      <c r="S493" s="1758"/>
      <c r="T493" s="1758"/>
      <c r="U493" s="1758"/>
      <c r="V493" s="1758"/>
      <c r="W493" s="1760">
        <f t="shared" si="603"/>
        <v>0</v>
      </c>
      <c r="X493" s="1758">
        <f t="shared" si="603"/>
        <v>0</v>
      </c>
      <c r="Y493" s="1758">
        <f t="shared" si="603"/>
        <v>0</v>
      </c>
      <c r="Z493" s="1758">
        <f t="shared" si="603"/>
        <v>0</v>
      </c>
      <c r="AA493" s="1758">
        <f t="shared" si="603"/>
        <v>0</v>
      </c>
      <c r="AB493" s="1760">
        <f t="shared" si="603"/>
        <v>0</v>
      </c>
      <c r="AC493" s="1758">
        <f t="shared" si="603"/>
        <v>0</v>
      </c>
      <c r="AD493" s="1758">
        <f t="shared" si="603"/>
        <v>0</v>
      </c>
      <c r="AE493" s="1758">
        <f t="shared" si="603"/>
        <v>0</v>
      </c>
      <c r="AF493" s="1758">
        <f t="shared" si="603"/>
        <v>0</v>
      </c>
      <c r="AG493" s="1803">
        <f t="shared" si="603"/>
        <v>0</v>
      </c>
      <c r="AH493" s="1758">
        <f t="shared" si="604"/>
        <v>0</v>
      </c>
      <c r="AI493" s="1758">
        <f t="shared" si="604"/>
        <v>0</v>
      </c>
      <c r="AJ493" s="1758">
        <f t="shared" si="604"/>
        <v>0</v>
      </c>
      <c r="AK493" s="1758">
        <f t="shared" si="604"/>
        <v>0</v>
      </c>
      <c r="AL493" s="1803">
        <f t="shared" si="604"/>
        <v>0</v>
      </c>
    </row>
    <row r="494" spans="8:78" x14ac:dyDescent="0.3">
      <c r="H494" s="1012"/>
      <c r="I494" s="1756" t="str">
        <f>I488</f>
        <v xml:space="preserve">Revenue cap - Fixed </v>
      </c>
      <c r="J494" s="998"/>
      <c r="K494" s="1758"/>
      <c r="L494" s="1758"/>
      <c r="M494" s="1760"/>
      <c r="N494" s="1758"/>
      <c r="O494" s="1758"/>
      <c r="P494" s="1758"/>
      <c r="Q494" s="1758"/>
      <c r="R494" s="1760"/>
      <c r="S494" s="1758"/>
      <c r="T494" s="1758"/>
      <c r="U494" s="1758"/>
      <c r="V494" s="1758"/>
      <c r="W494" s="1760">
        <f t="shared" si="603"/>
        <v>0</v>
      </c>
      <c r="X494" s="1758">
        <f t="shared" si="603"/>
        <v>0</v>
      </c>
      <c r="Y494" s="1758">
        <f t="shared" si="603"/>
        <v>0</v>
      </c>
      <c r="Z494" s="1758">
        <f t="shared" si="603"/>
        <v>0</v>
      </c>
      <c r="AA494" s="1758">
        <f t="shared" si="603"/>
        <v>0</v>
      </c>
      <c r="AB494" s="1760">
        <f t="shared" si="603"/>
        <v>0</v>
      </c>
      <c r="AC494" s="1758">
        <f t="shared" si="603"/>
        <v>0</v>
      </c>
      <c r="AD494" s="1758">
        <f t="shared" si="603"/>
        <v>0</v>
      </c>
      <c r="AE494" s="1758">
        <f t="shared" si="603"/>
        <v>0</v>
      </c>
      <c r="AF494" s="1758">
        <f t="shared" si="603"/>
        <v>0</v>
      </c>
      <c r="AG494" s="1803">
        <f t="shared" si="603"/>
        <v>0</v>
      </c>
      <c r="AH494" s="1758">
        <f t="shared" si="604"/>
        <v>0</v>
      </c>
      <c r="AI494" s="1758">
        <f t="shared" si="604"/>
        <v>0</v>
      </c>
      <c r="AJ494" s="1758">
        <f t="shared" si="604"/>
        <v>0</v>
      </c>
      <c r="AK494" s="1758">
        <f t="shared" si="604"/>
        <v>0</v>
      </c>
      <c r="AL494" s="1803">
        <f t="shared" si="604"/>
        <v>0</v>
      </c>
    </row>
    <row r="495" spans="8:78" x14ac:dyDescent="0.3">
      <c r="H495" s="1012"/>
      <c r="I495" s="1756" t="str">
        <f>I489</f>
        <v>Revenue cap - Variable</v>
      </c>
      <c r="J495" s="998"/>
      <c r="K495" s="1758"/>
      <c r="L495" s="1758"/>
      <c r="M495" s="1760"/>
      <c r="N495" s="1758"/>
      <c r="O495" s="1758"/>
      <c r="P495" s="1758"/>
      <c r="Q495" s="1758"/>
      <c r="R495" s="1760"/>
      <c r="S495" s="1758"/>
      <c r="T495" s="1758"/>
      <c r="U495" s="1758"/>
      <c r="V495" s="1758"/>
      <c r="W495" s="1760">
        <f t="shared" si="603"/>
        <v>0</v>
      </c>
      <c r="X495" s="1758">
        <f t="shared" si="603"/>
        <v>0</v>
      </c>
      <c r="Y495" s="1758">
        <f t="shared" si="603"/>
        <v>0</v>
      </c>
      <c r="Z495" s="1758">
        <f t="shared" si="603"/>
        <v>0</v>
      </c>
      <c r="AA495" s="1758">
        <f t="shared" si="603"/>
        <v>0</v>
      </c>
      <c r="AB495" s="1760">
        <f t="shared" si="603"/>
        <v>0</v>
      </c>
      <c r="AC495" s="1758">
        <f t="shared" si="603"/>
        <v>0</v>
      </c>
      <c r="AD495" s="1758">
        <f t="shared" si="603"/>
        <v>0</v>
      </c>
      <c r="AE495" s="1758">
        <f t="shared" si="603"/>
        <v>0</v>
      </c>
      <c r="AF495" s="1758">
        <f t="shared" si="603"/>
        <v>0</v>
      </c>
      <c r="AG495" s="1803">
        <f t="shared" si="603"/>
        <v>0</v>
      </c>
      <c r="AH495" s="1758">
        <f t="shared" si="604"/>
        <v>0</v>
      </c>
      <c r="AI495" s="1758">
        <f t="shared" si="604"/>
        <v>0</v>
      </c>
      <c r="AJ495" s="1758">
        <f t="shared" si="604"/>
        <v>0</v>
      </c>
      <c r="AK495" s="1758">
        <f t="shared" si="604"/>
        <v>0</v>
      </c>
      <c r="AL495" s="1803">
        <f t="shared" si="604"/>
        <v>0</v>
      </c>
    </row>
    <row r="496" spans="8:78" s="999" customFormat="1" x14ac:dyDescent="0.3">
      <c r="H496" s="1000"/>
      <c r="I496" s="1001" t="s">
        <v>688</v>
      </c>
      <c r="J496" s="1002"/>
      <c r="K496" s="1804"/>
      <c r="L496" s="1804"/>
      <c r="M496" s="1805"/>
      <c r="N496" s="1804"/>
      <c r="O496" s="1804"/>
      <c r="P496" s="1804"/>
      <c r="Q496" s="1804"/>
      <c r="R496" s="1762"/>
      <c r="S496" s="1761"/>
      <c r="T496" s="1761"/>
      <c r="U496" s="1761"/>
      <c r="V496" s="1761"/>
      <c r="W496" s="1762">
        <f t="shared" ref="W496:AG496" si="605">W491-W451</f>
        <v>0</v>
      </c>
      <c r="X496" s="1761">
        <f t="shared" si="605"/>
        <v>0</v>
      </c>
      <c r="Y496" s="1761">
        <f t="shared" si="605"/>
        <v>0</v>
      </c>
      <c r="Z496" s="1761">
        <f t="shared" si="605"/>
        <v>0</v>
      </c>
      <c r="AA496" s="1761">
        <f t="shared" si="605"/>
        <v>0</v>
      </c>
      <c r="AB496" s="1762">
        <f t="shared" si="605"/>
        <v>0</v>
      </c>
      <c r="AC496" s="1761">
        <f t="shared" si="605"/>
        <v>0</v>
      </c>
      <c r="AD496" s="1761">
        <f t="shared" si="605"/>
        <v>0</v>
      </c>
      <c r="AE496" s="1761">
        <f t="shared" si="605"/>
        <v>0</v>
      </c>
      <c r="AF496" s="1761">
        <f t="shared" si="605"/>
        <v>0</v>
      </c>
      <c r="AG496" s="1806">
        <f t="shared" si="605"/>
        <v>0</v>
      </c>
      <c r="AH496" s="1761">
        <f>AH491-AH451</f>
        <v>0</v>
      </c>
      <c r="AI496" s="1761">
        <f>AI491-AI451</f>
        <v>0</v>
      </c>
      <c r="AJ496" s="1761">
        <f>AJ491-AJ451</f>
        <v>0</v>
      </c>
      <c r="AK496" s="1761">
        <f>AK491-AK451</f>
        <v>0</v>
      </c>
      <c r="AL496" s="1806">
        <f>AL491-AL451</f>
        <v>0</v>
      </c>
      <c r="AN496" s="1013"/>
      <c r="AP496" s="73"/>
      <c r="AQ496" s="73"/>
      <c r="AR496" s="72"/>
      <c r="AS496" s="73"/>
      <c r="AT496" s="73"/>
      <c r="AU496" s="73"/>
      <c r="AV496" s="73"/>
      <c r="AW496" s="73"/>
      <c r="AX496" s="73"/>
      <c r="AY496" s="73"/>
      <c r="AZ496" s="73"/>
      <c r="BA496" s="73"/>
      <c r="BB496" s="73"/>
      <c r="BC496" s="73"/>
      <c r="BD496" s="73"/>
      <c r="BE496" s="73"/>
      <c r="BF496" s="73"/>
      <c r="BG496" s="73"/>
      <c r="BH496" s="126"/>
      <c r="BI496" s="73"/>
      <c r="BJ496" s="73"/>
      <c r="BK496" s="72"/>
      <c r="BL496" s="73"/>
      <c r="BM496" s="73"/>
      <c r="BN496" s="73"/>
      <c r="BO496" s="73"/>
      <c r="BP496" s="73"/>
      <c r="BQ496" s="73"/>
      <c r="BR496" s="73"/>
      <c r="BS496" s="73"/>
      <c r="BT496" s="73"/>
      <c r="BU496" s="73"/>
      <c r="BV496" s="73"/>
      <c r="BW496" s="73"/>
      <c r="BX496" s="73"/>
      <c r="BY496" s="73"/>
      <c r="BZ496" s="73"/>
    </row>
    <row r="497" spans="8:78" s="103" customFormat="1" x14ac:dyDescent="0.3">
      <c r="H497" s="993"/>
      <c r="I497" s="1763" t="str">
        <f>I452</f>
        <v>Rural Water</v>
      </c>
      <c r="J497" s="1011"/>
      <c r="K497" s="1757"/>
      <c r="L497" s="1757"/>
      <c r="M497" s="1759"/>
      <c r="N497" s="1757"/>
      <c r="O497" s="1757"/>
      <c r="P497" s="1757"/>
      <c r="Q497" s="1757"/>
      <c r="R497" s="1759"/>
      <c r="S497" s="1757"/>
      <c r="T497" s="1757"/>
      <c r="U497" s="1757"/>
      <c r="V497" s="1757"/>
      <c r="W497" s="1759">
        <f t="shared" ref="W497:AG497" si="606">SUM(W498:W501)</f>
        <v>0</v>
      </c>
      <c r="X497" s="1757">
        <f t="shared" si="606"/>
        <v>0</v>
      </c>
      <c r="Y497" s="1757">
        <f t="shared" si="606"/>
        <v>0</v>
      </c>
      <c r="Z497" s="1757">
        <f t="shared" si="606"/>
        <v>0</v>
      </c>
      <c r="AA497" s="1757">
        <f t="shared" si="606"/>
        <v>0</v>
      </c>
      <c r="AB497" s="1759">
        <f t="shared" si="606"/>
        <v>0</v>
      </c>
      <c r="AC497" s="1757">
        <f t="shared" si="606"/>
        <v>0</v>
      </c>
      <c r="AD497" s="1757">
        <f t="shared" si="606"/>
        <v>0</v>
      </c>
      <c r="AE497" s="1757">
        <f t="shared" si="606"/>
        <v>0</v>
      </c>
      <c r="AF497" s="1757">
        <f t="shared" si="606"/>
        <v>0</v>
      </c>
      <c r="AG497" s="1802">
        <f t="shared" si="606"/>
        <v>0</v>
      </c>
      <c r="AH497" s="1757">
        <f>SUM(AH498:AH501)</f>
        <v>0</v>
      </c>
      <c r="AI497" s="1757">
        <f>SUM(AI498:AI501)</f>
        <v>0</v>
      </c>
      <c r="AJ497" s="1757">
        <f>SUM(AJ498:AJ501)</f>
        <v>0</v>
      </c>
      <c r="AK497" s="1757">
        <f>SUM(AK498:AK501)</f>
        <v>0</v>
      </c>
      <c r="AL497" s="1802">
        <f>SUM(AL498:AL501)</f>
        <v>0</v>
      </c>
      <c r="AN497" s="1010"/>
      <c r="AP497" s="73"/>
      <c r="AQ497" s="73"/>
      <c r="AR497" s="72"/>
      <c r="AS497" s="73"/>
      <c r="AT497" s="73"/>
      <c r="AU497" s="73"/>
      <c r="AV497" s="73"/>
      <c r="AW497" s="73"/>
      <c r="AX497" s="73"/>
      <c r="AY497" s="73"/>
      <c r="AZ497" s="73"/>
      <c r="BA497" s="73"/>
      <c r="BB497" s="73"/>
      <c r="BC497" s="73"/>
      <c r="BD497" s="73"/>
      <c r="BE497" s="73"/>
      <c r="BF497" s="73"/>
      <c r="BG497" s="73"/>
      <c r="BH497" s="126"/>
      <c r="BI497" s="73"/>
      <c r="BJ497" s="73"/>
      <c r="BK497" s="72"/>
      <c r="BL497" s="73"/>
      <c r="BM497" s="73"/>
      <c r="BN497" s="73"/>
      <c r="BO497" s="73"/>
      <c r="BP497" s="73"/>
      <c r="BQ497" s="73"/>
      <c r="BR497" s="73"/>
      <c r="BS497" s="73"/>
      <c r="BT497" s="73"/>
      <c r="BU497" s="73"/>
      <c r="BV497" s="73"/>
      <c r="BW497" s="73"/>
      <c r="BX497" s="73"/>
      <c r="BY497" s="73"/>
      <c r="BZ497" s="73"/>
    </row>
    <row r="498" spans="8:78" x14ac:dyDescent="0.3">
      <c r="H498" s="1012"/>
      <c r="I498" s="1756" t="str">
        <f>I492</f>
        <v>Price cap - Fixed</v>
      </c>
      <c r="J498" s="998"/>
      <c r="K498" s="1758"/>
      <c r="L498" s="1758"/>
      <c r="M498" s="1760"/>
      <c r="N498" s="1758"/>
      <c r="O498" s="1758"/>
      <c r="P498" s="1758"/>
      <c r="Q498" s="1758"/>
      <c r="R498" s="1760"/>
      <c r="S498" s="1758"/>
      <c r="T498" s="1758"/>
      <c r="U498" s="1758"/>
      <c r="V498" s="1758"/>
      <c r="W498" s="1760">
        <f t="shared" ref="W498:AH501" si="607">+SUMIFS(W$69:W$444,$E$69:$E$444,$E$71,$F$69:$F$444,$I$497,$I$69:$I$444,$I498)</f>
        <v>0</v>
      </c>
      <c r="X498" s="1758">
        <f t="shared" si="607"/>
        <v>0</v>
      </c>
      <c r="Y498" s="1758">
        <f t="shared" si="607"/>
        <v>0</v>
      </c>
      <c r="Z498" s="1758">
        <f t="shared" si="607"/>
        <v>0</v>
      </c>
      <c r="AA498" s="1758">
        <f t="shared" si="607"/>
        <v>0</v>
      </c>
      <c r="AB498" s="1760">
        <f t="shared" si="607"/>
        <v>0</v>
      </c>
      <c r="AC498" s="1758">
        <f t="shared" si="607"/>
        <v>0</v>
      </c>
      <c r="AD498" s="1758">
        <f t="shared" si="607"/>
        <v>0</v>
      </c>
      <c r="AE498" s="1758">
        <f t="shared" si="607"/>
        <v>0</v>
      </c>
      <c r="AF498" s="1758">
        <f t="shared" si="607"/>
        <v>0</v>
      </c>
      <c r="AG498" s="1803">
        <f t="shared" si="607"/>
        <v>0</v>
      </c>
      <c r="AH498" s="1758">
        <f t="shared" si="607"/>
        <v>0</v>
      </c>
      <c r="AI498" s="1758">
        <f t="shared" ref="AH498:AL501" si="608">+SUMIFS(AI$69:AI$444,$E$69:$E$444,$E$71,$F$69:$F$444,$I$497,$I$69:$I$444,$I498)</f>
        <v>0</v>
      </c>
      <c r="AJ498" s="1758">
        <f t="shared" si="608"/>
        <v>0</v>
      </c>
      <c r="AK498" s="1758">
        <f t="shared" si="608"/>
        <v>0</v>
      </c>
      <c r="AL498" s="1803">
        <f t="shared" si="608"/>
        <v>0</v>
      </c>
      <c r="AP498" s="999"/>
      <c r="AQ498" s="999"/>
      <c r="AR498" s="1008"/>
      <c r="AS498" s="999"/>
      <c r="AT498" s="999"/>
      <c r="AU498" s="999"/>
      <c r="AV498" s="999"/>
      <c r="AW498" s="999"/>
      <c r="AX498" s="999"/>
      <c r="AY498" s="999"/>
      <c r="AZ498" s="999"/>
      <c r="BA498" s="999"/>
      <c r="BB498" s="999"/>
      <c r="BC498" s="999"/>
      <c r="BD498" s="999"/>
      <c r="BE498" s="999"/>
      <c r="BF498" s="999"/>
      <c r="BG498" s="999"/>
      <c r="BH498" s="1009"/>
      <c r="BI498" s="999"/>
      <c r="BJ498" s="999"/>
      <c r="BK498" s="1008"/>
      <c r="BL498" s="999"/>
      <c r="BM498" s="999"/>
      <c r="BN498" s="999"/>
      <c r="BO498" s="999"/>
      <c r="BP498" s="999"/>
      <c r="BQ498" s="999"/>
      <c r="BR498" s="999"/>
      <c r="BS498" s="999"/>
      <c r="BT498" s="999"/>
      <c r="BU498" s="999"/>
      <c r="BV498" s="999"/>
      <c r="BW498" s="999"/>
      <c r="BX498" s="999"/>
      <c r="BY498" s="999"/>
      <c r="BZ498" s="999"/>
    </row>
    <row r="499" spans="8:78" x14ac:dyDescent="0.3">
      <c r="H499" s="1012"/>
      <c r="I499" s="1756" t="str">
        <f>I493</f>
        <v xml:space="preserve">Price cap - Variable </v>
      </c>
      <c r="J499" s="998"/>
      <c r="K499" s="1758"/>
      <c r="L499" s="1758"/>
      <c r="M499" s="1760"/>
      <c r="N499" s="1758"/>
      <c r="O499" s="1758"/>
      <c r="P499" s="1758"/>
      <c r="Q499" s="1758"/>
      <c r="R499" s="1760"/>
      <c r="S499" s="1758"/>
      <c r="T499" s="1758"/>
      <c r="U499" s="1758"/>
      <c r="V499" s="1758"/>
      <c r="W499" s="1760">
        <f t="shared" si="607"/>
        <v>0</v>
      </c>
      <c r="X499" s="1758">
        <f t="shared" si="607"/>
        <v>0</v>
      </c>
      <c r="Y499" s="1758">
        <f t="shared" si="607"/>
        <v>0</v>
      </c>
      <c r="Z499" s="1758">
        <f t="shared" si="607"/>
        <v>0</v>
      </c>
      <c r="AA499" s="1758">
        <f t="shared" si="607"/>
        <v>0</v>
      </c>
      <c r="AB499" s="1760">
        <f t="shared" si="607"/>
        <v>0</v>
      </c>
      <c r="AC499" s="1758">
        <f t="shared" si="607"/>
        <v>0</v>
      </c>
      <c r="AD499" s="1758">
        <f t="shared" si="607"/>
        <v>0</v>
      </c>
      <c r="AE499" s="1758">
        <f t="shared" si="607"/>
        <v>0</v>
      </c>
      <c r="AF499" s="1758">
        <f t="shared" si="607"/>
        <v>0</v>
      </c>
      <c r="AG499" s="1803">
        <f t="shared" si="607"/>
        <v>0</v>
      </c>
      <c r="AH499" s="1758">
        <f t="shared" si="608"/>
        <v>0</v>
      </c>
      <c r="AI499" s="1758">
        <f t="shared" si="608"/>
        <v>0</v>
      </c>
      <c r="AJ499" s="1758">
        <f t="shared" si="608"/>
        <v>0</v>
      </c>
      <c r="AK499" s="1758">
        <f t="shared" si="608"/>
        <v>0</v>
      </c>
      <c r="AL499" s="1803">
        <f t="shared" si="608"/>
        <v>0</v>
      </c>
      <c r="AP499" s="103"/>
      <c r="AQ499" s="103"/>
      <c r="AR499" s="105"/>
      <c r="AS499" s="103"/>
      <c r="AT499" s="103"/>
      <c r="AU499" s="103"/>
      <c r="AV499" s="103"/>
      <c r="AW499" s="103"/>
      <c r="AX499" s="103"/>
      <c r="AY499" s="103"/>
      <c r="AZ499" s="103"/>
      <c r="BA499" s="103"/>
      <c r="BB499" s="103"/>
      <c r="BC499" s="103"/>
      <c r="BD499" s="103"/>
      <c r="BE499" s="103"/>
      <c r="BF499" s="103"/>
      <c r="BG499" s="103"/>
      <c r="BH499" s="995"/>
      <c r="BI499" s="103"/>
      <c r="BJ499" s="103"/>
      <c r="BK499" s="105"/>
      <c r="BL499" s="103"/>
      <c r="BM499" s="103"/>
      <c r="BN499" s="103"/>
      <c r="BO499" s="103"/>
      <c r="BP499" s="103"/>
      <c r="BQ499" s="103"/>
      <c r="BR499" s="103"/>
      <c r="BS499" s="103"/>
      <c r="BT499" s="103"/>
      <c r="BU499" s="103"/>
      <c r="BV499" s="103"/>
      <c r="BW499" s="103"/>
      <c r="BX499" s="103"/>
      <c r="BY499" s="103"/>
      <c r="BZ499" s="103"/>
    </row>
    <row r="500" spans="8:78" x14ac:dyDescent="0.3">
      <c r="H500" s="1012"/>
      <c r="I500" s="1756" t="str">
        <f>I494</f>
        <v xml:space="preserve">Revenue cap - Fixed </v>
      </c>
      <c r="J500" s="998"/>
      <c r="K500" s="1758"/>
      <c r="L500" s="1758"/>
      <c r="M500" s="1760"/>
      <c r="N500" s="1758"/>
      <c r="O500" s="1758"/>
      <c r="P500" s="1758"/>
      <c r="Q500" s="1758"/>
      <c r="R500" s="1760"/>
      <c r="S500" s="1758"/>
      <c r="T500" s="1758"/>
      <c r="U500" s="1758"/>
      <c r="V500" s="1758"/>
      <c r="W500" s="1760">
        <f t="shared" si="607"/>
        <v>0</v>
      </c>
      <c r="X500" s="1758">
        <f t="shared" si="607"/>
        <v>0</v>
      </c>
      <c r="Y500" s="1758">
        <f t="shared" si="607"/>
        <v>0</v>
      </c>
      <c r="Z500" s="1758">
        <f t="shared" si="607"/>
        <v>0</v>
      </c>
      <c r="AA500" s="1758">
        <f t="shared" si="607"/>
        <v>0</v>
      </c>
      <c r="AB500" s="1760">
        <f t="shared" si="607"/>
        <v>0</v>
      </c>
      <c r="AC500" s="1758">
        <f t="shared" si="607"/>
        <v>0</v>
      </c>
      <c r="AD500" s="1758">
        <f t="shared" si="607"/>
        <v>0</v>
      </c>
      <c r="AE500" s="1758">
        <f t="shared" si="607"/>
        <v>0</v>
      </c>
      <c r="AF500" s="1758">
        <f t="shared" si="607"/>
        <v>0</v>
      </c>
      <c r="AG500" s="1803">
        <f t="shared" si="607"/>
        <v>0</v>
      </c>
      <c r="AH500" s="1758">
        <f t="shared" si="608"/>
        <v>0</v>
      </c>
      <c r="AI500" s="1758">
        <f t="shared" si="608"/>
        <v>0</v>
      </c>
      <c r="AJ500" s="1758">
        <f t="shared" si="608"/>
        <v>0</v>
      </c>
      <c r="AK500" s="1758">
        <f t="shared" si="608"/>
        <v>0</v>
      </c>
      <c r="AL500" s="1803">
        <f t="shared" si="608"/>
        <v>0</v>
      </c>
      <c r="AP500" s="103"/>
      <c r="AQ500" s="103"/>
      <c r="AR500" s="105"/>
      <c r="AS500" s="103"/>
      <c r="AT500" s="103"/>
      <c r="AU500" s="103"/>
      <c r="AV500" s="103"/>
      <c r="AW500" s="103"/>
      <c r="AX500" s="103"/>
      <c r="AY500" s="103"/>
      <c r="AZ500" s="103"/>
      <c r="BA500" s="103"/>
      <c r="BB500" s="103"/>
      <c r="BC500" s="103"/>
      <c r="BD500" s="103"/>
      <c r="BE500" s="103"/>
      <c r="BF500" s="103"/>
      <c r="BG500" s="103"/>
      <c r="BH500" s="995"/>
      <c r="BI500" s="103"/>
      <c r="BJ500" s="103"/>
      <c r="BK500" s="105"/>
      <c r="BL500" s="103"/>
      <c r="BM500" s="103"/>
      <c r="BN500" s="103"/>
      <c r="BO500" s="103"/>
      <c r="BP500" s="103"/>
      <c r="BQ500" s="103"/>
      <c r="BR500" s="103"/>
      <c r="BS500" s="103"/>
      <c r="BT500" s="103"/>
      <c r="BU500" s="103"/>
      <c r="BV500" s="103"/>
      <c r="BW500" s="103"/>
      <c r="BX500" s="103"/>
      <c r="BY500" s="103"/>
      <c r="BZ500" s="103"/>
    </row>
    <row r="501" spans="8:78" x14ac:dyDescent="0.3">
      <c r="H501" s="1012"/>
      <c r="I501" s="1756" t="str">
        <f>I495</f>
        <v>Revenue cap - Variable</v>
      </c>
      <c r="J501" s="998"/>
      <c r="K501" s="1758"/>
      <c r="L501" s="1758"/>
      <c r="M501" s="1760"/>
      <c r="N501" s="1758"/>
      <c r="O501" s="1758"/>
      <c r="P501" s="1758"/>
      <c r="Q501" s="1758"/>
      <c r="R501" s="1760"/>
      <c r="S501" s="1758"/>
      <c r="T501" s="1758"/>
      <c r="U501" s="1758"/>
      <c r="V501" s="1758"/>
      <c r="W501" s="1760">
        <f t="shared" si="607"/>
        <v>0</v>
      </c>
      <c r="X501" s="1758">
        <f t="shared" si="607"/>
        <v>0</v>
      </c>
      <c r="Y501" s="1758">
        <f t="shared" si="607"/>
        <v>0</v>
      </c>
      <c r="Z501" s="1758">
        <f t="shared" si="607"/>
        <v>0</v>
      </c>
      <c r="AA501" s="1758">
        <f t="shared" si="607"/>
        <v>0</v>
      </c>
      <c r="AB501" s="1760">
        <f t="shared" si="607"/>
        <v>0</v>
      </c>
      <c r="AC501" s="1758">
        <f t="shared" si="607"/>
        <v>0</v>
      </c>
      <c r="AD501" s="1758">
        <f t="shared" si="607"/>
        <v>0</v>
      </c>
      <c r="AE501" s="1758">
        <f t="shared" si="607"/>
        <v>0</v>
      </c>
      <c r="AF501" s="1758">
        <f t="shared" si="607"/>
        <v>0</v>
      </c>
      <c r="AG501" s="1803">
        <f t="shared" si="607"/>
        <v>0</v>
      </c>
      <c r="AH501" s="1758">
        <f t="shared" si="608"/>
        <v>0</v>
      </c>
      <c r="AI501" s="1758">
        <f t="shared" si="608"/>
        <v>0</v>
      </c>
      <c r="AJ501" s="1758">
        <f t="shared" si="608"/>
        <v>0</v>
      </c>
      <c r="AK501" s="1758">
        <f t="shared" si="608"/>
        <v>0</v>
      </c>
      <c r="AL501" s="1803">
        <f t="shared" si="608"/>
        <v>0</v>
      </c>
    </row>
    <row r="502" spans="8:78" s="999" customFormat="1" x14ac:dyDescent="0.3">
      <c r="H502" s="1000"/>
      <c r="I502" s="1001" t="s">
        <v>688</v>
      </c>
      <c r="J502" s="1002"/>
      <c r="K502" s="1804"/>
      <c r="L502" s="1804"/>
      <c r="M502" s="1805"/>
      <c r="N502" s="1804"/>
      <c r="O502" s="1804"/>
      <c r="P502" s="1804"/>
      <c r="Q502" s="1804"/>
      <c r="R502" s="1762"/>
      <c r="S502" s="1761"/>
      <c r="T502" s="1761"/>
      <c r="U502" s="1761"/>
      <c r="V502" s="1761"/>
      <c r="W502" s="1762">
        <f t="shared" ref="W502:AG502" si="609">W497-W452</f>
        <v>0</v>
      </c>
      <c r="X502" s="1761">
        <f t="shared" si="609"/>
        <v>0</v>
      </c>
      <c r="Y502" s="1761">
        <f t="shared" si="609"/>
        <v>0</v>
      </c>
      <c r="Z502" s="1761">
        <f t="shared" si="609"/>
        <v>0</v>
      </c>
      <c r="AA502" s="1761">
        <f t="shared" si="609"/>
        <v>0</v>
      </c>
      <c r="AB502" s="1762">
        <f t="shared" si="609"/>
        <v>0</v>
      </c>
      <c r="AC502" s="1761">
        <f t="shared" si="609"/>
        <v>0</v>
      </c>
      <c r="AD502" s="1761">
        <f t="shared" si="609"/>
        <v>0</v>
      </c>
      <c r="AE502" s="1761">
        <f t="shared" si="609"/>
        <v>0</v>
      </c>
      <c r="AF502" s="1761">
        <f t="shared" si="609"/>
        <v>0</v>
      </c>
      <c r="AG502" s="1806">
        <f t="shared" si="609"/>
        <v>0</v>
      </c>
      <c r="AH502" s="1761">
        <f>AH497-AH452</f>
        <v>0</v>
      </c>
      <c r="AI502" s="1761">
        <f>AI497-AI452</f>
        <v>0</v>
      </c>
      <c r="AJ502" s="1761">
        <f>AJ497-AJ452</f>
        <v>0</v>
      </c>
      <c r="AK502" s="1761">
        <f>AK497-AK452</f>
        <v>0</v>
      </c>
      <c r="AL502" s="1806">
        <f>AL497-AL452</f>
        <v>0</v>
      </c>
      <c r="AN502" s="1013"/>
      <c r="AP502" s="73"/>
      <c r="AQ502" s="73"/>
      <c r="AR502" s="72"/>
      <c r="AS502" s="73"/>
      <c r="AT502" s="73"/>
      <c r="AU502" s="73"/>
      <c r="AV502" s="73"/>
      <c r="AW502" s="73"/>
      <c r="AX502" s="73"/>
      <c r="AY502" s="73"/>
      <c r="AZ502" s="73"/>
      <c r="BA502" s="73"/>
      <c r="BB502" s="73"/>
      <c r="BC502" s="73"/>
      <c r="BD502" s="73"/>
      <c r="BE502" s="73"/>
      <c r="BF502" s="73"/>
      <c r="BG502" s="73"/>
      <c r="BH502" s="126"/>
      <c r="BI502" s="73"/>
      <c r="BJ502" s="73"/>
      <c r="BK502" s="72"/>
      <c r="BL502" s="73"/>
      <c r="BM502" s="73"/>
      <c r="BN502" s="73"/>
      <c r="BO502" s="73"/>
      <c r="BP502" s="73"/>
      <c r="BQ502" s="73"/>
      <c r="BR502" s="73"/>
      <c r="BS502" s="73"/>
      <c r="BT502" s="73"/>
      <c r="BU502" s="73"/>
      <c r="BV502" s="73"/>
      <c r="BW502" s="73"/>
      <c r="BX502" s="73"/>
      <c r="BY502" s="73"/>
      <c r="BZ502" s="73"/>
    </row>
    <row r="503" spans="8:78" s="103" customFormat="1" x14ac:dyDescent="0.3">
      <c r="H503" s="993"/>
      <c r="I503" s="1763" t="str">
        <f>I453</f>
        <v>Bulk Water</v>
      </c>
      <c r="J503" s="1011"/>
      <c r="K503" s="1757"/>
      <c r="L503" s="1757"/>
      <c r="M503" s="1759"/>
      <c r="N503" s="1757"/>
      <c r="O503" s="1757"/>
      <c r="P503" s="1757"/>
      <c r="Q503" s="1757"/>
      <c r="R503" s="1759"/>
      <c r="S503" s="1757"/>
      <c r="T503" s="1757"/>
      <c r="U503" s="1757"/>
      <c r="V503" s="1757"/>
      <c r="W503" s="1759">
        <f t="shared" ref="W503:AG503" si="610">SUM(W504:W507)</f>
        <v>0</v>
      </c>
      <c r="X503" s="1757">
        <f t="shared" si="610"/>
        <v>0</v>
      </c>
      <c r="Y503" s="1757">
        <f t="shared" si="610"/>
        <v>0</v>
      </c>
      <c r="Z503" s="1757">
        <f t="shared" si="610"/>
        <v>0</v>
      </c>
      <c r="AA503" s="1757">
        <f t="shared" si="610"/>
        <v>0</v>
      </c>
      <c r="AB503" s="1759">
        <f t="shared" si="610"/>
        <v>0</v>
      </c>
      <c r="AC503" s="1757">
        <f t="shared" si="610"/>
        <v>0</v>
      </c>
      <c r="AD503" s="1757">
        <f t="shared" si="610"/>
        <v>0</v>
      </c>
      <c r="AE503" s="1757">
        <f t="shared" si="610"/>
        <v>0</v>
      </c>
      <c r="AF503" s="1757">
        <f t="shared" si="610"/>
        <v>0</v>
      </c>
      <c r="AG503" s="1802">
        <f t="shared" si="610"/>
        <v>0</v>
      </c>
      <c r="AH503" s="1757">
        <f>SUM(AH504:AH507)</f>
        <v>0</v>
      </c>
      <c r="AI503" s="1757">
        <f>SUM(AI504:AI507)</f>
        <v>0</v>
      </c>
      <c r="AJ503" s="1757">
        <f>SUM(AJ504:AJ507)</f>
        <v>0</v>
      </c>
      <c r="AK503" s="1757">
        <f>SUM(AK504:AK507)</f>
        <v>0</v>
      </c>
      <c r="AL503" s="1802">
        <f>SUM(AL504:AL507)</f>
        <v>0</v>
      </c>
      <c r="AN503" s="1010"/>
      <c r="AP503" s="73"/>
      <c r="AQ503" s="73"/>
      <c r="AR503" s="72"/>
      <c r="AS503" s="73"/>
      <c r="AT503" s="73"/>
      <c r="AU503" s="73"/>
      <c r="AV503" s="73"/>
      <c r="AW503" s="73"/>
      <c r="AX503" s="73"/>
      <c r="AY503" s="73"/>
      <c r="AZ503" s="73"/>
      <c r="BA503" s="73"/>
      <c r="BB503" s="73"/>
      <c r="BC503" s="73"/>
      <c r="BD503" s="73"/>
      <c r="BE503" s="73"/>
      <c r="BF503" s="73"/>
      <c r="BG503" s="73"/>
      <c r="BH503" s="126"/>
      <c r="BI503" s="73"/>
      <c r="BJ503" s="73"/>
      <c r="BK503" s="72"/>
      <c r="BL503" s="73"/>
      <c r="BM503" s="73"/>
      <c r="BN503" s="73"/>
      <c r="BO503" s="73"/>
      <c r="BP503" s="73"/>
      <c r="BQ503" s="73"/>
      <c r="BR503" s="73"/>
      <c r="BS503" s="73"/>
      <c r="BT503" s="73"/>
      <c r="BU503" s="73"/>
      <c r="BV503" s="73"/>
      <c r="BW503" s="73"/>
      <c r="BX503" s="73"/>
      <c r="BY503" s="73"/>
      <c r="BZ503" s="73"/>
    </row>
    <row r="504" spans="8:78" x14ac:dyDescent="0.3">
      <c r="H504" s="1012"/>
      <c r="I504" s="1756" t="str">
        <f>I498</f>
        <v>Price cap - Fixed</v>
      </c>
      <c r="J504" s="998"/>
      <c r="K504" s="1758"/>
      <c r="L504" s="1758"/>
      <c r="M504" s="1760"/>
      <c r="N504" s="1758"/>
      <c r="O504" s="1758"/>
      <c r="P504" s="1758"/>
      <c r="Q504" s="1758"/>
      <c r="R504" s="1760"/>
      <c r="S504" s="1758"/>
      <c r="T504" s="1758"/>
      <c r="U504" s="1758"/>
      <c r="V504" s="1758"/>
      <c r="W504" s="1760">
        <f t="shared" ref="W504:AH507" si="611">+SUMIFS(W$69:W$444,$E$69:$E$444,$E$71,$F$69:$F$444,$I$503,$I$69:$I$444,$I504)</f>
        <v>0</v>
      </c>
      <c r="X504" s="1758">
        <f t="shared" si="611"/>
        <v>0</v>
      </c>
      <c r="Y504" s="1758">
        <f t="shared" si="611"/>
        <v>0</v>
      </c>
      <c r="Z504" s="1758">
        <f t="shared" si="611"/>
        <v>0</v>
      </c>
      <c r="AA504" s="1758">
        <f t="shared" si="611"/>
        <v>0</v>
      </c>
      <c r="AB504" s="1760">
        <f t="shared" si="611"/>
        <v>0</v>
      </c>
      <c r="AC504" s="1758">
        <f t="shared" si="611"/>
        <v>0</v>
      </c>
      <c r="AD504" s="1758">
        <f t="shared" si="611"/>
        <v>0</v>
      </c>
      <c r="AE504" s="1758">
        <f t="shared" si="611"/>
        <v>0</v>
      </c>
      <c r="AF504" s="1758">
        <f t="shared" si="611"/>
        <v>0</v>
      </c>
      <c r="AG504" s="1803">
        <f t="shared" si="611"/>
        <v>0</v>
      </c>
      <c r="AH504" s="1758">
        <f t="shared" si="611"/>
        <v>0</v>
      </c>
      <c r="AI504" s="1758">
        <f t="shared" ref="AH504:AL507" si="612">+SUMIFS(AI$69:AI$444,$E$69:$E$444,$E$71,$F$69:$F$444,$I$503,$I$69:$I$444,$I504)</f>
        <v>0</v>
      </c>
      <c r="AJ504" s="1758">
        <f t="shared" si="612"/>
        <v>0</v>
      </c>
      <c r="AK504" s="1758">
        <f t="shared" si="612"/>
        <v>0</v>
      </c>
      <c r="AL504" s="1803">
        <f t="shared" si="612"/>
        <v>0</v>
      </c>
    </row>
    <row r="505" spans="8:78" x14ac:dyDescent="0.3">
      <c r="H505" s="1012"/>
      <c r="I505" s="1756" t="str">
        <f>I499</f>
        <v xml:space="preserve">Price cap - Variable </v>
      </c>
      <c r="J505" s="998"/>
      <c r="K505" s="1758"/>
      <c r="L505" s="1758"/>
      <c r="M505" s="1760"/>
      <c r="N505" s="1758"/>
      <c r="O505" s="1758"/>
      <c r="P505" s="1758"/>
      <c r="Q505" s="1758"/>
      <c r="R505" s="1760"/>
      <c r="S505" s="1758"/>
      <c r="T505" s="1758"/>
      <c r="U505" s="1758"/>
      <c r="V505" s="1758"/>
      <c r="W505" s="1760">
        <f t="shared" si="611"/>
        <v>0</v>
      </c>
      <c r="X505" s="1758">
        <f t="shared" si="611"/>
        <v>0</v>
      </c>
      <c r="Y505" s="1758">
        <f t="shared" si="611"/>
        <v>0</v>
      </c>
      <c r="Z505" s="1758">
        <f t="shared" si="611"/>
        <v>0</v>
      </c>
      <c r="AA505" s="1758">
        <f t="shared" si="611"/>
        <v>0</v>
      </c>
      <c r="AB505" s="1760">
        <f t="shared" si="611"/>
        <v>0</v>
      </c>
      <c r="AC505" s="1758">
        <f t="shared" si="611"/>
        <v>0</v>
      </c>
      <c r="AD505" s="1758">
        <f t="shared" si="611"/>
        <v>0</v>
      </c>
      <c r="AE505" s="1758">
        <f t="shared" si="611"/>
        <v>0</v>
      </c>
      <c r="AF505" s="1758">
        <f t="shared" si="611"/>
        <v>0</v>
      </c>
      <c r="AG505" s="1803">
        <f t="shared" si="611"/>
        <v>0</v>
      </c>
      <c r="AH505" s="1758">
        <f t="shared" si="612"/>
        <v>0</v>
      </c>
      <c r="AI505" s="1758">
        <f t="shared" si="612"/>
        <v>0</v>
      </c>
      <c r="AJ505" s="1758">
        <f t="shared" si="612"/>
        <v>0</v>
      </c>
      <c r="AK505" s="1758">
        <f t="shared" si="612"/>
        <v>0</v>
      </c>
      <c r="AL505" s="1803">
        <f t="shared" si="612"/>
        <v>0</v>
      </c>
    </row>
    <row r="506" spans="8:78" x14ac:dyDescent="0.3">
      <c r="H506" s="1012"/>
      <c r="I506" s="1756" t="str">
        <f>I500</f>
        <v xml:space="preserve">Revenue cap - Fixed </v>
      </c>
      <c r="J506" s="998"/>
      <c r="K506" s="1758"/>
      <c r="L506" s="1758"/>
      <c r="M506" s="1760"/>
      <c r="N506" s="1758"/>
      <c r="O506" s="1758"/>
      <c r="P506" s="1758"/>
      <c r="Q506" s="1758"/>
      <c r="R506" s="1760"/>
      <c r="S506" s="1758"/>
      <c r="T506" s="1758"/>
      <c r="U506" s="1758"/>
      <c r="V506" s="1758"/>
      <c r="W506" s="1760">
        <f t="shared" si="611"/>
        <v>0</v>
      </c>
      <c r="X506" s="1758">
        <f t="shared" si="611"/>
        <v>0</v>
      </c>
      <c r="Y506" s="1758">
        <f t="shared" si="611"/>
        <v>0</v>
      </c>
      <c r="Z506" s="1758">
        <f t="shared" si="611"/>
        <v>0</v>
      </c>
      <c r="AA506" s="1758">
        <f t="shared" si="611"/>
        <v>0</v>
      </c>
      <c r="AB506" s="1760">
        <f t="shared" si="611"/>
        <v>0</v>
      </c>
      <c r="AC506" s="1758">
        <f t="shared" si="611"/>
        <v>0</v>
      </c>
      <c r="AD506" s="1758">
        <f t="shared" si="611"/>
        <v>0</v>
      </c>
      <c r="AE506" s="1758">
        <f t="shared" si="611"/>
        <v>0</v>
      </c>
      <c r="AF506" s="1758">
        <f t="shared" si="611"/>
        <v>0</v>
      </c>
      <c r="AG506" s="1803">
        <f t="shared" si="611"/>
        <v>0</v>
      </c>
      <c r="AH506" s="1758">
        <f t="shared" si="612"/>
        <v>0</v>
      </c>
      <c r="AI506" s="1758">
        <f t="shared" si="612"/>
        <v>0</v>
      </c>
      <c r="AJ506" s="1758">
        <f t="shared" si="612"/>
        <v>0</v>
      </c>
      <c r="AK506" s="1758">
        <f t="shared" si="612"/>
        <v>0</v>
      </c>
      <c r="AL506" s="1803">
        <f t="shared" si="612"/>
        <v>0</v>
      </c>
    </row>
    <row r="507" spans="8:78" x14ac:dyDescent="0.3">
      <c r="H507" s="1012"/>
      <c r="I507" s="1756" t="str">
        <f>I501</f>
        <v>Revenue cap - Variable</v>
      </c>
      <c r="J507" s="998"/>
      <c r="K507" s="1758"/>
      <c r="L507" s="1758"/>
      <c r="M507" s="1760"/>
      <c r="N507" s="1758"/>
      <c r="O507" s="1758"/>
      <c r="P507" s="1758"/>
      <c r="Q507" s="1758"/>
      <c r="R507" s="1760"/>
      <c r="S507" s="1758"/>
      <c r="T507" s="1758"/>
      <c r="U507" s="1758"/>
      <c r="V507" s="1758"/>
      <c r="W507" s="1760">
        <f t="shared" si="611"/>
        <v>0</v>
      </c>
      <c r="X507" s="1758">
        <f t="shared" si="611"/>
        <v>0</v>
      </c>
      <c r="Y507" s="1758">
        <f t="shared" si="611"/>
        <v>0</v>
      </c>
      <c r="Z507" s="1758">
        <f t="shared" si="611"/>
        <v>0</v>
      </c>
      <c r="AA507" s="1758">
        <f t="shared" si="611"/>
        <v>0</v>
      </c>
      <c r="AB507" s="1760">
        <f t="shared" si="611"/>
        <v>0</v>
      </c>
      <c r="AC507" s="1758">
        <f t="shared" si="611"/>
        <v>0</v>
      </c>
      <c r="AD507" s="1758">
        <f t="shared" si="611"/>
        <v>0</v>
      </c>
      <c r="AE507" s="1758">
        <f t="shared" si="611"/>
        <v>0</v>
      </c>
      <c r="AF507" s="1758">
        <f t="shared" si="611"/>
        <v>0</v>
      </c>
      <c r="AG507" s="1803">
        <f t="shared" si="611"/>
        <v>0</v>
      </c>
      <c r="AH507" s="1758">
        <f t="shared" si="612"/>
        <v>0</v>
      </c>
      <c r="AI507" s="1758">
        <f t="shared" si="612"/>
        <v>0</v>
      </c>
      <c r="AJ507" s="1758">
        <f t="shared" si="612"/>
        <v>0</v>
      </c>
      <c r="AK507" s="1758">
        <f t="shared" si="612"/>
        <v>0</v>
      </c>
      <c r="AL507" s="1803">
        <f t="shared" si="612"/>
        <v>0</v>
      </c>
      <c r="AP507" s="999"/>
      <c r="AQ507" s="999"/>
      <c r="AR507" s="1008"/>
      <c r="AS507" s="999"/>
      <c r="AT507" s="999"/>
      <c r="AU507" s="999"/>
      <c r="AV507" s="999"/>
      <c r="AW507" s="999"/>
      <c r="AX507" s="999"/>
      <c r="AY507" s="999"/>
      <c r="AZ507" s="999"/>
      <c r="BA507" s="999"/>
      <c r="BB507" s="999"/>
      <c r="BC507" s="999"/>
      <c r="BD507" s="999"/>
      <c r="BE507" s="999"/>
      <c r="BF507" s="999"/>
      <c r="BG507" s="999"/>
      <c r="BH507" s="1009"/>
      <c r="BI507" s="999"/>
      <c r="BJ507" s="999"/>
      <c r="BK507" s="1008"/>
      <c r="BL507" s="999"/>
      <c r="BM507" s="999"/>
      <c r="BN507" s="999"/>
      <c r="BO507" s="999"/>
      <c r="BP507" s="999"/>
      <c r="BQ507" s="999"/>
      <c r="BR507" s="999"/>
      <c r="BS507" s="999"/>
      <c r="BT507" s="999"/>
      <c r="BU507" s="999"/>
      <c r="BV507" s="999"/>
      <c r="BW507" s="999"/>
      <c r="BX507" s="999"/>
      <c r="BY507" s="999"/>
      <c r="BZ507" s="999"/>
    </row>
    <row r="508" spans="8:78" s="999" customFormat="1" x14ac:dyDescent="0.3">
      <c r="H508" s="1000"/>
      <c r="I508" s="1014" t="s">
        <v>688</v>
      </c>
      <c r="J508" s="1015"/>
      <c r="K508" s="1807"/>
      <c r="L508" s="1807"/>
      <c r="M508" s="1808"/>
      <c r="N508" s="1807"/>
      <c r="O508" s="1807"/>
      <c r="P508" s="1807"/>
      <c r="Q508" s="1807"/>
      <c r="R508" s="1765"/>
      <c r="S508" s="1764"/>
      <c r="T508" s="1764"/>
      <c r="U508" s="1764"/>
      <c r="V508" s="1764"/>
      <c r="W508" s="1765">
        <f t="shared" ref="W508:AG508" si="613">W503-W453</f>
        <v>0</v>
      </c>
      <c r="X508" s="1764">
        <f t="shared" si="613"/>
        <v>0</v>
      </c>
      <c r="Y508" s="1764">
        <f t="shared" si="613"/>
        <v>0</v>
      </c>
      <c r="Z508" s="1764">
        <f t="shared" si="613"/>
        <v>0</v>
      </c>
      <c r="AA508" s="1764">
        <f t="shared" si="613"/>
        <v>0</v>
      </c>
      <c r="AB508" s="1765">
        <f t="shared" si="613"/>
        <v>0</v>
      </c>
      <c r="AC508" s="1764">
        <f t="shared" si="613"/>
        <v>0</v>
      </c>
      <c r="AD508" s="1764">
        <f t="shared" si="613"/>
        <v>0</v>
      </c>
      <c r="AE508" s="1764">
        <f t="shared" si="613"/>
        <v>0</v>
      </c>
      <c r="AF508" s="1764">
        <f t="shared" si="613"/>
        <v>0</v>
      </c>
      <c r="AG508" s="1810">
        <f t="shared" si="613"/>
        <v>0</v>
      </c>
      <c r="AH508" s="1764">
        <f>AH503-AH453</f>
        <v>0</v>
      </c>
      <c r="AI508" s="1764">
        <f>AI503-AI453</f>
        <v>0</v>
      </c>
      <c r="AJ508" s="1764">
        <f>AJ503-AJ453</f>
        <v>0</v>
      </c>
      <c r="AK508" s="1764">
        <f>AK503-AK453</f>
        <v>0</v>
      </c>
      <c r="AL508" s="1810">
        <f>AL503-AL453</f>
        <v>0</v>
      </c>
      <c r="AN508" s="1013"/>
      <c r="AP508" s="103"/>
      <c r="AQ508" s="103"/>
      <c r="AR508" s="105"/>
      <c r="AS508" s="103"/>
      <c r="AT508" s="103"/>
      <c r="AU508" s="103"/>
      <c r="AV508" s="103"/>
      <c r="AW508" s="103"/>
      <c r="AX508" s="103"/>
      <c r="AY508" s="103"/>
      <c r="AZ508" s="103"/>
      <c r="BA508" s="103"/>
      <c r="BB508" s="103"/>
      <c r="BC508" s="103"/>
      <c r="BD508" s="103"/>
      <c r="BE508" s="103"/>
      <c r="BF508" s="103"/>
      <c r="BG508" s="103"/>
      <c r="BH508" s="995"/>
      <c r="BI508" s="103"/>
      <c r="BJ508" s="103"/>
      <c r="BK508" s="105"/>
      <c r="BL508" s="103"/>
      <c r="BM508" s="103"/>
      <c r="BN508" s="103"/>
      <c r="BO508" s="103"/>
      <c r="BP508" s="103"/>
      <c r="BQ508" s="103"/>
      <c r="BR508" s="103"/>
      <c r="BS508" s="103"/>
      <c r="BT508" s="103"/>
      <c r="BU508" s="103"/>
      <c r="BV508" s="103"/>
      <c r="BW508" s="103"/>
      <c r="BX508" s="103"/>
      <c r="BY508" s="103"/>
      <c r="BZ508" s="103"/>
    </row>
    <row r="509" spans="8:78" ht="12.5" thickBot="1" x14ac:dyDescent="0.35">
      <c r="I509" s="1016" t="s">
        <v>687</v>
      </c>
      <c r="J509" s="1017"/>
      <c r="K509" s="1566"/>
      <c r="L509" s="1566"/>
      <c r="M509" s="1766"/>
      <c r="N509" s="1566"/>
      <c r="O509" s="1566"/>
      <c r="P509" s="1566"/>
      <c r="Q509" s="1566"/>
      <c r="R509" s="1766"/>
      <c r="S509" s="1566"/>
      <c r="T509" s="1566"/>
      <c r="U509" s="1566"/>
      <c r="V509" s="1566"/>
      <c r="W509" s="1766">
        <f t="shared" ref="W509:AG509" si="614">SUM(W474:W477,W480:W483,W486:W489,W492:W495,W498:W501,W504:W507)</f>
        <v>0</v>
      </c>
      <c r="X509" s="1566">
        <f t="shared" si="614"/>
        <v>0</v>
      </c>
      <c r="Y509" s="1566">
        <f t="shared" si="614"/>
        <v>0</v>
      </c>
      <c r="Z509" s="1566">
        <f t="shared" si="614"/>
        <v>0</v>
      </c>
      <c r="AA509" s="1566">
        <f t="shared" si="614"/>
        <v>0</v>
      </c>
      <c r="AB509" s="1766">
        <f t="shared" si="614"/>
        <v>0</v>
      </c>
      <c r="AC509" s="1566">
        <f t="shared" si="614"/>
        <v>0</v>
      </c>
      <c r="AD509" s="1566">
        <f t="shared" si="614"/>
        <v>0</v>
      </c>
      <c r="AE509" s="1566">
        <f t="shared" si="614"/>
        <v>0</v>
      </c>
      <c r="AF509" s="1566">
        <f t="shared" si="614"/>
        <v>0</v>
      </c>
      <c r="AG509" s="1811">
        <f t="shared" si="614"/>
        <v>0</v>
      </c>
      <c r="AH509" s="1566">
        <f>SUM(AH474:AH477,AH480:AH483,AH486:AH489,AH492:AH495,AH498:AH501,AH504:AH507)</f>
        <v>0</v>
      </c>
      <c r="AI509" s="1566">
        <f>SUM(AI474:AI477,AI480:AI483,AI486:AI489,AI492:AI495,AI498:AI501,AI504:AI507)</f>
        <v>0</v>
      </c>
      <c r="AJ509" s="1566">
        <f>SUM(AJ474:AJ477,AJ480:AJ483,AJ486:AJ489,AJ492:AJ495,AJ498:AJ501,AJ504:AJ507)</f>
        <v>0</v>
      </c>
      <c r="AK509" s="1566">
        <f>SUM(AK474:AK477,AK480:AK483,AK486:AK489,AK492:AK495,AK498:AK501,AK504:AK507)</f>
        <v>0</v>
      </c>
      <c r="AL509" s="1811">
        <f>SUM(AL474:AL477,AL480:AL483,AL486:AL489,AL492:AL495,AL498:AL501,AL504:AL507)</f>
        <v>0</v>
      </c>
      <c r="AP509" s="103"/>
      <c r="AQ509" s="103"/>
      <c r="AR509" s="105"/>
      <c r="AS509" s="103"/>
      <c r="AT509" s="103"/>
      <c r="AU509" s="103"/>
      <c r="AV509" s="103"/>
      <c r="AW509" s="103"/>
      <c r="AX509" s="103"/>
      <c r="AY509" s="103"/>
      <c r="AZ509" s="103"/>
      <c r="BA509" s="103"/>
      <c r="BB509" s="103"/>
      <c r="BC509" s="103"/>
      <c r="BD509" s="103"/>
      <c r="BE509" s="103"/>
      <c r="BF509" s="103"/>
      <c r="BG509" s="103"/>
      <c r="BH509" s="995"/>
      <c r="BI509" s="103"/>
      <c r="BJ509" s="103"/>
      <c r="BK509" s="105"/>
      <c r="BL509" s="103"/>
      <c r="BM509" s="103"/>
      <c r="BN509" s="103"/>
      <c r="BO509" s="103"/>
      <c r="BP509" s="103"/>
      <c r="BQ509" s="103"/>
      <c r="BR509" s="103"/>
      <c r="BS509" s="103"/>
      <c r="BT509" s="103"/>
      <c r="BU509" s="103"/>
      <c r="BV509" s="103"/>
      <c r="BW509" s="103"/>
      <c r="BX509" s="103"/>
      <c r="BY509" s="103"/>
      <c r="BZ509" s="103"/>
    </row>
    <row r="510" spans="8:78" s="999" customFormat="1" x14ac:dyDescent="0.3">
      <c r="H510" s="1018"/>
      <c r="I510" s="1019" t="s">
        <v>688</v>
      </c>
      <c r="J510" s="1020"/>
      <c r="K510" s="1769"/>
      <c r="L510" s="1769"/>
      <c r="M510" s="1809"/>
      <c r="N510" s="1769"/>
      <c r="O510" s="1769"/>
      <c r="P510" s="1769"/>
      <c r="Q510" s="1769"/>
      <c r="R510" s="1809"/>
      <c r="S510" s="1769"/>
      <c r="T510" s="1769"/>
      <c r="U510" s="1769"/>
      <c r="V510" s="1769"/>
      <c r="W510" s="1809">
        <f t="shared" ref="W510:AG510" si="615">W509-W455</f>
        <v>0</v>
      </c>
      <c r="X510" s="1769">
        <f t="shared" si="615"/>
        <v>0</v>
      </c>
      <c r="Y510" s="1769">
        <f t="shared" si="615"/>
        <v>0</v>
      </c>
      <c r="Z510" s="1769">
        <f t="shared" si="615"/>
        <v>0</v>
      </c>
      <c r="AA510" s="1769">
        <f t="shared" si="615"/>
        <v>0</v>
      </c>
      <c r="AB510" s="1809">
        <f t="shared" si="615"/>
        <v>0</v>
      </c>
      <c r="AC510" s="1769">
        <f t="shared" si="615"/>
        <v>0</v>
      </c>
      <c r="AD510" s="1769">
        <f t="shared" si="615"/>
        <v>0</v>
      </c>
      <c r="AE510" s="1769">
        <f t="shared" si="615"/>
        <v>0</v>
      </c>
      <c r="AF510" s="1769">
        <f t="shared" si="615"/>
        <v>0</v>
      </c>
      <c r="AG510" s="1770">
        <f t="shared" si="615"/>
        <v>0</v>
      </c>
      <c r="AH510" s="1769">
        <f>AH509-AH455</f>
        <v>0</v>
      </c>
      <c r="AI510" s="1769">
        <f>AI509-AI455</f>
        <v>0</v>
      </c>
      <c r="AJ510" s="1769">
        <f>AJ509-AJ455</f>
        <v>0</v>
      </c>
      <c r="AK510" s="1769">
        <f>AK509-AK455</f>
        <v>0</v>
      </c>
      <c r="AL510" s="1770">
        <f>AL509-AL455</f>
        <v>0</v>
      </c>
      <c r="AN510" s="1013"/>
      <c r="AP510" s="73"/>
      <c r="AQ510" s="73"/>
      <c r="AR510" s="72"/>
      <c r="AS510" s="73"/>
      <c r="AT510" s="73"/>
      <c r="AU510" s="73"/>
      <c r="AV510" s="73"/>
      <c r="AW510" s="73"/>
      <c r="AX510" s="73"/>
      <c r="AY510" s="73"/>
      <c r="AZ510" s="73"/>
      <c r="BA510" s="73"/>
      <c r="BB510" s="73"/>
      <c r="BC510" s="73"/>
      <c r="BD510" s="73"/>
      <c r="BE510" s="73"/>
      <c r="BF510" s="73"/>
      <c r="BG510" s="73"/>
      <c r="BH510" s="126"/>
      <c r="BI510" s="73"/>
      <c r="BJ510" s="73"/>
      <c r="BK510" s="72"/>
      <c r="BL510" s="73"/>
      <c r="BM510" s="73"/>
      <c r="BN510" s="73"/>
      <c r="BO510" s="73"/>
      <c r="BP510" s="73"/>
      <c r="BQ510" s="73"/>
      <c r="BR510" s="73"/>
      <c r="BS510" s="73"/>
      <c r="BT510" s="73"/>
      <c r="BU510" s="73"/>
      <c r="BV510" s="73"/>
      <c r="BW510" s="73"/>
      <c r="BX510" s="73"/>
      <c r="BY510" s="73"/>
      <c r="BZ510" s="73"/>
    </row>
    <row r="511" spans="8:78" s="999" customFormat="1" x14ac:dyDescent="0.3">
      <c r="H511" s="1018"/>
      <c r="I511" s="1001"/>
      <c r="J511" s="1002"/>
      <c r="K511" s="1003"/>
      <c r="L511" s="1003"/>
      <c r="M511" s="1004"/>
      <c r="N511" s="1003"/>
      <c r="O511" s="1003"/>
      <c r="P511" s="1003"/>
      <c r="Q511" s="1003"/>
      <c r="R511" s="1005"/>
      <c r="S511" s="1006"/>
      <c r="T511" s="1006"/>
      <c r="U511" s="1006"/>
      <c r="V511" s="1006"/>
      <c r="W511" s="1005"/>
      <c r="X511" s="1006"/>
      <c r="Y511" s="1006"/>
      <c r="Z511" s="1006"/>
      <c r="AA511" s="1006"/>
      <c r="AB511" s="1005"/>
      <c r="AC511" s="1006"/>
      <c r="AD511" s="1006"/>
      <c r="AE511" s="1006"/>
      <c r="AF511" s="1006"/>
      <c r="AG511" s="1007"/>
      <c r="AH511" s="1006"/>
      <c r="AI511" s="1006"/>
      <c r="AJ511" s="1006"/>
      <c r="AK511" s="1006"/>
      <c r="AL511" s="1007"/>
      <c r="AN511" s="1013"/>
      <c r="AP511" s="73"/>
      <c r="AQ511" s="73"/>
      <c r="AR511" s="72"/>
      <c r="AS511" s="73"/>
      <c r="AT511" s="73"/>
      <c r="AU511" s="73"/>
      <c r="AV511" s="73"/>
      <c r="AW511" s="73"/>
      <c r="AX511" s="73"/>
      <c r="AY511" s="73"/>
      <c r="AZ511" s="73"/>
      <c r="BA511" s="73"/>
      <c r="BB511" s="73"/>
      <c r="BC511" s="73"/>
      <c r="BD511" s="73"/>
      <c r="BE511" s="73"/>
      <c r="BF511" s="73"/>
      <c r="BG511" s="73"/>
      <c r="BH511" s="126"/>
      <c r="BI511" s="73"/>
      <c r="BJ511" s="73"/>
      <c r="BK511" s="72"/>
      <c r="BL511" s="73"/>
      <c r="BM511" s="73"/>
      <c r="BN511" s="73"/>
      <c r="BO511" s="73"/>
      <c r="BP511" s="73"/>
      <c r="BQ511" s="73"/>
      <c r="BR511" s="73"/>
      <c r="BS511" s="73"/>
      <c r="BT511" s="73"/>
      <c r="BU511" s="73"/>
      <c r="BV511" s="73"/>
      <c r="BW511" s="73"/>
      <c r="BX511" s="73"/>
      <c r="BY511" s="73"/>
      <c r="BZ511" s="73"/>
    </row>
    <row r="512" spans="8:78" s="103" customFormat="1" x14ac:dyDescent="0.3">
      <c r="H512" s="1023"/>
      <c r="I512" s="1755" t="str">
        <f>I473</f>
        <v>Water</v>
      </c>
      <c r="J512" s="994"/>
      <c r="K512" s="1771"/>
      <c r="L512" s="1771"/>
      <c r="M512" s="1773"/>
      <c r="N512" s="1771"/>
      <c r="O512" s="1771"/>
      <c r="P512" s="1771"/>
      <c r="Q512" s="1771"/>
      <c r="R512" s="1775"/>
      <c r="S512" s="1774"/>
      <c r="T512" s="1774"/>
      <c r="U512" s="1774"/>
      <c r="V512" s="1774"/>
      <c r="W512" s="1775" t="str">
        <f t="shared" ref="W512:AG512" si="616">IFERROR(W473/W$509,"-")</f>
        <v>-</v>
      </c>
      <c r="X512" s="1774" t="str">
        <f t="shared" si="616"/>
        <v>-</v>
      </c>
      <c r="Y512" s="1774" t="str">
        <f t="shared" si="616"/>
        <v>-</v>
      </c>
      <c r="Z512" s="1774" t="str">
        <f t="shared" si="616"/>
        <v>-</v>
      </c>
      <c r="AA512" s="1774" t="str">
        <f t="shared" si="616"/>
        <v>-</v>
      </c>
      <c r="AB512" s="1775" t="str">
        <f t="shared" si="616"/>
        <v>-</v>
      </c>
      <c r="AC512" s="1774" t="str">
        <f t="shared" si="616"/>
        <v>-</v>
      </c>
      <c r="AD512" s="1774" t="str">
        <f t="shared" si="616"/>
        <v>-</v>
      </c>
      <c r="AE512" s="1774" t="str">
        <f t="shared" si="616"/>
        <v>-</v>
      </c>
      <c r="AF512" s="1774" t="str">
        <f t="shared" si="616"/>
        <v>-</v>
      </c>
      <c r="AG512" s="1776" t="str">
        <f t="shared" si="616"/>
        <v>-</v>
      </c>
      <c r="AH512" s="1774" t="str">
        <f>IFERROR(AH473/AH$509,"-")</f>
        <v>-</v>
      </c>
      <c r="AI512" s="1774" t="str">
        <f>IFERROR(AI473/AI$509,"-")</f>
        <v>-</v>
      </c>
      <c r="AJ512" s="1774" t="str">
        <f>IFERROR(AJ473/AJ$509,"-")</f>
        <v>-</v>
      </c>
      <c r="AK512" s="1774" t="str">
        <f>IFERROR(AK473/AK$509,"-")</f>
        <v>-</v>
      </c>
      <c r="AL512" s="1776" t="str">
        <f>IFERROR(AL473/AL$509,"-")</f>
        <v>-</v>
      </c>
      <c r="AN512" s="1010"/>
      <c r="AP512" s="73"/>
      <c r="AQ512" s="73"/>
      <c r="AR512" s="72"/>
      <c r="AS512" s="73"/>
      <c r="AT512" s="73"/>
      <c r="AU512" s="73"/>
      <c r="AV512" s="73"/>
      <c r="AW512" s="73"/>
      <c r="AX512" s="73"/>
      <c r="AY512" s="73"/>
      <c r="AZ512" s="73"/>
      <c r="BA512" s="73"/>
      <c r="BB512" s="73"/>
      <c r="BC512" s="73"/>
      <c r="BD512" s="73"/>
      <c r="BE512" s="73"/>
      <c r="BF512" s="73"/>
      <c r="BG512" s="73"/>
      <c r="BH512" s="126"/>
      <c r="BI512" s="73"/>
      <c r="BJ512" s="73"/>
      <c r="BK512" s="72"/>
      <c r="BL512" s="73"/>
      <c r="BM512" s="73"/>
      <c r="BN512" s="73"/>
      <c r="BO512" s="73"/>
      <c r="BP512" s="73"/>
      <c r="BQ512" s="73"/>
      <c r="BR512" s="73"/>
      <c r="BS512" s="73"/>
      <c r="BT512" s="73"/>
      <c r="BU512" s="73"/>
      <c r="BV512" s="73"/>
      <c r="BW512" s="73"/>
      <c r="BX512" s="73"/>
      <c r="BY512" s="73"/>
      <c r="BZ512" s="73"/>
    </row>
    <row r="513" spans="8:78" x14ac:dyDescent="0.3">
      <c r="H513" s="1024"/>
      <c r="I513" s="1756" t="str">
        <f>I474</f>
        <v>Price cap - Fixed</v>
      </c>
      <c r="J513" s="998"/>
      <c r="K513" s="1772"/>
      <c r="L513" s="1772"/>
      <c r="M513" s="1777"/>
      <c r="N513" s="1772"/>
      <c r="O513" s="1772"/>
      <c r="P513" s="1772"/>
      <c r="Q513" s="1772"/>
      <c r="R513" s="1779"/>
      <c r="S513" s="1778"/>
      <c r="T513" s="1778"/>
      <c r="U513" s="1778"/>
      <c r="V513" s="1778"/>
      <c r="W513" s="1779" t="str">
        <f t="shared" ref="W513:AG513" si="617">IFERROR(W474/W$473,"-")</f>
        <v>-</v>
      </c>
      <c r="X513" s="1778" t="str">
        <f t="shared" si="617"/>
        <v>-</v>
      </c>
      <c r="Y513" s="1778" t="str">
        <f t="shared" si="617"/>
        <v>-</v>
      </c>
      <c r="Z513" s="1778" t="str">
        <f t="shared" si="617"/>
        <v>-</v>
      </c>
      <c r="AA513" s="1778" t="str">
        <f t="shared" si="617"/>
        <v>-</v>
      </c>
      <c r="AB513" s="1779" t="str">
        <f t="shared" si="617"/>
        <v>-</v>
      </c>
      <c r="AC513" s="1778" t="str">
        <f t="shared" si="617"/>
        <v>-</v>
      </c>
      <c r="AD513" s="1778" t="str">
        <f t="shared" si="617"/>
        <v>-</v>
      </c>
      <c r="AE513" s="1778" t="str">
        <f t="shared" si="617"/>
        <v>-</v>
      </c>
      <c r="AF513" s="1778" t="str">
        <f t="shared" si="617"/>
        <v>-</v>
      </c>
      <c r="AG513" s="1780" t="str">
        <f t="shared" si="617"/>
        <v>-</v>
      </c>
      <c r="AH513" s="1778" t="str">
        <f t="shared" ref="AH513:AL516" si="618">IFERROR(AH474/AH$473,"-")</f>
        <v>-</v>
      </c>
      <c r="AI513" s="1778" t="str">
        <f t="shared" si="618"/>
        <v>-</v>
      </c>
      <c r="AJ513" s="1778" t="str">
        <f t="shared" si="618"/>
        <v>-</v>
      </c>
      <c r="AK513" s="1778" t="str">
        <f t="shared" si="618"/>
        <v>-</v>
      </c>
      <c r="AL513" s="1780" t="str">
        <f t="shared" si="618"/>
        <v>-</v>
      </c>
    </row>
    <row r="514" spans="8:78" x14ac:dyDescent="0.3">
      <c r="H514" s="1024"/>
      <c r="I514" s="1756" t="str">
        <f>I475</f>
        <v xml:space="preserve">Price cap - Variable </v>
      </c>
      <c r="J514" s="998"/>
      <c r="K514" s="1772"/>
      <c r="L514" s="1772"/>
      <c r="M514" s="1777"/>
      <c r="N514" s="1772"/>
      <c r="O514" s="1772"/>
      <c r="P514" s="1772"/>
      <c r="Q514" s="1772"/>
      <c r="R514" s="1779"/>
      <c r="S514" s="1778"/>
      <c r="T514" s="1778"/>
      <c r="U514" s="1778"/>
      <c r="V514" s="1778"/>
      <c r="W514" s="1779" t="str">
        <f t="shared" ref="W514:AG514" si="619">IFERROR(W475/W$473,"-")</f>
        <v>-</v>
      </c>
      <c r="X514" s="1778" t="str">
        <f t="shared" si="619"/>
        <v>-</v>
      </c>
      <c r="Y514" s="1778" t="str">
        <f t="shared" si="619"/>
        <v>-</v>
      </c>
      <c r="Z514" s="1778" t="str">
        <f t="shared" si="619"/>
        <v>-</v>
      </c>
      <c r="AA514" s="1778" t="str">
        <f t="shared" si="619"/>
        <v>-</v>
      </c>
      <c r="AB514" s="1779" t="str">
        <f t="shared" si="619"/>
        <v>-</v>
      </c>
      <c r="AC514" s="1778" t="str">
        <f t="shared" si="619"/>
        <v>-</v>
      </c>
      <c r="AD514" s="1778" t="str">
        <f t="shared" si="619"/>
        <v>-</v>
      </c>
      <c r="AE514" s="1778" t="str">
        <f t="shared" si="619"/>
        <v>-</v>
      </c>
      <c r="AF514" s="1778" t="str">
        <f t="shared" si="619"/>
        <v>-</v>
      </c>
      <c r="AG514" s="1780" t="str">
        <f t="shared" si="619"/>
        <v>-</v>
      </c>
      <c r="AH514" s="1778" t="str">
        <f t="shared" si="618"/>
        <v>-</v>
      </c>
      <c r="AI514" s="1778" t="str">
        <f t="shared" si="618"/>
        <v>-</v>
      </c>
      <c r="AJ514" s="1778" t="str">
        <f t="shared" si="618"/>
        <v>-</v>
      </c>
      <c r="AK514" s="1778" t="str">
        <f t="shared" si="618"/>
        <v>-</v>
      </c>
      <c r="AL514" s="1780" t="str">
        <f t="shared" si="618"/>
        <v>-</v>
      </c>
    </row>
    <row r="515" spans="8:78" x14ac:dyDescent="0.3">
      <c r="H515" s="1024"/>
      <c r="I515" s="1756" t="str">
        <f>I476</f>
        <v xml:space="preserve">Revenue cap - Fixed </v>
      </c>
      <c r="J515" s="998"/>
      <c r="K515" s="1772"/>
      <c r="L515" s="1772"/>
      <c r="M515" s="1777"/>
      <c r="N515" s="1772"/>
      <c r="O515" s="1772"/>
      <c r="P515" s="1772"/>
      <c r="Q515" s="1772"/>
      <c r="R515" s="1779"/>
      <c r="S515" s="1778"/>
      <c r="T515" s="1778"/>
      <c r="U515" s="1778"/>
      <c r="V515" s="1778"/>
      <c r="W515" s="1779" t="str">
        <f t="shared" ref="W515:AG515" si="620">IFERROR(W476/W$473,"-")</f>
        <v>-</v>
      </c>
      <c r="X515" s="1778" t="str">
        <f t="shared" si="620"/>
        <v>-</v>
      </c>
      <c r="Y515" s="1778" t="str">
        <f t="shared" si="620"/>
        <v>-</v>
      </c>
      <c r="Z515" s="1778" t="str">
        <f t="shared" si="620"/>
        <v>-</v>
      </c>
      <c r="AA515" s="1778" t="str">
        <f t="shared" si="620"/>
        <v>-</v>
      </c>
      <c r="AB515" s="1779" t="str">
        <f t="shared" si="620"/>
        <v>-</v>
      </c>
      <c r="AC515" s="1778" t="str">
        <f t="shared" si="620"/>
        <v>-</v>
      </c>
      <c r="AD515" s="1778" t="str">
        <f t="shared" si="620"/>
        <v>-</v>
      </c>
      <c r="AE515" s="1778" t="str">
        <f t="shared" si="620"/>
        <v>-</v>
      </c>
      <c r="AF515" s="1778" t="str">
        <f t="shared" si="620"/>
        <v>-</v>
      </c>
      <c r="AG515" s="1780" t="str">
        <f t="shared" si="620"/>
        <v>-</v>
      </c>
      <c r="AH515" s="1778" t="str">
        <f t="shared" si="618"/>
        <v>-</v>
      </c>
      <c r="AI515" s="1778" t="str">
        <f t="shared" si="618"/>
        <v>-</v>
      </c>
      <c r="AJ515" s="1778" t="str">
        <f t="shared" si="618"/>
        <v>-</v>
      </c>
      <c r="AK515" s="1778" t="str">
        <f t="shared" si="618"/>
        <v>-</v>
      </c>
      <c r="AL515" s="1780" t="str">
        <f t="shared" si="618"/>
        <v>-</v>
      </c>
    </row>
    <row r="516" spans="8:78" x14ac:dyDescent="0.3">
      <c r="H516" s="1024"/>
      <c r="I516" s="1756" t="str">
        <f>I477</f>
        <v>Revenue cap - Variable</v>
      </c>
      <c r="J516" s="998"/>
      <c r="K516" s="1772"/>
      <c r="L516" s="1772"/>
      <c r="M516" s="1777"/>
      <c r="N516" s="1772"/>
      <c r="O516" s="1772"/>
      <c r="P516" s="1772"/>
      <c r="Q516" s="1772"/>
      <c r="R516" s="1779"/>
      <c r="S516" s="1778"/>
      <c r="T516" s="1778"/>
      <c r="U516" s="1778"/>
      <c r="V516" s="1778"/>
      <c r="W516" s="1779" t="str">
        <f t="shared" ref="W516:AG516" si="621">IFERROR(W477/W$473,"-")</f>
        <v>-</v>
      </c>
      <c r="X516" s="1778" t="str">
        <f t="shared" si="621"/>
        <v>-</v>
      </c>
      <c r="Y516" s="1778" t="str">
        <f t="shared" si="621"/>
        <v>-</v>
      </c>
      <c r="Z516" s="1778" t="str">
        <f t="shared" si="621"/>
        <v>-</v>
      </c>
      <c r="AA516" s="1778" t="str">
        <f t="shared" si="621"/>
        <v>-</v>
      </c>
      <c r="AB516" s="1779" t="str">
        <f t="shared" si="621"/>
        <v>-</v>
      </c>
      <c r="AC516" s="1778" t="str">
        <f t="shared" si="621"/>
        <v>-</v>
      </c>
      <c r="AD516" s="1778" t="str">
        <f t="shared" si="621"/>
        <v>-</v>
      </c>
      <c r="AE516" s="1778" t="str">
        <f t="shared" si="621"/>
        <v>-</v>
      </c>
      <c r="AF516" s="1778" t="str">
        <f t="shared" si="621"/>
        <v>-</v>
      </c>
      <c r="AG516" s="1780" t="str">
        <f t="shared" si="621"/>
        <v>-</v>
      </c>
      <c r="AH516" s="1778" t="str">
        <f t="shared" si="618"/>
        <v>-</v>
      </c>
      <c r="AI516" s="1778" t="str">
        <f t="shared" si="618"/>
        <v>-</v>
      </c>
      <c r="AJ516" s="1778" t="str">
        <f t="shared" si="618"/>
        <v>-</v>
      </c>
      <c r="AK516" s="1778" t="str">
        <f t="shared" si="618"/>
        <v>-</v>
      </c>
      <c r="AL516" s="1780" t="str">
        <f t="shared" si="618"/>
        <v>-</v>
      </c>
      <c r="AP516" s="999"/>
      <c r="AQ516" s="999"/>
      <c r="AR516" s="1008"/>
      <c r="AS516" s="999"/>
      <c r="AT516" s="999"/>
      <c r="AU516" s="999"/>
      <c r="AV516" s="999"/>
      <c r="AW516" s="999"/>
      <c r="AX516" s="999"/>
      <c r="AY516" s="999"/>
      <c r="AZ516" s="999"/>
      <c r="BA516" s="999"/>
      <c r="BB516" s="999"/>
      <c r="BC516" s="999"/>
      <c r="BD516" s="999"/>
      <c r="BE516" s="999"/>
      <c r="BF516" s="999"/>
      <c r="BG516" s="999"/>
      <c r="BH516" s="1009"/>
      <c r="BI516" s="999"/>
      <c r="BJ516" s="999"/>
      <c r="BK516" s="1008"/>
      <c r="BL516" s="999"/>
      <c r="BM516" s="999"/>
      <c r="BN516" s="999"/>
      <c r="BO516" s="999"/>
      <c r="BP516" s="999"/>
      <c r="BQ516" s="999"/>
      <c r="BR516" s="999"/>
      <c r="BS516" s="999"/>
      <c r="BT516" s="999"/>
      <c r="BU516" s="999"/>
      <c r="BV516" s="999"/>
      <c r="BW516" s="999"/>
      <c r="BX516" s="999"/>
      <c r="BY516" s="999"/>
      <c r="BZ516" s="999"/>
    </row>
    <row r="517" spans="8:78" ht="4.5" customHeight="1" x14ac:dyDescent="0.3">
      <c r="H517" s="1024"/>
      <c r="I517" s="997"/>
      <c r="J517" s="998"/>
      <c r="K517" s="609"/>
      <c r="L517" s="609"/>
      <c r="M517" s="610"/>
      <c r="N517" s="609"/>
      <c r="O517" s="609"/>
      <c r="P517" s="609"/>
      <c r="Q517" s="609"/>
      <c r="R517" s="1025"/>
      <c r="S517" s="1026"/>
      <c r="T517" s="1026"/>
      <c r="U517" s="1026"/>
      <c r="V517" s="1026"/>
      <c r="W517" s="1025"/>
      <c r="X517" s="1026"/>
      <c r="Y517" s="1026"/>
      <c r="Z517" s="1026"/>
      <c r="AA517" s="1026"/>
      <c r="AB517" s="1025"/>
      <c r="AC517" s="1026"/>
      <c r="AD517" s="1026"/>
      <c r="AE517" s="1026"/>
      <c r="AF517" s="1026"/>
      <c r="AG517" s="1027"/>
      <c r="AH517" s="1026"/>
      <c r="AI517" s="1026"/>
      <c r="AJ517" s="1026"/>
      <c r="AK517" s="1026"/>
      <c r="AL517" s="1027"/>
      <c r="AP517" s="103"/>
      <c r="AQ517" s="103"/>
      <c r="AR517" s="105"/>
      <c r="AS517" s="103"/>
      <c r="AT517" s="103"/>
      <c r="AU517" s="103"/>
      <c r="AV517" s="103"/>
      <c r="AW517" s="103"/>
      <c r="AX517" s="103"/>
      <c r="AY517" s="103"/>
      <c r="AZ517" s="103"/>
      <c r="BA517" s="103"/>
      <c r="BB517" s="103"/>
      <c r="BC517" s="103"/>
      <c r="BD517" s="103"/>
      <c r="BE517" s="103"/>
      <c r="BF517" s="103"/>
      <c r="BG517" s="103"/>
      <c r="BH517" s="995"/>
      <c r="BI517" s="103"/>
      <c r="BJ517" s="103"/>
      <c r="BK517" s="105"/>
      <c r="BL517" s="103"/>
      <c r="BM517" s="103"/>
      <c r="BN517" s="103"/>
      <c r="BO517" s="103"/>
      <c r="BP517" s="103"/>
      <c r="BQ517" s="103"/>
      <c r="BR517" s="103"/>
      <c r="BS517" s="103"/>
      <c r="BT517" s="103"/>
      <c r="BU517" s="103"/>
      <c r="BV517" s="103"/>
      <c r="BW517" s="103"/>
      <c r="BX517" s="103"/>
      <c r="BY517" s="103"/>
      <c r="BZ517" s="103"/>
    </row>
    <row r="518" spans="8:78" s="285" customFormat="1" x14ac:dyDescent="0.3">
      <c r="H518" s="1018"/>
      <c r="I518" s="1059" t="s">
        <v>686</v>
      </c>
      <c r="J518" s="1060"/>
      <c r="K518" s="1812"/>
      <c r="L518" s="1812"/>
      <c r="M518" s="1813"/>
      <c r="N518" s="1812"/>
      <c r="O518" s="1812"/>
      <c r="P518" s="1812"/>
      <c r="Q518" s="1812"/>
      <c r="R518" s="1814"/>
      <c r="S518" s="1815"/>
      <c r="T518" s="1815"/>
      <c r="U518" s="1815"/>
      <c r="V518" s="1815"/>
      <c r="W518" s="1814" t="str">
        <f t="shared" ref="W518:AG518" si="622">IFERROR(W513+W515,"-")</f>
        <v>-</v>
      </c>
      <c r="X518" s="1815" t="str">
        <f t="shared" si="622"/>
        <v>-</v>
      </c>
      <c r="Y518" s="1815" t="str">
        <f t="shared" si="622"/>
        <v>-</v>
      </c>
      <c r="Z518" s="1815" t="str">
        <f t="shared" si="622"/>
        <v>-</v>
      </c>
      <c r="AA518" s="1815" t="str">
        <f t="shared" si="622"/>
        <v>-</v>
      </c>
      <c r="AB518" s="1814" t="str">
        <f t="shared" si="622"/>
        <v>-</v>
      </c>
      <c r="AC518" s="1815" t="str">
        <f t="shared" si="622"/>
        <v>-</v>
      </c>
      <c r="AD518" s="1815" t="str">
        <f t="shared" si="622"/>
        <v>-</v>
      </c>
      <c r="AE518" s="1815" t="str">
        <f t="shared" si="622"/>
        <v>-</v>
      </c>
      <c r="AF518" s="1815" t="str">
        <f t="shared" si="622"/>
        <v>-</v>
      </c>
      <c r="AG518" s="1816" t="str">
        <f t="shared" si="622"/>
        <v>-</v>
      </c>
      <c r="AH518" s="1815" t="str">
        <f t="shared" ref="AH518:AL519" si="623">IFERROR(AH513+AH515,"-")</f>
        <v>-</v>
      </c>
      <c r="AI518" s="1815" t="str">
        <f t="shared" si="623"/>
        <v>-</v>
      </c>
      <c r="AJ518" s="1815" t="str">
        <f t="shared" si="623"/>
        <v>-</v>
      </c>
      <c r="AK518" s="1815" t="str">
        <f t="shared" si="623"/>
        <v>-</v>
      </c>
      <c r="AL518" s="1816" t="str">
        <f t="shared" si="623"/>
        <v>-</v>
      </c>
      <c r="AN518" s="1036"/>
      <c r="AP518" s="103"/>
      <c r="AQ518" s="103"/>
      <c r="AR518" s="105"/>
      <c r="AS518" s="103"/>
      <c r="AT518" s="103"/>
      <c r="AU518" s="103"/>
      <c r="AV518" s="103"/>
      <c r="AW518" s="103"/>
      <c r="AX518" s="103"/>
      <c r="AY518" s="103"/>
      <c r="AZ518" s="103"/>
      <c r="BA518" s="103"/>
      <c r="BB518" s="103"/>
      <c r="BC518" s="103"/>
      <c r="BD518" s="103"/>
      <c r="BE518" s="103"/>
      <c r="BF518" s="103"/>
      <c r="BG518" s="103"/>
      <c r="BH518" s="995"/>
      <c r="BI518" s="103"/>
      <c r="BJ518" s="103"/>
      <c r="BK518" s="105"/>
      <c r="BL518" s="103"/>
      <c r="BM518" s="103"/>
      <c r="BN518" s="103"/>
      <c r="BO518" s="103"/>
      <c r="BP518" s="103"/>
      <c r="BQ518" s="103"/>
      <c r="BR518" s="103"/>
      <c r="BS518" s="103"/>
      <c r="BT518" s="103"/>
      <c r="BU518" s="103"/>
      <c r="BV518" s="103"/>
      <c r="BW518" s="103"/>
      <c r="BX518" s="103"/>
      <c r="BY518" s="103"/>
      <c r="BZ518" s="103"/>
    </row>
    <row r="519" spans="8:78" s="285" customFormat="1" x14ac:dyDescent="0.3">
      <c r="H519" s="1018"/>
      <c r="I519" s="1059" t="s">
        <v>689</v>
      </c>
      <c r="J519" s="1060"/>
      <c r="K519" s="1812"/>
      <c r="L519" s="1812"/>
      <c r="M519" s="1813"/>
      <c r="N519" s="1812"/>
      <c r="O519" s="1812"/>
      <c r="P519" s="1812"/>
      <c r="Q519" s="1812"/>
      <c r="R519" s="1814"/>
      <c r="S519" s="1815"/>
      <c r="T519" s="1815"/>
      <c r="U519" s="1815"/>
      <c r="V519" s="1815"/>
      <c r="W519" s="1814" t="str">
        <f t="shared" ref="W519:AG519" si="624">IFERROR(W514+W516,"-")</f>
        <v>-</v>
      </c>
      <c r="X519" s="1815" t="str">
        <f t="shared" si="624"/>
        <v>-</v>
      </c>
      <c r="Y519" s="1815" t="str">
        <f t="shared" si="624"/>
        <v>-</v>
      </c>
      <c r="Z519" s="1815" t="str">
        <f t="shared" si="624"/>
        <v>-</v>
      </c>
      <c r="AA519" s="1815" t="str">
        <f t="shared" si="624"/>
        <v>-</v>
      </c>
      <c r="AB519" s="1814" t="str">
        <f t="shared" si="624"/>
        <v>-</v>
      </c>
      <c r="AC519" s="1815" t="str">
        <f t="shared" si="624"/>
        <v>-</v>
      </c>
      <c r="AD519" s="1815" t="str">
        <f t="shared" si="624"/>
        <v>-</v>
      </c>
      <c r="AE519" s="1815" t="str">
        <f t="shared" si="624"/>
        <v>-</v>
      </c>
      <c r="AF519" s="1815" t="str">
        <f t="shared" si="624"/>
        <v>-</v>
      </c>
      <c r="AG519" s="1816" t="str">
        <f t="shared" si="624"/>
        <v>-</v>
      </c>
      <c r="AH519" s="1815" t="str">
        <f t="shared" si="623"/>
        <v>-</v>
      </c>
      <c r="AI519" s="1815" t="str">
        <f t="shared" si="623"/>
        <v>-</v>
      </c>
      <c r="AJ519" s="1815" t="str">
        <f t="shared" si="623"/>
        <v>-</v>
      </c>
      <c r="AK519" s="1815" t="str">
        <f t="shared" si="623"/>
        <v>-</v>
      </c>
      <c r="AL519" s="1816" t="str">
        <f t="shared" si="623"/>
        <v>-</v>
      </c>
      <c r="AN519" s="1036"/>
      <c r="AP519" s="73"/>
      <c r="AQ519" s="73"/>
      <c r="AR519" s="72"/>
      <c r="AS519" s="73"/>
      <c r="AT519" s="73"/>
      <c r="AU519" s="73"/>
      <c r="AV519" s="73"/>
      <c r="AW519" s="73"/>
      <c r="AX519" s="73"/>
      <c r="AY519" s="73"/>
      <c r="AZ519" s="73"/>
      <c r="BA519" s="73"/>
      <c r="BB519" s="73"/>
      <c r="BC519" s="73"/>
      <c r="BD519" s="73"/>
      <c r="BE519" s="73"/>
      <c r="BF519" s="73"/>
      <c r="BG519" s="73"/>
      <c r="BH519" s="126"/>
      <c r="BI519" s="73"/>
      <c r="BJ519" s="73"/>
      <c r="BK519" s="72"/>
      <c r="BL519" s="73"/>
      <c r="BM519" s="73"/>
      <c r="BN519" s="73"/>
      <c r="BO519" s="73"/>
      <c r="BP519" s="73"/>
      <c r="BQ519" s="73"/>
      <c r="BR519" s="73"/>
      <c r="BS519" s="73"/>
      <c r="BT519" s="73"/>
      <c r="BU519" s="73"/>
      <c r="BV519" s="73"/>
      <c r="BW519" s="73"/>
      <c r="BX519" s="73"/>
      <c r="BY519" s="73"/>
      <c r="BZ519" s="73"/>
    </row>
    <row r="520" spans="8:78" s="999" customFormat="1" x14ac:dyDescent="0.3">
      <c r="H520" s="1018"/>
      <c r="I520" s="1001"/>
      <c r="J520" s="1002"/>
      <c r="K520" s="1003"/>
      <c r="L520" s="1003"/>
      <c r="M520" s="1004"/>
      <c r="N520" s="1003"/>
      <c r="O520" s="1003"/>
      <c r="P520" s="1003"/>
      <c r="Q520" s="1003"/>
      <c r="R520" s="1005"/>
      <c r="S520" s="1006"/>
      <c r="T520" s="1006"/>
      <c r="U520" s="1006"/>
      <c r="V520" s="1006"/>
      <c r="W520" s="1005"/>
      <c r="X520" s="1006"/>
      <c r="Y520" s="1006"/>
      <c r="Z520" s="1006"/>
      <c r="AA520" s="1006"/>
      <c r="AB520" s="1005"/>
      <c r="AC520" s="1006"/>
      <c r="AD520" s="1006"/>
      <c r="AE520" s="1006"/>
      <c r="AF520" s="1006"/>
      <c r="AG520" s="1007"/>
      <c r="AH520" s="1006"/>
      <c r="AI520" s="1006"/>
      <c r="AJ520" s="1006"/>
      <c r="AK520" s="1006"/>
      <c r="AL520" s="1007"/>
      <c r="AN520" s="1013"/>
      <c r="AP520" s="73"/>
      <c r="AQ520" s="73"/>
      <c r="AR520" s="72"/>
      <c r="AS520" s="73"/>
      <c r="AT520" s="73"/>
      <c r="AU520" s="73"/>
      <c r="AV520" s="73"/>
      <c r="AW520" s="73"/>
      <c r="AX520" s="73"/>
      <c r="AY520" s="73"/>
      <c r="AZ520" s="73"/>
      <c r="BA520" s="73"/>
      <c r="BB520" s="73"/>
      <c r="BC520" s="73"/>
      <c r="BD520" s="73"/>
      <c r="BE520" s="73"/>
      <c r="BF520" s="73"/>
      <c r="BG520" s="73"/>
      <c r="BH520" s="126"/>
      <c r="BI520" s="73"/>
      <c r="BJ520" s="73"/>
      <c r="BK520" s="72"/>
      <c r="BL520" s="73"/>
      <c r="BM520" s="73"/>
      <c r="BN520" s="73"/>
      <c r="BO520" s="73"/>
      <c r="BP520" s="73"/>
      <c r="BQ520" s="73"/>
      <c r="BR520" s="73"/>
      <c r="BS520" s="73"/>
      <c r="BT520" s="73"/>
      <c r="BU520" s="73"/>
      <c r="BV520" s="73"/>
      <c r="BW520" s="73"/>
      <c r="BX520" s="73"/>
      <c r="BY520" s="73"/>
      <c r="BZ520" s="73"/>
    </row>
    <row r="521" spans="8:78" s="103" customFormat="1" x14ac:dyDescent="0.3">
      <c r="H521" s="1023"/>
      <c r="I521" s="1755" t="str">
        <f>I479</f>
        <v>Sewerage</v>
      </c>
      <c r="J521" s="994"/>
      <c r="K521" s="1771"/>
      <c r="L521" s="1771"/>
      <c r="M521" s="1773"/>
      <c r="N521" s="1771"/>
      <c r="O521" s="1771"/>
      <c r="P521" s="1771"/>
      <c r="Q521" s="1771"/>
      <c r="R521" s="1775"/>
      <c r="S521" s="1774"/>
      <c r="T521" s="1774"/>
      <c r="U521" s="1774"/>
      <c r="V521" s="1774"/>
      <c r="W521" s="1775" t="str">
        <f t="shared" ref="W521:AG521" si="625">IFERROR(W479/W$509,"-")</f>
        <v>-</v>
      </c>
      <c r="X521" s="1774" t="str">
        <f t="shared" si="625"/>
        <v>-</v>
      </c>
      <c r="Y521" s="1774" t="str">
        <f t="shared" si="625"/>
        <v>-</v>
      </c>
      <c r="Z521" s="1774" t="str">
        <f t="shared" si="625"/>
        <v>-</v>
      </c>
      <c r="AA521" s="1774" t="str">
        <f t="shared" si="625"/>
        <v>-</v>
      </c>
      <c r="AB521" s="1775" t="str">
        <f t="shared" si="625"/>
        <v>-</v>
      </c>
      <c r="AC521" s="1774" t="str">
        <f t="shared" si="625"/>
        <v>-</v>
      </c>
      <c r="AD521" s="1774" t="str">
        <f t="shared" si="625"/>
        <v>-</v>
      </c>
      <c r="AE521" s="1774" t="str">
        <f t="shared" si="625"/>
        <v>-</v>
      </c>
      <c r="AF521" s="1774" t="str">
        <f t="shared" si="625"/>
        <v>-</v>
      </c>
      <c r="AG521" s="1776" t="str">
        <f t="shared" si="625"/>
        <v>-</v>
      </c>
      <c r="AH521" s="1774" t="str">
        <f>IFERROR(AH479/AH$509,"-")</f>
        <v>-</v>
      </c>
      <c r="AI521" s="1774" t="str">
        <f>IFERROR(AI479/AI$509,"-")</f>
        <v>-</v>
      </c>
      <c r="AJ521" s="1774" t="str">
        <f>IFERROR(AJ479/AJ$509,"-")</f>
        <v>-</v>
      </c>
      <c r="AK521" s="1774" t="str">
        <f>IFERROR(AK479/AK$509,"-")</f>
        <v>-</v>
      </c>
      <c r="AL521" s="1776" t="str">
        <f>IFERROR(AL479/AL$509,"-")</f>
        <v>-</v>
      </c>
      <c r="AN521" s="1010"/>
      <c r="AP521" s="73"/>
      <c r="AQ521" s="73"/>
      <c r="AR521" s="72"/>
      <c r="AS521" s="73"/>
      <c r="AT521" s="73"/>
      <c r="AU521" s="73"/>
      <c r="AV521" s="73"/>
      <c r="AW521" s="73"/>
      <c r="AX521" s="73"/>
      <c r="AY521" s="73"/>
      <c r="AZ521" s="73"/>
      <c r="BA521" s="73"/>
      <c r="BB521" s="73"/>
      <c r="BC521" s="73"/>
      <c r="BD521" s="73"/>
      <c r="BE521" s="73"/>
      <c r="BF521" s="73"/>
      <c r="BG521" s="73"/>
      <c r="BH521" s="126"/>
      <c r="BI521" s="73"/>
      <c r="BJ521" s="73"/>
      <c r="BK521" s="72"/>
      <c r="BL521" s="73"/>
      <c r="BM521" s="73"/>
      <c r="BN521" s="73"/>
      <c r="BO521" s="73"/>
      <c r="BP521" s="73"/>
      <c r="BQ521" s="73"/>
      <c r="BR521" s="73"/>
      <c r="BS521" s="73"/>
      <c r="BT521" s="73"/>
      <c r="BU521" s="73"/>
      <c r="BV521" s="73"/>
      <c r="BW521" s="73"/>
      <c r="BX521" s="73"/>
      <c r="BY521" s="73"/>
      <c r="BZ521" s="73"/>
    </row>
    <row r="522" spans="8:78" x14ac:dyDescent="0.3">
      <c r="H522" s="1024"/>
      <c r="I522" s="1756" t="str">
        <f>I480</f>
        <v>Price cap - Fixed</v>
      </c>
      <c r="J522" s="998"/>
      <c r="K522" s="1772"/>
      <c r="L522" s="1772"/>
      <c r="M522" s="1777"/>
      <c r="N522" s="1772"/>
      <c r="O522" s="1772"/>
      <c r="P522" s="1772"/>
      <c r="Q522" s="1772"/>
      <c r="R522" s="1779"/>
      <c r="S522" s="1778"/>
      <c r="T522" s="1778"/>
      <c r="U522" s="1778"/>
      <c r="V522" s="1778"/>
      <c r="W522" s="1779" t="str">
        <f t="shared" ref="W522:AG522" si="626">IFERROR(W480/W$479,"-")</f>
        <v>-</v>
      </c>
      <c r="X522" s="1778" t="str">
        <f t="shared" si="626"/>
        <v>-</v>
      </c>
      <c r="Y522" s="1778" t="str">
        <f t="shared" si="626"/>
        <v>-</v>
      </c>
      <c r="Z522" s="1778" t="str">
        <f t="shared" si="626"/>
        <v>-</v>
      </c>
      <c r="AA522" s="1778" t="str">
        <f t="shared" si="626"/>
        <v>-</v>
      </c>
      <c r="AB522" s="1779" t="str">
        <f t="shared" si="626"/>
        <v>-</v>
      </c>
      <c r="AC522" s="1778" t="str">
        <f t="shared" si="626"/>
        <v>-</v>
      </c>
      <c r="AD522" s="1778" t="str">
        <f t="shared" si="626"/>
        <v>-</v>
      </c>
      <c r="AE522" s="1778" t="str">
        <f t="shared" si="626"/>
        <v>-</v>
      </c>
      <c r="AF522" s="1778" t="str">
        <f t="shared" si="626"/>
        <v>-</v>
      </c>
      <c r="AG522" s="1780" t="str">
        <f t="shared" si="626"/>
        <v>-</v>
      </c>
      <c r="AH522" s="1778" t="str">
        <f t="shared" ref="AH522:AL525" si="627">IFERROR(AH480/AH$479,"-")</f>
        <v>-</v>
      </c>
      <c r="AI522" s="1778" t="str">
        <f t="shared" si="627"/>
        <v>-</v>
      </c>
      <c r="AJ522" s="1778" t="str">
        <f t="shared" si="627"/>
        <v>-</v>
      </c>
      <c r="AK522" s="1778" t="str">
        <f t="shared" si="627"/>
        <v>-</v>
      </c>
      <c r="AL522" s="1780" t="str">
        <f t="shared" si="627"/>
        <v>-</v>
      </c>
    </row>
    <row r="523" spans="8:78" x14ac:dyDescent="0.3">
      <c r="H523" s="1024"/>
      <c r="I523" s="1756" t="str">
        <f>I481</f>
        <v xml:space="preserve">Price cap - Variable </v>
      </c>
      <c r="J523" s="998"/>
      <c r="K523" s="1772"/>
      <c r="L523" s="1772"/>
      <c r="M523" s="1777"/>
      <c r="N523" s="1772"/>
      <c r="O523" s="1772"/>
      <c r="P523" s="1772"/>
      <c r="Q523" s="1772"/>
      <c r="R523" s="1779"/>
      <c r="S523" s="1778"/>
      <c r="T523" s="1778"/>
      <c r="U523" s="1778"/>
      <c r="V523" s="1778"/>
      <c r="W523" s="1779" t="str">
        <f t="shared" ref="W523:AG523" si="628">IFERROR(W481/W$479,"-")</f>
        <v>-</v>
      </c>
      <c r="X523" s="1778" t="str">
        <f t="shared" si="628"/>
        <v>-</v>
      </c>
      <c r="Y523" s="1778" t="str">
        <f t="shared" si="628"/>
        <v>-</v>
      </c>
      <c r="Z523" s="1778" t="str">
        <f t="shared" si="628"/>
        <v>-</v>
      </c>
      <c r="AA523" s="1778" t="str">
        <f t="shared" si="628"/>
        <v>-</v>
      </c>
      <c r="AB523" s="1779" t="str">
        <f t="shared" si="628"/>
        <v>-</v>
      </c>
      <c r="AC523" s="1778" t="str">
        <f t="shared" si="628"/>
        <v>-</v>
      </c>
      <c r="AD523" s="1778" t="str">
        <f t="shared" si="628"/>
        <v>-</v>
      </c>
      <c r="AE523" s="1778" t="str">
        <f t="shared" si="628"/>
        <v>-</v>
      </c>
      <c r="AF523" s="1778" t="str">
        <f t="shared" si="628"/>
        <v>-</v>
      </c>
      <c r="AG523" s="1780" t="str">
        <f t="shared" si="628"/>
        <v>-</v>
      </c>
      <c r="AH523" s="1778" t="str">
        <f t="shared" si="627"/>
        <v>-</v>
      </c>
      <c r="AI523" s="1778" t="str">
        <f t="shared" si="627"/>
        <v>-</v>
      </c>
      <c r="AJ523" s="1778" t="str">
        <f t="shared" si="627"/>
        <v>-</v>
      </c>
      <c r="AK523" s="1778" t="str">
        <f t="shared" si="627"/>
        <v>-</v>
      </c>
      <c r="AL523" s="1780" t="str">
        <f t="shared" si="627"/>
        <v>-</v>
      </c>
    </row>
    <row r="524" spans="8:78" x14ac:dyDescent="0.3">
      <c r="H524" s="1024"/>
      <c r="I524" s="1756" t="str">
        <f>I482</f>
        <v xml:space="preserve">Revenue cap - Fixed </v>
      </c>
      <c r="J524" s="998"/>
      <c r="K524" s="1772"/>
      <c r="L524" s="1772"/>
      <c r="M524" s="1777"/>
      <c r="N524" s="1772"/>
      <c r="O524" s="1772"/>
      <c r="P524" s="1772"/>
      <c r="Q524" s="1772"/>
      <c r="R524" s="1779"/>
      <c r="S524" s="1778"/>
      <c r="T524" s="1778"/>
      <c r="U524" s="1778"/>
      <c r="V524" s="1778"/>
      <c r="W524" s="1779" t="str">
        <f t="shared" ref="W524:AG524" si="629">IFERROR(W482/W$479,"-")</f>
        <v>-</v>
      </c>
      <c r="X524" s="1778" t="str">
        <f t="shared" si="629"/>
        <v>-</v>
      </c>
      <c r="Y524" s="1778" t="str">
        <f t="shared" si="629"/>
        <v>-</v>
      </c>
      <c r="Z524" s="1778" t="str">
        <f t="shared" si="629"/>
        <v>-</v>
      </c>
      <c r="AA524" s="1778" t="str">
        <f t="shared" si="629"/>
        <v>-</v>
      </c>
      <c r="AB524" s="1779" t="str">
        <f t="shared" si="629"/>
        <v>-</v>
      </c>
      <c r="AC524" s="1778" t="str">
        <f t="shared" si="629"/>
        <v>-</v>
      </c>
      <c r="AD524" s="1778" t="str">
        <f t="shared" si="629"/>
        <v>-</v>
      </c>
      <c r="AE524" s="1778" t="str">
        <f t="shared" si="629"/>
        <v>-</v>
      </c>
      <c r="AF524" s="1778" t="str">
        <f t="shared" si="629"/>
        <v>-</v>
      </c>
      <c r="AG524" s="1780" t="str">
        <f t="shared" si="629"/>
        <v>-</v>
      </c>
      <c r="AH524" s="1778" t="str">
        <f t="shared" si="627"/>
        <v>-</v>
      </c>
      <c r="AI524" s="1778" t="str">
        <f t="shared" si="627"/>
        <v>-</v>
      </c>
      <c r="AJ524" s="1778" t="str">
        <f t="shared" si="627"/>
        <v>-</v>
      </c>
      <c r="AK524" s="1778" t="str">
        <f t="shared" si="627"/>
        <v>-</v>
      </c>
      <c r="AL524" s="1780" t="str">
        <f t="shared" si="627"/>
        <v>-</v>
      </c>
    </row>
    <row r="525" spans="8:78" x14ac:dyDescent="0.3">
      <c r="H525" s="1024"/>
      <c r="I525" s="1756" t="str">
        <f>I483</f>
        <v>Revenue cap - Variable</v>
      </c>
      <c r="J525" s="998"/>
      <c r="K525" s="1772"/>
      <c r="L525" s="1772"/>
      <c r="M525" s="1777"/>
      <c r="N525" s="1772"/>
      <c r="O525" s="1772"/>
      <c r="P525" s="1772"/>
      <c r="Q525" s="1772"/>
      <c r="R525" s="1779"/>
      <c r="S525" s="1778"/>
      <c r="T525" s="1778"/>
      <c r="U525" s="1778"/>
      <c r="V525" s="1778"/>
      <c r="W525" s="1779" t="str">
        <f t="shared" ref="W525:AG525" si="630">IFERROR(W483/W$479,"-")</f>
        <v>-</v>
      </c>
      <c r="X525" s="1778" t="str">
        <f t="shared" si="630"/>
        <v>-</v>
      </c>
      <c r="Y525" s="1778" t="str">
        <f t="shared" si="630"/>
        <v>-</v>
      </c>
      <c r="Z525" s="1778" t="str">
        <f t="shared" si="630"/>
        <v>-</v>
      </c>
      <c r="AA525" s="1778" t="str">
        <f t="shared" si="630"/>
        <v>-</v>
      </c>
      <c r="AB525" s="1779" t="str">
        <f t="shared" si="630"/>
        <v>-</v>
      </c>
      <c r="AC525" s="1778" t="str">
        <f t="shared" si="630"/>
        <v>-</v>
      </c>
      <c r="AD525" s="1778" t="str">
        <f t="shared" si="630"/>
        <v>-</v>
      </c>
      <c r="AE525" s="1778" t="str">
        <f t="shared" si="630"/>
        <v>-</v>
      </c>
      <c r="AF525" s="1778" t="str">
        <f t="shared" si="630"/>
        <v>-</v>
      </c>
      <c r="AG525" s="1780" t="str">
        <f t="shared" si="630"/>
        <v>-</v>
      </c>
      <c r="AH525" s="1778" t="str">
        <f t="shared" si="627"/>
        <v>-</v>
      </c>
      <c r="AI525" s="1778" t="str">
        <f t="shared" si="627"/>
        <v>-</v>
      </c>
      <c r="AJ525" s="1778" t="str">
        <f t="shared" si="627"/>
        <v>-</v>
      </c>
      <c r="AK525" s="1778" t="str">
        <f t="shared" si="627"/>
        <v>-</v>
      </c>
      <c r="AL525" s="1780" t="str">
        <f t="shared" si="627"/>
        <v>-</v>
      </c>
      <c r="AP525" s="999"/>
      <c r="AQ525" s="999"/>
      <c r="AR525" s="1008"/>
      <c r="AS525" s="999"/>
      <c r="AT525" s="999"/>
      <c r="AU525" s="999"/>
      <c r="AV525" s="999"/>
      <c r="AW525" s="999"/>
      <c r="AX525" s="999"/>
      <c r="AY525" s="999"/>
      <c r="AZ525" s="999"/>
      <c r="BA525" s="999"/>
      <c r="BB525" s="999"/>
      <c r="BC525" s="999"/>
      <c r="BD525" s="999"/>
      <c r="BE525" s="999"/>
      <c r="BF525" s="999"/>
      <c r="BG525" s="999"/>
      <c r="BH525" s="1009"/>
      <c r="BI525" s="999"/>
      <c r="BJ525" s="999"/>
      <c r="BK525" s="1008"/>
      <c r="BL525" s="999"/>
      <c r="BM525" s="999"/>
      <c r="BN525" s="999"/>
      <c r="BO525" s="999"/>
      <c r="BP525" s="999"/>
      <c r="BQ525" s="999"/>
      <c r="BR525" s="999"/>
      <c r="BS525" s="999"/>
      <c r="BT525" s="999"/>
      <c r="BU525" s="999"/>
      <c r="BV525" s="999"/>
      <c r="BW525" s="999"/>
      <c r="BX525" s="999"/>
      <c r="BY525" s="999"/>
      <c r="BZ525" s="999"/>
    </row>
    <row r="526" spans="8:78" ht="4.5" customHeight="1" x14ac:dyDescent="0.3">
      <c r="H526" s="1024"/>
      <c r="I526" s="997"/>
      <c r="J526" s="998"/>
      <c r="K526" s="609"/>
      <c r="L526" s="609"/>
      <c r="M526" s="610"/>
      <c r="N526" s="609"/>
      <c r="O526" s="609"/>
      <c r="P526" s="609"/>
      <c r="Q526" s="609"/>
      <c r="R526" s="1025"/>
      <c r="S526" s="1026"/>
      <c r="T526" s="1026"/>
      <c r="U526" s="1026"/>
      <c r="V526" s="1026"/>
      <c r="W526" s="1025"/>
      <c r="X526" s="1026"/>
      <c r="Y526" s="1026"/>
      <c r="Z526" s="1026"/>
      <c r="AA526" s="1026"/>
      <c r="AB526" s="1025"/>
      <c r="AC526" s="1026"/>
      <c r="AD526" s="1026"/>
      <c r="AE526" s="1026"/>
      <c r="AF526" s="1026"/>
      <c r="AG526" s="1027"/>
      <c r="AH526" s="1026"/>
      <c r="AI526" s="1026"/>
      <c r="AJ526" s="1026"/>
      <c r="AK526" s="1026"/>
      <c r="AL526" s="1027"/>
    </row>
    <row r="527" spans="8:78" s="285" customFormat="1" x14ac:dyDescent="0.3">
      <c r="H527" s="1018"/>
      <c r="I527" s="1059" t="s">
        <v>686</v>
      </c>
      <c r="J527" s="1060"/>
      <c r="K527" s="1812"/>
      <c r="L527" s="1812"/>
      <c r="M527" s="1813"/>
      <c r="N527" s="1812"/>
      <c r="O527" s="1812"/>
      <c r="P527" s="1812"/>
      <c r="Q527" s="1812"/>
      <c r="R527" s="1814"/>
      <c r="S527" s="1815"/>
      <c r="T527" s="1815"/>
      <c r="U527" s="1815"/>
      <c r="V527" s="1815"/>
      <c r="W527" s="1814" t="str">
        <f t="shared" ref="W527:AG527" si="631">IFERROR(W522+W524,"-")</f>
        <v>-</v>
      </c>
      <c r="X527" s="1815" t="str">
        <f t="shared" si="631"/>
        <v>-</v>
      </c>
      <c r="Y527" s="1815" t="str">
        <f t="shared" si="631"/>
        <v>-</v>
      </c>
      <c r="Z527" s="1815" t="str">
        <f t="shared" si="631"/>
        <v>-</v>
      </c>
      <c r="AA527" s="1815" t="str">
        <f t="shared" si="631"/>
        <v>-</v>
      </c>
      <c r="AB527" s="1814" t="str">
        <f t="shared" si="631"/>
        <v>-</v>
      </c>
      <c r="AC527" s="1815" t="str">
        <f t="shared" si="631"/>
        <v>-</v>
      </c>
      <c r="AD527" s="1815" t="str">
        <f t="shared" si="631"/>
        <v>-</v>
      </c>
      <c r="AE527" s="1815" t="str">
        <f t="shared" si="631"/>
        <v>-</v>
      </c>
      <c r="AF527" s="1815" t="str">
        <f t="shared" si="631"/>
        <v>-</v>
      </c>
      <c r="AG527" s="1816" t="str">
        <f t="shared" si="631"/>
        <v>-</v>
      </c>
      <c r="AH527" s="1815" t="str">
        <f t="shared" ref="AH527:AL528" si="632">IFERROR(AH522+AH524,"-")</f>
        <v>-</v>
      </c>
      <c r="AI527" s="1815" t="str">
        <f t="shared" si="632"/>
        <v>-</v>
      </c>
      <c r="AJ527" s="1815" t="str">
        <f t="shared" si="632"/>
        <v>-</v>
      </c>
      <c r="AK527" s="1815" t="str">
        <f t="shared" si="632"/>
        <v>-</v>
      </c>
      <c r="AL527" s="1816" t="str">
        <f t="shared" si="632"/>
        <v>-</v>
      </c>
      <c r="AN527" s="1036"/>
      <c r="AP527" s="73"/>
      <c r="AQ527" s="73"/>
      <c r="AR527" s="72"/>
      <c r="AS527" s="73"/>
      <c r="AT527" s="73"/>
      <c r="AU527" s="73"/>
      <c r="AV527" s="73"/>
      <c r="AW527" s="73"/>
      <c r="AX527" s="73"/>
      <c r="AY527" s="73"/>
      <c r="AZ527" s="73"/>
      <c r="BA527" s="73"/>
      <c r="BB527" s="73"/>
      <c r="BC527" s="73"/>
      <c r="BD527" s="73"/>
      <c r="BE527" s="73"/>
      <c r="BF527" s="73"/>
      <c r="BG527" s="73"/>
      <c r="BH527" s="126"/>
      <c r="BI527" s="73"/>
      <c r="BJ527" s="73"/>
      <c r="BK527" s="72"/>
      <c r="BL527" s="73"/>
      <c r="BM527" s="73"/>
      <c r="BN527" s="73"/>
      <c r="BO527" s="73"/>
      <c r="BP527" s="73"/>
      <c r="BQ527" s="73"/>
      <c r="BR527" s="73"/>
      <c r="BS527" s="73"/>
      <c r="BT527" s="73"/>
      <c r="BU527" s="73"/>
      <c r="BV527" s="73"/>
      <c r="BW527" s="73"/>
      <c r="BX527" s="73"/>
      <c r="BY527" s="73"/>
      <c r="BZ527" s="73"/>
    </row>
    <row r="528" spans="8:78" s="285" customFormat="1" x14ac:dyDescent="0.3">
      <c r="H528" s="1018"/>
      <c r="I528" s="1059" t="s">
        <v>689</v>
      </c>
      <c r="J528" s="1060"/>
      <c r="K528" s="1812"/>
      <c r="L528" s="1812"/>
      <c r="M528" s="1813"/>
      <c r="N528" s="1812"/>
      <c r="O528" s="1812"/>
      <c r="P528" s="1812"/>
      <c r="Q528" s="1812"/>
      <c r="R528" s="1814"/>
      <c r="S528" s="1815"/>
      <c r="T528" s="1815"/>
      <c r="U528" s="1815"/>
      <c r="V528" s="1815"/>
      <c r="W528" s="1814" t="str">
        <f t="shared" ref="W528:AG528" si="633">IFERROR(W523+W525,"-")</f>
        <v>-</v>
      </c>
      <c r="X528" s="1815" t="str">
        <f t="shared" si="633"/>
        <v>-</v>
      </c>
      <c r="Y528" s="1815" t="str">
        <f t="shared" si="633"/>
        <v>-</v>
      </c>
      <c r="Z528" s="1815" t="str">
        <f t="shared" si="633"/>
        <v>-</v>
      </c>
      <c r="AA528" s="1815" t="str">
        <f t="shared" si="633"/>
        <v>-</v>
      </c>
      <c r="AB528" s="1814" t="str">
        <f t="shared" si="633"/>
        <v>-</v>
      </c>
      <c r="AC528" s="1815" t="str">
        <f t="shared" si="633"/>
        <v>-</v>
      </c>
      <c r="AD528" s="1815" t="str">
        <f t="shared" si="633"/>
        <v>-</v>
      </c>
      <c r="AE528" s="1815" t="str">
        <f t="shared" si="633"/>
        <v>-</v>
      </c>
      <c r="AF528" s="1815" t="str">
        <f t="shared" si="633"/>
        <v>-</v>
      </c>
      <c r="AG528" s="1816" t="str">
        <f t="shared" si="633"/>
        <v>-</v>
      </c>
      <c r="AH528" s="1815" t="str">
        <f t="shared" si="632"/>
        <v>-</v>
      </c>
      <c r="AI528" s="1815" t="str">
        <f t="shared" si="632"/>
        <v>-</v>
      </c>
      <c r="AJ528" s="1815" t="str">
        <f t="shared" si="632"/>
        <v>-</v>
      </c>
      <c r="AK528" s="1815" t="str">
        <f t="shared" si="632"/>
        <v>-</v>
      </c>
      <c r="AL528" s="1816" t="str">
        <f t="shared" si="632"/>
        <v>-</v>
      </c>
      <c r="AN528" s="1036"/>
      <c r="AP528" s="999"/>
      <c r="AQ528" s="999"/>
      <c r="AR528" s="1008"/>
      <c r="AS528" s="999"/>
      <c r="AT528" s="999"/>
      <c r="AU528" s="999"/>
      <c r="AV528" s="999"/>
      <c r="AW528" s="999"/>
      <c r="AX528" s="999"/>
      <c r="AY528" s="999"/>
      <c r="AZ528" s="999"/>
      <c r="BA528" s="999"/>
      <c r="BB528" s="999"/>
      <c r="BC528" s="999"/>
      <c r="BD528" s="999"/>
      <c r="BE528" s="999"/>
      <c r="BF528" s="999"/>
      <c r="BG528" s="999"/>
      <c r="BH528" s="1009"/>
      <c r="BI528" s="999"/>
      <c r="BJ528" s="999"/>
      <c r="BK528" s="1008"/>
      <c r="BL528" s="999"/>
      <c r="BM528" s="999"/>
      <c r="BN528" s="999"/>
      <c r="BO528" s="999"/>
      <c r="BP528" s="999"/>
      <c r="BQ528" s="999"/>
      <c r="BR528" s="999"/>
      <c r="BS528" s="999"/>
      <c r="BT528" s="999"/>
      <c r="BU528" s="999"/>
      <c r="BV528" s="999"/>
      <c r="BW528" s="999"/>
      <c r="BX528" s="999"/>
      <c r="BY528" s="999"/>
      <c r="BZ528" s="999"/>
    </row>
    <row r="529" spans="8:78" s="999" customFormat="1" x14ac:dyDescent="0.3">
      <c r="H529" s="1018"/>
      <c r="I529" s="1001"/>
      <c r="J529" s="1002"/>
      <c r="K529" s="1003"/>
      <c r="L529" s="1003"/>
      <c r="M529" s="1004"/>
      <c r="N529" s="1003"/>
      <c r="O529" s="1003"/>
      <c r="P529" s="1003"/>
      <c r="Q529" s="1003"/>
      <c r="R529" s="1005"/>
      <c r="S529" s="1006"/>
      <c r="T529" s="1006"/>
      <c r="U529" s="1006"/>
      <c r="V529" s="1006"/>
      <c r="W529" s="1005"/>
      <c r="X529" s="1006"/>
      <c r="Y529" s="1006"/>
      <c r="Z529" s="1006"/>
      <c r="AA529" s="1006"/>
      <c r="AB529" s="1005"/>
      <c r="AC529" s="1006"/>
      <c r="AD529" s="1006"/>
      <c r="AE529" s="1006"/>
      <c r="AF529" s="1006"/>
      <c r="AG529" s="1007"/>
      <c r="AH529" s="1006"/>
      <c r="AI529" s="1006"/>
      <c r="AJ529" s="1006"/>
      <c r="AK529" s="1006"/>
      <c r="AL529" s="1007"/>
      <c r="AN529" s="1013"/>
      <c r="AR529" s="1008"/>
      <c r="BH529" s="1009"/>
      <c r="BK529" s="1008"/>
    </row>
    <row r="530" spans="8:78" s="103" customFormat="1" x14ac:dyDescent="0.3">
      <c r="H530" s="1023"/>
      <c r="I530" s="1763" t="str">
        <f>I485</f>
        <v>Recycled Water</v>
      </c>
      <c r="J530" s="1011"/>
      <c r="K530" s="1771"/>
      <c r="L530" s="1771"/>
      <c r="M530" s="1773"/>
      <c r="N530" s="1771"/>
      <c r="O530" s="1771"/>
      <c r="P530" s="1771"/>
      <c r="Q530" s="1771"/>
      <c r="R530" s="1775"/>
      <c r="S530" s="1774"/>
      <c r="T530" s="1774"/>
      <c r="U530" s="1774"/>
      <c r="V530" s="1774"/>
      <c r="W530" s="1775" t="str">
        <f t="shared" ref="W530:AG530" si="634">IFERROR(W485/W$509,"-")</f>
        <v>-</v>
      </c>
      <c r="X530" s="1774" t="str">
        <f t="shared" si="634"/>
        <v>-</v>
      </c>
      <c r="Y530" s="1774" t="str">
        <f t="shared" si="634"/>
        <v>-</v>
      </c>
      <c r="Z530" s="1774" t="str">
        <f t="shared" si="634"/>
        <v>-</v>
      </c>
      <c r="AA530" s="1774" t="str">
        <f t="shared" si="634"/>
        <v>-</v>
      </c>
      <c r="AB530" s="1775" t="str">
        <f t="shared" si="634"/>
        <v>-</v>
      </c>
      <c r="AC530" s="1774" t="str">
        <f t="shared" si="634"/>
        <v>-</v>
      </c>
      <c r="AD530" s="1774" t="str">
        <f t="shared" si="634"/>
        <v>-</v>
      </c>
      <c r="AE530" s="1774" t="str">
        <f t="shared" si="634"/>
        <v>-</v>
      </c>
      <c r="AF530" s="1774" t="str">
        <f t="shared" si="634"/>
        <v>-</v>
      </c>
      <c r="AG530" s="1776" t="str">
        <f t="shared" si="634"/>
        <v>-</v>
      </c>
      <c r="AH530" s="1774" t="str">
        <f>IFERROR(AH485/AH$509,"-")</f>
        <v>-</v>
      </c>
      <c r="AI530" s="1774" t="str">
        <f>IFERROR(AI485/AI$509,"-")</f>
        <v>-</v>
      </c>
      <c r="AJ530" s="1774" t="str">
        <f>IFERROR(AJ485/AJ$509,"-")</f>
        <v>-</v>
      </c>
      <c r="AK530" s="1774" t="str">
        <f>IFERROR(AK485/AK$509,"-")</f>
        <v>-</v>
      </c>
      <c r="AL530" s="1776" t="str">
        <f>IFERROR(AL485/AL$509,"-")</f>
        <v>-</v>
      </c>
      <c r="AN530" s="1010"/>
      <c r="AR530" s="105"/>
      <c r="BH530" s="995"/>
      <c r="BK530" s="105"/>
    </row>
    <row r="531" spans="8:78" x14ac:dyDescent="0.3">
      <c r="H531" s="1028"/>
      <c r="I531" s="1756" t="str">
        <f>I486</f>
        <v>Price cap - Fixed</v>
      </c>
      <c r="J531" s="998"/>
      <c r="K531" s="1772"/>
      <c r="L531" s="1772"/>
      <c r="M531" s="1777"/>
      <c r="N531" s="1772"/>
      <c r="O531" s="1772"/>
      <c r="P531" s="1772"/>
      <c r="Q531" s="1772"/>
      <c r="R531" s="1779"/>
      <c r="S531" s="1778"/>
      <c r="T531" s="1778"/>
      <c r="U531" s="1778"/>
      <c r="V531" s="1778"/>
      <c r="W531" s="1779" t="str">
        <f t="shared" ref="W531:AG531" si="635">IFERROR(W486/W$485,"-")</f>
        <v>-</v>
      </c>
      <c r="X531" s="1778" t="str">
        <f t="shared" si="635"/>
        <v>-</v>
      </c>
      <c r="Y531" s="1778" t="str">
        <f t="shared" si="635"/>
        <v>-</v>
      </c>
      <c r="Z531" s="1778" t="str">
        <f t="shared" si="635"/>
        <v>-</v>
      </c>
      <c r="AA531" s="1778" t="str">
        <f t="shared" si="635"/>
        <v>-</v>
      </c>
      <c r="AB531" s="1779" t="str">
        <f t="shared" si="635"/>
        <v>-</v>
      </c>
      <c r="AC531" s="1778" t="str">
        <f t="shared" si="635"/>
        <v>-</v>
      </c>
      <c r="AD531" s="1778" t="str">
        <f t="shared" si="635"/>
        <v>-</v>
      </c>
      <c r="AE531" s="1778" t="str">
        <f t="shared" si="635"/>
        <v>-</v>
      </c>
      <c r="AF531" s="1778" t="str">
        <f t="shared" si="635"/>
        <v>-</v>
      </c>
      <c r="AG531" s="1780" t="str">
        <f t="shared" si="635"/>
        <v>-</v>
      </c>
      <c r="AH531" s="1778" t="str">
        <f t="shared" ref="AH531:AL534" si="636">IFERROR(AH486/AH$485,"-")</f>
        <v>-</v>
      </c>
      <c r="AI531" s="1778" t="str">
        <f t="shared" si="636"/>
        <v>-</v>
      </c>
      <c r="AJ531" s="1778" t="str">
        <f t="shared" si="636"/>
        <v>-</v>
      </c>
      <c r="AK531" s="1778" t="str">
        <f t="shared" si="636"/>
        <v>-</v>
      </c>
      <c r="AL531" s="1780" t="str">
        <f t="shared" si="636"/>
        <v>-</v>
      </c>
    </row>
    <row r="532" spans="8:78" x14ac:dyDescent="0.3">
      <c r="H532" s="1028"/>
      <c r="I532" s="1756" t="str">
        <f>I487</f>
        <v xml:space="preserve">Price cap - Variable </v>
      </c>
      <c r="J532" s="998"/>
      <c r="K532" s="1772"/>
      <c r="L532" s="1772"/>
      <c r="M532" s="1777"/>
      <c r="N532" s="1772"/>
      <c r="O532" s="1772"/>
      <c r="P532" s="1772"/>
      <c r="Q532" s="1772"/>
      <c r="R532" s="1779"/>
      <c r="S532" s="1778"/>
      <c r="T532" s="1778"/>
      <c r="U532" s="1778"/>
      <c r="V532" s="1778"/>
      <c r="W532" s="1779" t="str">
        <f t="shared" ref="W532:AG532" si="637">IFERROR(W487/W$485,"-")</f>
        <v>-</v>
      </c>
      <c r="X532" s="1778" t="str">
        <f t="shared" si="637"/>
        <v>-</v>
      </c>
      <c r="Y532" s="1778" t="str">
        <f t="shared" si="637"/>
        <v>-</v>
      </c>
      <c r="Z532" s="1778" t="str">
        <f t="shared" si="637"/>
        <v>-</v>
      </c>
      <c r="AA532" s="1778" t="str">
        <f t="shared" si="637"/>
        <v>-</v>
      </c>
      <c r="AB532" s="1779" t="str">
        <f t="shared" si="637"/>
        <v>-</v>
      </c>
      <c r="AC532" s="1778" t="str">
        <f t="shared" si="637"/>
        <v>-</v>
      </c>
      <c r="AD532" s="1778" t="str">
        <f t="shared" si="637"/>
        <v>-</v>
      </c>
      <c r="AE532" s="1778" t="str">
        <f t="shared" si="637"/>
        <v>-</v>
      </c>
      <c r="AF532" s="1778" t="str">
        <f t="shared" si="637"/>
        <v>-</v>
      </c>
      <c r="AG532" s="1780" t="str">
        <f t="shared" si="637"/>
        <v>-</v>
      </c>
      <c r="AH532" s="1778" t="str">
        <f t="shared" si="636"/>
        <v>-</v>
      </c>
      <c r="AI532" s="1778" t="str">
        <f t="shared" si="636"/>
        <v>-</v>
      </c>
      <c r="AJ532" s="1778" t="str">
        <f t="shared" si="636"/>
        <v>-</v>
      </c>
      <c r="AK532" s="1778" t="str">
        <f t="shared" si="636"/>
        <v>-</v>
      </c>
      <c r="AL532" s="1780" t="str">
        <f t="shared" si="636"/>
        <v>-</v>
      </c>
    </row>
    <row r="533" spans="8:78" x14ac:dyDescent="0.3">
      <c r="H533" s="1028"/>
      <c r="I533" s="1756" t="str">
        <f>I488</f>
        <v xml:space="preserve">Revenue cap - Fixed </v>
      </c>
      <c r="J533" s="998"/>
      <c r="K533" s="1772"/>
      <c r="L533" s="1772"/>
      <c r="M533" s="1777"/>
      <c r="N533" s="1772"/>
      <c r="O533" s="1772"/>
      <c r="P533" s="1772"/>
      <c r="Q533" s="1772"/>
      <c r="R533" s="1779"/>
      <c r="S533" s="1778"/>
      <c r="T533" s="1778"/>
      <c r="U533" s="1778"/>
      <c r="V533" s="1778"/>
      <c r="W533" s="1779" t="str">
        <f t="shared" ref="W533:AG533" si="638">IFERROR(W488/W$485,"-")</f>
        <v>-</v>
      </c>
      <c r="X533" s="1778" t="str">
        <f t="shared" si="638"/>
        <v>-</v>
      </c>
      <c r="Y533" s="1778" t="str">
        <f t="shared" si="638"/>
        <v>-</v>
      </c>
      <c r="Z533" s="1778" t="str">
        <f t="shared" si="638"/>
        <v>-</v>
      </c>
      <c r="AA533" s="1778" t="str">
        <f t="shared" si="638"/>
        <v>-</v>
      </c>
      <c r="AB533" s="1779" t="str">
        <f t="shared" si="638"/>
        <v>-</v>
      </c>
      <c r="AC533" s="1778" t="str">
        <f t="shared" si="638"/>
        <v>-</v>
      </c>
      <c r="AD533" s="1778" t="str">
        <f t="shared" si="638"/>
        <v>-</v>
      </c>
      <c r="AE533" s="1778" t="str">
        <f t="shared" si="638"/>
        <v>-</v>
      </c>
      <c r="AF533" s="1778" t="str">
        <f t="shared" si="638"/>
        <v>-</v>
      </c>
      <c r="AG533" s="1780" t="str">
        <f t="shared" si="638"/>
        <v>-</v>
      </c>
      <c r="AH533" s="1778" t="str">
        <f t="shared" si="636"/>
        <v>-</v>
      </c>
      <c r="AI533" s="1778" t="str">
        <f t="shared" si="636"/>
        <v>-</v>
      </c>
      <c r="AJ533" s="1778" t="str">
        <f t="shared" si="636"/>
        <v>-</v>
      </c>
      <c r="AK533" s="1778" t="str">
        <f t="shared" si="636"/>
        <v>-</v>
      </c>
      <c r="AL533" s="1780" t="str">
        <f t="shared" si="636"/>
        <v>-</v>
      </c>
    </row>
    <row r="534" spans="8:78" x14ac:dyDescent="0.3">
      <c r="H534" s="1028"/>
      <c r="I534" s="1756" t="str">
        <f>I489</f>
        <v>Revenue cap - Variable</v>
      </c>
      <c r="J534" s="998"/>
      <c r="K534" s="1772"/>
      <c r="L534" s="1772"/>
      <c r="M534" s="1777"/>
      <c r="N534" s="1772"/>
      <c r="O534" s="1772"/>
      <c r="P534" s="1772"/>
      <c r="Q534" s="1772"/>
      <c r="R534" s="1779"/>
      <c r="S534" s="1778"/>
      <c r="T534" s="1778"/>
      <c r="U534" s="1778"/>
      <c r="V534" s="1778"/>
      <c r="W534" s="1779" t="str">
        <f t="shared" ref="W534:AG534" si="639">IFERROR(W489/W$485,"-")</f>
        <v>-</v>
      </c>
      <c r="X534" s="1778" t="str">
        <f t="shared" si="639"/>
        <v>-</v>
      </c>
      <c r="Y534" s="1778" t="str">
        <f t="shared" si="639"/>
        <v>-</v>
      </c>
      <c r="Z534" s="1778" t="str">
        <f t="shared" si="639"/>
        <v>-</v>
      </c>
      <c r="AA534" s="1778" t="str">
        <f t="shared" si="639"/>
        <v>-</v>
      </c>
      <c r="AB534" s="1779" t="str">
        <f t="shared" si="639"/>
        <v>-</v>
      </c>
      <c r="AC534" s="1778" t="str">
        <f t="shared" si="639"/>
        <v>-</v>
      </c>
      <c r="AD534" s="1778" t="str">
        <f t="shared" si="639"/>
        <v>-</v>
      </c>
      <c r="AE534" s="1778" t="str">
        <f t="shared" si="639"/>
        <v>-</v>
      </c>
      <c r="AF534" s="1778" t="str">
        <f t="shared" si="639"/>
        <v>-</v>
      </c>
      <c r="AG534" s="1780" t="str">
        <f t="shared" si="639"/>
        <v>-</v>
      </c>
      <c r="AH534" s="1778" t="str">
        <f t="shared" si="636"/>
        <v>-</v>
      </c>
      <c r="AI534" s="1778" t="str">
        <f t="shared" si="636"/>
        <v>-</v>
      </c>
      <c r="AJ534" s="1778" t="str">
        <f t="shared" si="636"/>
        <v>-</v>
      </c>
      <c r="AK534" s="1778" t="str">
        <f t="shared" si="636"/>
        <v>-</v>
      </c>
      <c r="AL534" s="1780" t="str">
        <f t="shared" si="636"/>
        <v>-</v>
      </c>
    </row>
    <row r="535" spans="8:78" ht="4.5" customHeight="1" x14ac:dyDescent="0.3">
      <c r="H535" s="1024"/>
      <c r="I535" s="997"/>
      <c r="J535" s="998"/>
      <c r="K535" s="609"/>
      <c r="L535" s="609"/>
      <c r="M535" s="610"/>
      <c r="N535" s="609"/>
      <c r="O535" s="609"/>
      <c r="P535" s="609"/>
      <c r="Q535" s="609"/>
      <c r="R535" s="1025"/>
      <c r="S535" s="1026"/>
      <c r="T535" s="1026"/>
      <c r="U535" s="1026"/>
      <c r="V535" s="1026"/>
      <c r="W535" s="1025"/>
      <c r="X535" s="1026"/>
      <c r="Y535" s="1026"/>
      <c r="Z535" s="1026"/>
      <c r="AA535" s="1026"/>
      <c r="AB535" s="1025"/>
      <c r="AC535" s="1026"/>
      <c r="AD535" s="1026"/>
      <c r="AE535" s="1026"/>
      <c r="AF535" s="1026"/>
      <c r="AG535" s="1027"/>
      <c r="AH535" s="1026"/>
      <c r="AI535" s="1026"/>
      <c r="AJ535" s="1026"/>
      <c r="AK535" s="1026"/>
      <c r="AL535" s="1027"/>
    </row>
    <row r="536" spans="8:78" s="285" customFormat="1" x14ac:dyDescent="0.3">
      <c r="H536" s="1018"/>
      <c r="I536" s="1059" t="s">
        <v>686</v>
      </c>
      <c r="J536" s="1060"/>
      <c r="K536" s="1812"/>
      <c r="L536" s="1812"/>
      <c r="M536" s="1813"/>
      <c r="N536" s="1812"/>
      <c r="O536" s="1812"/>
      <c r="P536" s="1812"/>
      <c r="Q536" s="1812"/>
      <c r="R536" s="1814"/>
      <c r="S536" s="1815"/>
      <c r="T536" s="1815"/>
      <c r="U536" s="1815"/>
      <c r="V536" s="1815"/>
      <c r="W536" s="1814" t="str">
        <f t="shared" ref="W536:AG536" si="640">IFERROR(W531+W533,"-")</f>
        <v>-</v>
      </c>
      <c r="X536" s="1815" t="str">
        <f t="shared" si="640"/>
        <v>-</v>
      </c>
      <c r="Y536" s="1815" t="str">
        <f t="shared" si="640"/>
        <v>-</v>
      </c>
      <c r="Z536" s="1815" t="str">
        <f t="shared" si="640"/>
        <v>-</v>
      </c>
      <c r="AA536" s="1815" t="str">
        <f t="shared" si="640"/>
        <v>-</v>
      </c>
      <c r="AB536" s="1814" t="str">
        <f t="shared" si="640"/>
        <v>-</v>
      </c>
      <c r="AC536" s="1815" t="str">
        <f t="shared" si="640"/>
        <v>-</v>
      </c>
      <c r="AD536" s="1815" t="str">
        <f t="shared" si="640"/>
        <v>-</v>
      </c>
      <c r="AE536" s="1815" t="str">
        <f t="shared" si="640"/>
        <v>-</v>
      </c>
      <c r="AF536" s="1815" t="str">
        <f t="shared" si="640"/>
        <v>-</v>
      </c>
      <c r="AG536" s="1816" t="str">
        <f t="shared" si="640"/>
        <v>-</v>
      </c>
      <c r="AH536" s="1815" t="str">
        <f t="shared" ref="AH536:AL537" si="641">IFERROR(AH531+AH533,"-")</f>
        <v>-</v>
      </c>
      <c r="AI536" s="1815" t="str">
        <f t="shared" si="641"/>
        <v>-</v>
      </c>
      <c r="AJ536" s="1815" t="str">
        <f t="shared" si="641"/>
        <v>-</v>
      </c>
      <c r="AK536" s="1815" t="str">
        <f t="shared" si="641"/>
        <v>-</v>
      </c>
      <c r="AL536" s="1816" t="str">
        <f t="shared" si="641"/>
        <v>-</v>
      </c>
      <c r="AN536" s="1036"/>
      <c r="AP536" s="73"/>
      <c r="AQ536" s="73"/>
      <c r="AR536" s="72"/>
      <c r="AS536" s="73"/>
      <c r="AT536" s="73"/>
      <c r="AU536" s="73"/>
      <c r="AV536" s="73"/>
      <c r="AW536" s="73"/>
      <c r="AX536" s="73"/>
      <c r="AY536" s="73"/>
      <c r="AZ536" s="73"/>
      <c r="BA536" s="73"/>
      <c r="BB536" s="73"/>
      <c r="BC536" s="73"/>
      <c r="BD536" s="73"/>
      <c r="BE536" s="73"/>
      <c r="BF536" s="73"/>
      <c r="BG536" s="73"/>
      <c r="BH536" s="126"/>
      <c r="BI536" s="73"/>
      <c r="BJ536" s="73"/>
      <c r="BK536" s="72"/>
      <c r="BL536" s="73"/>
      <c r="BM536" s="73"/>
      <c r="BN536" s="73"/>
      <c r="BO536" s="73"/>
      <c r="BP536" s="73"/>
      <c r="BQ536" s="73"/>
      <c r="BR536" s="73"/>
      <c r="BS536" s="73"/>
      <c r="BT536" s="73"/>
      <c r="BU536" s="73"/>
      <c r="BV536" s="73"/>
      <c r="BW536" s="73"/>
      <c r="BX536" s="73"/>
      <c r="BY536" s="73"/>
      <c r="BZ536" s="73"/>
    </row>
    <row r="537" spans="8:78" s="285" customFormat="1" x14ac:dyDescent="0.3">
      <c r="H537" s="1018"/>
      <c r="I537" s="1059" t="s">
        <v>689</v>
      </c>
      <c r="J537" s="1060"/>
      <c r="K537" s="1812"/>
      <c r="L537" s="1812"/>
      <c r="M537" s="1813"/>
      <c r="N537" s="1812"/>
      <c r="O537" s="1812"/>
      <c r="P537" s="1812"/>
      <c r="Q537" s="1812"/>
      <c r="R537" s="1814"/>
      <c r="S537" s="1815"/>
      <c r="T537" s="1815"/>
      <c r="U537" s="1815"/>
      <c r="V537" s="1815"/>
      <c r="W537" s="1814" t="str">
        <f t="shared" ref="W537:AG537" si="642">IFERROR(W532+W534,"-")</f>
        <v>-</v>
      </c>
      <c r="X537" s="1815" t="str">
        <f t="shared" si="642"/>
        <v>-</v>
      </c>
      <c r="Y537" s="1815" t="str">
        <f t="shared" si="642"/>
        <v>-</v>
      </c>
      <c r="Z537" s="1815" t="str">
        <f t="shared" si="642"/>
        <v>-</v>
      </c>
      <c r="AA537" s="1815" t="str">
        <f t="shared" si="642"/>
        <v>-</v>
      </c>
      <c r="AB537" s="1814" t="str">
        <f t="shared" si="642"/>
        <v>-</v>
      </c>
      <c r="AC537" s="1815" t="str">
        <f t="shared" si="642"/>
        <v>-</v>
      </c>
      <c r="AD537" s="1815" t="str">
        <f t="shared" si="642"/>
        <v>-</v>
      </c>
      <c r="AE537" s="1815" t="str">
        <f t="shared" si="642"/>
        <v>-</v>
      </c>
      <c r="AF537" s="1815" t="str">
        <f t="shared" si="642"/>
        <v>-</v>
      </c>
      <c r="AG537" s="1816" t="str">
        <f t="shared" si="642"/>
        <v>-</v>
      </c>
      <c r="AH537" s="1815" t="str">
        <f t="shared" si="641"/>
        <v>-</v>
      </c>
      <c r="AI537" s="1815" t="str">
        <f t="shared" si="641"/>
        <v>-</v>
      </c>
      <c r="AJ537" s="1815" t="str">
        <f t="shared" si="641"/>
        <v>-</v>
      </c>
      <c r="AK537" s="1815" t="str">
        <f t="shared" si="641"/>
        <v>-</v>
      </c>
      <c r="AL537" s="1816" t="str">
        <f t="shared" si="641"/>
        <v>-</v>
      </c>
      <c r="AN537" s="1036"/>
      <c r="AP537" s="73"/>
      <c r="AQ537" s="73"/>
      <c r="AR537" s="72"/>
      <c r="AS537" s="73"/>
      <c r="AT537" s="73"/>
      <c r="AU537" s="73"/>
      <c r="AV537" s="73"/>
      <c r="AW537" s="73"/>
      <c r="AX537" s="73"/>
      <c r="AY537" s="73"/>
      <c r="AZ537" s="73"/>
      <c r="BA537" s="73"/>
      <c r="BB537" s="73"/>
      <c r="BC537" s="73"/>
      <c r="BD537" s="73"/>
      <c r="BE537" s="73"/>
      <c r="BF537" s="73"/>
      <c r="BG537" s="73"/>
      <c r="BH537" s="126"/>
      <c r="BI537" s="73"/>
      <c r="BJ537" s="73"/>
      <c r="BK537" s="72"/>
      <c r="BL537" s="73"/>
      <c r="BM537" s="73"/>
      <c r="BN537" s="73"/>
      <c r="BO537" s="73"/>
      <c r="BP537" s="73"/>
      <c r="BQ537" s="73"/>
      <c r="BR537" s="73"/>
      <c r="BS537" s="73"/>
      <c r="BT537" s="73"/>
      <c r="BU537" s="73"/>
      <c r="BV537" s="73"/>
      <c r="BW537" s="73"/>
      <c r="BX537" s="73"/>
      <c r="BY537" s="73"/>
      <c r="BZ537" s="73"/>
    </row>
    <row r="538" spans="8:78" s="999" customFormat="1" x14ac:dyDescent="0.3">
      <c r="H538" s="1018"/>
      <c r="I538" s="1001"/>
      <c r="J538" s="1002"/>
      <c r="K538" s="1003"/>
      <c r="L538" s="1003"/>
      <c r="M538" s="1004"/>
      <c r="N538" s="1003"/>
      <c r="O538" s="1003"/>
      <c r="P538" s="1003"/>
      <c r="Q538" s="1003"/>
      <c r="R538" s="1005"/>
      <c r="S538" s="1006"/>
      <c r="T538" s="1006"/>
      <c r="U538" s="1006"/>
      <c r="V538" s="1006"/>
      <c r="W538" s="1005"/>
      <c r="X538" s="1006"/>
      <c r="Y538" s="1006"/>
      <c r="Z538" s="1006"/>
      <c r="AA538" s="1006"/>
      <c r="AB538" s="1005"/>
      <c r="AC538" s="1006"/>
      <c r="AD538" s="1006"/>
      <c r="AE538" s="1006"/>
      <c r="AF538" s="1006"/>
      <c r="AG538" s="1007"/>
      <c r="AH538" s="1006"/>
      <c r="AI538" s="1006"/>
      <c r="AJ538" s="1006"/>
      <c r="AK538" s="1006"/>
      <c r="AL538" s="1007"/>
      <c r="AN538" s="1013"/>
      <c r="AP538" s="73"/>
      <c r="AQ538" s="73"/>
      <c r="AR538" s="72"/>
      <c r="AS538" s="73"/>
      <c r="AT538" s="73"/>
      <c r="AU538" s="73"/>
      <c r="AV538" s="73"/>
      <c r="AW538" s="73"/>
      <c r="AX538" s="73"/>
      <c r="AY538" s="73"/>
      <c r="AZ538" s="73"/>
      <c r="BA538" s="73"/>
      <c r="BB538" s="73"/>
      <c r="BC538" s="73"/>
      <c r="BD538" s="73"/>
      <c r="BE538" s="73"/>
      <c r="BF538" s="73"/>
      <c r="BG538" s="73"/>
      <c r="BH538" s="126"/>
      <c r="BI538" s="73"/>
      <c r="BJ538" s="73"/>
      <c r="BK538" s="72"/>
      <c r="BL538" s="73"/>
      <c r="BM538" s="73"/>
      <c r="BN538" s="73"/>
      <c r="BO538" s="73"/>
      <c r="BP538" s="73"/>
      <c r="BQ538" s="73"/>
      <c r="BR538" s="73"/>
      <c r="BS538" s="73"/>
      <c r="BT538" s="73"/>
      <c r="BU538" s="73"/>
      <c r="BV538" s="73"/>
      <c r="BW538" s="73"/>
      <c r="BX538" s="73"/>
      <c r="BY538" s="73"/>
      <c r="BZ538" s="73"/>
    </row>
    <row r="539" spans="8:78" s="103" customFormat="1" x14ac:dyDescent="0.3">
      <c r="H539" s="1023"/>
      <c r="I539" s="1763" t="str">
        <f>I491</f>
        <v>Trade Waste</v>
      </c>
      <c r="J539" s="1011"/>
      <c r="K539" s="1771"/>
      <c r="L539" s="1771"/>
      <c r="M539" s="1773"/>
      <c r="N539" s="1771"/>
      <c r="O539" s="1771"/>
      <c r="P539" s="1771"/>
      <c r="Q539" s="1771"/>
      <c r="R539" s="1775"/>
      <c r="S539" s="1774"/>
      <c r="T539" s="1774"/>
      <c r="U539" s="1774"/>
      <c r="V539" s="1774"/>
      <c r="W539" s="1775" t="str">
        <f t="shared" ref="W539:AG539" si="643">IFERROR(W491/W$509,"-")</f>
        <v>-</v>
      </c>
      <c r="X539" s="1774" t="str">
        <f t="shared" si="643"/>
        <v>-</v>
      </c>
      <c r="Y539" s="1774" t="str">
        <f t="shared" si="643"/>
        <v>-</v>
      </c>
      <c r="Z539" s="1774" t="str">
        <f t="shared" si="643"/>
        <v>-</v>
      </c>
      <c r="AA539" s="1774" t="str">
        <f t="shared" si="643"/>
        <v>-</v>
      </c>
      <c r="AB539" s="1775" t="str">
        <f t="shared" si="643"/>
        <v>-</v>
      </c>
      <c r="AC539" s="1774" t="str">
        <f t="shared" si="643"/>
        <v>-</v>
      </c>
      <c r="AD539" s="1774" t="str">
        <f t="shared" si="643"/>
        <v>-</v>
      </c>
      <c r="AE539" s="1774" t="str">
        <f t="shared" si="643"/>
        <v>-</v>
      </c>
      <c r="AF539" s="1774" t="str">
        <f t="shared" si="643"/>
        <v>-</v>
      </c>
      <c r="AG539" s="1776" t="str">
        <f t="shared" si="643"/>
        <v>-</v>
      </c>
      <c r="AH539" s="1774" t="str">
        <f>IFERROR(AH491/AH$509,"-")</f>
        <v>-</v>
      </c>
      <c r="AI539" s="1774" t="str">
        <f>IFERROR(AI491/AI$509,"-")</f>
        <v>-</v>
      </c>
      <c r="AJ539" s="1774" t="str">
        <f>IFERROR(AJ491/AJ$509,"-")</f>
        <v>-</v>
      </c>
      <c r="AK539" s="1774" t="str">
        <f>IFERROR(AK491/AK$509,"-")</f>
        <v>-</v>
      </c>
      <c r="AL539" s="1776" t="str">
        <f>IFERROR(AL491/AL$509,"-")</f>
        <v>-</v>
      </c>
      <c r="AN539" s="1010"/>
      <c r="AP539" s="73"/>
      <c r="AQ539" s="73"/>
      <c r="AR539" s="72"/>
      <c r="AS539" s="73"/>
      <c r="AT539" s="73"/>
      <c r="AU539" s="73"/>
      <c r="AV539" s="73"/>
      <c r="AW539" s="73"/>
      <c r="AX539" s="73"/>
      <c r="AY539" s="73"/>
      <c r="AZ539" s="73"/>
      <c r="BA539" s="73"/>
      <c r="BB539" s="73"/>
      <c r="BC539" s="73"/>
      <c r="BD539" s="73"/>
      <c r="BE539" s="73"/>
      <c r="BF539" s="73"/>
      <c r="BG539" s="73"/>
      <c r="BH539" s="126"/>
      <c r="BI539" s="73"/>
      <c r="BJ539" s="73"/>
      <c r="BK539" s="72"/>
      <c r="BL539" s="73"/>
      <c r="BM539" s="73"/>
      <c r="BN539" s="73"/>
      <c r="BO539" s="73"/>
      <c r="BP539" s="73"/>
      <c r="BQ539" s="73"/>
      <c r="BR539" s="73"/>
      <c r="BS539" s="73"/>
      <c r="BT539" s="73"/>
      <c r="BU539" s="73"/>
      <c r="BV539" s="73"/>
      <c r="BW539" s="73"/>
      <c r="BX539" s="73"/>
      <c r="BY539" s="73"/>
      <c r="BZ539" s="73"/>
    </row>
    <row r="540" spans="8:78" x14ac:dyDescent="0.3">
      <c r="H540" s="1028"/>
      <c r="I540" s="1756" t="str">
        <f>I492</f>
        <v>Price cap - Fixed</v>
      </c>
      <c r="J540" s="998"/>
      <c r="K540" s="1772"/>
      <c r="L540" s="1772"/>
      <c r="M540" s="1777"/>
      <c r="N540" s="1772"/>
      <c r="O540" s="1772"/>
      <c r="P540" s="1772"/>
      <c r="Q540" s="1772"/>
      <c r="R540" s="1779"/>
      <c r="S540" s="1778"/>
      <c r="T540" s="1778"/>
      <c r="U540" s="1778"/>
      <c r="V540" s="1778"/>
      <c r="W540" s="1779" t="str">
        <f t="shared" ref="W540:AG540" si="644">IFERROR(W492/W$491,"-")</f>
        <v>-</v>
      </c>
      <c r="X540" s="1778" t="str">
        <f t="shared" si="644"/>
        <v>-</v>
      </c>
      <c r="Y540" s="1778" t="str">
        <f t="shared" si="644"/>
        <v>-</v>
      </c>
      <c r="Z540" s="1778" t="str">
        <f t="shared" si="644"/>
        <v>-</v>
      </c>
      <c r="AA540" s="1778" t="str">
        <f t="shared" si="644"/>
        <v>-</v>
      </c>
      <c r="AB540" s="1779" t="str">
        <f t="shared" si="644"/>
        <v>-</v>
      </c>
      <c r="AC540" s="1778" t="str">
        <f t="shared" si="644"/>
        <v>-</v>
      </c>
      <c r="AD540" s="1778" t="str">
        <f t="shared" si="644"/>
        <v>-</v>
      </c>
      <c r="AE540" s="1778" t="str">
        <f t="shared" si="644"/>
        <v>-</v>
      </c>
      <c r="AF540" s="1778" t="str">
        <f t="shared" si="644"/>
        <v>-</v>
      </c>
      <c r="AG540" s="1780" t="str">
        <f t="shared" si="644"/>
        <v>-</v>
      </c>
      <c r="AH540" s="1778" t="str">
        <f t="shared" ref="AH540:AL543" si="645">IFERROR(AH492/AH$491,"-")</f>
        <v>-</v>
      </c>
      <c r="AI540" s="1778" t="str">
        <f t="shared" si="645"/>
        <v>-</v>
      </c>
      <c r="AJ540" s="1778" t="str">
        <f t="shared" si="645"/>
        <v>-</v>
      </c>
      <c r="AK540" s="1778" t="str">
        <f t="shared" si="645"/>
        <v>-</v>
      </c>
      <c r="AL540" s="1780" t="str">
        <f t="shared" si="645"/>
        <v>-</v>
      </c>
    </row>
    <row r="541" spans="8:78" x14ac:dyDescent="0.3">
      <c r="H541" s="1028"/>
      <c r="I541" s="1756" t="str">
        <f>I493</f>
        <v xml:space="preserve">Price cap - Variable </v>
      </c>
      <c r="J541" s="998"/>
      <c r="K541" s="1772"/>
      <c r="L541" s="1772"/>
      <c r="M541" s="1777"/>
      <c r="N541" s="1772"/>
      <c r="O541" s="1772"/>
      <c r="P541" s="1772"/>
      <c r="Q541" s="1772"/>
      <c r="R541" s="1779"/>
      <c r="S541" s="1778"/>
      <c r="T541" s="1778"/>
      <c r="U541" s="1778"/>
      <c r="V541" s="1778"/>
      <c r="W541" s="1779" t="str">
        <f t="shared" ref="W541:AG541" si="646">IFERROR(W493/W$491,"-")</f>
        <v>-</v>
      </c>
      <c r="X541" s="1778" t="str">
        <f t="shared" si="646"/>
        <v>-</v>
      </c>
      <c r="Y541" s="1778" t="str">
        <f t="shared" si="646"/>
        <v>-</v>
      </c>
      <c r="Z541" s="1778" t="str">
        <f t="shared" si="646"/>
        <v>-</v>
      </c>
      <c r="AA541" s="1778" t="str">
        <f t="shared" si="646"/>
        <v>-</v>
      </c>
      <c r="AB541" s="1779" t="str">
        <f t="shared" si="646"/>
        <v>-</v>
      </c>
      <c r="AC541" s="1778" t="str">
        <f t="shared" si="646"/>
        <v>-</v>
      </c>
      <c r="AD541" s="1778" t="str">
        <f t="shared" si="646"/>
        <v>-</v>
      </c>
      <c r="AE541" s="1778" t="str">
        <f t="shared" si="646"/>
        <v>-</v>
      </c>
      <c r="AF541" s="1778" t="str">
        <f t="shared" si="646"/>
        <v>-</v>
      </c>
      <c r="AG541" s="1780" t="str">
        <f t="shared" si="646"/>
        <v>-</v>
      </c>
      <c r="AH541" s="1778" t="str">
        <f t="shared" si="645"/>
        <v>-</v>
      </c>
      <c r="AI541" s="1778" t="str">
        <f t="shared" si="645"/>
        <v>-</v>
      </c>
      <c r="AJ541" s="1778" t="str">
        <f t="shared" si="645"/>
        <v>-</v>
      </c>
      <c r="AK541" s="1778" t="str">
        <f t="shared" si="645"/>
        <v>-</v>
      </c>
      <c r="AL541" s="1780" t="str">
        <f t="shared" si="645"/>
        <v>-</v>
      </c>
    </row>
    <row r="542" spans="8:78" x14ac:dyDescent="0.3">
      <c r="H542" s="1028"/>
      <c r="I542" s="1756" t="str">
        <f>I494</f>
        <v xml:space="preserve">Revenue cap - Fixed </v>
      </c>
      <c r="J542" s="998"/>
      <c r="K542" s="1772"/>
      <c r="L542" s="1772"/>
      <c r="M542" s="1777"/>
      <c r="N542" s="1772"/>
      <c r="O542" s="1772"/>
      <c r="P542" s="1772"/>
      <c r="Q542" s="1772"/>
      <c r="R542" s="1779"/>
      <c r="S542" s="1778"/>
      <c r="T542" s="1778"/>
      <c r="U542" s="1778"/>
      <c r="V542" s="1778"/>
      <c r="W542" s="1779" t="str">
        <f t="shared" ref="W542:AG542" si="647">IFERROR(W494/W$491,"-")</f>
        <v>-</v>
      </c>
      <c r="X542" s="1778" t="str">
        <f t="shared" si="647"/>
        <v>-</v>
      </c>
      <c r="Y542" s="1778" t="str">
        <f t="shared" si="647"/>
        <v>-</v>
      </c>
      <c r="Z542" s="1778" t="str">
        <f t="shared" si="647"/>
        <v>-</v>
      </c>
      <c r="AA542" s="1778" t="str">
        <f t="shared" si="647"/>
        <v>-</v>
      </c>
      <c r="AB542" s="1779" t="str">
        <f t="shared" si="647"/>
        <v>-</v>
      </c>
      <c r="AC542" s="1778" t="str">
        <f t="shared" si="647"/>
        <v>-</v>
      </c>
      <c r="AD542" s="1778" t="str">
        <f t="shared" si="647"/>
        <v>-</v>
      </c>
      <c r="AE542" s="1778" t="str">
        <f t="shared" si="647"/>
        <v>-</v>
      </c>
      <c r="AF542" s="1778" t="str">
        <f t="shared" si="647"/>
        <v>-</v>
      </c>
      <c r="AG542" s="1780" t="str">
        <f t="shared" si="647"/>
        <v>-</v>
      </c>
      <c r="AH542" s="1778" t="str">
        <f t="shared" si="645"/>
        <v>-</v>
      </c>
      <c r="AI542" s="1778" t="str">
        <f t="shared" si="645"/>
        <v>-</v>
      </c>
      <c r="AJ542" s="1778" t="str">
        <f t="shared" si="645"/>
        <v>-</v>
      </c>
      <c r="AK542" s="1778" t="str">
        <f t="shared" si="645"/>
        <v>-</v>
      </c>
      <c r="AL542" s="1780" t="str">
        <f t="shared" si="645"/>
        <v>-</v>
      </c>
    </row>
    <row r="543" spans="8:78" x14ac:dyDescent="0.3">
      <c r="H543" s="1028"/>
      <c r="I543" s="1756" t="str">
        <f>I495</f>
        <v>Revenue cap - Variable</v>
      </c>
      <c r="J543" s="998"/>
      <c r="K543" s="1772"/>
      <c r="L543" s="1772"/>
      <c r="M543" s="1777"/>
      <c r="N543" s="1772"/>
      <c r="O543" s="1772"/>
      <c r="P543" s="1772"/>
      <c r="Q543" s="1772"/>
      <c r="R543" s="1779"/>
      <c r="S543" s="1778"/>
      <c r="T543" s="1778"/>
      <c r="U543" s="1778"/>
      <c r="V543" s="1778"/>
      <c r="W543" s="1779" t="str">
        <f t="shared" ref="W543:AG543" si="648">IFERROR(W495/W$491,"-")</f>
        <v>-</v>
      </c>
      <c r="X543" s="1778" t="str">
        <f t="shared" si="648"/>
        <v>-</v>
      </c>
      <c r="Y543" s="1778" t="str">
        <f t="shared" si="648"/>
        <v>-</v>
      </c>
      <c r="Z543" s="1778" t="str">
        <f t="shared" si="648"/>
        <v>-</v>
      </c>
      <c r="AA543" s="1778" t="str">
        <f t="shared" si="648"/>
        <v>-</v>
      </c>
      <c r="AB543" s="1779" t="str">
        <f t="shared" si="648"/>
        <v>-</v>
      </c>
      <c r="AC543" s="1778" t="str">
        <f t="shared" si="648"/>
        <v>-</v>
      </c>
      <c r="AD543" s="1778" t="str">
        <f t="shared" si="648"/>
        <v>-</v>
      </c>
      <c r="AE543" s="1778" t="str">
        <f t="shared" si="648"/>
        <v>-</v>
      </c>
      <c r="AF543" s="1778" t="str">
        <f t="shared" si="648"/>
        <v>-</v>
      </c>
      <c r="AG543" s="1780" t="str">
        <f t="shared" si="648"/>
        <v>-</v>
      </c>
      <c r="AH543" s="1778" t="str">
        <f t="shared" si="645"/>
        <v>-</v>
      </c>
      <c r="AI543" s="1778" t="str">
        <f t="shared" si="645"/>
        <v>-</v>
      </c>
      <c r="AJ543" s="1778" t="str">
        <f t="shared" si="645"/>
        <v>-</v>
      </c>
      <c r="AK543" s="1778" t="str">
        <f t="shared" si="645"/>
        <v>-</v>
      </c>
      <c r="AL543" s="1780" t="str">
        <f t="shared" si="645"/>
        <v>-</v>
      </c>
    </row>
    <row r="544" spans="8:78" ht="4.5" customHeight="1" x14ac:dyDescent="0.3">
      <c r="H544" s="1024"/>
      <c r="I544" s="997"/>
      <c r="J544" s="998"/>
      <c r="K544" s="609"/>
      <c r="L544" s="609"/>
      <c r="M544" s="610"/>
      <c r="N544" s="609"/>
      <c r="O544" s="609"/>
      <c r="P544" s="609"/>
      <c r="Q544" s="609"/>
      <c r="R544" s="1025"/>
      <c r="S544" s="1026"/>
      <c r="T544" s="1026"/>
      <c r="U544" s="1026"/>
      <c r="V544" s="1026"/>
      <c r="W544" s="1025"/>
      <c r="X544" s="1026"/>
      <c r="Y544" s="1026"/>
      <c r="Z544" s="1026"/>
      <c r="AA544" s="1026"/>
      <c r="AB544" s="1025"/>
      <c r="AC544" s="1026"/>
      <c r="AD544" s="1026"/>
      <c r="AE544" s="1026"/>
      <c r="AF544" s="1026"/>
      <c r="AG544" s="1027"/>
      <c r="AH544" s="1026"/>
      <c r="AI544" s="1026"/>
      <c r="AJ544" s="1026"/>
      <c r="AK544" s="1026"/>
      <c r="AL544" s="1027"/>
    </row>
    <row r="545" spans="8:78" s="285" customFormat="1" x14ac:dyDescent="0.3">
      <c r="H545" s="1018"/>
      <c r="I545" s="1059" t="s">
        <v>686</v>
      </c>
      <c r="J545" s="1060"/>
      <c r="K545" s="1812"/>
      <c r="L545" s="1812"/>
      <c r="M545" s="1813"/>
      <c r="N545" s="1812"/>
      <c r="O545" s="1812"/>
      <c r="P545" s="1812"/>
      <c r="Q545" s="1812"/>
      <c r="R545" s="1814"/>
      <c r="S545" s="1815"/>
      <c r="T545" s="1815"/>
      <c r="U545" s="1815"/>
      <c r="V545" s="1815"/>
      <c r="W545" s="1814" t="str">
        <f t="shared" ref="W545:AG545" si="649">IFERROR(W540+W542,"-")</f>
        <v>-</v>
      </c>
      <c r="X545" s="1815" t="str">
        <f t="shared" si="649"/>
        <v>-</v>
      </c>
      <c r="Y545" s="1815" t="str">
        <f t="shared" si="649"/>
        <v>-</v>
      </c>
      <c r="Z545" s="1815" t="str">
        <f t="shared" si="649"/>
        <v>-</v>
      </c>
      <c r="AA545" s="1815" t="str">
        <f t="shared" si="649"/>
        <v>-</v>
      </c>
      <c r="AB545" s="1814" t="str">
        <f t="shared" si="649"/>
        <v>-</v>
      </c>
      <c r="AC545" s="1815" t="str">
        <f t="shared" si="649"/>
        <v>-</v>
      </c>
      <c r="AD545" s="1815" t="str">
        <f t="shared" si="649"/>
        <v>-</v>
      </c>
      <c r="AE545" s="1815" t="str">
        <f t="shared" si="649"/>
        <v>-</v>
      </c>
      <c r="AF545" s="1815" t="str">
        <f t="shared" si="649"/>
        <v>-</v>
      </c>
      <c r="AG545" s="1816" t="str">
        <f t="shared" si="649"/>
        <v>-</v>
      </c>
      <c r="AH545" s="1815" t="str">
        <f t="shared" ref="AH545:AL546" si="650">IFERROR(AH540+AH542,"-")</f>
        <v>-</v>
      </c>
      <c r="AI545" s="1815" t="str">
        <f t="shared" si="650"/>
        <v>-</v>
      </c>
      <c r="AJ545" s="1815" t="str">
        <f t="shared" si="650"/>
        <v>-</v>
      </c>
      <c r="AK545" s="1815" t="str">
        <f t="shared" si="650"/>
        <v>-</v>
      </c>
      <c r="AL545" s="1816" t="str">
        <f t="shared" si="650"/>
        <v>-</v>
      </c>
      <c r="AN545" s="1036"/>
      <c r="AP545" s="73"/>
      <c r="AQ545" s="73"/>
      <c r="AR545" s="72"/>
      <c r="AS545" s="73"/>
      <c r="AT545" s="73"/>
      <c r="AU545" s="73"/>
      <c r="AV545" s="73"/>
      <c r="AW545" s="73"/>
      <c r="AX545" s="73"/>
      <c r="AY545" s="73"/>
      <c r="AZ545" s="73"/>
      <c r="BA545" s="73"/>
      <c r="BB545" s="73"/>
      <c r="BC545" s="73"/>
      <c r="BD545" s="73"/>
      <c r="BE545" s="73"/>
      <c r="BF545" s="73"/>
      <c r="BG545" s="73"/>
      <c r="BH545" s="126"/>
      <c r="BI545" s="73"/>
      <c r="BJ545" s="73"/>
      <c r="BK545" s="72"/>
      <c r="BL545" s="73"/>
      <c r="BM545" s="73"/>
      <c r="BN545" s="73"/>
      <c r="BO545" s="73"/>
      <c r="BP545" s="73"/>
      <c r="BQ545" s="73"/>
      <c r="BR545" s="73"/>
      <c r="BS545" s="73"/>
      <c r="BT545" s="73"/>
      <c r="BU545" s="73"/>
      <c r="BV545" s="73"/>
      <c r="BW545" s="73"/>
      <c r="BX545" s="73"/>
      <c r="BY545" s="73"/>
      <c r="BZ545" s="73"/>
    </row>
    <row r="546" spans="8:78" s="285" customFormat="1" x14ac:dyDescent="0.3">
      <c r="H546" s="1018"/>
      <c r="I546" s="1059" t="s">
        <v>689</v>
      </c>
      <c r="J546" s="1060"/>
      <c r="K546" s="1812"/>
      <c r="L546" s="1812"/>
      <c r="M546" s="1813"/>
      <c r="N546" s="1812"/>
      <c r="O546" s="1812"/>
      <c r="P546" s="1812"/>
      <c r="Q546" s="1812"/>
      <c r="R546" s="1814"/>
      <c r="S546" s="1815"/>
      <c r="T546" s="1815"/>
      <c r="U546" s="1815"/>
      <c r="V546" s="1815"/>
      <c r="W546" s="1814" t="str">
        <f t="shared" ref="W546:AG546" si="651">IFERROR(W541+W543,"-")</f>
        <v>-</v>
      </c>
      <c r="X546" s="1815" t="str">
        <f t="shared" si="651"/>
        <v>-</v>
      </c>
      <c r="Y546" s="1815" t="str">
        <f t="shared" si="651"/>
        <v>-</v>
      </c>
      <c r="Z546" s="1815" t="str">
        <f t="shared" si="651"/>
        <v>-</v>
      </c>
      <c r="AA546" s="1815" t="str">
        <f t="shared" si="651"/>
        <v>-</v>
      </c>
      <c r="AB546" s="1814" t="str">
        <f t="shared" si="651"/>
        <v>-</v>
      </c>
      <c r="AC546" s="1815" t="str">
        <f t="shared" si="651"/>
        <v>-</v>
      </c>
      <c r="AD546" s="1815" t="str">
        <f t="shared" si="651"/>
        <v>-</v>
      </c>
      <c r="AE546" s="1815" t="str">
        <f t="shared" si="651"/>
        <v>-</v>
      </c>
      <c r="AF546" s="1815" t="str">
        <f t="shared" si="651"/>
        <v>-</v>
      </c>
      <c r="AG546" s="1816" t="str">
        <f t="shared" si="651"/>
        <v>-</v>
      </c>
      <c r="AH546" s="1815" t="str">
        <f t="shared" si="650"/>
        <v>-</v>
      </c>
      <c r="AI546" s="1815" t="str">
        <f t="shared" si="650"/>
        <v>-</v>
      </c>
      <c r="AJ546" s="1815" t="str">
        <f t="shared" si="650"/>
        <v>-</v>
      </c>
      <c r="AK546" s="1815" t="str">
        <f t="shared" si="650"/>
        <v>-</v>
      </c>
      <c r="AL546" s="1816" t="str">
        <f t="shared" si="650"/>
        <v>-</v>
      </c>
      <c r="AN546" s="1036"/>
      <c r="AP546" s="73"/>
      <c r="AQ546" s="73"/>
      <c r="AR546" s="72"/>
      <c r="AS546" s="73"/>
      <c r="AT546" s="73"/>
      <c r="AU546" s="73"/>
      <c r="AV546" s="73"/>
      <c r="AW546" s="73"/>
      <c r="AX546" s="73"/>
      <c r="AY546" s="73"/>
      <c r="AZ546" s="73"/>
      <c r="BA546" s="73"/>
      <c r="BB546" s="73"/>
      <c r="BC546" s="73"/>
      <c r="BD546" s="73"/>
      <c r="BE546" s="73"/>
      <c r="BF546" s="73"/>
      <c r="BG546" s="73"/>
      <c r="BH546" s="126"/>
      <c r="BI546" s="73"/>
      <c r="BJ546" s="73"/>
      <c r="BK546" s="72"/>
      <c r="BL546" s="73"/>
      <c r="BM546" s="73"/>
      <c r="BN546" s="73"/>
      <c r="BO546" s="73"/>
      <c r="BP546" s="73"/>
      <c r="BQ546" s="73"/>
      <c r="BR546" s="73"/>
      <c r="BS546" s="73"/>
      <c r="BT546" s="73"/>
      <c r="BU546" s="73"/>
      <c r="BV546" s="73"/>
      <c r="BW546" s="73"/>
      <c r="BX546" s="73"/>
      <c r="BY546" s="73"/>
      <c r="BZ546" s="73"/>
    </row>
    <row r="547" spans="8:78" s="999" customFormat="1" x14ac:dyDescent="0.3">
      <c r="H547" s="1018"/>
      <c r="I547" s="1001"/>
      <c r="J547" s="1002"/>
      <c r="K547" s="1003"/>
      <c r="L547" s="1003"/>
      <c r="M547" s="1004"/>
      <c r="N547" s="1003"/>
      <c r="O547" s="1003"/>
      <c r="P547" s="1003"/>
      <c r="Q547" s="1003"/>
      <c r="R547" s="1005"/>
      <c r="S547" s="1006"/>
      <c r="T547" s="1006"/>
      <c r="U547" s="1006"/>
      <c r="V547" s="1006"/>
      <c r="W547" s="1005"/>
      <c r="X547" s="1006"/>
      <c r="Y547" s="1006"/>
      <c r="Z547" s="1006"/>
      <c r="AA547" s="1006"/>
      <c r="AB547" s="1005"/>
      <c r="AC547" s="1006"/>
      <c r="AD547" s="1006"/>
      <c r="AE547" s="1006"/>
      <c r="AF547" s="1006"/>
      <c r="AG547" s="1007"/>
      <c r="AH547" s="1006"/>
      <c r="AI547" s="1006"/>
      <c r="AJ547" s="1006"/>
      <c r="AK547" s="1006"/>
      <c r="AL547" s="1007"/>
      <c r="AN547" s="1013"/>
      <c r="AP547" s="73"/>
      <c r="AQ547" s="73"/>
      <c r="AR547" s="72"/>
      <c r="AS547" s="73"/>
      <c r="AT547" s="73"/>
      <c r="AU547" s="73"/>
      <c r="AV547" s="73"/>
      <c r="AW547" s="73"/>
      <c r="AX547" s="73"/>
      <c r="AY547" s="73"/>
      <c r="AZ547" s="73"/>
      <c r="BA547" s="73"/>
      <c r="BB547" s="73"/>
      <c r="BC547" s="73"/>
      <c r="BD547" s="73"/>
      <c r="BE547" s="73"/>
      <c r="BF547" s="73"/>
      <c r="BG547" s="73"/>
      <c r="BH547" s="126"/>
      <c r="BI547" s="73"/>
      <c r="BJ547" s="73"/>
      <c r="BK547" s="72"/>
      <c r="BL547" s="73"/>
      <c r="BM547" s="73"/>
      <c r="BN547" s="73"/>
      <c r="BO547" s="73"/>
      <c r="BP547" s="73"/>
      <c r="BQ547" s="73"/>
      <c r="BR547" s="73"/>
      <c r="BS547" s="73"/>
      <c r="BT547" s="73"/>
      <c r="BU547" s="73"/>
      <c r="BV547" s="73"/>
      <c r="BW547" s="73"/>
      <c r="BX547" s="73"/>
      <c r="BY547" s="73"/>
      <c r="BZ547" s="73"/>
    </row>
    <row r="548" spans="8:78" s="103" customFormat="1" x14ac:dyDescent="0.3">
      <c r="H548" s="1023"/>
      <c r="I548" s="1763" t="str">
        <f>I497</f>
        <v>Rural Water</v>
      </c>
      <c r="J548" s="1011"/>
      <c r="K548" s="1771"/>
      <c r="L548" s="1771"/>
      <c r="M548" s="1773"/>
      <c r="N548" s="1771"/>
      <c r="O548" s="1771"/>
      <c r="P548" s="1771"/>
      <c r="Q548" s="1771"/>
      <c r="R548" s="1775"/>
      <c r="S548" s="1774"/>
      <c r="T548" s="1774"/>
      <c r="U548" s="1774"/>
      <c r="V548" s="1774"/>
      <c r="W548" s="1775" t="str">
        <f t="shared" ref="W548:AG548" si="652">IFERROR(W497/W$509,"-")</f>
        <v>-</v>
      </c>
      <c r="X548" s="1774" t="str">
        <f t="shared" si="652"/>
        <v>-</v>
      </c>
      <c r="Y548" s="1774" t="str">
        <f t="shared" si="652"/>
        <v>-</v>
      </c>
      <c r="Z548" s="1774" t="str">
        <f t="shared" si="652"/>
        <v>-</v>
      </c>
      <c r="AA548" s="1774" t="str">
        <f t="shared" si="652"/>
        <v>-</v>
      </c>
      <c r="AB548" s="1775" t="str">
        <f t="shared" si="652"/>
        <v>-</v>
      </c>
      <c r="AC548" s="1774" t="str">
        <f t="shared" si="652"/>
        <v>-</v>
      </c>
      <c r="AD548" s="1774" t="str">
        <f t="shared" si="652"/>
        <v>-</v>
      </c>
      <c r="AE548" s="1774" t="str">
        <f t="shared" si="652"/>
        <v>-</v>
      </c>
      <c r="AF548" s="1774" t="str">
        <f t="shared" si="652"/>
        <v>-</v>
      </c>
      <c r="AG548" s="1776" t="str">
        <f t="shared" si="652"/>
        <v>-</v>
      </c>
      <c r="AH548" s="1774" t="str">
        <f>IFERROR(AH497/AH$509,"-")</f>
        <v>-</v>
      </c>
      <c r="AI548" s="1774" t="str">
        <f>IFERROR(AI497/AI$509,"-")</f>
        <v>-</v>
      </c>
      <c r="AJ548" s="1774" t="str">
        <f>IFERROR(AJ497/AJ$509,"-")</f>
        <v>-</v>
      </c>
      <c r="AK548" s="1774" t="str">
        <f>IFERROR(AK497/AK$509,"-")</f>
        <v>-</v>
      </c>
      <c r="AL548" s="1776" t="str">
        <f>IFERROR(AL497/AL$509,"-")</f>
        <v>-</v>
      </c>
      <c r="AN548" s="1010"/>
      <c r="AP548" s="73"/>
      <c r="AQ548" s="73"/>
      <c r="AR548" s="72"/>
      <c r="AS548" s="73"/>
      <c r="AT548" s="73"/>
      <c r="AU548" s="73"/>
      <c r="AV548" s="73"/>
      <c r="AW548" s="73"/>
      <c r="AX548" s="73"/>
      <c r="AY548" s="73"/>
      <c r="AZ548" s="73"/>
      <c r="BA548" s="73"/>
      <c r="BB548" s="73"/>
      <c r="BC548" s="73"/>
      <c r="BD548" s="73"/>
      <c r="BE548" s="73"/>
      <c r="BF548" s="73"/>
      <c r="BG548" s="73"/>
      <c r="BH548" s="126"/>
      <c r="BI548" s="73"/>
      <c r="BJ548" s="73"/>
      <c r="BK548" s="72"/>
      <c r="BL548" s="73"/>
      <c r="BM548" s="73"/>
      <c r="BN548" s="73"/>
      <c r="BO548" s="73"/>
      <c r="BP548" s="73"/>
      <c r="BQ548" s="73"/>
      <c r="BR548" s="73"/>
      <c r="BS548" s="73"/>
      <c r="BT548" s="73"/>
      <c r="BU548" s="73"/>
      <c r="BV548" s="73"/>
      <c r="BW548" s="73"/>
      <c r="BX548" s="73"/>
      <c r="BY548" s="73"/>
      <c r="BZ548" s="73"/>
    </row>
    <row r="549" spans="8:78" x14ac:dyDescent="0.3">
      <c r="H549" s="1028"/>
      <c r="I549" s="1756" t="str">
        <f>I498</f>
        <v>Price cap - Fixed</v>
      </c>
      <c r="J549" s="998"/>
      <c r="K549" s="1772"/>
      <c r="L549" s="1772"/>
      <c r="M549" s="1777"/>
      <c r="N549" s="1772"/>
      <c r="O549" s="1772"/>
      <c r="P549" s="1772"/>
      <c r="Q549" s="1772"/>
      <c r="R549" s="1779"/>
      <c r="S549" s="1778"/>
      <c r="T549" s="1778"/>
      <c r="U549" s="1778"/>
      <c r="V549" s="1778"/>
      <c r="W549" s="1779" t="str">
        <f t="shared" ref="W549:AG549" si="653">IFERROR(W498/W$497,"-")</f>
        <v>-</v>
      </c>
      <c r="X549" s="1778" t="str">
        <f t="shared" si="653"/>
        <v>-</v>
      </c>
      <c r="Y549" s="1778" t="str">
        <f t="shared" si="653"/>
        <v>-</v>
      </c>
      <c r="Z549" s="1778" t="str">
        <f t="shared" si="653"/>
        <v>-</v>
      </c>
      <c r="AA549" s="1778" t="str">
        <f t="shared" si="653"/>
        <v>-</v>
      </c>
      <c r="AB549" s="1779" t="str">
        <f t="shared" si="653"/>
        <v>-</v>
      </c>
      <c r="AC549" s="1778" t="str">
        <f t="shared" si="653"/>
        <v>-</v>
      </c>
      <c r="AD549" s="1778" t="str">
        <f t="shared" si="653"/>
        <v>-</v>
      </c>
      <c r="AE549" s="1778" t="str">
        <f t="shared" si="653"/>
        <v>-</v>
      </c>
      <c r="AF549" s="1778" t="str">
        <f t="shared" si="653"/>
        <v>-</v>
      </c>
      <c r="AG549" s="1780" t="str">
        <f t="shared" si="653"/>
        <v>-</v>
      </c>
      <c r="AH549" s="1778" t="str">
        <f t="shared" ref="AH549:AL552" si="654">IFERROR(AH498/AH$497,"-")</f>
        <v>-</v>
      </c>
      <c r="AI549" s="1778" t="str">
        <f t="shared" si="654"/>
        <v>-</v>
      </c>
      <c r="AJ549" s="1778" t="str">
        <f t="shared" si="654"/>
        <v>-</v>
      </c>
      <c r="AK549" s="1778" t="str">
        <f t="shared" si="654"/>
        <v>-</v>
      </c>
      <c r="AL549" s="1780" t="str">
        <f t="shared" si="654"/>
        <v>-</v>
      </c>
    </row>
    <row r="550" spans="8:78" x14ac:dyDescent="0.3">
      <c r="H550" s="1028"/>
      <c r="I550" s="1756" t="str">
        <f>I499</f>
        <v xml:space="preserve">Price cap - Variable </v>
      </c>
      <c r="J550" s="998"/>
      <c r="K550" s="1772"/>
      <c r="L550" s="1772"/>
      <c r="M550" s="1777"/>
      <c r="N550" s="1772"/>
      <c r="O550" s="1772"/>
      <c r="P550" s="1772"/>
      <c r="Q550" s="1772"/>
      <c r="R550" s="1779"/>
      <c r="S550" s="1778"/>
      <c r="T550" s="1778"/>
      <c r="U550" s="1778"/>
      <c r="V550" s="1778"/>
      <c r="W550" s="1779" t="str">
        <f t="shared" ref="W550:AG550" si="655">IFERROR(W499/W$497,"-")</f>
        <v>-</v>
      </c>
      <c r="X550" s="1778" t="str">
        <f t="shared" si="655"/>
        <v>-</v>
      </c>
      <c r="Y550" s="1778" t="str">
        <f t="shared" si="655"/>
        <v>-</v>
      </c>
      <c r="Z550" s="1778" t="str">
        <f t="shared" si="655"/>
        <v>-</v>
      </c>
      <c r="AA550" s="1778" t="str">
        <f t="shared" si="655"/>
        <v>-</v>
      </c>
      <c r="AB550" s="1779" t="str">
        <f t="shared" si="655"/>
        <v>-</v>
      </c>
      <c r="AC550" s="1778" t="str">
        <f t="shared" si="655"/>
        <v>-</v>
      </c>
      <c r="AD550" s="1778" t="str">
        <f t="shared" si="655"/>
        <v>-</v>
      </c>
      <c r="AE550" s="1778" t="str">
        <f t="shared" si="655"/>
        <v>-</v>
      </c>
      <c r="AF550" s="1778" t="str">
        <f t="shared" si="655"/>
        <v>-</v>
      </c>
      <c r="AG550" s="1780" t="str">
        <f t="shared" si="655"/>
        <v>-</v>
      </c>
      <c r="AH550" s="1778" t="str">
        <f t="shared" si="654"/>
        <v>-</v>
      </c>
      <c r="AI550" s="1778" t="str">
        <f t="shared" si="654"/>
        <v>-</v>
      </c>
      <c r="AJ550" s="1778" t="str">
        <f t="shared" si="654"/>
        <v>-</v>
      </c>
      <c r="AK550" s="1778" t="str">
        <f t="shared" si="654"/>
        <v>-</v>
      </c>
      <c r="AL550" s="1780" t="str">
        <f t="shared" si="654"/>
        <v>-</v>
      </c>
    </row>
    <row r="551" spans="8:78" x14ac:dyDescent="0.3">
      <c r="H551" s="1028"/>
      <c r="I551" s="1756" t="str">
        <f>I500</f>
        <v xml:space="preserve">Revenue cap - Fixed </v>
      </c>
      <c r="J551" s="998"/>
      <c r="K551" s="1772"/>
      <c r="L551" s="1772"/>
      <c r="M551" s="1777"/>
      <c r="N551" s="1772"/>
      <c r="O551" s="1772"/>
      <c r="P551" s="1772"/>
      <c r="Q551" s="1772"/>
      <c r="R551" s="1779"/>
      <c r="S551" s="1778"/>
      <c r="T551" s="1778"/>
      <c r="U551" s="1778"/>
      <c r="V551" s="1778"/>
      <c r="W551" s="1779" t="str">
        <f t="shared" ref="W551:AG551" si="656">IFERROR(W500/W$497,"-")</f>
        <v>-</v>
      </c>
      <c r="X551" s="1778" t="str">
        <f t="shared" si="656"/>
        <v>-</v>
      </c>
      <c r="Y551" s="1778" t="str">
        <f t="shared" si="656"/>
        <v>-</v>
      </c>
      <c r="Z551" s="1778" t="str">
        <f t="shared" si="656"/>
        <v>-</v>
      </c>
      <c r="AA551" s="1778" t="str">
        <f t="shared" si="656"/>
        <v>-</v>
      </c>
      <c r="AB551" s="1779" t="str">
        <f t="shared" si="656"/>
        <v>-</v>
      </c>
      <c r="AC551" s="1778" t="str">
        <f t="shared" si="656"/>
        <v>-</v>
      </c>
      <c r="AD551" s="1778" t="str">
        <f t="shared" si="656"/>
        <v>-</v>
      </c>
      <c r="AE551" s="1778" t="str">
        <f t="shared" si="656"/>
        <v>-</v>
      </c>
      <c r="AF551" s="1778" t="str">
        <f t="shared" si="656"/>
        <v>-</v>
      </c>
      <c r="AG551" s="1780" t="str">
        <f t="shared" si="656"/>
        <v>-</v>
      </c>
      <c r="AH551" s="1778" t="str">
        <f t="shared" si="654"/>
        <v>-</v>
      </c>
      <c r="AI551" s="1778" t="str">
        <f t="shared" si="654"/>
        <v>-</v>
      </c>
      <c r="AJ551" s="1778" t="str">
        <f t="shared" si="654"/>
        <v>-</v>
      </c>
      <c r="AK551" s="1778" t="str">
        <f t="shared" si="654"/>
        <v>-</v>
      </c>
      <c r="AL551" s="1780" t="str">
        <f t="shared" si="654"/>
        <v>-</v>
      </c>
    </row>
    <row r="552" spans="8:78" x14ac:dyDescent="0.3">
      <c r="H552" s="1028"/>
      <c r="I552" s="1756" t="str">
        <f>I501</f>
        <v>Revenue cap - Variable</v>
      </c>
      <c r="J552" s="998"/>
      <c r="K552" s="1772"/>
      <c r="L552" s="1772"/>
      <c r="M552" s="1777"/>
      <c r="N552" s="1772"/>
      <c r="O552" s="1772"/>
      <c r="P552" s="1772"/>
      <c r="Q552" s="1772"/>
      <c r="R552" s="1779"/>
      <c r="S552" s="1778"/>
      <c r="T552" s="1778"/>
      <c r="U552" s="1778"/>
      <c r="V552" s="1778"/>
      <c r="W552" s="1779" t="str">
        <f t="shared" ref="W552:AG552" si="657">IFERROR(W501/W$497,"-")</f>
        <v>-</v>
      </c>
      <c r="X552" s="1778" t="str">
        <f t="shared" si="657"/>
        <v>-</v>
      </c>
      <c r="Y552" s="1778" t="str">
        <f t="shared" si="657"/>
        <v>-</v>
      </c>
      <c r="Z552" s="1778" t="str">
        <f t="shared" si="657"/>
        <v>-</v>
      </c>
      <c r="AA552" s="1778" t="str">
        <f t="shared" si="657"/>
        <v>-</v>
      </c>
      <c r="AB552" s="1779" t="str">
        <f t="shared" si="657"/>
        <v>-</v>
      </c>
      <c r="AC552" s="1778" t="str">
        <f t="shared" si="657"/>
        <v>-</v>
      </c>
      <c r="AD552" s="1778" t="str">
        <f t="shared" si="657"/>
        <v>-</v>
      </c>
      <c r="AE552" s="1778" t="str">
        <f t="shared" si="657"/>
        <v>-</v>
      </c>
      <c r="AF552" s="1778" t="str">
        <f t="shared" si="657"/>
        <v>-</v>
      </c>
      <c r="AG552" s="1780" t="str">
        <f t="shared" si="657"/>
        <v>-</v>
      </c>
      <c r="AH552" s="1778" t="str">
        <f t="shared" si="654"/>
        <v>-</v>
      </c>
      <c r="AI552" s="1778" t="str">
        <f t="shared" si="654"/>
        <v>-</v>
      </c>
      <c r="AJ552" s="1778" t="str">
        <f t="shared" si="654"/>
        <v>-</v>
      </c>
      <c r="AK552" s="1778" t="str">
        <f t="shared" si="654"/>
        <v>-</v>
      </c>
      <c r="AL552" s="1780" t="str">
        <f t="shared" si="654"/>
        <v>-</v>
      </c>
    </row>
    <row r="553" spans="8:78" ht="4.5" customHeight="1" x14ac:dyDescent="0.3">
      <c r="H553" s="1024"/>
      <c r="I553" s="997"/>
      <c r="J553" s="998"/>
      <c r="K553" s="609"/>
      <c r="L553" s="609"/>
      <c r="M553" s="610"/>
      <c r="N553" s="609"/>
      <c r="O553" s="609"/>
      <c r="P553" s="609"/>
      <c r="Q553" s="609"/>
      <c r="R553" s="1025"/>
      <c r="S553" s="1026"/>
      <c r="T553" s="1026"/>
      <c r="U553" s="1026"/>
      <c r="V553" s="1026"/>
      <c r="W553" s="1025"/>
      <c r="X553" s="1026"/>
      <c r="Y553" s="1026"/>
      <c r="Z553" s="1026"/>
      <c r="AA553" s="1026"/>
      <c r="AB553" s="1025"/>
      <c r="AC553" s="1026"/>
      <c r="AD553" s="1026"/>
      <c r="AE553" s="1026"/>
      <c r="AF553" s="1026"/>
      <c r="AG553" s="1027"/>
      <c r="AH553" s="1026"/>
      <c r="AI553" s="1026"/>
      <c r="AJ553" s="1026"/>
      <c r="AK553" s="1026"/>
      <c r="AL553" s="1027"/>
    </row>
    <row r="554" spans="8:78" s="285" customFormat="1" x14ac:dyDescent="0.3">
      <c r="H554" s="1018"/>
      <c r="I554" s="1059" t="s">
        <v>686</v>
      </c>
      <c r="J554" s="1060"/>
      <c r="K554" s="1812"/>
      <c r="L554" s="1812"/>
      <c r="M554" s="1813"/>
      <c r="N554" s="1812"/>
      <c r="O554" s="1812"/>
      <c r="P554" s="1812"/>
      <c r="Q554" s="1812"/>
      <c r="R554" s="1814"/>
      <c r="S554" s="1815"/>
      <c r="T554" s="1815"/>
      <c r="U554" s="1815"/>
      <c r="V554" s="1815"/>
      <c r="W554" s="1814" t="str">
        <f t="shared" ref="W554:AG554" si="658">IFERROR(W549+W551,"-")</f>
        <v>-</v>
      </c>
      <c r="X554" s="1815" t="str">
        <f t="shared" si="658"/>
        <v>-</v>
      </c>
      <c r="Y554" s="1815" t="str">
        <f t="shared" si="658"/>
        <v>-</v>
      </c>
      <c r="Z554" s="1815" t="str">
        <f t="shared" si="658"/>
        <v>-</v>
      </c>
      <c r="AA554" s="1815" t="str">
        <f t="shared" si="658"/>
        <v>-</v>
      </c>
      <c r="AB554" s="1814" t="str">
        <f t="shared" si="658"/>
        <v>-</v>
      </c>
      <c r="AC554" s="1815" t="str">
        <f t="shared" si="658"/>
        <v>-</v>
      </c>
      <c r="AD554" s="1815" t="str">
        <f t="shared" si="658"/>
        <v>-</v>
      </c>
      <c r="AE554" s="1815" t="str">
        <f t="shared" si="658"/>
        <v>-</v>
      </c>
      <c r="AF554" s="1815" t="str">
        <f t="shared" si="658"/>
        <v>-</v>
      </c>
      <c r="AG554" s="1816" t="str">
        <f t="shared" si="658"/>
        <v>-</v>
      </c>
      <c r="AH554" s="1815" t="str">
        <f t="shared" ref="AH554:AL555" si="659">IFERROR(AH549+AH551,"-")</f>
        <v>-</v>
      </c>
      <c r="AI554" s="1815" t="str">
        <f t="shared" si="659"/>
        <v>-</v>
      </c>
      <c r="AJ554" s="1815" t="str">
        <f t="shared" si="659"/>
        <v>-</v>
      </c>
      <c r="AK554" s="1815" t="str">
        <f t="shared" si="659"/>
        <v>-</v>
      </c>
      <c r="AL554" s="1816" t="str">
        <f t="shared" si="659"/>
        <v>-</v>
      </c>
      <c r="AN554" s="1036"/>
      <c r="AP554" s="73"/>
      <c r="AQ554" s="73"/>
      <c r="AR554" s="72"/>
      <c r="AS554" s="73"/>
      <c r="AT554" s="73"/>
      <c r="AU554" s="73"/>
      <c r="AV554" s="73"/>
      <c r="AW554" s="73"/>
      <c r="AX554" s="73"/>
      <c r="AY554" s="73"/>
      <c r="AZ554" s="73"/>
      <c r="BA554" s="73"/>
      <c r="BB554" s="73"/>
      <c r="BC554" s="73"/>
      <c r="BD554" s="73"/>
      <c r="BE554" s="73"/>
      <c r="BF554" s="73"/>
      <c r="BG554" s="73"/>
      <c r="BH554" s="126"/>
      <c r="BI554" s="73"/>
      <c r="BJ554" s="73"/>
      <c r="BK554" s="72"/>
      <c r="BL554" s="73"/>
      <c r="BM554" s="73"/>
      <c r="BN554" s="73"/>
      <c r="BO554" s="73"/>
      <c r="BP554" s="73"/>
      <c r="BQ554" s="73"/>
      <c r="BR554" s="73"/>
      <c r="BS554" s="73"/>
      <c r="BT554" s="73"/>
      <c r="BU554" s="73"/>
      <c r="BV554" s="73"/>
      <c r="BW554" s="73"/>
      <c r="BX554" s="73"/>
      <c r="BY554" s="73"/>
      <c r="BZ554" s="73"/>
    </row>
    <row r="555" spans="8:78" s="285" customFormat="1" x14ac:dyDescent="0.3">
      <c r="H555" s="1018"/>
      <c r="I555" s="1059" t="s">
        <v>689</v>
      </c>
      <c r="J555" s="1060"/>
      <c r="K555" s="1812"/>
      <c r="L555" s="1812"/>
      <c r="M555" s="1813"/>
      <c r="N555" s="1812"/>
      <c r="O555" s="1812"/>
      <c r="P555" s="1812"/>
      <c r="Q555" s="1812"/>
      <c r="R555" s="1814"/>
      <c r="S555" s="1815"/>
      <c r="T555" s="1815"/>
      <c r="U555" s="1815"/>
      <c r="V555" s="1815"/>
      <c r="W555" s="1814" t="str">
        <f t="shared" ref="W555:AG555" si="660">IFERROR(W550+W552,"-")</f>
        <v>-</v>
      </c>
      <c r="X555" s="1815" t="str">
        <f t="shared" si="660"/>
        <v>-</v>
      </c>
      <c r="Y555" s="1815" t="str">
        <f t="shared" si="660"/>
        <v>-</v>
      </c>
      <c r="Z555" s="1815" t="str">
        <f t="shared" si="660"/>
        <v>-</v>
      </c>
      <c r="AA555" s="1815" t="str">
        <f t="shared" si="660"/>
        <v>-</v>
      </c>
      <c r="AB555" s="1814" t="str">
        <f t="shared" si="660"/>
        <v>-</v>
      </c>
      <c r="AC555" s="1815" t="str">
        <f t="shared" si="660"/>
        <v>-</v>
      </c>
      <c r="AD555" s="1815" t="str">
        <f t="shared" si="660"/>
        <v>-</v>
      </c>
      <c r="AE555" s="1815" t="str">
        <f t="shared" si="660"/>
        <v>-</v>
      </c>
      <c r="AF555" s="1815" t="str">
        <f t="shared" si="660"/>
        <v>-</v>
      </c>
      <c r="AG555" s="1816" t="str">
        <f t="shared" si="660"/>
        <v>-</v>
      </c>
      <c r="AH555" s="1815" t="str">
        <f t="shared" si="659"/>
        <v>-</v>
      </c>
      <c r="AI555" s="1815" t="str">
        <f t="shared" si="659"/>
        <v>-</v>
      </c>
      <c r="AJ555" s="1815" t="str">
        <f t="shared" si="659"/>
        <v>-</v>
      </c>
      <c r="AK555" s="1815" t="str">
        <f t="shared" si="659"/>
        <v>-</v>
      </c>
      <c r="AL555" s="1816" t="str">
        <f t="shared" si="659"/>
        <v>-</v>
      </c>
      <c r="AN555" s="1036"/>
      <c r="AP555" s="73"/>
      <c r="AQ555" s="73"/>
      <c r="AR555" s="72"/>
      <c r="AS555" s="73"/>
      <c r="AT555" s="73"/>
      <c r="AU555" s="73"/>
      <c r="AV555" s="73"/>
      <c r="AW555" s="73"/>
      <c r="AX555" s="73"/>
      <c r="AY555" s="73"/>
      <c r="AZ555" s="73"/>
      <c r="BA555" s="73"/>
      <c r="BB555" s="73"/>
      <c r="BC555" s="73"/>
      <c r="BD555" s="73"/>
      <c r="BE555" s="73"/>
      <c r="BF555" s="73"/>
      <c r="BG555" s="73"/>
      <c r="BH555" s="126"/>
      <c r="BI555" s="73"/>
      <c r="BJ555" s="73"/>
      <c r="BK555" s="72"/>
      <c r="BL555" s="73"/>
      <c r="BM555" s="73"/>
      <c r="BN555" s="73"/>
      <c r="BO555" s="73"/>
      <c r="BP555" s="73"/>
      <c r="BQ555" s="73"/>
      <c r="BR555" s="73"/>
      <c r="BS555" s="73"/>
      <c r="BT555" s="73"/>
      <c r="BU555" s="73"/>
      <c r="BV555" s="73"/>
      <c r="BW555" s="73"/>
      <c r="BX555" s="73"/>
      <c r="BY555" s="73"/>
      <c r="BZ555" s="73"/>
    </row>
    <row r="556" spans="8:78" s="999" customFormat="1" x14ac:dyDescent="0.3">
      <c r="H556" s="1018"/>
      <c r="I556" s="1001"/>
      <c r="J556" s="1002"/>
      <c r="K556" s="1003"/>
      <c r="L556" s="1003"/>
      <c r="M556" s="1004"/>
      <c r="N556" s="1003"/>
      <c r="O556" s="1003"/>
      <c r="P556" s="1003"/>
      <c r="Q556" s="1003"/>
      <c r="R556" s="1005"/>
      <c r="S556" s="1006"/>
      <c r="T556" s="1006"/>
      <c r="U556" s="1006"/>
      <c r="V556" s="1006"/>
      <c r="W556" s="1005"/>
      <c r="X556" s="1006"/>
      <c r="Y556" s="1006"/>
      <c r="Z556" s="1006"/>
      <c r="AA556" s="1006"/>
      <c r="AB556" s="1005"/>
      <c r="AC556" s="1006"/>
      <c r="AD556" s="1006"/>
      <c r="AE556" s="1006"/>
      <c r="AF556" s="1006"/>
      <c r="AG556" s="1007"/>
      <c r="AH556" s="1006"/>
      <c r="AI556" s="1006"/>
      <c r="AJ556" s="1006"/>
      <c r="AK556" s="1006"/>
      <c r="AL556" s="1007"/>
      <c r="AN556" s="1013"/>
      <c r="AP556" s="73"/>
      <c r="AQ556" s="73"/>
      <c r="AR556" s="72"/>
      <c r="AS556" s="73"/>
      <c r="AT556" s="73"/>
      <c r="AU556" s="73"/>
      <c r="AV556" s="73"/>
      <c r="AW556" s="73"/>
      <c r="AX556" s="73"/>
      <c r="AY556" s="73"/>
      <c r="AZ556" s="73"/>
      <c r="BA556" s="73"/>
      <c r="BB556" s="73"/>
      <c r="BC556" s="73"/>
      <c r="BD556" s="73"/>
      <c r="BE556" s="73"/>
      <c r="BF556" s="73"/>
      <c r="BG556" s="73"/>
      <c r="BH556" s="126"/>
      <c r="BI556" s="73"/>
      <c r="BJ556" s="73"/>
      <c r="BK556" s="72"/>
      <c r="BL556" s="73"/>
      <c r="BM556" s="73"/>
      <c r="BN556" s="73"/>
      <c r="BO556" s="73"/>
      <c r="BP556" s="73"/>
      <c r="BQ556" s="73"/>
      <c r="BR556" s="73"/>
      <c r="BS556" s="73"/>
      <c r="BT556" s="73"/>
      <c r="BU556" s="73"/>
      <c r="BV556" s="73"/>
      <c r="BW556" s="73"/>
      <c r="BX556" s="73"/>
      <c r="BY556" s="73"/>
      <c r="BZ556" s="73"/>
    </row>
    <row r="557" spans="8:78" s="103" customFormat="1" x14ac:dyDescent="0.3">
      <c r="H557" s="1023"/>
      <c r="I557" s="1763" t="str">
        <f>I503</f>
        <v>Bulk Water</v>
      </c>
      <c r="J557" s="1011"/>
      <c r="K557" s="1771"/>
      <c r="L557" s="1771"/>
      <c r="M557" s="1773"/>
      <c r="N557" s="1771"/>
      <c r="O557" s="1771"/>
      <c r="P557" s="1771"/>
      <c r="Q557" s="1771"/>
      <c r="R557" s="1775"/>
      <c r="S557" s="1774"/>
      <c r="T557" s="1774"/>
      <c r="U557" s="1774"/>
      <c r="V557" s="1774"/>
      <c r="W557" s="1775" t="str">
        <f t="shared" ref="W557:AG557" si="661">IFERROR(W503/W$509,"-")</f>
        <v>-</v>
      </c>
      <c r="X557" s="1774" t="str">
        <f t="shared" si="661"/>
        <v>-</v>
      </c>
      <c r="Y557" s="1774" t="str">
        <f t="shared" si="661"/>
        <v>-</v>
      </c>
      <c r="Z557" s="1774" t="str">
        <f t="shared" si="661"/>
        <v>-</v>
      </c>
      <c r="AA557" s="1774" t="str">
        <f t="shared" si="661"/>
        <v>-</v>
      </c>
      <c r="AB557" s="1775" t="str">
        <f t="shared" si="661"/>
        <v>-</v>
      </c>
      <c r="AC557" s="1774" t="str">
        <f t="shared" si="661"/>
        <v>-</v>
      </c>
      <c r="AD557" s="1774" t="str">
        <f t="shared" si="661"/>
        <v>-</v>
      </c>
      <c r="AE557" s="1774" t="str">
        <f t="shared" si="661"/>
        <v>-</v>
      </c>
      <c r="AF557" s="1774" t="str">
        <f t="shared" si="661"/>
        <v>-</v>
      </c>
      <c r="AG557" s="1776" t="str">
        <f t="shared" si="661"/>
        <v>-</v>
      </c>
      <c r="AH557" s="1774" t="str">
        <f>IFERROR(AH503/AH$509,"-")</f>
        <v>-</v>
      </c>
      <c r="AI557" s="1774" t="str">
        <f>IFERROR(AI503/AI$509,"-")</f>
        <v>-</v>
      </c>
      <c r="AJ557" s="1774" t="str">
        <f>IFERROR(AJ503/AJ$509,"-")</f>
        <v>-</v>
      </c>
      <c r="AK557" s="1774" t="str">
        <f>IFERROR(AK503/AK$509,"-")</f>
        <v>-</v>
      </c>
      <c r="AL557" s="1776" t="str">
        <f>IFERROR(AL503/AL$509,"-")</f>
        <v>-</v>
      </c>
      <c r="AN557" s="1010"/>
      <c r="AP557" s="73"/>
      <c r="AQ557" s="73"/>
      <c r="AR557" s="72"/>
      <c r="AS557" s="73"/>
      <c r="AT557" s="73"/>
      <c r="AU557" s="73"/>
      <c r="AV557" s="73"/>
      <c r="AW557" s="73"/>
      <c r="AX557" s="73"/>
      <c r="AY557" s="73"/>
      <c r="AZ557" s="73"/>
      <c r="BA557" s="73"/>
      <c r="BB557" s="73"/>
      <c r="BC557" s="73"/>
      <c r="BD557" s="73"/>
      <c r="BE557" s="73"/>
      <c r="BF557" s="73"/>
      <c r="BG557" s="73"/>
      <c r="BH557" s="126"/>
      <c r="BI557" s="73"/>
      <c r="BJ557" s="73"/>
      <c r="BK557" s="72"/>
      <c r="BL557" s="73"/>
      <c r="BM557" s="73"/>
      <c r="BN557" s="73"/>
      <c r="BO557" s="73"/>
      <c r="BP557" s="73"/>
      <c r="BQ557" s="73"/>
      <c r="BR557" s="73"/>
      <c r="BS557" s="73"/>
      <c r="BT557" s="73"/>
      <c r="BU557" s="73"/>
      <c r="BV557" s="73"/>
      <c r="BW557" s="73"/>
      <c r="BX557" s="73"/>
      <c r="BY557" s="73"/>
      <c r="BZ557" s="73"/>
    </row>
    <row r="558" spans="8:78" x14ac:dyDescent="0.3">
      <c r="H558" s="1028"/>
      <c r="I558" s="1756" t="str">
        <f>I504</f>
        <v>Price cap - Fixed</v>
      </c>
      <c r="J558" s="998"/>
      <c r="K558" s="1772"/>
      <c r="L558" s="1772"/>
      <c r="M558" s="1777"/>
      <c r="N558" s="1772"/>
      <c r="O558" s="1772"/>
      <c r="P558" s="1772"/>
      <c r="Q558" s="1772"/>
      <c r="R558" s="1779"/>
      <c r="S558" s="1778"/>
      <c r="T558" s="1778"/>
      <c r="U558" s="1778"/>
      <c r="V558" s="1778"/>
      <c r="W558" s="1779" t="str">
        <f t="shared" ref="W558:AG558" si="662">IFERROR(W504/W$503,"-")</f>
        <v>-</v>
      </c>
      <c r="X558" s="1778" t="str">
        <f t="shared" si="662"/>
        <v>-</v>
      </c>
      <c r="Y558" s="1778" t="str">
        <f t="shared" si="662"/>
        <v>-</v>
      </c>
      <c r="Z558" s="1778" t="str">
        <f t="shared" si="662"/>
        <v>-</v>
      </c>
      <c r="AA558" s="1778" t="str">
        <f t="shared" si="662"/>
        <v>-</v>
      </c>
      <c r="AB558" s="1779" t="str">
        <f t="shared" si="662"/>
        <v>-</v>
      </c>
      <c r="AC558" s="1778" t="str">
        <f t="shared" si="662"/>
        <v>-</v>
      </c>
      <c r="AD558" s="1778" t="str">
        <f t="shared" si="662"/>
        <v>-</v>
      </c>
      <c r="AE558" s="1778" t="str">
        <f t="shared" si="662"/>
        <v>-</v>
      </c>
      <c r="AF558" s="1778" t="str">
        <f t="shared" si="662"/>
        <v>-</v>
      </c>
      <c r="AG558" s="1780" t="str">
        <f t="shared" si="662"/>
        <v>-</v>
      </c>
      <c r="AH558" s="1778" t="str">
        <f t="shared" ref="AH558:AL561" si="663">IFERROR(AH504/AH$503,"-")</f>
        <v>-</v>
      </c>
      <c r="AI558" s="1778" t="str">
        <f t="shared" si="663"/>
        <v>-</v>
      </c>
      <c r="AJ558" s="1778" t="str">
        <f t="shared" si="663"/>
        <v>-</v>
      </c>
      <c r="AK558" s="1778" t="str">
        <f t="shared" si="663"/>
        <v>-</v>
      </c>
      <c r="AL558" s="1780" t="str">
        <f t="shared" si="663"/>
        <v>-</v>
      </c>
    </row>
    <row r="559" spans="8:78" x14ac:dyDescent="0.3">
      <c r="H559" s="1028"/>
      <c r="I559" s="1756" t="str">
        <f>I505</f>
        <v xml:space="preserve">Price cap - Variable </v>
      </c>
      <c r="J559" s="998"/>
      <c r="K559" s="1772"/>
      <c r="L559" s="1772"/>
      <c r="M559" s="1777"/>
      <c r="N559" s="1772"/>
      <c r="O559" s="1772"/>
      <c r="P559" s="1772"/>
      <c r="Q559" s="1772"/>
      <c r="R559" s="1779"/>
      <c r="S559" s="1778"/>
      <c r="T559" s="1778"/>
      <c r="U559" s="1778"/>
      <c r="V559" s="1778"/>
      <c r="W559" s="1779" t="str">
        <f t="shared" ref="W559:AG559" si="664">IFERROR(W505/W$503,"-")</f>
        <v>-</v>
      </c>
      <c r="X559" s="1778" t="str">
        <f t="shared" si="664"/>
        <v>-</v>
      </c>
      <c r="Y559" s="1778" t="str">
        <f t="shared" si="664"/>
        <v>-</v>
      </c>
      <c r="Z559" s="1778" t="str">
        <f t="shared" si="664"/>
        <v>-</v>
      </c>
      <c r="AA559" s="1778" t="str">
        <f t="shared" si="664"/>
        <v>-</v>
      </c>
      <c r="AB559" s="1779" t="str">
        <f t="shared" si="664"/>
        <v>-</v>
      </c>
      <c r="AC559" s="1778" t="str">
        <f t="shared" si="664"/>
        <v>-</v>
      </c>
      <c r="AD559" s="1778" t="str">
        <f t="shared" si="664"/>
        <v>-</v>
      </c>
      <c r="AE559" s="1778" t="str">
        <f t="shared" si="664"/>
        <v>-</v>
      </c>
      <c r="AF559" s="1778" t="str">
        <f t="shared" si="664"/>
        <v>-</v>
      </c>
      <c r="AG559" s="1780" t="str">
        <f t="shared" si="664"/>
        <v>-</v>
      </c>
      <c r="AH559" s="1778" t="str">
        <f t="shared" si="663"/>
        <v>-</v>
      </c>
      <c r="AI559" s="1778" t="str">
        <f t="shared" si="663"/>
        <v>-</v>
      </c>
      <c r="AJ559" s="1778" t="str">
        <f t="shared" si="663"/>
        <v>-</v>
      </c>
      <c r="AK559" s="1778" t="str">
        <f t="shared" si="663"/>
        <v>-</v>
      </c>
      <c r="AL559" s="1780" t="str">
        <f t="shared" si="663"/>
        <v>-</v>
      </c>
    </row>
    <row r="560" spans="8:78" x14ac:dyDescent="0.3">
      <c r="H560" s="1028"/>
      <c r="I560" s="1756" t="str">
        <f>I506</f>
        <v xml:space="preserve">Revenue cap - Fixed </v>
      </c>
      <c r="J560" s="998"/>
      <c r="K560" s="1772"/>
      <c r="L560" s="1772"/>
      <c r="M560" s="1777"/>
      <c r="N560" s="1772"/>
      <c r="O560" s="1772"/>
      <c r="P560" s="1772"/>
      <c r="Q560" s="1772"/>
      <c r="R560" s="1779"/>
      <c r="S560" s="1778"/>
      <c r="T560" s="1778"/>
      <c r="U560" s="1778"/>
      <c r="V560" s="1778"/>
      <c r="W560" s="1779" t="str">
        <f t="shared" ref="W560:AG560" si="665">IFERROR(W506/W$503,"-")</f>
        <v>-</v>
      </c>
      <c r="X560" s="1778" t="str">
        <f t="shared" si="665"/>
        <v>-</v>
      </c>
      <c r="Y560" s="1778" t="str">
        <f t="shared" si="665"/>
        <v>-</v>
      </c>
      <c r="Z560" s="1778" t="str">
        <f t="shared" si="665"/>
        <v>-</v>
      </c>
      <c r="AA560" s="1778" t="str">
        <f t="shared" si="665"/>
        <v>-</v>
      </c>
      <c r="AB560" s="1779" t="str">
        <f t="shared" si="665"/>
        <v>-</v>
      </c>
      <c r="AC560" s="1778" t="str">
        <f t="shared" si="665"/>
        <v>-</v>
      </c>
      <c r="AD560" s="1778" t="str">
        <f t="shared" si="665"/>
        <v>-</v>
      </c>
      <c r="AE560" s="1778" t="str">
        <f t="shared" si="665"/>
        <v>-</v>
      </c>
      <c r="AF560" s="1778" t="str">
        <f t="shared" si="665"/>
        <v>-</v>
      </c>
      <c r="AG560" s="1780" t="str">
        <f t="shared" si="665"/>
        <v>-</v>
      </c>
      <c r="AH560" s="1778" t="str">
        <f t="shared" si="663"/>
        <v>-</v>
      </c>
      <c r="AI560" s="1778" t="str">
        <f t="shared" si="663"/>
        <v>-</v>
      </c>
      <c r="AJ560" s="1778" t="str">
        <f t="shared" si="663"/>
        <v>-</v>
      </c>
      <c r="AK560" s="1778" t="str">
        <f t="shared" si="663"/>
        <v>-</v>
      </c>
      <c r="AL560" s="1780" t="str">
        <f t="shared" si="663"/>
        <v>-</v>
      </c>
    </row>
    <row r="561" spans="8:78" x14ac:dyDescent="0.3">
      <c r="H561" s="1028"/>
      <c r="I561" s="1756" t="str">
        <f>I507</f>
        <v>Revenue cap - Variable</v>
      </c>
      <c r="J561" s="998"/>
      <c r="K561" s="1772"/>
      <c r="L561" s="1772"/>
      <c r="M561" s="1777"/>
      <c r="N561" s="1772"/>
      <c r="O561" s="1772"/>
      <c r="P561" s="1772"/>
      <c r="Q561" s="1772"/>
      <c r="R561" s="1779"/>
      <c r="S561" s="1778"/>
      <c r="T561" s="1778"/>
      <c r="U561" s="1778"/>
      <c r="V561" s="1778"/>
      <c r="W561" s="1779" t="str">
        <f t="shared" ref="W561:AG561" si="666">IFERROR(W507/W$503,"-")</f>
        <v>-</v>
      </c>
      <c r="X561" s="1778" t="str">
        <f t="shared" si="666"/>
        <v>-</v>
      </c>
      <c r="Y561" s="1778" t="str">
        <f t="shared" si="666"/>
        <v>-</v>
      </c>
      <c r="Z561" s="1778" t="str">
        <f t="shared" si="666"/>
        <v>-</v>
      </c>
      <c r="AA561" s="1778" t="str">
        <f t="shared" si="666"/>
        <v>-</v>
      </c>
      <c r="AB561" s="1779" t="str">
        <f t="shared" si="666"/>
        <v>-</v>
      </c>
      <c r="AC561" s="1778" t="str">
        <f t="shared" si="666"/>
        <v>-</v>
      </c>
      <c r="AD561" s="1778" t="str">
        <f t="shared" si="666"/>
        <v>-</v>
      </c>
      <c r="AE561" s="1778" t="str">
        <f t="shared" si="666"/>
        <v>-</v>
      </c>
      <c r="AF561" s="1778" t="str">
        <f t="shared" si="666"/>
        <v>-</v>
      </c>
      <c r="AG561" s="1780" t="str">
        <f t="shared" si="666"/>
        <v>-</v>
      </c>
      <c r="AH561" s="1778" t="str">
        <f t="shared" si="663"/>
        <v>-</v>
      </c>
      <c r="AI561" s="1778" t="str">
        <f t="shared" si="663"/>
        <v>-</v>
      </c>
      <c r="AJ561" s="1778" t="str">
        <f t="shared" si="663"/>
        <v>-</v>
      </c>
      <c r="AK561" s="1778" t="str">
        <f t="shared" si="663"/>
        <v>-</v>
      </c>
      <c r="AL561" s="1780" t="str">
        <f t="shared" si="663"/>
        <v>-</v>
      </c>
    </row>
    <row r="562" spans="8:78" ht="4.5" customHeight="1" x14ac:dyDescent="0.3">
      <c r="H562" s="1024"/>
      <c r="I562" s="997"/>
      <c r="J562" s="998"/>
      <c r="K562" s="609"/>
      <c r="L562" s="609"/>
      <c r="M562" s="610"/>
      <c r="N562" s="609"/>
      <c r="O562" s="609"/>
      <c r="P562" s="609"/>
      <c r="Q562" s="609"/>
      <c r="R562" s="1025"/>
      <c r="S562" s="1026"/>
      <c r="T562" s="1026"/>
      <c r="U562" s="1026"/>
      <c r="V562" s="1026"/>
      <c r="W562" s="1025"/>
      <c r="X562" s="1026"/>
      <c r="Y562" s="1026"/>
      <c r="Z562" s="1026"/>
      <c r="AA562" s="1026"/>
      <c r="AB562" s="1025"/>
      <c r="AC562" s="1026"/>
      <c r="AD562" s="1026"/>
      <c r="AE562" s="1026"/>
      <c r="AF562" s="1026"/>
      <c r="AG562" s="1027"/>
      <c r="AH562" s="1026"/>
      <c r="AI562" s="1026"/>
      <c r="AJ562" s="1026"/>
      <c r="AK562" s="1026"/>
      <c r="AL562" s="1027"/>
    </row>
    <row r="563" spans="8:78" s="285" customFormat="1" x14ac:dyDescent="0.3">
      <c r="H563" s="1018"/>
      <c r="I563" s="1059" t="s">
        <v>686</v>
      </c>
      <c r="J563" s="1060"/>
      <c r="K563" s="1812"/>
      <c r="L563" s="1812"/>
      <c r="M563" s="1813"/>
      <c r="N563" s="1812"/>
      <c r="O563" s="1812"/>
      <c r="P563" s="1812"/>
      <c r="Q563" s="1812"/>
      <c r="R563" s="1814"/>
      <c r="S563" s="1815"/>
      <c r="T563" s="1815"/>
      <c r="U563" s="1815"/>
      <c r="V563" s="1815"/>
      <c r="W563" s="1814" t="str">
        <f t="shared" ref="W563:AG563" si="667">IFERROR(W558+W560,"-")</f>
        <v>-</v>
      </c>
      <c r="X563" s="1815" t="str">
        <f t="shared" si="667"/>
        <v>-</v>
      </c>
      <c r="Y563" s="1815" t="str">
        <f t="shared" si="667"/>
        <v>-</v>
      </c>
      <c r="Z563" s="1815" t="str">
        <f t="shared" si="667"/>
        <v>-</v>
      </c>
      <c r="AA563" s="1815" t="str">
        <f t="shared" si="667"/>
        <v>-</v>
      </c>
      <c r="AB563" s="1814" t="str">
        <f t="shared" si="667"/>
        <v>-</v>
      </c>
      <c r="AC563" s="1815" t="str">
        <f t="shared" si="667"/>
        <v>-</v>
      </c>
      <c r="AD563" s="1815" t="str">
        <f t="shared" si="667"/>
        <v>-</v>
      </c>
      <c r="AE563" s="1815" t="str">
        <f t="shared" si="667"/>
        <v>-</v>
      </c>
      <c r="AF563" s="1815" t="str">
        <f t="shared" si="667"/>
        <v>-</v>
      </c>
      <c r="AG563" s="1816" t="str">
        <f t="shared" si="667"/>
        <v>-</v>
      </c>
      <c r="AH563" s="1815" t="str">
        <f t="shared" ref="AH563:AL564" si="668">IFERROR(AH558+AH560,"-")</f>
        <v>-</v>
      </c>
      <c r="AI563" s="1815" t="str">
        <f t="shared" si="668"/>
        <v>-</v>
      </c>
      <c r="AJ563" s="1815" t="str">
        <f t="shared" si="668"/>
        <v>-</v>
      </c>
      <c r="AK563" s="1815" t="str">
        <f t="shared" si="668"/>
        <v>-</v>
      </c>
      <c r="AL563" s="1816" t="str">
        <f t="shared" si="668"/>
        <v>-</v>
      </c>
      <c r="AN563" s="1036"/>
      <c r="AP563" s="73"/>
      <c r="AQ563" s="73"/>
      <c r="AR563" s="72"/>
      <c r="AS563" s="73"/>
      <c r="AT563" s="73"/>
      <c r="AU563" s="73"/>
      <c r="AV563" s="73"/>
      <c r="AW563" s="73"/>
      <c r="AX563" s="73"/>
      <c r="AY563" s="73"/>
      <c r="AZ563" s="73"/>
      <c r="BA563" s="73"/>
      <c r="BB563" s="73"/>
      <c r="BC563" s="73"/>
      <c r="BD563" s="73"/>
      <c r="BE563" s="73"/>
      <c r="BF563" s="73"/>
      <c r="BG563" s="73"/>
      <c r="BH563" s="126"/>
      <c r="BI563" s="73"/>
      <c r="BJ563" s="73"/>
      <c r="BK563" s="72"/>
      <c r="BL563" s="73"/>
      <c r="BM563" s="73"/>
      <c r="BN563" s="73"/>
      <c r="BO563" s="73"/>
      <c r="BP563" s="73"/>
      <c r="BQ563" s="73"/>
      <c r="BR563" s="73"/>
      <c r="BS563" s="73"/>
      <c r="BT563" s="73"/>
      <c r="BU563" s="73"/>
      <c r="BV563" s="73"/>
      <c r="BW563" s="73"/>
      <c r="BX563" s="73"/>
      <c r="BY563" s="73"/>
      <c r="BZ563" s="73"/>
    </row>
    <row r="564" spans="8:78" s="285" customFormat="1" x14ac:dyDescent="0.3">
      <c r="H564" s="1018"/>
      <c r="I564" s="1059" t="s">
        <v>689</v>
      </c>
      <c r="J564" s="1060"/>
      <c r="K564" s="1812"/>
      <c r="L564" s="1812"/>
      <c r="M564" s="1813"/>
      <c r="N564" s="1812"/>
      <c r="O564" s="1812"/>
      <c r="P564" s="1812"/>
      <c r="Q564" s="1812"/>
      <c r="R564" s="1814"/>
      <c r="S564" s="1815"/>
      <c r="T564" s="1815"/>
      <c r="U564" s="1815"/>
      <c r="V564" s="1815"/>
      <c r="W564" s="1814" t="str">
        <f t="shared" ref="W564:AG564" si="669">IFERROR(W559+W561,"-")</f>
        <v>-</v>
      </c>
      <c r="X564" s="1815" t="str">
        <f t="shared" si="669"/>
        <v>-</v>
      </c>
      <c r="Y564" s="1815" t="str">
        <f t="shared" si="669"/>
        <v>-</v>
      </c>
      <c r="Z564" s="1815" t="str">
        <f t="shared" si="669"/>
        <v>-</v>
      </c>
      <c r="AA564" s="1815" t="str">
        <f t="shared" si="669"/>
        <v>-</v>
      </c>
      <c r="AB564" s="1814" t="str">
        <f t="shared" si="669"/>
        <v>-</v>
      </c>
      <c r="AC564" s="1815" t="str">
        <f t="shared" si="669"/>
        <v>-</v>
      </c>
      <c r="AD564" s="1815" t="str">
        <f t="shared" si="669"/>
        <v>-</v>
      </c>
      <c r="AE564" s="1815" t="str">
        <f t="shared" si="669"/>
        <v>-</v>
      </c>
      <c r="AF564" s="1815" t="str">
        <f t="shared" si="669"/>
        <v>-</v>
      </c>
      <c r="AG564" s="1816" t="str">
        <f t="shared" si="669"/>
        <v>-</v>
      </c>
      <c r="AH564" s="1815" t="str">
        <f t="shared" si="668"/>
        <v>-</v>
      </c>
      <c r="AI564" s="1815" t="str">
        <f t="shared" si="668"/>
        <v>-</v>
      </c>
      <c r="AJ564" s="1815" t="str">
        <f t="shared" si="668"/>
        <v>-</v>
      </c>
      <c r="AK564" s="1815" t="str">
        <f t="shared" si="668"/>
        <v>-</v>
      </c>
      <c r="AL564" s="1816" t="str">
        <f t="shared" si="668"/>
        <v>-</v>
      </c>
      <c r="AN564" s="1036"/>
      <c r="AP564" s="73"/>
      <c r="AQ564" s="73"/>
      <c r="AR564" s="72"/>
      <c r="AS564" s="73"/>
      <c r="AT564" s="73"/>
      <c r="AU564" s="73"/>
      <c r="AV564" s="73"/>
      <c r="AW564" s="73"/>
      <c r="AX564" s="73"/>
      <c r="AY564" s="73"/>
      <c r="AZ564" s="73"/>
      <c r="BA564" s="73"/>
      <c r="BB564" s="73"/>
      <c r="BC564" s="73"/>
      <c r="BD564" s="73"/>
      <c r="BE564" s="73"/>
      <c r="BF564" s="73"/>
      <c r="BG564" s="73"/>
      <c r="BH564" s="126"/>
      <c r="BI564" s="73"/>
      <c r="BJ564" s="73"/>
      <c r="BK564" s="72"/>
      <c r="BL564" s="73"/>
      <c r="BM564" s="73"/>
      <c r="BN564" s="73"/>
      <c r="BO564" s="73"/>
      <c r="BP564" s="73"/>
      <c r="BQ564" s="73"/>
      <c r="BR564" s="73"/>
      <c r="BS564" s="73"/>
      <c r="BT564" s="73"/>
      <c r="BU564" s="73"/>
      <c r="BV564" s="73"/>
      <c r="BW564" s="73"/>
      <c r="BX564" s="73"/>
      <c r="BY564" s="73"/>
      <c r="BZ564" s="73"/>
    </row>
    <row r="565" spans="8:78" s="999" customFormat="1" ht="12.5" thickBot="1" x14ac:dyDescent="0.35">
      <c r="H565" s="1018"/>
      <c r="I565" s="1029"/>
      <c r="J565" s="1030"/>
      <c r="K565" s="1031"/>
      <c r="L565" s="1031"/>
      <c r="M565" s="1032"/>
      <c r="N565" s="1031"/>
      <c r="O565" s="1031"/>
      <c r="P565" s="1031"/>
      <c r="Q565" s="1031"/>
      <c r="R565" s="1033"/>
      <c r="S565" s="1034"/>
      <c r="T565" s="1034"/>
      <c r="U565" s="1034"/>
      <c r="V565" s="1034"/>
      <c r="W565" s="1033"/>
      <c r="X565" s="1034"/>
      <c r="Y565" s="1034"/>
      <c r="Z565" s="1034"/>
      <c r="AA565" s="1034"/>
      <c r="AB565" s="1033"/>
      <c r="AC565" s="1034"/>
      <c r="AD565" s="1034"/>
      <c r="AE565" s="1034"/>
      <c r="AF565" s="1034"/>
      <c r="AG565" s="1035"/>
      <c r="AH565" s="1034"/>
      <c r="AI565" s="1034"/>
      <c r="AJ565" s="1034"/>
      <c r="AK565" s="1034"/>
      <c r="AL565" s="1035"/>
      <c r="AN565" s="1013"/>
      <c r="AP565" s="73"/>
      <c r="AQ565" s="73"/>
      <c r="AR565" s="72"/>
      <c r="AS565" s="73"/>
      <c r="AT565" s="73"/>
      <c r="AU565" s="73"/>
      <c r="AV565" s="73"/>
      <c r="AW565" s="73"/>
      <c r="AX565" s="73"/>
      <c r="AY565" s="73"/>
      <c r="AZ565" s="73"/>
      <c r="BA565" s="73"/>
      <c r="BB565" s="73"/>
      <c r="BC565" s="73"/>
      <c r="BD565" s="73"/>
      <c r="BE565" s="73"/>
      <c r="BF565" s="73"/>
      <c r="BG565" s="73"/>
      <c r="BH565" s="126"/>
      <c r="BI565" s="73"/>
      <c r="BJ565" s="73"/>
      <c r="BK565" s="72"/>
      <c r="BL565" s="73"/>
      <c r="BM565" s="73"/>
      <c r="BN565" s="73"/>
      <c r="BO565" s="73"/>
      <c r="BP565" s="73"/>
      <c r="BQ565" s="73"/>
      <c r="BR565" s="73"/>
      <c r="BS565" s="73"/>
      <c r="BT565" s="73"/>
      <c r="BU565" s="73"/>
      <c r="BV565" s="73"/>
      <c r="BW565" s="73"/>
      <c r="BX565" s="73"/>
      <c r="BY565" s="73"/>
      <c r="BZ565" s="73"/>
    </row>
  </sheetData>
  <sheetProtection algorithmName="SHA-512" hashValue="FLHZCf771WVrrsZY8L43JqaXBTB2WaY+dCDgxqlyLgVH9GGlLuoJiXhI56nCm0y2cgtEtkadlDNEMjNTZum/yA==" saltValue="DloHa4WSThQ8ybylRszVuQ==" spinCount="100000" sheet="1" objects="1" scenarios="1"/>
  <mergeCells count="27">
    <mergeCell ref="BQ66:BU66"/>
    <mergeCell ref="C3:G3"/>
    <mergeCell ref="AD34:AF34"/>
    <mergeCell ref="S29:W29"/>
    <mergeCell ref="H34:I34"/>
    <mergeCell ref="X29:AB29"/>
    <mergeCell ref="BV66:BZ66"/>
    <mergeCell ref="BC55:BG55"/>
    <mergeCell ref="BC66:BG66"/>
    <mergeCell ref="AI34:AK34"/>
    <mergeCell ref="AS54:BG54"/>
    <mergeCell ref="AS65:BG65"/>
    <mergeCell ref="BL54:BZ54"/>
    <mergeCell ref="BL65:BZ65"/>
    <mergeCell ref="BV55:BZ55"/>
    <mergeCell ref="AX55:BB55"/>
    <mergeCell ref="AX66:BB66"/>
    <mergeCell ref="AS55:AW55"/>
    <mergeCell ref="BL55:BP55"/>
    <mergeCell ref="AS66:AW66"/>
    <mergeCell ref="BL66:BP66"/>
    <mergeCell ref="BQ55:BU55"/>
    <mergeCell ref="AS67:AV67"/>
    <mergeCell ref="AW67:BG67"/>
    <mergeCell ref="BL67:BO67"/>
    <mergeCell ref="BP67:BZ67"/>
    <mergeCell ref="I472:AG472"/>
  </mergeCells>
  <phoneticPr fontId="0" type="noConversion"/>
  <conditionalFormatting sqref="H34:I34">
    <cfRule type="expression" dxfId="26" priority="36" stopIfTrue="1">
      <formula>H34="PRICE CONTROL OK"</formula>
    </cfRule>
    <cfRule type="expression" dxfId="25" priority="37" stopIfTrue="1">
      <formula>H34="BREACH"</formula>
    </cfRule>
    <cfRule type="expression" dxfId="24" priority="38" stopIfTrue="1">
      <formula>H34="INSUFFICIENT"</formula>
    </cfRule>
  </conditionalFormatting>
  <conditionalFormatting sqref="L34 N34">
    <cfRule type="cellIs" dxfId="23" priority="39" stopIfTrue="1" operator="equal">
      <formula>"pass"</formula>
    </cfRule>
    <cfRule type="cellIs" dxfId="22" priority="40" stopIfTrue="1" operator="equal">
      <formula>"fail"</formula>
    </cfRule>
  </conditionalFormatting>
  <conditionalFormatting sqref="AD34">
    <cfRule type="expression" dxfId="21" priority="33" stopIfTrue="1">
      <formula>AD34="PRICE CONTROL OK"</formula>
    </cfRule>
    <cfRule type="expression" dxfId="20" priority="34" stopIfTrue="1">
      <formula>AD34="BREACH"</formula>
    </cfRule>
    <cfRule type="expression" dxfId="19" priority="35" stopIfTrue="1">
      <formula>AD34="INSUFFICIENT"</formula>
    </cfRule>
  </conditionalFormatting>
  <conditionalFormatting sqref="AC62:AG62">
    <cfRule type="containsText" dxfId="18" priority="32" stopIfTrue="1" operator="containsText" text="CHECK">
      <formula>NOT(ISERROR(SEARCH("CHECK",AC62)))</formula>
    </cfRule>
  </conditionalFormatting>
  <conditionalFormatting sqref="R66:W66">
    <cfRule type="containsText" dxfId="17" priority="31" stopIfTrue="1" operator="containsText" text="CHECK">
      <formula>NOT(ISERROR(SEARCH("CHECK",R66)))</formula>
    </cfRule>
  </conditionalFormatting>
  <conditionalFormatting sqref="BK34">
    <cfRule type="expression" dxfId="16" priority="13" stopIfTrue="1">
      <formula>BK34="PRICE CONTROL OK"</formula>
    </cfRule>
    <cfRule type="expression" dxfId="15" priority="14" stopIfTrue="1">
      <formula>BK34="BREACH"</formula>
    </cfRule>
    <cfRule type="expression" dxfId="14" priority="15" stopIfTrue="1">
      <formula>BK34="INSUFFICIENT"</formula>
    </cfRule>
  </conditionalFormatting>
  <conditionalFormatting sqref="AR34">
    <cfRule type="expression" dxfId="13" priority="16" stopIfTrue="1">
      <formula>AR34="PRICE CONTROL OK"</formula>
    </cfRule>
    <cfRule type="expression" dxfId="12" priority="17" stopIfTrue="1">
      <formula>AR34="BREACH"</formula>
    </cfRule>
    <cfRule type="expression" dxfId="11" priority="18" stopIfTrue="1">
      <formula>AR34="INSUFFICIENT"</formula>
    </cfRule>
  </conditionalFormatting>
  <conditionalFormatting sqref="AI34">
    <cfRule type="expression" dxfId="10" priority="7" stopIfTrue="1">
      <formula>AI34="PRICE CONTROL OK"</formula>
    </cfRule>
    <cfRule type="expression" dxfId="9" priority="8" stopIfTrue="1">
      <formula>AI34="BREACH"</formula>
    </cfRule>
    <cfRule type="expression" dxfId="8" priority="9" stopIfTrue="1">
      <formula>AI34="INSUFFICIENT"</formula>
    </cfRule>
  </conditionalFormatting>
  <conditionalFormatting sqref="AH62:AL62">
    <cfRule type="containsText" dxfId="7" priority="6" stopIfTrue="1" operator="containsText" text="CHECK">
      <formula>NOT(ISERROR(SEARCH("CHECK",AH62)))</formula>
    </cfRule>
  </conditionalFormatting>
  <conditionalFormatting sqref="K458:AL458">
    <cfRule type="containsText" dxfId="6" priority="3" operator="containsText" text="FALSE">
      <formula>NOT(ISERROR(SEARCH("FALSE",K458)))</formula>
    </cfRule>
  </conditionalFormatting>
  <conditionalFormatting sqref="X66">
    <cfRule type="containsText" dxfId="5" priority="2" stopIfTrue="1" operator="containsText" text="CHECK">
      <formula>NOT(ISERROR(SEARCH("CHECK",X66)))</formula>
    </cfRule>
  </conditionalFormatting>
  <conditionalFormatting sqref="Y66">
    <cfRule type="containsText" dxfId="4" priority="1" stopIfTrue="1" operator="containsText" text="CHECK">
      <formula>NOT(ISERROR(SEARCH("CHECK",Y66)))</formula>
    </cfRule>
  </conditionalFormatting>
  <dataValidations disablePrompts="1" count="3">
    <dataValidation type="list" allowBlank="1" showInputMessage="1" showErrorMessage="1" sqref="J70 J79 J82 J73 J76 J85 J100 J115 J130 J145 J160 J175 J190 J205 J220 J235 J250 J265 J280 J295 J310 J325 J340 J355 J370 J385 J400 J415 J430 J94 J109 J124 J139 J154 J169 J184 J199 J214 J229 J244 J259 J274 J289 J304 J319 J334 J349 J364 J379 J394 J409 J424 J439 J97 J112 J127 J142 J157 J172 J187 J202 J217 J232 J247 J262 J277 J292 J307 J322 J337 J352 J367 J382 J397 J412 J427 J442 J88 J103 J118 J133 J148 J163 J178 J193 J208 J223 J238 J253 J268 J283 J298 J313 J328 J343 J358 J373 J388 J403 J418 J433 J91 J106 J121 J136 J151 J166 J181 J196 J211 J226 J241 J256 J271 J286 J301 J316 J331 J346 J361 J376 J391 J406 J421 J436" xr:uid="{00000000-0002-0000-0D00-000000000000}">
      <formula1>Pricing_Unit</formula1>
    </dataValidation>
    <dataValidation type="list" allowBlank="1" showInputMessage="1" showErrorMessage="1" sqref="I72 I441 I75 I78 I81 I84 I438 I87 I90 I93 I96 I99 I102 I105 I108 I111 I114 I117 I120 I123 I126 I129 I132 I135 I138 I141 I144 I147 I150 I153 I156 I159 I162 I165 I168 I171 I174 I177 I180 I183 I186 I189 I192 I195 I198 I201 I204 I207 I210 I213 I216 I219 I222 I225 I228 I231 I234 I237 I240 I243 I246 I249 I252 I255 I258 I261 I264 I267 I270 I273 I276 I279 I282 I285 I288 I291 I294 I297 I300 I303 I306 I309 I312 I315 I318 I321 I324 I327 I330 I333 I336 I339 I342 I345 I348 I351 I354 I357 I360 I363 I366 I369 I372 I375 I378 I381 I384 I387 I390 I393 I396 I399 I402 I405 I408 I411 I414 I417 I420 I423 I426 I429 I432 I435 I69" xr:uid="{00000000-0002-0000-0D00-000001000000}">
      <formula1>Hybrid_Price</formula1>
    </dataValidation>
    <dataValidation type="list" allowBlank="1" showInputMessage="1" showErrorMessage="1" sqref="F69 F72 F75 F78 F81 F84 F87 F90 F93 F96 F99 F102 F105 F108 F111 F114 F117 F120 F123 F126 F129 F132 F135 F138 F141 F144 F147 F150 F153 F156 F159 F162 F165 F168 F171 F174 F177 F180 F183 F186 F189 F192 F195 F198 F201 F204 F207 F210 F213 F216 F219 F222 F225 F228 F231 F234 F237 F240 F243 F246 F249 F252 F255 F258 F261 F264 F267 F270 F273 F276 F279 F282 F285 F288 F291 F294 F297 F300 F303 F306 F309 F312 F315 F318 F321 F324 F327 F330 F333 F336 F339 F342 F345 F348 F351 F354 F357 F360 F363 F366 F369 F372 F375 F378 F381 F384 F387 F390 F393 F396 F399 F402 F405 F408 F411 F414 F417 F420 F423 F426 F429 F432 F435 F438 F441" xr:uid="{00000000-0002-0000-0D00-000002000000}">
      <formula1>Price_Asset_Class</formula1>
    </dataValidation>
  </dataValidations>
  <hyperlinks>
    <hyperlink ref="C3" location="HL_Home" tooltip="Go to Table of Contents" display="HL_Home" xr:uid="{00000000-0004-0000-0D00-000000000000}"/>
  </hyperlinks>
  <pageMargins left="0.39370078740157499" right="0.39370078740157499" top="0.59055118110236249" bottom="0.98425196850393748" header="0" footer="0.31496062992125973"/>
  <pageSetup paperSize="9" scale="68" orientation="landscape" r:id="rId1"/>
  <headerFooter alignWithMargins="0">
    <oddHeader>&amp;C&amp;B&amp;"Arial"&amp;12&amp;Kff0000​‌OFFICIAL‌​</oddHeader>
    <oddFooter>&amp;C&amp;"Arial,Bold"&amp;8Sheet l.
Page &amp;P of &amp;N&amp;L&amp;"Arial,Bold"&amp;7&amp;F
&amp;A
Printed: &amp;T on &amp;D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5">
    <tabColor theme="0" tint="-4.9989318521683403E-2"/>
    <pageSetUpPr autoPageBreaks="0"/>
  </sheetPr>
  <dimension ref="A1:BE254"/>
  <sheetViews>
    <sheetView showGridLines="0" zoomScaleNormal="100" workbookViewId="0">
      <pane ySplit="7" topLeftCell="A8" activePane="bottomLeft" state="frozen"/>
      <selection pane="bottomLeft" activeCell="J34" sqref="J34"/>
    </sheetView>
  </sheetViews>
  <sheetFormatPr defaultColWidth="10.77734375" defaultRowHeight="12" outlineLevelCol="1" x14ac:dyDescent="0.3"/>
  <cols>
    <col min="1" max="5" width="3.77734375" style="73" customWidth="1"/>
    <col min="6" max="8" width="10.77734375" style="73" customWidth="1"/>
    <col min="9" max="9" width="14.77734375" style="73" customWidth="1"/>
    <col min="10" max="10" width="6.44140625" style="73" customWidth="1"/>
    <col min="11" max="22" width="10.77734375" style="73" hidden="1" customWidth="1" outlineLevel="1"/>
    <col min="23" max="23" width="10.77734375" style="73" customWidth="1" collapsed="1"/>
    <col min="24" max="38" width="10.77734375" style="73" customWidth="1"/>
    <col min="39" max="39" width="5.6640625" style="73" customWidth="1"/>
    <col min="40" max="16384" width="10.77734375" style="73"/>
  </cols>
  <sheetData>
    <row r="1" spans="1:57" ht="14.5" x14ac:dyDescent="0.3">
      <c r="A1" s="157">
        <v>80</v>
      </c>
      <c r="B1" s="158" t="s">
        <v>350</v>
      </c>
      <c r="K1" s="77"/>
      <c r="L1" s="77"/>
      <c r="M1" s="84"/>
      <c r="N1" s="84"/>
      <c r="O1" s="100"/>
      <c r="P1" s="275"/>
      <c r="Q1" s="275"/>
      <c r="Y1" s="265"/>
      <c r="Z1" s="265"/>
    </row>
    <row r="2" spans="1:57" ht="13" x14ac:dyDescent="0.3">
      <c r="B2" s="160" t="str">
        <f>+Contents!H7</f>
        <v>Central Highlands Water</v>
      </c>
      <c r="K2" s="77"/>
      <c r="L2" s="77"/>
      <c r="M2" s="84"/>
      <c r="N2" s="84"/>
      <c r="O2" s="275"/>
      <c r="P2" s="275"/>
      <c r="Q2" s="275"/>
    </row>
    <row r="3" spans="1:57" x14ac:dyDescent="0.3">
      <c r="B3" s="2357" t="s">
        <v>0</v>
      </c>
      <c r="C3" s="2357"/>
      <c r="D3" s="2357"/>
      <c r="E3" s="2357"/>
      <c r="F3" s="2357"/>
      <c r="G3" s="74"/>
      <c r="K3" s="77"/>
      <c r="L3" s="77"/>
      <c r="M3" s="77"/>
      <c r="N3" s="77"/>
      <c r="O3" s="77"/>
      <c r="P3" s="77"/>
      <c r="Q3" s="77"/>
    </row>
    <row r="4" spans="1:57" x14ac:dyDescent="0.3">
      <c r="A4" s="165"/>
      <c r="B4" s="75"/>
      <c r="C4" s="76"/>
      <c r="F4" s="63"/>
      <c r="K4" s="66"/>
      <c r="L4" s="1186" t="s">
        <v>60</v>
      </c>
      <c r="M4" s="65"/>
      <c r="N4" s="66"/>
      <c r="O4" s="67"/>
      <c r="P4" s="1186" t="s">
        <v>61</v>
      </c>
      <c r="Q4" s="67"/>
      <c r="R4" s="65"/>
      <c r="S4" s="1202"/>
      <c r="T4" s="1203"/>
      <c r="U4" s="1572" t="s">
        <v>274</v>
      </c>
      <c r="V4" s="1203"/>
      <c r="W4" s="1204"/>
      <c r="X4" s="1944"/>
      <c r="Y4" s="1575"/>
      <c r="Z4" s="1575" t="s">
        <v>1072</v>
      </c>
      <c r="AA4" s="1575"/>
      <c r="AB4" s="1574"/>
      <c r="AC4" s="1573"/>
      <c r="AD4" s="1575"/>
      <c r="AE4" s="1575" t="s">
        <v>457</v>
      </c>
      <c r="AF4" s="1575"/>
      <c r="AG4" s="1574"/>
      <c r="AH4" s="1573"/>
      <c r="AI4" s="1575"/>
      <c r="AJ4" s="1575" t="s">
        <v>903</v>
      </c>
      <c r="AK4" s="1575"/>
      <c r="AL4" s="1574"/>
    </row>
    <row r="6" spans="1:57" x14ac:dyDescent="0.3">
      <c r="B6" s="166"/>
      <c r="F6" s="167" t="s">
        <v>63</v>
      </c>
      <c r="K6" s="68">
        <v>2006</v>
      </c>
      <c r="L6" s="68">
        <v>2007</v>
      </c>
      <c r="M6" s="68">
        <v>2008</v>
      </c>
      <c r="N6" s="68">
        <v>2009</v>
      </c>
      <c r="O6" s="68">
        <v>2010</v>
      </c>
      <c r="P6" s="68">
        <v>2011</v>
      </c>
      <c r="Q6" s="68">
        <v>2012</v>
      </c>
      <c r="R6" s="68">
        <v>2013</v>
      </c>
      <c r="S6" s="68">
        <v>2014</v>
      </c>
      <c r="T6" s="68">
        <v>2015</v>
      </c>
      <c r="U6" s="68">
        <v>2016</v>
      </c>
      <c r="V6" s="68">
        <v>2017</v>
      </c>
      <c r="W6" s="68">
        <v>2018</v>
      </c>
      <c r="X6" s="68">
        <v>2019</v>
      </c>
      <c r="Y6" s="68">
        <v>2020</v>
      </c>
      <c r="Z6" s="68">
        <v>2021</v>
      </c>
      <c r="AA6" s="68">
        <v>2022</v>
      </c>
      <c r="AB6" s="68">
        <v>2023</v>
      </c>
      <c r="AC6" s="69">
        <v>2024</v>
      </c>
      <c r="AD6" s="69">
        <v>2025</v>
      </c>
      <c r="AE6" s="69">
        <v>2026</v>
      </c>
      <c r="AF6" s="69">
        <v>2027</v>
      </c>
      <c r="AG6" s="69">
        <v>2028</v>
      </c>
      <c r="AH6" s="69">
        <v>2029</v>
      </c>
      <c r="AI6" s="69">
        <v>2030</v>
      </c>
      <c r="AJ6" s="69">
        <v>2031</v>
      </c>
      <c r="AK6" s="69">
        <v>2032</v>
      </c>
      <c r="AL6" s="69">
        <v>2033</v>
      </c>
    </row>
    <row r="7" spans="1:57" x14ac:dyDescent="0.3">
      <c r="B7" s="126" t="str">
        <f>Expenditure_Detail!$B$6</f>
        <v>$m, 01/01/23</v>
      </c>
      <c r="C7" s="78"/>
      <c r="D7" s="78"/>
      <c r="E7" s="78"/>
      <c r="F7" s="169" t="s">
        <v>64</v>
      </c>
      <c r="G7" s="78"/>
      <c r="H7" s="78"/>
      <c r="I7" s="78"/>
      <c r="J7" s="78"/>
      <c r="K7" s="70" t="str">
        <f t="shared" ref="K7:W7" si="0">+CONCATENATE(K6-1,"-",RIGHT(K6,2))</f>
        <v>2005-06</v>
      </c>
      <c r="L7" s="70" t="str">
        <f t="shared" si="0"/>
        <v>2006-07</v>
      </c>
      <c r="M7" s="70" t="str">
        <f t="shared" si="0"/>
        <v>2007-08</v>
      </c>
      <c r="N7" s="70" t="str">
        <f t="shared" si="0"/>
        <v>2008-09</v>
      </c>
      <c r="O7" s="70" t="str">
        <f t="shared" si="0"/>
        <v>2009-10</v>
      </c>
      <c r="P7" s="70" t="str">
        <f t="shared" si="0"/>
        <v>2010-11</v>
      </c>
      <c r="Q7" s="70" t="str">
        <f t="shared" si="0"/>
        <v>2011-12</v>
      </c>
      <c r="R7" s="70" t="str">
        <f t="shared" si="0"/>
        <v>2012-13</v>
      </c>
      <c r="S7" s="70" t="str">
        <f t="shared" si="0"/>
        <v>2013-14</v>
      </c>
      <c r="T7" s="70" t="str">
        <f t="shared" si="0"/>
        <v>2014-15</v>
      </c>
      <c r="U7" s="70" t="str">
        <f t="shared" si="0"/>
        <v>2015-16</v>
      </c>
      <c r="V7" s="70" t="str">
        <f t="shared" si="0"/>
        <v>2016-17</v>
      </c>
      <c r="W7" s="70" t="str">
        <f t="shared" si="0"/>
        <v>2017-18</v>
      </c>
      <c r="X7" s="70" t="str">
        <f t="shared" ref="X7:AG7" si="1">+CONCATENATE(X6-1,"-",RIGHT(X6,2))</f>
        <v>2018-19</v>
      </c>
      <c r="Y7" s="70" t="str">
        <f t="shared" si="1"/>
        <v>2019-20</v>
      </c>
      <c r="Z7" s="70" t="str">
        <f t="shared" si="1"/>
        <v>2020-21</v>
      </c>
      <c r="AA7" s="70" t="str">
        <f t="shared" si="1"/>
        <v>2021-22</v>
      </c>
      <c r="AB7" s="70" t="str">
        <f t="shared" si="1"/>
        <v>2022-23</v>
      </c>
      <c r="AC7" s="70" t="str">
        <f t="shared" si="1"/>
        <v>2023-24</v>
      </c>
      <c r="AD7" s="70" t="str">
        <f t="shared" si="1"/>
        <v>2024-25</v>
      </c>
      <c r="AE7" s="70" t="str">
        <f t="shared" si="1"/>
        <v>2025-26</v>
      </c>
      <c r="AF7" s="70" t="str">
        <f t="shared" si="1"/>
        <v>2026-27</v>
      </c>
      <c r="AG7" s="70" t="str">
        <f t="shared" si="1"/>
        <v>2027-28</v>
      </c>
      <c r="AH7" s="70" t="str">
        <f>+CONCATENATE(AH6-1,"-",RIGHT(AH6,2))</f>
        <v>2028-29</v>
      </c>
      <c r="AI7" s="70" t="str">
        <f>+CONCATENATE(AI6-1,"-",RIGHT(AI6,2))</f>
        <v>2029-30</v>
      </c>
      <c r="AJ7" s="70" t="str">
        <f>+CONCATENATE(AJ6-1,"-",RIGHT(AJ6,2))</f>
        <v>2030-31</v>
      </c>
      <c r="AK7" s="70" t="str">
        <f>+CONCATENATE(AK6-1,"-",RIGHT(AK6,2))</f>
        <v>2031-32</v>
      </c>
      <c r="AL7" s="70" t="str">
        <f>+CONCATENATE(AL6-1,"-",RIGHT(AL6,2))</f>
        <v>2032-33</v>
      </c>
    </row>
    <row r="8" spans="1:57" ht="12.5" thickBot="1" x14ac:dyDescent="0.35"/>
    <row r="9" spans="1:57" x14ac:dyDescent="0.3">
      <c r="C9" s="170"/>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2"/>
    </row>
    <row r="10" spans="1:57" x14ac:dyDescent="0.3">
      <c r="C10" s="173"/>
      <c r="D10" s="174" t="s">
        <v>351</v>
      </c>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175"/>
    </row>
    <row r="11" spans="1:57" x14ac:dyDescent="0.3">
      <c r="C11" s="173"/>
      <c r="D11" s="72"/>
      <c r="E11" s="72"/>
      <c r="F11" s="72"/>
      <c r="G11" s="72"/>
      <c r="H11" s="72"/>
      <c r="I11" s="72"/>
      <c r="J11" s="72"/>
      <c r="K11" s="72"/>
      <c r="L11" s="72"/>
      <c r="M11" s="72"/>
      <c r="N11" s="72"/>
      <c r="O11" s="72"/>
      <c r="P11" s="72"/>
      <c r="Q11" s="72"/>
      <c r="R11" s="72"/>
      <c r="S11" s="72"/>
      <c r="T11" s="72"/>
      <c r="U11" s="72"/>
      <c r="V11" s="72"/>
      <c r="W11" s="72"/>
      <c r="X11" s="72"/>
      <c r="Y11" s="72"/>
      <c r="Z11" s="72"/>
      <c r="AA11" s="72"/>
      <c r="AB11" s="72"/>
      <c r="AC11" s="72"/>
      <c r="AD11" s="72"/>
      <c r="AE11" s="72"/>
      <c r="AF11" s="72"/>
      <c r="AG11" s="72"/>
      <c r="AH11" s="72"/>
      <c r="AI11" s="72"/>
      <c r="AJ11" s="72"/>
      <c r="AK11" s="72"/>
      <c r="AL11" s="72"/>
      <c r="AM11" s="175"/>
    </row>
    <row r="12" spans="1:57" x14ac:dyDescent="0.3">
      <c r="C12" s="173"/>
      <c r="D12" s="72"/>
      <c r="E12" s="72" t="s">
        <v>69</v>
      </c>
      <c r="F12" s="72"/>
      <c r="G12" s="72"/>
      <c r="H12" s="72"/>
      <c r="I12" s="72"/>
      <c r="J12" s="72"/>
      <c r="K12" s="462"/>
      <c r="L12" s="462"/>
      <c r="M12" s="462"/>
      <c r="N12" s="462"/>
      <c r="O12" s="462"/>
      <c r="P12" s="462"/>
      <c r="Q12" s="462"/>
      <c r="R12" s="462"/>
      <c r="S12" s="462"/>
      <c r="T12" s="462"/>
      <c r="U12" s="462"/>
      <c r="V12" s="462"/>
      <c r="W12" s="462">
        <f t="shared" ref="W12:AL12" ca="1" si="2">+SUMIF($D$31:$G$1619,$E12,W$31:W$1619)</f>
        <v>4.6124123131221726</v>
      </c>
      <c r="X12" s="462">
        <f t="shared" ca="1" si="2"/>
        <v>6.1082183861210302</v>
      </c>
      <c r="Y12" s="462">
        <f t="shared" ca="1" si="2"/>
        <v>8.7013893496078776</v>
      </c>
      <c r="Z12" s="462">
        <f t="shared" ca="1" si="2"/>
        <v>3.7585105493132165</v>
      </c>
      <c r="AA12" s="462">
        <f t="shared" ca="1" si="2"/>
        <v>3.7960956548063485</v>
      </c>
      <c r="AB12" s="462">
        <f t="shared" ca="1" si="2"/>
        <v>3.8340566113544119</v>
      </c>
      <c r="AC12" s="462">
        <f t="shared" ca="1" si="2"/>
        <v>3.8723971774679562</v>
      </c>
      <c r="AD12" s="462">
        <f t="shared" ca="1" si="2"/>
        <v>3.9111211492426357</v>
      </c>
      <c r="AE12" s="462">
        <f t="shared" ca="1" si="2"/>
        <v>3.950232360735062</v>
      </c>
      <c r="AF12" s="462">
        <f t="shared" ca="1" si="2"/>
        <v>3.9897346843424129</v>
      </c>
      <c r="AG12" s="462">
        <f t="shared" ca="1" si="2"/>
        <v>4.0296320311858373</v>
      </c>
      <c r="AH12" s="462">
        <f t="shared" ca="1" si="2"/>
        <v>4.0699283514976958</v>
      </c>
      <c r="AI12" s="462">
        <f t="shared" ca="1" si="2"/>
        <v>4.1106276350126727</v>
      </c>
      <c r="AJ12" s="462">
        <f t="shared" ca="1" si="2"/>
        <v>4.1517339113627996</v>
      </c>
      <c r="AK12" s="462">
        <f t="shared" ca="1" si="2"/>
        <v>4.1932512504764272</v>
      </c>
      <c r="AL12" s="462">
        <f t="shared" ca="1" si="2"/>
        <v>4.2351837629811913</v>
      </c>
      <c r="AM12" s="175"/>
      <c r="AO12" s="807"/>
      <c r="AP12" s="807"/>
      <c r="AQ12" s="807"/>
      <c r="AR12" s="807"/>
      <c r="AS12" s="807"/>
      <c r="AT12" s="807"/>
      <c r="AU12" s="807"/>
      <c r="AV12" s="807"/>
      <c r="AW12" s="807"/>
      <c r="AX12" s="807"/>
      <c r="AY12" s="807"/>
      <c r="AZ12" s="807"/>
      <c r="BA12" s="807"/>
      <c r="BB12" s="807"/>
      <c r="BC12" s="807"/>
      <c r="BD12" s="807"/>
      <c r="BE12" s="807"/>
    </row>
    <row r="13" spans="1:57" x14ac:dyDescent="0.3">
      <c r="C13" s="173"/>
      <c r="D13" s="72"/>
      <c r="E13" s="72"/>
      <c r="F13" s="72"/>
      <c r="G13" s="72"/>
      <c r="H13" s="72"/>
      <c r="I13" s="72"/>
      <c r="J13" s="72"/>
      <c r="K13" s="462"/>
      <c r="L13" s="462"/>
      <c r="M13" s="462"/>
      <c r="N13" s="462"/>
      <c r="O13" s="462"/>
      <c r="P13" s="462"/>
      <c r="Q13" s="462"/>
      <c r="R13" s="462"/>
      <c r="S13" s="462"/>
      <c r="T13" s="462"/>
      <c r="U13" s="462"/>
      <c r="V13" s="462"/>
      <c r="W13" s="462"/>
      <c r="X13" s="462"/>
      <c r="Y13" s="462"/>
      <c r="Z13" s="462"/>
      <c r="AA13" s="462"/>
      <c r="AB13" s="462"/>
      <c r="AC13" s="462"/>
      <c r="AD13" s="462"/>
      <c r="AE13" s="462"/>
      <c r="AF13" s="462"/>
      <c r="AG13" s="462"/>
      <c r="AH13" s="462"/>
      <c r="AI13" s="462"/>
      <c r="AJ13" s="462"/>
      <c r="AK13" s="462"/>
      <c r="AL13" s="462"/>
      <c r="AM13" s="175"/>
      <c r="AO13" s="807"/>
      <c r="AP13" s="807"/>
      <c r="AQ13" s="807"/>
      <c r="AR13" s="807"/>
      <c r="AS13" s="807"/>
      <c r="AT13" s="807"/>
      <c r="AU13" s="807"/>
      <c r="AV13" s="807"/>
      <c r="AW13" s="807"/>
      <c r="AX13" s="807"/>
      <c r="AY13" s="807"/>
      <c r="AZ13" s="807"/>
      <c r="BA13" s="807"/>
      <c r="BB13" s="807"/>
      <c r="BC13" s="807"/>
      <c r="BD13" s="807"/>
      <c r="BE13" s="807"/>
    </row>
    <row r="14" spans="1:57" x14ac:dyDescent="0.3">
      <c r="C14" s="173"/>
      <c r="D14" s="72"/>
      <c r="E14" s="502" t="s">
        <v>27</v>
      </c>
      <c r="F14" s="72"/>
      <c r="G14" s="72"/>
      <c r="H14" s="72"/>
      <c r="I14" s="72"/>
      <c r="J14" s="72"/>
      <c r="K14" s="462"/>
      <c r="L14" s="462"/>
      <c r="M14" s="462"/>
      <c r="N14" s="462"/>
      <c r="O14" s="462"/>
      <c r="P14" s="462"/>
      <c r="Q14" s="462"/>
      <c r="R14" s="462"/>
      <c r="S14" s="462"/>
      <c r="T14" s="462"/>
      <c r="U14" s="462"/>
      <c r="V14" s="462"/>
      <c r="W14" s="462">
        <f t="shared" ref="W14:AL14" ca="1" si="3">+SUMIF($D$31:$G$1619,$E14,W$31:W$1619)</f>
        <v>1.0980896579185522</v>
      </c>
      <c r="X14" s="462">
        <f t="shared" ca="1" si="3"/>
        <v>1.1001400987863676</v>
      </c>
      <c r="Y14" s="462">
        <f t="shared" ca="1" si="3"/>
        <v>1.7289796981186065</v>
      </c>
      <c r="Z14" s="462">
        <f t="shared" ca="1" si="3"/>
        <v>1.7181940806702396</v>
      </c>
      <c r="AA14" s="462">
        <f t="shared" ca="1" si="3"/>
        <v>1.735376021476942</v>
      </c>
      <c r="AB14" s="462">
        <f t="shared" ca="1" si="3"/>
        <v>1.7527297816917116</v>
      </c>
      <c r="AC14" s="462">
        <f t="shared" ca="1" si="3"/>
        <v>1.7702570795086288</v>
      </c>
      <c r="AD14" s="462">
        <f t="shared" ca="1" si="3"/>
        <v>1.7879596503037152</v>
      </c>
      <c r="AE14" s="462">
        <f t="shared" ca="1" si="3"/>
        <v>1.8058392468067523</v>
      </c>
      <c r="AF14" s="462">
        <f t="shared" ca="1" si="3"/>
        <v>1.8238976392748198</v>
      </c>
      <c r="AG14" s="462">
        <f t="shared" ca="1" si="3"/>
        <v>1.842136615667568</v>
      </c>
      <c r="AH14" s="462">
        <f t="shared" ca="1" si="3"/>
        <v>1.8605579818242437</v>
      </c>
      <c r="AI14" s="462">
        <f t="shared" ca="1" si="3"/>
        <v>1.8791635616424862</v>
      </c>
      <c r="AJ14" s="462">
        <f t="shared" ca="1" si="3"/>
        <v>1.897955197258911</v>
      </c>
      <c r="AK14" s="462">
        <f t="shared" ca="1" si="3"/>
        <v>1.9169347492315001</v>
      </c>
      <c r="AL14" s="462">
        <f t="shared" ca="1" si="3"/>
        <v>1.936104096723815</v>
      </c>
      <c r="AM14" s="175"/>
      <c r="AO14" s="807"/>
      <c r="AP14" s="807"/>
      <c r="AQ14" s="807"/>
      <c r="AR14" s="807"/>
      <c r="AS14" s="807"/>
      <c r="AT14" s="807"/>
      <c r="AU14" s="807"/>
      <c r="AV14" s="807"/>
      <c r="AW14" s="807"/>
      <c r="AX14" s="807"/>
      <c r="AY14" s="807"/>
      <c r="AZ14" s="807"/>
      <c r="BA14" s="807"/>
      <c r="BB14" s="807"/>
      <c r="BC14" s="807"/>
      <c r="BD14" s="807"/>
      <c r="BE14" s="807"/>
    </row>
    <row r="15" spans="1:57" x14ac:dyDescent="0.3">
      <c r="C15" s="173"/>
      <c r="D15" s="72"/>
      <c r="E15" s="502"/>
      <c r="F15" s="72"/>
      <c r="G15" s="72"/>
      <c r="H15" s="72"/>
      <c r="I15" s="72"/>
      <c r="J15" s="72"/>
      <c r="K15" s="462"/>
      <c r="L15" s="462"/>
      <c r="M15" s="462"/>
      <c r="N15" s="462"/>
      <c r="O15" s="462"/>
      <c r="P15" s="462"/>
      <c r="Q15" s="462"/>
      <c r="R15" s="462"/>
      <c r="S15" s="462"/>
      <c r="T15" s="462"/>
      <c r="U15" s="462"/>
      <c r="V15" s="462"/>
      <c r="W15" s="462"/>
      <c r="X15" s="462"/>
      <c r="Y15" s="462"/>
      <c r="Z15" s="462"/>
      <c r="AA15" s="462"/>
      <c r="AB15" s="462"/>
      <c r="AC15" s="462"/>
      <c r="AD15" s="462"/>
      <c r="AE15" s="462"/>
      <c r="AF15" s="462"/>
      <c r="AG15" s="462"/>
      <c r="AH15" s="462"/>
      <c r="AI15" s="462"/>
      <c r="AJ15" s="462"/>
      <c r="AK15" s="462"/>
      <c r="AL15" s="462"/>
      <c r="AM15" s="175"/>
      <c r="AO15" s="807"/>
      <c r="AP15" s="807"/>
      <c r="AQ15" s="807"/>
      <c r="AR15" s="807"/>
      <c r="AS15" s="807"/>
      <c r="AT15" s="807"/>
      <c r="AU15" s="807"/>
      <c r="AV15" s="807"/>
      <c r="AW15" s="807"/>
      <c r="AX15" s="807"/>
      <c r="AY15" s="807"/>
      <c r="AZ15" s="807"/>
      <c r="BA15" s="807"/>
      <c r="BB15" s="807"/>
      <c r="BC15" s="807"/>
      <c r="BD15" s="807"/>
      <c r="BE15" s="807"/>
    </row>
    <row r="16" spans="1:57" x14ac:dyDescent="0.3">
      <c r="C16" s="173"/>
      <c r="D16" s="72"/>
      <c r="E16" s="435" t="s">
        <v>24</v>
      </c>
      <c r="F16" s="72"/>
      <c r="G16" s="72"/>
      <c r="H16" s="72"/>
      <c r="I16" s="72"/>
      <c r="J16" s="72"/>
      <c r="K16" s="462"/>
      <c r="L16" s="462"/>
      <c r="M16" s="462"/>
      <c r="N16" s="462"/>
      <c r="O16" s="462"/>
      <c r="P16" s="462"/>
      <c r="Q16" s="462"/>
      <c r="R16" s="462"/>
      <c r="S16" s="462"/>
      <c r="T16" s="462"/>
      <c r="U16" s="462"/>
      <c r="V16" s="462"/>
      <c r="W16" s="462">
        <f t="shared" ref="W16:AL18" ca="1" si="4">+SUMIF($D$31:$G$1619,$E16,W$31:W$1619)</f>
        <v>0</v>
      </c>
      <c r="X16" s="462">
        <f t="shared" ca="1" si="4"/>
        <v>0</v>
      </c>
      <c r="Y16" s="462">
        <f t="shared" ca="1" si="4"/>
        <v>0</v>
      </c>
      <c r="Z16" s="462">
        <f t="shared" ca="1" si="4"/>
        <v>0</v>
      </c>
      <c r="AA16" s="462">
        <f t="shared" ca="1" si="4"/>
        <v>0</v>
      </c>
      <c r="AB16" s="297">
        <f t="shared" ca="1" si="4"/>
        <v>0</v>
      </c>
      <c r="AC16" s="462">
        <f t="shared" ca="1" si="4"/>
        <v>0</v>
      </c>
      <c r="AD16" s="462">
        <f t="shared" ca="1" si="4"/>
        <v>0</v>
      </c>
      <c r="AE16" s="462">
        <f t="shared" ca="1" si="4"/>
        <v>0</v>
      </c>
      <c r="AF16" s="462">
        <f t="shared" ca="1" si="4"/>
        <v>0</v>
      </c>
      <c r="AG16" s="462">
        <f t="shared" ca="1" si="4"/>
        <v>0</v>
      </c>
      <c r="AH16" s="462">
        <f t="shared" ca="1" si="4"/>
        <v>0</v>
      </c>
      <c r="AI16" s="462">
        <f t="shared" ca="1" si="4"/>
        <v>0</v>
      </c>
      <c r="AJ16" s="462">
        <f t="shared" ca="1" si="4"/>
        <v>0</v>
      </c>
      <c r="AK16" s="462">
        <f t="shared" ca="1" si="4"/>
        <v>0</v>
      </c>
      <c r="AL16" s="462">
        <f t="shared" ca="1" si="4"/>
        <v>0</v>
      </c>
      <c r="AM16" s="175"/>
      <c r="AO16" s="807"/>
      <c r="AP16" s="807"/>
      <c r="AQ16" s="807"/>
      <c r="AR16" s="807"/>
      <c r="AS16" s="807"/>
      <c r="AT16" s="807"/>
      <c r="AU16" s="807"/>
      <c r="AV16" s="807"/>
      <c r="AW16" s="807"/>
      <c r="AX16" s="807"/>
      <c r="AY16" s="807"/>
      <c r="AZ16" s="807"/>
      <c r="BA16" s="807"/>
      <c r="BB16" s="807"/>
      <c r="BC16" s="807"/>
      <c r="BD16" s="807"/>
      <c r="BE16" s="807"/>
    </row>
    <row r="17" spans="2:57" x14ac:dyDescent="0.3">
      <c r="C17" s="173"/>
      <c r="D17" s="72"/>
      <c r="E17" s="435" t="s">
        <v>20</v>
      </c>
      <c r="F17" s="72"/>
      <c r="G17" s="72"/>
      <c r="H17" s="72"/>
      <c r="I17" s="72"/>
      <c r="J17" s="72"/>
      <c r="K17" s="462"/>
      <c r="L17" s="462"/>
      <c r="M17" s="462"/>
      <c r="N17" s="462"/>
      <c r="O17" s="462"/>
      <c r="P17" s="462"/>
      <c r="Q17" s="462"/>
      <c r="R17" s="462"/>
      <c r="S17" s="462"/>
      <c r="T17" s="462"/>
      <c r="U17" s="462"/>
      <c r="V17" s="462"/>
      <c r="W17" s="462">
        <f t="shared" ca="1" si="4"/>
        <v>0</v>
      </c>
      <c r="X17" s="462">
        <f t="shared" ca="1" si="4"/>
        <v>0</v>
      </c>
      <c r="Y17" s="462">
        <f t="shared" ca="1" si="4"/>
        <v>0</v>
      </c>
      <c r="Z17" s="462">
        <f t="shared" ca="1" si="4"/>
        <v>0</v>
      </c>
      <c r="AA17" s="462">
        <f t="shared" ca="1" si="4"/>
        <v>0</v>
      </c>
      <c r="AB17" s="462">
        <f t="shared" ca="1" si="4"/>
        <v>0</v>
      </c>
      <c r="AC17" s="462">
        <f t="shared" ca="1" si="4"/>
        <v>0</v>
      </c>
      <c r="AD17" s="462">
        <f t="shared" ca="1" si="4"/>
        <v>0</v>
      </c>
      <c r="AE17" s="462">
        <f t="shared" ca="1" si="4"/>
        <v>0</v>
      </c>
      <c r="AF17" s="462">
        <f t="shared" ca="1" si="4"/>
        <v>0</v>
      </c>
      <c r="AG17" s="462">
        <f t="shared" ca="1" si="4"/>
        <v>0</v>
      </c>
      <c r="AH17" s="462">
        <f t="shared" ca="1" si="4"/>
        <v>0</v>
      </c>
      <c r="AI17" s="462">
        <f t="shared" ca="1" si="4"/>
        <v>0</v>
      </c>
      <c r="AJ17" s="462">
        <f t="shared" ca="1" si="4"/>
        <v>0</v>
      </c>
      <c r="AK17" s="462">
        <f t="shared" ca="1" si="4"/>
        <v>0</v>
      </c>
      <c r="AL17" s="462">
        <f t="shared" ca="1" si="4"/>
        <v>0</v>
      </c>
      <c r="AM17" s="175"/>
      <c r="AO17" s="807"/>
      <c r="AP17" s="807"/>
      <c r="AQ17" s="807"/>
      <c r="AR17" s="807"/>
      <c r="AS17" s="807"/>
      <c r="AT17" s="807"/>
      <c r="AU17" s="807"/>
      <c r="AV17" s="807"/>
      <c r="AW17" s="807"/>
      <c r="AX17" s="807"/>
      <c r="AY17" s="807"/>
      <c r="AZ17" s="807"/>
      <c r="BA17" s="807"/>
      <c r="BB17" s="807"/>
      <c r="BC17" s="807"/>
      <c r="BD17" s="807"/>
      <c r="BE17" s="807"/>
    </row>
    <row r="18" spans="2:57" x14ac:dyDescent="0.3">
      <c r="C18" s="173"/>
      <c r="D18" s="72"/>
      <c r="E18" s="435" t="s">
        <v>23</v>
      </c>
      <c r="F18" s="72"/>
      <c r="G18" s="72"/>
      <c r="H18" s="72"/>
      <c r="I18" s="72"/>
      <c r="J18" s="72"/>
      <c r="K18" s="462"/>
      <c r="L18" s="462"/>
      <c r="M18" s="462"/>
      <c r="N18" s="462"/>
      <c r="O18" s="462"/>
      <c r="P18" s="462"/>
      <c r="Q18" s="462"/>
      <c r="R18" s="462"/>
      <c r="S18" s="462"/>
      <c r="T18" s="462"/>
      <c r="U18" s="462"/>
      <c r="V18" s="462"/>
      <c r="W18" s="462">
        <f t="shared" ca="1" si="4"/>
        <v>0</v>
      </c>
      <c r="X18" s="462">
        <f t="shared" ca="1" si="4"/>
        <v>0</v>
      </c>
      <c r="Y18" s="462">
        <f t="shared" ca="1" si="4"/>
        <v>0</v>
      </c>
      <c r="Z18" s="462">
        <f t="shared" ca="1" si="4"/>
        <v>0</v>
      </c>
      <c r="AA18" s="462">
        <f t="shared" ca="1" si="4"/>
        <v>0</v>
      </c>
      <c r="AB18" s="462">
        <f t="shared" ca="1" si="4"/>
        <v>0</v>
      </c>
      <c r="AC18" s="462">
        <f t="shared" ca="1" si="4"/>
        <v>0</v>
      </c>
      <c r="AD18" s="462">
        <f t="shared" ca="1" si="4"/>
        <v>0</v>
      </c>
      <c r="AE18" s="462">
        <f t="shared" ca="1" si="4"/>
        <v>0</v>
      </c>
      <c r="AF18" s="462">
        <f t="shared" ca="1" si="4"/>
        <v>0</v>
      </c>
      <c r="AG18" s="462">
        <f t="shared" ca="1" si="4"/>
        <v>0</v>
      </c>
      <c r="AH18" s="462">
        <f t="shared" ca="1" si="4"/>
        <v>0</v>
      </c>
      <c r="AI18" s="462">
        <f t="shared" ca="1" si="4"/>
        <v>0</v>
      </c>
      <c r="AJ18" s="462">
        <f t="shared" ca="1" si="4"/>
        <v>0</v>
      </c>
      <c r="AK18" s="462">
        <f t="shared" ca="1" si="4"/>
        <v>0</v>
      </c>
      <c r="AL18" s="462">
        <f t="shared" ca="1" si="4"/>
        <v>0</v>
      </c>
      <c r="AM18" s="175"/>
      <c r="AO18" s="807"/>
      <c r="AP18" s="807"/>
      <c r="AQ18" s="807"/>
      <c r="AR18" s="807"/>
      <c r="AS18" s="807"/>
      <c r="AT18" s="807"/>
      <c r="AU18" s="807"/>
      <c r="AV18" s="807"/>
      <c r="AW18" s="807"/>
      <c r="AX18" s="807"/>
      <c r="AY18" s="807"/>
      <c r="AZ18" s="807"/>
      <c r="BA18" s="807"/>
      <c r="BB18" s="807"/>
      <c r="BC18" s="807"/>
      <c r="BD18" s="807"/>
      <c r="BE18" s="807"/>
    </row>
    <row r="19" spans="2:57" ht="12.5" thickBot="1" x14ac:dyDescent="0.35">
      <c r="C19" s="173"/>
      <c r="D19" s="72"/>
      <c r="E19" s="466" t="s">
        <v>265</v>
      </c>
      <c r="F19" s="72"/>
      <c r="G19" s="72"/>
      <c r="H19" s="72"/>
      <c r="I19" s="72"/>
      <c r="J19" s="72"/>
      <c r="K19" s="513"/>
      <c r="L19" s="513"/>
      <c r="M19" s="513"/>
      <c r="N19" s="513"/>
      <c r="O19" s="513"/>
      <c r="P19" s="513"/>
      <c r="Q19" s="513"/>
      <c r="R19" s="513"/>
      <c r="S19" s="513"/>
      <c r="T19" s="513"/>
      <c r="U19" s="513"/>
      <c r="V19" s="513"/>
      <c r="W19" s="513">
        <f t="shared" ref="W19" ca="1" si="5">+W16-W17-W18</f>
        <v>0</v>
      </c>
      <c r="X19" s="513">
        <f t="shared" ref="X19:AG19" ca="1" si="6">+X16-X17-X18</f>
        <v>0</v>
      </c>
      <c r="Y19" s="513">
        <f t="shared" ca="1" si="6"/>
        <v>0</v>
      </c>
      <c r="Z19" s="513">
        <f t="shared" ca="1" si="6"/>
        <v>0</v>
      </c>
      <c r="AA19" s="513">
        <f t="shared" ca="1" si="6"/>
        <v>0</v>
      </c>
      <c r="AB19" s="513">
        <f t="shared" ca="1" si="6"/>
        <v>0</v>
      </c>
      <c r="AC19" s="513">
        <f t="shared" ca="1" si="6"/>
        <v>0</v>
      </c>
      <c r="AD19" s="513">
        <f t="shared" ca="1" si="6"/>
        <v>0</v>
      </c>
      <c r="AE19" s="513">
        <f t="shared" ca="1" si="6"/>
        <v>0</v>
      </c>
      <c r="AF19" s="513">
        <f t="shared" ca="1" si="6"/>
        <v>0</v>
      </c>
      <c r="AG19" s="513">
        <f t="shared" ca="1" si="6"/>
        <v>0</v>
      </c>
      <c r="AH19" s="513">
        <f ca="1">+AH16-AH17-AH18</f>
        <v>0</v>
      </c>
      <c r="AI19" s="513">
        <f ca="1">+AI16-AI17-AI18</f>
        <v>0</v>
      </c>
      <c r="AJ19" s="513">
        <f ca="1">+AJ16-AJ17-AJ18</f>
        <v>0</v>
      </c>
      <c r="AK19" s="513">
        <f ca="1">+AK16-AK17-AK18</f>
        <v>0</v>
      </c>
      <c r="AL19" s="513">
        <f ca="1">+AL16-AL17-AL18</f>
        <v>0</v>
      </c>
      <c r="AM19" s="175"/>
      <c r="AO19" s="807"/>
      <c r="AP19" s="807"/>
      <c r="AQ19" s="807"/>
      <c r="AR19" s="807"/>
      <c r="AS19" s="807"/>
      <c r="AT19" s="807"/>
      <c r="AU19" s="807"/>
      <c r="AV19" s="807"/>
      <c r="AW19" s="807"/>
      <c r="AX19" s="807"/>
      <c r="AY19" s="807"/>
      <c r="AZ19" s="807"/>
      <c r="BA19" s="807"/>
      <c r="BB19" s="807"/>
      <c r="BC19" s="807"/>
      <c r="BD19" s="807"/>
      <c r="BE19" s="807"/>
    </row>
    <row r="20" spans="2:57" x14ac:dyDescent="0.3">
      <c r="C20" s="173"/>
      <c r="D20" s="72"/>
      <c r="E20" s="466"/>
      <c r="F20" s="72"/>
      <c r="G20" s="72"/>
      <c r="H20" s="72"/>
      <c r="I20" s="72"/>
      <c r="J20" s="72"/>
      <c r="K20" s="462"/>
      <c r="L20" s="462"/>
      <c r="M20" s="462"/>
      <c r="N20" s="462"/>
      <c r="O20" s="462"/>
      <c r="P20" s="462"/>
      <c r="Q20" s="462"/>
      <c r="R20" s="462"/>
      <c r="S20" s="462"/>
      <c r="T20" s="462"/>
      <c r="U20" s="462"/>
      <c r="V20" s="462"/>
      <c r="W20" s="462"/>
      <c r="X20" s="462"/>
      <c r="Y20" s="462"/>
      <c r="Z20" s="462"/>
      <c r="AA20" s="462"/>
      <c r="AB20" s="462"/>
      <c r="AC20" s="462"/>
      <c r="AD20" s="462"/>
      <c r="AE20" s="462"/>
      <c r="AF20" s="462"/>
      <c r="AG20" s="462"/>
      <c r="AH20" s="462"/>
      <c r="AI20" s="462"/>
      <c r="AJ20" s="462"/>
      <c r="AK20" s="462"/>
      <c r="AL20" s="462"/>
      <c r="AM20" s="175"/>
      <c r="AO20" s="807"/>
      <c r="AP20" s="807"/>
      <c r="AQ20" s="807"/>
      <c r="AR20" s="807"/>
      <c r="AS20" s="807"/>
      <c r="AT20" s="807"/>
      <c r="AU20" s="807"/>
      <c r="AV20" s="807"/>
      <c r="AW20" s="807"/>
      <c r="AX20" s="807"/>
      <c r="AY20" s="807"/>
      <c r="AZ20" s="807"/>
      <c r="BA20" s="807"/>
      <c r="BB20" s="807"/>
      <c r="BC20" s="807"/>
      <c r="BD20" s="807"/>
      <c r="BE20" s="807"/>
    </row>
    <row r="21" spans="2:57" x14ac:dyDescent="0.3">
      <c r="C21" s="173"/>
      <c r="D21" s="72"/>
      <c r="E21" s="435" t="s">
        <v>62</v>
      </c>
      <c r="F21" s="72"/>
      <c r="G21" s="72"/>
      <c r="H21" s="72"/>
      <c r="I21" s="72"/>
      <c r="J21" s="72"/>
      <c r="K21" s="462"/>
      <c r="L21" s="462"/>
      <c r="M21" s="462"/>
      <c r="N21" s="462"/>
      <c r="O21" s="462"/>
      <c r="P21" s="462"/>
      <c r="Q21" s="462"/>
      <c r="R21" s="462"/>
      <c r="S21" s="462"/>
      <c r="T21" s="462"/>
      <c r="U21" s="462"/>
      <c r="V21" s="462"/>
      <c r="W21" s="462">
        <f t="shared" ref="W21:AL22" ca="1" si="7">+SUMIF($D$31:$G$1619,$E21,W$31:W$1619)</f>
        <v>0</v>
      </c>
      <c r="X21" s="462">
        <f t="shared" ca="1" si="7"/>
        <v>0</v>
      </c>
      <c r="Y21" s="462">
        <f t="shared" ca="1" si="7"/>
        <v>0</v>
      </c>
      <c r="Z21" s="462">
        <f t="shared" ca="1" si="7"/>
        <v>0</v>
      </c>
      <c r="AA21" s="462">
        <f t="shared" ca="1" si="7"/>
        <v>0</v>
      </c>
      <c r="AB21" s="462">
        <f t="shared" ca="1" si="7"/>
        <v>0</v>
      </c>
      <c r="AC21" s="462">
        <f t="shared" ca="1" si="7"/>
        <v>0</v>
      </c>
      <c r="AD21" s="462">
        <f t="shared" ca="1" si="7"/>
        <v>0</v>
      </c>
      <c r="AE21" s="462">
        <f t="shared" ca="1" si="7"/>
        <v>0</v>
      </c>
      <c r="AF21" s="462">
        <f t="shared" ca="1" si="7"/>
        <v>0</v>
      </c>
      <c r="AG21" s="462">
        <f t="shared" ca="1" si="7"/>
        <v>0</v>
      </c>
      <c r="AH21" s="462">
        <f t="shared" ca="1" si="7"/>
        <v>0</v>
      </c>
      <c r="AI21" s="462">
        <f t="shared" ca="1" si="7"/>
        <v>0</v>
      </c>
      <c r="AJ21" s="462">
        <f t="shared" ca="1" si="7"/>
        <v>0</v>
      </c>
      <c r="AK21" s="462">
        <f t="shared" ca="1" si="7"/>
        <v>0</v>
      </c>
      <c r="AL21" s="462">
        <f t="shared" ca="1" si="7"/>
        <v>0</v>
      </c>
      <c r="AM21" s="175"/>
      <c r="AO21" s="807"/>
      <c r="AP21" s="807"/>
      <c r="AQ21" s="807"/>
      <c r="AR21" s="807"/>
      <c r="AS21" s="807"/>
      <c r="AT21" s="807"/>
      <c r="AU21" s="807"/>
      <c r="AV21" s="807"/>
      <c r="AW21" s="807"/>
      <c r="AX21" s="807"/>
      <c r="AY21" s="807"/>
      <c r="AZ21" s="807"/>
      <c r="BA21" s="807"/>
      <c r="BB21" s="807"/>
      <c r="BC21" s="807"/>
      <c r="BD21" s="807"/>
      <c r="BE21" s="807"/>
    </row>
    <row r="22" spans="2:57" x14ac:dyDescent="0.3">
      <c r="C22" s="173"/>
      <c r="D22" s="72"/>
      <c r="E22" s="435" t="s">
        <v>19</v>
      </c>
      <c r="F22" s="72"/>
      <c r="G22" s="72"/>
      <c r="H22" s="72"/>
      <c r="I22" s="72"/>
      <c r="J22" s="72"/>
      <c r="K22" s="462"/>
      <c r="L22" s="462"/>
      <c r="M22" s="462"/>
      <c r="N22" s="462"/>
      <c r="O22" s="462"/>
      <c r="P22" s="462"/>
      <c r="Q22" s="462"/>
      <c r="R22" s="462"/>
      <c r="S22" s="462"/>
      <c r="T22" s="462"/>
      <c r="U22" s="462"/>
      <c r="V22" s="462"/>
      <c r="W22" s="462">
        <f t="shared" ca="1" si="7"/>
        <v>0</v>
      </c>
      <c r="X22" s="462">
        <f t="shared" ca="1" si="7"/>
        <v>0</v>
      </c>
      <c r="Y22" s="462">
        <f t="shared" ca="1" si="7"/>
        <v>0</v>
      </c>
      <c r="Z22" s="462">
        <f t="shared" ca="1" si="7"/>
        <v>0</v>
      </c>
      <c r="AA22" s="462">
        <f t="shared" ca="1" si="7"/>
        <v>0</v>
      </c>
      <c r="AB22" s="462">
        <f t="shared" ca="1" si="7"/>
        <v>0</v>
      </c>
      <c r="AC22" s="462">
        <f t="shared" ca="1" si="7"/>
        <v>0</v>
      </c>
      <c r="AD22" s="462">
        <f t="shared" ca="1" si="7"/>
        <v>0</v>
      </c>
      <c r="AE22" s="462">
        <f t="shared" ca="1" si="7"/>
        <v>0</v>
      </c>
      <c r="AF22" s="462">
        <f t="shared" ca="1" si="7"/>
        <v>0</v>
      </c>
      <c r="AG22" s="462">
        <f t="shared" ca="1" si="7"/>
        <v>0</v>
      </c>
      <c r="AH22" s="462">
        <f t="shared" ca="1" si="7"/>
        <v>0</v>
      </c>
      <c r="AI22" s="462">
        <f t="shared" ca="1" si="7"/>
        <v>0</v>
      </c>
      <c r="AJ22" s="462">
        <f t="shared" ca="1" si="7"/>
        <v>0</v>
      </c>
      <c r="AK22" s="462">
        <f t="shared" ca="1" si="7"/>
        <v>0</v>
      </c>
      <c r="AL22" s="462">
        <f t="shared" ca="1" si="7"/>
        <v>0</v>
      </c>
      <c r="AM22" s="175"/>
      <c r="AO22" s="807"/>
      <c r="AP22" s="807"/>
      <c r="AQ22" s="807"/>
      <c r="AR22" s="807"/>
      <c r="AS22" s="807"/>
      <c r="AT22" s="807"/>
      <c r="AU22" s="807"/>
      <c r="AV22" s="807"/>
      <c r="AW22" s="807"/>
      <c r="AX22" s="807"/>
      <c r="AY22" s="807"/>
      <c r="AZ22" s="807"/>
      <c r="BA22" s="807"/>
      <c r="BB22" s="807"/>
      <c r="BC22" s="807"/>
      <c r="BD22" s="807"/>
      <c r="BE22" s="807"/>
    </row>
    <row r="23" spans="2:57" ht="12.5" thickBot="1" x14ac:dyDescent="0.35">
      <c r="C23" s="179"/>
      <c r="D23" s="180"/>
      <c r="E23" s="180"/>
      <c r="F23" s="180"/>
      <c r="G23" s="180"/>
      <c r="H23" s="180"/>
      <c r="I23" s="180"/>
      <c r="J23" s="180"/>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c r="AJ23" s="419"/>
      <c r="AK23" s="419"/>
      <c r="AL23" s="419"/>
      <c r="AM23" s="182"/>
    </row>
    <row r="24" spans="2:57" x14ac:dyDescent="0.3">
      <c r="C24" s="243"/>
      <c r="D24" s="243"/>
      <c r="E24" s="243"/>
      <c r="F24" s="243"/>
      <c r="G24" s="243"/>
      <c r="H24" s="243"/>
      <c r="I24" s="243"/>
      <c r="J24" s="243"/>
      <c r="K24" s="1061"/>
      <c r="L24" s="1061"/>
      <c r="M24" s="1061"/>
      <c r="N24" s="1061"/>
      <c r="O24" s="1061"/>
      <c r="P24" s="1061"/>
      <c r="Q24" s="1061"/>
      <c r="R24" s="1061"/>
      <c r="S24" s="1061"/>
      <c r="T24" s="1061"/>
      <c r="U24" s="1061"/>
      <c r="V24" s="1061"/>
      <c r="W24" s="1061"/>
      <c r="X24" s="1061"/>
      <c r="Y24" s="1061"/>
      <c r="Z24" s="1061"/>
      <c r="AA24" s="1061"/>
      <c r="AB24" s="1061"/>
      <c r="AC24" s="1061"/>
      <c r="AD24" s="1061"/>
      <c r="AE24" s="1061"/>
      <c r="AF24" s="1061"/>
      <c r="AG24" s="1061"/>
      <c r="AH24" s="1061"/>
      <c r="AI24" s="1061"/>
      <c r="AJ24" s="1061"/>
      <c r="AK24" s="1061"/>
      <c r="AL24" s="1061"/>
    </row>
    <row r="25" spans="2:57" x14ac:dyDescent="0.3">
      <c r="C25" s="243"/>
      <c r="D25" s="243"/>
      <c r="E25" s="243"/>
      <c r="F25" s="243"/>
      <c r="G25" s="243"/>
      <c r="H25" s="243"/>
      <c r="I25" s="243"/>
      <c r="J25" s="243"/>
      <c r="K25" s="1062"/>
      <c r="L25" s="1062"/>
      <c r="M25" s="1062"/>
      <c r="N25" s="1062"/>
      <c r="O25" s="1062"/>
      <c r="P25" s="1062"/>
      <c r="Q25" s="1062"/>
      <c r="R25" s="1062"/>
      <c r="S25" s="1062"/>
      <c r="T25" s="1062"/>
      <c r="U25" s="1062"/>
      <c r="V25" s="1062"/>
      <c r="W25" s="1062"/>
      <c r="X25" s="1062"/>
      <c r="Y25" s="1062"/>
      <c r="Z25" s="1062"/>
      <c r="AA25" s="1062"/>
      <c r="AB25" s="1062"/>
      <c r="AC25" s="1062"/>
      <c r="AD25" s="1062"/>
      <c r="AE25" s="1062"/>
      <c r="AF25" s="1062"/>
      <c r="AG25" s="1062"/>
      <c r="AH25" s="1062"/>
      <c r="AI25" s="1062"/>
      <c r="AJ25" s="1062"/>
      <c r="AK25" s="1062"/>
      <c r="AL25" s="1062"/>
    </row>
    <row r="26" spans="2:57" x14ac:dyDescent="0.3">
      <c r="B26" s="296" t="s">
        <v>68</v>
      </c>
      <c r="I26" s="126"/>
      <c r="J26" s="126"/>
      <c r="K26" s="611"/>
      <c r="L26" s="423"/>
      <c r="M26" s="423"/>
      <c r="N26" s="423"/>
      <c r="O26" s="423"/>
      <c r="P26" s="423"/>
      <c r="Q26" s="423"/>
      <c r="R26" s="423"/>
      <c r="S26" s="294"/>
      <c r="T26" s="294"/>
      <c r="U26" s="294"/>
      <c r="V26" s="294"/>
      <c r="W26" s="294"/>
      <c r="X26" s="423"/>
      <c r="Y26" s="423"/>
      <c r="Z26" s="423"/>
      <c r="AA26" s="423"/>
      <c r="AB26" s="423"/>
      <c r="AC26" s="77"/>
      <c r="AD26" s="77"/>
      <c r="AE26" s="77"/>
      <c r="AF26" s="77"/>
      <c r="AG26" s="77"/>
      <c r="AH26" s="77"/>
      <c r="AI26" s="77"/>
      <c r="AJ26" s="77"/>
      <c r="AK26" s="77"/>
      <c r="AL26" s="77"/>
    </row>
    <row r="27" spans="2:57" x14ac:dyDescent="0.3">
      <c r="K27" s="423"/>
      <c r="L27" s="423"/>
      <c r="M27" s="423"/>
      <c r="N27" s="423"/>
      <c r="O27" s="423"/>
      <c r="P27" s="423"/>
      <c r="Q27" s="423"/>
      <c r="R27" s="423"/>
      <c r="S27" s="294"/>
      <c r="T27" s="294"/>
      <c r="U27" s="294"/>
      <c r="V27" s="294"/>
      <c r="W27" s="294"/>
      <c r="X27" s="294"/>
      <c r="Y27" s="294"/>
      <c r="Z27" s="294"/>
      <c r="AA27" s="294"/>
      <c r="AB27" s="294"/>
    </row>
    <row r="28" spans="2:57" x14ac:dyDescent="0.3">
      <c r="B28" s="126"/>
      <c r="C28" s="497"/>
      <c r="D28" s="102"/>
      <c r="E28" s="102"/>
      <c r="F28" s="102"/>
      <c r="G28" s="102"/>
      <c r="H28" s="126"/>
      <c r="I28" s="126"/>
      <c r="J28" s="126"/>
      <c r="K28" s="423"/>
      <c r="L28" s="423"/>
      <c r="M28" s="423"/>
      <c r="N28" s="423"/>
      <c r="O28" s="423"/>
      <c r="P28" s="423"/>
      <c r="Q28" s="423"/>
      <c r="R28" s="423"/>
      <c r="S28" s="302"/>
      <c r="T28" s="302"/>
      <c r="U28" s="302"/>
      <c r="V28" s="302"/>
      <c r="W28" s="302"/>
      <c r="X28" s="302"/>
      <c r="Y28" s="302"/>
      <c r="Z28" s="302"/>
      <c r="AA28" s="302"/>
      <c r="AB28" s="302"/>
    </row>
    <row r="29" spans="2:57" x14ac:dyDescent="0.3">
      <c r="B29" s="126"/>
      <c r="C29" s="612"/>
      <c r="D29" s="2400" t="s">
        <v>1050</v>
      </c>
      <c r="E29" s="2401"/>
      <c r="F29" s="2401"/>
      <c r="G29" s="2401"/>
      <c r="H29" s="2402"/>
      <c r="I29" s="613"/>
      <c r="J29" s="613"/>
      <c r="K29" s="305"/>
      <c r="L29" s="305"/>
      <c r="M29" s="305"/>
      <c r="N29" s="614"/>
      <c r="O29" s="614"/>
      <c r="P29" s="614"/>
      <c r="Q29" s="614"/>
      <c r="R29" s="614"/>
      <c r="S29" s="614"/>
      <c r="T29" s="614"/>
      <c r="U29" s="614"/>
      <c r="V29" s="614"/>
      <c r="W29" s="614"/>
      <c r="X29" s="614"/>
      <c r="Y29" s="614"/>
      <c r="Z29" s="614"/>
      <c r="AA29" s="614"/>
      <c r="AB29" s="614"/>
      <c r="AC29" s="614"/>
      <c r="AD29" s="614"/>
      <c r="AE29" s="614"/>
      <c r="AF29" s="614"/>
      <c r="AG29" s="614"/>
      <c r="AH29" s="614"/>
      <c r="AI29" s="614"/>
      <c r="AJ29" s="614"/>
      <c r="AK29" s="614"/>
      <c r="AL29" s="614"/>
      <c r="AM29" s="615"/>
    </row>
    <row r="30" spans="2:57" x14ac:dyDescent="0.3">
      <c r="B30" s="126"/>
      <c r="C30" s="501"/>
      <c r="D30" s="2107"/>
      <c r="E30" s="2107"/>
      <c r="F30" s="2107"/>
      <c r="G30" s="2107"/>
      <c r="H30" s="1304"/>
      <c r="I30" s="102"/>
      <c r="J30" s="102"/>
      <c r="K30" s="275"/>
      <c r="L30" s="275"/>
      <c r="M30" s="275"/>
      <c r="N30" s="297"/>
      <c r="O30" s="297"/>
      <c r="P30" s="297"/>
      <c r="Q30" s="297"/>
      <c r="R30" s="297"/>
      <c r="S30" s="297"/>
      <c r="T30" s="297"/>
      <c r="U30" s="297"/>
      <c r="V30" s="297"/>
      <c r="W30" s="297"/>
      <c r="X30" s="297"/>
      <c r="Y30" s="297"/>
      <c r="Z30" s="297"/>
      <c r="AA30" s="297"/>
      <c r="AB30" s="297"/>
      <c r="AC30" s="297"/>
      <c r="AD30" s="297"/>
      <c r="AE30" s="297"/>
      <c r="AF30" s="297"/>
      <c r="AG30" s="297"/>
      <c r="AH30" s="297"/>
      <c r="AI30" s="297"/>
      <c r="AJ30" s="297"/>
      <c r="AK30" s="297"/>
      <c r="AL30" s="297"/>
      <c r="AM30" s="110"/>
    </row>
    <row r="31" spans="2:57" x14ac:dyDescent="0.3">
      <c r="B31" s="126"/>
      <c r="C31" s="501"/>
      <c r="D31" s="2107" t="s">
        <v>69</v>
      </c>
      <c r="E31" s="2107"/>
      <c r="F31" s="2107"/>
      <c r="G31" s="2107"/>
      <c r="H31" s="1304"/>
      <c r="I31" s="102"/>
      <c r="J31" s="102"/>
      <c r="K31" s="316"/>
      <c r="L31" s="317"/>
      <c r="M31" s="317"/>
      <c r="N31" s="316"/>
      <c r="O31" s="317"/>
      <c r="P31" s="317"/>
      <c r="Q31" s="317"/>
      <c r="R31" s="317"/>
      <c r="S31" s="316"/>
      <c r="T31" s="317"/>
      <c r="U31" s="317"/>
      <c r="V31" s="317"/>
      <c r="W31" s="344">
        <v>4.6124123131221726</v>
      </c>
      <c r="X31" s="344">
        <v>6.1082183861210302</v>
      </c>
      <c r="Y31" s="345">
        <v>8.7013893496078776</v>
      </c>
      <c r="Z31" s="345">
        <v>3.7585105493132165</v>
      </c>
      <c r="AA31" s="345">
        <v>3.7960956548063485</v>
      </c>
      <c r="AB31" s="346">
        <v>3.8340566113544119</v>
      </c>
      <c r="AC31" s="344">
        <v>3.8723971774679562</v>
      </c>
      <c r="AD31" s="345">
        <v>3.9111211492426357</v>
      </c>
      <c r="AE31" s="345">
        <v>3.950232360735062</v>
      </c>
      <c r="AF31" s="345">
        <v>3.9897346843424129</v>
      </c>
      <c r="AG31" s="346">
        <v>4.0296320311858373</v>
      </c>
      <c r="AH31" s="344">
        <v>4.0699283514976958</v>
      </c>
      <c r="AI31" s="345">
        <v>4.1106276350126727</v>
      </c>
      <c r="AJ31" s="345">
        <v>4.1517339113627996</v>
      </c>
      <c r="AK31" s="345">
        <v>4.1932512504764272</v>
      </c>
      <c r="AL31" s="346">
        <v>4.2351837629811913</v>
      </c>
      <c r="AM31" s="110"/>
    </row>
    <row r="32" spans="2:57" x14ac:dyDescent="0.3">
      <c r="B32" s="126"/>
      <c r="C32" s="501"/>
      <c r="D32" s="2107"/>
      <c r="E32" s="2107"/>
      <c r="F32" s="2107"/>
      <c r="G32" s="2107"/>
      <c r="H32" s="1304"/>
      <c r="I32" s="102"/>
      <c r="J32" s="102"/>
      <c r="K32" s="275"/>
      <c r="L32" s="275"/>
      <c r="M32" s="275"/>
      <c r="N32" s="275"/>
      <c r="O32" s="275"/>
      <c r="P32" s="275"/>
      <c r="Q32" s="275"/>
      <c r="R32" s="275"/>
      <c r="S32" s="275"/>
      <c r="T32" s="275"/>
      <c r="U32" s="275"/>
      <c r="V32" s="275"/>
      <c r="W32" s="619"/>
      <c r="X32" s="619"/>
      <c r="Y32" s="619"/>
      <c r="Z32" s="619"/>
      <c r="AA32" s="619"/>
      <c r="AB32" s="619"/>
      <c r="AC32" s="619"/>
      <c r="AD32" s="619"/>
      <c r="AE32" s="619"/>
      <c r="AF32" s="619"/>
      <c r="AG32" s="619"/>
      <c r="AH32" s="619"/>
      <c r="AI32" s="619"/>
      <c r="AJ32" s="619"/>
      <c r="AK32" s="619"/>
      <c r="AL32" s="619"/>
      <c r="AM32" s="110"/>
    </row>
    <row r="33" spans="2:39" x14ac:dyDescent="0.3">
      <c r="B33" s="126"/>
      <c r="C33" s="501"/>
      <c r="D33" s="2107" t="s">
        <v>27</v>
      </c>
      <c r="E33" s="2107"/>
      <c r="F33" s="2107"/>
      <c r="G33" s="2107"/>
      <c r="H33" s="1304"/>
      <c r="I33" s="102"/>
      <c r="J33" s="102"/>
      <c r="K33" s="316"/>
      <c r="L33" s="317"/>
      <c r="M33" s="317"/>
      <c r="N33" s="316"/>
      <c r="O33" s="317"/>
      <c r="P33" s="317"/>
      <c r="Q33" s="317"/>
      <c r="R33" s="317"/>
      <c r="S33" s="316"/>
      <c r="T33" s="317"/>
      <c r="U33" s="317"/>
      <c r="V33" s="317"/>
      <c r="W33" s="344">
        <v>1.0980896579185522</v>
      </c>
      <c r="X33" s="344">
        <v>1.1001400987863676</v>
      </c>
      <c r="Y33" s="345">
        <v>1.7289796981186065</v>
      </c>
      <c r="Z33" s="345">
        <v>1.7181940806702396</v>
      </c>
      <c r="AA33" s="345">
        <v>1.735376021476942</v>
      </c>
      <c r="AB33" s="346">
        <v>1.7527297816917116</v>
      </c>
      <c r="AC33" s="344">
        <v>1.7702570795086288</v>
      </c>
      <c r="AD33" s="345">
        <v>1.7879596503037152</v>
      </c>
      <c r="AE33" s="345">
        <v>1.8058392468067523</v>
      </c>
      <c r="AF33" s="345">
        <v>1.8238976392748198</v>
      </c>
      <c r="AG33" s="346">
        <v>1.842136615667568</v>
      </c>
      <c r="AH33" s="344">
        <v>1.8605579818242437</v>
      </c>
      <c r="AI33" s="345">
        <v>1.8791635616424862</v>
      </c>
      <c r="AJ33" s="345">
        <v>1.897955197258911</v>
      </c>
      <c r="AK33" s="345">
        <v>1.9169347492315001</v>
      </c>
      <c r="AL33" s="346">
        <v>1.936104096723815</v>
      </c>
      <c r="AM33" s="85"/>
    </row>
    <row r="34" spans="2:39" x14ac:dyDescent="0.3">
      <c r="B34" s="126"/>
      <c r="C34" s="501"/>
      <c r="D34" s="2107"/>
      <c r="E34" s="2107"/>
      <c r="F34" s="2107"/>
      <c r="G34" s="2107"/>
      <c r="H34" s="1304"/>
      <c r="I34" s="102"/>
      <c r="J34" s="102"/>
      <c r="K34" s="275"/>
      <c r="L34" s="275"/>
      <c r="M34" s="275"/>
      <c r="N34" s="275"/>
      <c r="O34" s="275"/>
      <c r="P34" s="275"/>
      <c r="Q34" s="275"/>
      <c r="R34" s="275"/>
      <c r="S34" s="275"/>
      <c r="T34" s="275"/>
      <c r="U34" s="275"/>
      <c r="V34" s="275"/>
      <c r="W34" s="619"/>
      <c r="X34" s="619"/>
      <c r="Y34" s="619"/>
      <c r="Z34" s="619"/>
      <c r="AA34" s="619"/>
      <c r="AB34" s="619"/>
      <c r="AC34" s="619"/>
      <c r="AD34" s="619"/>
      <c r="AE34" s="619"/>
      <c r="AF34" s="619"/>
      <c r="AG34" s="619"/>
      <c r="AH34" s="619"/>
      <c r="AI34" s="619"/>
      <c r="AJ34" s="619"/>
      <c r="AK34" s="619"/>
      <c r="AL34" s="619"/>
      <c r="AM34" s="85"/>
    </row>
    <row r="35" spans="2:39" x14ac:dyDescent="0.3">
      <c r="B35" s="126"/>
      <c r="C35" s="501"/>
      <c r="D35" s="2108" t="s">
        <v>24</v>
      </c>
      <c r="E35" s="1304"/>
      <c r="F35" s="1304"/>
      <c r="G35" s="1304"/>
      <c r="H35" s="1304"/>
      <c r="I35" s="102"/>
      <c r="J35" s="102"/>
      <c r="K35" s="304"/>
      <c r="L35" s="305"/>
      <c r="M35" s="306"/>
      <c r="N35" s="305"/>
      <c r="O35" s="305"/>
      <c r="P35" s="305"/>
      <c r="Q35" s="305"/>
      <c r="R35" s="306"/>
      <c r="S35" s="305"/>
      <c r="T35" s="305"/>
      <c r="U35" s="305"/>
      <c r="V35" s="305"/>
      <c r="W35" s="335"/>
      <c r="X35" s="335"/>
      <c r="Y35" s="336"/>
      <c r="Z35" s="336"/>
      <c r="AA35" s="336"/>
      <c r="AB35" s="337"/>
      <c r="AC35" s="335"/>
      <c r="AD35" s="336"/>
      <c r="AE35" s="336"/>
      <c r="AF35" s="336"/>
      <c r="AG35" s="337"/>
      <c r="AH35" s="335"/>
      <c r="AI35" s="336"/>
      <c r="AJ35" s="336"/>
      <c r="AK35" s="336"/>
      <c r="AL35" s="337"/>
      <c r="AM35" s="85"/>
    </row>
    <row r="36" spans="2:39" x14ac:dyDescent="0.3">
      <c r="B36" s="126"/>
      <c r="C36" s="616"/>
      <c r="D36" s="2108" t="s">
        <v>20</v>
      </c>
      <c r="E36" s="1304"/>
      <c r="F36" s="1304"/>
      <c r="G36" s="1304"/>
      <c r="H36" s="1304"/>
      <c r="I36" s="102"/>
      <c r="J36" s="102"/>
      <c r="K36" s="307"/>
      <c r="L36" s="275"/>
      <c r="M36" s="308"/>
      <c r="N36" s="275"/>
      <c r="O36" s="275"/>
      <c r="P36" s="275"/>
      <c r="Q36" s="275"/>
      <c r="R36" s="308"/>
      <c r="S36" s="275"/>
      <c r="T36" s="275"/>
      <c r="U36" s="275"/>
      <c r="V36" s="275"/>
      <c r="W36" s="338"/>
      <c r="X36" s="338"/>
      <c r="Y36" s="339"/>
      <c r="Z36" s="339"/>
      <c r="AA36" s="339"/>
      <c r="AB36" s="340"/>
      <c r="AC36" s="338"/>
      <c r="AD36" s="339"/>
      <c r="AE36" s="339"/>
      <c r="AF36" s="339"/>
      <c r="AG36" s="340"/>
      <c r="AH36" s="338"/>
      <c r="AI36" s="339"/>
      <c r="AJ36" s="339"/>
      <c r="AK36" s="339"/>
      <c r="AL36" s="340"/>
      <c r="AM36" s="85"/>
    </row>
    <row r="37" spans="2:39" x14ac:dyDescent="0.3">
      <c r="B37" s="126"/>
      <c r="C37" s="501"/>
      <c r="D37" s="2108" t="s">
        <v>23</v>
      </c>
      <c r="E37" s="1304"/>
      <c r="F37" s="1304"/>
      <c r="G37" s="1304"/>
      <c r="H37" s="1304"/>
      <c r="I37" s="102"/>
      <c r="J37" s="102"/>
      <c r="K37" s="309"/>
      <c r="L37" s="310"/>
      <c r="M37" s="311"/>
      <c r="N37" s="310"/>
      <c r="O37" s="310"/>
      <c r="P37" s="310"/>
      <c r="Q37" s="310"/>
      <c r="R37" s="311"/>
      <c r="S37" s="310"/>
      <c r="T37" s="310"/>
      <c r="U37" s="310"/>
      <c r="V37" s="310"/>
      <c r="W37" s="341"/>
      <c r="X37" s="341"/>
      <c r="Y37" s="342"/>
      <c r="Z37" s="342"/>
      <c r="AA37" s="342"/>
      <c r="AB37" s="343"/>
      <c r="AC37" s="341"/>
      <c r="AD37" s="342"/>
      <c r="AE37" s="342"/>
      <c r="AF37" s="342"/>
      <c r="AG37" s="343"/>
      <c r="AH37" s="341"/>
      <c r="AI37" s="342"/>
      <c r="AJ37" s="342"/>
      <c r="AK37" s="342"/>
      <c r="AL37" s="343"/>
      <c r="AM37" s="85"/>
    </row>
    <row r="38" spans="2:39" x14ac:dyDescent="0.3">
      <c r="B38" s="126"/>
      <c r="C38" s="501"/>
      <c r="D38" s="2109" t="s">
        <v>25</v>
      </c>
      <c r="E38" s="2055"/>
      <c r="F38" s="2055"/>
      <c r="G38" s="2055"/>
      <c r="H38" s="2055"/>
      <c r="I38" s="227"/>
      <c r="J38" s="227"/>
      <c r="K38" s="275"/>
      <c r="L38" s="275"/>
      <c r="M38" s="275"/>
      <c r="N38" s="275"/>
      <c r="O38" s="275"/>
      <c r="P38" s="275"/>
      <c r="Q38" s="275"/>
      <c r="R38" s="275"/>
      <c r="S38" s="275"/>
      <c r="T38" s="275"/>
      <c r="U38" s="275"/>
      <c r="V38" s="275"/>
      <c r="W38" s="297">
        <f t="shared" ref="W38:AG38" si="8">+W35-W36-W37</f>
        <v>0</v>
      </c>
      <c r="X38" s="2024">
        <f t="shared" si="8"/>
        <v>0</v>
      </c>
      <c r="Y38" s="2024">
        <f t="shared" si="8"/>
        <v>0</v>
      </c>
      <c r="Z38" s="2024">
        <f t="shared" si="8"/>
        <v>0</v>
      </c>
      <c r="AA38" s="2024">
        <f t="shared" si="8"/>
        <v>0</v>
      </c>
      <c r="AB38" s="2024">
        <f t="shared" si="8"/>
        <v>0</v>
      </c>
      <c r="AC38" s="297">
        <f t="shared" si="8"/>
        <v>0</v>
      </c>
      <c r="AD38" s="297">
        <f t="shared" si="8"/>
        <v>0</v>
      </c>
      <c r="AE38" s="297">
        <f t="shared" si="8"/>
        <v>0</v>
      </c>
      <c r="AF38" s="297">
        <f t="shared" si="8"/>
        <v>0</v>
      </c>
      <c r="AG38" s="297">
        <f t="shared" si="8"/>
        <v>0</v>
      </c>
      <c r="AH38" s="297">
        <f>+AH35-AH36-AH37</f>
        <v>0</v>
      </c>
      <c r="AI38" s="297">
        <f>+AI35-AI36-AI37</f>
        <v>0</v>
      </c>
      <c r="AJ38" s="297">
        <f>+AJ35-AJ36-AJ37</f>
        <v>0</v>
      </c>
      <c r="AK38" s="297">
        <f>+AK35-AK36-AK37</f>
        <v>0</v>
      </c>
      <c r="AL38" s="297">
        <f>+AL35-AL36-AL37</f>
        <v>0</v>
      </c>
      <c r="AM38" s="85"/>
    </row>
    <row r="39" spans="2:39" x14ac:dyDescent="0.3">
      <c r="B39" s="126"/>
      <c r="C39" s="501"/>
      <c r="D39" s="2109"/>
      <c r="E39" s="2055"/>
      <c r="F39" s="2055"/>
      <c r="G39" s="2055"/>
      <c r="H39" s="2055"/>
      <c r="I39" s="227"/>
      <c r="J39" s="227"/>
      <c r="K39" s="275"/>
      <c r="L39" s="275"/>
      <c r="M39" s="275"/>
      <c r="N39" s="275"/>
      <c r="O39" s="275"/>
      <c r="P39" s="275"/>
      <c r="Q39" s="275"/>
      <c r="R39" s="275"/>
      <c r="S39" s="275"/>
      <c r="T39" s="275"/>
      <c r="U39" s="275"/>
      <c r="V39" s="275"/>
      <c r="W39" s="297"/>
      <c r="X39" s="2024"/>
      <c r="Y39" s="2024"/>
      <c r="Z39" s="2024"/>
      <c r="AA39" s="2024"/>
      <c r="AB39" s="2024"/>
      <c r="AC39" s="297"/>
      <c r="AD39" s="297"/>
      <c r="AE39" s="297"/>
      <c r="AF39" s="297"/>
      <c r="AG39" s="297"/>
      <c r="AH39" s="297"/>
      <c r="AI39" s="297"/>
      <c r="AJ39" s="297"/>
      <c r="AK39" s="297"/>
      <c r="AL39" s="297"/>
      <c r="AM39" s="85"/>
    </row>
    <row r="40" spans="2:39" x14ac:dyDescent="0.3">
      <c r="B40" s="126"/>
      <c r="C40" s="501"/>
      <c r="D40" s="2108" t="s">
        <v>62</v>
      </c>
      <c r="E40" s="2055"/>
      <c r="F40" s="2055"/>
      <c r="G40" s="2055"/>
      <c r="H40" s="2055"/>
      <c r="I40" s="227"/>
      <c r="J40" s="227"/>
      <c r="K40" s="304"/>
      <c r="L40" s="305"/>
      <c r="M40" s="306"/>
      <c r="N40" s="305"/>
      <c r="O40" s="305"/>
      <c r="P40" s="305"/>
      <c r="Q40" s="305"/>
      <c r="R40" s="306"/>
      <c r="S40" s="305"/>
      <c r="T40" s="305"/>
      <c r="U40" s="305"/>
      <c r="V40" s="305"/>
      <c r="W40" s="335"/>
      <c r="X40" s="335"/>
      <c r="Y40" s="336"/>
      <c r="Z40" s="336"/>
      <c r="AA40" s="336"/>
      <c r="AB40" s="337"/>
      <c r="AC40" s="335"/>
      <c r="AD40" s="336"/>
      <c r="AE40" s="336"/>
      <c r="AF40" s="336"/>
      <c r="AG40" s="337"/>
      <c r="AH40" s="335"/>
      <c r="AI40" s="336"/>
      <c r="AJ40" s="336"/>
      <c r="AK40" s="336"/>
      <c r="AL40" s="337"/>
      <c r="AM40" s="85"/>
    </row>
    <row r="41" spans="2:39" x14ac:dyDescent="0.3">
      <c r="B41" s="126"/>
      <c r="C41" s="501"/>
      <c r="D41" s="2108" t="s">
        <v>19</v>
      </c>
      <c r="E41" s="2055"/>
      <c r="F41" s="2055"/>
      <c r="G41" s="2055"/>
      <c r="H41" s="2055"/>
      <c r="I41" s="227"/>
      <c r="J41" s="227"/>
      <c r="K41" s="309"/>
      <c r="L41" s="310"/>
      <c r="M41" s="311"/>
      <c r="N41" s="310"/>
      <c r="O41" s="310"/>
      <c r="P41" s="310"/>
      <c r="Q41" s="310"/>
      <c r="R41" s="311"/>
      <c r="S41" s="310"/>
      <c r="T41" s="310"/>
      <c r="U41" s="310"/>
      <c r="V41" s="310"/>
      <c r="W41" s="341"/>
      <c r="X41" s="341"/>
      <c r="Y41" s="342"/>
      <c r="Z41" s="342"/>
      <c r="AA41" s="342"/>
      <c r="AB41" s="343"/>
      <c r="AC41" s="341"/>
      <c r="AD41" s="342"/>
      <c r="AE41" s="342"/>
      <c r="AF41" s="342"/>
      <c r="AG41" s="343"/>
      <c r="AH41" s="341"/>
      <c r="AI41" s="342"/>
      <c r="AJ41" s="342"/>
      <c r="AK41" s="342"/>
      <c r="AL41" s="343"/>
      <c r="AM41" s="85"/>
    </row>
    <row r="42" spans="2:39" x14ac:dyDescent="0.3">
      <c r="B42" s="126"/>
      <c r="C42" s="617"/>
      <c r="D42" s="2110"/>
      <c r="E42" s="2110"/>
      <c r="F42" s="2110"/>
      <c r="G42" s="2110"/>
      <c r="H42" s="2110"/>
      <c r="I42" s="267"/>
      <c r="J42" s="267"/>
      <c r="K42" s="310"/>
      <c r="L42" s="310"/>
      <c r="M42" s="310"/>
      <c r="N42" s="310"/>
      <c r="O42" s="310"/>
      <c r="P42" s="310"/>
      <c r="Q42" s="310"/>
      <c r="R42" s="310"/>
      <c r="S42" s="310"/>
      <c r="T42" s="310"/>
      <c r="U42" s="310"/>
      <c r="V42" s="310"/>
      <c r="W42" s="618"/>
      <c r="X42" s="618"/>
      <c r="Y42" s="618"/>
      <c r="Z42" s="618"/>
      <c r="AA42" s="618"/>
      <c r="AB42" s="618"/>
      <c r="AC42" s="618"/>
      <c r="AD42" s="618"/>
      <c r="AE42" s="618"/>
      <c r="AF42" s="618"/>
      <c r="AG42" s="618"/>
      <c r="AH42" s="618"/>
      <c r="AI42" s="618"/>
      <c r="AJ42" s="618"/>
      <c r="AK42" s="618"/>
      <c r="AL42" s="618"/>
      <c r="AM42" s="94"/>
    </row>
    <row r="43" spans="2:39" x14ac:dyDescent="0.3">
      <c r="B43" s="126"/>
      <c r="C43" s="102"/>
      <c r="D43" s="1304"/>
      <c r="E43" s="1304"/>
      <c r="F43" s="1304"/>
      <c r="G43" s="1304"/>
      <c r="H43" s="1304"/>
      <c r="I43" s="126"/>
      <c r="J43" s="126"/>
      <c r="K43" s="275"/>
      <c r="L43" s="275"/>
      <c r="M43" s="275"/>
      <c r="N43" s="275"/>
      <c r="O43" s="275"/>
      <c r="P43" s="275"/>
      <c r="Q43" s="275"/>
      <c r="R43" s="275"/>
      <c r="S43" s="275"/>
      <c r="T43" s="275"/>
      <c r="U43" s="275"/>
      <c r="V43" s="275"/>
      <c r="W43" s="297"/>
      <c r="X43" s="297"/>
      <c r="Y43" s="297"/>
      <c r="Z43" s="297"/>
      <c r="AA43" s="297"/>
      <c r="AB43" s="297"/>
      <c r="AC43" s="297"/>
      <c r="AD43" s="297"/>
      <c r="AE43" s="297"/>
      <c r="AF43" s="297"/>
      <c r="AG43" s="297"/>
      <c r="AH43" s="297"/>
      <c r="AI43" s="297"/>
      <c r="AJ43" s="297"/>
      <c r="AK43" s="297"/>
      <c r="AL43" s="297"/>
    </row>
    <row r="44" spans="2:39" x14ac:dyDescent="0.3">
      <c r="B44" s="126"/>
      <c r="C44" s="612"/>
      <c r="D44" s="2400" t="s">
        <v>1051</v>
      </c>
      <c r="E44" s="2401"/>
      <c r="F44" s="2401"/>
      <c r="G44" s="2401"/>
      <c r="H44" s="2402"/>
      <c r="I44" s="613"/>
      <c r="J44" s="613"/>
      <c r="K44" s="305"/>
      <c r="L44" s="305"/>
      <c r="M44" s="305"/>
      <c r="N44" s="305"/>
      <c r="O44" s="305"/>
      <c r="P44" s="305"/>
      <c r="Q44" s="305"/>
      <c r="R44" s="305"/>
      <c r="S44" s="305"/>
      <c r="T44" s="305"/>
      <c r="U44" s="305"/>
      <c r="V44" s="305"/>
      <c r="W44" s="614"/>
      <c r="X44" s="614"/>
      <c r="Y44" s="614"/>
      <c r="Z44" s="614"/>
      <c r="AA44" s="614"/>
      <c r="AB44" s="614"/>
      <c r="AC44" s="614"/>
      <c r="AD44" s="614"/>
      <c r="AE44" s="614"/>
      <c r="AF44" s="614"/>
      <c r="AG44" s="614"/>
      <c r="AH44" s="614"/>
      <c r="AI44" s="614"/>
      <c r="AJ44" s="614"/>
      <c r="AK44" s="614"/>
      <c r="AL44" s="614"/>
      <c r="AM44" s="615"/>
    </row>
    <row r="45" spans="2:39" x14ac:dyDescent="0.3">
      <c r="B45" s="126"/>
      <c r="C45" s="501"/>
      <c r="D45" s="2107"/>
      <c r="E45" s="2107"/>
      <c r="F45" s="2107"/>
      <c r="G45" s="2107"/>
      <c r="H45" s="1304"/>
      <c r="I45" s="102"/>
      <c r="J45" s="102"/>
      <c r="K45" s="275"/>
      <c r="L45" s="275"/>
      <c r="M45" s="275"/>
      <c r="N45" s="275"/>
      <c r="O45" s="275"/>
      <c r="P45" s="275"/>
      <c r="Q45" s="275"/>
      <c r="R45" s="275"/>
      <c r="S45" s="275"/>
      <c r="T45" s="275"/>
      <c r="U45" s="275"/>
      <c r="V45" s="275"/>
      <c r="W45" s="297"/>
      <c r="X45" s="297"/>
      <c r="Y45" s="297"/>
      <c r="Z45" s="297"/>
      <c r="AA45" s="297"/>
      <c r="AB45" s="297"/>
      <c r="AC45" s="297"/>
      <c r="AD45" s="297"/>
      <c r="AE45" s="297"/>
      <c r="AF45" s="297"/>
      <c r="AG45" s="297"/>
      <c r="AH45" s="297"/>
      <c r="AI45" s="297"/>
      <c r="AJ45" s="297"/>
      <c r="AK45" s="297"/>
      <c r="AL45" s="297"/>
      <c r="AM45" s="110"/>
    </row>
    <row r="46" spans="2:39" x14ac:dyDescent="0.3">
      <c r="B46" s="126"/>
      <c r="C46" s="501"/>
      <c r="D46" s="2107" t="s">
        <v>69</v>
      </c>
      <c r="E46" s="2107"/>
      <c r="F46" s="2107"/>
      <c r="G46" s="2107"/>
      <c r="H46" s="1304"/>
      <c r="I46" s="102"/>
      <c r="J46" s="102"/>
      <c r="K46" s="316"/>
      <c r="L46" s="317"/>
      <c r="M46" s="318"/>
      <c r="N46" s="316"/>
      <c r="O46" s="317"/>
      <c r="P46" s="317"/>
      <c r="Q46" s="317"/>
      <c r="R46" s="318"/>
      <c r="S46" s="316"/>
      <c r="T46" s="317"/>
      <c r="U46" s="317"/>
      <c r="V46" s="317"/>
      <c r="W46" s="344"/>
      <c r="X46" s="344"/>
      <c r="Y46" s="345"/>
      <c r="Z46" s="345"/>
      <c r="AA46" s="345"/>
      <c r="AB46" s="346"/>
      <c r="AC46" s="344"/>
      <c r="AD46" s="345"/>
      <c r="AE46" s="345"/>
      <c r="AF46" s="345"/>
      <c r="AG46" s="346"/>
      <c r="AH46" s="344"/>
      <c r="AI46" s="345"/>
      <c r="AJ46" s="345"/>
      <c r="AK46" s="345"/>
      <c r="AL46" s="346"/>
      <c r="AM46" s="110"/>
    </row>
    <row r="47" spans="2:39" x14ac:dyDescent="0.3">
      <c r="B47" s="126"/>
      <c r="C47" s="501"/>
      <c r="D47" s="2107"/>
      <c r="E47" s="2107"/>
      <c r="F47" s="2107"/>
      <c r="G47" s="2107"/>
      <c r="H47" s="1304"/>
      <c r="I47" s="102"/>
      <c r="J47" s="102"/>
      <c r="K47" s="275"/>
      <c r="L47" s="275"/>
      <c r="M47" s="275"/>
      <c r="N47" s="275"/>
      <c r="O47" s="275"/>
      <c r="P47" s="275"/>
      <c r="Q47" s="275"/>
      <c r="R47" s="275"/>
      <c r="S47" s="275"/>
      <c r="T47" s="275"/>
      <c r="U47" s="275"/>
      <c r="V47" s="275"/>
      <c r="W47" s="619"/>
      <c r="X47" s="619"/>
      <c r="Y47" s="619"/>
      <c r="Z47" s="619"/>
      <c r="AA47" s="619"/>
      <c r="AB47" s="619"/>
      <c r="AC47" s="619"/>
      <c r="AD47" s="619"/>
      <c r="AE47" s="619"/>
      <c r="AF47" s="619"/>
      <c r="AG47" s="619"/>
      <c r="AH47" s="619"/>
      <c r="AI47" s="619"/>
      <c r="AJ47" s="619"/>
      <c r="AK47" s="619"/>
      <c r="AL47" s="619"/>
      <c r="AM47" s="110"/>
    </row>
    <row r="48" spans="2:39" x14ac:dyDescent="0.3">
      <c r="B48" s="126"/>
      <c r="C48" s="501"/>
      <c r="D48" s="2107" t="s">
        <v>27</v>
      </c>
      <c r="E48" s="2107"/>
      <c r="F48" s="2107"/>
      <c r="G48" s="2107"/>
      <c r="H48" s="1304"/>
      <c r="I48" s="102"/>
      <c r="J48" s="102"/>
      <c r="K48" s="316"/>
      <c r="L48" s="317"/>
      <c r="M48" s="318"/>
      <c r="N48" s="316"/>
      <c r="O48" s="317"/>
      <c r="P48" s="317"/>
      <c r="Q48" s="317"/>
      <c r="R48" s="318"/>
      <c r="S48" s="316"/>
      <c r="T48" s="317"/>
      <c r="U48" s="317"/>
      <c r="V48" s="317"/>
      <c r="W48" s="344"/>
      <c r="X48" s="344"/>
      <c r="Y48" s="345"/>
      <c r="Z48" s="345"/>
      <c r="AA48" s="345"/>
      <c r="AB48" s="346"/>
      <c r="AC48" s="344"/>
      <c r="AD48" s="345"/>
      <c r="AE48" s="345"/>
      <c r="AF48" s="345"/>
      <c r="AG48" s="346"/>
      <c r="AH48" s="344"/>
      <c r="AI48" s="345"/>
      <c r="AJ48" s="345"/>
      <c r="AK48" s="345"/>
      <c r="AL48" s="346"/>
      <c r="AM48" s="85"/>
    </row>
    <row r="49" spans="2:39" x14ac:dyDescent="0.3">
      <c r="B49" s="126"/>
      <c r="C49" s="501"/>
      <c r="D49" s="2107"/>
      <c r="E49" s="2107"/>
      <c r="F49" s="2107"/>
      <c r="G49" s="2107"/>
      <c r="H49" s="1304"/>
      <c r="I49" s="102"/>
      <c r="J49" s="102"/>
      <c r="K49" s="275"/>
      <c r="L49" s="275"/>
      <c r="M49" s="275"/>
      <c r="N49" s="275"/>
      <c r="O49" s="275"/>
      <c r="P49" s="275"/>
      <c r="Q49" s="275"/>
      <c r="R49" s="275"/>
      <c r="S49" s="275"/>
      <c r="T49" s="275"/>
      <c r="U49" s="275"/>
      <c r="V49" s="275"/>
      <c r="W49" s="619"/>
      <c r="X49" s="619"/>
      <c r="Y49" s="619"/>
      <c r="Z49" s="619"/>
      <c r="AA49" s="619"/>
      <c r="AB49" s="619"/>
      <c r="AC49" s="619"/>
      <c r="AD49" s="619"/>
      <c r="AE49" s="619"/>
      <c r="AF49" s="619"/>
      <c r="AG49" s="619"/>
      <c r="AH49" s="619"/>
      <c r="AI49" s="619"/>
      <c r="AJ49" s="619"/>
      <c r="AK49" s="619"/>
      <c r="AL49" s="619"/>
      <c r="AM49" s="85"/>
    </row>
    <row r="50" spans="2:39" x14ac:dyDescent="0.3">
      <c r="B50" s="126"/>
      <c r="C50" s="501"/>
      <c r="D50" s="2108" t="s">
        <v>24</v>
      </c>
      <c r="E50" s="1304"/>
      <c r="F50" s="1304"/>
      <c r="G50" s="1304"/>
      <c r="H50" s="1304"/>
      <c r="I50" s="102"/>
      <c r="J50" s="102"/>
      <c r="K50" s="304"/>
      <c r="L50" s="305"/>
      <c r="M50" s="306"/>
      <c r="N50" s="305"/>
      <c r="O50" s="305"/>
      <c r="P50" s="305"/>
      <c r="Q50" s="305"/>
      <c r="R50" s="306"/>
      <c r="S50" s="305"/>
      <c r="T50" s="305"/>
      <c r="U50" s="305"/>
      <c r="V50" s="305"/>
      <c r="W50" s="335"/>
      <c r="X50" s="335"/>
      <c r="Y50" s="336"/>
      <c r="Z50" s="336"/>
      <c r="AA50" s="336"/>
      <c r="AB50" s="337"/>
      <c r="AC50" s="335"/>
      <c r="AD50" s="336"/>
      <c r="AE50" s="336"/>
      <c r="AF50" s="336"/>
      <c r="AG50" s="337"/>
      <c r="AH50" s="335"/>
      <c r="AI50" s="336"/>
      <c r="AJ50" s="336"/>
      <c r="AK50" s="336"/>
      <c r="AL50" s="337"/>
      <c r="AM50" s="85"/>
    </row>
    <row r="51" spans="2:39" x14ac:dyDescent="0.3">
      <c r="B51" s="126"/>
      <c r="C51" s="616"/>
      <c r="D51" s="2108" t="s">
        <v>20</v>
      </c>
      <c r="E51" s="1304"/>
      <c r="F51" s="1304"/>
      <c r="G51" s="1304"/>
      <c r="H51" s="1304"/>
      <c r="I51" s="102"/>
      <c r="J51" s="102"/>
      <c r="K51" s="307"/>
      <c r="L51" s="275"/>
      <c r="M51" s="308"/>
      <c r="N51" s="275"/>
      <c r="O51" s="275"/>
      <c r="P51" s="275"/>
      <c r="Q51" s="275"/>
      <c r="R51" s="308"/>
      <c r="S51" s="275"/>
      <c r="T51" s="275"/>
      <c r="U51" s="275"/>
      <c r="V51" s="275"/>
      <c r="W51" s="338"/>
      <c r="X51" s="338"/>
      <c r="Y51" s="339"/>
      <c r="Z51" s="339"/>
      <c r="AA51" s="339"/>
      <c r="AB51" s="340"/>
      <c r="AC51" s="338"/>
      <c r="AD51" s="339"/>
      <c r="AE51" s="339"/>
      <c r="AF51" s="339"/>
      <c r="AG51" s="340"/>
      <c r="AH51" s="338"/>
      <c r="AI51" s="339"/>
      <c r="AJ51" s="339"/>
      <c r="AK51" s="339"/>
      <c r="AL51" s="340"/>
      <c r="AM51" s="85"/>
    </row>
    <row r="52" spans="2:39" x14ac:dyDescent="0.3">
      <c r="B52" s="126"/>
      <c r="C52" s="501"/>
      <c r="D52" s="2108" t="s">
        <v>23</v>
      </c>
      <c r="E52" s="1304"/>
      <c r="F52" s="1304"/>
      <c r="G52" s="1304"/>
      <c r="H52" s="1304"/>
      <c r="I52" s="102"/>
      <c r="J52" s="102"/>
      <c r="K52" s="309"/>
      <c r="L52" s="310"/>
      <c r="M52" s="311"/>
      <c r="N52" s="310"/>
      <c r="O52" s="310"/>
      <c r="P52" s="310"/>
      <c r="Q52" s="310"/>
      <c r="R52" s="311"/>
      <c r="S52" s="310"/>
      <c r="T52" s="310"/>
      <c r="U52" s="310"/>
      <c r="V52" s="310"/>
      <c r="W52" s="341"/>
      <c r="X52" s="341"/>
      <c r="Y52" s="342"/>
      <c r="Z52" s="342"/>
      <c r="AA52" s="342"/>
      <c r="AB52" s="343"/>
      <c r="AC52" s="341"/>
      <c r="AD52" s="342"/>
      <c r="AE52" s="342"/>
      <c r="AF52" s="342"/>
      <c r="AG52" s="343"/>
      <c r="AH52" s="341"/>
      <c r="AI52" s="342"/>
      <c r="AJ52" s="342"/>
      <c r="AK52" s="342"/>
      <c r="AL52" s="343"/>
      <c r="AM52" s="85"/>
    </row>
    <row r="53" spans="2:39" x14ac:dyDescent="0.3">
      <c r="B53" s="126"/>
      <c r="C53" s="501"/>
      <c r="D53" s="2109" t="s">
        <v>25</v>
      </c>
      <c r="E53" s="2055"/>
      <c r="F53" s="2055"/>
      <c r="G53" s="2055"/>
      <c r="H53" s="2055"/>
      <c r="I53" s="227"/>
      <c r="J53" s="227"/>
      <c r="K53" s="275"/>
      <c r="L53" s="275"/>
      <c r="M53" s="275"/>
      <c r="N53" s="275"/>
      <c r="O53" s="275"/>
      <c r="P53" s="275"/>
      <c r="Q53" s="275"/>
      <c r="R53" s="275"/>
      <c r="S53" s="275"/>
      <c r="T53" s="275"/>
      <c r="U53" s="275"/>
      <c r="V53" s="275"/>
      <c r="W53" s="297">
        <f t="shared" ref="W53" si="9">+W50-W51-W52</f>
        <v>0</v>
      </c>
      <c r="X53" s="2024">
        <f t="shared" ref="X53:AG53" si="10">+X50-X51-X52</f>
        <v>0</v>
      </c>
      <c r="Y53" s="2024">
        <f t="shared" si="10"/>
        <v>0</v>
      </c>
      <c r="Z53" s="2024">
        <f t="shared" si="10"/>
        <v>0</v>
      </c>
      <c r="AA53" s="2024">
        <f t="shared" si="10"/>
        <v>0</v>
      </c>
      <c r="AB53" s="2024">
        <f t="shared" si="10"/>
        <v>0</v>
      </c>
      <c r="AC53" s="297">
        <f t="shared" si="10"/>
        <v>0</v>
      </c>
      <c r="AD53" s="297">
        <f t="shared" si="10"/>
        <v>0</v>
      </c>
      <c r="AE53" s="297">
        <f t="shared" si="10"/>
        <v>0</v>
      </c>
      <c r="AF53" s="297">
        <f t="shared" si="10"/>
        <v>0</v>
      </c>
      <c r="AG53" s="297">
        <f t="shared" si="10"/>
        <v>0</v>
      </c>
      <c r="AH53" s="297">
        <f>+AH50-AH51-AH52</f>
        <v>0</v>
      </c>
      <c r="AI53" s="297">
        <f>+AI50-AI51-AI52</f>
        <v>0</v>
      </c>
      <c r="AJ53" s="297">
        <f>+AJ50-AJ51-AJ52</f>
        <v>0</v>
      </c>
      <c r="AK53" s="297">
        <f>+AK50-AK51-AK52</f>
        <v>0</v>
      </c>
      <c r="AL53" s="297">
        <f>+AL50-AL51-AL52</f>
        <v>0</v>
      </c>
      <c r="AM53" s="85"/>
    </row>
    <row r="54" spans="2:39" x14ac:dyDescent="0.3">
      <c r="B54" s="126"/>
      <c r="C54" s="501"/>
      <c r="D54" s="2109"/>
      <c r="E54" s="2055"/>
      <c r="F54" s="2055"/>
      <c r="G54" s="2055"/>
      <c r="H54" s="2055"/>
      <c r="I54" s="227"/>
      <c r="J54" s="227"/>
      <c r="K54" s="275"/>
      <c r="L54" s="275"/>
      <c r="M54" s="275"/>
      <c r="N54" s="275"/>
      <c r="O54" s="275"/>
      <c r="P54" s="275"/>
      <c r="Q54" s="275"/>
      <c r="R54" s="275"/>
      <c r="S54" s="275"/>
      <c r="T54" s="275"/>
      <c r="U54" s="275"/>
      <c r="V54" s="275"/>
      <c r="W54" s="297"/>
      <c r="X54" s="2024"/>
      <c r="Y54" s="2024"/>
      <c r="Z54" s="2024"/>
      <c r="AA54" s="2024"/>
      <c r="AB54" s="2024"/>
      <c r="AC54" s="297"/>
      <c r="AD54" s="297"/>
      <c r="AE54" s="297"/>
      <c r="AF54" s="297"/>
      <c r="AG54" s="297"/>
      <c r="AH54" s="297"/>
      <c r="AI54" s="297"/>
      <c r="AJ54" s="297"/>
      <c r="AK54" s="297"/>
      <c r="AL54" s="297"/>
      <c r="AM54" s="85"/>
    </row>
    <row r="55" spans="2:39" x14ac:dyDescent="0.3">
      <c r="B55" s="126"/>
      <c r="C55" s="501"/>
      <c r="D55" s="2108" t="s">
        <v>62</v>
      </c>
      <c r="E55" s="2055"/>
      <c r="F55" s="2055"/>
      <c r="G55" s="2055"/>
      <c r="H55" s="2055"/>
      <c r="I55" s="227"/>
      <c r="J55" s="227"/>
      <c r="K55" s="304"/>
      <c r="L55" s="305"/>
      <c r="M55" s="306"/>
      <c r="N55" s="305"/>
      <c r="O55" s="305"/>
      <c r="P55" s="305"/>
      <c r="Q55" s="305"/>
      <c r="R55" s="306"/>
      <c r="S55" s="305"/>
      <c r="T55" s="305"/>
      <c r="U55" s="305"/>
      <c r="V55" s="305"/>
      <c r="W55" s="335"/>
      <c r="X55" s="335"/>
      <c r="Y55" s="336"/>
      <c r="Z55" s="336"/>
      <c r="AA55" s="336"/>
      <c r="AB55" s="337"/>
      <c r="AC55" s="335"/>
      <c r="AD55" s="336"/>
      <c r="AE55" s="336"/>
      <c r="AF55" s="336"/>
      <c r="AG55" s="337"/>
      <c r="AH55" s="335"/>
      <c r="AI55" s="336"/>
      <c r="AJ55" s="336"/>
      <c r="AK55" s="336"/>
      <c r="AL55" s="337"/>
      <c r="AM55" s="85"/>
    </row>
    <row r="56" spans="2:39" x14ac:dyDescent="0.3">
      <c r="B56" s="126"/>
      <c r="C56" s="501"/>
      <c r="D56" s="2108" t="s">
        <v>19</v>
      </c>
      <c r="E56" s="2055"/>
      <c r="F56" s="2055"/>
      <c r="G56" s="2055"/>
      <c r="H56" s="2055"/>
      <c r="I56" s="227"/>
      <c r="J56" s="227"/>
      <c r="K56" s="309"/>
      <c r="L56" s="310"/>
      <c r="M56" s="311"/>
      <c r="N56" s="310"/>
      <c r="O56" s="310"/>
      <c r="P56" s="310"/>
      <c r="Q56" s="310"/>
      <c r="R56" s="311"/>
      <c r="S56" s="310"/>
      <c r="T56" s="310"/>
      <c r="U56" s="310"/>
      <c r="V56" s="310"/>
      <c r="W56" s="341"/>
      <c r="X56" s="341"/>
      <c r="Y56" s="342"/>
      <c r="Z56" s="342"/>
      <c r="AA56" s="342"/>
      <c r="AB56" s="343"/>
      <c r="AC56" s="341"/>
      <c r="AD56" s="342"/>
      <c r="AE56" s="342"/>
      <c r="AF56" s="342"/>
      <c r="AG56" s="343"/>
      <c r="AH56" s="341"/>
      <c r="AI56" s="342"/>
      <c r="AJ56" s="342"/>
      <c r="AK56" s="342"/>
      <c r="AL56" s="343"/>
      <c r="AM56" s="85"/>
    </row>
    <row r="57" spans="2:39" x14ac:dyDescent="0.3">
      <c r="B57" s="126"/>
      <c r="C57" s="617"/>
      <c r="D57" s="2110"/>
      <c r="E57" s="2110"/>
      <c r="F57" s="2110"/>
      <c r="G57" s="2110"/>
      <c r="H57" s="2110"/>
      <c r="I57" s="267"/>
      <c r="J57" s="267"/>
      <c r="K57" s="310"/>
      <c r="L57" s="310"/>
      <c r="M57" s="310"/>
      <c r="N57" s="310"/>
      <c r="O57" s="310"/>
      <c r="P57" s="310"/>
      <c r="Q57" s="310"/>
      <c r="R57" s="310"/>
      <c r="S57" s="310"/>
      <c r="T57" s="310"/>
      <c r="U57" s="310"/>
      <c r="V57" s="310"/>
      <c r="W57" s="618"/>
      <c r="X57" s="618"/>
      <c r="Y57" s="618"/>
      <c r="Z57" s="618"/>
      <c r="AA57" s="618"/>
      <c r="AB57" s="618"/>
      <c r="AC57" s="618"/>
      <c r="AD57" s="618"/>
      <c r="AE57" s="618"/>
      <c r="AF57" s="618"/>
      <c r="AG57" s="618"/>
      <c r="AH57" s="618"/>
      <c r="AI57" s="618"/>
      <c r="AJ57" s="618"/>
      <c r="AK57" s="618"/>
      <c r="AL57" s="618"/>
      <c r="AM57" s="94"/>
    </row>
    <row r="58" spans="2:39" x14ac:dyDescent="0.3">
      <c r="D58" s="1304"/>
      <c r="E58" s="1304"/>
      <c r="F58" s="1304"/>
      <c r="G58" s="1304"/>
      <c r="H58" s="1304"/>
      <c r="K58" s="423"/>
      <c r="L58" s="423"/>
      <c r="M58" s="423"/>
      <c r="N58" s="423"/>
      <c r="O58" s="423"/>
      <c r="P58" s="423"/>
      <c r="Q58" s="423"/>
      <c r="R58" s="423"/>
      <c r="S58" s="423"/>
      <c r="T58" s="423"/>
      <c r="U58" s="423"/>
      <c r="V58" s="423"/>
      <c r="W58" s="294"/>
      <c r="X58" s="294"/>
      <c r="Y58" s="294"/>
      <c r="Z58" s="294"/>
      <c r="AA58" s="294"/>
      <c r="AB58" s="294"/>
      <c r="AC58" s="294"/>
      <c r="AD58" s="294"/>
      <c r="AE58" s="294"/>
      <c r="AF58" s="294"/>
      <c r="AG58" s="294"/>
      <c r="AH58" s="294"/>
      <c r="AI58" s="294"/>
      <c r="AJ58" s="294"/>
      <c r="AK58" s="294"/>
      <c r="AL58" s="294"/>
    </row>
    <row r="59" spans="2:39" x14ac:dyDescent="0.3">
      <c r="B59" s="126"/>
      <c r="C59" s="612"/>
      <c r="D59" s="2400" t="s">
        <v>1052</v>
      </c>
      <c r="E59" s="2401"/>
      <c r="F59" s="2401"/>
      <c r="G59" s="2401"/>
      <c r="H59" s="2402"/>
      <c r="I59" s="613"/>
      <c r="J59" s="613"/>
      <c r="K59" s="305"/>
      <c r="L59" s="305"/>
      <c r="M59" s="305"/>
      <c r="N59" s="305"/>
      <c r="O59" s="305"/>
      <c r="P59" s="305"/>
      <c r="Q59" s="305"/>
      <c r="R59" s="305"/>
      <c r="S59" s="305"/>
      <c r="T59" s="305"/>
      <c r="U59" s="305"/>
      <c r="V59" s="305"/>
      <c r="W59" s="614"/>
      <c r="X59" s="614"/>
      <c r="Y59" s="614"/>
      <c r="Z59" s="614"/>
      <c r="AA59" s="614"/>
      <c r="AB59" s="614"/>
      <c r="AC59" s="614"/>
      <c r="AD59" s="614"/>
      <c r="AE59" s="614"/>
      <c r="AF59" s="614"/>
      <c r="AG59" s="614"/>
      <c r="AH59" s="614"/>
      <c r="AI59" s="614"/>
      <c r="AJ59" s="614"/>
      <c r="AK59" s="614"/>
      <c r="AL59" s="614"/>
      <c r="AM59" s="615"/>
    </row>
    <row r="60" spans="2:39" x14ac:dyDescent="0.3">
      <c r="B60" s="126"/>
      <c r="C60" s="501"/>
      <c r="D60" s="2107"/>
      <c r="E60" s="2107"/>
      <c r="F60" s="2107"/>
      <c r="G60" s="2107"/>
      <c r="H60" s="1304"/>
      <c r="I60" s="102"/>
      <c r="J60" s="102"/>
      <c r="K60" s="275"/>
      <c r="L60" s="275"/>
      <c r="M60" s="275"/>
      <c r="N60" s="275"/>
      <c r="O60" s="275"/>
      <c r="P60" s="275"/>
      <c r="Q60" s="275"/>
      <c r="R60" s="275"/>
      <c r="S60" s="275"/>
      <c r="T60" s="275"/>
      <c r="U60" s="275"/>
      <c r="V60" s="275"/>
      <c r="W60" s="297"/>
      <c r="X60" s="297"/>
      <c r="Y60" s="297"/>
      <c r="Z60" s="297"/>
      <c r="AA60" s="297"/>
      <c r="AB60" s="297"/>
      <c r="AC60" s="297"/>
      <c r="AD60" s="297"/>
      <c r="AE60" s="297"/>
      <c r="AF60" s="297"/>
      <c r="AG60" s="297"/>
      <c r="AH60" s="297"/>
      <c r="AI60" s="297"/>
      <c r="AJ60" s="297"/>
      <c r="AK60" s="297"/>
      <c r="AL60" s="297"/>
      <c r="AM60" s="110"/>
    </row>
    <row r="61" spans="2:39" x14ac:dyDescent="0.3">
      <c r="B61" s="126"/>
      <c r="C61" s="501"/>
      <c r="D61" s="2107" t="s">
        <v>69</v>
      </c>
      <c r="E61" s="2107"/>
      <c r="F61" s="2107"/>
      <c r="G61" s="2107"/>
      <c r="H61" s="1304"/>
      <c r="I61" s="102"/>
      <c r="J61" s="102"/>
      <c r="K61" s="316"/>
      <c r="L61" s="317"/>
      <c r="M61" s="317"/>
      <c r="N61" s="316"/>
      <c r="O61" s="317"/>
      <c r="P61" s="317"/>
      <c r="Q61" s="317"/>
      <c r="R61" s="317"/>
      <c r="S61" s="316"/>
      <c r="T61" s="317"/>
      <c r="U61" s="317"/>
      <c r="V61" s="317"/>
      <c r="W61" s="344"/>
      <c r="X61" s="344"/>
      <c r="Y61" s="345"/>
      <c r="Z61" s="345"/>
      <c r="AA61" s="345"/>
      <c r="AB61" s="346"/>
      <c r="AC61" s="344"/>
      <c r="AD61" s="345"/>
      <c r="AE61" s="345"/>
      <c r="AF61" s="345"/>
      <c r="AG61" s="346"/>
      <c r="AH61" s="344"/>
      <c r="AI61" s="345"/>
      <c r="AJ61" s="345"/>
      <c r="AK61" s="345"/>
      <c r="AL61" s="346"/>
      <c r="AM61" s="110"/>
    </row>
    <row r="62" spans="2:39" x14ac:dyDescent="0.3">
      <c r="B62" s="126"/>
      <c r="C62" s="501"/>
      <c r="D62" s="2107"/>
      <c r="E62" s="2107"/>
      <c r="F62" s="2107"/>
      <c r="G62" s="2107"/>
      <c r="H62" s="1304"/>
      <c r="I62" s="102"/>
      <c r="J62" s="102"/>
      <c r="K62" s="275"/>
      <c r="L62" s="275"/>
      <c r="M62" s="275"/>
      <c r="N62" s="275"/>
      <c r="O62" s="275"/>
      <c r="P62" s="275"/>
      <c r="Q62" s="275"/>
      <c r="R62" s="275"/>
      <c r="S62" s="275"/>
      <c r="T62" s="275"/>
      <c r="U62" s="275"/>
      <c r="V62" s="275"/>
      <c r="W62" s="619"/>
      <c r="X62" s="619"/>
      <c r="Y62" s="619"/>
      <c r="Z62" s="619"/>
      <c r="AA62" s="619"/>
      <c r="AB62" s="619"/>
      <c r="AC62" s="619"/>
      <c r="AD62" s="619"/>
      <c r="AE62" s="619"/>
      <c r="AF62" s="619"/>
      <c r="AG62" s="619"/>
      <c r="AH62" s="619"/>
      <c r="AI62" s="619"/>
      <c r="AJ62" s="619"/>
      <c r="AK62" s="619"/>
      <c r="AL62" s="619"/>
      <c r="AM62" s="110"/>
    </row>
    <row r="63" spans="2:39" x14ac:dyDescent="0.3">
      <c r="B63" s="126"/>
      <c r="C63" s="501"/>
      <c r="D63" s="2107" t="s">
        <v>27</v>
      </c>
      <c r="E63" s="2107"/>
      <c r="F63" s="2107"/>
      <c r="G63" s="2107"/>
      <c r="H63" s="1304"/>
      <c r="I63" s="102"/>
      <c r="J63" s="102"/>
      <c r="K63" s="316"/>
      <c r="L63" s="317"/>
      <c r="M63" s="317"/>
      <c r="N63" s="316"/>
      <c r="O63" s="317"/>
      <c r="P63" s="317"/>
      <c r="Q63" s="317"/>
      <c r="R63" s="317"/>
      <c r="S63" s="316"/>
      <c r="T63" s="317"/>
      <c r="U63" s="317"/>
      <c r="V63" s="317"/>
      <c r="W63" s="344"/>
      <c r="X63" s="344"/>
      <c r="Y63" s="345"/>
      <c r="Z63" s="345"/>
      <c r="AA63" s="345"/>
      <c r="AB63" s="346"/>
      <c r="AC63" s="344"/>
      <c r="AD63" s="345"/>
      <c r="AE63" s="345"/>
      <c r="AF63" s="345"/>
      <c r="AG63" s="346"/>
      <c r="AH63" s="344"/>
      <c r="AI63" s="345"/>
      <c r="AJ63" s="345"/>
      <c r="AK63" s="345"/>
      <c r="AL63" s="346"/>
      <c r="AM63" s="85"/>
    </row>
    <row r="64" spans="2:39" x14ac:dyDescent="0.3">
      <c r="B64" s="126"/>
      <c r="C64" s="501"/>
      <c r="D64" s="2107"/>
      <c r="E64" s="2107"/>
      <c r="F64" s="2107"/>
      <c r="G64" s="2107"/>
      <c r="H64" s="1304"/>
      <c r="I64" s="102"/>
      <c r="J64" s="102"/>
      <c r="K64" s="275"/>
      <c r="L64" s="275"/>
      <c r="M64" s="275"/>
      <c r="N64" s="275"/>
      <c r="O64" s="275"/>
      <c r="P64" s="275"/>
      <c r="Q64" s="275"/>
      <c r="R64" s="275"/>
      <c r="S64" s="275"/>
      <c r="T64" s="275"/>
      <c r="U64" s="275"/>
      <c r="V64" s="275"/>
      <c r="W64" s="619"/>
      <c r="X64" s="619"/>
      <c r="Y64" s="619"/>
      <c r="Z64" s="619"/>
      <c r="AA64" s="619"/>
      <c r="AB64" s="619"/>
      <c r="AC64" s="619"/>
      <c r="AD64" s="619"/>
      <c r="AE64" s="619"/>
      <c r="AF64" s="619"/>
      <c r="AG64" s="619"/>
      <c r="AH64" s="619"/>
      <c r="AI64" s="619"/>
      <c r="AJ64" s="619"/>
      <c r="AK64" s="619"/>
      <c r="AL64" s="619"/>
      <c r="AM64" s="85"/>
    </row>
    <row r="65" spans="2:39" x14ac:dyDescent="0.3">
      <c r="B65" s="126"/>
      <c r="C65" s="501"/>
      <c r="D65" s="2108" t="s">
        <v>24</v>
      </c>
      <c r="E65" s="1304"/>
      <c r="F65" s="1304"/>
      <c r="G65" s="1304"/>
      <c r="H65" s="1304"/>
      <c r="I65" s="102"/>
      <c r="J65" s="102"/>
      <c r="K65" s="304"/>
      <c r="L65" s="305"/>
      <c r="M65" s="306"/>
      <c r="N65" s="305"/>
      <c r="O65" s="305"/>
      <c r="P65" s="305"/>
      <c r="Q65" s="305"/>
      <c r="R65" s="306"/>
      <c r="S65" s="305"/>
      <c r="T65" s="305"/>
      <c r="U65" s="305"/>
      <c r="V65" s="305"/>
      <c r="W65" s="335"/>
      <c r="X65" s="335"/>
      <c r="Y65" s="336"/>
      <c r="Z65" s="336"/>
      <c r="AA65" s="336"/>
      <c r="AB65" s="337"/>
      <c r="AC65" s="335"/>
      <c r="AD65" s="336"/>
      <c r="AE65" s="336"/>
      <c r="AF65" s="336"/>
      <c r="AG65" s="337"/>
      <c r="AH65" s="335"/>
      <c r="AI65" s="336"/>
      <c r="AJ65" s="336"/>
      <c r="AK65" s="336"/>
      <c r="AL65" s="337"/>
      <c r="AM65" s="85"/>
    </row>
    <row r="66" spans="2:39" x14ac:dyDescent="0.3">
      <c r="B66" s="126"/>
      <c r="C66" s="616"/>
      <c r="D66" s="2108" t="s">
        <v>20</v>
      </c>
      <c r="E66" s="1304"/>
      <c r="F66" s="1304"/>
      <c r="G66" s="1304"/>
      <c r="H66" s="1304"/>
      <c r="I66" s="102"/>
      <c r="J66" s="102"/>
      <c r="K66" s="307"/>
      <c r="L66" s="275"/>
      <c r="M66" s="308"/>
      <c r="N66" s="275"/>
      <c r="O66" s="275"/>
      <c r="P66" s="275"/>
      <c r="Q66" s="275"/>
      <c r="R66" s="308"/>
      <c r="S66" s="275"/>
      <c r="T66" s="275"/>
      <c r="U66" s="275"/>
      <c r="V66" s="275"/>
      <c r="W66" s="338"/>
      <c r="X66" s="338"/>
      <c r="Y66" s="339"/>
      <c r="Z66" s="339"/>
      <c r="AA66" s="339"/>
      <c r="AB66" s="340"/>
      <c r="AC66" s="338"/>
      <c r="AD66" s="339"/>
      <c r="AE66" s="339"/>
      <c r="AF66" s="339"/>
      <c r="AG66" s="340"/>
      <c r="AH66" s="338"/>
      <c r="AI66" s="339"/>
      <c r="AJ66" s="339"/>
      <c r="AK66" s="339"/>
      <c r="AL66" s="340"/>
      <c r="AM66" s="85"/>
    </row>
    <row r="67" spans="2:39" x14ac:dyDescent="0.3">
      <c r="B67" s="126"/>
      <c r="C67" s="501"/>
      <c r="D67" s="2108" t="s">
        <v>23</v>
      </c>
      <c r="E67" s="1304"/>
      <c r="F67" s="1304"/>
      <c r="G67" s="1304"/>
      <c r="H67" s="1304"/>
      <c r="I67" s="102"/>
      <c r="J67" s="102"/>
      <c r="K67" s="309"/>
      <c r="L67" s="310"/>
      <c r="M67" s="311"/>
      <c r="N67" s="310"/>
      <c r="O67" s="310"/>
      <c r="P67" s="310"/>
      <c r="Q67" s="310"/>
      <c r="R67" s="311"/>
      <c r="S67" s="310"/>
      <c r="T67" s="310"/>
      <c r="U67" s="310"/>
      <c r="V67" s="310"/>
      <c r="W67" s="341"/>
      <c r="X67" s="341"/>
      <c r="Y67" s="342"/>
      <c r="Z67" s="342"/>
      <c r="AA67" s="342"/>
      <c r="AB67" s="343"/>
      <c r="AC67" s="341"/>
      <c r="AD67" s="342"/>
      <c r="AE67" s="342"/>
      <c r="AF67" s="342"/>
      <c r="AG67" s="343"/>
      <c r="AH67" s="341"/>
      <c r="AI67" s="342"/>
      <c r="AJ67" s="342"/>
      <c r="AK67" s="342"/>
      <c r="AL67" s="343"/>
      <c r="AM67" s="85"/>
    </row>
    <row r="68" spans="2:39" x14ac:dyDescent="0.3">
      <c r="B68" s="126"/>
      <c r="C68" s="501"/>
      <c r="D68" s="2109" t="s">
        <v>25</v>
      </c>
      <c r="E68" s="2055"/>
      <c r="F68" s="2055"/>
      <c r="G68" s="2055"/>
      <c r="H68" s="2055"/>
      <c r="I68" s="227"/>
      <c r="J68" s="227"/>
      <c r="K68" s="275"/>
      <c r="L68" s="275"/>
      <c r="M68" s="275"/>
      <c r="N68" s="275"/>
      <c r="O68" s="275"/>
      <c r="P68" s="275"/>
      <c r="Q68" s="275"/>
      <c r="R68" s="275"/>
      <c r="S68" s="275"/>
      <c r="T68" s="275"/>
      <c r="U68" s="275"/>
      <c r="V68" s="275"/>
      <c r="W68" s="297">
        <f t="shared" ref="W68" si="11">+W65-W66-W67</f>
        <v>0</v>
      </c>
      <c r="X68" s="2024">
        <f t="shared" ref="X68:AG68" si="12">+X65-X66-X67</f>
        <v>0</v>
      </c>
      <c r="Y68" s="2024">
        <f t="shared" si="12"/>
        <v>0</v>
      </c>
      <c r="Z68" s="2024">
        <f t="shared" si="12"/>
        <v>0</v>
      </c>
      <c r="AA68" s="2024">
        <f t="shared" si="12"/>
        <v>0</v>
      </c>
      <c r="AB68" s="2024">
        <f t="shared" si="12"/>
        <v>0</v>
      </c>
      <c r="AC68" s="297">
        <f t="shared" si="12"/>
        <v>0</v>
      </c>
      <c r="AD68" s="297">
        <f t="shared" si="12"/>
        <v>0</v>
      </c>
      <c r="AE68" s="297">
        <f t="shared" si="12"/>
        <v>0</v>
      </c>
      <c r="AF68" s="297">
        <f t="shared" si="12"/>
        <v>0</v>
      </c>
      <c r="AG68" s="297">
        <f t="shared" si="12"/>
        <v>0</v>
      </c>
      <c r="AH68" s="297">
        <f>+AH65-AH66-AH67</f>
        <v>0</v>
      </c>
      <c r="AI68" s="297">
        <f>+AI65-AI66-AI67</f>
        <v>0</v>
      </c>
      <c r="AJ68" s="297">
        <f>+AJ65-AJ66-AJ67</f>
        <v>0</v>
      </c>
      <c r="AK68" s="297">
        <f>+AK65-AK66-AK67</f>
        <v>0</v>
      </c>
      <c r="AL68" s="297">
        <f>+AL65-AL66-AL67</f>
        <v>0</v>
      </c>
      <c r="AM68" s="85"/>
    </row>
    <row r="69" spans="2:39" x14ac:dyDescent="0.3">
      <c r="B69" s="126"/>
      <c r="C69" s="501"/>
      <c r="D69" s="2109"/>
      <c r="E69" s="2055"/>
      <c r="F69" s="2055"/>
      <c r="G69" s="2055"/>
      <c r="H69" s="2055"/>
      <c r="I69" s="227"/>
      <c r="J69" s="227"/>
      <c r="K69" s="275"/>
      <c r="L69" s="275"/>
      <c r="M69" s="275"/>
      <c r="N69" s="275"/>
      <c r="O69" s="275"/>
      <c r="P69" s="275"/>
      <c r="Q69" s="275"/>
      <c r="R69" s="275"/>
      <c r="S69" s="275"/>
      <c r="T69" s="275"/>
      <c r="U69" s="275"/>
      <c r="V69" s="275"/>
      <c r="W69" s="297"/>
      <c r="X69" s="2024"/>
      <c r="Y69" s="2024"/>
      <c r="Z69" s="2024"/>
      <c r="AA69" s="2024"/>
      <c r="AB69" s="2024"/>
      <c r="AC69" s="297"/>
      <c r="AD69" s="297"/>
      <c r="AE69" s="297"/>
      <c r="AF69" s="297"/>
      <c r="AG69" s="297"/>
      <c r="AH69" s="297"/>
      <c r="AI69" s="297"/>
      <c r="AJ69" s="297"/>
      <c r="AK69" s="297"/>
      <c r="AL69" s="297"/>
      <c r="AM69" s="85"/>
    </row>
    <row r="70" spans="2:39" x14ac:dyDescent="0.3">
      <c r="B70" s="126"/>
      <c r="C70" s="501"/>
      <c r="D70" s="2108" t="s">
        <v>62</v>
      </c>
      <c r="E70" s="2055"/>
      <c r="F70" s="2055"/>
      <c r="G70" s="2055"/>
      <c r="H70" s="2055"/>
      <c r="I70" s="227"/>
      <c r="J70" s="227"/>
      <c r="K70" s="304"/>
      <c r="L70" s="305"/>
      <c r="M70" s="306"/>
      <c r="N70" s="305"/>
      <c r="O70" s="305"/>
      <c r="P70" s="305"/>
      <c r="Q70" s="305"/>
      <c r="R70" s="306"/>
      <c r="S70" s="305"/>
      <c r="T70" s="305"/>
      <c r="U70" s="305"/>
      <c r="V70" s="305"/>
      <c r="W70" s="335"/>
      <c r="X70" s="335"/>
      <c r="Y70" s="336"/>
      <c r="Z70" s="336"/>
      <c r="AA70" s="336"/>
      <c r="AB70" s="337"/>
      <c r="AC70" s="335"/>
      <c r="AD70" s="336"/>
      <c r="AE70" s="336"/>
      <c r="AF70" s="336"/>
      <c r="AG70" s="337"/>
      <c r="AH70" s="335"/>
      <c r="AI70" s="336"/>
      <c r="AJ70" s="336"/>
      <c r="AK70" s="336"/>
      <c r="AL70" s="337"/>
      <c r="AM70" s="85"/>
    </row>
    <row r="71" spans="2:39" x14ac:dyDescent="0.3">
      <c r="B71" s="126"/>
      <c r="C71" s="501"/>
      <c r="D71" s="2108" t="s">
        <v>19</v>
      </c>
      <c r="E71" s="2055"/>
      <c r="F71" s="2055"/>
      <c r="G71" s="2055"/>
      <c r="H71" s="2055"/>
      <c r="I71" s="227"/>
      <c r="J71" s="227"/>
      <c r="K71" s="309"/>
      <c r="L71" s="310"/>
      <c r="M71" s="311"/>
      <c r="N71" s="310"/>
      <c r="O71" s="310"/>
      <c r="P71" s="310"/>
      <c r="Q71" s="310"/>
      <c r="R71" s="311"/>
      <c r="S71" s="310"/>
      <c r="T71" s="310"/>
      <c r="U71" s="310"/>
      <c r="V71" s="310"/>
      <c r="W71" s="341"/>
      <c r="X71" s="341"/>
      <c r="Y71" s="342"/>
      <c r="Z71" s="342"/>
      <c r="AA71" s="342"/>
      <c r="AB71" s="343"/>
      <c r="AC71" s="341"/>
      <c r="AD71" s="342"/>
      <c r="AE71" s="342"/>
      <c r="AF71" s="342"/>
      <c r="AG71" s="343"/>
      <c r="AH71" s="341"/>
      <c r="AI71" s="342"/>
      <c r="AJ71" s="342"/>
      <c r="AK71" s="342"/>
      <c r="AL71" s="343"/>
      <c r="AM71" s="85"/>
    </row>
    <row r="72" spans="2:39" x14ac:dyDescent="0.3">
      <c r="B72" s="126"/>
      <c r="C72" s="617"/>
      <c r="D72" s="2110"/>
      <c r="E72" s="2110"/>
      <c r="F72" s="2110"/>
      <c r="G72" s="2110"/>
      <c r="H72" s="2110"/>
      <c r="I72" s="267"/>
      <c r="J72" s="267"/>
      <c r="K72" s="310"/>
      <c r="L72" s="310"/>
      <c r="M72" s="310"/>
      <c r="N72" s="310"/>
      <c r="O72" s="310"/>
      <c r="P72" s="310"/>
      <c r="Q72" s="310"/>
      <c r="R72" s="310"/>
      <c r="S72" s="310"/>
      <c r="T72" s="310"/>
      <c r="U72" s="310"/>
      <c r="V72" s="310"/>
      <c r="W72" s="618"/>
      <c r="X72" s="618"/>
      <c r="Y72" s="618"/>
      <c r="Z72" s="618"/>
      <c r="AA72" s="618"/>
      <c r="AB72" s="618"/>
      <c r="AC72" s="618"/>
      <c r="AD72" s="618"/>
      <c r="AE72" s="618"/>
      <c r="AF72" s="618"/>
      <c r="AG72" s="618"/>
      <c r="AH72" s="618"/>
      <c r="AI72" s="618"/>
      <c r="AJ72" s="618"/>
      <c r="AK72" s="618"/>
      <c r="AL72" s="618"/>
      <c r="AM72" s="94"/>
    </row>
    <row r="73" spans="2:39" x14ac:dyDescent="0.3">
      <c r="D73" s="1304"/>
      <c r="E73" s="1304"/>
      <c r="F73" s="1304"/>
      <c r="G73" s="1304"/>
      <c r="H73" s="1304"/>
      <c r="K73" s="423"/>
      <c r="L73" s="423"/>
      <c r="M73" s="423"/>
      <c r="N73" s="423"/>
      <c r="O73" s="423"/>
      <c r="P73" s="423"/>
      <c r="Q73" s="423"/>
      <c r="R73" s="423"/>
      <c r="S73" s="423"/>
      <c r="T73" s="423"/>
      <c r="U73" s="423"/>
      <c r="V73" s="423"/>
      <c r="W73" s="294"/>
      <c r="X73" s="294"/>
      <c r="Y73" s="294"/>
      <c r="Z73" s="294"/>
      <c r="AA73" s="294"/>
      <c r="AB73" s="294"/>
      <c r="AC73" s="294"/>
      <c r="AD73" s="294"/>
      <c r="AE73" s="294"/>
      <c r="AF73" s="294"/>
      <c r="AG73" s="294"/>
      <c r="AH73" s="294"/>
      <c r="AI73" s="294"/>
      <c r="AJ73" s="294"/>
      <c r="AK73" s="294"/>
      <c r="AL73" s="294"/>
    </row>
    <row r="74" spans="2:39" x14ac:dyDescent="0.3">
      <c r="B74" s="126"/>
      <c r="C74" s="612"/>
      <c r="D74" s="2400" t="s">
        <v>1053</v>
      </c>
      <c r="E74" s="2401"/>
      <c r="F74" s="2401"/>
      <c r="G74" s="2401"/>
      <c r="H74" s="2402"/>
      <c r="I74" s="613"/>
      <c r="J74" s="613"/>
      <c r="K74" s="305"/>
      <c r="L74" s="305"/>
      <c r="M74" s="305"/>
      <c r="N74" s="305"/>
      <c r="O74" s="305"/>
      <c r="P74" s="305"/>
      <c r="Q74" s="305"/>
      <c r="R74" s="305"/>
      <c r="S74" s="305"/>
      <c r="T74" s="305"/>
      <c r="U74" s="305"/>
      <c r="V74" s="305"/>
      <c r="W74" s="614"/>
      <c r="X74" s="614"/>
      <c r="Y74" s="614"/>
      <c r="Z74" s="614"/>
      <c r="AA74" s="614"/>
      <c r="AB74" s="614"/>
      <c r="AC74" s="614"/>
      <c r="AD74" s="614"/>
      <c r="AE74" s="614"/>
      <c r="AF74" s="614"/>
      <c r="AG74" s="614"/>
      <c r="AH74" s="614"/>
      <c r="AI74" s="614"/>
      <c r="AJ74" s="614"/>
      <c r="AK74" s="614"/>
      <c r="AL74" s="614"/>
      <c r="AM74" s="615"/>
    </row>
    <row r="75" spans="2:39" x14ac:dyDescent="0.3">
      <c r="B75" s="126"/>
      <c r="C75" s="501"/>
      <c r="D75" s="2107"/>
      <c r="E75" s="2107"/>
      <c r="F75" s="2107"/>
      <c r="G75" s="2107"/>
      <c r="H75" s="1304"/>
      <c r="I75" s="102"/>
      <c r="J75" s="102"/>
      <c r="K75" s="275"/>
      <c r="L75" s="275"/>
      <c r="M75" s="275"/>
      <c r="N75" s="275"/>
      <c r="O75" s="275"/>
      <c r="P75" s="275"/>
      <c r="Q75" s="275"/>
      <c r="R75" s="275"/>
      <c r="S75" s="275"/>
      <c r="T75" s="275"/>
      <c r="U75" s="275"/>
      <c r="V75" s="275"/>
      <c r="W75" s="297"/>
      <c r="X75" s="297"/>
      <c r="Y75" s="297"/>
      <c r="Z75" s="297"/>
      <c r="AA75" s="297"/>
      <c r="AB75" s="297"/>
      <c r="AC75" s="297"/>
      <c r="AD75" s="297"/>
      <c r="AE75" s="297"/>
      <c r="AF75" s="297"/>
      <c r="AG75" s="297"/>
      <c r="AH75" s="297"/>
      <c r="AI75" s="297"/>
      <c r="AJ75" s="297"/>
      <c r="AK75" s="297"/>
      <c r="AL75" s="297"/>
      <c r="AM75" s="110"/>
    </row>
    <row r="76" spans="2:39" x14ac:dyDescent="0.3">
      <c r="B76" s="126"/>
      <c r="C76" s="501"/>
      <c r="D76" s="2107" t="s">
        <v>69</v>
      </c>
      <c r="E76" s="2107"/>
      <c r="F76" s="2107"/>
      <c r="G76" s="2107"/>
      <c r="H76" s="1304"/>
      <c r="I76" s="102"/>
      <c r="J76" s="102"/>
      <c r="K76" s="316"/>
      <c r="L76" s="317"/>
      <c r="M76" s="317"/>
      <c r="N76" s="316"/>
      <c r="O76" s="317"/>
      <c r="P76" s="317"/>
      <c r="Q76" s="317"/>
      <c r="R76" s="317"/>
      <c r="S76" s="316"/>
      <c r="T76" s="317"/>
      <c r="U76" s="317"/>
      <c r="V76" s="317"/>
      <c r="W76" s="344"/>
      <c r="X76" s="344"/>
      <c r="Y76" s="345"/>
      <c r="Z76" s="345"/>
      <c r="AA76" s="345"/>
      <c r="AB76" s="346"/>
      <c r="AC76" s="344"/>
      <c r="AD76" s="345"/>
      <c r="AE76" s="345"/>
      <c r="AF76" s="345"/>
      <c r="AG76" s="346"/>
      <c r="AH76" s="344"/>
      <c r="AI76" s="345"/>
      <c r="AJ76" s="345"/>
      <c r="AK76" s="345"/>
      <c r="AL76" s="346"/>
      <c r="AM76" s="110"/>
    </row>
    <row r="77" spans="2:39" x14ac:dyDescent="0.3">
      <c r="B77" s="126"/>
      <c r="C77" s="501"/>
      <c r="D77" s="2107"/>
      <c r="E77" s="2107"/>
      <c r="F77" s="2107"/>
      <c r="G77" s="2107"/>
      <c r="H77" s="1304"/>
      <c r="I77" s="102"/>
      <c r="J77" s="102"/>
      <c r="K77" s="275"/>
      <c r="L77" s="275"/>
      <c r="M77" s="275"/>
      <c r="N77" s="275"/>
      <c r="O77" s="275"/>
      <c r="P77" s="275"/>
      <c r="Q77" s="275"/>
      <c r="R77" s="275"/>
      <c r="S77" s="275"/>
      <c r="T77" s="275"/>
      <c r="U77" s="275"/>
      <c r="V77" s="275"/>
      <c r="W77" s="619"/>
      <c r="X77" s="619"/>
      <c r="Y77" s="619"/>
      <c r="Z77" s="619"/>
      <c r="AA77" s="619"/>
      <c r="AB77" s="619"/>
      <c r="AC77" s="619"/>
      <c r="AD77" s="619"/>
      <c r="AE77" s="619"/>
      <c r="AF77" s="619"/>
      <c r="AG77" s="619"/>
      <c r="AH77" s="619"/>
      <c r="AI77" s="619"/>
      <c r="AJ77" s="619"/>
      <c r="AK77" s="619"/>
      <c r="AL77" s="619"/>
      <c r="AM77" s="110"/>
    </row>
    <row r="78" spans="2:39" x14ac:dyDescent="0.3">
      <c r="B78" s="126"/>
      <c r="C78" s="501"/>
      <c r="D78" s="2107" t="s">
        <v>27</v>
      </c>
      <c r="E78" s="2107"/>
      <c r="F78" s="2107"/>
      <c r="G78" s="2107"/>
      <c r="H78" s="1304"/>
      <c r="I78" s="102"/>
      <c r="J78" s="102"/>
      <c r="K78" s="316"/>
      <c r="L78" s="317"/>
      <c r="M78" s="317"/>
      <c r="N78" s="316"/>
      <c r="O78" s="317"/>
      <c r="P78" s="317"/>
      <c r="Q78" s="317"/>
      <c r="R78" s="317"/>
      <c r="S78" s="316"/>
      <c r="T78" s="317"/>
      <c r="U78" s="317"/>
      <c r="V78" s="317"/>
      <c r="W78" s="344"/>
      <c r="X78" s="344"/>
      <c r="Y78" s="345"/>
      <c r="Z78" s="345"/>
      <c r="AA78" s="345"/>
      <c r="AB78" s="346"/>
      <c r="AC78" s="344"/>
      <c r="AD78" s="345"/>
      <c r="AE78" s="345"/>
      <c r="AF78" s="345"/>
      <c r="AG78" s="346"/>
      <c r="AH78" s="344"/>
      <c r="AI78" s="345"/>
      <c r="AJ78" s="345"/>
      <c r="AK78" s="345"/>
      <c r="AL78" s="346"/>
      <c r="AM78" s="85"/>
    </row>
    <row r="79" spans="2:39" x14ac:dyDescent="0.3">
      <c r="B79" s="126"/>
      <c r="C79" s="501"/>
      <c r="D79" s="2107"/>
      <c r="E79" s="2107"/>
      <c r="F79" s="2107"/>
      <c r="G79" s="2107"/>
      <c r="H79" s="1304"/>
      <c r="I79" s="102"/>
      <c r="J79" s="102"/>
      <c r="K79" s="275"/>
      <c r="L79" s="275"/>
      <c r="M79" s="275"/>
      <c r="N79" s="275"/>
      <c r="O79" s="275"/>
      <c r="P79" s="275"/>
      <c r="Q79" s="275"/>
      <c r="R79" s="275"/>
      <c r="S79" s="275"/>
      <c r="T79" s="275"/>
      <c r="U79" s="275"/>
      <c r="V79" s="275"/>
      <c r="W79" s="619"/>
      <c r="X79" s="619"/>
      <c r="Y79" s="619"/>
      <c r="Z79" s="619"/>
      <c r="AA79" s="619"/>
      <c r="AB79" s="619"/>
      <c r="AC79" s="619"/>
      <c r="AD79" s="619"/>
      <c r="AE79" s="619"/>
      <c r="AF79" s="619"/>
      <c r="AG79" s="619"/>
      <c r="AH79" s="619"/>
      <c r="AI79" s="619"/>
      <c r="AJ79" s="619"/>
      <c r="AK79" s="619"/>
      <c r="AL79" s="619"/>
      <c r="AM79" s="85"/>
    </row>
    <row r="80" spans="2:39" x14ac:dyDescent="0.3">
      <c r="B80" s="126"/>
      <c r="C80" s="501"/>
      <c r="D80" s="2108" t="s">
        <v>24</v>
      </c>
      <c r="E80" s="1304"/>
      <c r="F80" s="1304"/>
      <c r="G80" s="1304"/>
      <c r="H80" s="1304"/>
      <c r="I80" s="102"/>
      <c r="J80" s="102"/>
      <c r="K80" s="304"/>
      <c r="L80" s="305"/>
      <c r="M80" s="306"/>
      <c r="N80" s="305"/>
      <c r="O80" s="305"/>
      <c r="P80" s="305"/>
      <c r="Q80" s="305"/>
      <c r="R80" s="306"/>
      <c r="S80" s="305"/>
      <c r="T80" s="305"/>
      <c r="U80" s="305"/>
      <c r="V80" s="305"/>
      <c r="W80" s="335"/>
      <c r="X80" s="335"/>
      <c r="Y80" s="336"/>
      <c r="Z80" s="336"/>
      <c r="AA80" s="336"/>
      <c r="AB80" s="337"/>
      <c r="AC80" s="335"/>
      <c r="AD80" s="336"/>
      <c r="AE80" s="336"/>
      <c r="AF80" s="336"/>
      <c r="AG80" s="337"/>
      <c r="AH80" s="335"/>
      <c r="AI80" s="336"/>
      <c r="AJ80" s="336"/>
      <c r="AK80" s="336"/>
      <c r="AL80" s="337"/>
      <c r="AM80" s="85"/>
    </row>
    <row r="81" spans="2:39" x14ac:dyDescent="0.3">
      <c r="B81" s="126"/>
      <c r="C81" s="616"/>
      <c r="D81" s="2108" t="s">
        <v>20</v>
      </c>
      <c r="E81" s="1304"/>
      <c r="F81" s="1304"/>
      <c r="G81" s="1304"/>
      <c r="H81" s="1304"/>
      <c r="I81" s="102"/>
      <c r="J81" s="102"/>
      <c r="K81" s="307"/>
      <c r="L81" s="275"/>
      <c r="M81" s="308"/>
      <c r="N81" s="275"/>
      <c r="O81" s="275"/>
      <c r="P81" s="275"/>
      <c r="Q81" s="275"/>
      <c r="R81" s="308"/>
      <c r="S81" s="275"/>
      <c r="T81" s="275"/>
      <c r="U81" s="275"/>
      <c r="V81" s="275"/>
      <c r="W81" s="338"/>
      <c r="X81" s="338"/>
      <c r="Y81" s="339"/>
      <c r="Z81" s="339"/>
      <c r="AA81" s="339"/>
      <c r="AB81" s="340"/>
      <c r="AC81" s="338"/>
      <c r="AD81" s="339"/>
      <c r="AE81" s="339"/>
      <c r="AF81" s="339"/>
      <c r="AG81" s="340"/>
      <c r="AH81" s="338"/>
      <c r="AI81" s="339"/>
      <c r="AJ81" s="339"/>
      <c r="AK81" s="339"/>
      <c r="AL81" s="340"/>
      <c r="AM81" s="85"/>
    </row>
    <row r="82" spans="2:39" x14ac:dyDescent="0.3">
      <c r="B82" s="126"/>
      <c r="C82" s="501"/>
      <c r="D82" s="2108" t="s">
        <v>23</v>
      </c>
      <c r="E82" s="1304"/>
      <c r="F82" s="1304"/>
      <c r="G82" s="1304"/>
      <c r="H82" s="1304"/>
      <c r="I82" s="102"/>
      <c r="J82" s="102"/>
      <c r="K82" s="309"/>
      <c r="L82" s="310"/>
      <c r="M82" s="311"/>
      <c r="N82" s="310"/>
      <c r="O82" s="310"/>
      <c r="P82" s="310"/>
      <c r="Q82" s="310"/>
      <c r="R82" s="311"/>
      <c r="S82" s="310"/>
      <c r="T82" s="310"/>
      <c r="U82" s="310"/>
      <c r="V82" s="310"/>
      <c r="W82" s="341"/>
      <c r="X82" s="341"/>
      <c r="Y82" s="342"/>
      <c r="Z82" s="342"/>
      <c r="AA82" s="342"/>
      <c r="AB82" s="343"/>
      <c r="AC82" s="341"/>
      <c r="AD82" s="342"/>
      <c r="AE82" s="342"/>
      <c r="AF82" s="342"/>
      <c r="AG82" s="343"/>
      <c r="AH82" s="341"/>
      <c r="AI82" s="342"/>
      <c r="AJ82" s="342"/>
      <c r="AK82" s="342"/>
      <c r="AL82" s="343"/>
      <c r="AM82" s="85"/>
    </row>
    <row r="83" spans="2:39" x14ac:dyDescent="0.3">
      <c r="B83" s="126"/>
      <c r="C83" s="501"/>
      <c r="D83" s="2109" t="s">
        <v>25</v>
      </c>
      <c r="E83" s="2055"/>
      <c r="F83" s="2055"/>
      <c r="G83" s="2055"/>
      <c r="H83" s="2055"/>
      <c r="I83" s="227"/>
      <c r="J83" s="227"/>
      <c r="K83" s="275"/>
      <c r="L83" s="275"/>
      <c r="M83" s="275"/>
      <c r="N83" s="275"/>
      <c r="O83" s="275"/>
      <c r="P83" s="275"/>
      <c r="Q83" s="275"/>
      <c r="R83" s="275"/>
      <c r="S83" s="275"/>
      <c r="T83" s="275"/>
      <c r="U83" s="275"/>
      <c r="V83" s="275"/>
      <c r="W83" s="297">
        <f t="shared" ref="W83" si="13">+W80-W81-W82</f>
        <v>0</v>
      </c>
      <c r="X83" s="2024">
        <f t="shared" ref="X83:AG83" si="14">+X80-X81-X82</f>
        <v>0</v>
      </c>
      <c r="Y83" s="2024">
        <f t="shared" si="14"/>
        <v>0</v>
      </c>
      <c r="Z83" s="2024">
        <f t="shared" si="14"/>
        <v>0</v>
      </c>
      <c r="AA83" s="2024">
        <f t="shared" si="14"/>
        <v>0</v>
      </c>
      <c r="AB83" s="2024">
        <f t="shared" si="14"/>
        <v>0</v>
      </c>
      <c r="AC83" s="297">
        <f t="shared" si="14"/>
        <v>0</v>
      </c>
      <c r="AD83" s="297">
        <f t="shared" si="14"/>
        <v>0</v>
      </c>
      <c r="AE83" s="297">
        <f t="shared" si="14"/>
        <v>0</v>
      </c>
      <c r="AF83" s="297">
        <f t="shared" si="14"/>
        <v>0</v>
      </c>
      <c r="AG83" s="297">
        <f t="shared" si="14"/>
        <v>0</v>
      </c>
      <c r="AH83" s="297">
        <f>+AH80-AH81-AH82</f>
        <v>0</v>
      </c>
      <c r="AI83" s="297">
        <f>+AI80-AI81-AI82</f>
        <v>0</v>
      </c>
      <c r="AJ83" s="297">
        <f>+AJ80-AJ81-AJ82</f>
        <v>0</v>
      </c>
      <c r="AK83" s="297">
        <f>+AK80-AK81-AK82</f>
        <v>0</v>
      </c>
      <c r="AL83" s="297">
        <f>+AL80-AL81-AL82</f>
        <v>0</v>
      </c>
      <c r="AM83" s="85"/>
    </row>
    <row r="84" spans="2:39" x14ac:dyDescent="0.3">
      <c r="B84" s="126"/>
      <c r="C84" s="501"/>
      <c r="D84" s="2109"/>
      <c r="E84" s="2055"/>
      <c r="F84" s="2055"/>
      <c r="G84" s="2055"/>
      <c r="H84" s="2055"/>
      <c r="I84" s="227"/>
      <c r="J84" s="227"/>
      <c r="K84" s="275"/>
      <c r="L84" s="275"/>
      <c r="M84" s="275"/>
      <c r="N84" s="275"/>
      <c r="O84" s="275"/>
      <c r="P84" s="275"/>
      <c r="Q84" s="275"/>
      <c r="R84" s="275"/>
      <c r="S84" s="275"/>
      <c r="T84" s="275"/>
      <c r="U84" s="275"/>
      <c r="V84" s="275"/>
      <c r="W84" s="297"/>
      <c r="X84" s="2024"/>
      <c r="Y84" s="2024"/>
      <c r="Z84" s="2024"/>
      <c r="AA84" s="2024"/>
      <c r="AB84" s="2024"/>
      <c r="AC84" s="297"/>
      <c r="AD84" s="297"/>
      <c r="AE84" s="297"/>
      <c r="AF84" s="297"/>
      <c r="AG84" s="297"/>
      <c r="AH84" s="297"/>
      <c r="AI84" s="297"/>
      <c r="AJ84" s="297"/>
      <c r="AK84" s="297"/>
      <c r="AL84" s="297"/>
      <c r="AM84" s="85"/>
    </row>
    <row r="85" spans="2:39" x14ac:dyDescent="0.3">
      <c r="B85" s="126"/>
      <c r="C85" s="501"/>
      <c r="D85" s="2108" t="s">
        <v>62</v>
      </c>
      <c r="E85" s="2055"/>
      <c r="F85" s="2055"/>
      <c r="G85" s="2055"/>
      <c r="H85" s="2055"/>
      <c r="I85" s="227"/>
      <c r="J85" s="227"/>
      <c r="K85" s="304"/>
      <c r="L85" s="305"/>
      <c r="M85" s="306"/>
      <c r="N85" s="305"/>
      <c r="O85" s="305"/>
      <c r="P85" s="305"/>
      <c r="Q85" s="305"/>
      <c r="R85" s="306"/>
      <c r="S85" s="305"/>
      <c r="T85" s="305"/>
      <c r="U85" s="305"/>
      <c r="V85" s="305"/>
      <c r="W85" s="335"/>
      <c r="X85" s="335"/>
      <c r="Y85" s="336"/>
      <c r="Z85" s="336"/>
      <c r="AA85" s="336"/>
      <c r="AB85" s="337"/>
      <c r="AC85" s="335"/>
      <c r="AD85" s="336"/>
      <c r="AE85" s="336"/>
      <c r="AF85" s="336"/>
      <c r="AG85" s="337"/>
      <c r="AH85" s="335"/>
      <c r="AI85" s="336"/>
      <c r="AJ85" s="336"/>
      <c r="AK85" s="336"/>
      <c r="AL85" s="337"/>
      <c r="AM85" s="85"/>
    </row>
    <row r="86" spans="2:39" x14ac:dyDescent="0.3">
      <c r="B86" s="126"/>
      <c r="C86" s="501"/>
      <c r="D86" s="2108" t="s">
        <v>19</v>
      </c>
      <c r="E86" s="2055"/>
      <c r="F86" s="2055"/>
      <c r="G86" s="2055"/>
      <c r="H86" s="2055"/>
      <c r="I86" s="227"/>
      <c r="J86" s="227"/>
      <c r="K86" s="309"/>
      <c r="L86" s="310"/>
      <c r="M86" s="311"/>
      <c r="N86" s="310"/>
      <c r="O86" s="310"/>
      <c r="P86" s="310"/>
      <c r="Q86" s="310"/>
      <c r="R86" s="311"/>
      <c r="S86" s="310"/>
      <c r="T86" s="310"/>
      <c r="U86" s="310"/>
      <c r="V86" s="310"/>
      <c r="W86" s="341"/>
      <c r="X86" s="341"/>
      <c r="Y86" s="342"/>
      <c r="Z86" s="342"/>
      <c r="AA86" s="342"/>
      <c r="AB86" s="343"/>
      <c r="AC86" s="341"/>
      <c r="AD86" s="342"/>
      <c r="AE86" s="342"/>
      <c r="AF86" s="342"/>
      <c r="AG86" s="343"/>
      <c r="AH86" s="341"/>
      <c r="AI86" s="342"/>
      <c r="AJ86" s="342"/>
      <c r="AK86" s="342"/>
      <c r="AL86" s="343"/>
      <c r="AM86" s="85"/>
    </row>
    <row r="87" spans="2:39" x14ac:dyDescent="0.3">
      <c r="B87" s="126"/>
      <c r="C87" s="617"/>
      <c r="D87" s="2110"/>
      <c r="E87" s="2110"/>
      <c r="F87" s="2110"/>
      <c r="G87" s="2110"/>
      <c r="H87" s="2110"/>
      <c r="I87" s="267"/>
      <c r="J87" s="267"/>
      <c r="K87" s="310"/>
      <c r="L87" s="310"/>
      <c r="M87" s="310"/>
      <c r="N87" s="310"/>
      <c r="O87" s="310"/>
      <c r="P87" s="310"/>
      <c r="Q87" s="310"/>
      <c r="R87" s="310"/>
      <c r="S87" s="310"/>
      <c r="T87" s="310"/>
      <c r="U87" s="310"/>
      <c r="V87" s="310"/>
      <c r="W87" s="618"/>
      <c r="X87" s="2143"/>
      <c r="Y87" s="2143"/>
      <c r="Z87" s="2143"/>
      <c r="AA87" s="2143"/>
      <c r="AB87" s="2143"/>
      <c r="AC87" s="618"/>
      <c r="AD87" s="618"/>
      <c r="AE87" s="618"/>
      <c r="AF87" s="618"/>
      <c r="AG87" s="618"/>
      <c r="AH87" s="618"/>
      <c r="AI87" s="618"/>
      <c r="AJ87" s="618"/>
      <c r="AK87" s="618"/>
      <c r="AL87" s="618"/>
      <c r="AM87" s="94"/>
    </row>
    <row r="88" spans="2:39" x14ac:dyDescent="0.3">
      <c r="B88" s="126"/>
      <c r="C88" s="102"/>
      <c r="D88" s="1304"/>
      <c r="E88" s="1304"/>
      <c r="F88" s="1304"/>
      <c r="G88" s="1304"/>
      <c r="H88" s="1304"/>
      <c r="I88" s="126"/>
      <c r="J88" s="126"/>
      <c r="K88" s="275"/>
      <c r="L88" s="275"/>
      <c r="M88" s="275"/>
      <c r="N88" s="275"/>
      <c r="O88" s="275"/>
      <c r="P88" s="275"/>
      <c r="Q88" s="275"/>
      <c r="R88" s="275"/>
      <c r="S88" s="275"/>
      <c r="T88" s="275"/>
      <c r="U88" s="275"/>
      <c r="V88" s="275"/>
      <c r="W88" s="297"/>
      <c r="X88" s="2024"/>
      <c r="Y88" s="2024"/>
      <c r="Z88" s="2024"/>
      <c r="AA88" s="2024"/>
      <c r="AB88" s="2024"/>
      <c r="AC88" s="297"/>
      <c r="AD88" s="297"/>
      <c r="AE88" s="297"/>
      <c r="AF88" s="297"/>
      <c r="AG88" s="297"/>
      <c r="AH88" s="297"/>
      <c r="AI88" s="297"/>
      <c r="AJ88" s="297"/>
      <c r="AK88" s="297"/>
      <c r="AL88" s="297"/>
    </row>
    <row r="89" spans="2:39" x14ac:dyDescent="0.3">
      <c r="B89" s="126"/>
      <c r="C89" s="612"/>
      <c r="D89" s="2400" t="s">
        <v>1054</v>
      </c>
      <c r="E89" s="2401"/>
      <c r="F89" s="2401"/>
      <c r="G89" s="2401"/>
      <c r="H89" s="2402"/>
      <c r="I89" s="613"/>
      <c r="J89" s="613"/>
      <c r="K89" s="305"/>
      <c r="L89" s="305"/>
      <c r="M89" s="305"/>
      <c r="N89" s="305"/>
      <c r="O89" s="305"/>
      <c r="P89" s="305"/>
      <c r="Q89" s="305"/>
      <c r="R89" s="305"/>
      <c r="S89" s="305"/>
      <c r="T89" s="305"/>
      <c r="U89" s="305"/>
      <c r="V89" s="305"/>
      <c r="W89" s="614"/>
      <c r="X89" s="2144"/>
      <c r="Y89" s="2144"/>
      <c r="Z89" s="2144"/>
      <c r="AA89" s="2144"/>
      <c r="AB89" s="2144"/>
      <c r="AC89" s="614"/>
      <c r="AD89" s="614"/>
      <c r="AE89" s="614"/>
      <c r="AF89" s="614"/>
      <c r="AG89" s="614"/>
      <c r="AH89" s="614"/>
      <c r="AI89" s="614"/>
      <c r="AJ89" s="614"/>
      <c r="AK89" s="614"/>
      <c r="AL89" s="614"/>
      <c r="AM89" s="615"/>
    </row>
    <row r="90" spans="2:39" x14ac:dyDescent="0.3">
      <c r="B90" s="126"/>
      <c r="C90" s="501"/>
      <c r="D90" s="2107"/>
      <c r="E90" s="2107"/>
      <c r="F90" s="2107"/>
      <c r="G90" s="2107"/>
      <c r="H90" s="1304"/>
      <c r="I90" s="102"/>
      <c r="J90" s="102"/>
      <c r="K90" s="275"/>
      <c r="L90" s="275"/>
      <c r="M90" s="275"/>
      <c r="N90" s="275"/>
      <c r="O90" s="275"/>
      <c r="P90" s="275"/>
      <c r="Q90" s="275"/>
      <c r="R90" s="275"/>
      <c r="S90" s="275"/>
      <c r="T90" s="275"/>
      <c r="U90" s="275"/>
      <c r="V90" s="275"/>
      <c r="W90" s="297"/>
      <c r="X90" s="2024"/>
      <c r="Y90" s="2024"/>
      <c r="Z90" s="2024"/>
      <c r="AA90" s="2024"/>
      <c r="AB90" s="2024"/>
      <c r="AC90" s="297"/>
      <c r="AD90" s="297"/>
      <c r="AE90" s="297"/>
      <c r="AF90" s="297"/>
      <c r="AG90" s="297"/>
      <c r="AH90" s="297"/>
      <c r="AI90" s="297"/>
      <c r="AJ90" s="297"/>
      <c r="AK90" s="297"/>
      <c r="AL90" s="297"/>
      <c r="AM90" s="110"/>
    </row>
    <row r="91" spans="2:39" x14ac:dyDescent="0.3">
      <c r="B91" s="126"/>
      <c r="C91" s="501"/>
      <c r="D91" s="2107" t="s">
        <v>69</v>
      </c>
      <c r="E91" s="2107"/>
      <c r="F91" s="2107"/>
      <c r="G91" s="2107"/>
      <c r="H91" s="1304"/>
      <c r="I91" s="102"/>
      <c r="J91" s="102"/>
      <c r="K91" s="316"/>
      <c r="L91" s="317"/>
      <c r="M91" s="317"/>
      <c r="N91" s="316"/>
      <c r="O91" s="317"/>
      <c r="P91" s="317"/>
      <c r="Q91" s="317"/>
      <c r="R91" s="317"/>
      <c r="S91" s="316"/>
      <c r="T91" s="317"/>
      <c r="U91" s="317"/>
      <c r="V91" s="317"/>
      <c r="W91" s="344"/>
      <c r="X91" s="344"/>
      <c r="Y91" s="345"/>
      <c r="Z91" s="345"/>
      <c r="AA91" s="345"/>
      <c r="AB91" s="346"/>
      <c r="AC91" s="344"/>
      <c r="AD91" s="345"/>
      <c r="AE91" s="345"/>
      <c r="AF91" s="345"/>
      <c r="AG91" s="346"/>
      <c r="AH91" s="344"/>
      <c r="AI91" s="345"/>
      <c r="AJ91" s="345"/>
      <c r="AK91" s="345"/>
      <c r="AL91" s="346"/>
      <c r="AM91" s="110"/>
    </row>
    <row r="92" spans="2:39" x14ac:dyDescent="0.3">
      <c r="B92" s="126"/>
      <c r="C92" s="501"/>
      <c r="D92" s="2107"/>
      <c r="E92" s="2107"/>
      <c r="F92" s="2107"/>
      <c r="G92" s="2107"/>
      <c r="H92" s="1304"/>
      <c r="I92" s="102"/>
      <c r="J92" s="102"/>
      <c r="K92" s="275"/>
      <c r="L92" s="275"/>
      <c r="M92" s="275"/>
      <c r="N92" s="275"/>
      <c r="O92" s="275"/>
      <c r="P92" s="275"/>
      <c r="Q92" s="275"/>
      <c r="R92" s="275"/>
      <c r="S92" s="275"/>
      <c r="T92" s="275"/>
      <c r="U92" s="275"/>
      <c r="V92" s="275"/>
      <c r="W92" s="619"/>
      <c r="X92" s="619"/>
      <c r="Y92" s="619"/>
      <c r="Z92" s="619"/>
      <c r="AA92" s="619"/>
      <c r="AB92" s="619"/>
      <c r="AC92" s="619"/>
      <c r="AD92" s="619"/>
      <c r="AE92" s="619"/>
      <c r="AF92" s="619"/>
      <c r="AG92" s="619"/>
      <c r="AH92" s="619"/>
      <c r="AI92" s="619"/>
      <c r="AJ92" s="619"/>
      <c r="AK92" s="619"/>
      <c r="AL92" s="619"/>
      <c r="AM92" s="110"/>
    </row>
    <row r="93" spans="2:39" x14ac:dyDescent="0.3">
      <c r="B93" s="126"/>
      <c r="C93" s="501"/>
      <c r="D93" s="2107" t="s">
        <v>27</v>
      </c>
      <c r="E93" s="2107"/>
      <c r="F93" s="2107"/>
      <c r="G93" s="2107"/>
      <c r="H93" s="1304"/>
      <c r="I93" s="102"/>
      <c r="J93" s="102"/>
      <c r="K93" s="316"/>
      <c r="L93" s="317"/>
      <c r="M93" s="317"/>
      <c r="N93" s="316"/>
      <c r="O93" s="317"/>
      <c r="P93" s="317"/>
      <c r="Q93" s="317"/>
      <c r="R93" s="317"/>
      <c r="S93" s="316"/>
      <c r="T93" s="317"/>
      <c r="U93" s="317"/>
      <c r="V93" s="317"/>
      <c r="W93" s="344"/>
      <c r="X93" s="344"/>
      <c r="Y93" s="345"/>
      <c r="Z93" s="345"/>
      <c r="AA93" s="345"/>
      <c r="AB93" s="346"/>
      <c r="AC93" s="344"/>
      <c r="AD93" s="345"/>
      <c r="AE93" s="345"/>
      <c r="AF93" s="345"/>
      <c r="AG93" s="346"/>
      <c r="AH93" s="344"/>
      <c r="AI93" s="345"/>
      <c r="AJ93" s="345"/>
      <c r="AK93" s="345"/>
      <c r="AL93" s="346"/>
      <c r="AM93" s="85"/>
    </row>
    <row r="94" spans="2:39" x14ac:dyDescent="0.3">
      <c r="B94" s="126"/>
      <c r="C94" s="501"/>
      <c r="D94" s="2107"/>
      <c r="E94" s="2107"/>
      <c r="F94" s="2107"/>
      <c r="G94" s="2107"/>
      <c r="H94" s="1304"/>
      <c r="I94" s="102"/>
      <c r="J94" s="102"/>
      <c r="K94" s="275"/>
      <c r="L94" s="275"/>
      <c r="M94" s="275"/>
      <c r="N94" s="275"/>
      <c r="O94" s="275"/>
      <c r="P94" s="275"/>
      <c r="Q94" s="275"/>
      <c r="R94" s="275"/>
      <c r="S94" s="275"/>
      <c r="T94" s="275"/>
      <c r="U94" s="275"/>
      <c r="V94" s="275"/>
      <c r="W94" s="619"/>
      <c r="X94" s="619"/>
      <c r="Y94" s="619"/>
      <c r="Z94" s="619"/>
      <c r="AA94" s="619"/>
      <c r="AB94" s="619"/>
      <c r="AC94" s="619"/>
      <c r="AD94" s="619"/>
      <c r="AE94" s="619"/>
      <c r="AF94" s="619"/>
      <c r="AG94" s="619"/>
      <c r="AH94" s="619"/>
      <c r="AI94" s="619"/>
      <c r="AJ94" s="619"/>
      <c r="AK94" s="619"/>
      <c r="AL94" s="619"/>
      <c r="AM94" s="85"/>
    </row>
    <row r="95" spans="2:39" x14ac:dyDescent="0.3">
      <c r="B95" s="126"/>
      <c r="C95" s="501"/>
      <c r="D95" s="2108" t="s">
        <v>24</v>
      </c>
      <c r="E95" s="1304"/>
      <c r="F95" s="1304"/>
      <c r="G95" s="1304"/>
      <c r="H95" s="1304"/>
      <c r="I95" s="102"/>
      <c r="J95" s="102"/>
      <c r="K95" s="304"/>
      <c r="L95" s="305"/>
      <c r="M95" s="306"/>
      <c r="N95" s="305"/>
      <c r="O95" s="305"/>
      <c r="P95" s="305"/>
      <c r="Q95" s="305"/>
      <c r="R95" s="306"/>
      <c r="S95" s="305"/>
      <c r="T95" s="305"/>
      <c r="U95" s="305"/>
      <c r="V95" s="305"/>
      <c r="W95" s="335"/>
      <c r="X95" s="335"/>
      <c r="Y95" s="336"/>
      <c r="Z95" s="336"/>
      <c r="AA95" s="336"/>
      <c r="AB95" s="337"/>
      <c r="AC95" s="335"/>
      <c r="AD95" s="336"/>
      <c r="AE95" s="336"/>
      <c r="AF95" s="336"/>
      <c r="AG95" s="337"/>
      <c r="AH95" s="335"/>
      <c r="AI95" s="336"/>
      <c r="AJ95" s="336"/>
      <c r="AK95" s="336"/>
      <c r="AL95" s="337"/>
      <c r="AM95" s="85"/>
    </row>
    <row r="96" spans="2:39" x14ac:dyDescent="0.3">
      <c r="B96" s="126"/>
      <c r="C96" s="616"/>
      <c r="D96" s="2108" t="s">
        <v>20</v>
      </c>
      <c r="E96" s="1304"/>
      <c r="F96" s="1304"/>
      <c r="G96" s="1304"/>
      <c r="H96" s="1304"/>
      <c r="I96" s="102"/>
      <c r="J96" s="102"/>
      <c r="K96" s="307"/>
      <c r="L96" s="275"/>
      <c r="M96" s="308"/>
      <c r="N96" s="275"/>
      <c r="O96" s="275"/>
      <c r="P96" s="275"/>
      <c r="Q96" s="275"/>
      <c r="R96" s="308"/>
      <c r="S96" s="275"/>
      <c r="T96" s="275"/>
      <c r="U96" s="275"/>
      <c r="V96" s="275"/>
      <c r="W96" s="338"/>
      <c r="X96" s="338"/>
      <c r="Y96" s="339"/>
      <c r="Z96" s="339"/>
      <c r="AA96" s="339"/>
      <c r="AB96" s="340"/>
      <c r="AC96" s="338"/>
      <c r="AD96" s="339"/>
      <c r="AE96" s="339"/>
      <c r="AF96" s="339"/>
      <c r="AG96" s="340"/>
      <c r="AH96" s="338"/>
      <c r="AI96" s="339"/>
      <c r="AJ96" s="339"/>
      <c r="AK96" s="339"/>
      <c r="AL96" s="340"/>
      <c r="AM96" s="85"/>
    </row>
    <row r="97" spans="2:39" x14ac:dyDescent="0.3">
      <c r="B97" s="126"/>
      <c r="C97" s="501"/>
      <c r="D97" s="2108" t="s">
        <v>23</v>
      </c>
      <c r="E97" s="1304"/>
      <c r="F97" s="1304"/>
      <c r="G97" s="1304"/>
      <c r="H97" s="1304"/>
      <c r="I97" s="102"/>
      <c r="J97" s="102"/>
      <c r="K97" s="309"/>
      <c r="L97" s="310"/>
      <c r="M97" s="311"/>
      <c r="N97" s="310"/>
      <c r="O97" s="310"/>
      <c r="P97" s="310"/>
      <c r="Q97" s="310"/>
      <c r="R97" s="311"/>
      <c r="S97" s="310"/>
      <c r="T97" s="310"/>
      <c r="U97" s="310"/>
      <c r="V97" s="310"/>
      <c r="W97" s="341"/>
      <c r="X97" s="341"/>
      <c r="Y97" s="342"/>
      <c r="Z97" s="342"/>
      <c r="AA97" s="342"/>
      <c r="AB97" s="343"/>
      <c r="AC97" s="341"/>
      <c r="AD97" s="342"/>
      <c r="AE97" s="342"/>
      <c r="AF97" s="342"/>
      <c r="AG97" s="343"/>
      <c r="AH97" s="341"/>
      <c r="AI97" s="342"/>
      <c r="AJ97" s="342"/>
      <c r="AK97" s="342"/>
      <c r="AL97" s="343"/>
      <c r="AM97" s="85"/>
    </row>
    <row r="98" spans="2:39" x14ac:dyDescent="0.3">
      <c r="B98" s="126"/>
      <c r="C98" s="501"/>
      <c r="D98" s="2109" t="s">
        <v>25</v>
      </c>
      <c r="E98" s="2055"/>
      <c r="F98" s="2055"/>
      <c r="G98" s="2055"/>
      <c r="H98" s="2055"/>
      <c r="I98" s="227"/>
      <c r="J98" s="227"/>
      <c r="K98" s="275"/>
      <c r="L98" s="275"/>
      <c r="M98" s="275"/>
      <c r="N98" s="275"/>
      <c r="O98" s="275"/>
      <c r="P98" s="275"/>
      <c r="Q98" s="275"/>
      <c r="R98" s="275"/>
      <c r="S98" s="275"/>
      <c r="T98" s="275"/>
      <c r="U98" s="275"/>
      <c r="V98" s="275"/>
      <c r="W98" s="297">
        <f t="shared" ref="W98" si="15">+W95-W96-W97</f>
        <v>0</v>
      </c>
      <c r="X98" s="2024">
        <f t="shared" ref="X98:AG98" si="16">+X95-X96-X97</f>
        <v>0</v>
      </c>
      <c r="Y98" s="2024">
        <f t="shared" si="16"/>
        <v>0</v>
      </c>
      <c r="Z98" s="2024">
        <f t="shared" si="16"/>
        <v>0</v>
      </c>
      <c r="AA98" s="2024">
        <f t="shared" si="16"/>
        <v>0</v>
      </c>
      <c r="AB98" s="2024">
        <f t="shared" si="16"/>
        <v>0</v>
      </c>
      <c r="AC98" s="297">
        <f t="shared" si="16"/>
        <v>0</v>
      </c>
      <c r="AD98" s="297">
        <f t="shared" si="16"/>
        <v>0</v>
      </c>
      <c r="AE98" s="297">
        <f t="shared" si="16"/>
        <v>0</v>
      </c>
      <c r="AF98" s="297">
        <f t="shared" si="16"/>
        <v>0</v>
      </c>
      <c r="AG98" s="297">
        <f t="shared" si="16"/>
        <v>0</v>
      </c>
      <c r="AH98" s="297">
        <f>+AH95-AH96-AH97</f>
        <v>0</v>
      </c>
      <c r="AI98" s="297">
        <f>+AI95-AI96-AI97</f>
        <v>0</v>
      </c>
      <c r="AJ98" s="297">
        <f>+AJ95-AJ96-AJ97</f>
        <v>0</v>
      </c>
      <c r="AK98" s="297">
        <f>+AK95-AK96-AK97</f>
        <v>0</v>
      </c>
      <c r="AL98" s="297">
        <f>+AL95-AL96-AL97</f>
        <v>0</v>
      </c>
      <c r="AM98" s="85"/>
    </row>
    <row r="99" spans="2:39" x14ac:dyDescent="0.3">
      <c r="B99" s="126"/>
      <c r="C99" s="501"/>
      <c r="D99" s="2109"/>
      <c r="E99" s="2055"/>
      <c r="F99" s="2055"/>
      <c r="G99" s="2055"/>
      <c r="H99" s="2055"/>
      <c r="I99" s="227"/>
      <c r="J99" s="227"/>
      <c r="K99" s="275"/>
      <c r="L99" s="275"/>
      <c r="M99" s="275"/>
      <c r="N99" s="275"/>
      <c r="O99" s="275"/>
      <c r="P99" s="275"/>
      <c r="Q99" s="275"/>
      <c r="R99" s="275"/>
      <c r="S99" s="275"/>
      <c r="T99" s="275"/>
      <c r="U99" s="275"/>
      <c r="V99" s="275"/>
      <c r="W99" s="297"/>
      <c r="X99" s="2024"/>
      <c r="Y99" s="2024"/>
      <c r="Z99" s="2024"/>
      <c r="AA99" s="2024"/>
      <c r="AB99" s="2024"/>
      <c r="AC99" s="297"/>
      <c r="AD99" s="297"/>
      <c r="AE99" s="297"/>
      <c r="AF99" s="297"/>
      <c r="AG99" s="297"/>
      <c r="AH99" s="297"/>
      <c r="AI99" s="297"/>
      <c r="AJ99" s="297"/>
      <c r="AK99" s="297"/>
      <c r="AL99" s="297"/>
      <c r="AM99" s="85"/>
    </row>
    <row r="100" spans="2:39" x14ac:dyDescent="0.3">
      <c r="B100" s="126"/>
      <c r="C100" s="501"/>
      <c r="D100" s="2108" t="s">
        <v>62</v>
      </c>
      <c r="E100" s="2055"/>
      <c r="F100" s="2055"/>
      <c r="G100" s="2055"/>
      <c r="H100" s="2055"/>
      <c r="I100" s="227"/>
      <c r="J100" s="227"/>
      <c r="K100" s="304"/>
      <c r="L100" s="305"/>
      <c r="M100" s="306"/>
      <c r="N100" s="305"/>
      <c r="O100" s="305"/>
      <c r="P100" s="305"/>
      <c r="Q100" s="305"/>
      <c r="R100" s="306"/>
      <c r="S100" s="305"/>
      <c r="T100" s="305"/>
      <c r="U100" s="305"/>
      <c r="V100" s="305"/>
      <c r="W100" s="335"/>
      <c r="X100" s="335"/>
      <c r="Y100" s="336"/>
      <c r="Z100" s="336"/>
      <c r="AA100" s="336"/>
      <c r="AB100" s="337"/>
      <c r="AC100" s="335"/>
      <c r="AD100" s="336"/>
      <c r="AE100" s="336"/>
      <c r="AF100" s="336"/>
      <c r="AG100" s="337"/>
      <c r="AH100" s="335"/>
      <c r="AI100" s="336"/>
      <c r="AJ100" s="336"/>
      <c r="AK100" s="336"/>
      <c r="AL100" s="337"/>
      <c r="AM100" s="85"/>
    </row>
    <row r="101" spans="2:39" x14ac:dyDescent="0.3">
      <c r="B101" s="126"/>
      <c r="C101" s="501"/>
      <c r="D101" s="2108" t="s">
        <v>19</v>
      </c>
      <c r="E101" s="2055"/>
      <c r="F101" s="2055"/>
      <c r="G101" s="2055"/>
      <c r="H101" s="2055"/>
      <c r="I101" s="227"/>
      <c r="J101" s="227"/>
      <c r="K101" s="309"/>
      <c r="L101" s="310"/>
      <c r="M101" s="311"/>
      <c r="N101" s="310"/>
      <c r="O101" s="310"/>
      <c r="P101" s="310"/>
      <c r="Q101" s="310"/>
      <c r="R101" s="311"/>
      <c r="S101" s="310"/>
      <c r="T101" s="310"/>
      <c r="U101" s="310"/>
      <c r="V101" s="310"/>
      <c r="W101" s="341"/>
      <c r="X101" s="341"/>
      <c r="Y101" s="342"/>
      <c r="Z101" s="342"/>
      <c r="AA101" s="342"/>
      <c r="AB101" s="343"/>
      <c r="AC101" s="341"/>
      <c r="AD101" s="342"/>
      <c r="AE101" s="342"/>
      <c r="AF101" s="342"/>
      <c r="AG101" s="343"/>
      <c r="AH101" s="341"/>
      <c r="AI101" s="342"/>
      <c r="AJ101" s="342"/>
      <c r="AK101" s="342"/>
      <c r="AL101" s="343"/>
      <c r="AM101" s="85"/>
    </row>
    <row r="102" spans="2:39" x14ac:dyDescent="0.3">
      <c r="B102" s="126"/>
      <c r="C102" s="617"/>
      <c r="D102" s="2110"/>
      <c r="E102" s="2110"/>
      <c r="F102" s="2110"/>
      <c r="G102" s="2110"/>
      <c r="H102" s="2110"/>
      <c r="I102" s="267"/>
      <c r="J102" s="267"/>
      <c r="K102" s="310"/>
      <c r="L102" s="310"/>
      <c r="M102" s="310"/>
      <c r="N102" s="310"/>
      <c r="O102" s="310"/>
      <c r="P102" s="310"/>
      <c r="Q102" s="310"/>
      <c r="R102" s="310"/>
      <c r="S102" s="310"/>
      <c r="T102" s="310"/>
      <c r="U102" s="310"/>
      <c r="V102" s="310"/>
      <c r="W102" s="618"/>
      <c r="X102" s="2143"/>
      <c r="Y102" s="2143"/>
      <c r="Z102" s="2143"/>
      <c r="AA102" s="2143"/>
      <c r="AB102" s="2143"/>
      <c r="AC102" s="618"/>
      <c r="AD102" s="618"/>
      <c r="AE102" s="618"/>
      <c r="AF102" s="618"/>
      <c r="AG102" s="618"/>
      <c r="AH102" s="618"/>
      <c r="AI102" s="618"/>
      <c r="AJ102" s="618"/>
      <c r="AK102" s="618"/>
      <c r="AL102" s="618"/>
      <c r="AM102" s="94"/>
    </row>
    <row r="103" spans="2:39" x14ac:dyDescent="0.3">
      <c r="D103" s="1304"/>
      <c r="E103" s="1304"/>
      <c r="F103" s="1304"/>
      <c r="G103" s="1304"/>
      <c r="H103" s="1304"/>
      <c r="K103" s="423"/>
      <c r="L103" s="423"/>
      <c r="M103" s="423"/>
      <c r="N103" s="423"/>
      <c r="O103" s="423"/>
      <c r="P103" s="423"/>
      <c r="Q103" s="423"/>
      <c r="R103" s="423"/>
      <c r="S103" s="423"/>
      <c r="T103" s="423"/>
      <c r="U103" s="423"/>
      <c r="V103" s="423"/>
      <c r="W103" s="294"/>
      <c r="X103" s="2133"/>
      <c r="Y103" s="2133"/>
      <c r="Z103" s="2133"/>
      <c r="AA103" s="2133"/>
      <c r="AB103" s="2133"/>
      <c r="AC103" s="294"/>
      <c r="AD103" s="294"/>
      <c r="AE103" s="294"/>
      <c r="AF103" s="294"/>
      <c r="AG103" s="294"/>
      <c r="AH103" s="294"/>
      <c r="AI103" s="294"/>
      <c r="AJ103" s="294"/>
      <c r="AK103" s="294"/>
      <c r="AL103" s="294"/>
    </row>
    <row r="104" spans="2:39" x14ac:dyDescent="0.3">
      <c r="B104" s="126"/>
      <c r="C104" s="612"/>
      <c r="D104" s="2400" t="s">
        <v>1055</v>
      </c>
      <c r="E104" s="2401"/>
      <c r="F104" s="2401"/>
      <c r="G104" s="2401"/>
      <c r="H104" s="2402"/>
      <c r="I104" s="613"/>
      <c r="J104" s="613"/>
      <c r="K104" s="305"/>
      <c r="L104" s="305"/>
      <c r="M104" s="305"/>
      <c r="N104" s="305"/>
      <c r="O104" s="305"/>
      <c r="P104" s="305"/>
      <c r="Q104" s="305"/>
      <c r="R104" s="305"/>
      <c r="S104" s="305"/>
      <c r="T104" s="305"/>
      <c r="U104" s="305"/>
      <c r="V104" s="305"/>
      <c r="W104" s="614"/>
      <c r="X104" s="2144"/>
      <c r="Y104" s="2144"/>
      <c r="Z104" s="2144"/>
      <c r="AA104" s="2144"/>
      <c r="AB104" s="2144"/>
      <c r="AC104" s="614"/>
      <c r="AD104" s="614"/>
      <c r="AE104" s="614"/>
      <c r="AF104" s="614"/>
      <c r="AG104" s="614"/>
      <c r="AH104" s="614"/>
      <c r="AI104" s="614"/>
      <c r="AJ104" s="614"/>
      <c r="AK104" s="614"/>
      <c r="AL104" s="614"/>
      <c r="AM104" s="615"/>
    </row>
    <row r="105" spans="2:39" x14ac:dyDescent="0.3">
      <c r="B105" s="126"/>
      <c r="C105" s="501"/>
      <c r="D105" s="2107"/>
      <c r="E105" s="2107"/>
      <c r="F105" s="2107"/>
      <c r="G105" s="2107"/>
      <c r="H105" s="1304"/>
      <c r="I105" s="102"/>
      <c r="J105" s="102"/>
      <c r="K105" s="275"/>
      <c r="L105" s="275"/>
      <c r="M105" s="275"/>
      <c r="N105" s="275"/>
      <c r="O105" s="275"/>
      <c r="P105" s="275"/>
      <c r="Q105" s="275"/>
      <c r="R105" s="275"/>
      <c r="S105" s="275"/>
      <c r="T105" s="275"/>
      <c r="U105" s="275"/>
      <c r="V105" s="275"/>
      <c r="W105" s="297"/>
      <c r="X105" s="2024"/>
      <c r="Y105" s="2024"/>
      <c r="Z105" s="2024"/>
      <c r="AA105" s="2024"/>
      <c r="AB105" s="2024"/>
      <c r="AC105" s="297"/>
      <c r="AD105" s="297"/>
      <c r="AE105" s="297"/>
      <c r="AF105" s="297"/>
      <c r="AG105" s="297"/>
      <c r="AH105" s="297"/>
      <c r="AI105" s="297"/>
      <c r="AJ105" s="297"/>
      <c r="AK105" s="297"/>
      <c r="AL105" s="297"/>
      <c r="AM105" s="110"/>
    </row>
    <row r="106" spans="2:39" x14ac:dyDescent="0.3">
      <c r="B106" s="126"/>
      <c r="C106" s="501"/>
      <c r="D106" s="2107" t="s">
        <v>69</v>
      </c>
      <c r="E106" s="2107"/>
      <c r="F106" s="2107"/>
      <c r="G106" s="2107"/>
      <c r="H106" s="1304"/>
      <c r="I106" s="102"/>
      <c r="J106" s="102"/>
      <c r="K106" s="316"/>
      <c r="L106" s="317"/>
      <c r="M106" s="317"/>
      <c r="N106" s="316"/>
      <c r="O106" s="317"/>
      <c r="P106" s="317"/>
      <c r="Q106" s="317"/>
      <c r="R106" s="317"/>
      <c r="S106" s="316"/>
      <c r="T106" s="317"/>
      <c r="U106" s="317"/>
      <c r="V106" s="317"/>
      <c r="W106" s="344"/>
      <c r="X106" s="344"/>
      <c r="Y106" s="345"/>
      <c r="Z106" s="345"/>
      <c r="AA106" s="345"/>
      <c r="AB106" s="346"/>
      <c r="AC106" s="344"/>
      <c r="AD106" s="345"/>
      <c r="AE106" s="345"/>
      <c r="AF106" s="345"/>
      <c r="AG106" s="346"/>
      <c r="AH106" s="344"/>
      <c r="AI106" s="345"/>
      <c r="AJ106" s="345"/>
      <c r="AK106" s="345"/>
      <c r="AL106" s="346"/>
      <c r="AM106" s="110"/>
    </row>
    <row r="107" spans="2:39" x14ac:dyDescent="0.3">
      <c r="B107" s="126"/>
      <c r="C107" s="501"/>
      <c r="D107" s="2107"/>
      <c r="E107" s="2107"/>
      <c r="F107" s="2107"/>
      <c r="G107" s="2107"/>
      <c r="H107" s="1304"/>
      <c r="I107" s="102"/>
      <c r="J107" s="102"/>
      <c r="K107" s="275"/>
      <c r="L107" s="275"/>
      <c r="M107" s="275"/>
      <c r="N107" s="275"/>
      <c r="O107" s="275"/>
      <c r="P107" s="275"/>
      <c r="Q107" s="275"/>
      <c r="R107" s="275"/>
      <c r="S107" s="275"/>
      <c r="T107" s="275"/>
      <c r="U107" s="275"/>
      <c r="V107" s="275"/>
      <c r="W107" s="619"/>
      <c r="X107" s="619"/>
      <c r="Y107" s="619"/>
      <c r="Z107" s="619"/>
      <c r="AA107" s="619"/>
      <c r="AB107" s="619"/>
      <c r="AC107" s="619"/>
      <c r="AD107" s="619"/>
      <c r="AE107" s="619"/>
      <c r="AF107" s="619"/>
      <c r="AG107" s="619"/>
      <c r="AH107" s="619"/>
      <c r="AI107" s="619"/>
      <c r="AJ107" s="619"/>
      <c r="AK107" s="619"/>
      <c r="AL107" s="619"/>
      <c r="AM107" s="110"/>
    </row>
    <row r="108" spans="2:39" x14ac:dyDescent="0.3">
      <c r="B108" s="126"/>
      <c r="C108" s="501"/>
      <c r="D108" s="2107" t="s">
        <v>27</v>
      </c>
      <c r="E108" s="2107"/>
      <c r="F108" s="2107"/>
      <c r="G108" s="2107"/>
      <c r="H108" s="1304"/>
      <c r="I108" s="102"/>
      <c r="J108" s="102"/>
      <c r="K108" s="316"/>
      <c r="L108" s="317"/>
      <c r="M108" s="317"/>
      <c r="N108" s="316"/>
      <c r="O108" s="317"/>
      <c r="P108" s="317"/>
      <c r="Q108" s="317"/>
      <c r="R108" s="317"/>
      <c r="S108" s="316"/>
      <c r="T108" s="317"/>
      <c r="U108" s="317"/>
      <c r="V108" s="317"/>
      <c r="W108" s="344"/>
      <c r="X108" s="344"/>
      <c r="Y108" s="345"/>
      <c r="Z108" s="345"/>
      <c r="AA108" s="345"/>
      <c r="AB108" s="346"/>
      <c r="AC108" s="344"/>
      <c r="AD108" s="345"/>
      <c r="AE108" s="345"/>
      <c r="AF108" s="345"/>
      <c r="AG108" s="346"/>
      <c r="AH108" s="344"/>
      <c r="AI108" s="345"/>
      <c r="AJ108" s="345"/>
      <c r="AK108" s="345"/>
      <c r="AL108" s="346"/>
      <c r="AM108" s="85"/>
    </row>
    <row r="109" spans="2:39" x14ac:dyDescent="0.3">
      <c r="B109" s="126"/>
      <c r="C109" s="501"/>
      <c r="D109" s="2107"/>
      <c r="E109" s="2107"/>
      <c r="F109" s="2107"/>
      <c r="G109" s="2107"/>
      <c r="H109" s="1304"/>
      <c r="I109" s="102"/>
      <c r="J109" s="102"/>
      <c r="K109" s="275"/>
      <c r="L109" s="275"/>
      <c r="M109" s="275"/>
      <c r="N109" s="275"/>
      <c r="O109" s="275"/>
      <c r="P109" s="275"/>
      <c r="Q109" s="275"/>
      <c r="R109" s="275"/>
      <c r="S109" s="275"/>
      <c r="T109" s="275"/>
      <c r="U109" s="275"/>
      <c r="V109" s="275"/>
      <c r="W109" s="619"/>
      <c r="X109" s="619"/>
      <c r="Y109" s="619"/>
      <c r="Z109" s="619"/>
      <c r="AA109" s="619"/>
      <c r="AB109" s="619"/>
      <c r="AC109" s="619"/>
      <c r="AD109" s="619"/>
      <c r="AE109" s="619"/>
      <c r="AF109" s="619"/>
      <c r="AG109" s="619"/>
      <c r="AH109" s="619"/>
      <c r="AI109" s="619"/>
      <c r="AJ109" s="619"/>
      <c r="AK109" s="619"/>
      <c r="AL109" s="619"/>
      <c r="AM109" s="85"/>
    </row>
    <row r="110" spans="2:39" x14ac:dyDescent="0.3">
      <c r="B110" s="126"/>
      <c r="C110" s="501"/>
      <c r="D110" s="2108" t="s">
        <v>24</v>
      </c>
      <c r="E110" s="1304"/>
      <c r="F110" s="1304"/>
      <c r="G110" s="1304"/>
      <c r="H110" s="1304"/>
      <c r="I110" s="102"/>
      <c r="J110" s="102"/>
      <c r="K110" s="304"/>
      <c r="L110" s="305"/>
      <c r="M110" s="306"/>
      <c r="N110" s="305"/>
      <c r="O110" s="305"/>
      <c r="P110" s="305"/>
      <c r="Q110" s="305"/>
      <c r="R110" s="306"/>
      <c r="S110" s="305"/>
      <c r="T110" s="305"/>
      <c r="U110" s="305"/>
      <c r="V110" s="305"/>
      <c r="W110" s="335"/>
      <c r="X110" s="335"/>
      <c r="Y110" s="336"/>
      <c r="Z110" s="336"/>
      <c r="AA110" s="336"/>
      <c r="AB110" s="337"/>
      <c r="AC110" s="335"/>
      <c r="AD110" s="336"/>
      <c r="AE110" s="336"/>
      <c r="AF110" s="336"/>
      <c r="AG110" s="337"/>
      <c r="AH110" s="335"/>
      <c r="AI110" s="336"/>
      <c r="AJ110" s="336"/>
      <c r="AK110" s="336"/>
      <c r="AL110" s="337"/>
      <c r="AM110" s="85"/>
    </row>
    <row r="111" spans="2:39" x14ac:dyDescent="0.3">
      <c r="B111" s="126"/>
      <c r="C111" s="616"/>
      <c r="D111" s="2108" t="s">
        <v>20</v>
      </c>
      <c r="E111" s="1304"/>
      <c r="F111" s="1304"/>
      <c r="G111" s="1304"/>
      <c r="H111" s="1304"/>
      <c r="I111" s="102"/>
      <c r="J111" s="102"/>
      <c r="K111" s="307"/>
      <c r="L111" s="275"/>
      <c r="M111" s="308"/>
      <c r="N111" s="275"/>
      <c r="O111" s="275"/>
      <c r="P111" s="275"/>
      <c r="Q111" s="275"/>
      <c r="R111" s="308"/>
      <c r="S111" s="275"/>
      <c r="T111" s="275"/>
      <c r="U111" s="275"/>
      <c r="V111" s="275"/>
      <c r="W111" s="338"/>
      <c r="X111" s="338"/>
      <c r="Y111" s="339"/>
      <c r="Z111" s="339"/>
      <c r="AA111" s="339"/>
      <c r="AB111" s="340"/>
      <c r="AC111" s="338"/>
      <c r="AD111" s="339"/>
      <c r="AE111" s="339"/>
      <c r="AF111" s="339"/>
      <c r="AG111" s="340"/>
      <c r="AH111" s="338"/>
      <c r="AI111" s="339"/>
      <c r="AJ111" s="339"/>
      <c r="AK111" s="339"/>
      <c r="AL111" s="340"/>
      <c r="AM111" s="85"/>
    </row>
    <row r="112" spans="2:39" x14ac:dyDescent="0.3">
      <c r="B112" s="126"/>
      <c r="C112" s="501"/>
      <c r="D112" s="2108" t="s">
        <v>23</v>
      </c>
      <c r="E112" s="1304"/>
      <c r="F112" s="1304"/>
      <c r="G112" s="1304"/>
      <c r="H112" s="1304"/>
      <c r="I112" s="102"/>
      <c r="J112" s="102"/>
      <c r="K112" s="309"/>
      <c r="L112" s="310"/>
      <c r="M112" s="311"/>
      <c r="N112" s="310"/>
      <c r="O112" s="310"/>
      <c r="P112" s="310"/>
      <c r="Q112" s="310"/>
      <c r="R112" s="311"/>
      <c r="S112" s="310"/>
      <c r="T112" s="310"/>
      <c r="U112" s="310"/>
      <c r="V112" s="310"/>
      <c r="W112" s="341"/>
      <c r="X112" s="341"/>
      <c r="Y112" s="342"/>
      <c r="Z112" s="342"/>
      <c r="AA112" s="342"/>
      <c r="AB112" s="343"/>
      <c r="AC112" s="341"/>
      <c r="AD112" s="342"/>
      <c r="AE112" s="342"/>
      <c r="AF112" s="342"/>
      <c r="AG112" s="343"/>
      <c r="AH112" s="341"/>
      <c r="AI112" s="342"/>
      <c r="AJ112" s="342"/>
      <c r="AK112" s="342"/>
      <c r="AL112" s="343"/>
      <c r="AM112" s="85"/>
    </row>
    <row r="113" spans="2:39" x14ac:dyDescent="0.3">
      <c r="B113" s="126"/>
      <c r="C113" s="501"/>
      <c r="D113" s="2109" t="s">
        <v>25</v>
      </c>
      <c r="E113" s="2055"/>
      <c r="F113" s="2055"/>
      <c r="G113" s="2055"/>
      <c r="H113" s="2055"/>
      <c r="I113" s="227"/>
      <c r="J113" s="227"/>
      <c r="K113" s="275"/>
      <c r="L113" s="275"/>
      <c r="M113" s="275"/>
      <c r="N113" s="275"/>
      <c r="O113" s="275"/>
      <c r="P113" s="275"/>
      <c r="Q113" s="275"/>
      <c r="R113" s="275"/>
      <c r="S113" s="275"/>
      <c r="T113" s="275"/>
      <c r="U113" s="275"/>
      <c r="V113" s="275"/>
      <c r="W113" s="297">
        <f t="shared" ref="W113" si="17">+W110-W111-W112</f>
        <v>0</v>
      </c>
      <c r="X113" s="2024">
        <f t="shared" ref="X113:AG113" si="18">+X110-X111-X112</f>
        <v>0</v>
      </c>
      <c r="Y113" s="2024">
        <f t="shared" si="18"/>
        <v>0</v>
      </c>
      <c r="Z113" s="2024">
        <f t="shared" si="18"/>
        <v>0</v>
      </c>
      <c r="AA113" s="2024">
        <f t="shared" si="18"/>
        <v>0</v>
      </c>
      <c r="AB113" s="2024">
        <f t="shared" si="18"/>
        <v>0</v>
      </c>
      <c r="AC113" s="297">
        <f t="shared" si="18"/>
        <v>0</v>
      </c>
      <c r="AD113" s="297">
        <f t="shared" si="18"/>
        <v>0</v>
      </c>
      <c r="AE113" s="297">
        <f t="shared" si="18"/>
        <v>0</v>
      </c>
      <c r="AF113" s="297">
        <f t="shared" si="18"/>
        <v>0</v>
      </c>
      <c r="AG113" s="297">
        <f t="shared" si="18"/>
        <v>0</v>
      </c>
      <c r="AH113" s="297">
        <f>+AH110-AH111-AH112</f>
        <v>0</v>
      </c>
      <c r="AI113" s="297">
        <f>+AI110-AI111-AI112</f>
        <v>0</v>
      </c>
      <c r="AJ113" s="297">
        <f>+AJ110-AJ111-AJ112</f>
        <v>0</v>
      </c>
      <c r="AK113" s="297">
        <f>+AK110-AK111-AK112</f>
        <v>0</v>
      </c>
      <c r="AL113" s="297">
        <f>+AL110-AL111-AL112</f>
        <v>0</v>
      </c>
      <c r="AM113" s="85"/>
    </row>
    <row r="114" spans="2:39" x14ac:dyDescent="0.3">
      <c r="B114" s="126"/>
      <c r="C114" s="501"/>
      <c r="D114" s="2109"/>
      <c r="E114" s="2055"/>
      <c r="F114" s="2055"/>
      <c r="G114" s="2055"/>
      <c r="H114" s="2055"/>
      <c r="I114" s="227"/>
      <c r="J114" s="227"/>
      <c r="K114" s="275"/>
      <c r="L114" s="275"/>
      <c r="M114" s="275"/>
      <c r="N114" s="275"/>
      <c r="O114" s="275"/>
      <c r="P114" s="275"/>
      <c r="Q114" s="275"/>
      <c r="R114" s="275"/>
      <c r="S114" s="275"/>
      <c r="T114" s="275"/>
      <c r="U114" s="275"/>
      <c r="V114" s="275"/>
      <c r="W114" s="297"/>
      <c r="X114" s="2024"/>
      <c r="Y114" s="2024"/>
      <c r="Z114" s="2024"/>
      <c r="AA114" s="2024"/>
      <c r="AB114" s="2024"/>
      <c r="AC114" s="297"/>
      <c r="AD114" s="297"/>
      <c r="AE114" s="297"/>
      <c r="AF114" s="297"/>
      <c r="AG114" s="297"/>
      <c r="AH114" s="297"/>
      <c r="AI114" s="297"/>
      <c r="AJ114" s="297"/>
      <c r="AK114" s="297"/>
      <c r="AL114" s="297"/>
      <c r="AM114" s="85"/>
    </row>
    <row r="115" spans="2:39" x14ac:dyDescent="0.3">
      <c r="B115" s="126"/>
      <c r="C115" s="501"/>
      <c r="D115" s="2108" t="s">
        <v>62</v>
      </c>
      <c r="E115" s="2055"/>
      <c r="F115" s="2055"/>
      <c r="G115" s="2055"/>
      <c r="H115" s="2055"/>
      <c r="I115" s="227"/>
      <c r="J115" s="227"/>
      <c r="K115" s="305"/>
      <c r="L115" s="305"/>
      <c r="M115" s="306"/>
      <c r="N115" s="305"/>
      <c r="O115" s="305"/>
      <c r="P115" s="305"/>
      <c r="Q115" s="305"/>
      <c r="R115" s="306"/>
      <c r="S115" s="305"/>
      <c r="T115" s="305"/>
      <c r="U115" s="305"/>
      <c r="V115" s="305"/>
      <c r="W115" s="335"/>
      <c r="X115" s="335"/>
      <c r="Y115" s="336"/>
      <c r="Z115" s="336"/>
      <c r="AA115" s="336"/>
      <c r="AB115" s="337"/>
      <c r="AC115" s="335"/>
      <c r="AD115" s="336"/>
      <c r="AE115" s="336"/>
      <c r="AF115" s="336"/>
      <c r="AG115" s="337"/>
      <c r="AH115" s="335"/>
      <c r="AI115" s="336"/>
      <c r="AJ115" s="336"/>
      <c r="AK115" s="336"/>
      <c r="AL115" s="337"/>
      <c r="AM115" s="85"/>
    </row>
    <row r="116" spans="2:39" x14ac:dyDescent="0.3">
      <c r="B116" s="126"/>
      <c r="C116" s="501"/>
      <c r="D116" s="2108" t="s">
        <v>19</v>
      </c>
      <c r="E116" s="2055"/>
      <c r="F116" s="2055"/>
      <c r="G116" s="2055"/>
      <c r="H116" s="2055"/>
      <c r="I116" s="227"/>
      <c r="J116" s="227"/>
      <c r="K116" s="310"/>
      <c r="L116" s="310"/>
      <c r="M116" s="311"/>
      <c r="N116" s="310"/>
      <c r="O116" s="310"/>
      <c r="P116" s="310"/>
      <c r="Q116" s="310"/>
      <c r="R116" s="311"/>
      <c r="S116" s="310"/>
      <c r="T116" s="310"/>
      <c r="U116" s="310"/>
      <c r="V116" s="310"/>
      <c r="W116" s="341"/>
      <c r="X116" s="341"/>
      <c r="Y116" s="342"/>
      <c r="Z116" s="342"/>
      <c r="AA116" s="342"/>
      <c r="AB116" s="343"/>
      <c r="AC116" s="341"/>
      <c r="AD116" s="342"/>
      <c r="AE116" s="342"/>
      <c r="AF116" s="342"/>
      <c r="AG116" s="343"/>
      <c r="AH116" s="341"/>
      <c r="AI116" s="342"/>
      <c r="AJ116" s="342"/>
      <c r="AK116" s="342"/>
      <c r="AL116" s="343"/>
      <c r="AM116" s="85"/>
    </row>
    <row r="117" spans="2:39" x14ac:dyDescent="0.3">
      <c r="B117" s="126"/>
      <c r="C117" s="617"/>
      <c r="D117" s="2110"/>
      <c r="E117" s="2110"/>
      <c r="F117" s="2110"/>
      <c r="G117" s="2110"/>
      <c r="H117" s="2110"/>
      <c r="I117" s="267"/>
      <c r="J117" s="267"/>
      <c r="K117" s="310"/>
      <c r="L117" s="310"/>
      <c r="M117" s="310"/>
      <c r="N117" s="310"/>
      <c r="O117" s="310"/>
      <c r="P117" s="310"/>
      <c r="Q117" s="310"/>
      <c r="R117" s="310"/>
      <c r="S117" s="310"/>
      <c r="T117" s="310"/>
      <c r="U117" s="310"/>
      <c r="V117" s="310"/>
      <c r="W117" s="618"/>
      <c r="X117" s="2143"/>
      <c r="Y117" s="2143"/>
      <c r="Z117" s="2143"/>
      <c r="AA117" s="2143"/>
      <c r="AB117" s="2143"/>
      <c r="AC117" s="618"/>
      <c r="AD117" s="618"/>
      <c r="AE117" s="618"/>
      <c r="AF117" s="618"/>
      <c r="AG117" s="618"/>
      <c r="AH117" s="618"/>
      <c r="AI117" s="618"/>
      <c r="AJ117" s="618"/>
      <c r="AK117" s="618"/>
      <c r="AL117" s="618"/>
      <c r="AM117" s="94"/>
    </row>
    <row r="118" spans="2:39" x14ac:dyDescent="0.3">
      <c r="D118" s="1304"/>
      <c r="E118" s="1304"/>
      <c r="F118" s="1304"/>
      <c r="G118" s="1304"/>
      <c r="H118" s="1304"/>
      <c r="K118" s="423"/>
      <c r="L118" s="423"/>
      <c r="M118" s="423"/>
      <c r="N118" s="423"/>
      <c r="O118" s="423"/>
      <c r="P118" s="423"/>
      <c r="Q118" s="423"/>
      <c r="R118" s="423"/>
      <c r="S118" s="423"/>
      <c r="T118" s="423"/>
      <c r="U118" s="423"/>
      <c r="V118" s="423"/>
      <c r="W118" s="294"/>
      <c r="X118" s="2133"/>
      <c r="Y118" s="2133"/>
      <c r="Z118" s="2133"/>
      <c r="AA118" s="2133"/>
      <c r="AB118" s="2133"/>
      <c r="AC118" s="294"/>
      <c r="AD118" s="294"/>
      <c r="AE118" s="294"/>
      <c r="AF118" s="294"/>
      <c r="AG118" s="294"/>
      <c r="AH118" s="294"/>
      <c r="AI118" s="294"/>
      <c r="AJ118" s="294"/>
      <c r="AK118" s="294"/>
      <c r="AL118" s="294"/>
    </row>
    <row r="119" spans="2:39" x14ac:dyDescent="0.3">
      <c r="B119" s="126"/>
      <c r="C119" s="612"/>
      <c r="D119" s="2400" t="s">
        <v>396</v>
      </c>
      <c r="E119" s="2401"/>
      <c r="F119" s="2401"/>
      <c r="G119" s="2401"/>
      <c r="H119" s="2402"/>
      <c r="I119" s="613"/>
      <c r="J119" s="613"/>
      <c r="K119" s="305"/>
      <c r="L119" s="305"/>
      <c r="M119" s="305"/>
      <c r="N119" s="305"/>
      <c r="O119" s="305"/>
      <c r="P119" s="305"/>
      <c r="Q119" s="305"/>
      <c r="R119" s="305"/>
      <c r="S119" s="305"/>
      <c r="T119" s="305"/>
      <c r="U119" s="305"/>
      <c r="V119" s="305"/>
      <c r="W119" s="614"/>
      <c r="X119" s="2144"/>
      <c r="Y119" s="2144"/>
      <c r="Z119" s="2144"/>
      <c r="AA119" s="2144"/>
      <c r="AB119" s="2144"/>
      <c r="AC119" s="614"/>
      <c r="AD119" s="614"/>
      <c r="AE119" s="614"/>
      <c r="AF119" s="614"/>
      <c r="AG119" s="614"/>
      <c r="AH119" s="614"/>
      <c r="AI119" s="614"/>
      <c r="AJ119" s="614"/>
      <c r="AK119" s="614"/>
      <c r="AL119" s="614"/>
      <c r="AM119" s="615"/>
    </row>
    <row r="120" spans="2:39" x14ac:dyDescent="0.3">
      <c r="B120" s="126"/>
      <c r="C120" s="501"/>
      <c r="D120" s="2107"/>
      <c r="E120" s="2107"/>
      <c r="F120" s="2107"/>
      <c r="G120" s="2107"/>
      <c r="H120" s="1304"/>
      <c r="I120" s="102"/>
      <c r="J120" s="102"/>
      <c r="K120" s="275"/>
      <c r="L120" s="275"/>
      <c r="M120" s="275"/>
      <c r="N120" s="275"/>
      <c r="O120" s="275"/>
      <c r="P120" s="275"/>
      <c r="Q120" s="275"/>
      <c r="R120" s="275"/>
      <c r="S120" s="275"/>
      <c r="T120" s="275"/>
      <c r="U120" s="275"/>
      <c r="V120" s="275"/>
      <c r="W120" s="297"/>
      <c r="X120" s="2024"/>
      <c r="Y120" s="2024"/>
      <c r="Z120" s="2024"/>
      <c r="AA120" s="2024"/>
      <c r="AB120" s="2024"/>
      <c r="AC120" s="297"/>
      <c r="AD120" s="297"/>
      <c r="AE120" s="297"/>
      <c r="AF120" s="297"/>
      <c r="AG120" s="297"/>
      <c r="AH120" s="297"/>
      <c r="AI120" s="297"/>
      <c r="AJ120" s="297"/>
      <c r="AK120" s="297"/>
      <c r="AL120" s="297"/>
      <c r="AM120" s="110"/>
    </row>
    <row r="121" spans="2:39" x14ac:dyDescent="0.3">
      <c r="B121" s="126"/>
      <c r="C121" s="501"/>
      <c r="D121" s="2107" t="s">
        <v>69</v>
      </c>
      <c r="E121" s="2107"/>
      <c r="F121" s="2107"/>
      <c r="G121" s="2107"/>
      <c r="H121" s="1304"/>
      <c r="I121" s="102"/>
      <c r="J121" s="102"/>
      <c r="K121" s="316"/>
      <c r="L121" s="317"/>
      <c r="M121" s="317"/>
      <c r="N121" s="316"/>
      <c r="O121" s="317"/>
      <c r="P121" s="317"/>
      <c r="Q121" s="317"/>
      <c r="R121" s="317"/>
      <c r="S121" s="316"/>
      <c r="T121" s="317"/>
      <c r="U121" s="317"/>
      <c r="V121" s="317"/>
      <c r="W121" s="344"/>
      <c r="X121" s="344"/>
      <c r="Y121" s="345"/>
      <c r="Z121" s="345"/>
      <c r="AA121" s="345"/>
      <c r="AB121" s="346"/>
      <c r="AC121" s="344"/>
      <c r="AD121" s="345"/>
      <c r="AE121" s="345"/>
      <c r="AF121" s="345"/>
      <c r="AG121" s="346"/>
      <c r="AH121" s="344"/>
      <c r="AI121" s="345"/>
      <c r="AJ121" s="345"/>
      <c r="AK121" s="345"/>
      <c r="AL121" s="346"/>
      <c r="AM121" s="110"/>
    </row>
    <row r="122" spans="2:39" x14ac:dyDescent="0.3">
      <c r="B122" s="126"/>
      <c r="C122" s="501"/>
      <c r="D122" s="2107"/>
      <c r="E122" s="2107"/>
      <c r="F122" s="2107"/>
      <c r="G122" s="2107"/>
      <c r="H122" s="1304"/>
      <c r="I122" s="102"/>
      <c r="J122" s="102"/>
      <c r="K122" s="275"/>
      <c r="L122" s="275"/>
      <c r="M122" s="275"/>
      <c r="N122" s="275"/>
      <c r="O122" s="275"/>
      <c r="P122" s="275"/>
      <c r="Q122" s="275"/>
      <c r="R122" s="275"/>
      <c r="S122" s="275"/>
      <c r="T122" s="275"/>
      <c r="U122" s="275"/>
      <c r="V122" s="275"/>
      <c r="W122" s="619"/>
      <c r="X122" s="619"/>
      <c r="Y122" s="619"/>
      <c r="Z122" s="619"/>
      <c r="AA122" s="619"/>
      <c r="AB122" s="619"/>
      <c r="AC122" s="619"/>
      <c r="AD122" s="619"/>
      <c r="AE122" s="619"/>
      <c r="AF122" s="619"/>
      <c r="AG122" s="619"/>
      <c r="AH122" s="619"/>
      <c r="AI122" s="619"/>
      <c r="AJ122" s="619"/>
      <c r="AK122" s="619"/>
      <c r="AL122" s="619"/>
      <c r="AM122" s="110"/>
    </row>
    <row r="123" spans="2:39" x14ac:dyDescent="0.3">
      <c r="B123" s="126"/>
      <c r="C123" s="501"/>
      <c r="D123" s="2107" t="s">
        <v>27</v>
      </c>
      <c r="E123" s="2107"/>
      <c r="F123" s="2107"/>
      <c r="G123" s="2107"/>
      <c r="H123" s="1304"/>
      <c r="I123" s="102"/>
      <c r="J123" s="102"/>
      <c r="K123" s="316"/>
      <c r="L123" s="317"/>
      <c r="M123" s="317"/>
      <c r="N123" s="316"/>
      <c r="O123" s="317"/>
      <c r="P123" s="317"/>
      <c r="Q123" s="317"/>
      <c r="R123" s="317"/>
      <c r="S123" s="316"/>
      <c r="T123" s="317"/>
      <c r="U123" s="317"/>
      <c r="V123" s="317"/>
      <c r="W123" s="344"/>
      <c r="X123" s="344"/>
      <c r="Y123" s="345"/>
      <c r="Z123" s="345"/>
      <c r="AA123" s="345"/>
      <c r="AB123" s="346"/>
      <c r="AC123" s="344"/>
      <c r="AD123" s="345"/>
      <c r="AE123" s="345"/>
      <c r="AF123" s="345"/>
      <c r="AG123" s="346"/>
      <c r="AH123" s="344"/>
      <c r="AI123" s="345"/>
      <c r="AJ123" s="345"/>
      <c r="AK123" s="345"/>
      <c r="AL123" s="346"/>
      <c r="AM123" s="85"/>
    </row>
    <row r="124" spans="2:39" x14ac:dyDescent="0.3">
      <c r="B124" s="126"/>
      <c r="C124" s="501"/>
      <c r="D124" s="2107"/>
      <c r="E124" s="2107"/>
      <c r="F124" s="2107"/>
      <c r="G124" s="2107"/>
      <c r="H124" s="1304"/>
      <c r="I124" s="102"/>
      <c r="J124" s="102"/>
      <c r="K124" s="275"/>
      <c r="L124" s="275"/>
      <c r="M124" s="275"/>
      <c r="N124" s="275"/>
      <c r="O124" s="275"/>
      <c r="P124" s="275"/>
      <c r="Q124" s="275"/>
      <c r="R124" s="275"/>
      <c r="S124" s="275"/>
      <c r="T124" s="275"/>
      <c r="U124" s="275"/>
      <c r="V124" s="275"/>
      <c r="W124" s="619"/>
      <c r="X124" s="619"/>
      <c r="Y124" s="619"/>
      <c r="Z124" s="619"/>
      <c r="AA124" s="619"/>
      <c r="AB124" s="619"/>
      <c r="AC124" s="619"/>
      <c r="AD124" s="619"/>
      <c r="AE124" s="619"/>
      <c r="AF124" s="619"/>
      <c r="AG124" s="619"/>
      <c r="AH124" s="619"/>
      <c r="AI124" s="619"/>
      <c r="AJ124" s="619"/>
      <c r="AK124" s="619"/>
      <c r="AL124" s="619"/>
      <c r="AM124" s="85"/>
    </row>
    <row r="125" spans="2:39" x14ac:dyDescent="0.3">
      <c r="B125" s="126"/>
      <c r="C125" s="501"/>
      <c r="D125" s="2108" t="s">
        <v>24</v>
      </c>
      <c r="E125" s="1304"/>
      <c r="F125" s="1304"/>
      <c r="G125" s="1304"/>
      <c r="H125" s="1304"/>
      <c r="I125" s="102"/>
      <c r="J125" s="102"/>
      <c r="K125" s="304"/>
      <c r="L125" s="305"/>
      <c r="M125" s="306"/>
      <c r="N125" s="305"/>
      <c r="O125" s="305"/>
      <c r="P125" s="305"/>
      <c r="Q125" s="305"/>
      <c r="R125" s="306"/>
      <c r="S125" s="305"/>
      <c r="T125" s="305"/>
      <c r="U125" s="305"/>
      <c r="V125" s="305"/>
      <c r="W125" s="335"/>
      <c r="X125" s="335"/>
      <c r="Y125" s="336"/>
      <c r="Z125" s="336"/>
      <c r="AA125" s="336"/>
      <c r="AB125" s="337"/>
      <c r="AC125" s="335"/>
      <c r="AD125" s="336"/>
      <c r="AE125" s="336"/>
      <c r="AF125" s="336"/>
      <c r="AG125" s="337"/>
      <c r="AH125" s="335"/>
      <c r="AI125" s="336"/>
      <c r="AJ125" s="336"/>
      <c r="AK125" s="336"/>
      <c r="AL125" s="337"/>
      <c r="AM125" s="85"/>
    </row>
    <row r="126" spans="2:39" x14ac:dyDescent="0.3">
      <c r="B126" s="126"/>
      <c r="C126" s="616"/>
      <c r="D126" s="2108" t="s">
        <v>20</v>
      </c>
      <c r="E126" s="1304"/>
      <c r="F126" s="1304"/>
      <c r="G126" s="1304"/>
      <c r="H126" s="1304"/>
      <c r="I126" s="102"/>
      <c r="J126" s="102"/>
      <c r="K126" s="307"/>
      <c r="L126" s="275"/>
      <c r="M126" s="308"/>
      <c r="N126" s="275"/>
      <c r="O126" s="275"/>
      <c r="P126" s="275"/>
      <c r="Q126" s="275"/>
      <c r="R126" s="308"/>
      <c r="S126" s="275"/>
      <c r="T126" s="275"/>
      <c r="U126" s="275"/>
      <c r="V126" s="275"/>
      <c r="W126" s="338"/>
      <c r="X126" s="338"/>
      <c r="Y126" s="339"/>
      <c r="Z126" s="339"/>
      <c r="AA126" s="339"/>
      <c r="AB126" s="340"/>
      <c r="AC126" s="338"/>
      <c r="AD126" s="339"/>
      <c r="AE126" s="339"/>
      <c r="AF126" s="339"/>
      <c r="AG126" s="340"/>
      <c r="AH126" s="338"/>
      <c r="AI126" s="339"/>
      <c r="AJ126" s="339"/>
      <c r="AK126" s="339"/>
      <c r="AL126" s="340"/>
      <c r="AM126" s="85"/>
    </row>
    <row r="127" spans="2:39" x14ac:dyDescent="0.3">
      <c r="B127" s="126"/>
      <c r="C127" s="501"/>
      <c r="D127" s="2108" t="s">
        <v>23</v>
      </c>
      <c r="E127" s="1304"/>
      <c r="F127" s="1304"/>
      <c r="G127" s="1304"/>
      <c r="H127" s="1304"/>
      <c r="I127" s="102"/>
      <c r="J127" s="102"/>
      <c r="K127" s="309"/>
      <c r="L127" s="310"/>
      <c r="M127" s="311"/>
      <c r="N127" s="310"/>
      <c r="O127" s="310"/>
      <c r="P127" s="310"/>
      <c r="Q127" s="310"/>
      <c r="R127" s="311"/>
      <c r="S127" s="310"/>
      <c r="T127" s="310"/>
      <c r="U127" s="310"/>
      <c r="V127" s="310"/>
      <c r="W127" s="341"/>
      <c r="X127" s="341"/>
      <c r="Y127" s="342"/>
      <c r="Z127" s="342"/>
      <c r="AA127" s="342"/>
      <c r="AB127" s="343"/>
      <c r="AC127" s="341"/>
      <c r="AD127" s="342"/>
      <c r="AE127" s="342"/>
      <c r="AF127" s="342"/>
      <c r="AG127" s="343"/>
      <c r="AH127" s="341"/>
      <c r="AI127" s="342"/>
      <c r="AJ127" s="342"/>
      <c r="AK127" s="342"/>
      <c r="AL127" s="343"/>
      <c r="AM127" s="85"/>
    </row>
    <row r="128" spans="2:39" x14ac:dyDescent="0.3">
      <c r="B128" s="126"/>
      <c r="C128" s="501"/>
      <c r="D128" s="2109" t="s">
        <v>25</v>
      </c>
      <c r="E128" s="2055"/>
      <c r="F128" s="2055"/>
      <c r="G128" s="2055"/>
      <c r="H128" s="2055"/>
      <c r="I128" s="227"/>
      <c r="J128" s="227"/>
      <c r="K128" s="275"/>
      <c r="L128" s="275"/>
      <c r="M128" s="275"/>
      <c r="N128" s="275"/>
      <c r="O128" s="275"/>
      <c r="P128" s="275"/>
      <c r="Q128" s="275"/>
      <c r="R128" s="275"/>
      <c r="S128" s="275"/>
      <c r="T128" s="275"/>
      <c r="U128" s="275"/>
      <c r="V128" s="275"/>
      <c r="W128" s="297">
        <f t="shared" ref="W128" si="19">+W125-W126-W127</f>
        <v>0</v>
      </c>
      <c r="X128" s="2024">
        <f t="shared" ref="X128:AG128" si="20">+X125-X126-X127</f>
        <v>0</v>
      </c>
      <c r="Y128" s="2024">
        <f t="shared" si="20"/>
        <v>0</v>
      </c>
      <c r="Z128" s="2024">
        <f t="shared" si="20"/>
        <v>0</v>
      </c>
      <c r="AA128" s="2024">
        <f t="shared" si="20"/>
        <v>0</v>
      </c>
      <c r="AB128" s="2024">
        <f t="shared" si="20"/>
        <v>0</v>
      </c>
      <c r="AC128" s="297">
        <f t="shared" si="20"/>
        <v>0</v>
      </c>
      <c r="AD128" s="297">
        <f t="shared" si="20"/>
        <v>0</v>
      </c>
      <c r="AE128" s="297">
        <f t="shared" si="20"/>
        <v>0</v>
      </c>
      <c r="AF128" s="297">
        <f t="shared" si="20"/>
        <v>0</v>
      </c>
      <c r="AG128" s="297">
        <f t="shared" si="20"/>
        <v>0</v>
      </c>
      <c r="AH128" s="297">
        <f>+AH125-AH126-AH127</f>
        <v>0</v>
      </c>
      <c r="AI128" s="297">
        <f>+AI125-AI126-AI127</f>
        <v>0</v>
      </c>
      <c r="AJ128" s="297">
        <f>+AJ125-AJ126-AJ127</f>
        <v>0</v>
      </c>
      <c r="AK128" s="297">
        <f>+AK125-AK126-AK127</f>
        <v>0</v>
      </c>
      <c r="AL128" s="297">
        <f>+AL125-AL126-AL127</f>
        <v>0</v>
      </c>
      <c r="AM128" s="85"/>
    </row>
    <row r="129" spans="2:39" x14ac:dyDescent="0.3">
      <c r="B129" s="126"/>
      <c r="C129" s="501"/>
      <c r="D129" s="2109"/>
      <c r="E129" s="2055"/>
      <c r="F129" s="2055"/>
      <c r="G129" s="2055"/>
      <c r="H129" s="2055"/>
      <c r="I129" s="227"/>
      <c r="J129" s="227"/>
      <c r="K129" s="275"/>
      <c r="L129" s="275"/>
      <c r="M129" s="275"/>
      <c r="N129" s="275"/>
      <c r="O129" s="275"/>
      <c r="P129" s="275"/>
      <c r="Q129" s="275"/>
      <c r="R129" s="275"/>
      <c r="S129" s="275"/>
      <c r="T129" s="275"/>
      <c r="U129" s="275"/>
      <c r="V129" s="275"/>
      <c r="W129" s="297"/>
      <c r="X129" s="2024"/>
      <c r="Y129" s="2024"/>
      <c r="Z129" s="2024"/>
      <c r="AA129" s="2024"/>
      <c r="AB129" s="2024"/>
      <c r="AC129" s="297"/>
      <c r="AD129" s="297"/>
      <c r="AE129" s="297"/>
      <c r="AF129" s="297"/>
      <c r="AG129" s="297"/>
      <c r="AH129" s="297"/>
      <c r="AI129" s="297"/>
      <c r="AJ129" s="297"/>
      <c r="AK129" s="297"/>
      <c r="AL129" s="297"/>
      <c r="AM129" s="85"/>
    </row>
    <row r="130" spans="2:39" x14ac:dyDescent="0.3">
      <c r="B130" s="126"/>
      <c r="C130" s="501"/>
      <c r="D130" s="2108" t="s">
        <v>62</v>
      </c>
      <c r="E130" s="2055"/>
      <c r="F130" s="2055"/>
      <c r="G130" s="2055"/>
      <c r="H130" s="2055"/>
      <c r="I130" s="227"/>
      <c r="J130" s="227"/>
      <c r="K130" s="304"/>
      <c r="L130" s="305"/>
      <c r="M130" s="306"/>
      <c r="N130" s="305"/>
      <c r="O130" s="305"/>
      <c r="P130" s="305"/>
      <c r="Q130" s="305"/>
      <c r="R130" s="306"/>
      <c r="S130" s="305"/>
      <c r="T130" s="305"/>
      <c r="U130" s="305"/>
      <c r="V130" s="305"/>
      <c r="W130" s="335"/>
      <c r="X130" s="335"/>
      <c r="Y130" s="336"/>
      <c r="Z130" s="336"/>
      <c r="AA130" s="336"/>
      <c r="AB130" s="337"/>
      <c r="AC130" s="335"/>
      <c r="AD130" s="336"/>
      <c r="AE130" s="336"/>
      <c r="AF130" s="336"/>
      <c r="AG130" s="337"/>
      <c r="AH130" s="335"/>
      <c r="AI130" s="336"/>
      <c r="AJ130" s="336"/>
      <c r="AK130" s="336"/>
      <c r="AL130" s="337"/>
      <c r="AM130" s="85"/>
    </row>
    <row r="131" spans="2:39" x14ac:dyDescent="0.3">
      <c r="B131" s="126"/>
      <c r="C131" s="501"/>
      <c r="D131" s="2108" t="s">
        <v>19</v>
      </c>
      <c r="E131" s="2055"/>
      <c r="F131" s="2055"/>
      <c r="G131" s="2055"/>
      <c r="H131" s="2055"/>
      <c r="I131" s="227"/>
      <c r="J131" s="227"/>
      <c r="K131" s="309"/>
      <c r="L131" s="310"/>
      <c r="M131" s="311"/>
      <c r="N131" s="310"/>
      <c r="O131" s="310"/>
      <c r="P131" s="310"/>
      <c r="Q131" s="310"/>
      <c r="R131" s="311"/>
      <c r="S131" s="310"/>
      <c r="T131" s="310"/>
      <c r="U131" s="310"/>
      <c r="V131" s="310"/>
      <c r="W131" s="341"/>
      <c r="X131" s="341"/>
      <c r="Y131" s="342"/>
      <c r="Z131" s="342"/>
      <c r="AA131" s="342"/>
      <c r="AB131" s="343"/>
      <c r="AC131" s="341"/>
      <c r="AD131" s="342"/>
      <c r="AE131" s="342"/>
      <c r="AF131" s="342"/>
      <c r="AG131" s="343"/>
      <c r="AH131" s="341"/>
      <c r="AI131" s="342"/>
      <c r="AJ131" s="342"/>
      <c r="AK131" s="342"/>
      <c r="AL131" s="343"/>
      <c r="AM131" s="85"/>
    </row>
    <row r="132" spans="2:39" x14ac:dyDescent="0.3">
      <c r="B132" s="126"/>
      <c r="C132" s="617"/>
      <c r="D132" s="2110"/>
      <c r="E132" s="2110"/>
      <c r="F132" s="2110"/>
      <c r="G132" s="2110"/>
      <c r="H132" s="2110"/>
      <c r="I132" s="267"/>
      <c r="J132" s="267"/>
      <c r="K132" s="310"/>
      <c r="L132" s="310"/>
      <c r="M132" s="310"/>
      <c r="N132" s="310"/>
      <c r="O132" s="310"/>
      <c r="P132" s="310"/>
      <c r="Q132" s="310"/>
      <c r="R132" s="310"/>
      <c r="S132" s="310"/>
      <c r="T132" s="310"/>
      <c r="U132" s="310"/>
      <c r="V132" s="310"/>
      <c r="W132" s="618"/>
      <c r="X132" s="2143"/>
      <c r="Y132" s="2143"/>
      <c r="Z132" s="2143"/>
      <c r="AA132" s="2143"/>
      <c r="AB132" s="2143"/>
      <c r="AC132" s="618"/>
      <c r="AD132" s="618"/>
      <c r="AE132" s="618"/>
      <c r="AF132" s="618"/>
      <c r="AG132" s="618"/>
      <c r="AH132" s="618"/>
      <c r="AI132" s="618"/>
      <c r="AJ132" s="618"/>
      <c r="AK132" s="618"/>
      <c r="AL132" s="618"/>
      <c r="AM132" s="94"/>
    </row>
    <row r="133" spans="2:39" x14ac:dyDescent="0.3">
      <c r="B133" s="126"/>
      <c r="C133" s="102"/>
      <c r="D133" s="1304"/>
      <c r="E133" s="1304"/>
      <c r="F133" s="1304"/>
      <c r="G133" s="1304"/>
      <c r="H133" s="1304"/>
      <c r="I133" s="126"/>
      <c r="J133" s="126"/>
      <c r="K133" s="275"/>
      <c r="L133" s="275"/>
      <c r="M133" s="275"/>
      <c r="N133" s="275"/>
      <c r="O133" s="275"/>
      <c r="P133" s="275"/>
      <c r="Q133" s="275"/>
      <c r="R133" s="275"/>
      <c r="S133" s="275"/>
      <c r="T133" s="275"/>
      <c r="U133" s="275"/>
      <c r="V133" s="275"/>
      <c r="W133" s="297"/>
      <c r="X133" s="2024"/>
      <c r="Y133" s="2024"/>
      <c r="Z133" s="2024"/>
      <c r="AA133" s="2024"/>
      <c r="AB133" s="2024"/>
      <c r="AC133" s="297"/>
      <c r="AD133" s="297"/>
      <c r="AE133" s="297"/>
      <c r="AF133" s="297"/>
      <c r="AG133" s="297"/>
      <c r="AH133" s="297"/>
      <c r="AI133" s="297"/>
      <c r="AJ133" s="297"/>
      <c r="AK133" s="297"/>
      <c r="AL133" s="297"/>
    </row>
    <row r="134" spans="2:39" x14ac:dyDescent="0.3">
      <c r="B134" s="126"/>
      <c r="C134" s="612"/>
      <c r="D134" s="2400" t="s">
        <v>395</v>
      </c>
      <c r="E134" s="2401"/>
      <c r="F134" s="2401"/>
      <c r="G134" s="2401"/>
      <c r="H134" s="2402"/>
      <c r="I134" s="613"/>
      <c r="J134" s="613"/>
      <c r="K134" s="305"/>
      <c r="L134" s="305"/>
      <c r="M134" s="305"/>
      <c r="N134" s="305"/>
      <c r="O134" s="305"/>
      <c r="P134" s="305"/>
      <c r="Q134" s="305"/>
      <c r="R134" s="305"/>
      <c r="S134" s="305"/>
      <c r="T134" s="305"/>
      <c r="U134" s="305"/>
      <c r="V134" s="305"/>
      <c r="W134" s="614"/>
      <c r="X134" s="2144"/>
      <c r="Y134" s="2144"/>
      <c r="Z134" s="2144"/>
      <c r="AA134" s="2144"/>
      <c r="AB134" s="2144"/>
      <c r="AC134" s="614"/>
      <c r="AD134" s="614"/>
      <c r="AE134" s="614"/>
      <c r="AF134" s="614"/>
      <c r="AG134" s="614"/>
      <c r="AH134" s="614"/>
      <c r="AI134" s="614"/>
      <c r="AJ134" s="614"/>
      <c r="AK134" s="614"/>
      <c r="AL134" s="614"/>
      <c r="AM134" s="615"/>
    </row>
    <row r="135" spans="2:39" x14ac:dyDescent="0.3">
      <c r="B135" s="126"/>
      <c r="C135" s="501"/>
      <c r="D135" s="2107"/>
      <c r="E135" s="2107"/>
      <c r="F135" s="2107"/>
      <c r="G135" s="2107"/>
      <c r="H135" s="1304"/>
      <c r="I135" s="102"/>
      <c r="J135" s="102"/>
      <c r="K135" s="275"/>
      <c r="L135" s="275"/>
      <c r="M135" s="275"/>
      <c r="N135" s="275"/>
      <c r="O135" s="275"/>
      <c r="P135" s="275"/>
      <c r="Q135" s="275"/>
      <c r="R135" s="275"/>
      <c r="S135" s="275"/>
      <c r="T135" s="275"/>
      <c r="U135" s="275"/>
      <c r="V135" s="275"/>
      <c r="W135" s="297"/>
      <c r="X135" s="2024"/>
      <c r="Y135" s="2024"/>
      <c r="Z135" s="2024"/>
      <c r="AA135" s="2024"/>
      <c r="AB135" s="2024"/>
      <c r="AC135" s="297"/>
      <c r="AD135" s="297"/>
      <c r="AE135" s="297"/>
      <c r="AF135" s="297"/>
      <c r="AG135" s="297"/>
      <c r="AH135" s="297"/>
      <c r="AI135" s="297"/>
      <c r="AJ135" s="297"/>
      <c r="AK135" s="297"/>
      <c r="AL135" s="297"/>
      <c r="AM135" s="110"/>
    </row>
    <row r="136" spans="2:39" x14ac:dyDescent="0.3">
      <c r="B136" s="126"/>
      <c r="C136" s="501"/>
      <c r="D136" s="2107" t="s">
        <v>69</v>
      </c>
      <c r="E136" s="2107"/>
      <c r="F136" s="2107"/>
      <c r="G136" s="2107"/>
      <c r="H136" s="1304"/>
      <c r="I136" s="102"/>
      <c r="J136" s="102"/>
      <c r="K136" s="316"/>
      <c r="L136" s="317"/>
      <c r="M136" s="317"/>
      <c r="N136" s="316"/>
      <c r="O136" s="317"/>
      <c r="P136" s="317"/>
      <c r="Q136" s="317"/>
      <c r="R136" s="317"/>
      <c r="S136" s="316"/>
      <c r="T136" s="317"/>
      <c r="U136" s="317"/>
      <c r="V136" s="317"/>
      <c r="W136" s="344"/>
      <c r="X136" s="344"/>
      <c r="Y136" s="345"/>
      <c r="Z136" s="345"/>
      <c r="AA136" s="345"/>
      <c r="AB136" s="346"/>
      <c r="AC136" s="344"/>
      <c r="AD136" s="345"/>
      <c r="AE136" s="345"/>
      <c r="AF136" s="345"/>
      <c r="AG136" s="346"/>
      <c r="AH136" s="344"/>
      <c r="AI136" s="345"/>
      <c r="AJ136" s="345"/>
      <c r="AK136" s="345"/>
      <c r="AL136" s="346"/>
      <c r="AM136" s="110"/>
    </row>
    <row r="137" spans="2:39" x14ac:dyDescent="0.3">
      <c r="B137" s="126"/>
      <c r="C137" s="501"/>
      <c r="D137" s="2107"/>
      <c r="E137" s="2107"/>
      <c r="F137" s="2107"/>
      <c r="G137" s="2107"/>
      <c r="H137" s="1304"/>
      <c r="I137" s="102"/>
      <c r="J137" s="102"/>
      <c r="K137" s="275"/>
      <c r="L137" s="275"/>
      <c r="M137" s="275"/>
      <c r="N137" s="275"/>
      <c r="O137" s="275"/>
      <c r="P137" s="275"/>
      <c r="Q137" s="275"/>
      <c r="R137" s="275"/>
      <c r="S137" s="275"/>
      <c r="T137" s="275"/>
      <c r="U137" s="275"/>
      <c r="V137" s="275"/>
      <c r="W137" s="619"/>
      <c r="X137" s="619"/>
      <c r="Y137" s="619"/>
      <c r="Z137" s="619"/>
      <c r="AA137" s="619"/>
      <c r="AB137" s="619"/>
      <c r="AC137" s="619"/>
      <c r="AD137" s="619"/>
      <c r="AE137" s="619"/>
      <c r="AF137" s="619"/>
      <c r="AG137" s="619"/>
      <c r="AH137" s="619"/>
      <c r="AI137" s="619"/>
      <c r="AJ137" s="619"/>
      <c r="AK137" s="619"/>
      <c r="AL137" s="619"/>
      <c r="AM137" s="110"/>
    </row>
    <row r="138" spans="2:39" x14ac:dyDescent="0.3">
      <c r="B138" s="126"/>
      <c r="C138" s="501"/>
      <c r="D138" s="2107" t="s">
        <v>27</v>
      </c>
      <c r="E138" s="2107"/>
      <c r="F138" s="2107"/>
      <c r="G138" s="2107"/>
      <c r="H138" s="1304"/>
      <c r="I138" s="102"/>
      <c r="J138" s="102"/>
      <c r="K138" s="316"/>
      <c r="L138" s="317"/>
      <c r="M138" s="317"/>
      <c r="N138" s="316"/>
      <c r="O138" s="317"/>
      <c r="P138" s="317"/>
      <c r="Q138" s="317"/>
      <c r="R138" s="317"/>
      <c r="S138" s="316"/>
      <c r="T138" s="317"/>
      <c r="U138" s="317"/>
      <c r="V138" s="317"/>
      <c r="W138" s="344"/>
      <c r="X138" s="344"/>
      <c r="Y138" s="345"/>
      <c r="Z138" s="345"/>
      <c r="AA138" s="345"/>
      <c r="AB138" s="346"/>
      <c r="AC138" s="344"/>
      <c r="AD138" s="345"/>
      <c r="AE138" s="345"/>
      <c r="AF138" s="345"/>
      <c r="AG138" s="346"/>
      <c r="AH138" s="344"/>
      <c r="AI138" s="345"/>
      <c r="AJ138" s="345"/>
      <c r="AK138" s="345"/>
      <c r="AL138" s="346"/>
      <c r="AM138" s="85"/>
    </row>
    <row r="139" spans="2:39" x14ac:dyDescent="0.3">
      <c r="B139" s="126"/>
      <c r="C139" s="501"/>
      <c r="D139" s="2107"/>
      <c r="E139" s="2107"/>
      <c r="F139" s="2107"/>
      <c r="G139" s="2107"/>
      <c r="H139" s="1304"/>
      <c r="I139" s="102"/>
      <c r="J139" s="102"/>
      <c r="K139" s="275"/>
      <c r="L139" s="275"/>
      <c r="M139" s="275"/>
      <c r="N139" s="275"/>
      <c r="O139" s="275"/>
      <c r="P139" s="275"/>
      <c r="Q139" s="275"/>
      <c r="R139" s="275"/>
      <c r="S139" s="275"/>
      <c r="T139" s="275"/>
      <c r="U139" s="275"/>
      <c r="V139" s="275"/>
      <c r="W139" s="619"/>
      <c r="X139" s="619"/>
      <c r="Y139" s="619"/>
      <c r="Z139" s="619"/>
      <c r="AA139" s="619"/>
      <c r="AB139" s="619"/>
      <c r="AC139" s="619"/>
      <c r="AD139" s="619"/>
      <c r="AE139" s="619"/>
      <c r="AF139" s="619"/>
      <c r="AG139" s="619"/>
      <c r="AH139" s="619"/>
      <c r="AI139" s="619"/>
      <c r="AJ139" s="619"/>
      <c r="AK139" s="619"/>
      <c r="AL139" s="619"/>
      <c r="AM139" s="85"/>
    </row>
    <row r="140" spans="2:39" x14ac:dyDescent="0.3">
      <c r="B140" s="126"/>
      <c r="C140" s="501"/>
      <c r="D140" s="2108" t="s">
        <v>24</v>
      </c>
      <c r="E140" s="1304"/>
      <c r="F140" s="1304"/>
      <c r="G140" s="1304"/>
      <c r="H140" s="1304"/>
      <c r="I140" s="102"/>
      <c r="J140" s="102"/>
      <c r="K140" s="304"/>
      <c r="L140" s="305"/>
      <c r="M140" s="306"/>
      <c r="N140" s="305"/>
      <c r="O140" s="305"/>
      <c r="P140" s="305"/>
      <c r="Q140" s="305"/>
      <c r="R140" s="306"/>
      <c r="S140" s="305"/>
      <c r="T140" s="305"/>
      <c r="U140" s="305"/>
      <c r="V140" s="305"/>
      <c r="W140" s="335"/>
      <c r="X140" s="335"/>
      <c r="Y140" s="336"/>
      <c r="Z140" s="336"/>
      <c r="AA140" s="336"/>
      <c r="AB140" s="337"/>
      <c r="AC140" s="335"/>
      <c r="AD140" s="336"/>
      <c r="AE140" s="336"/>
      <c r="AF140" s="336"/>
      <c r="AG140" s="337"/>
      <c r="AH140" s="335"/>
      <c r="AI140" s="336"/>
      <c r="AJ140" s="336"/>
      <c r="AK140" s="336"/>
      <c r="AL140" s="337"/>
      <c r="AM140" s="85"/>
    </row>
    <row r="141" spans="2:39" x14ac:dyDescent="0.3">
      <c r="B141" s="126"/>
      <c r="C141" s="616"/>
      <c r="D141" s="2108" t="s">
        <v>20</v>
      </c>
      <c r="E141" s="1304"/>
      <c r="F141" s="1304"/>
      <c r="G141" s="1304"/>
      <c r="H141" s="1304"/>
      <c r="I141" s="102"/>
      <c r="J141" s="102"/>
      <c r="K141" s="307"/>
      <c r="L141" s="275"/>
      <c r="M141" s="308"/>
      <c r="N141" s="275"/>
      <c r="O141" s="275"/>
      <c r="P141" s="275"/>
      <c r="Q141" s="275"/>
      <c r="R141" s="308"/>
      <c r="S141" s="275"/>
      <c r="T141" s="275"/>
      <c r="U141" s="275"/>
      <c r="V141" s="275"/>
      <c r="W141" s="338"/>
      <c r="X141" s="338"/>
      <c r="Y141" s="339"/>
      <c r="Z141" s="339"/>
      <c r="AA141" s="339"/>
      <c r="AB141" s="340"/>
      <c r="AC141" s="338"/>
      <c r="AD141" s="339"/>
      <c r="AE141" s="339"/>
      <c r="AF141" s="339"/>
      <c r="AG141" s="340"/>
      <c r="AH141" s="338"/>
      <c r="AI141" s="339"/>
      <c r="AJ141" s="339"/>
      <c r="AK141" s="339"/>
      <c r="AL141" s="340"/>
      <c r="AM141" s="85"/>
    </row>
    <row r="142" spans="2:39" x14ac:dyDescent="0.3">
      <c r="B142" s="126"/>
      <c r="C142" s="501"/>
      <c r="D142" s="2108" t="s">
        <v>23</v>
      </c>
      <c r="E142" s="1304"/>
      <c r="F142" s="1304"/>
      <c r="G142" s="1304"/>
      <c r="H142" s="1304"/>
      <c r="I142" s="102"/>
      <c r="J142" s="102"/>
      <c r="K142" s="309"/>
      <c r="L142" s="310"/>
      <c r="M142" s="311"/>
      <c r="N142" s="310"/>
      <c r="O142" s="310"/>
      <c r="P142" s="310"/>
      <c r="Q142" s="310"/>
      <c r="R142" s="311"/>
      <c r="S142" s="310"/>
      <c r="T142" s="310"/>
      <c r="U142" s="310"/>
      <c r="V142" s="310"/>
      <c r="W142" s="341"/>
      <c r="X142" s="341"/>
      <c r="Y142" s="342"/>
      <c r="Z142" s="342"/>
      <c r="AA142" s="342"/>
      <c r="AB142" s="343"/>
      <c r="AC142" s="341"/>
      <c r="AD142" s="342"/>
      <c r="AE142" s="342"/>
      <c r="AF142" s="342"/>
      <c r="AG142" s="343"/>
      <c r="AH142" s="341"/>
      <c r="AI142" s="342"/>
      <c r="AJ142" s="342"/>
      <c r="AK142" s="342"/>
      <c r="AL142" s="343"/>
      <c r="AM142" s="85"/>
    </row>
    <row r="143" spans="2:39" x14ac:dyDescent="0.3">
      <c r="B143" s="126"/>
      <c r="C143" s="501"/>
      <c r="D143" s="2109" t="s">
        <v>25</v>
      </c>
      <c r="E143" s="2055"/>
      <c r="F143" s="2055"/>
      <c r="G143" s="2055"/>
      <c r="H143" s="2055"/>
      <c r="I143" s="227"/>
      <c r="J143" s="227"/>
      <c r="K143" s="275"/>
      <c r="L143" s="275"/>
      <c r="M143" s="275"/>
      <c r="N143" s="275"/>
      <c r="O143" s="275"/>
      <c r="P143" s="275"/>
      <c r="Q143" s="275"/>
      <c r="R143" s="275"/>
      <c r="S143" s="275"/>
      <c r="T143" s="275"/>
      <c r="U143" s="275"/>
      <c r="V143" s="275"/>
      <c r="W143" s="297">
        <f t="shared" ref="W143" si="21">+W140-W141-W142</f>
        <v>0</v>
      </c>
      <c r="X143" s="2024">
        <f t="shared" ref="X143:AG143" si="22">+X140-X141-X142</f>
        <v>0</v>
      </c>
      <c r="Y143" s="2024">
        <f t="shared" si="22"/>
        <v>0</v>
      </c>
      <c r="Z143" s="2024">
        <f t="shared" si="22"/>
        <v>0</v>
      </c>
      <c r="AA143" s="2024">
        <f t="shared" si="22"/>
        <v>0</v>
      </c>
      <c r="AB143" s="2024">
        <f t="shared" si="22"/>
        <v>0</v>
      </c>
      <c r="AC143" s="297">
        <f t="shared" si="22"/>
        <v>0</v>
      </c>
      <c r="AD143" s="297">
        <f t="shared" si="22"/>
        <v>0</v>
      </c>
      <c r="AE143" s="297">
        <f t="shared" si="22"/>
        <v>0</v>
      </c>
      <c r="AF143" s="297">
        <f t="shared" si="22"/>
        <v>0</v>
      </c>
      <c r="AG143" s="297">
        <f t="shared" si="22"/>
        <v>0</v>
      </c>
      <c r="AH143" s="297">
        <f>+AH140-AH141-AH142</f>
        <v>0</v>
      </c>
      <c r="AI143" s="297">
        <f>+AI140-AI141-AI142</f>
        <v>0</v>
      </c>
      <c r="AJ143" s="297">
        <f>+AJ140-AJ141-AJ142</f>
        <v>0</v>
      </c>
      <c r="AK143" s="297">
        <f>+AK140-AK141-AK142</f>
        <v>0</v>
      </c>
      <c r="AL143" s="297">
        <f>+AL140-AL141-AL142</f>
        <v>0</v>
      </c>
      <c r="AM143" s="85"/>
    </row>
    <row r="144" spans="2:39" x14ac:dyDescent="0.3">
      <c r="B144" s="126"/>
      <c r="C144" s="501"/>
      <c r="D144" s="2109"/>
      <c r="E144" s="2055"/>
      <c r="F144" s="2055"/>
      <c r="G144" s="2055"/>
      <c r="H144" s="2055"/>
      <c r="I144" s="227"/>
      <c r="J144" s="227"/>
      <c r="K144" s="275"/>
      <c r="L144" s="275"/>
      <c r="M144" s="275"/>
      <c r="N144" s="275"/>
      <c r="O144" s="275"/>
      <c r="P144" s="275"/>
      <c r="Q144" s="275"/>
      <c r="R144" s="275"/>
      <c r="S144" s="275"/>
      <c r="T144" s="275"/>
      <c r="U144" s="275"/>
      <c r="V144" s="275"/>
      <c r="W144" s="297"/>
      <c r="X144" s="2024"/>
      <c r="Y144" s="2024"/>
      <c r="Z144" s="2024"/>
      <c r="AA144" s="2024"/>
      <c r="AB144" s="2024"/>
      <c r="AC144" s="297"/>
      <c r="AD144" s="297"/>
      <c r="AE144" s="297"/>
      <c r="AF144" s="297"/>
      <c r="AG144" s="297"/>
      <c r="AH144" s="297"/>
      <c r="AI144" s="297"/>
      <c r="AJ144" s="297"/>
      <c r="AK144" s="297"/>
      <c r="AL144" s="297"/>
      <c r="AM144" s="85"/>
    </row>
    <row r="145" spans="2:39" x14ac:dyDescent="0.3">
      <c r="B145" s="126"/>
      <c r="C145" s="501"/>
      <c r="D145" s="2108" t="s">
        <v>62</v>
      </c>
      <c r="E145" s="2055"/>
      <c r="F145" s="2055"/>
      <c r="G145" s="2055"/>
      <c r="H145" s="2055"/>
      <c r="I145" s="227"/>
      <c r="J145" s="227"/>
      <c r="K145" s="305"/>
      <c r="L145" s="305"/>
      <c r="M145" s="306"/>
      <c r="N145" s="305"/>
      <c r="O145" s="305"/>
      <c r="P145" s="305"/>
      <c r="Q145" s="305"/>
      <c r="R145" s="306"/>
      <c r="S145" s="305"/>
      <c r="T145" s="305"/>
      <c r="U145" s="305"/>
      <c r="V145" s="305"/>
      <c r="W145" s="335"/>
      <c r="X145" s="335"/>
      <c r="Y145" s="336"/>
      <c r="Z145" s="336"/>
      <c r="AA145" s="336"/>
      <c r="AB145" s="337"/>
      <c r="AC145" s="335"/>
      <c r="AD145" s="336"/>
      <c r="AE145" s="336"/>
      <c r="AF145" s="336"/>
      <c r="AG145" s="337"/>
      <c r="AH145" s="335"/>
      <c r="AI145" s="336"/>
      <c r="AJ145" s="336"/>
      <c r="AK145" s="336"/>
      <c r="AL145" s="337"/>
      <c r="AM145" s="85"/>
    </row>
    <row r="146" spans="2:39" x14ac:dyDescent="0.3">
      <c r="B146" s="126"/>
      <c r="C146" s="501"/>
      <c r="D146" s="2108" t="s">
        <v>19</v>
      </c>
      <c r="E146" s="2055"/>
      <c r="F146" s="2055"/>
      <c r="G146" s="2055"/>
      <c r="H146" s="2055"/>
      <c r="I146" s="227"/>
      <c r="J146" s="227"/>
      <c r="K146" s="310"/>
      <c r="L146" s="310"/>
      <c r="M146" s="311"/>
      <c r="N146" s="310"/>
      <c r="O146" s="310"/>
      <c r="P146" s="310"/>
      <c r="Q146" s="310"/>
      <c r="R146" s="311"/>
      <c r="S146" s="310"/>
      <c r="T146" s="310"/>
      <c r="U146" s="310"/>
      <c r="V146" s="310"/>
      <c r="W146" s="341"/>
      <c r="X146" s="341"/>
      <c r="Y146" s="342"/>
      <c r="Z146" s="342"/>
      <c r="AA146" s="342"/>
      <c r="AB146" s="343"/>
      <c r="AC146" s="341"/>
      <c r="AD146" s="342"/>
      <c r="AE146" s="342"/>
      <c r="AF146" s="342"/>
      <c r="AG146" s="343"/>
      <c r="AH146" s="341"/>
      <c r="AI146" s="342"/>
      <c r="AJ146" s="342"/>
      <c r="AK146" s="342"/>
      <c r="AL146" s="343"/>
      <c r="AM146" s="85"/>
    </row>
    <row r="147" spans="2:39" x14ac:dyDescent="0.3">
      <c r="B147" s="126"/>
      <c r="C147" s="617"/>
      <c r="D147" s="2110"/>
      <c r="E147" s="2110"/>
      <c r="F147" s="2110"/>
      <c r="G147" s="2110"/>
      <c r="H147" s="2110"/>
      <c r="I147" s="267"/>
      <c r="J147" s="267"/>
      <c r="K147" s="310"/>
      <c r="L147" s="310"/>
      <c r="M147" s="310"/>
      <c r="N147" s="310"/>
      <c r="O147" s="310"/>
      <c r="P147" s="310"/>
      <c r="Q147" s="310"/>
      <c r="R147" s="310"/>
      <c r="S147" s="310"/>
      <c r="T147" s="310"/>
      <c r="U147" s="310"/>
      <c r="V147" s="310"/>
      <c r="W147" s="618"/>
      <c r="X147" s="2143"/>
      <c r="Y147" s="2143"/>
      <c r="Z147" s="2143"/>
      <c r="AA147" s="2143"/>
      <c r="AB147" s="2143"/>
      <c r="AC147" s="618"/>
      <c r="AD147" s="618"/>
      <c r="AE147" s="618"/>
      <c r="AF147" s="618"/>
      <c r="AG147" s="618"/>
      <c r="AH147" s="618"/>
      <c r="AI147" s="618"/>
      <c r="AJ147" s="618"/>
      <c r="AK147" s="618"/>
      <c r="AL147" s="618"/>
      <c r="AM147" s="94"/>
    </row>
    <row r="148" spans="2:39" x14ac:dyDescent="0.3">
      <c r="D148" s="1304"/>
      <c r="E148" s="1304"/>
      <c r="F148" s="1304"/>
      <c r="G148" s="1304"/>
      <c r="H148" s="1304"/>
      <c r="K148" s="423"/>
      <c r="L148" s="423"/>
      <c r="M148" s="423"/>
      <c r="N148" s="423"/>
      <c r="O148" s="423"/>
      <c r="P148" s="423"/>
      <c r="Q148" s="423"/>
      <c r="R148" s="423"/>
      <c r="S148" s="423"/>
      <c r="T148" s="423"/>
      <c r="U148" s="423"/>
      <c r="V148" s="423"/>
      <c r="W148" s="294"/>
      <c r="X148" s="2133"/>
      <c r="Y148" s="2133"/>
      <c r="Z148" s="2133"/>
      <c r="AA148" s="2133"/>
      <c r="AB148" s="2133"/>
      <c r="AC148" s="294"/>
      <c r="AD148" s="294"/>
      <c r="AE148" s="294"/>
      <c r="AF148" s="294"/>
      <c r="AG148" s="294"/>
      <c r="AH148" s="294"/>
      <c r="AI148" s="294"/>
      <c r="AJ148" s="294"/>
      <c r="AK148" s="294"/>
      <c r="AL148" s="294"/>
    </row>
    <row r="149" spans="2:39" x14ac:dyDescent="0.3">
      <c r="B149" s="126"/>
      <c r="C149" s="612"/>
      <c r="D149" s="2400" t="s">
        <v>394</v>
      </c>
      <c r="E149" s="2401"/>
      <c r="F149" s="2401"/>
      <c r="G149" s="2401"/>
      <c r="H149" s="2402"/>
      <c r="I149" s="613"/>
      <c r="J149" s="613"/>
      <c r="K149" s="305"/>
      <c r="L149" s="305"/>
      <c r="M149" s="305"/>
      <c r="N149" s="305"/>
      <c r="O149" s="305"/>
      <c r="P149" s="305"/>
      <c r="Q149" s="305"/>
      <c r="R149" s="305"/>
      <c r="S149" s="305"/>
      <c r="T149" s="305"/>
      <c r="U149" s="305"/>
      <c r="V149" s="305"/>
      <c r="W149" s="614"/>
      <c r="X149" s="2144"/>
      <c r="Y149" s="2144"/>
      <c r="Z149" s="2144"/>
      <c r="AA149" s="2144"/>
      <c r="AB149" s="2144"/>
      <c r="AC149" s="614"/>
      <c r="AD149" s="614"/>
      <c r="AE149" s="614"/>
      <c r="AF149" s="614"/>
      <c r="AG149" s="614"/>
      <c r="AH149" s="614"/>
      <c r="AI149" s="614"/>
      <c r="AJ149" s="614"/>
      <c r="AK149" s="614"/>
      <c r="AL149" s="614"/>
      <c r="AM149" s="615"/>
    </row>
    <row r="150" spans="2:39" x14ac:dyDescent="0.3">
      <c r="B150" s="126"/>
      <c r="C150" s="501"/>
      <c r="D150" s="2107"/>
      <c r="E150" s="2107"/>
      <c r="F150" s="2107"/>
      <c r="G150" s="2107"/>
      <c r="H150" s="1304"/>
      <c r="I150" s="102"/>
      <c r="J150" s="102"/>
      <c r="K150" s="275"/>
      <c r="L150" s="275"/>
      <c r="M150" s="275"/>
      <c r="N150" s="275"/>
      <c r="O150" s="275"/>
      <c r="P150" s="275"/>
      <c r="Q150" s="275"/>
      <c r="R150" s="275"/>
      <c r="S150" s="275"/>
      <c r="T150" s="275"/>
      <c r="U150" s="275"/>
      <c r="V150" s="275"/>
      <c r="W150" s="297"/>
      <c r="X150" s="2024"/>
      <c r="Y150" s="2024"/>
      <c r="Z150" s="2024"/>
      <c r="AA150" s="2024"/>
      <c r="AB150" s="2024"/>
      <c r="AC150" s="297"/>
      <c r="AD150" s="297"/>
      <c r="AE150" s="297"/>
      <c r="AF150" s="297"/>
      <c r="AG150" s="297"/>
      <c r="AH150" s="297"/>
      <c r="AI150" s="297"/>
      <c r="AJ150" s="297"/>
      <c r="AK150" s="297"/>
      <c r="AL150" s="297"/>
      <c r="AM150" s="110"/>
    </row>
    <row r="151" spans="2:39" x14ac:dyDescent="0.3">
      <c r="B151" s="126"/>
      <c r="C151" s="501"/>
      <c r="D151" s="2107" t="s">
        <v>69</v>
      </c>
      <c r="E151" s="2107"/>
      <c r="F151" s="2107"/>
      <c r="G151" s="2107"/>
      <c r="H151" s="1304"/>
      <c r="I151" s="102"/>
      <c r="J151" s="102"/>
      <c r="K151" s="316"/>
      <c r="L151" s="317"/>
      <c r="M151" s="317"/>
      <c r="N151" s="316"/>
      <c r="O151" s="317"/>
      <c r="P151" s="317"/>
      <c r="Q151" s="317"/>
      <c r="R151" s="317"/>
      <c r="S151" s="316"/>
      <c r="T151" s="317"/>
      <c r="U151" s="317"/>
      <c r="V151" s="317"/>
      <c r="W151" s="344"/>
      <c r="X151" s="344"/>
      <c r="Y151" s="345"/>
      <c r="Z151" s="345"/>
      <c r="AA151" s="345"/>
      <c r="AB151" s="346"/>
      <c r="AC151" s="344"/>
      <c r="AD151" s="345"/>
      <c r="AE151" s="345"/>
      <c r="AF151" s="345"/>
      <c r="AG151" s="346"/>
      <c r="AH151" s="344"/>
      <c r="AI151" s="345"/>
      <c r="AJ151" s="345"/>
      <c r="AK151" s="345"/>
      <c r="AL151" s="346"/>
      <c r="AM151" s="110"/>
    </row>
    <row r="152" spans="2:39" x14ac:dyDescent="0.3">
      <c r="B152" s="126"/>
      <c r="C152" s="501"/>
      <c r="D152" s="2107"/>
      <c r="E152" s="2107"/>
      <c r="F152" s="2107"/>
      <c r="G152" s="2107"/>
      <c r="H152" s="1304"/>
      <c r="I152" s="102"/>
      <c r="J152" s="102"/>
      <c r="K152" s="275"/>
      <c r="L152" s="275"/>
      <c r="M152" s="275"/>
      <c r="N152" s="275"/>
      <c r="O152" s="275"/>
      <c r="P152" s="275"/>
      <c r="Q152" s="275"/>
      <c r="R152" s="275"/>
      <c r="S152" s="275"/>
      <c r="T152" s="275"/>
      <c r="U152" s="275"/>
      <c r="V152" s="275"/>
      <c r="W152" s="619"/>
      <c r="X152" s="619"/>
      <c r="Y152" s="619"/>
      <c r="Z152" s="619"/>
      <c r="AA152" s="619"/>
      <c r="AB152" s="619"/>
      <c r="AC152" s="619"/>
      <c r="AD152" s="619"/>
      <c r="AE152" s="619"/>
      <c r="AF152" s="619"/>
      <c r="AG152" s="619"/>
      <c r="AH152" s="619"/>
      <c r="AI152" s="619"/>
      <c r="AJ152" s="619"/>
      <c r="AK152" s="619"/>
      <c r="AL152" s="619"/>
      <c r="AM152" s="110"/>
    </row>
    <row r="153" spans="2:39" x14ac:dyDescent="0.3">
      <c r="B153" s="126"/>
      <c r="C153" s="501"/>
      <c r="D153" s="2107" t="s">
        <v>27</v>
      </c>
      <c r="E153" s="2107"/>
      <c r="F153" s="2107"/>
      <c r="G153" s="2107"/>
      <c r="H153" s="1304"/>
      <c r="I153" s="102"/>
      <c r="J153" s="102"/>
      <c r="K153" s="316"/>
      <c r="L153" s="317"/>
      <c r="M153" s="317"/>
      <c r="N153" s="316"/>
      <c r="O153" s="317"/>
      <c r="P153" s="317"/>
      <c r="Q153" s="317"/>
      <c r="R153" s="317"/>
      <c r="S153" s="316"/>
      <c r="T153" s="317"/>
      <c r="U153" s="317"/>
      <c r="V153" s="317"/>
      <c r="W153" s="344"/>
      <c r="X153" s="344"/>
      <c r="Y153" s="345"/>
      <c r="Z153" s="345"/>
      <c r="AA153" s="345"/>
      <c r="AB153" s="346"/>
      <c r="AC153" s="344"/>
      <c r="AD153" s="345"/>
      <c r="AE153" s="345"/>
      <c r="AF153" s="345"/>
      <c r="AG153" s="346"/>
      <c r="AH153" s="344"/>
      <c r="AI153" s="345"/>
      <c r="AJ153" s="345"/>
      <c r="AK153" s="345"/>
      <c r="AL153" s="346"/>
      <c r="AM153" s="85"/>
    </row>
    <row r="154" spans="2:39" x14ac:dyDescent="0.3">
      <c r="B154" s="126"/>
      <c r="C154" s="501"/>
      <c r="D154" s="2107"/>
      <c r="E154" s="2107"/>
      <c r="F154" s="2107"/>
      <c r="G154" s="2107"/>
      <c r="H154" s="1304"/>
      <c r="I154" s="102"/>
      <c r="J154" s="102"/>
      <c r="K154" s="275"/>
      <c r="L154" s="275"/>
      <c r="M154" s="275"/>
      <c r="N154" s="275"/>
      <c r="O154" s="275"/>
      <c r="P154" s="275"/>
      <c r="Q154" s="275"/>
      <c r="R154" s="275"/>
      <c r="S154" s="275"/>
      <c r="T154" s="275"/>
      <c r="U154" s="275"/>
      <c r="V154" s="275"/>
      <c r="W154" s="619"/>
      <c r="X154" s="619"/>
      <c r="Y154" s="619"/>
      <c r="Z154" s="619"/>
      <c r="AA154" s="619"/>
      <c r="AB154" s="619"/>
      <c r="AC154" s="619"/>
      <c r="AD154" s="619"/>
      <c r="AE154" s="619"/>
      <c r="AF154" s="619"/>
      <c r="AG154" s="619"/>
      <c r="AH154" s="619"/>
      <c r="AI154" s="619"/>
      <c r="AJ154" s="619"/>
      <c r="AK154" s="619"/>
      <c r="AL154" s="619"/>
      <c r="AM154" s="85"/>
    </row>
    <row r="155" spans="2:39" x14ac:dyDescent="0.3">
      <c r="B155" s="126"/>
      <c r="C155" s="501"/>
      <c r="D155" s="2108" t="s">
        <v>24</v>
      </c>
      <c r="E155" s="1304"/>
      <c r="F155" s="1304"/>
      <c r="G155" s="1304"/>
      <c r="H155" s="1304"/>
      <c r="I155" s="102"/>
      <c r="J155" s="102"/>
      <c r="K155" s="304"/>
      <c r="L155" s="305"/>
      <c r="M155" s="306"/>
      <c r="N155" s="305"/>
      <c r="O155" s="305"/>
      <c r="P155" s="305"/>
      <c r="Q155" s="305"/>
      <c r="R155" s="306"/>
      <c r="S155" s="305"/>
      <c r="T155" s="305"/>
      <c r="U155" s="305"/>
      <c r="V155" s="305"/>
      <c r="W155" s="335"/>
      <c r="X155" s="335"/>
      <c r="Y155" s="336"/>
      <c r="Z155" s="336"/>
      <c r="AA155" s="336"/>
      <c r="AB155" s="337"/>
      <c r="AC155" s="335"/>
      <c r="AD155" s="336"/>
      <c r="AE155" s="336"/>
      <c r="AF155" s="336"/>
      <c r="AG155" s="337"/>
      <c r="AH155" s="335"/>
      <c r="AI155" s="336"/>
      <c r="AJ155" s="336"/>
      <c r="AK155" s="336"/>
      <c r="AL155" s="337"/>
      <c r="AM155" s="85"/>
    </row>
    <row r="156" spans="2:39" x14ac:dyDescent="0.3">
      <c r="B156" s="126"/>
      <c r="C156" s="616"/>
      <c r="D156" s="2108" t="s">
        <v>20</v>
      </c>
      <c r="E156" s="1304"/>
      <c r="F156" s="1304"/>
      <c r="G156" s="1304"/>
      <c r="H156" s="1304"/>
      <c r="I156" s="102"/>
      <c r="J156" s="102"/>
      <c r="K156" s="307"/>
      <c r="L156" s="275"/>
      <c r="M156" s="308"/>
      <c r="N156" s="275"/>
      <c r="O156" s="275"/>
      <c r="P156" s="275"/>
      <c r="Q156" s="275"/>
      <c r="R156" s="308"/>
      <c r="S156" s="275"/>
      <c r="T156" s="275"/>
      <c r="U156" s="275"/>
      <c r="V156" s="275"/>
      <c r="W156" s="338"/>
      <c r="X156" s="338"/>
      <c r="Y156" s="339"/>
      <c r="Z156" s="339"/>
      <c r="AA156" s="339"/>
      <c r="AB156" s="340"/>
      <c r="AC156" s="338"/>
      <c r="AD156" s="339"/>
      <c r="AE156" s="339"/>
      <c r="AF156" s="339"/>
      <c r="AG156" s="340"/>
      <c r="AH156" s="338"/>
      <c r="AI156" s="339"/>
      <c r="AJ156" s="339"/>
      <c r="AK156" s="339"/>
      <c r="AL156" s="340"/>
      <c r="AM156" s="85"/>
    </row>
    <row r="157" spans="2:39" x14ac:dyDescent="0.3">
      <c r="B157" s="126"/>
      <c r="C157" s="501"/>
      <c r="D157" s="2108" t="s">
        <v>23</v>
      </c>
      <c r="E157" s="1304"/>
      <c r="F157" s="1304"/>
      <c r="G157" s="1304"/>
      <c r="H157" s="1304"/>
      <c r="I157" s="102"/>
      <c r="J157" s="102"/>
      <c r="K157" s="309"/>
      <c r="L157" s="310"/>
      <c r="M157" s="311"/>
      <c r="N157" s="310"/>
      <c r="O157" s="310"/>
      <c r="P157" s="310"/>
      <c r="Q157" s="310"/>
      <c r="R157" s="311"/>
      <c r="S157" s="310"/>
      <c r="T157" s="310"/>
      <c r="U157" s="310"/>
      <c r="V157" s="310"/>
      <c r="W157" s="341"/>
      <c r="X157" s="341"/>
      <c r="Y157" s="342"/>
      <c r="Z157" s="342"/>
      <c r="AA157" s="342"/>
      <c r="AB157" s="343"/>
      <c r="AC157" s="341"/>
      <c r="AD157" s="342"/>
      <c r="AE157" s="342"/>
      <c r="AF157" s="342"/>
      <c r="AG157" s="343"/>
      <c r="AH157" s="341"/>
      <c r="AI157" s="342"/>
      <c r="AJ157" s="342"/>
      <c r="AK157" s="342"/>
      <c r="AL157" s="343"/>
      <c r="AM157" s="85"/>
    </row>
    <row r="158" spans="2:39" x14ac:dyDescent="0.3">
      <c r="B158" s="126"/>
      <c r="C158" s="501"/>
      <c r="D158" s="2109" t="s">
        <v>25</v>
      </c>
      <c r="E158" s="2055"/>
      <c r="F158" s="2055"/>
      <c r="G158" s="2055"/>
      <c r="H158" s="2055"/>
      <c r="I158" s="227"/>
      <c r="J158" s="227"/>
      <c r="K158" s="275"/>
      <c r="L158" s="275"/>
      <c r="M158" s="275"/>
      <c r="N158" s="275"/>
      <c r="O158" s="275"/>
      <c r="P158" s="275"/>
      <c r="Q158" s="275"/>
      <c r="R158" s="275"/>
      <c r="S158" s="275"/>
      <c r="T158" s="275"/>
      <c r="U158" s="275"/>
      <c r="V158" s="275"/>
      <c r="W158" s="297">
        <f t="shared" ref="W158" si="23">+W155-W156-W157</f>
        <v>0</v>
      </c>
      <c r="X158" s="2024">
        <f t="shared" ref="X158:AG158" si="24">+X155-X156-X157</f>
        <v>0</v>
      </c>
      <c r="Y158" s="2024">
        <f t="shared" si="24"/>
        <v>0</v>
      </c>
      <c r="Z158" s="2024">
        <f t="shared" si="24"/>
        <v>0</v>
      </c>
      <c r="AA158" s="2024">
        <f t="shared" si="24"/>
        <v>0</v>
      </c>
      <c r="AB158" s="2024">
        <f t="shared" si="24"/>
        <v>0</v>
      </c>
      <c r="AC158" s="297">
        <f t="shared" si="24"/>
        <v>0</v>
      </c>
      <c r="AD158" s="297">
        <f t="shared" si="24"/>
        <v>0</v>
      </c>
      <c r="AE158" s="297">
        <f t="shared" si="24"/>
        <v>0</v>
      </c>
      <c r="AF158" s="297">
        <f t="shared" si="24"/>
        <v>0</v>
      </c>
      <c r="AG158" s="297">
        <f t="shared" si="24"/>
        <v>0</v>
      </c>
      <c r="AH158" s="297">
        <f>+AH155-AH156-AH157</f>
        <v>0</v>
      </c>
      <c r="AI158" s="297">
        <f>+AI155-AI156-AI157</f>
        <v>0</v>
      </c>
      <c r="AJ158" s="297">
        <f>+AJ155-AJ156-AJ157</f>
        <v>0</v>
      </c>
      <c r="AK158" s="297">
        <f>+AK155-AK156-AK157</f>
        <v>0</v>
      </c>
      <c r="AL158" s="297">
        <f>+AL155-AL156-AL157</f>
        <v>0</v>
      </c>
      <c r="AM158" s="85"/>
    </row>
    <row r="159" spans="2:39" x14ac:dyDescent="0.3">
      <c r="B159" s="126"/>
      <c r="C159" s="501"/>
      <c r="D159" s="2109"/>
      <c r="E159" s="2055"/>
      <c r="F159" s="2055"/>
      <c r="G159" s="2055"/>
      <c r="H159" s="2055"/>
      <c r="I159" s="227"/>
      <c r="J159" s="227"/>
      <c r="K159" s="275"/>
      <c r="L159" s="275"/>
      <c r="M159" s="275"/>
      <c r="N159" s="275"/>
      <c r="O159" s="275"/>
      <c r="P159" s="275"/>
      <c r="Q159" s="275"/>
      <c r="R159" s="275"/>
      <c r="S159" s="275"/>
      <c r="T159" s="275"/>
      <c r="U159" s="275"/>
      <c r="V159" s="275"/>
      <c r="W159" s="297"/>
      <c r="X159" s="2024"/>
      <c r="Y159" s="2024"/>
      <c r="Z159" s="2024"/>
      <c r="AA159" s="2024"/>
      <c r="AB159" s="2024"/>
      <c r="AC159" s="297"/>
      <c r="AD159" s="297"/>
      <c r="AE159" s="297"/>
      <c r="AF159" s="297"/>
      <c r="AG159" s="297"/>
      <c r="AH159" s="297"/>
      <c r="AI159" s="297"/>
      <c r="AJ159" s="297"/>
      <c r="AK159" s="297"/>
      <c r="AL159" s="297"/>
      <c r="AM159" s="85"/>
    </row>
    <row r="160" spans="2:39" x14ac:dyDescent="0.3">
      <c r="B160" s="126"/>
      <c r="C160" s="501"/>
      <c r="D160" s="2108" t="s">
        <v>62</v>
      </c>
      <c r="E160" s="2055"/>
      <c r="F160" s="2055"/>
      <c r="G160" s="2055"/>
      <c r="H160" s="2055"/>
      <c r="I160" s="227"/>
      <c r="J160" s="227"/>
      <c r="K160" s="304"/>
      <c r="L160" s="305"/>
      <c r="M160" s="306"/>
      <c r="N160" s="305"/>
      <c r="O160" s="305"/>
      <c r="P160" s="305"/>
      <c r="Q160" s="305"/>
      <c r="R160" s="306"/>
      <c r="S160" s="305"/>
      <c r="T160" s="305"/>
      <c r="U160" s="305"/>
      <c r="V160" s="305"/>
      <c r="W160" s="335"/>
      <c r="X160" s="335"/>
      <c r="Y160" s="336"/>
      <c r="Z160" s="336"/>
      <c r="AA160" s="336"/>
      <c r="AB160" s="337"/>
      <c r="AC160" s="335"/>
      <c r="AD160" s="336"/>
      <c r="AE160" s="336"/>
      <c r="AF160" s="336"/>
      <c r="AG160" s="337"/>
      <c r="AH160" s="335"/>
      <c r="AI160" s="336"/>
      <c r="AJ160" s="336"/>
      <c r="AK160" s="336"/>
      <c r="AL160" s="337"/>
      <c r="AM160" s="85"/>
    </row>
    <row r="161" spans="2:39" x14ac:dyDescent="0.3">
      <c r="B161" s="126"/>
      <c r="C161" s="501"/>
      <c r="D161" s="2108" t="s">
        <v>19</v>
      </c>
      <c r="E161" s="2055"/>
      <c r="F161" s="2055"/>
      <c r="G161" s="2055"/>
      <c r="H161" s="2055"/>
      <c r="I161" s="227"/>
      <c r="J161" s="227"/>
      <c r="K161" s="309"/>
      <c r="L161" s="310"/>
      <c r="M161" s="311"/>
      <c r="N161" s="310"/>
      <c r="O161" s="310"/>
      <c r="P161" s="310"/>
      <c r="Q161" s="310"/>
      <c r="R161" s="311"/>
      <c r="S161" s="310"/>
      <c r="T161" s="310"/>
      <c r="U161" s="310"/>
      <c r="V161" s="310"/>
      <c r="W161" s="341"/>
      <c r="X161" s="341"/>
      <c r="Y161" s="342"/>
      <c r="Z161" s="342"/>
      <c r="AA161" s="342"/>
      <c r="AB161" s="343"/>
      <c r="AC161" s="341"/>
      <c r="AD161" s="342"/>
      <c r="AE161" s="342"/>
      <c r="AF161" s="342"/>
      <c r="AG161" s="343"/>
      <c r="AH161" s="341"/>
      <c r="AI161" s="342"/>
      <c r="AJ161" s="342"/>
      <c r="AK161" s="342"/>
      <c r="AL161" s="343"/>
      <c r="AM161" s="85"/>
    </row>
    <row r="162" spans="2:39" x14ac:dyDescent="0.3">
      <c r="B162" s="126"/>
      <c r="C162" s="617"/>
      <c r="D162" s="2110"/>
      <c r="E162" s="2110"/>
      <c r="F162" s="2110"/>
      <c r="G162" s="2110"/>
      <c r="H162" s="2110"/>
      <c r="I162" s="267"/>
      <c r="J162" s="267"/>
      <c r="K162" s="310"/>
      <c r="L162" s="310"/>
      <c r="M162" s="310"/>
      <c r="N162" s="310"/>
      <c r="O162" s="310"/>
      <c r="P162" s="310"/>
      <c r="Q162" s="310"/>
      <c r="R162" s="310"/>
      <c r="S162" s="310"/>
      <c r="T162" s="310"/>
      <c r="U162" s="310"/>
      <c r="V162" s="310"/>
      <c r="W162" s="618"/>
      <c r="X162" s="2143"/>
      <c r="Y162" s="2143"/>
      <c r="Z162" s="2143"/>
      <c r="AA162" s="2143"/>
      <c r="AB162" s="2143"/>
      <c r="AC162" s="618"/>
      <c r="AD162" s="618"/>
      <c r="AE162" s="618"/>
      <c r="AF162" s="618"/>
      <c r="AG162" s="618"/>
      <c r="AH162" s="618"/>
      <c r="AI162" s="618"/>
      <c r="AJ162" s="618"/>
      <c r="AK162" s="618"/>
      <c r="AL162" s="618"/>
      <c r="AM162" s="94"/>
    </row>
    <row r="163" spans="2:39" x14ac:dyDescent="0.3">
      <c r="D163" s="1304"/>
      <c r="E163" s="1304"/>
      <c r="F163" s="1304"/>
      <c r="G163" s="1304"/>
      <c r="H163" s="1304"/>
      <c r="K163" s="423"/>
      <c r="L163" s="423"/>
      <c r="M163" s="423"/>
      <c r="N163" s="423"/>
      <c r="O163" s="423"/>
      <c r="P163" s="423"/>
      <c r="Q163" s="423"/>
      <c r="R163" s="423"/>
      <c r="S163" s="423"/>
      <c r="T163" s="423"/>
      <c r="U163" s="423"/>
      <c r="V163" s="423"/>
      <c r="W163" s="294"/>
      <c r="X163" s="2133"/>
      <c r="Y163" s="2133"/>
      <c r="Z163" s="2133"/>
      <c r="AA163" s="2133"/>
      <c r="AB163" s="2133"/>
      <c r="AC163" s="294"/>
      <c r="AD163" s="294"/>
      <c r="AE163" s="294"/>
      <c r="AF163" s="294"/>
      <c r="AG163" s="294"/>
      <c r="AH163" s="294"/>
      <c r="AI163" s="294"/>
      <c r="AJ163" s="294"/>
      <c r="AK163" s="294"/>
      <c r="AL163" s="294"/>
    </row>
    <row r="164" spans="2:39" x14ac:dyDescent="0.3">
      <c r="B164" s="126"/>
      <c r="C164" s="612"/>
      <c r="D164" s="2400" t="s">
        <v>285</v>
      </c>
      <c r="E164" s="2401"/>
      <c r="F164" s="2401"/>
      <c r="G164" s="2401"/>
      <c r="H164" s="2402"/>
      <c r="I164" s="613"/>
      <c r="J164" s="613"/>
      <c r="K164" s="305"/>
      <c r="L164" s="305"/>
      <c r="M164" s="305"/>
      <c r="N164" s="305"/>
      <c r="O164" s="305"/>
      <c r="P164" s="305"/>
      <c r="Q164" s="305"/>
      <c r="R164" s="305"/>
      <c r="S164" s="305"/>
      <c r="T164" s="305"/>
      <c r="U164" s="305"/>
      <c r="V164" s="305"/>
      <c r="W164" s="614"/>
      <c r="X164" s="2144"/>
      <c r="Y164" s="2144"/>
      <c r="Z164" s="2144"/>
      <c r="AA164" s="2144"/>
      <c r="AB164" s="2144"/>
      <c r="AC164" s="614"/>
      <c r="AD164" s="614"/>
      <c r="AE164" s="614"/>
      <c r="AF164" s="614"/>
      <c r="AG164" s="614"/>
      <c r="AH164" s="614"/>
      <c r="AI164" s="614"/>
      <c r="AJ164" s="614"/>
      <c r="AK164" s="614"/>
      <c r="AL164" s="614"/>
      <c r="AM164" s="615"/>
    </row>
    <row r="165" spans="2:39" x14ac:dyDescent="0.3">
      <c r="B165" s="126"/>
      <c r="C165" s="501"/>
      <c r="D165" s="2107"/>
      <c r="E165" s="2107"/>
      <c r="F165" s="2107"/>
      <c r="G165" s="2107"/>
      <c r="H165" s="1304"/>
      <c r="I165" s="102"/>
      <c r="J165" s="102"/>
      <c r="K165" s="275"/>
      <c r="L165" s="275"/>
      <c r="M165" s="275"/>
      <c r="N165" s="275"/>
      <c r="O165" s="275"/>
      <c r="P165" s="275"/>
      <c r="Q165" s="275"/>
      <c r="R165" s="275"/>
      <c r="S165" s="275"/>
      <c r="T165" s="275"/>
      <c r="U165" s="275"/>
      <c r="V165" s="275"/>
      <c r="W165" s="297"/>
      <c r="X165" s="2024"/>
      <c r="Y165" s="2024"/>
      <c r="Z165" s="2024"/>
      <c r="AA165" s="2024"/>
      <c r="AB165" s="2024"/>
      <c r="AC165" s="297"/>
      <c r="AD165" s="297"/>
      <c r="AE165" s="297"/>
      <c r="AF165" s="297"/>
      <c r="AG165" s="297"/>
      <c r="AH165" s="297"/>
      <c r="AI165" s="297"/>
      <c r="AJ165" s="297"/>
      <c r="AK165" s="297"/>
      <c r="AL165" s="297"/>
      <c r="AM165" s="110"/>
    </row>
    <row r="166" spans="2:39" x14ac:dyDescent="0.3">
      <c r="B166" s="126"/>
      <c r="C166" s="501"/>
      <c r="D166" s="2107" t="s">
        <v>69</v>
      </c>
      <c r="E166" s="2107"/>
      <c r="F166" s="2107"/>
      <c r="G166" s="2107"/>
      <c r="H166" s="1304"/>
      <c r="I166" s="102"/>
      <c r="J166" s="102"/>
      <c r="K166" s="316"/>
      <c r="L166" s="317"/>
      <c r="M166" s="317"/>
      <c r="N166" s="316"/>
      <c r="O166" s="317"/>
      <c r="P166" s="317"/>
      <c r="Q166" s="317"/>
      <c r="R166" s="317"/>
      <c r="S166" s="316"/>
      <c r="T166" s="317"/>
      <c r="U166" s="317"/>
      <c r="V166" s="317"/>
      <c r="W166" s="344"/>
      <c r="X166" s="344"/>
      <c r="Y166" s="345"/>
      <c r="Z166" s="345"/>
      <c r="AA166" s="345"/>
      <c r="AB166" s="346"/>
      <c r="AC166" s="344"/>
      <c r="AD166" s="345"/>
      <c r="AE166" s="345"/>
      <c r="AF166" s="345"/>
      <c r="AG166" s="346"/>
      <c r="AH166" s="344"/>
      <c r="AI166" s="345"/>
      <c r="AJ166" s="345"/>
      <c r="AK166" s="345"/>
      <c r="AL166" s="346"/>
      <c r="AM166" s="110"/>
    </row>
    <row r="167" spans="2:39" x14ac:dyDescent="0.3">
      <c r="B167" s="126"/>
      <c r="C167" s="501"/>
      <c r="D167" s="2107"/>
      <c r="E167" s="2107"/>
      <c r="F167" s="2107"/>
      <c r="G167" s="2107"/>
      <c r="H167" s="1304"/>
      <c r="I167" s="102"/>
      <c r="J167" s="102"/>
      <c r="K167" s="275"/>
      <c r="L167" s="275"/>
      <c r="M167" s="275"/>
      <c r="N167" s="275"/>
      <c r="O167" s="275"/>
      <c r="P167" s="275"/>
      <c r="Q167" s="275"/>
      <c r="R167" s="275"/>
      <c r="S167" s="275"/>
      <c r="T167" s="275"/>
      <c r="U167" s="275"/>
      <c r="V167" s="275"/>
      <c r="W167" s="619"/>
      <c r="X167" s="619"/>
      <c r="Y167" s="619"/>
      <c r="Z167" s="619"/>
      <c r="AA167" s="619"/>
      <c r="AB167" s="619"/>
      <c r="AC167" s="619"/>
      <c r="AD167" s="619"/>
      <c r="AE167" s="619"/>
      <c r="AF167" s="619"/>
      <c r="AG167" s="619"/>
      <c r="AH167" s="619"/>
      <c r="AI167" s="619"/>
      <c r="AJ167" s="619"/>
      <c r="AK167" s="619"/>
      <c r="AL167" s="619"/>
      <c r="AM167" s="110"/>
    </row>
    <row r="168" spans="2:39" x14ac:dyDescent="0.3">
      <c r="B168" s="126"/>
      <c r="C168" s="501"/>
      <c r="D168" s="2107" t="s">
        <v>27</v>
      </c>
      <c r="E168" s="2107"/>
      <c r="F168" s="2107"/>
      <c r="G168" s="2107"/>
      <c r="H168" s="1304"/>
      <c r="I168" s="102"/>
      <c r="J168" s="102"/>
      <c r="K168" s="316"/>
      <c r="L168" s="317"/>
      <c r="M168" s="317"/>
      <c r="N168" s="316"/>
      <c r="O168" s="317"/>
      <c r="P168" s="317"/>
      <c r="Q168" s="317"/>
      <c r="R168" s="317"/>
      <c r="S168" s="316"/>
      <c r="T168" s="317"/>
      <c r="U168" s="317"/>
      <c r="V168" s="317"/>
      <c r="W168" s="344"/>
      <c r="X168" s="344"/>
      <c r="Y168" s="345"/>
      <c r="Z168" s="345"/>
      <c r="AA168" s="345"/>
      <c r="AB168" s="346"/>
      <c r="AC168" s="344"/>
      <c r="AD168" s="345"/>
      <c r="AE168" s="345"/>
      <c r="AF168" s="345"/>
      <c r="AG168" s="346"/>
      <c r="AH168" s="344"/>
      <c r="AI168" s="345"/>
      <c r="AJ168" s="345"/>
      <c r="AK168" s="345"/>
      <c r="AL168" s="346"/>
      <c r="AM168" s="85"/>
    </row>
    <row r="169" spans="2:39" x14ac:dyDescent="0.3">
      <c r="B169" s="126"/>
      <c r="C169" s="501"/>
      <c r="D169" s="2107"/>
      <c r="E169" s="2107"/>
      <c r="F169" s="2107"/>
      <c r="G169" s="2107"/>
      <c r="H169" s="1304"/>
      <c r="I169" s="102"/>
      <c r="J169" s="102"/>
      <c r="K169" s="275"/>
      <c r="L169" s="275"/>
      <c r="M169" s="275"/>
      <c r="N169" s="275"/>
      <c r="O169" s="275"/>
      <c r="P169" s="275"/>
      <c r="Q169" s="275"/>
      <c r="R169" s="275"/>
      <c r="S169" s="275"/>
      <c r="T169" s="275"/>
      <c r="U169" s="275"/>
      <c r="V169" s="275"/>
      <c r="W169" s="619"/>
      <c r="X169" s="619"/>
      <c r="Y169" s="619"/>
      <c r="Z169" s="619"/>
      <c r="AA169" s="619"/>
      <c r="AB169" s="619"/>
      <c r="AC169" s="619"/>
      <c r="AD169" s="619"/>
      <c r="AE169" s="619"/>
      <c r="AF169" s="619"/>
      <c r="AG169" s="619"/>
      <c r="AH169" s="619"/>
      <c r="AI169" s="619"/>
      <c r="AJ169" s="619"/>
      <c r="AK169" s="619"/>
      <c r="AL169" s="619"/>
      <c r="AM169" s="85"/>
    </row>
    <row r="170" spans="2:39" x14ac:dyDescent="0.3">
      <c r="B170" s="126"/>
      <c r="C170" s="501"/>
      <c r="D170" s="2108" t="s">
        <v>24</v>
      </c>
      <c r="E170" s="1304"/>
      <c r="F170" s="1304"/>
      <c r="G170" s="1304"/>
      <c r="H170" s="1304"/>
      <c r="I170" s="102"/>
      <c r="J170" s="102"/>
      <c r="K170" s="304"/>
      <c r="L170" s="305"/>
      <c r="M170" s="306"/>
      <c r="N170" s="305"/>
      <c r="O170" s="305"/>
      <c r="P170" s="305"/>
      <c r="Q170" s="305"/>
      <c r="R170" s="306"/>
      <c r="S170" s="305"/>
      <c r="T170" s="305"/>
      <c r="U170" s="305"/>
      <c r="V170" s="305"/>
      <c r="W170" s="335"/>
      <c r="X170" s="335"/>
      <c r="Y170" s="336"/>
      <c r="Z170" s="336"/>
      <c r="AA170" s="336"/>
      <c r="AB170" s="337"/>
      <c r="AC170" s="335"/>
      <c r="AD170" s="336"/>
      <c r="AE170" s="336"/>
      <c r="AF170" s="336"/>
      <c r="AG170" s="337"/>
      <c r="AH170" s="335"/>
      <c r="AI170" s="336"/>
      <c r="AJ170" s="336"/>
      <c r="AK170" s="336"/>
      <c r="AL170" s="337"/>
      <c r="AM170" s="85"/>
    </row>
    <row r="171" spans="2:39" x14ac:dyDescent="0.3">
      <c r="B171" s="126"/>
      <c r="C171" s="616"/>
      <c r="D171" s="2108" t="s">
        <v>20</v>
      </c>
      <c r="E171" s="1304"/>
      <c r="F171" s="1304"/>
      <c r="G171" s="1304"/>
      <c r="H171" s="1304"/>
      <c r="I171" s="102"/>
      <c r="J171" s="102"/>
      <c r="K171" s="307"/>
      <c r="L171" s="275"/>
      <c r="M171" s="308"/>
      <c r="N171" s="275"/>
      <c r="O171" s="275"/>
      <c r="P171" s="275"/>
      <c r="Q171" s="275"/>
      <c r="R171" s="308"/>
      <c r="S171" s="275"/>
      <c r="T171" s="275"/>
      <c r="U171" s="275"/>
      <c r="V171" s="275"/>
      <c r="W171" s="338"/>
      <c r="X171" s="338"/>
      <c r="Y171" s="339"/>
      <c r="Z171" s="339"/>
      <c r="AA171" s="339"/>
      <c r="AB171" s="340"/>
      <c r="AC171" s="338"/>
      <c r="AD171" s="339"/>
      <c r="AE171" s="339"/>
      <c r="AF171" s="339"/>
      <c r="AG171" s="340"/>
      <c r="AH171" s="338"/>
      <c r="AI171" s="339"/>
      <c r="AJ171" s="339"/>
      <c r="AK171" s="339"/>
      <c r="AL171" s="340"/>
      <c r="AM171" s="85"/>
    </row>
    <row r="172" spans="2:39" x14ac:dyDescent="0.3">
      <c r="B172" s="126"/>
      <c r="C172" s="501"/>
      <c r="D172" s="2108" t="s">
        <v>23</v>
      </c>
      <c r="E172" s="1304"/>
      <c r="F172" s="1304"/>
      <c r="G172" s="1304"/>
      <c r="H172" s="1304"/>
      <c r="I172" s="102"/>
      <c r="J172" s="102"/>
      <c r="K172" s="309"/>
      <c r="L172" s="310"/>
      <c r="M172" s="311"/>
      <c r="N172" s="310"/>
      <c r="O172" s="310"/>
      <c r="P172" s="310"/>
      <c r="Q172" s="310"/>
      <c r="R172" s="311"/>
      <c r="S172" s="310"/>
      <c r="T172" s="310"/>
      <c r="U172" s="310"/>
      <c r="V172" s="310"/>
      <c r="W172" s="341"/>
      <c r="X172" s="341"/>
      <c r="Y172" s="342"/>
      <c r="Z172" s="342"/>
      <c r="AA172" s="342"/>
      <c r="AB172" s="343"/>
      <c r="AC172" s="341"/>
      <c r="AD172" s="342"/>
      <c r="AE172" s="342"/>
      <c r="AF172" s="342"/>
      <c r="AG172" s="343"/>
      <c r="AH172" s="341"/>
      <c r="AI172" s="342"/>
      <c r="AJ172" s="342"/>
      <c r="AK172" s="342"/>
      <c r="AL172" s="343"/>
      <c r="AM172" s="85"/>
    </row>
    <row r="173" spans="2:39" x14ac:dyDescent="0.3">
      <c r="B173" s="126"/>
      <c r="C173" s="501"/>
      <c r="D173" s="2109" t="s">
        <v>25</v>
      </c>
      <c r="E173" s="2055"/>
      <c r="F173" s="2055"/>
      <c r="G173" s="2055"/>
      <c r="H173" s="2055"/>
      <c r="I173" s="227"/>
      <c r="J173" s="227"/>
      <c r="K173" s="275"/>
      <c r="L173" s="275"/>
      <c r="M173" s="275"/>
      <c r="N173" s="275"/>
      <c r="O173" s="275"/>
      <c r="P173" s="275"/>
      <c r="Q173" s="275"/>
      <c r="R173" s="275"/>
      <c r="S173" s="275"/>
      <c r="T173" s="275"/>
      <c r="U173" s="275"/>
      <c r="V173" s="275"/>
      <c r="W173" s="297">
        <f t="shared" ref="W173" si="25">+W170-W171-W172</f>
        <v>0</v>
      </c>
      <c r="X173" s="2024">
        <f t="shared" ref="X173:AG173" si="26">+X170-X171-X172</f>
        <v>0</v>
      </c>
      <c r="Y173" s="2024">
        <f t="shared" si="26"/>
        <v>0</v>
      </c>
      <c r="Z173" s="2024">
        <f t="shared" si="26"/>
        <v>0</v>
      </c>
      <c r="AA173" s="2024">
        <f t="shared" si="26"/>
        <v>0</v>
      </c>
      <c r="AB173" s="2024">
        <f t="shared" si="26"/>
        <v>0</v>
      </c>
      <c r="AC173" s="297">
        <f t="shared" si="26"/>
        <v>0</v>
      </c>
      <c r="AD173" s="297">
        <f t="shared" si="26"/>
        <v>0</v>
      </c>
      <c r="AE173" s="297">
        <f t="shared" si="26"/>
        <v>0</v>
      </c>
      <c r="AF173" s="297">
        <f t="shared" si="26"/>
        <v>0</v>
      </c>
      <c r="AG173" s="297">
        <f t="shared" si="26"/>
        <v>0</v>
      </c>
      <c r="AH173" s="297">
        <f>+AH170-AH171-AH172</f>
        <v>0</v>
      </c>
      <c r="AI173" s="297">
        <f>+AI170-AI171-AI172</f>
        <v>0</v>
      </c>
      <c r="AJ173" s="297">
        <f>+AJ170-AJ171-AJ172</f>
        <v>0</v>
      </c>
      <c r="AK173" s="297">
        <f>+AK170-AK171-AK172</f>
        <v>0</v>
      </c>
      <c r="AL173" s="297">
        <f>+AL170-AL171-AL172</f>
        <v>0</v>
      </c>
      <c r="AM173" s="85"/>
    </row>
    <row r="174" spans="2:39" x14ac:dyDescent="0.3">
      <c r="B174" s="126"/>
      <c r="C174" s="501"/>
      <c r="D174" s="2109"/>
      <c r="E174" s="2055"/>
      <c r="F174" s="2055"/>
      <c r="G174" s="2055"/>
      <c r="H174" s="2055"/>
      <c r="I174" s="227"/>
      <c r="J174" s="227"/>
      <c r="K174" s="275"/>
      <c r="L174" s="275"/>
      <c r="M174" s="275"/>
      <c r="N174" s="275"/>
      <c r="O174" s="275"/>
      <c r="P174" s="275"/>
      <c r="Q174" s="275"/>
      <c r="R174" s="275"/>
      <c r="S174" s="275"/>
      <c r="T174" s="275"/>
      <c r="U174" s="275"/>
      <c r="V174" s="275"/>
      <c r="W174" s="297"/>
      <c r="X174" s="2024"/>
      <c r="Y174" s="2024"/>
      <c r="Z174" s="2024"/>
      <c r="AA174" s="2024"/>
      <c r="AB174" s="2024"/>
      <c r="AC174" s="297"/>
      <c r="AD174" s="297"/>
      <c r="AE174" s="297"/>
      <c r="AF174" s="297"/>
      <c r="AG174" s="297"/>
      <c r="AH174" s="297"/>
      <c r="AI174" s="297"/>
      <c r="AJ174" s="297"/>
      <c r="AK174" s="297"/>
      <c r="AL174" s="297"/>
      <c r="AM174" s="85"/>
    </row>
    <row r="175" spans="2:39" x14ac:dyDescent="0.3">
      <c r="B175" s="126"/>
      <c r="C175" s="501"/>
      <c r="D175" s="2108" t="s">
        <v>62</v>
      </c>
      <c r="E175" s="2055"/>
      <c r="F175" s="2055"/>
      <c r="G175" s="2055"/>
      <c r="H175" s="2055"/>
      <c r="I175" s="227"/>
      <c r="J175" s="227"/>
      <c r="K175" s="305"/>
      <c r="L175" s="305"/>
      <c r="M175" s="306"/>
      <c r="N175" s="305"/>
      <c r="O175" s="305"/>
      <c r="P175" s="305"/>
      <c r="Q175" s="305"/>
      <c r="R175" s="306"/>
      <c r="S175" s="305"/>
      <c r="T175" s="305"/>
      <c r="U175" s="305"/>
      <c r="V175" s="305"/>
      <c r="W175" s="335"/>
      <c r="X175" s="335"/>
      <c r="Y175" s="336"/>
      <c r="Z175" s="336"/>
      <c r="AA175" s="336"/>
      <c r="AB175" s="337"/>
      <c r="AC175" s="335"/>
      <c r="AD175" s="336"/>
      <c r="AE175" s="336"/>
      <c r="AF175" s="336"/>
      <c r="AG175" s="337"/>
      <c r="AH175" s="335"/>
      <c r="AI175" s="336"/>
      <c r="AJ175" s="336"/>
      <c r="AK175" s="336"/>
      <c r="AL175" s="337"/>
      <c r="AM175" s="85"/>
    </row>
    <row r="176" spans="2:39" x14ac:dyDescent="0.3">
      <c r="B176" s="126"/>
      <c r="C176" s="501"/>
      <c r="D176" s="2108" t="s">
        <v>19</v>
      </c>
      <c r="E176" s="2055"/>
      <c r="F176" s="2055"/>
      <c r="G176" s="2055"/>
      <c r="H176" s="2055"/>
      <c r="I176" s="227"/>
      <c r="J176" s="227"/>
      <c r="K176" s="310"/>
      <c r="L176" s="310"/>
      <c r="M176" s="311"/>
      <c r="N176" s="310"/>
      <c r="O176" s="310"/>
      <c r="P176" s="310"/>
      <c r="Q176" s="310"/>
      <c r="R176" s="311"/>
      <c r="S176" s="310"/>
      <c r="T176" s="310"/>
      <c r="U176" s="310"/>
      <c r="V176" s="310"/>
      <c r="W176" s="341"/>
      <c r="X176" s="341"/>
      <c r="Y176" s="342"/>
      <c r="Z176" s="342"/>
      <c r="AA176" s="342"/>
      <c r="AB176" s="343"/>
      <c r="AC176" s="341"/>
      <c r="AD176" s="342"/>
      <c r="AE176" s="342"/>
      <c r="AF176" s="342"/>
      <c r="AG176" s="343"/>
      <c r="AH176" s="341"/>
      <c r="AI176" s="342"/>
      <c r="AJ176" s="342"/>
      <c r="AK176" s="342"/>
      <c r="AL176" s="343"/>
      <c r="AM176" s="85"/>
    </row>
    <row r="177" spans="2:39" x14ac:dyDescent="0.3">
      <c r="B177" s="126"/>
      <c r="C177" s="617"/>
      <c r="D177" s="2110"/>
      <c r="E177" s="2110"/>
      <c r="F177" s="2110"/>
      <c r="G177" s="2110"/>
      <c r="H177" s="2110"/>
      <c r="I177" s="267"/>
      <c r="J177" s="267"/>
      <c r="K177" s="310"/>
      <c r="L177" s="310"/>
      <c r="M177" s="310"/>
      <c r="N177" s="310"/>
      <c r="O177" s="310"/>
      <c r="P177" s="310"/>
      <c r="Q177" s="310"/>
      <c r="R177" s="310"/>
      <c r="S177" s="310"/>
      <c r="T177" s="310"/>
      <c r="U177" s="310"/>
      <c r="V177" s="310"/>
      <c r="W177" s="618"/>
      <c r="X177" s="2143"/>
      <c r="Y177" s="2143"/>
      <c r="Z177" s="2143"/>
      <c r="AA177" s="2143"/>
      <c r="AB177" s="2143"/>
      <c r="AC177" s="618"/>
      <c r="AD177" s="618"/>
      <c r="AE177" s="618"/>
      <c r="AF177" s="618"/>
      <c r="AG177" s="618"/>
      <c r="AH177" s="618"/>
      <c r="AI177" s="618"/>
      <c r="AJ177" s="618"/>
      <c r="AK177" s="618"/>
      <c r="AL177" s="618"/>
      <c r="AM177" s="94"/>
    </row>
    <row r="178" spans="2:39" x14ac:dyDescent="0.3">
      <c r="B178" s="126"/>
      <c r="C178" s="102"/>
      <c r="D178" s="1304"/>
      <c r="E178" s="1304"/>
      <c r="F178" s="1304"/>
      <c r="G178" s="1304"/>
      <c r="H178" s="1304"/>
      <c r="I178" s="126"/>
      <c r="J178" s="126"/>
      <c r="K178" s="423"/>
      <c r="L178" s="423"/>
      <c r="M178" s="423"/>
      <c r="N178" s="275"/>
      <c r="O178" s="275"/>
      <c r="P178" s="275"/>
      <c r="Q178" s="275"/>
      <c r="R178" s="423"/>
      <c r="S178" s="275"/>
      <c r="T178" s="275"/>
      <c r="U178" s="275"/>
      <c r="V178" s="275"/>
      <c r="W178" s="297"/>
      <c r="X178" s="2024"/>
      <c r="Y178" s="2024"/>
      <c r="Z178" s="2024"/>
      <c r="AA178" s="2024"/>
      <c r="AB178" s="2024"/>
      <c r="AC178" s="297"/>
      <c r="AD178" s="297"/>
      <c r="AE178" s="297"/>
      <c r="AF178" s="297"/>
      <c r="AG178" s="297"/>
      <c r="AH178" s="297"/>
      <c r="AI178" s="297"/>
      <c r="AJ178" s="297"/>
      <c r="AK178" s="297"/>
      <c r="AL178" s="297"/>
    </row>
    <row r="179" spans="2:39" x14ac:dyDescent="0.3">
      <c r="B179" s="126"/>
      <c r="C179" s="612"/>
      <c r="D179" s="2400" t="s">
        <v>286</v>
      </c>
      <c r="E179" s="2401"/>
      <c r="F179" s="2401"/>
      <c r="G179" s="2401"/>
      <c r="H179" s="2402"/>
      <c r="I179" s="613"/>
      <c r="J179" s="613"/>
      <c r="K179" s="305"/>
      <c r="L179" s="305"/>
      <c r="M179" s="305"/>
      <c r="N179" s="305"/>
      <c r="O179" s="305"/>
      <c r="P179" s="305"/>
      <c r="Q179" s="305"/>
      <c r="R179" s="305"/>
      <c r="S179" s="305"/>
      <c r="T179" s="305"/>
      <c r="U179" s="305"/>
      <c r="V179" s="305"/>
      <c r="W179" s="614"/>
      <c r="X179" s="2144"/>
      <c r="Y179" s="2144"/>
      <c r="Z179" s="2144"/>
      <c r="AA179" s="2144"/>
      <c r="AB179" s="2144"/>
      <c r="AC179" s="614"/>
      <c r="AD179" s="614"/>
      <c r="AE179" s="614"/>
      <c r="AF179" s="614"/>
      <c r="AG179" s="614"/>
      <c r="AH179" s="614"/>
      <c r="AI179" s="614"/>
      <c r="AJ179" s="614"/>
      <c r="AK179" s="614"/>
      <c r="AL179" s="614"/>
      <c r="AM179" s="615"/>
    </row>
    <row r="180" spans="2:39" x14ac:dyDescent="0.3">
      <c r="B180" s="126"/>
      <c r="C180" s="501"/>
      <c r="D180" s="2107"/>
      <c r="E180" s="2107"/>
      <c r="F180" s="2107"/>
      <c r="G180" s="2107"/>
      <c r="H180" s="1304"/>
      <c r="I180" s="102"/>
      <c r="J180" s="102"/>
      <c r="K180" s="275"/>
      <c r="L180" s="275"/>
      <c r="M180" s="275"/>
      <c r="N180" s="275"/>
      <c r="O180" s="275"/>
      <c r="P180" s="275"/>
      <c r="Q180" s="275"/>
      <c r="R180" s="275"/>
      <c r="S180" s="275"/>
      <c r="T180" s="275"/>
      <c r="U180" s="275"/>
      <c r="V180" s="275"/>
      <c r="W180" s="297"/>
      <c r="X180" s="2024"/>
      <c r="Y180" s="2024"/>
      <c r="Z180" s="2024"/>
      <c r="AA180" s="2024"/>
      <c r="AB180" s="2024"/>
      <c r="AC180" s="297"/>
      <c r="AD180" s="297"/>
      <c r="AE180" s="297"/>
      <c r="AF180" s="297"/>
      <c r="AG180" s="297"/>
      <c r="AH180" s="297"/>
      <c r="AI180" s="297"/>
      <c r="AJ180" s="297"/>
      <c r="AK180" s="297"/>
      <c r="AL180" s="297"/>
      <c r="AM180" s="110"/>
    </row>
    <row r="181" spans="2:39" x14ac:dyDescent="0.3">
      <c r="B181" s="126"/>
      <c r="C181" s="501"/>
      <c r="D181" s="2107" t="s">
        <v>69</v>
      </c>
      <c r="E181" s="2107"/>
      <c r="F181" s="2107"/>
      <c r="G181" s="2107"/>
      <c r="H181" s="1304"/>
      <c r="I181" s="102"/>
      <c r="J181" s="102"/>
      <c r="K181" s="316"/>
      <c r="L181" s="317"/>
      <c r="M181" s="317"/>
      <c r="N181" s="316"/>
      <c r="O181" s="317"/>
      <c r="P181" s="317"/>
      <c r="Q181" s="317"/>
      <c r="R181" s="317"/>
      <c r="S181" s="316"/>
      <c r="T181" s="317"/>
      <c r="U181" s="317"/>
      <c r="V181" s="317"/>
      <c r="W181" s="344"/>
      <c r="X181" s="344"/>
      <c r="Y181" s="345"/>
      <c r="Z181" s="345"/>
      <c r="AA181" s="345"/>
      <c r="AB181" s="346"/>
      <c r="AC181" s="344"/>
      <c r="AD181" s="345"/>
      <c r="AE181" s="345"/>
      <c r="AF181" s="345"/>
      <c r="AG181" s="346"/>
      <c r="AH181" s="344"/>
      <c r="AI181" s="345"/>
      <c r="AJ181" s="345"/>
      <c r="AK181" s="345"/>
      <c r="AL181" s="346"/>
      <c r="AM181" s="110"/>
    </row>
    <row r="182" spans="2:39" x14ac:dyDescent="0.3">
      <c r="B182" s="126"/>
      <c r="C182" s="501"/>
      <c r="D182" s="2107"/>
      <c r="E182" s="2107"/>
      <c r="F182" s="2107"/>
      <c r="G182" s="2107"/>
      <c r="H182" s="1304"/>
      <c r="I182" s="102"/>
      <c r="J182" s="102"/>
      <c r="K182" s="275"/>
      <c r="L182" s="275"/>
      <c r="M182" s="275"/>
      <c r="N182" s="275"/>
      <c r="O182" s="275"/>
      <c r="P182" s="275"/>
      <c r="Q182" s="275"/>
      <c r="R182" s="275"/>
      <c r="S182" s="275"/>
      <c r="T182" s="275"/>
      <c r="U182" s="275"/>
      <c r="V182" s="275"/>
      <c r="W182" s="619"/>
      <c r="X182" s="619"/>
      <c r="Y182" s="619"/>
      <c r="Z182" s="619"/>
      <c r="AA182" s="619"/>
      <c r="AB182" s="619"/>
      <c r="AC182" s="619"/>
      <c r="AD182" s="619"/>
      <c r="AE182" s="619"/>
      <c r="AF182" s="619"/>
      <c r="AG182" s="619"/>
      <c r="AH182" s="619"/>
      <c r="AI182" s="619"/>
      <c r="AJ182" s="619"/>
      <c r="AK182" s="619"/>
      <c r="AL182" s="619"/>
      <c r="AM182" s="110"/>
    </row>
    <row r="183" spans="2:39" x14ac:dyDescent="0.3">
      <c r="B183" s="126"/>
      <c r="C183" s="501"/>
      <c r="D183" s="2107" t="s">
        <v>27</v>
      </c>
      <c r="E183" s="2107"/>
      <c r="F183" s="2107"/>
      <c r="G183" s="2107"/>
      <c r="H183" s="1304"/>
      <c r="I183" s="102"/>
      <c r="J183" s="102"/>
      <c r="K183" s="316"/>
      <c r="L183" s="317"/>
      <c r="M183" s="317"/>
      <c r="N183" s="316"/>
      <c r="O183" s="317"/>
      <c r="P183" s="317"/>
      <c r="Q183" s="317"/>
      <c r="R183" s="317"/>
      <c r="S183" s="316"/>
      <c r="T183" s="317"/>
      <c r="U183" s="317"/>
      <c r="V183" s="317"/>
      <c r="W183" s="344"/>
      <c r="X183" s="344"/>
      <c r="Y183" s="345"/>
      <c r="Z183" s="345"/>
      <c r="AA183" s="345"/>
      <c r="AB183" s="346"/>
      <c r="AC183" s="344"/>
      <c r="AD183" s="345"/>
      <c r="AE183" s="345"/>
      <c r="AF183" s="345"/>
      <c r="AG183" s="346"/>
      <c r="AH183" s="344"/>
      <c r="AI183" s="345"/>
      <c r="AJ183" s="345"/>
      <c r="AK183" s="345"/>
      <c r="AL183" s="346"/>
      <c r="AM183" s="85"/>
    </row>
    <row r="184" spans="2:39" x14ac:dyDescent="0.3">
      <c r="B184" s="126"/>
      <c r="C184" s="501"/>
      <c r="D184" s="2107"/>
      <c r="E184" s="2107"/>
      <c r="F184" s="2107"/>
      <c r="G184" s="2107"/>
      <c r="H184" s="1304"/>
      <c r="I184" s="102"/>
      <c r="J184" s="102"/>
      <c r="K184" s="275"/>
      <c r="L184" s="275"/>
      <c r="M184" s="275"/>
      <c r="N184" s="275"/>
      <c r="O184" s="275"/>
      <c r="P184" s="275"/>
      <c r="Q184" s="275"/>
      <c r="R184" s="275"/>
      <c r="S184" s="275"/>
      <c r="T184" s="275"/>
      <c r="U184" s="275"/>
      <c r="V184" s="275"/>
      <c r="W184" s="619"/>
      <c r="X184" s="619"/>
      <c r="Y184" s="619"/>
      <c r="Z184" s="619"/>
      <c r="AA184" s="619"/>
      <c r="AB184" s="619"/>
      <c r="AC184" s="619"/>
      <c r="AD184" s="619"/>
      <c r="AE184" s="619"/>
      <c r="AF184" s="619"/>
      <c r="AG184" s="619"/>
      <c r="AH184" s="619"/>
      <c r="AI184" s="619"/>
      <c r="AJ184" s="619"/>
      <c r="AK184" s="619"/>
      <c r="AL184" s="619"/>
      <c r="AM184" s="85"/>
    </row>
    <row r="185" spans="2:39" x14ac:dyDescent="0.3">
      <c r="B185" s="126"/>
      <c r="C185" s="501"/>
      <c r="D185" s="2108" t="s">
        <v>24</v>
      </c>
      <c r="E185" s="1304"/>
      <c r="F185" s="1304"/>
      <c r="G185" s="1304"/>
      <c r="H185" s="1304"/>
      <c r="I185" s="102"/>
      <c r="J185" s="102"/>
      <c r="K185" s="304"/>
      <c r="L185" s="305"/>
      <c r="M185" s="306"/>
      <c r="N185" s="305"/>
      <c r="O185" s="305"/>
      <c r="P185" s="305"/>
      <c r="Q185" s="305"/>
      <c r="R185" s="306"/>
      <c r="S185" s="305"/>
      <c r="T185" s="305"/>
      <c r="U185" s="305"/>
      <c r="V185" s="305"/>
      <c r="W185" s="335"/>
      <c r="X185" s="335"/>
      <c r="Y185" s="336"/>
      <c r="Z185" s="336"/>
      <c r="AA185" s="336"/>
      <c r="AB185" s="337"/>
      <c r="AC185" s="335"/>
      <c r="AD185" s="336"/>
      <c r="AE185" s="336"/>
      <c r="AF185" s="336"/>
      <c r="AG185" s="337"/>
      <c r="AH185" s="335"/>
      <c r="AI185" s="336"/>
      <c r="AJ185" s="336"/>
      <c r="AK185" s="336"/>
      <c r="AL185" s="337"/>
      <c r="AM185" s="85"/>
    </row>
    <row r="186" spans="2:39" x14ac:dyDescent="0.3">
      <c r="B186" s="126"/>
      <c r="C186" s="616"/>
      <c r="D186" s="2108" t="s">
        <v>20</v>
      </c>
      <c r="E186" s="1304"/>
      <c r="F186" s="1304"/>
      <c r="G186" s="1304"/>
      <c r="H186" s="1304"/>
      <c r="I186" s="102"/>
      <c r="J186" s="102"/>
      <c r="K186" s="307"/>
      <c r="L186" s="275"/>
      <c r="M186" s="308"/>
      <c r="N186" s="275"/>
      <c r="O186" s="275"/>
      <c r="P186" s="275"/>
      <c r="Q186" s="275"/>
      <c r="R186" s="308"/>
      <c r="S186" s="275"/>
      <c r="T186" s="275"/>
      <c r="U186" s="275"/>
      <c r="V186" s="275"/>
      <c r="W186" s="338"/>
      <c r="X186" s="338"/>
      <c r="Y186" s="339"/>
      <c r="Z186" s="339"/>
      <c r="AA186" s="339"/>
      <c r="AB186" s="340"/>
      <c r="AC186" s="338"/>
      <c r="AD186" s="339"/>
      <c r="AE186" s="339"/>
      <c r="AF186" s="339"/>
      <c r="AG186" s="340"/>
      <c r="AH186" s="338"/>
      <c r="AI186" s="339"/>
      <c r="AJ186" s="339"/>
      <c r="AK186" s="339"/>
      <c r="AL186" s="340"/>
      <c r="AM186" s="85"/>
    </row>
    <row r="187" spans="2:39" x14ac:dyDescent="0.3">
      <c r="B187" s="126"/>
      <c r="C187" s="501"/>
      <c r="D187" s="2108" t="s">
        <v>23</v>
      </c>
      <c r="E187" s="1304"/>
      <c r="F187" s="1304"/>
      <c r="G187" s="1304"/>
      <c r="H187" s="1304"/>
      <c r="I187" s="102"/>
      <c r="J187" s="102"/>
      <c r="K187" s="309"/>
      <c r="L187" s="310"/>
      <c r="M187" s="311"/>
      <c r="N187" s="310"/>
      <c r="O187" s="310"/>
      <c r="P187" s="310"/>
      <c r="Q187" s="310"/>
      <c r="R187" s="311"/>
      <c r="S187" s="310"/>
      <c r="T187" s="310"/>
      <c r="U187" s="310"/>
      <c r="V187" s="310"/>
      <c r="W187" s="341"/>
      <c r="X187" s="341"/>
      <c r="Y187" s="342"/>
      <c r="Z187" s="342"/>
      <c r="AA187" s="342"/>
      <c r="AB187" s="343"/>
      <c r="AC187" s="341"/>
      <c r="AD187" s="342"/>
      <c r="AE187" s="342"/>
      <c r="AF187" s="342"/>
      <c r="AG187" s="343"/>
      <c r="AH187" s="341"/>
      <c r="AI187" s="342"/>
      <c r="AJ187" s="342"/>
      <c r="AK187" s="342"/>
      <c r="AL187" s="343"/>
      <c r="AM187" s="85"/>
    </row>
    <row r="188" spans="2:39" x14ac:dyDescent="0.3">
      <c r="B188" s="126"/>
      <c r="C188" s="501"/>
      <c r="D188" s="2109" t="s">
        <v>25</v>
      </c>
      <c r="E188" s="2055"/>
      <c r="F188" s="2055"/>
      <c r="G188" s="2055"/>
      <c r="H188" s="2055"/>
      <c r="I188" s="227"/>
      <c r="J188" s="227"/>
      <c r="K188" s="275"/>
      <c r="L188" s="275"/>
      <c r="M188" s="275"/>
      <c r="N188" s="275"/>
      <c r="O188" s="275"/>
      <c r="P188" s="275"/>
      <c r="Q188" s="275"/>
      <c r="R188" s="275"/>
      <c r="S188" s="275"/>
      <c r="T188" s="275"/>
      <c r="U188" s="275"/>
      <c r="V188" s="275"/>
      <c r="W188" s="297">
        <f t="shared" ref="W188" si="27">+W185-W186-W187</f>
        <v>0</v>
      </c>
      <c r="X188" s="2024">
        <f t="shared" ref="X188:AG188" si="28">+X185-X186-X187</f>
        <v>0</v>
      </c>
      <c r="Y188" s="2024">
        <f t="shared" si="28"/>
        <v>0</v>
      </c>
      <c r="Z188" s="2024">
        <f t="shared" si="28"/>
        <v>0</v>
      </c>
      <c r="AA188" s="2024">
        <f t="shared" si="28"/>
        <v>0</v>
      </c>
      <c r="AB188" s="2024">
        <f t="shared" si="28"/>
        <v>0</v>
      </c>
      <c r="AC188" s="297">
        <f t="shared" si="28"/>
        <v>0</v>
      </c>
      <c r="AD188" s="297">
        <f t="shared" si="28"/>
        <v>0</v>
      </c>
      <c r="AE188" s="297">
        <f t="shared" si="28"/>
        <v>0</v>
      </c>
      <c r="AF188" s="297">
        <f t="shared" si="28"/>
        <v>0</v>
      </c>
      <c r="AG188" s="297">
        <f t="shared" si="28"/>
        <v>0</v>
      </c>
      <c r="AH188" s="297">
        <f>+AH185-AH186-AH187</f>
        <v>0</v>
      </c>
      <c r="AI188" s="297">
        <f>+AI185-AI186-AI187</f>
        <v>0</v>
      </c>
      <c r="AJ188" s="297">
        <f>+AJ185-AJ186-AJ187</f>
        <v>0</v>
      </c>
      <c r="AK188" s="297">
        <f>+AK185-AK186-AK187</f>
        <v>0</v>
      </c>
      <c r="AL188" s="297">
        <f>+AL185-AL186-AL187</f>
        <v>0</v>
      </c>
      <c r="AM188" s="85"/>
    </row>
    <row r="189" spans="2:39" x14ac:dyDescent="0.3">
      <c r="B189" s="126"/>
      <c r="C189" s="501"/>
      <c r="D189" s="2109"/>
      <c r="E189" s="2055"/>
      <c r="F189" s="2055"/>
      <c r="G189" s="2055"/>
      <c r="H189" s="2055"/>
      <c r="I189" s="227"/>
      <c r="J189" s="227"/>
      <c r="K189" s="275"/>
      <c r="L189" s="275"/>
      <c r="M189" s="275"/>
      <c r="N189" s="275"/>
      <c r="O189" s="275"/>
      <c r="P189" s="275"/>
      <c r="Q189" s="275"/>
      <c r="R189" s="275"/>
      <c r="S189" s="275"/>
      <c r="T189" s="275"/>
      <c r="U189" s="275"/>
      <c r="V189" s="275"/>
      <c r="W189" s="297"/>
      <c r="X189" s="2024"/>
      <c r="Y189" s="2024"/>
      <c r="Z189" s="2024"/>
      <c r="AA189" s="2024"/>
      <c r="AB189" s="2024"/>
      <c r="AC189" s="297"/>
      <c r="AD189" s="297"/>
      <c r="AE189" s="297"/>
      <c r="AF189" s="297"/>
      <c r="AG189" s="297"/>
      <c r="AH189" s="297"/>
      <c r="AI189" s="297"/>
      <c r="AJ189" s="297"/>
      <c r="AK189" s="297"/>
      <c r="AL189" s="297"/>
      <c r="AM189" s="85"/>
    </row>
    <row r="190" spans="2:39" x14ac:dyDescent="0.3">
      <c r="B190" s="126"/>
      <c r="C190" s="501"/>
      <c r="D190" s="2108" t="s">
        <v>62</v>
      </c>
      <c r="E190" s="2055"/>
      <c r="F190" s="2055"/>
      <c r="G190" s="2055"/>
      <c r="H190" s="2055"/>
      <c r="I190" s="227"/>
      <c r="J190" s="227"/>
      <c r="K190" s="304"/>
      <c r="L190" s="305"/>
      <c r="M190" s="306"/>
      <c r="N190" s="305"/>
      <c r="O190" s="305"/>
      <c r="P190" s="305"/>
      <c r="Q190" s="305"/>
      <c r="R190" s="306"/>
      <c r="S190" s="305"/>
      <c r="T190" s="305"/>
      <c r="U190" s="305"/>
      <c r="V190" s="305"/>
      <c r="W190" s="335"/>
      <c r="X190" s="335"/>
      <c r="Y190" s="336"/>
      <c r="Z190" s="336"/>
      <c r="AA190" s="336"/>
      <c r="AB190" s="337"/>
      <c r="AC190" s="335"/>
      <c r="AD190" s="336"/>
      <c r="AE190" s="336"/>
      <c r="AF190" s="336"/>
      <c r="AG190" s="337"/>
      <c r="AH190" s="335"/>
      <c r="AI190" s="336"/>
      <c r="AJ190" s="336"/>
      <c r="AK190" s="336"/>
      <c r="AL190" s="337"/>
      <c r="AM190" s="85"/>
    </row>
    <row r="191" spans="2:39" x14ac:dyDescent="0.3">
      <c r="B191" s="126"/>
      <c r="C191" s="501"/>
      <c r="D191" s="2108" t="s">
        <v>19</v>
      </c>
      <c r="E191" s="2055"/>
      <c r="F191" s="2055"/>
      <c r="G191" s="2055"/>
      <c r="H191" s="2055"/>
      <c r="I191" s="227"/>
      <c r="J191" s="227"/>
      <c r="K191" s="309"/>
      <c r="L191" s="310"/>
      <c r="M191" s="311"/>
      <c r="N191" s="310"/>
      <c r="O191" s="310"/>
      <c r="P191" s="310"/>
      <c r="Q191" s="310"/>
      <c r="R191" s="311"/>
      <c r="S191" s="310"/>
      <c r="T191" s="310"/>
      <c r="U191" s="310"/>
      <c r="V191" s="310"/>
      <c r="W191" s="341"/>
      <c r="X191" s="341"/>
      <c r="Y191" s="342"/>
      <c r="Z191" s="342"/>
      <c r="AA191" s="342"/>
      <c r="AB191" s="343"/>
      <c r="AC191" s="341"/>
      <c r="AD191" s="342"/>
      <c r="AE191" s="342"/>
      <c r="AF191" s="342"/>
      <c r="AG191" s="343"/>
      <c r="AH191" s="341"/>
      <c r="AI191" s="342"/>
      <c r="AJ191" s="342"/>
      <c r="AK191" s="342"/>
      <c r="AL191" s="343"/>
      <c r="AM191" s="85"/>
    </row>
    <row r="192" spans="2:39" x14ac:dyDescent="0.3">
      <c r="B192" s="126"/>
      <c r="C192" s="617"/>
      <c r="D192" s="2110"/>
      <c r="E192" s="2110"/>
      <c r="F192" s="2110"/>
      <c r="G192" s="2110"/>
      <c r="H192" s="2110"/>
      <c r="I192" s="267"/>
      <c r="J192" s="267"/>
      <c r="K192" s="310"/>
      <c r="L192" s="310"/>
      <c r="M192" s="310"/>
      <c r="N192" s="310"/>
      <c r="O192" s="310"/>
      <c r="P192" s="310"/>
      <c r="Q192" s="310"/>
      <c r="R192" s="310"/>
      <c r="S192" s="310"/>
      <c r="T192" s="310"/>
      <c r="U192" s="310"/>
      <c r="V192" s="310"/>
      <c r="W192" s="618"/>
      <c r="X192" s="2143"/>
      <c r="Y192" s="2143"/>
      <c r="Z192" s="2143"/>
      <c r="AA192" s="2143"/>
      <c r="AB192" s="2143"/>
      <c r="AC192" s="618"/>
      <c r="AD192" s="618"/>
      <c r="AE192" s="618"/>
      <c r="AF192" s="618"/>
      <c r="AG192" s="618"/>
      <c r="AH192" s="618"/>
      <c r="AI192" s="618"/>
      <c r="AJ192" s="618"/>
      <c r="AK192" s="618"/>
      <c r="AL192" s="618"/>
      <c r="AM192" s="94"/>
    </row>
    <row r="193" spans="2:39" x14ac:dyDescent="0.3">
      <c r="D193" s="1304"/>
      <c r="E193" s="1304"/>
      <c r="F193" s="1304"/>
      <c r="G193" s="1304"/>
      <c r="H193" s="1304"/>
      <c r="K193" s="423"/>
      <c r="L193" s="423"/>
      <c r="M193" s="423"/>
      <c r="N193" s="423"/>
      <c r="O193" s="423"/>
      <c r="P193" s="423"/>
      <c r="Q193" s="423"/>
      <c r="R193" s="423"/>
      <c r="S193" s="423"/>
      <c r="T193" s="423"/>
      <c r="U193" s="423"/>
      <c r="V193" s="423"/>
      <c r="W193" s="294"/>
      <c r="X193" s="2133"/>
      <c r="Y193" s="2133"/>
      <c r="Z193" s="2133"/>
      <c r="AA193" s="2133"/>
      <c r="AB193" s="2133"/>
      <c r="AC193" s="294"/>
      <c r="AD193" s="294"/>
      <c r="AE193" s="294"/>
      <c r="AF193" s="294"/>
      <c r="AG193" s="294"/>
      <c r="AH193" s="294"/>
      <c r="AI193" s="294"/>
      <c r="AJ193" s="294"/>
      <c r="AK193" s="294"/>
      <c r="AL193" s="294"/>
    </row>
    <row r="194" spans="2:39" x14ac:dyDescent="0.3">
      <c r="B194" s="126"/>
      <c r="C194" s="612"/>
      <c r="D194" s="2400" t="s">
        <v>287</v>
      </c>
      <c r="E194" s="2401"/>
      <c r="F194" s="2401"/>
      <c r="G194" s="2401"/>
      <c r="H194" s="2402"/>
      <c r="I194" s="613"/>
      <c r="J194" s="613"/>
      <c r="K194" s="305"/>
      <c r="L194" s="305"/>
      <c r="M194" s="305"/>
      <c r="N194" s="305"/>
      <c r="O194" s="305"/>
      <c r="P194" s="305"/>
      <c r="Q194" s="305"/>
      <c r="R194" s="305"/>
      <c r="S194" s="305"/>
      <c r="T194" s="305"/>
      <c r="U194" s="305"/>
      <c r="V194" s="305"/>
      <c r="W194" s="614"/>
      <c r="X194" s="2144"/>
      <c r="Y194" s="2144"/>
      <c r="Z194" s="2144"/>
      <c r="AA194" s="2144"/>
      <c r="AB194" s="2144"/>
      <c r="AC194" s="614"/>
      <c r="AD194" s="614"/>
      <c r="AE194" s="614"/>
      <c r="AF194" s="614"/>
      <c r="AG194" s="614"/>
      <c r="AH194" s="614"/>
      <c r="AI194" s="614"/>
      <c r="AJ194" s="614"/>
      <c r="AK194" s="614"/>
      <c r="AL194" s="614"/>
      <c r="AM194" s="615"/>
    </row>
    <row r="195" spans="2:39" x14ac:dyDescent="0.3">
      <c r="B195" s="126"/>
      <c r="C195" s="501"/>
      <c r="D195" s="2107"/>
      <c r="E195" s="2107"/>
      <c r="F195" s="2107"/>
      <c r="G195" s="2107"/>
      <c r="H195" s="1304"/>
      <c r="I195" s="102"/>
      <c r="J195" s="102"/>
      <c r="K195" s="275"/>
      <c r="L195" s="275"/>
      <c r="M195" s="275"/>
      <c r="N195" s="275"/>
      <c r="O195" s="275"/>
      <c r="P195" s="275"/>
      <c r="Q195" s="275"/>
      <c r="R195" s="275"/>
      <c r="S195" s="275"/>
      <c r="T195" s="275"/>
      <c r="U195" s="275"/>
      <c r="V195" s="275"/>
      <c r="W195" s="297"/>
      <c r="X195" s="2024"/>
      <c r="Y195" s="2024"/>
      <c r="Z195" s="2024"/>
      <c r="AA195" s="2024"/>
      <c r="AB195" s="2024"/>
      <c r="AC195" s="297"/>
      <c r="AD195" s="297"/>
      <c r="AE195" s="297"/>
      <c r="AF195" s="297"/>
      <c r="AG195" s="297"/>
      <c r="AH195" s="297"/>
      <c r="AI195" s="297"/>
      <c r="AJ195" s="297"/>
      <c r="AK195" s="297"/>
      <c r="AL195" s="297"/>
      <c r="AM195" s="110"/>
    </row>
    <row r="196" spans="2:39" x14ac:dyDescent="0.3">
      <c r="B196" s="126"/>
      <c r="C196" s="501"/>
      <c r="D196" s="2107" t="s">
        <v>69</v>
      </c>
      <c r="E196" s="2107"/>
      <c r="F196" s="2107"/>
      <c r="G196" s="2107"/>
      <c r="H196" s="1304"/>
      <c r="I196" s="102"/>
      <c r="J196" s="102"/>
      <c r="K196" s="316"/>
      <c r="L196" s="317"/>
      <c r="M196" s="317"/>
      <c r="N196" s="316"/>
      <c r="O196" s="317"/>
      <c r="P196" s="317"/>
      <c r="Q196" s="317"/>
      <c r="R196" s="317"/>
      <c r="S196" s="316"/>
      <c r="T196" s="317"/>
      <c r="U196" s="317"/>
      <c r="V196" s="317"/>
      <c r="W196" s="344"/>
      <c r="X196" s="344"/>
      <c r="Y196" s="345"/>
      <c r="Z196" s="345"/>
      <c r="AA196" s="345"/>
      <c r="AB196" s="346"/>
      <c r="AC196" s="344"/>
      <c r="AD196" s="345"/>
      <c r="AE196" s="345"/>
      <c r="AF196" s="345"/>
      <c r="AG196" s="346"/>
      <c r="AH196" s="344"/>
      <c r="AI196" s="345"/>
      <c r="AJ196" s="345"/>
      <c r="AK196" s="345"/>
      <c r="AL196" s="346"/>
      <c r="AM196" s="110"/>
    </row>
    <row r="197" spans="2:39" x14ac:dyDescent="0.3">
      <c r="B197" s="126"/>
      <c r="C197" s="501"/>
      <c r="D197" s="2107"/>
      <c r="E197" s="2107"/>
      <c r="F197" s="2107"/>
      <c r="G197" s="2107"/>
      <c r="H197" s="1304"/>
      <c r="I197" s="102"/>
      <c r="J197" s="102"/>
      <c r="K197" s="275"/>
      <c r="L197" s="275"/>
      <c r="M197" s="275"/>
      <c r="N197" s="275"/>
      <c r="O197" s="275"/>
      <c r="P197" s="275"/>
      <c r="Q197" s="275"/>
      <c r="R197" s="275"/>
      <c r="S197" s="275"/>
      <c r="T197" s="275"/>
      <c r="U197" s="275"/>
      <c r="V197" s="275"/>
      <c r="W197" s="619"/>
      <c r="X197" s="619"/>
      <c r="Y197" s="619"/>
      <c r="Z197" s="619"/>
      <c r="AA197" s="619"/>
      <c r="AB197" s="619"/>
      <c r="AC197" s="619"/>
      <c r="AD197" s="619"/>
      <c r="AE197" s="619"/>
      <c r="AF197" s="619"/>
      <c r="AG197" s="619"/>
      <c r="AH197" s="619"/>
      <c r="AI197" s="619"/>
      <c r="AJ197" s="619"/>
      <c r="AK197" s="619"/>
      <c r="AL197" s="619"/>
      <c r="AM197" s="110"/>
    </row>
    <row r="198" spans="2:39" x14ac:dyDescent="0.3">
      <c r="B198" s="126"/>
      <c r="C198" s="501"/>
      <c r="D198" s="2107" t="s">
        <v>27</v>
      </c>
      <c r="E198" s="2107"/>
      <c r="F198" s="2107"/>
      <c r="G198" s="2107"/>
      <c r="H198" s="1304"/>
      <c r="I198" s="102"/>
      <c r="J198" s="102"/>
      <c r="K198" s="316"/>
      <c r="L198" s="317"/>
      <c r="M198" s="317"/>
      <c r="N198" s="316"/>
      <c r="O198" s="317"/>
      <c r="P198" s="317"/>
      <c r="Q198" s="317"/>
      <c r="R198" s="317"/>
      <c r="S198" s="316"/>
      <c r="T198" s="317"/>
      <c r="U198" s="317"/>
      <c r="V198" s="317"/>
      <c r="W198" s="344"/>
      <c r="X198" s="344"/>
      <c r="Y198" s="345"/>
      <c r="Z198" s="345"/>
      <c r="AA198" s="345"/>
      <c r="AB198" s="346"/>
      <c r="AC198" s="344"/>
      <c r="AD198" s="345"/>
      <c r="AE198" s="345"/>
      <c r="AF198" s="345"/>
      <c r="AG198" s="346"/>
      <c r="AH198" s="344"/>
      <c r="AI198" s="345"/>
      <c r="AJ198" s="345"/>
      <c r="AK198" s="345"/>
      <c r="AL198" s="346"/>
      <c r="AM198" s="85"/>
    </row>
    <row r="199" spans="2:39" x14ac:dyDescent="0.3">
      <c r="B199" s="126"/>
      <c r="C199" s="501"/>
      <c r="D199" s="2107"/>
      <c r="E199" s="2107"/>
      <c r="F199" s="2107"/>
      <c r="G199" s="2107"/>
      <c r="H199" s="1304"/>
      <c r="I199" s="102"/>
      <c r="J199" s="102"/>
      <c r="K199" s="275"/>
      <c r="L199" s="275"/>
      <c r="M199" s="275"/>
      <c r="N199" s="275"/>
      <c r="O199" s="275"/>
      <c r="P199" s="275"/>
      <c r="Q199" s="275"/>
      <c r="R199" s="275"/>
      <c r="S199" s="275"/>
      <c r="T199" s="275"/>
      <c r="U199" s="275"/>
      <c r="V199" s="275"/>
      <c r="W199" s="619"/>
      <c r="X199" s="619"/>
      <c r="Y199" s="619"/>
      <c r="Z199" s="619"/>
      <c r="AA199" s="619"/>
      <c r="AB199" s="619"/>
      <c r="AC199" s="619"/>
      <c r="AD199" s="619"/>
      <c r="AE199" s="619"/>
      <c r="AF199" s="619"/>
      <c r="AG199" s="619"/>
      <c r="AH199" s="619"/>
      <c r="AI199" s="619"/>
      <c r="AJ199" s="619"/>
      <c r="AK199" s="619"/>
      <c r="AL199" s="619"/>
      <c r="AM199" s="85"/>
    </row>
    <row r="200" spans="2:39" x14ac:dyDescent="0.3">
      <c r="B200" s="126"/>
      <c r="C200" s="501"/>
      <c r="D200" s="2108" t="s">
        <v>24</v>
      </c>
      <c r="E200" s="1304"/>
      <c r="F200" s="1304"/>
      <c r="G200" s="1304"/>
      <c r="H200" s="1304"/>
      <c r="I200" s="102"/>
      <c r="J200" s="102"/>
      <c r="K200" s="304"/>
      <c r="L200" s="305"/>
      <c r="M200" s="306"/>
      <c r="N200" s="305"/>
      <c r="O200" s="305"/>
      <c r="P200" s="305"/>
      <c r="Q200" s="305"/>
      <c r="R200" s="306"/>
      <c r="S200" s="305"/>
      <c r="T200" s="305"/>
      <c r="U200" s="305"/>
      <c r="V200" s="305"/>
      <c r="W200" s="335"/>
      <c r="X200" s="335"/>
      <c r="Y200" s="336"/>
      <c r="Z200" s="336"/>
      <c r="AA200" s="336"/>
      <c r="AB200" s="337"/>
      <c r="AC200" s="335"/>
      <c r="AD200" s="336"/>
      <c r="AE200" s="336"/>
      <c r="AF200" s="336"/>
      <c r="AG200" s="337"/>
      <c r="AH200" s="335"/>
      <c r="AI200" s="336"/>
      <c r="AJ200" s="336"/>
      <c r="AK200" s="336"/>
      <c r="AL200" s="337"/>
      <c r="AM200" s="85"/>
    </row>
    <row r="201" spans="2:39" x14ac:dyDescent="0.3">
      <c r="B201" s="126"/>
      <c r="C201" s="616"/>
      <c r="D201" s="2108" t="s">
        <v>20</v>
      </c>
      <c r="E201" s="1304"/>
      <c r="F201" s="1304"/>
      <c r="G201" s="1304"/>
      <c r="H201" s="1304"/>
      <c r="I201" s="102"/>
      <c r="J201" s="102"/>
      <c r="K201" s="307"/>
      <c r="L201" s="275"/>
      <c r="M201" s="308"/>
      <c r="N201" s="275"/>
      <c r="O201" s="275"/>
      <c r="P201" s="275"/>
      <c r="Q201" s="275"/>
      <c r="R201" s="308"/>
      <c r="S201" s="275"/>
      <c r="T201" s="275"/>
      <c r="U201" s="275"/>
      <c r="V201" s="275"/>
      <c r="W201" s="338"/>
      <c r="X201" s="338"/>
      <c r="Y201" s="339"/>
      <c r="Z201" s="339"/>
      <c r="AA201" s="339"/>
      <c r="AB201" s="340"/>
      <c r="AC201" s="338"/>
      <c r="AD201" s="339"/>
      <c r="AE201" s="339"/>
      <c r="AF201" s="339"/>
      <c r="AG201" s="340"/>
      <c r="AH201" s="338"/>
      <c r="AI201" s="339"/>
      <c r="AJ201" s="339"/>
      <c r="AK201" s="339"/>
      <c r="AL201" s="340"/>
      <c r="AM201" s="85"/>
    </row>
    <row r="202" spans="2:39" x14ac:dyDescent="0.3">
      <c r="B202" s="126"/>
      <c r="C202" s="501"/>
      <c r="D202" s="2108" t="s">
        <v>23</v>
      </c>
      <c r="E202" s="1304"/>
      <c r="F202" s="1304"/>
      <c r="G202" s="1304"/>
      <c r="H202" s="1304"/>
      <c r="I202" s="102"/>
      <c r="J202" s="102"/>
      <c r="K202" s="309"/>
      <c r="L202" s="310"/>
      <c r="M202" s="311"/>
      <c r="N202" s="310"/>
      <c r="O202" s="310"/>
      <c r="P202" s="310"/>
      <c r="Q202" s="310"/>
      <c r="R202" s="311"/>
      <c r="S202" s="310"/>
      <c r="T202" s="310"/>
      <c r="U202" s="310"/>
      <c r="V202" s="310"/>
      <c r="W202" s="341"/>
      <c r="X202" s="341"/>
      <c r="Y202" s="342"/>
      <c r="Z202" s="342"/>
      <c r="AA202" s="342"/>
      <c r="AB202" s="343"/>
      <c r="AC202" s="341"/>
      <c r="AD202" s="342"/>
      <c r="AE202" s="342"/>
      <c r="AF202" s="342"/>
      <c r="AG202" s="343"/>
      <c r="AH202" s="341"/>
      <c r="AI202" s="342"/>
      <c r="AJ202" s="342"/>
      <c r="AK202" s="342"/>
      <c r="AL202" s="343"/>
      <c r="AM202" s="85"/>
    </row>
    <row r="203" spans="2:39" x14ac:dyDescent="0.3">
      <c r="B203" s="126"/>
      <c r="C203" s="501"/>
      <c r="D203" s="2109" t="s">
        <v>25</v>
      </c>
      <c r="E203" s="2055"/>
      <c r="F203" s="2055"/>
      <c r="G203" s="2055"/>
      <c r="H203" s="2055"/>
      <c r="I203" s="227"/>
      <c r="J203" s="227"/>
      <c r="K203" s="275"/>
      <c r="L203" s="275"/>
      <c r="M203" s="275"/>
      <c r="N203" s="275"/>
      <c r="O203" s="275"/>
      <c r="P203" s="275"/>
      <c r="Q203" s="275"/>
      <c r="R203" s="275"/>
      <c r="S203" s="275"/>
      <c r="T203" s="275"/>
      <c r="U203" s="275"/>
      <c r="V203" s="275"/>
      <c r="W203" s="297">
        <f t="shared" ref="W203" si="29">+W200-W201-W202</f>
        <v>0</v>
      </c>
      <c r="X203" s="2024">
        <f t="shared" ref="X203:AG203" si="30">+X200-X201-X202</f>
        <v>0</v>
      </c>
      <c r="Y203" s="2024">
        <f t="shared" si="30"/>
        <v>0</v>
      </c>
      <c r="Z203" s="2024">
        <f t="shared" si="30"/>
        <v>0</v>
      </c>
      <c r="AA203" s="2024">
        <f t="shared" si="30"/>
        <v>0</v>
      </c>
      <c r="AB203" s="2024">
        <f t="shared" si="30"/>
        <v>0</v>
      </c>
      <c r="AC203" s="297">
        <f t="shared" si="30"/>
        <v>0</v>
      </c>
      <c r="AD203" s="297">
        <f t="shared" si="30"/>
        <v>0</v>
      </c>
      <c r="AE203" s="297">
        <f t="shared" si="30"/>
        <v>0</v>
      </c>
      <c r="AF203" s="297">
        <f t="shared" si="30"/>
        <v>0</v>
      </c>
      <c r="AG203" s="297">
        <f t="shared" si="30"/>
        <v>0</v>
      </c>
      <c r="AH203" s="297">
        <f>+AH200-AH201-AH202</f>
        <v>0</v>
      </c>
      <c r="AI203" s="297">
        <f>+AI200-AI201-AI202</f>
        <v>0</v>
      </c>
      <c r="AJ203" s="297">
        <f>+AJ200-AJ201-AJ202</f>
        <v>0</v>
      </c>
      <c r="AK203" s="297">
        <f>+AK200-AK201-AK202</f>
        <v>0</v>
      </c>
      <c r="AL203" s="297">
        <f>+AL200-AL201-AL202</f>
        <v>0</v>
      </c>
      <c r="AM203" s="85"/>
    </row>
    <row r="204" spans="2:39" x14ac:dyDescent="0.3">
      <c r="B204" s="126"/>
      <c r="C204" s="501"/>
      <c r="D204" s="2109"/>
      <c r="E204" s="2055"/>
      <c r="F204" s="2055"/>
      <c r="G204" s="2055"/>
      <c r="H204" s="2055"/>
      <c r="I204" s="227"/>
      <c r="J204" s="227"/>
      <c r="K204" s="275"/>
      <c r="L204" s="275"/>
      <c r="M204" s="275"/>
      <c r="N204" s="275"/>
      <c r="O204" s="275"/>
      <c r="P204" s="275"/>
      <c r="Q204" s="275"/>
      <c r="R204" s="275"/>
      <c r="S204" s="275"/>
      <c r="T204" s="275"/>
      <c r="U204" s="275"/>
      <c r="V204" s="275"/>
      <c r="W204" s="297"/>
      <c r="X204" s="2024"/>
      <c r="Y204" s="2024"/>
      <c r="Z204" s="2024"/>
      <c r="AA204" s="2024"/>
      <c r="AB204" s="2024"/>
      <c r="AC204" s="297"/>
      <c r="AD204" s="297"/>
      <c r="AE204" s="297"/>
      <c r="AF204" s="297"/>
      <c r="AG204" s="297"/>
      <c r="AH204" s="297"/>
      <c r="AI204" s="297"/>
      <c r="AJ204" s="297"/>
      <c r="AK204" s="297"/>
      <c r="AL204" s="297"/>
      <c r="AM204" s="85"/>
    </row>
    <row r="205" spans="2:39" x14ac:dyDescent="0.3">
      <c r="B205" s="126"/>
      <c r="C205" s="501"/>
      <c r="D205" s="2108" t="s">
        <v>62</v>
      </c>
      <c r="E205" s="2055"/>
      <c r="F205" s="2055"/>
      <c r="G205" s="2055"/>
      <c r="H205" s="2055"/>
      <c r="I205" s="227"/>
      <c r="J205" s="227"/>
      <c r="K205" s="305"/>
      <c r="L205" s="305"/>
      <c r="M205" s="306"/>
      <c r="N205" s="305"/>
      <c r="O205" s="305"/>
      <c r="P205" s="305"/>
      <c r="Q205" s="305"/>
      <c r="R205" s="306"/>
      <c r="S205" s="305"/>
      <c r="T205" s="305"/>
      <c r="U205" s="305"/>
      <c r="V205" s="305"/>
      <c r="W205" s="335"/>
      <c r="X205" s="335"/>
      <c r="Y205" s="336"/>
      <c r="Z205" s="336"/>
      <c r="AA205" s="336"/>
      <c r="AB205" s="337"/>
      <c r="AC205" s="335"/>
      <c r="AD205" s="336"/>
      <c r="AE205" s="336"/>
      <c r="AF205" s="336"/>
      <c r="AG205" s="337"/>
      <c r="AH205" s="335"/>
      <c r="AI205" s="336"/>
      <c r="AJ205" s="336"/>
      <c r="AK205" s="336"/>
      <c r="AL205" s="337"/>
      <c r="AM205" s="85"/>
    </row>
    <row r="206" spans="2:39" x14ac:dyDescent="0.3">
      <c r="B206" s="126"/>
      <c r="C206" s="501"/>
      <c r="D206" s="2108" t="s">
        <v>19</v>
      </c>
      <c r="E206" s="2055"/>
      <c r="F206" s="2055"/>
      <c r="G206" s="2055"/>
      <c r="H206" s="2055"/>
      <c r="I206" s="227"/>
      <c r="J206" s="227"/>
      <c r="K206" s="310"/>
      <c r="L206" s="310"/>
      <c r="M206" s="311"/>
      <c r="N206" s="310"/>
      <c r="O206" s="310"/>
      <c r="P206" s="310"/>
      <c r="Q206" s="310"/>
      <c r="R206" s="311"/>
      <c r="S206" s="310"/>
      <c r="T206" s="310"/>
      <c r="U206" s="310"/>
      <c r="V206" s="310"/>
      <c r="W206" s="341"/>
      <c r="X206" s="341"/>
      <c r="Y206" s="342"/>
      <c r="Z206" s="342"/>
      <c r="AA206" s="342"/>
      <c r="AB206" s="343"/>
      <c r="AC206" s="341"/>
      <c r="AD206" s="342"/>
      <c r="AE206" s="342"/>
      <c r="AF206" s="342"/>
      <c r="AG206" s="343"/>
      <c r="AH206" s="341"/>
      <c r="AI206" s="342"/>
      <c r="AJ206" s="342"/>
      <c r="AK206" s="342"/>
      <c r="AL206" s="343"/>
      <c r="AM206" s="85"/>
    </row>
    <row r="207" spans="2:39" x14ac:dyDescent="0.3">
      <c r="B207" s="126"/>
      <c r="C207" s="617"/>
      <c r="D207" s="2110"/>
      <c r="E207" s="2110"/>
      <c r="F207" s="2110"/>
      <c r="G207" s="2110"/>
      <c r="H207" s="2110"/>
      <c r="I207" s="267"/>
      <c r="J207" s="267"/>
      <c r="K207" s="310"/>
      <c r="L207" s="310"/>
      <c r="M207" s="310"/>
      <c r="N207" s="310"/>
      <c r="O207" s="310"/>
      <c r="P207" s="310"/>
      <c r="Q207" s="310"/>
      <c r="R207" s="310"/>
      <c r="S207" s="310"/>
      <c r="T207" s="310"/>
      <c r="U207" s="310"/>
      <c r="V207" s="310"/>
      <c r="W207" s="618"/>
      <c r="X207" s="2143"/>
      <c r="Y207" s="2143"/>
      <c r="Z207" s="2143"/>
      <c r="AA207" s="2143"/>
      <c r="AB207" s="2143"/>
      <c r="AC207" s="618"/>
      <c r="AD207" s="618"/>
      <c r="AE207" s="618"/>
      <c r="AF207" s="618"/>
      <c r="AG207" s="618"/>
      <c r="AH207" s="618"/>
      <c r="AI207" s="618"/>
      <c r="AJ207" s="618"/>
      <c r="AK207" s="618"/>
      <c r="AL207" s="618"/>
      <c r="AM207" s="94"/>
    </row>
    <row r="208" spans="2:39" x14ac:dyDescent="0.3">
      <c r="D208" s="1304"/>
      <c r="E208" s="1304"/>
      <c r="F208" s="1304"/>
      <c r="G208" s="1304"/>
      <c r="H208" s="1304"/>
      <c r="K208" s="423"/>
      <c r="L208" s="423"/>
      <c r="M208" s="423"/>
      <c r="N208" s="423"/>
      <c r="O208" s="423"/>
      <c r="P208" s="423"/>
      <c r="Q208" s="423"/>
      <c r="R208" s="423"/>
      <c r="S208" s="423"/>
      <c r="T208" s="423"/>
      <c r="U208" s="423"/>
      <c r="V208" s="423"/>
      <c r="W208" s="294"/>
      <c r="X208" s="2133"/>
      <c r="Y208" s="2133"/>
      <c r="Z208" s="2133"/>
      <c r="AA208" s="2133"/>
      <c r="AB208" s="2133"/>
      <c r="AC208" s="294"/>
      <c r="AD208" s="294"/>
      <c r="AE208" s="294"/>
      <c r="AF208" s="294"/>
      <c r="AG208" s="294"/>
      <c r="AH208" s="294"/>
      <c r="AI208" s="294"/>
      <c r="AJ208" s="294"/>
      <c r="AK208" s="294"/>
      <c r="AL208" s="294"/>
    </row>
    <row r="209" spans="2:39" x14ac:dyDescent="0.3">
      <c r="B209" s="126"/>
      <c r="C209" s="612"/>
      <c r="D209" s="2400" t="s">
        <v>288</v>
      </c>
      <c r="E209" s="2401"/>
      <c r="F209" s="2401"/>
      <c r="G209" s="2401"/>
      <c r="H209" s="2402"/>
      <c r="I209" s="613"/>
      <c r="J209" s="613"/>
      <c r="K209" s="305"/>
      <c r="L209" s="305"/>
      <c r="M209" s="305"/>
      <c r="N209" s="305"/>
      <c r="O209" s="305"/>
      <c r="P209" s="305"/>
      <c r="Q209" s="305"/>
      <c r="R209" s="305"/>
      <c r="S209" s="305"/>
      <c r="T209" s="305"/>
      <c r="U209" s="305"/>
      <c r="V209" s="305"/>
      <c r="W209" s="614"/>
      <c r="X209" s="2144"/>
      <c r="Y209" s="2144"/>
      <c r="Z209" s="2144"/>
      <c r="AA209" s="2144"/>
      <c r="AB209" s="2144"/>
      <c r="AC209" s="614"/>
      <c r="AD209" s="614"/>
      <c r="AE209" s="614"/>
      <c r="AF209" s="614"/>
      <c r="AG209" s="614"/>
      <c r="AH209" s="614"/>
      <c r="AI209" s="614"/>
      <c r="AJ209" s="614"/>
      <c r="AK209" s="614"/>
      <c r="AL209" s="614"/>
      <c r="AM209" s="615"/>
    </row>
    <row r="210" spans="2:39" x14ac:dyDescent="0.3">
      <c r="B210" s="126"/>
      <c r="C210" s="501"/>
      <c r="D210" s="2107"/>
      <c r="E210" s="2107"/>
      <c r="F210" s="2107"/>
      <c r="G210" s="2107"/>
      <c r="H210" s="1304"/>
      <c r="I210" s="102"/>
      <c r="J210" s="102"/>
      <c r="K210" s="275"/>
      <c r="L210" s="275"/>
      <c r="M210" s="275"/>
      <c r="N210" s="275"/>
      <c r="O210" s="275"/>
      <c r="P210" s="275"/>
      <c r="Q210" s="275"/>
      <c r="R210" s="275"/>
      <c r="S210" s="275"/>
      <c r="T210" s="275"/>
      <c r="U210" s="275"/>
      <c r="V210" s="275"/>
      <c r="W210" s="297"/>
      <c r="X210" s="2024"/>
      <c r="Y210" s="2024"/>
      <c r="Z210" s="2024"/>
      <c r="AA210" s="2024"/>
      <c r="AB210" s="2024"/>
      <c r="AC210" s="297"/>
      <c r="AD210" s="297"/>
      <c r="AE210" s="297"/>
      <c r="AF210" s="297"/>
      <c r="AG210" s="297"/>
      <c r="AH210" s="297"/>
      <c r="AI210" s="297"/>
      <c r="AJ210" s="297"/>
      <c r="AK210" s="297"/>
      <c r="AL210" s="297"/>
      <c r="AM210" s="110"/>
    </row>
    <row r="211" spans="2:39" x14ac:dyDescent="0.3">
      <c r="B211" s="126"/>
      <c r="C211" s="501"/>
      <c r="D211" s="2107" t="s">
        <v>69</v>
      </c>
      <c r="E211" s="2107"/>
      <c r="F211" s="2107"/>
      <c r="G211" s="2107"/>
      <c r="H211" s="1304"/>
      <c r="I211" s="102"/>
      <c r="J211" s="102"/>
      <c r="K211" s="316"/>
      <c r="L211" s="317"/>
      <c r="M211" s="317"/>
      <c r="N211" s="316"/>
      <c r="O211" s="317"/>
      <c r="P211" s="317"/>
      <c r="Q211" s="317"/>
      <c r="R211" s="317"/>
      <c r="S211" s="316"/>
      <c r="T211" s="317"/>
      <c r="U211" s="317"/>
      <c r="V211" s="317"/>
      <c r="W211" s="344"/>
      <c r="X211" s="344"/>
      <c r="Y211" s="345"/>
      <c r="Z211" s="345"/>
      <c r="AA211" s="345"/>
      <c r="AB211" s="346"/>
      <c r="AC211" s="344"/>
      <c r="AD211" s="345"/>
      <c r="AE211" s="345"/>
      <c r="AF211" s="345"/>
      <c r="AG211" s="346"/>
      <c r="AH211" s="344"/>
      <c r="AI211" s="345"/>
      <c r="AJ211" s="345"/>
      <c r="AK211" s="345"/>
      <c r="AL211" s="346"/>
      <c r="AM211" s="110"/>
    </row>
    <row r="212" spans="2:39" x14ac:dyDescent="0.3">
      <c r="B212" s="126"/>
      <c r="C212" s="501"/>
      <c r="D212" s="2107"/>
      <c r="E212" s="2107"/>
      <c r="F212" s="2107"/>
      <c r="G212" s="2107"/>
      <c r="H212" s="1304"/>
      <c r="I212" s="102"/>
      <c r="J212" s="102"/>
      <c r="K212" s="275"/>
      <c r="L212" s="275"/>
      <c r="M212" s="275"/>
      <c r="N212" s="275"/>
      <c r="O212" s="275"/>
      <c r="P212" s="275"/>
      <c r="Q212" s="275"/>
      <c r="R212" s="275"/>
      <c r="S212" s="275"/>
      <c r="T212" s="275"/>
      <c r="U212" s="275"/>
      <c r="V212" s="275"/>
      <c r="W212" s="619"/>
      <c r="X212" s="619"/>
      <c r="Y212" s="619"/>
      <c r="Z212" s="619"/>
      <c r="AA212" s="619"/>
      <c r="AB212" s="619"/>
      <c r="AC212" s="619"/>
      <c r="AD212" s="619"/>
      <c r="AE212" s="619"/>
      <c r="AF212" s="619"/>
      <c r="AG212" s="619"/>
      <c r="AH212" s="619"/>
      <c r="AI212" s="619"/>
      <c r="AJ212" s="619"/>
      <c r="AK212" s="619"/>
      <c r="AL212" s="619"/>
      <c r="AM212" s="110"/>
    </row>
    <row r="213" spans="2:39" x14ac:dyDescent="0.3">
      <c r="B213" s="126"/>
      <c r="C213" s="501"/>
      <c r="D213" s="2107" t="s">
        <v>27</v>
      </c>
      <c r="E213" s="2107"/>
      <c r="F213" s="2107"/>
      <c r="G213" s="2107"/>
      <c r="H213" s="1304"/>
      <c r="I213" s="102"/>
      <c r="J213" s="102"/>
      <c r="K213" s="316"/>
      <c r="L213" s="317"/>
      <c r="M213" s="317"/>
      <c r="N213" s="316"/>
      <c r="O213" s="317"/>
      <c r="P213" s="317"/>
      <c r="Q213" s="317"/>
      <c r="R213" s="317"/>
      <c r="S213" s="316"/>
      <c r="T213" s="317"/>
      <c r="U213" s="317"/>
      <c r="V213" s="317"/>
      <c r="W213" s="344"/>
      <c r="X213" s="344"/>
      <c r="Y213" s="345"/>
      <c r="Z213" s="345"/>
      <c r="AA213" s="345"/>
      <c r="AB213" s="346"/>
      <c r="AC213" s="344"/>
      <c r="AD213" s="345"/>
      <c r="AE213" s="345"/>
      <c r="AF213" s="345"/>
      <c r="AG213" s="346"/>
      <c r="AH213" s="344"/>
      <c r="AI213" s="345"/>
      <c r="AJ213" s="345"/>
      <c r="AK213" s="345"/>
      <c r="AL213" s="346"/>
      <c r="AM213" s="85"/>
    </row>
    <row r="214" spans="2:39" x14ac:dyDescent="0.3">
      <c r="B214" s="126"/>
      <c r="C214" s="501"/>
      <c r="D214" s="2107"/>
      <c r="E214" s="2107"/>
      <c r="F214" s="2107"/>
      <c r="G214" s="2107"/>
      <c r="H214" s="1304"/>
      <c r="I214" s="102"/>
      <c r="J214" s="102"/>
      <c r="K214" s="275"/>
      <c r="L214" s="275"/>
      <c r="M214" s="275"/>
      <c r="N214" s="275"/>
      <c r="O214" s="275"/>
      <c r="P214" s="275"/>
      <c r="Q214" s="275"/>
      <c r="R214" s="275"/>
      <c r="S214" s="275"/>
      <c r="T214" s="275"/>
      <c r="U214" s="275"/>
      <c r="V214" s="275"/>
      <c r="W214" s="619"/>
      <c r="X214" s="619"/>
      <c r="Y214" s="619"/>
      <c r="Z214" s="619"/>
      <c r="AA214" s="619"/>
      <c r="AB214" s="619"/>
      <c r="AC214" s="619"/>
      <c r="AD214" s="619"/>
      <c r="AE214" s="619"/>
      <c r="AF214" s="619"/>
      <c r="AG214" s="619"/>
      <c r="AH214" s="619"/>
      <c r="AI214" s="619"/>
      <c r="AJ214" s="619"/>
      <c r="AK214" s="619"/>
      <c r="AL214" s="619"/>
      <c r="AM214" s="85"/>
    </row>
    <row r="215" spans="2:39" x14ac:dyDescent="0.3">
      <c r="B215" s="126"/>
      <c r="C215" s="501"/>
      <c r="D215" s="2108" t="s">
        <v>24</v>
      </c>
      <c r="E215" s="1304"/>
      <c r="F215" s="1304"/>
      <c r="G215" s="1304"/>
      <c r="H215" s="1304"/>
      <c r="I215" s="102"/>
      <c r="J215" s="102"/>
      <c r="K215" s="304"/>
      <c r="L215" s="305"/>
      <c r="M215" s="306"/>
      <c r="N215" s="305"/>
      <c r="O215" s="305"/>
      <c r="P215" s="305"/>
      <c r="Q215" s="305"/>
      <c r="R215" s="306"/>
      <c r="S215" s="305"/>
      <c r="T215" s="305"/>
      <c r="U215" s="305"/>
      <c r="V215" s="305"/>
      <c r="W215" s="335"/>
      <c r="X215" s="335"/>
      <c r="Y215" s="336"/>
      <c r="Z215" s="336"/>
      <c r="AA215" s="336"/>
      <c r="AB215" s="337"/>
      <c r="AC215" s="335"/>
      <c r="AD215" s="336"/>
      <c r="AE215" s="336"/>
      <c r="AF215" s="336"/>
      <c r="AG215" s="337"/>
      <c r="AH215" s="335"/>
      <c r="AI215" s="336"/>
      <c r="AJ215" s="336"/>
      <c r="AK215" s="336"/>
      <c r="AL215" s="337"/>
      <c r="AM215" s="85"/>
    </row>
    <row r="216" spans="2:39" x14ac:dyDescent="0.3">
      <c r="B216" s="126"/>
      <c r="C216" s="616"/>
      <c r="D216" s="2108" t="s">
        <v>20</v>
      </c>
      <c r="E216" s="1304"/>
      <c r="F216" s="1304"/>
      <c r="G216" s="1304"/>
      <c r="H216" s="1304"/>
      <c r="I216" s="102"/>
      <c r="J216" s="102"/>
      <c r="K216" s="307"/>
      <c r="L216" s="275"/>
      <c r="M216" s="308"/>
      <c r="N216" s="275"/>
      <c r="O216" s="275"/>
      <c r="P216" s="275"/>
      <c r="Q216" s="275"/>
      <c r="R216" s="308"/>
      <c r="S216" s="275"/>
      <c r="T216" s="275"/>
      <c r="U216" s="275"/>
      <c r="V216" s="275"/>
      <c r="W216" s="338"/>
      <c r="X216" s="338"/>
      <c r="Y216" s="339"/>
      <c r="Z216" s="339"/>
      <c r="AA216" s="339"/>
      <c r="AB216" s="340"/>
      <c r="AC216" s="338"/>
      <c r="AD216" s="339"/>
      <c r="AE216" s="339"/>
      <c r="AF216" s="339"/>
      <c r="AG216" s="340"/>
      <c r="AH216" s="338"/>
      <c r="AI216" s="339"/>
      <c r="AJ216" s="339"/>
      <c r="AK216" s="339"/>
      <c r="AL216" s="340"/>
      <c r="AM216" s="85"/>
    </row>
    <row r="217" spans="2:39" x14ac:dyDescent="0.3">
      <c r="B217" s="126"/>
      <c r="C217" s="501"/>
      <c r="D217" s="2108" t="s">
        <v>23</v>
      </c>
      <c r="E217" s="1304"/>
      <c r="F217" s="1304"/>
      <c r="G217" s="1304"/>
      <c r="H217" s="1304"/>
      <c r="I217" s="102"/>
      <c r="J217" s="102"/>
      <c r="K217" s="309"/>
      <c r="L217" s="310"/>
      <c r="M217" s="311"/>
      <c r="N217" s="310"/>
      <c r="O217" s="310"/>
      <c r="P217" s="310"/>
      <c r="Q217" s="310"/>
      <c r="R217" s="311"/>
      <c r="S217" s="310"/>
      <c r="T217" s="310"/>
      <c r="U217" s="310"/>
      <c r="V217" s="310"/>
      <c r="W217" s="341"/>
      <c r="X217" s="341"/>
      <c r="Y217" s="342"/>
      <c r="Z217" s="342"/>
      <c r="AA217" s="342"/>
      <c r="AB217" s="343"/>
      <c r="AC217" s="341"/>
      <c r="AD217" s="342"/>
      <c r="AE217" s="342"/>
      <c r="AF217" s="342"/>
      <c r="AG217" s="343"/>
      <c r="AH217" s="341"/>
      <c r="AI217" s="342"/>
      <c r="AJ217" s="342"/>
      <c r="AK217" s="342"/>
      <c r="AL217" s="343"/>
      <c r="AM217" s="85"/>
    </row>
    <row r="218" spans="2:39" x14ac:dyDescent="0.3">
      <c r="B218" s="126"/>
      <c r="C218" s="501"/>
      <c r="D218" s="2109" t="s">
        <v>25</v>
      </c>
      <c r="E218" s="2055"/>
      <c r="F218" s="2055"/>
      <c r="G218" s="2055"/>
      <c r="H218" s="2055"/>
      <c r="I218" s="227"/>
      <c r="J218" s="227"/>
      <c r="K218" s="275"/>
      <c r="L218" s="275"/>
      <c r="M218" s="275"/>
      <c r="N218" s="275"/>
      <c r="O218" s="275"/>
      <c r="P218" s="275"/>
      <c r="Q218" s="275"/>
      <c r="R218" s="275"/>
      <c r="S218" s="275"/>
      <c r="T218" s="275"/>
      <c r="U218" s="275"/>
      <c r="V218" s="275"/>
      <c r="W218" s="297">
        <f t="shared" ref="W218" si="31">+W215-W216-W217</f>
        <v>0</v>
      </c>
      <c r="X218" s="2024">
        <f t="shared" ref="X218:AG218" si="32">+X215-X216-X217</f>
        <v>0</v>
      </c>
      <c r="Y218" s="2024">
        <f t="shared" si="32"/>
        <v>0</v>
      </c>
      <c r="Z218" s="2024">
        <f t="shared" si="32"/>
        <v>0</v>
      </c>
      <c r="AA218" s="2024">
        <f t="shared" si="32"/>
        <v>0</v>
      </c>
      <c r="AB218" s="2024">
        <f t="shared" si="32"/>
        <v>0</v>
      </c>
      <c r="AC218" s="297">
        <f t="shared" si="32"/>
        <v>0</v>
      </c>
      <c r="AD218" s="297">
        <f t="shared" si="32"/>
        <v>0</v>
      </c>
      <c r="AE218" s="297">
        <f t="shared" si="32"/>
        <v>0</v>
      </c>
      <c r="AF218" s="297">
        <f t="shared" si="32"/>
        <v>0</v>
      </c>
      <c r="AG218" s="297">
        <f t="shared" si="32"/>
        <v>0</v>
      </c>
      <c r="AH218" s="297">
        <f>+AH215-AH216-AH217</f>
        <v>0</v>
      </c>
      <c r="AI218" s="297">
        <f>+AI215-AI216-AI217</f>
        <v>0</v>
      </c>
      <c r="AJ218" s="297">
        <f>+AJ215-AJ216-AJ217</f>
        <v>0</v>
      </c>
      <c r="AK218" s="297">
        <f>+AK215-AK216-AK217</f>
        <v>0</v>
      </c>
      <c r="AL218" s="297">
        <f>+AL215-AL216-AL217</f>
        <v>0</v>
      </c>
      <c r="AM218" s="85"/>
    </row>
    <row r="219" spans="2:39" x14ac:dyDescent="0.3">
      <c r="B219" s="126"/>
      <c r="C219" s="501"/>
      <c r="D219" s="2109"/>
      <c r="E219" s="2055"/>
      <c r="F219" s="2055"/>
      <c r="G219" s="2055"/>
      <c r="H219" s="2055"/>
      <c r="I219" s="227"/>
      <c r="J219" s="227"/>
      <c r="K219" s="275"/>
      <c r="L219" s="275"/>
      <c r="M219" s="275"/>
      <c r="N219" s="275"/>
      <c r="O219" s="275"/>
      <c r="P219" s="275"/>
      <c r="Q219" s="275"/>
      <c r="R219" s="275"/>
      <c r="S219" s="275"/>
      <c r="T219" s="275"/>
      <c r="U219" s="275"/>
      <c r="V219" s="275"/>
      <c r="W219" s="297"/>
      <c r="X219" s="2024"/>
      <c r="Y219" s="2024"/>
      <c r="Z219" s="2024"/>
      <c r="AA219" s="2024"/>
      <c r="AB219" s="2024"/>
      <c r="AC219" s="297"/>
      <c r="AD219" s="297"/>
      <c r="AE219" s="297"/>
      <c r="AF219" s="297"/>
      <c r="AG219" s="297"/>
      <c r="AH219" s="297"/>
      <c r="AI219" s="297"/>
      <c r="AJ219" s="297"/>
      <c r="AK219" s="297"/>
      <c r="AL219" s="297"/>
      <c r="AM219" s="85"/>
    </row>
    <row r="220" spans="2:39" x14ac:dyDescent="0.3">
      <c r="B220" s="126"/>
      <c r="C220" s="501"/>
      <c r="D220" s="2108" t="s">
        <v>62</v>
      </c>
      <c r="E220" s="2055"/>
      <c r="F220" s="2055"/>
      <c r="G220" s="2055"/>
      <c r="H220" s="2055"/>
      <c r="I220" s="227"/>
      <c r="J220" s="227"/>
      <c r="K220" s="304"/>
      <c r="L220" s="305"/>
      <c r="M220" s="306"/>
      <c r="N220" s="305"/>
      <c r="O220" s="305"/>
      <c r="P220" s="305"/>
      <c r="Q220" s="305"/>
      <c r="R220" s="306"/>
      <c r="S220" s="305"/>
      <c r="T220" s="305"/>
      <c r="U220" s="305"/>
      <c r="V220" s="305"/>
      <c r="W220" s="335"/>
      <c r="X220" s="335"/>
      <c r="Y220" s="336"/>
      <c r="Z220" s="336"/>
      <c r="AA220" s="336"/>
      <c r="AB220" s="337"/>
      <c r="AC220" s="335"/>
      <c r="AD220" s="336"/>
      <c r="AE220" s="336"/>
      <c r="AF220" s="336"/>
      <c r="AG220" s="337"/>
      <c r="AH220" s="335"/>
      <c r="AI220" s="336"/>
      <c r="AJ220" s="336"/>
      <c r="AK220" s="336"/>
      <c r="AL220" s="337"/>
      <c r="AM220" s="85"/>
    </row>
    <row r="221" spans="2:39" x14ac:dyDescent="0.3">
      <c r="B221" s="126"/>
      <c r="C221" s="501"/>
      <c r="D221" s="2108" t="s">
        <v>19</v>
      </c>
      <c r="E221" s="2055"/>
      <c r="F221" s="2055"/>
      <c r="G221" s="2055"/>
      <c r="H221" s="2055"/>
      <c r="I221" s="227"/>
      <c r="J221" s="227"/>
      <c r="K221" s="309"/>
      <c r="L221" s="310"/>
      <c r="M221" s="311"/>
      <c r="N221" s="310"/>
      <c r="O221" s="310"/>
      <c r="P221" s="310"/>
      <c r="Q221" s="310"/>
      <c r="R221" s="311"/>
      <c r="S221" s="310"/>
      <c r="T221" s="310"/>
      <c r="U221" s="310"/>
      <c r="V221" s="310"/>
      <c r="W221" s="341"/>
      <c r="X221" s="341"/>
      <c r="Y221" s="342"/>
      <c r="Z221" s="342"/>
      <c r="AA221" s="342"/>
      <c r="AB221" s="343"/>
      <c r="AC221" s="341"/>
      <c r="AD221" s="342"/>
      <c r="AE221" s="342"/>
      <c r="AF221" s="342"/>
      <c r="AG221" s="343"/>
      <c r="AH221" s="341"/>
      <c r="AI221" s="342"/>
      <c r="AJ221" s="342"/>
      <c r="AK221" s="342"/>
      <c r="AL221" s="343"/>
      <c r="AM221" s="85"/>
    </row>
    <row r="222" spans="2:39" x14ac:dyDescent="0.3">
      <c r="B222" s="126"/>
      <c r="C222" s="617"/>
      <c r="D222" s="2110"/>
      <c r="E222" s="2110"/>
      <c r="F222" s="2110"/>
      <c r="G222" s="2110"/>
      <c r="H222" s="2110"/>
      <c r="I222" s="267"/>
      <c r="J222" s="267"/>
      <c r="K222" s="310"/>
      <c r="L222" s="310"/>
      <c r="M222" s="310"/>
      <c r="N222" s="310"/>
      <c r="O222" s="310"/>
      <c r="P222" s="310"/>
      <c r="Q222" s="310"/>
      <c r="R222" s="310"/>
      <c r="S222" s="310"/>
      <c r="T222" s="310"/>
      <c r="U222" s="310"/>
      <c r="V222" s="310"/>
      <c r="W222" s="618"/>
      <c r="X222" s="2143"/>
      <c r="Y222" s="2143"/>
      <c r="Z222" s="2143"/>
      <c r="AA222" s="2143"/>
      <c r="AB222" s="2143"/>
      <c r="AC222" s="618"/>
      <c r="AD222" s="618"/>
      <c r="AE222" s="618"/>
      <c r="AF222" s="618"/>
      <c r="AG222" s="618"/>
      <c r="AH222" s="618"/>
      <c r="AI222" s="618"/>
      <c r="AJ222" s="618"/>
      <c r="AK222" s="618"/>
      <c r="AL222" s="618"/>
      <c r="AM222" s="94"/>
    </row>
    <row r="223" spans="2:39" x14ac:dyDescent="0.3">
      <c r="B223" s="126"/>
      <c r="C223" s="102"/>
      <c r="D223" s="1304"/>
      <c r="E223" s="1304"/>
      <c r="F223" s="1304"/>
      <c r="G223" s="1304"/>
      <c r="H223" s="1304"/>
      <c r="I223" s="126"/>
      <c r="J223" s="126"/>
      <c r="K223" s="275"/>
      <c r="L223" s="275"/>
      <c r="M223" s="275"/>
      <c r="N223" s="275"/>
      <c r="O223" s="275"/>
      <c r="P223" s="275"/>
      <c r="Q223" s="275"/>
      <c r="R223" s="275"/>
      <c r="S223" s="275"/>
      <c r="T223" s="275"/>
      <c r="U223" s="275"/>
      <c r="V223" s="275"/>
      <c r="W223" s="297"/>
      <c r="X223" s="2024"/>
      <c r="Y223" s="2024"/>
      <c r="Z223" s="2024"/>
      <c r="AA223" s="2024"/>
      <c r="AB223" s="2024"/>
      <c r="AC223" s="297"/>
      <c r="AD223" s="297"/>
      <c r="AE223" s="297"/>
      <c r="AF223" s="297"/>
      <c r="AG223" s="297"/>
      <c r="AH223" s="297"/>
      <c r="AI223" s="297"/>
      <c r="AJ223" s="297"/>
      <c r="AK223" s="297"/>
      <c r="AL223" s="297"/>
    </row>
    <row r="224" spans="2:39" x14ac:dyDescent="0.3">
      <c r="B224" s="126"/>
      <c r="C224" s="612"/>
      <c r="D224" s="2400" t="s">
        <v>289</v>
      </c>
      <c r="E224" s="2401"/>
      <c r="F224" s="2401"/>
      <c r="G224" s="2401"/>
      <c r="H224" s="2402"/>
      <c r="I224" s="613"/>
      <c r="J224" s="613"/>
      <c r="K224" s="305"/>
      <c r="L224" s="305"/>
      <c r="M224" s="305"/>
      <c r="N224" s="305"/>
      <c r="O224" s="305"/>
      <c r="P224" s="305"/>
      <c r="Q224" s="305"/>
      <c r="R224" s="305"/>
      <c r="S224" s="305"/>
      <c r="T224" s="305"/>
      <c r="U224" s="305"/>
      <c r="V224" s="305"/>
      <c r="W224" s="614"/>
      <c r="X224" s="2144"/>
      <c r="Y224" s="2144"/>
      <c r="Z224" s="2144"/>
      <c r="AA224" s="2144"/>
      <c r="AB224" s="2144"/>
      <c r="AC224" s="614"/>
      <c r="AD224" s="614"/>
      <c r="AE224" s="614"/>
      <c r="AF224" s="614"/>
      <c r="AG224" s="614"/>
      <c r="AH224" s="614"/>
      <c r="AI224" s="614"/>
      <c r="AJ224" s="614"/>
      <c r="AK224" s="614"/>
      <c r="AL224" s="614"/>
      <c r="AM224" s="615"/>
    </row>
    <row r="225" spans="2:39" x14ac:dyDescent="0.3">
      <c r="B225" s="126"/>
      <c r="C225" s="501"/>
      <c r="D225" s="2107"/>
      <c r="E225" s="2107"/>
      <c r="F225" s="2107"/>
      <c r="G225" s="2107"/>
      <c r="H225" s="1304"/>
      <c r="I225" s="102"/>
      <c r="J225" s="102"/>
      <c r="K225" s="275"/>
      <c r="L225" s="275"/>
      <c r="M225" s="275"/>
      <c r="N225" s="275"/>
      <c r="O225" s="275"/>
      <c r="P225" s="275"/>
      <c r="Q225" s="275"/>
      <c r="R225" s="275"/>
      <c r="S225" s="275"/>
      <c r="T225" s="275"/>
      <c r="U225" s="275"/>
      <c r="V225" s="275"/>
      <c r="W225" s="297"/>
      <c r="X225" s="2024"/>
      <c r="Y225" s="2024"/>
      <c r="Z225" s="2024"/>
      <c r="AA225" s="2024"/>
      <c r="AB225" s="2024"/>
      <c r="AC225" s="297"/>
      <c r="AD225" s="297"/>
      <c r="AE225" s="297"/>
      <c r="AF225" s="297"/>
      <c r="AG225" s="297"/>
      <c r="AH225" s="297"/>
      <c r="AI225" s="297"/>
      <c r="AJ225" s="297"/>
      <c r="AK225" s="297"/>
      <c r="AL225" s="297"/>
      <c r="AM225" s="110"/>
    </row>
    <row r="226" spans="2:39" x14ac:dyDescent="0.3">
      <c r="B226" s="126"/>
      <c r="C226" s="501"/>
      <c r="D226" s="2107" t="s">
        <v>69</v>
      </c>
      <c r="E226" s="2107"/>
      <c r="F226" s="2107"/>
      <c r="G226" s="2107"/>
      <c r="H226" s="1304"/>
      <c r="I226" s="102"/>
      <c r="J226" s="102"/>
      <c r="K226" s="316"/>
      <c r="L226" s="317"/>
      <c r="M226" s="317"/>
      <c r="N226" s="316"/>
      <c r="O226" s="317"/>
      <c r="P226" s="317"/>
      <c r="Q226" s="317"/>
      <c r="R226" s="317"/>
      <c r="S226" s="316"/>
      <c r="T226" s="317"/>
      <c r="U226" s="317"/>
      <c r="V226" s="317"/>
      <c r="W226" s="344"/>
      <c r="X226" s="344"/>
      <c r="Y226" s="345"/>
      <c r="Z226" s="345"/>
      <c r="AA226" s="345"/>
      <c r="AB226" s="346"/>
      <c r="AC226" s="344"/>
      <c r="AD226" s="345"/>
      <c r="AE226" s="345"/>
      <c r="AF226" s="345"/>
      <c r="AG226" s="346"/>
      <c r="AH226" s="344"/>
      <c r="AI226" s="345"/>
      <c r="AJ226" s="345"/>
      <c r="AK226" s="345"/>
      <c r="AL226" s="346"/>
      <c r="AM226" s="110"/>
    </row>
    <row r="227" spans="2:39" x14ac:dyDescent="0.3">
      <c r="B227" s="126"/>
      <c r="C227" s="501"/>
      <c r="D227" s="2107"/>
      <c r="E227" s="2107"/>
      <c r="F227" s="2107"/>
      <c r="G227" s="2107"/>
      <c r="H227" s="1304"/>
      <c r="I227" s="102"/>
      <c r="J227" s="102"/>
      <c r="K227" s="275"/>
      <c r="L227" s="275"/>
      <c r="M227" s="275"/>
      <c r="N227" s="275"/>
      <c r="O227" s="275"/>
      <c r="P227" s="275"/>
      <c r="Q227" s="275"/>
      <c r="R227" s="275"/>
      <c r="S227" s="275"/>
      <c r="T227" s="275"/>
      <c r="U227" s="275"/>
      <c r="V227" s="275"/>
      <c r="W227" s="619"/>
      <c r="X227" s="619"/>
      <c r="Y227" s="619"/>
      <c r="Z227" s="619"/>
      <c r="AA227" s="619"/>
      <c r="AB227" s="619"/>
      <c r="AC227" s="619"/>
      <c r="AD227" s="619"/>
      <c r="AE227" s="619"/>
      <c r="AF227" s="619"/>
      <c r="AG227" s="619"/>
      <c r="AH227" s="619"/>
      <c r="AI227" s="619"/>
      <c r="AJ227" s="619"/>
      <c r="AK227" s="619"/>
      <c r="AL227" s="619"/>
      <c r="AM227" s="110"/>
    </row>
    <row r="228" spans="2:39" x14ac:dyDescent="0.3">
      <c r="B228" s="126"/>
      <c r="C228" s="501"/>
      <c r="D228" s="2107" t="s">
        <v>27</v>
      </c>
      <c r="E228" s="2107"/>
      <c r="F228" s="2107"/>
      <c r="G228" s="2107"/>
      <c r="H228" s="1304"/>
      <c r="I228" s="102"/>
      <c r="J228" s="102"/>
      <c r="K228" s="316"/>
      <c r="L228" s="317"/>
      <c r="M228" s="317"/>
      <c r="N228" s="316"/>
      <c r="O228" s="317"/>
      <c r="P228" s="317"/>
      <c r="Q228" s="317"/>
      <c r="R228" s="317"/>
      <c r="S228" s="316"/>
      <c r="T228" s="317"/>
      <c r="U228" s="317"/>
      <c r="V228" s="317"/>
      <c r="W228" s="344"/>
      <c r="X228" s="344"/>
      <c r="Y228" s="345"/>
      <c r="Z228" s="345"/>
      <c r="AA228" s="345"/>
      <c r="AB228" s="346"/>
      <c r="AC228" s="344"/>
      <c r="AD228" s="345"/>
      <c r="AE228" s="345"/>
      <c r="AF228" s="345"/>
      <c r="AG228" s="346"/>
      <c r="AH228" s="344"/>
      <c r="AI228" s="345"/>
      <c r="AJ228" s="345"/>
      <c r="AK228" s="345"/>
      <c r="AL228" s="346"/>
      <c r="AM228" s="85"/>
    </row>
    <row r="229" spans="2:39" x14ac:dyDescent="0.3">
      <c r="B229" s="126"/>
      <c r="C229" s="501"/>
      <c r="D229" s="2107"/>
      <c r="E229" s="2107"/>
      <c r="F229" s="2107"/>
      <c r="G229" s="2107"/>
      <c r="H229" s="1304"/>
      <c r="I229" s="102"/>
      <c r="J229" s="102"/>
      <c r="K229" s="275"/>
      <c r="L229" s="275"/>
      <c r="M229" s="275"/>
      <c r="N229" s="275"/>
      <c r="O229" s="275"/>
      <c r="P229" s="275"/>
      <c r="Q229" s="275"/>
      <c r="R229" s="275"/>
      <c r="S229" s="275"/>
      <c r="T229" s="275"/>
      <c r="U229" s="275"/>
      <c r="V229" s="275"/>
      <c r="W229" s="619"/>
      <c r="X229" s="619"/>
      <c r="Y229" s="619"/>
      <c r="Z229" s="619"/>
      <c r="AA229" s="619"/>
      <c r="AB229" s="619"/>
      <c r="AC229" s="619"/>
      <c r="AD229" s="619"/>
      <c r="AE229" s="619"/>
      <c r="AF229" s="619"/>
      <c r="AG229" s="619"/>
      <c r="AH229" s="619"/>
      <c r="AI229" s="619"/>
      <c r="AJ229" s="619"/>
      <c r="AK229" s="619"/>
      <c r="AL229" s="619"/>
      <c r="AM229" s="85"/>
    </row>
    <row r="230" spans="2:39" x14ac:dyDescent="0.3">
      <c r="B230" s="126"/>
      <c r="C230" s="501"/>
      <c r="D230" s="2108" t="s">
        <v>24</v>
      </c>
      <c r="E230" s="1304"/>
      <c r="F230" s="1304"/>
      <c r="G230" s="1304"/>
      <c r="H230" s="1304"/>
      <c r="I230" s="102"/>
      <c r="J230" s="102"/>
      <c r="K230" s="304"/>
      <c r="L230" s="305"/>
      <c r="M230" s="306"/>
      <c r="N230" s="305"/>
      <c r="O230" s="305"/>
      <c r="P230" s="305"/>
      <c r="Q230" s="305"/>
      <c r="R230" s="306"/>
      <c r="S230" s="305"/>
      <c r="T230" s="305"/>
      <c r="U230" s="305"/>
      <c r="V230" s="305"/>
      <c r="W230" s="335"/>
      <c r="X230" s="335"/>
      <c r="Y230" s="336"/>
      <c r="Z230" s="336"/>
      <c r="AA230" s="336"/>
      <c r="AB230" s="337"/>
      <c r="AC230" s="335"/>
      <c r="AD230" s="336"/>
      <c r="AE230" s="336"/>
      <c r="AF230" s="336"/>
      <c r="AG230" s="337"/>
      <c r="AH230" s="335"/>
      <c r="AI230" s="336"/>
      <c r="AJ230" s="336"/>
      <c r="AK230" s="336"/>
      <c r="AL230" s="337"/>
      <c r="AM230" s="85"/>
    </row>
    <row r="231" spans="2:39" x14ac:dyDescent="0.3">
      <c r="B231" s="126"/>
      <c r="C231" s="616"/>
      <c r="D231" s="2108" t="s">
        <v>20</v>
      </c>
      <c r="E231" s="1304"/>
      <c r="F231" s="1304"/>
      <c r="G231" s="1304"/>
      <c r="H231" s="1304"/>
      <c r="I231" s="102"/>
      <c r="J231" s="102"/>
      <c r="K231" s="307"/>
      <c r="L231" s="275"/>
      <c r="M231" s="308"/>
      <c r="N231" s="275"/>
      <c r="O231" s="275"/>
      <c r="P231" s="275"/>
      <c r="Q231" s="275"/>
      <c r="R231" s="308"/>
      <c r="S231" s="275"/>
      <c r="T231" s="275"/>
      <c r="U231" s="275"/>
      <c r="V231" s="275"/>
      <c r="W231" s="338"/>
      <c r="X231" s="338"/>
      <c r="Y231" s="339"/>
      <c r="Z231" s="339"/>
      <c r="AA231" s="339"/>
      <c r="AB231" s="340"/>
      <c r="AC231" s="338"/>
      <c r="AD231" s="339"/>
      <c r="AE231" s="339"/>
      <c r="AF231" s="339"/>
      <c r="AG231" s="340"/>
      <c r="AH231" s="338"/>
      <c r="AI231" s="339"/>
      <c r="AJ231" s="339"/>
      <c r="AK231" s="339"/>
      <c r="AL231" s="340"/>
      <c r="AM231" s="85"/>
    </row>
    <row r="232" spans="2:39" x14ac:dyDescent="0.3">
      <c r="B232" s="126"/>
      <c r="C232" s="501"/>
      <c r="D232" s="2108" t="s">
        <v>23</v>
      </c>
      <c r="E232" s="1304"/>
      <c r="F232" s="1304"/>
      <c r="G232" s="1304"/>
      <c r="H232" s="1304"/>
      <c r="I232" s="102"/>
      <c r="J232" s="102"/>
      <c r="K232" s="309"/>
      <c r="L232" s="310"/>
      <c r="M232" s="311"/>
      <c r="N232" s="310"/>
      <c r="O232" s="310"/>
      <c r="P232" s="310"/>
      <c r="Q232" s="310"/>
      <c r="R232" s="311"/>
      <c r="S232" s="310"/>
      <c r="T232" s="310"/>
      <c r="U232" s="310"/>
      <c r="V232" s="310"/>
      <c r="W232" s="341"/>
      <c r="X232" s="341"/>
      <c r="Y232" s="342"/>
      <c r="Z232" s="342"/>
      <c r="AA232" s="342"/>
      <c r="AB232" s="343"/>
      <c r="AC232" s="341"/>
      <c r="AD232" s="342"/>
      <c r="AE232" s="342"/>
      <c r="AF232" s="342"/>
      <c r="AG232" s="343"/>
      <c r="AH232" s="341"/>
      <c r="AI232" s="342"/>
      <c r="AJ232" s="342"/>
      <c r="AK232" s="342"/>
      <c r="AL232" s="343"/>
      <c r="AM232" s="85"/>
    </row>
    <row r="233" spans="2:39" x14ac:dyDescent="0.3">
      <c r="B233" s="126"/>
      <c r="C233" s="501"/>
      <c r="D233" s="2109" t="s">
        <v>25</v>
      </c>
      <c r="E233" s="2055"/>
      <c r="F233" s="2055"/>
      <c r="G233" s="2055"/>
      <c r="H233" s="2055"/>
      <c r="I233" s="227"/>
      <c r="J233" s="227"/>
      <c r="K233" s="275"/>
      <c r="L233" s="275"/>
      <c r="M233" s="275"/>
      <c r="N233" s="275"/>
      <c r="O233" s="275"/>
      <c r="P233" s="275"/>
      <c r="Q233" s="275"/>
      <c r="R233" s="275"/>
      <c r="S233" s="275"/>
      <c r="T233" s="275"/>
      <c r="U233" s="275"/>
      <c r="V233" s="275"/>
      <c r="W233" s="297">
        <f t="shared" ref="W233" si="33">+W230-W231-W232</f>
        <v>0</v>
      </c>
      <c r="X233" s="2024">
        <f t="shared" ref="X233:AG233" si="34">+X230-X231-X232</f>
        <v>0</v>
      </c>
      <c r="Y233" s="2024">
        <f t="shared" si="34"/>
        <v>0</v>
      </c>
      <c r="Z233" s="2024">
        <f t="shared" si="34"/>
        <v>0</v>
      </c>
      <c r="AA233" s="2024">
        <f t="shared" si="34"/>
        <v>0</v>
      </c>
      <c r="AB233" s="2024">
        <f t="shared" si="34"/>
        <v>0</v>
      </c>
      <c r="AC233" s="297">
        <f t="shared" si="34"/>
        <v>0</v>
      </c>
      <c r="AD233" s="297">
        <f t="shared" si="34"/>
        <v>0</v>
      </c>
      <c r="AE233" s="297">
        <f t="shared" si="34"/>
        <v>0</v>
      </c>
      <c r="AF233" s="297">
        <f t="shared" si="34"/>
        <v>0</v>
      </c>
      <c r="AG233" s="297">
        <f t="shared" si="34"/>
        <v>0</v>
      </c>
      <c r="AH233" s="297">
        <f>+AH230-AH231-AH232</f>
        <v>0</v>
      </c>
      <c r="AI233" s="297">
        <f>+AI230-AI231-AI232</f>
        <v>0</v>
      </c>
      <c r="AJ233" s="297">
        <f>+AJ230-AJ231-AJ232</f>
        <v>0</v>
      </c>
      <c r="AK233" s="297">
        <f>+AK230-AK231-AK232</f>
        <v>0</v>
      </c>
      <c r="AL233" s="297">
        <f>+AL230-AL231-AL232</f>
        <v>0</v>
      </c>
      <c r="AM233" s="85"/>
    </row>
    <row r="234" spans="2:39" x14ac:dyDescent="0.3">
      <c r="B234" s="126"/>
      <c r="C234" s="501"/>
      <c r="D234" s="2109"/>
      <c r="E234" s="2055"/>
      <c r="F234" s="2055"/>
      <c r="G234" s="2055"/>
      <c r="H234" s="2055"/>
      <c r="I234" s="227"/>
      <c r="J234" s="227"/>
      <c r="K234" s="275"/>
      <c r="L234" s="275"/>
      <c r="M234" s="275"/>
      <c r="N234" s="275"/>
      <c r="O234" s="275"/>
      <c r="P234" s="275"/>
      <c r="Q234" s="275"/>
      <c r="R234" s="275"/>
      <c r="S234" s="275"/>
      <c r="T234" s="275"/>
      <c r="U234" s="275"/>
      <c r="V234" s="275"/>
      <c r="W234" s="297"/>
      <c r="X234" s="2024"/>
      <c r="Y234" s="2024"/>
      <c r="Z234" s="2024"/>
      <c r="AA234" s="2024"/>
      <c r="AB234" s="2024"/>
      <c r="AC234" s="297"/>
      <c r="AD234" s="297"/>
      <c r="AE234" s="297"/>
      <c r="AF234" s="297"/>
      <c r="AG234" s="297"/>
      <c r="AH234" s="297"/>
      <c r="AI234" s="297"/>
      <c r="AJ234" s="297"/>
      <c r="AK234" s="297"/>
      <c r="AL234" s="297"/>
      <c r="AM234" s="85"/>
    </row>
    <row r="235" spans="2:39" x14ac:dyDescent="0.3">
      <c r="B235" s="126"/>
      <c r="C235" s="501"/>
      <c r="D235" s="2108" t="s">
        <v>62</v>
      </c>
      <c r="E235" s="2055"/>
      <c r="F235" s="2055"/>
      <c r="G235" s="2055"/>
      <c r="H235" s="2055"/>
      <c r="I235" s="227"/>
      <c r="J235" s="227"/>
      <c r="K235" s="305"/>
      <c r="L235" s="305"/>
      <c r="M235" s="306"/>
      <c r="N235" s="305"/>
      <c r="O235" s="305"/>
      <c r="P235" s="305"/>
      <c r="Q235" s="305"/>
      <c r="R235" s="306"/>
      <c r="S235" s="305"/>
      <c r="T235" s="305"/>
      <c r="U235" s="305"/>
      <c r="V235" s="305"/>
      <c r="W235" s="335"/>
      <c r="X235" s="335"/>
      <c r="Y235" s="336"/>
      <c r="Z235" s="336"/>
      <c r="AA235" s="336"/>
      <c r="AB235" s="337"/>
      <c r="AC235" s="335"/>
      <c r="AD235" s="336"/>
      <c r="AE235" s="336"/>
      <c r="AF235" s="336"/>
      <c r="AG235" s="337"/>
      <c r="AH235" s="335"/>
      <c r="AI235" s="336"/>
      <c r="AJ235" s="336"/>
      <c r="AK235" s="336"/>
      <c r="AL235" s="337"/>
      <c r="AM235" s="85"/>
    </row>
    <row r="236" spans="2:39" x14ac:dyDescent="0.3">
      <c r="B236" s="126"/>
      <c r="C236" s="501"/>
      <c r="D236" s="2108" t="s">
        <v>19</v>
      </c>
      <c r="E236" s="2055"/>
      <c r="F236" s="2055"/>
      <c r="G236" s="2055"/>
      <c r="H236" s="2055"/>
      <c r="I236" s="227"/>
      <c r="J236" s="227"/>
      <c r="K236" s="310"/>
      <c r="L236" s="310"/>
      <c r="M236" s="311"/>
      <c r="N236" s="310"/>
      <c r="O236" s="310"/>
      <c r="P236" s="310"/>
      <c r="Q236" s="310"/>
      <c r="R236" s="311"/>
      <c r="S236" s="310"/>
      <c r="T236" s="310"/>
      <c r="U236" s="310"/>
      <c r="V236" s="310"/>
      <c r="W236" s="341"/>
      <c r="X236" s="341"/>
      <c r="Y236" s="342"/>
      <c r="Z236" s="342"/>
      <c r="AA236" s="342"/>
      <c r="AB236" s="343"/>
      <c r="AC236" s="341"/>
      <c r="AD236" s="342"/>
      <c r="AE236" s="342"/>
      <c r="AF236" s="342"/>
      <c r="AG236" s="343"/>
      <c r="AH236" s="341"/>
      <c r="AI236" s="342"/>
      <c r="AJ236" s="342"/>
      <c r="AK236" s="342"/>
      <c r="AL236" s="343"/>
      <c r="AM236" s="85"/>
    </row>
    <row r="237" spans="2:39" x14ac:dyDescent="0.3">
      <c r="B237" s="126"/>
      <c r="C237" s="617"/>
      <c r="D237" s="2110"/>
      <c r="E237" s="2110"/>
      <c r="F237" s="2110"/>
      <c r="G237" s="2110"/>
      <c r="H237" s="2110"/>
      <c r="I237" s="267"/>
      <c r="J237" s="267"/>
      <c r="K237" s="310"/>
      <c r="L237" s="310"/>
      <c r="M237" s="310"/>
      <c r="N237" s="310"/>
      <c r="O237" s="310"/>
      <c r="P237" s="310"/>
      <c r="Q237" s="310"/>
      <c r="R237" s="310"/>
      <c r="S237" s="310"/>
      <c r="T237" s="310"/>
      <c r="U237" s="310"/>
      <c r="V237" s="310"/>
      <c r="W237" s="618"/>
      <c r="X237" s="2143"/>
      <c r="Y237" s="2143"/>
      <c r="Z237" s="2143"/>
      <c r="AA237" s="2143"/>
      <c r="AB237" s="2143"/>
      <c r="AC237" s="618"/>
      <c r="AD237" s="618"/>
      <c r="AE237" s="618"/>
      <c r="AF237" s="618"/>
      <c r="AG237" s="618"/>
      <c r="AH237" s="618"/>
      <c r="AI237" s="618"/>
      <c r="AJ237" s="618"/>
      <c r="AK237" s="618"/>
      <c r="AL237" s="618"/>
      <c r="AM237" s="94"/>
    </row>
    <row r="238" spans="2:39" x14ac:dyDescent="0.3">
      <c r="D238" s="1304"/>
      <c r="E238" s="1304"/>
      <c r="F238" s="1304"/>
      <c r="G238" s="1304"/>
      <c r="H238" s="1304"/>
      <c r="K238" s="423"/>
      <c r="L238" s="423"/>
      <c r="M238" s="423"/>
      <c r="N238" s="423"/>
      <c r="O238" s="423"/>
      <c r="P238" s="423"/>
      <c r="Q238" s="423"/>
      <c r="R238" s="423"/>
      <c r="S238" s="423"/>
      <c r="T238" s="423"/>
      <c r="U238" s="423"/>
      <c r="V238" s="423"/>
      <c r="W238" s="294"/>
      <c r="X238" s="2133"/>
      <c r="Y238" s="2133"/>
      <c r="Z238" s="2133"/>
      <c r="AA238" s="2133"/>
      <c r="AB238" s="2133"/>
      <c r="AC238" s="294"/>
      <c r="AD238" s="294"/>
      <c r="AE238" s="294"/>
      <c r="AF238" s="294"/>
      <c r="AG238" s="294"/>
      <c r="AH238" s="294"/>
      <c r="AI238" s="294"/>
      <c r="AJ238" s="294"/>
      <c r="AK238" s="294"/>
      <c r="AL238" s="294"/>
    </row>
    <row r="239" spans="2:39" x14ac:dyDescent="0.3">
      <c r="B239" s="126"/>
      <c r="C239" s="612"/>
      <c r="D239" s="2400" t="s">
        <v>290</v>
      </c>
      <c r="E239" s="2401"/>
      <c r="F239" s="2401"/>
      <c r="G239" s="2401"/>
      <c r="H239" s="2402"/>
      <c r="I239" s="613"/>
      <c r="J239" s="613"/>
      <c r="K239" s="305"/>
      <c r="L239" s="305"/>
      <c r="M239" s="305"/>
      <c r="N239" s="305"/>
      <c r="O239" s="305"/>
      <c r="P239" s="305"/>
      <c r="Q239" s="305"/>
      <c r="R239" s="305"/>
      <c r="S239" s="305"/>
      <c r="T239" s="305"/>
      <c r="U239" s="305"/>
      <c r="V239" s="305"/>
      <c r="W239" s="614"/>
      <c r="X239" s="2144"/>
      <c r="Y239" s="2144"/>
      <c r="Z239" s="2144"/>
      <c r="AA239" s="2144"/>
      <c r="AB239" s="2144"/>
      <c r="AC239" s="614"/>
      <c r="AD239" s="614"/>
      <c r="AE239" s="614"/>
      <c r="AF239" s="614"/>
      <c r="AG239" s="614"/>
      <c r="AH239" s="614"/>
      <c r="AI239" s="614"/>
      <c r="AJ239" s="614"/>
      <c r="AK239" s="614"/>
      <c r="AL239" s="614"/>
      <c r="AM239" s="615"/>
    </row>
    <row r="240" spans="2:39" x14ac:dyDescent="0.3">
      <c r="B240" s="126"/>
      <c r="C240" s="501"/>
      <c r="D240" s="2107"/>
      <c r="E240" s="2107"/>
      <c r="F240" s="2107"/>
      <c r="G240" s="2107"/>
      <c r="H240" s="1304"/>
      <c r="I240" s="102"/>
      <c r="J240" s="102"/>
      <c r="K240" s="275"/>
      <c r="L240" s="275"/>
      <c r="M240" s="275"/>
      <c r="N240" s="275"/>
      <c r="O240" s="275"/>
      <c r="P240" s="275"/>
      <c r="Q240" s="275"/>
      <c r="R240" s="275"/>
      <c r="S240" s="275"/>
      <c r="T240" s="275"/>
      <c r="U240" s="275"/>
      <c r="V240" s="275"/>
      <c r="W240" s="297"/>
      <c r="X240" s="2024"/>
      <c r="Y240" s="2024"/>
      <c r="Z240" s="2024"/>
      <c r="AA240" s="2024"/>
      <c r="AB240" s="2024"/>
      <c r="AC240" s="297"/>
      <c r="AD240" s="297"/>
      <c r="AE240" s="297"/>
      <c r="AF240" s="297"/>
      <c r="AG240" s="297"/>
      <c r="AH240" s="297"/>
      <c r="AI240" s="297"/>
      <c r="AJ240" s="297"/>
      <c r="AK240" s="297"/>
      <c r="AL240" s="297"/>
      <c r="AM240" s="110"/>
    </row>
    <row r="241" spans="2:39" x14ac:dyDescent="0.3">
      <c r="B241" s="126"/>
      <c r="C241" s="501"/>
      <c r="D241" s="2107" t="s">
        <v>69</v>
      </c>
      <c r="E241" s="2107"/>
      <c r="F241" s="2107"/>
      <c r="G241" s="2107"/>
      <c r="H241" s="1304"/>
      <c r="I241" s="102"/>
      <c r="J241" s="102"/>
      <c r="K241" s="316"/>
      <c r="L241" s="317"/>
      <c r="M241" s="317"/>
      <c r="N241" s="316"/>
      <c r="O241" s="317"/>
      <c r="P241" s="317"/>
      <c r="Q241" s="317"/>
      <c r="R241" s="317"/>
      <c r="S241" s="316"/>
      <c r="T241" s="317"/>
      <c r="U241" s="317"/>
      <c r="V241" s="317"/>
      <c r="W241" s="344"/>
      <c r="X241" s="344"/>
      <c r="Y241" s="345"/>
      <c r="Z241" s="345"/>
      <c r="AA241" s="345"/>
      <c r="AB241" s="346"/>
      <c r="AC241" s="344"/>
      <c r="AD241" s="345"/>
      <c r="AE241" s="345"/>
      <c r="AF241" s="345"/>
      <c r="AG241" s="346"/>
      <c r="AH241" s="344"/>
      <c r="AI241" s="345"/>
      <c r="AJ241" s="345"/>
      <c r="AK241" s="345"/>
      <c r="AL241" s="346"/>
      <c r="AM241" s="110"/>
    </row>
    <row r="242" spans="2:39" x14ac:dyDescent="0.3">
      <c r="B242" s="126"/>
      <c r="C242" s="501"/>
      <c r="D242" s="2107"/>
      <c r="E242" s="2107"/>
      <c r="F242" s="2107"/>
      <c r="G242" s="2107"/>
      <c r="H242" s="1304"/>
      <c r="I242" s="102"/>
      <c r="J242" s="102"/>
      <c r="K242" s="275"/>
      <c r="L242" s="275"/>
      <c r="M242" s="275"/>
      <c r="N242" s="275"/>
      <c r="O242" s="275"/>
      <c r="P242" s="275"/>
      <c r="Q242" s="275"/>
      <c r="R242" s="275"/>
      <c r="S242" s="275"/>
      <c r="T242" s="275"/>
      <c r="U242" s="275"/>
      <c r="V242" s="275"/>
      <c r="W242" s="619"/>
      <c r="X242" s="619"/>
      <c r="Y242" s="619"/>
      <c r="Z242" s="619"/>
      <c r="AA242" s="619"/>
      <c r="AB242" s="619"/>
      <c r="AC242" s="619"/>
      <c r="AD242" s="619"/>
      <c r="AE242" s="619"/>
      <c r="AF242" s="619"/>
      <c r="AG242" s="619"/>
      <c r="AH242" s="619"/>
      <c r="AI242" s="619"/>
      <c r="AJ242" s="619"/>
      <c r="AK242" s="619"/>
      <c r="AL242" s="619"/>
      <c r="AM242" s="110"/>
    </row>
    <row r="243" spans="2:39" x14ac:dyDescent="0.3">
      <c r="B243" s="126"/>
      <c r="C243" s="501"/>
      <c r="D243" s="2107" t="s">
        <v>27</v>
      </c>
      <c r="E243" s="2107"/>
      <c r="F243" s="2107"/>
      <c r="G243" s="2107"/>
      <c r="H243" s="1304"/>
      <c r="I243" s="102"/>
      <c r="J243" s="102"/>
      <c r="K243" s="316"/>
      <c r="L243" s="317"/>
      <c r="M243" s="317"/>
      <c r="N243" s="316"/>
      <c r="O243" s="317"/>
      <c r="P243" s="317"/>
      <c r="Q243" s="317"/>
      <c r="R243" s="317"/>
      <c r="S243" s="316"/>
      <c r="T243" s="317"/>
      <c r="U243" s="317"/>
      <c r="V243" s="317"/>
      <c r="W243" s="344"/>
      <c r="X243" s="344"/>
      <c r="Y243" s="345"/>
      <c r="Z243" s="345"/>
      <c r="AA243" s="345"/>
      <c r="AB243" s="346"/>
      <c r="AC243" s="344"/>
      <c r="AD243" s="345"/>
      <c r="AE243" s="345"/>
      <c r="AF243" s="345"/>
      <c r="AG243" s="346"/>
      <c r="AH243" s="344"/>
      <c r="AI243" s="345"/>
      <c r="AJ243" s="345"/>
      <c r="AK243" s="345"/>
      <c r="AL243" s="346"/>
      <c r="AM243" s="85"/>
    </row>
    <row r="244" spans="2:39" x14ac:dyDescent="0.3">
      <c r="B244" s="126"/>
      <c r="C244" s="501"/>
      <c r="D244" s="2107"/>
      <c r="E244" s="2107"/>
      <c r="F244" s="2107"/>
      <c r="G244" s="2107"/>
      <c r="H244" s="1304"/>
      <c r="I244" s="102"/>
      <c r="J244" s="102"/>
      <c r="K244" s="275"/>
      <c r="L244" s="275"/>
      <c r="M244" s="275"/>
      <c r="N244" s="275"/>
      <c r="O244" s="275"/>
      <c r="P244" s="275"/>
      <c r="Q244" s="275"/>
      <c r="R244" s="275"/>
      <c r="S244" s="275"/>
      <c r="T244" s="275"/>
      <c r="U244" s="275"/>
      <c r="V244" s="275"/>
      <c r="W244" s="619"/>
      <c r="X244" s="619"/>
      <c r="Y244" s="619"/>
      <c r="Z244" s="619"/>
      <c r="AA244" s="619"/>
      <c r="AB244" s="619"/>
      <c r="AC244" s="619"/>
      <c r="AD244" s="619"/>
      <c r="AE244" s="619"/>
      <c r="AF244" s="619"/>
      <c r="AG244" s="619"/>
      <c r="AH244" s="619"/>
      <c r="AI244" s="619"/>
      <c r="AJ244" s="619"/>
      <c r="AK244" s="619"/>
      <c r="AL244" s="619"/>
      <c r="AM244" s="85"/>
    </row>
    <row r="245" spans="2:39" x14ac:dyDescent="0.3">
      <c r="B245" s="126"/>
      <c r="C245" s="501"/>
      <c r="D245" s="2108" t="s">
        <v>24</v>
      </c>
      <c r="E245" s="1304"/>
      <c r="F245" s="1304"/>
      <c r="G245" s="1304"/>
      <c r="H245" s="1304"/>
      <c r="I245" s="102"/>
      <c r="J245" s="102"/>
      <c r="K245" s="304"/>
      <c r="L245" s="305"/>
      <c r="M245" s="306"/>
      <c r="N245" s="305"/>
      <c r="O245" s="305"/>
      <c r="P245" s="305"/>
      <c r="Q245" s="305"/>
      <c r="R245" s="306"/>
      <c r="S245" s="305"/>
      <c r="T245" s="305"/>
      <c r="U245" s="305"/>
      <c r="V245" s="305"/>
      <c r="W245" s="335"/>
      <c r="X245" s="335"/>
      <c r="Y245" s="336"/>
      <c r="Z245" s="336"/>
      <c r="AA245" s="336"/>
      <c r="AB245" s="337"/>
      <c r="AC245" s="335"/>
      <c r="AD245" s="336"/>
      <c r="AE245" s="336"/>
      <c r="AF245" s="336"/>
      <c r="AG245" s="337"/>
      <c r="AH245" s="335"/>
      <c r="AI245" s="336"/>
      <c r="AJ245" s="336"/>
      <c r="AK245" s="336"/>
      <c r="AL245" s="337"/>
      <c r="AM245" s="85"/>
    </row>
    <row r="246" spans="2:39" x14ac:dyDescent="0.3">
      <c r="B246" s="126"/>
      <c r="C246" s="616"/>
      <c r="D246" s="2108" t="s">
        <v>20</v>
      </c>
      <c r="E246" s="1304"/>
      <c r="F246" s="1304"/>
      <c r="G246" s="1304"/>
      <c r="H246" s="1304"/>
      <c r="I246" s="102"/>
      <c r="J246" s="102"/>
      <c r="K246" s="307"/>
      <c r="L246" s="275"/>
      <c r="M246" s="308"/>
      <c r="N246" s="275"/>
      <c r="O246" s="275"/>
      <c r="P246" s="275"/>
      <c r="Q246" s="275"/>
      <c r="R246" s="308"/>
      <c r="S246" s="275"/>
      <c r="T246" s="275"/>
      <c r="U246" s="275"/>
      <c r="V246" s="275"/>
      <c r="W246" s="338"/>
      <c r="X246" s="338"/>
      <c r="Y246" s="339"/>
      <c r="Z246" s="339"/>
      <c r="AA246" s="339"/>
      <c r="AB246" s="340"/>
      <c r="AC246" s="338"/>
      <c r="AD246" s="339"/>
      <c r="AE246" s="339"/>
      <c r="AF246" s="339"/>
      <c r="AG246" s="340"/>
      <c r="AH246" s="338"/>
      <c r="AI246" s="339"/>
      <c r="AJ246" s="339"/>
      <c r="AK246" s="339"/>
      <c r="AL246" s="340"/>
      <c r="AM246" s="85"/>
    </row>
    <row r="247" spans="2:39" x14ac:dyDescent="0.3">
      <c r="B247" s="126"/>
      <c r="C247" s="501"/>
      <c r="D247" s="2108" t="s">
        <v>23</v>
      </c>
      <c r="E247" s="1304"/>
      <c r="F247" s="1304"/>
      <c r="G247" s="1304"/>
      <c r="H247" s="1304"/>
      <c r="I247" s="102"/>
      <c r="J247" s="102"/>
      <c r="K247" s="309"/>
      <c r="L247" s="310"/>
      <c r="M247" s="311"/>
      <c r="N247" s="310"/>
      <c r="O247" s="310"/>
      <c r="P247" s="310"/>
      <c r="Q247" s="310"/>
      <c r="R247" s="311"/>
      <c r="S247" s="310"/>
      <c r="T247" s="310"/>
      <c r="U247" s="310"/>
      <c r="V247" s="310"/>
      <c r="W247" s="341"/>
      <c r="X247" s="341"/>
      <c r="Y247" s="342"/>
      <c r="Z247" s="342"/>
      <c r="AA247" s="342"/>
      <c r="AB247" s="343"/>
      <c r="AC247" s="341"/>
      <c r="AD247" s="342"/>
      <c r="AE247" s="342"/>
      <c r="AF247" s="342"/>
      <c r="AG247" s="343"/>
      <c r="AH247" s="341"/>
      <c r="AI247" s="342"/>
      <c r="AJ247" s="342"/>
      <c r="AK247" s="342"/>
      <c r="AL247" s="343"/>
      <c r="AM247" s="85"/>
    </row>
    <row r="248" spans="2:39" x14ac:dyDescent="0.3">
      <c r="B248" s="126"/>
      <c r="C248" s="501"/>
      <c r="D248" s="2109" t="s">
        <v>25</v>
      </c>
      <c r="E248" s="2055"/>
      <c r="F248" s="2055"/>
      <c r="G248" s="2055"/>
      <c r="H248" s="2055"/>
      <c r="I248" s="227"/>
      <c r="J248" s="227"/>
      <c r="K248" s="275"/>
      <c r="L248" s="275"/>
      <c r="M248" s="275"/>
      <c r="N248" s="275"/>
      <c r="O248" s="275"/>
      <c r="P248" s="275"/>
      <c r="Q248" s="275"/>
      <c r="R248" s="275"/>
      <c r="S248" s="275"/>
      <c r="T248" s="275"/>
      <c r="U248" s="275"/>
      <c r="V248" s="275"/>
      <c r="W248" s="297">
        <f t="shared" ref="W248" si="35">+W245-W246-W247</f>
        <v>0</v>
      </c>
      <c r="X248" s="2024">
        <f t="shared" ref="X248:AG248" si="36">+X245-X246-X247</f>
        <v>0</v>
      </c>
      <c r="Y248" s="2024">
        <f t="shared" si="36"/>
        <v>0</v>
      </c>
      <c r="Z248" s="2024">
        <f t="shared" si="36"/>
        <v>0</v>
      </c>
      <c r="AA248" s="2024">
        <f t="shared" si="36"/>
        <v>0</v>
      </c>
      <c r="AB248" s="2024">
        <f t="shared" si="36"/>
        <v>0</v>
      </c>
      <c r="AC248" s="297">
        <f t="shared" si="36"/>
        <v>0</v>
      </c>
      <c r="AD248" s="297">
        <f t="shared" si="36"/>
        <v>0</v>
      </c>
      <c r="AE248" s="297">
        <f t="shared" si="36"/>
        <v>0</v>
      </c>
      <c r="AF248" s="297">
        <f t="shared" si="36"/>
        <v>0</v>
      </c>
      <c r="AG248" s="297">
        <f t="shared" si="36"/>
        <v>0</v>
      </c>
      <c r="AH248" s="297">
        <f>+AH245-AH246-AH247</f>
        <v>0</v>
      </c>
      <c r="AI248" s="297">
        <f>+AI245-AI246-AI247</f>
        <v>0</v>
      </c>
      <c r="AJ248" s="297">
        <f>+AJ245-AJ246-AJ247</f>
        <v>0</v>
      </c>
      <c r="AK248" s="297">
        <f>+AK245-AK246-AK247</f>
        <v>0</v>
      </c>
      <c r="AL248" s="297">
        <f>+AL245-AL246-AL247</f>
        <v>0</v>
      </c>
      <c r="AM248" s="85"/>
    </row>
    <row r="249" spans="2:39" x14ac:dyDescent="0.3">
      <c r="B249" s="126"/>
      <c r="C249" s="501"/>
      <c r="D249" s="2109"/>
      <c r="E249" s="2055"/>
      <c r="F249" s="2055"/>
      <c r="G249" s="2055"/>
      <c r="H249" s="2055"/>
      <c r="I249" s="227"/>
      <c r="J249" s="227"/>
      <c r="K249" s="275"/>
      <c r="L249" s="275"/>
      <c r="M249" s="275"/>
      <c r="N249" s="275"/>
      <c r="O249" s="275"/>
      <c r="P249" s="275"/>
      <c r="Q249" s="275"/>
      <c r="R249" s="275"/>
      <c r="S249" s="275"/>
      <c r="T249" s="275"/>
      <c r="U249" s="275"/>
      <c r="V249" s="275"/>
      <c r="W249" s="297"/>
      <c r="X249" s="2024"/>
      <c r="Y249" s="2024"/>
      <c r="Z249" s="2024"/>
      <c r="AA249" s="2024"/>
      <c r="AB249" s="2024"/>
      <c r="AC249" s="297"/>
      <c r="AD249" s="297"/>
      <c r="AE249" s="297"/>
      <c r="AF249" s="297"/>
      <c r="AG249" s="297"/>
      <c r="AH249" s="297"/>
      <c r="AI249" s="297"/>
      <c r="AJ249" s="297"/>
      <c r="AK249" s="297"/>
      <c r="AL249" s="297"/>
      <c r="AM249" s="85"/>
    </row>
    <row r="250" spans="2:39" x14ac:dyDescent="0.3">
      <c r="B250" s="126"/>
      <c r="C250" s="501"/>
      <c r="D250" s="2108" t="s">
        <v>62</v>
      </c>
      <c r="E250" s="2055"/>
      <c r="F250" s="2055"/>
      <c r="G250" s="2055"/>
      <c r="H250" s="2055"/>
      <c r="I250" s="227"/>
      <c r="J250" s="227"/>
      <c r="K250" s="305"/>
      <c r="L250" s="305"/>
      <c r="M250" s="306"/>
      <c r="N250" s="305"/>
      <c r="O250" s="305"/>
      <c r="P250" s="305"/>
      <c r="Q250" s="305"/>
      <c r="R250" s="306"/>
      <c r="S250" s="305"/>
      <c r="T250" s="305"/>
      <c r="U250" s="305"/>
      <c r="V250" s="305"/>
      <c r="W250" s="335"/>
      <c r="X250" s="335"/>
      <c r="Y250" s="336"/>
      <c r="Z250" s="336"/>
      <c r="AA250" s="336"/>
      <c r="AB250" s="337"/>
      <c r="AC250" s="335"/>
      <c r="AD250" s="336"/>
      <c r="AE250" s="336"/>
      <c r="AF250" s="336"/>
      <c r="AG250" s="337"/>
      <c r="AH250" s="335"/>
      <c r="AI250" s="336"/>
      <c r="AJ250" s="336"/>
      <c r="AK250" s="336"/>
      <c r="AL250" s="337"/>
      <c r="AM250" s="85"/>
    </row>
    <row r="251" spans="2:39" x14ac:dyDescent="0.3">
      <c r="B251" s="126"/>
      <c r="C251" s="501"/>
      <c r="D251" s="2108" t="s">
        <v>19</v>
      </c>
      <c r="E251" s="2055"/>
      <c r="F251" s="2055"/>
      <c r="G251" s="2055"/>
      <c r="H251" s="2055"/>
      <c r="I251" s="227"/>
      <c r="J251" s="227"/>
      <c r="K251" s="310"/>
      <c r="L251" s="310"/>
      <c r="M251" s="311"/>
      <c r="N251" s="310"/>
      <c r="O251" s="310"/>
      <c r="P251" s="310"/>
      <c r="Q251" s="310"/>
      <c r="R251" s="311"/>
      <c r="S251" s="310"/>
      <c r="T251" s="310"/>
      <c r="U251" s="310"/>
      <c r="V251" s="310"/>
      <c r="W251" s="341"/>
      <c r="X251" s="341"/>
      <c r="Y251" s="342"/>
      <c r="Z251" s="342"/>
      <c r="AA251" s="342"/>
      <c r="AB251" s="343"/>
      <c r="AC251" s="341"/>
      <c r="AD251" s="342"/>
      <c r="AE251" s="342"/>
      <c r="AF251" s="342"/>
      <c r="AG251" s="343"/>
      <c r="AH251" s="341"/>
      <c r="AI251" s="342"/>
      <c r="AJ251" s="342"/>
      <c r="AK251" s="342"/>
      <c r="AL251" s="343"/>
      <c r="AM251" s="85"/>
    </row>
    <row r="252" spans="2:39" x14ac:dyDescent="0.3">
      <c r="B252" s="126"/>
      <c r="C252" s="617"/>
      <c r="D252" s="2110"/>
      <c r="E252" s="2110"/>
      <c r="F252" s="2110"/>
      <c r="G252" s="2110"/>
      <c r="H252" s="2110"/>
      <c r="I252" s="267"/>
      <c r="J252" s="267"/>
      <c r="K252" s="310"/>
      <c r="L252" s="310"/>
      <c r="M252" s="310"/>
      <c r="N252" s="310"/>
      <c r="O252" s="310"/>
      <c r="P252" s="310"/>
      <c r="Q252" s="310"/>
      <c r="R252" s="310"/>
      <c r="S252" s="618"/>
      <c r="T252" s="618"/>
      <c r="U252" s="618"/>
      <c r="V252" s="618"/>
      <c r="W252" s="618"/>
      <c r="X252" s="618"/>
      <c r="Y252" s="618"/>
      <c r="Z252" s="618"/>
      <c r="AA252" s="618"/>
      <c r="AB252" s="618"/>
      <c r="AC252" s="618"/>
      <c r="AD252" s="618"/>
      <c r="AE252" s="618"/>
      <c r="AF252" s="618"/>
      <c r="AG252" s="618"/>
      <c r="AH252" s="618"/>
      <c r="AI252" s="618"/>
      <c r="AJ252" s="618"/>
      <c r="AK252" s="618"/>
      <c r="AL252" s="618"/>
      <c r="AM252" s="94"/>
    </row>
    <row r="253" spans="2:39" x14ac:dyDescent="0.3">
      <c r="D253" s="1304"/>
      <c r="E253" s="1304"/>
      <c r="F253" s="1304"/>
      <c r="G253" s="1304"/>
      <c r="H253" s="1304"/>
      <c r="K253" s="423"/>
      <c r="L253" s="423"/>
      <c r="M253" s="423"/>
      <c r="N253" s="423"/>
      <c r="O253" s="423"/>
      <c r="P253" s="423"/>
      <c r="Q253" s="423"/>
      <c r="R253" s="423"/>
      <c r="S253" s="294"/>
      <c r="T253" s="294"/>
      <c r="U253" s="294"/>
      <c r="V253" s="294"/>
      <c r="W253" s="294"/>
      <c r="X253" s="294"/>
      <c r="Y253" s="294"/>
      <c r="Z253" s="294"/>
      <c r="AA253" s="294"/>
      <c r="AB253" s="294"/>
      <c r="AC253" s="294"/>
      <c r="AD253" s="294"/>
      <c r="AE253" s="294"/>
      <c r="AF253" s="294"/>
      <c r="AG253" s="294"/>
      <c r="AH253" s="294"/>
      <c r="AI253" s="294"/>
      <c r="AJ253" s="294"/>
      <c r="AK253" s="294"/>
      <c r="AL253" s="294"/>
    </row>
    <row r="254" spans="2:39" x14ac:dyDescent="0.3">
      <c r="D254" s="1304"/>
      <c r="E254" s="1304"/>
      <c r="F254" s="1304"/>
      <c r="G254" s="1304"/>
      <c r="H254" s="1304"/>
      <c r="K254" s="320"/>
      <c r="L254" s="320"/>
      <c r="M254" s="320"/>
      <c r="N254" s="320"/>
      <c r="O254" s="320"/>
      <c r="P254" s="320"/>
      <c r="Q254" s="320"/>
      <c r="R254" s="320"/>
      <c r="S254" s="321"/>
      <c r="T254" s="321"/>
      <c r="U254" s="321"/>
      <c r="V254" s="321"/>
      <c r="W254" s="321"/>
      <c r="X254" s="321"/>
      <c r="Y254" s="321"/>
      <c r="Z254" s="321"/>
      <c r="AA254" s="321"/>
      <c r="AB254" s="321"/>
    </row>
  </sheetData>
  <sheetProtection algorithmName="SHA-512" hashValue="jrQ3/Brk88IepP/jyavA57O+hG4unpQFu3YdvOgGjSaUIvh5MC/TfdTYG8YiPtVTWynetbHKtJ+CZCtS0PYbwA==" saltValue="rfHWCei3oMHcNmzWhxkDjw==" spinCount="100000" sheet="1" objects="1" scenarios="1"/>
  <mergeCells count="16">
    <mergeCell ref="B3:F3"/>
    <mergeCell ref="D149:H149"/>
    <mergeCell ref="D164:H164"/>
    <mergeCell ref="D194:H194"/>
    <mergeCell ref="D74:H74"/>
    <mergeCell ref="D89:H89"/>
    <mergeCell ref="D119:H119"/>
    <mergeCell ref="D104:H104"/>
    <mergeCell ref="D29:H29"/>
    <mergeCell ref="D44:H44"/>
    <mergeCell ref="D59:H59"/>
    <mergeCell ref="D209:H209"/>
    <mergeCell ref="D224:H224"/>
    <mergeCell ref="D239:H239"/>
    <mergeCell ref="D179:H179"/>
    <mergeCell ref="D134:H134"/>
  </mergeCells>
  <phoneticPr fontId="0" type="noConversion"/>
  <conditionalFormatting sqref="R24:AG24">
    <cfRule type="containsText" dxfId="3" priority="2" operator="containsText" text="FLAG">
      <formula>NOT(ISERROR(SEARCH("FLAG",R24)))</formula>
    </cfRule>
  </conditionalFormatting>
  <conditionalFormatting sqref="AH24:AL24">
    <cfRule type="containsText" dxfId="2" priority="1" operator="containsText" text="FLAG">
      <formula>NOT(ISERROR(SEARCH("FLAG",AH24)))</formula>
    </cfRule>
  </conditionalFormatting>
  <hyperlinks>
    <hyperlink ref="B3" location="HL_Home" tooltip="Go to Table of Contents" display="HL_Home" xr:uid="{00000000-0004-0000-0800-000000000000}"/>
  </hyperlinks>
  <pageMargins left="0.39370078740157499" right="0.39370078740157499" top="0.59055118110236249" bottom="0.98425196850393748" header="0" footer="0.31496062992125973"/>
  <pageSetup paperSize="9" scale="73" orientation="landscape" r:id="rId1"/>
  <headerFooter alignWithMargins="0">
    <oddHeader>&amp;C&amp;B&amp;"Arial"&amp;12&amp;Kff0000​‌OFFICIAL‌​</oddHeader>
    <oddFooter>&amp;C&amp;"Arial,Bold"&amp;8Sheet n.
Page &amp;P of &amp;N&amp;L&amp;"Arial,Bold"&amp;7&amp;F
&amp;A
Printed: &amp;T on &amp;D</oddFooter>
  </headerFooter>
  <rowBreaks count="7" manualBreakCount="7">
    <brk id="57" min="1" max="23" man="1"/>
    <brk id="87" min="1" max="23" man="1"/>
    <brk id="117" min="1" max="23" man="1"/>
    <brk id="147" min="1" max="23" man="1"/>
    <brk id="177" min="1" max="23" man="1"/>
    <brk id="207" min="1" max="23" man="1"/>
    <brk id="237" min="1" max="2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9">
    <tabColor theme="0" tint="-4.9989318521683403E-2"/>
    <pageSetUpPr autoPageBreaks="0"/>
  </sheetPr>
  <dimension ref="A1:BD148"/>
  <sheetViews>
    <sheetView showGridLines="0" zoomScaleNormal="100" workbookViewId="0">
      <pane ySplit="7" topLeftCell="A8" activePane="bottomLeft" state="frozen"/>
      <selection pane="bottomLeft" activeCell="W42" sqref="W42"/>
    </sheetView>
  </sheetViews>
  <sheetFormatPr defaultColWidth="10.77734375" defaultRowHeight="12" outlineLevelCol="1" x14ac:dyDescent="0.3"/>
  <cols>
    <col min="1" max="4" width="3.77734375" style="73" customWidth="1"/>
    <col min="5" max="5" width="4.6640625" style="73" customWidth="1"/>
    <col min="6" max="6" width="15.109375" style="73" customWidth="1"/>
    <col min="7" max="7" width="12.33203125" style="73" customWidth="1"/>
    <col min="8" max="8" width="12.6640625" style="321" bestFit="1" customWidth="1"/>
    <col min="9" max="10" width="11.109375" style="73" customWidth="1"/>
    <col min="11" max="22" width="10.77734375" style="73" hidden="1" customWidth="1" outlineLevel="1"/>
    <col min="23" max="23" width="10.77734375" style="73" customWidth="1" collapsed="1"/>
    <col min="24" max="28" width="10.77734375" style="73" customWidth="1"/>
    <col min="29" max="30" width="10.33203125" style="73" customWidth="1"/>
    <col min="31" max="33" width="10.77734375" style="73" customWidth="1"/>
    <col min="34" max="35" width="10.33203125" style="73" customWidth="1"/>
    <col min="36" max="38" width="10.77734375" style="73" customWidth="1"/>
    <col min="39" max="39" width="4.44140625" style="73" customWidth="1"/>
    <col min="40" max="16384" width="10.77734375" style="73"/>
  </cols>
  <sheetData>
    <row r="1" spans="1:56" ht="14.5" x14ac:dyDescent="0.3">
      <c r="A1" s="1358">
        <v>80</v>
      </c>
      <c r="B1" s="158" t="s">
        <v>124</v>
      </c>
      <c r="M1" s="265"/>
      <c r="N1" s="265"/>
      <c r="O1" s="265"/>
      <c r="P1" s="315"/>
      <c r="Q1" s="275"/>
      <c r="S1" s="620"/>
      <c r="W1" s="265"/>
      <c r="X1" s="265"/>
    </row>
    <row r="2" spans="1:56" ht="13" x14ac:dyDescent="0.3">
      <c r="B2" s="1359" t="str">
        <f>+Contents!H7</f>
        <v>Central Highlands Water</v>
      </c>
      <c r="M2" s="265"/>
      <c r="N2" s="265"/>
      <c r="O2" s="265"/>
      <c r="P2" s="301"/>
      <c r="Q2" s="423"/>
      <c r="S2" s="620"/>
    </row>
    <row r="3" spans="1:56" x14ac:dyDescent="0.3">
      <c r="B3" s="2357" t="s">
        <v>0</v>
      </c>
      <c r="C3" s="2357"/>
      <c r="D3" s="2357"/>
      <c r="E3" s="2357"/>
      <c r="F3" s="2357"/>
      <c r="G3" s="164"/>
      <c r="Q3" s="77"/>
    </row>
    <row r="4" spans="1:56" x14ac:dyDescent="0.3">
      <c r="A4" s="165"/>
      <c r="B4" s="75"/>
      <c r="C4" s="76"/>
      <c r="F4" s="63"/>
      <c r="K4" s="66"/>
      <c r="L4" s="1186" t="s">
        <v>60</v>
      </c>
      <c r="M4" s="65"/>
      <c r="N4" s="66"/>
      <c r="O4" s="67"/>
      <c r="P4" s="1186" t="s">
        <v>61</v>
      </c>
      <c r="Q4" s="67"/>
      <c r="R4" s="65"/>
      <c r="S4" s="1202"/>
      <c r="T4" s="1203"/>
      <c r="U4" s="1572" t="s">
        <v>274</v>
      </c>
      <c r="V4" s="1203"/>
      <c r="W4" s="1204"/>
      <c r="X4" s="1944"/>
      <c r="Y4" s="1575"/>
      <c r="Z4" s="1575" t="s">
        <v>1072</v>
      </c>
      <c r="AA4" s="1575"/>
      <c r="AB4" s="1574"/>
      <c r="AC4" s="1573"/>
      <c r="AD4" s="1575"/>
      <c r="AE4" s="1575" t="s">
        <v>457</v>
      </c>
      <c r="AF4" s="1575"/>
      <c r="AG4" s="1574"/>
      <c r="AH4" s="1573"/>
      <c r="AI4" s="1575"/>
      <c r="AJ4" s="1575" t="s">
        <v>903</v>
      </c>
      <c r="AK4" s="1575"/>
      <c r="AL4" s="1574"/>
    </row>
    <row r="6" spans="1:56" x14ac:dyDescent="0.3">
      <c r="B6" s="166"/>
      <c r="F6" s="167" t="s">
        <v>63</v>
      </c>
      <c r="K6" s="1360">
        <v>2006</v>
      </c>
      <c r="L6" s="1360">
        <v>2007</v>
      </c>
      <c r="M6" s="1360">
        <v>2008</v>
      </c>
      <c r="N6" s="1360">
        <v>2009</v>
      </c>
      <c r="O6" s="1360">
        <v>2010</v>
      </c>
      <c r="P6" s="1360">
        <v>2011</v>
      </c>
      <c r="Q6" s="1360">
        <v>2012</v>
      </c>
      <c r="R6" s="1360">
        <v>2013</v>
      </c>
      <c r="S6" s="1360">
        <v>2014</v>
      </c>
      <c r="T6" s="1360">
        <v>2015</v>
      </c>
      <c r="U6" s="1360">
        <v>2016</v>
      </c>
      <c r="V6" s="1360">
        <v>2017</v>
      </c>
      <c r="W6" s="1360">
        <v>2018</v>
      </c>
      <c r="X6" s="1360">
        <v>2019</v>
      </c>
      <c r="Y6" s="1360">
        <v>2020</v>
      </c>
      <c r="Z6" s="1360">
        <v>2021</v>
      </c>
      <c r="AA6" s="1360">
        <v>2022</v>
      </c>
      <c r="AB6" s="1360">
        <v>2023</v>
      </c>
      <c r="AC6" s="1420">
        <v>2024</v>
      </c>
      <c r="AD6" s="1420">
        <v>2025</v>
      </c>
      <c r="AE6" s="1420">
        <v>2026</v>
      </c>
      <c r="AF6" s="1420">
        <v>2027</v>
      </c>
      <c r="AG6" s="1420">
        <v>2028</v>
      </c>
      <c r="AH6" s="1420">
        <v>2029</v>
      </c>
      <c r="AI6" s="1420">
        <v>2030</v>
      </c>
      <c r="AJ6" s="1420">
        <v>2031</v>
      </c>
      <c r="AK6" s="1420">
        <v>2032</v>
      </c>
      <c r="AL6" s="1420">
        <v>2033</v>
      </c>
    </row>
    <row r="7" spans="1:56" x14ac:dyDescent="0.3">
      <c r="B7" s="168"/>
      <c r="C7" s="78"/>
      <c r="D7" s="78"/>
      <c r="E7" s="78"/>
      <c r="F7" s="169" t="s">
        <v>64</v>
      </c>
      <c r="G7" s="78"/>
      <c r="H7" s="440"/>
      <c r="I7" s="621"/>
      <c r="J7" s="621"/>
      <c r="K7" s="1319" t="str">
        <f t="shared" ref="K7:W7" si="0">+CONCATENATE(K6-1,"-",RIGHT(K6,2))</f>
        <v>2005-06</v>
      </c>
      <c r="L7" s="1319" t="str">
        <f t="shared" si="0"/>
        <v>2006-07</v>
      </c>
      <c r="M7" s="1319" t="str">
        <f t="shared" si="0"/>
        <v>2007-08</v>
      </c>
      <c r="N7" s="1319" t="str">
        <f t="shared" si="0"/>
        <v>2008-09</v>
      </c>
      <c r="O7" s="1319" t="str">
        <f t="shared" si="0"/>
        <v>2009-10</v>
      </c>
      <c r="P7" s="1319" t="str">
        <f t="shared" si="0"/>
        <v>2010-11</v>
      </c>
      <c r="Q7" s="1319" t="str">
        <f t="shared" si="0"/>
        <v>2011-12</v>
      </c>
      <c r="R7" s="1319" t="str">
        <f t="shared" si="0"/>
        <v>2012-13</v>
      </c>
      <c r="S7" s="1319" t="str">
        <f t="shared" si="0"/>
        <v>2013-14</v>
      </c>
      <c r="T7" s="1319" t="str">
        <f t="shared" si="0"/>
        <v>2014-15</v>
      </c>
      <c r="U7" s="1319" t="str">
        <f t="shared" si="0"/>
        <v>2015-16</v>
      </c>
      <c r="V7" s="1319" t="str">
        <f t="shared" si="0"/>
        <v>2016-17</v>
      </c>
      <c r="W7" s="1319" t="str">
        <f t="shared" si="0"/>
        <v>2017-18</v>
      </c>
      <c r="X7" s="1319" t="str">
        <f t="shared" ref="X7:AF7" si="1">+CONCATENATE(X6-1,"-",RIGHT(X6,2))</f>
        <v>2018-19</v>
      </c>
      <c r="Y7" s="1319" t="str">
        <f t="shared" si="1"/>
        <v>2019-20</v>
      </c>
      <c r="Z7" s="1319" t="str">
        <f t="shared" si="1"/>
        <v>2020-21</v>
      </c>
      <c r="AA7" s="1319" t="str">
        <f t="shared" si="1"/>
        <v>2021-22</v>
      </c>
      <c r="AB7" s="1319" t="str">
        <f t="shared" si="1"/>
        <v>2022-23</v>
      </c>
      <c r="AC7" s="1319" t="str">
        <f t="shared" si="1"/>
        <v>2023-24</v>
      </c>
      <c r="AD7" s="1319" t="str">
        <f t="shared" si="1"/>
        <v>2024-25</v>
      </c>
      <c r="AE7" s="1319" t="str">
        <f t="shared" si="1"/>
        <v>2025-26</v>
      </c>
      <c r="AF7" s="1319" t="str">
        <f t="shared" si="1"/>
        <v>2026-27</v>
      </c>
      <c r="AG7" s="1319" t="str">
        <f t="shared" ref="AG7:AL7" si="2">+CONCATENATE(AG6-1,"-",RIGHT(AG6,2))</f>
        <v>2027-28</v>
      </c>
      <c r="AH7" s="1319" t="str">
        <f t="shared" si="2"/>
        <v>2028-29</v>
      </c>
      <c r="AI7" s="1319" t="str">
        <f t="shared" si="2"/>
        <v>2029-30</v>
      </c>
      <c r="AJ7" s="1319" t="str">
        <f t="shared" si="2"/>
        <v>2030-31</v>
      </c>
      <c r="AK7" s="1319" t="str">
        <f t="shared" si="2"/>
        <v>2031-32</v>
      </c>
      <c r="AL7" s="1319" t="str">
        <f t="shared" si="2"/>
        <v>2032-33</v>
      </c>
    </row>
    <row r="8" spans="1:56" ht="12.5" thickBot="1" x14ac:dyDescent="0.35">
      <c r="I8" s="265"/>
      <c r="J8" s="265"/>
      <c r="S8" s="491"/>
      <c r="T8" s="491"/>
      <c r="U8" s="491"/>
      <c r="V8" s="491"/>
      <c r="W8" s="491"/>
      <c r="X8" s="491"/>
      <c r="Y8" s="491"/>
      <c r="Z8" s="491"/>
      <c r="AA8" s="491"/>
      <c r="AB8" s="491"/>
      <c r="AC8" s="1666"/>
      <c r="AD8" s="1666"/>
      <c r="AE8" s="1666"/>
      <c r="AF8" s="1666"/>
      <c r="AG8" s="1666"/>
      <c r="AH8" s="1666"/>
      <c r="AI8" s="1666"/>
      <c r="AJ8" s="1666"/>
      <c r="AK8" s="1666"/>
      <c r="AL8" s="1666"/>
    </row>
    <row r="9" spans="1:56" x14ac:dyDescent="0.3">
      <c r="C9" s="170"/>
      <c r="D9" s="171"/>
      <c r="E9" s="171"/>
      <c r="F9" s="171"/>
      <c r="G9" s="171"/>
      <c r="H9" s="622"/>
      <c r="I9" s="623"/>
      <c r="J9" s="623"/>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2"/>
    </row>
    <row r="10" spans="1:56" x14ac:dyDescent="0.3">
      <c r="C10" s="173"/>
      <c r="D10" s="174" t="s">
        <v>119</v>
      </c>
      <c r="E10" s="72"/>
      <c r="F10" s="72"/>
      <c r="G10" s="72"/>
      <c r="H10" s="178"/>
      <c r="I10" s="206"/>
      <c r="J10" s="206"/>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175"/>
    </row>
    <row r="11" spans="1:56" x14ac:dyDescent="0.3">
      <c r="C11" s="173"/>
      <c r="D11" s="72"/>
      <c r="E11" s="72"/>
      <c r="F11" s="72"/>
      <c r="G11" s="72"/>
      <c r="H11" s="178"/>
      <c r="I11" s="206"/>
      <c r="J11" s="206"/>
      <c r="K11" s="72"/>
      <c r="L11" s="72"/>
      <c r="M11" s="72"/>
      <c r="N11" s="72"/>
      <c r="O11" s="72"/>
      <c r="P11" s="72"/>
      <c r="Q11" s="72"/>
      <c r="R11" s="72"/>
      <c r="S11" s="72"/>
      <c r="T11" s="72"/>
      <c r="U11" s="72"/>
      <c r="V11" s="72"/>
      <c r="W11" s="72"/>
      <c r="X11" s="72"/>
      <c r="Y11" s="72"/>
      <c r="Z11" s="72"/>
      <c r="AA11" s="72"/>
      <c r="AB11" s="72"/>
      <c r="AC11" s="72"/>
      <c r="AD11" s="72"/>
      <c r="AE11" s="72"/>
      <c r="AF11" s="72"/>
      <c r="AG11" s="72"/>
      <c r="AH11" s="72"/>
      <c r="AI11" s="72"/>
      <c r="AJ11" s="72"/>
      <c r="AK11" s="72"/>
      <c r="AL11" s="72"/>
      <c r="AM11" s="175"/>
    </row>
    <row r="12" spans="1:56" x14ac:dyDescent="0.3">
      <c r="C12" s="173"/>
      <c r="D12" s="72"/>
      <c r="E12" s="502" t="s">
        <v>114</v>
      </c>
      <c r="F12" s="72"/>
      <c r="G12" s="72"/>
      <c r="H12" s="178"/>
      <c r="I12" s="315"/>
      <c r="J12" s="315"/>
      <c r="K12" s="72"/>
      <c r="L12" s="72"/>
      <c r="M12" s="72"/>
      <c r="N12" s="72"/>
      <c r="O12" s="72"/>
      <c r="P12" s="72"/>
      <c r="Q12" s="72"/>
      <c r="R12" s="72"/>
      <c r="S12" s="72"/>
      <c r="T12" s="72"/>
      <c r="U12" s="72"/>
      <c r="V12" s="72"/>
      <c r="W12" s="297">
        <f t="shared" ref="W12" si="3">+W26</f>
        <v>4.8831176470588238</v>
      </c>
      <c r="X12" s="297">
        <f t="shared" ref="X12:AG13" si="4">+X26</f>
        <v>4.9868099467140325</v>
      </c>
      <c r="Y12" s="297">
        <f t="shared" si="4"/>
        <v>3.77238036809816</v>
      </c>
      <c r="Z12" s="297">
        <f t="shared" si="4"/>
        <v>4.2111123499142371</v>
      </c>
      <c r="AA12" s="297">
        <f t="shared" si="4"/>
        <v>4.2532234734133798</v>
      </c>
      <c r="AB12" s="297">
        <f t="shared" si="4"/>
        <v>4.2957557081475137</v>
      </c>
      <c r="AC12" s="297">
        <f t="shared" si="4"/>
        <v>4.3387132652289893</v>
      </c>
      <c r="AD12" s="297">
        <f t="shared" si="4"/>
        <v>4.3821003978812794</v>
      </c>
      <c r="AE12" s="297">
        <f t="shared" si="4"/>
        <v>4.4259214018600925</v>
      </c>
      <c r="AF12" s="297">
        <f t="shared" si="4"/>
        <v>4.4701806158786939</v>
      </c>
      <c r="AG12" s="297">
        <f t="shared" si="4"/>
        <v>4.5148824220374806</v>
      </c>
      <c r="AH12" s="297">
        <f t="shared" ref="AH12:AL13" si="5">+AH26</f>
        <v>4.5600312462578554</v>
      </c>
      <c r="AI12" s="297">
        <f t="shared" si="5"/>
        <v>4.6056315587204342</v>
      </c>
      <c r="AJ12" s="297">
        <f t="shared" si="5"/>
        <v>4.6516878743076386</v>
      </c>
      <c r="AK12" s="297">
        <f t="shared" si="5"/>
        <v>4.6982047530507147</v>
      </c>
      <c r="AL12" s="297">
        <f t="shared" si="5"/>
        <v>4.7451868005812221</v>
      </c>
      <c r="AM12" s="175"/>
      <c r="AO12" s="807"/>
      <c r="AP12" s="807"/>
      <c r="AQ12" s="807"/>
      <c r="AR12" s="807"/>
      <c r="AS12" s="807"/>
      <c r="AT12" s="807"/>
      <c r="AU12" s="807"/>
      <c r="AV12" s="807"/>
      <c r="AW12" s="807"/>
      <c r="AX12" s="807"/>
      <c r="AY12" s="807"/>
      <c r="AZ12" s="807"/>
      <c r="BA12" s="807"/>
      <c r="BB12" s="807"/>
      <c r="BC12" s="807"/>
      <c r="BD12" s="807"/>
    </row>
    <row r="13" spans="1:56" x14ac:dyDescent="0.3">
      <c r="C13" s="173"/>
      <c r="D13" s="72"/>
      <c r="E13" s="502" t="s">
        <v>115</v>
      </c>
      <c r="F13" s="72"/>
      <c r="G13" s="72"/>
      <c r="H13" s="178"/>
      <c r="I13" s="315"/>
      <c r="J13" s="315"/>
      <c r="K13" s="72"/>
      <c r="L13" s="72"/>
      <c r="M13" s="72"/>
      <c r="N13" s="72"/>
      <c r="O13" s="72"/>
      <c r="P13" s="72"/>
      <c r="Q13" s="72"/>
      <c r="R13" s="72"/>
      <c r="S13" s="72"/>
      <c r="T13" s="72"/>
      <c r="U13" s="72"/>
      <c r="V13" s="72"/>
      <c r="W13" s="297">
        <f t="shared" ref="W13" si="6">+W27</f>
        <v>0.32740995475113122</v>
      </c>
      <c r="X13" s="297">
        <f t="shared" si="4"/>
        <v>0.56998401420959155</v>
      </c>
      <c r="Y13" s="297">
        <f t="shared" si="4"/>
        <v>0.21934969325153378</v>
      </c>
      <c r="Z13" s="297">
        <f t="shared" si="4"/>
        <v>0.61099914236706698</v>
      </c>
      <c r="AA13" s="297">
        <f t="shared" si="4"/>
        <v>0.61710913379073762</v>
      </c>
      <c r="AB13" s="297">
        <f t="shared" si="4"/>
        <v>0.623280225128645</v>
      </c>
      <c r="AC13" s="297">
        <f t="shared" si="4"/>
        <v>0.62951302737993142</v>
      </c>
      <c r="AD13" s="297">
        <f t="shared" si="4"/>
        <v>0.63580815765373078</v>
      </c>
      <c r="AE13" s="297">
        <f t="shared" si="4"/>
        <v>0.64216623923026805</v>
      </c>
      <c r="AF13" s="297">
        <f t="shared" si="4"/>
        <v>0.64858790162257074</v>
      </c>
      <c r="AG13" s="297">
        <f t="shared" si="4"/>
        <v>0.6550737806387964</v>
      </c>
      <c r="AH13" s="297">
        <f t="shared" si="5"/>
        <v>0.66162451844518433</v>
      </c>
      <c r="AI13" s="297">
        <f t="shared" si="5"/>
        <v>0.66824076362963614</v>
      </c>
      <c r="AJ13" s="297">
        <f t="shared" si="5"/>
        <v>0.67492317126593249</v>
      </c>
      <c r="AK13" s="297">
        <f t="shared" si="5"/>
        <v>0.68167240297859177</v>
      </c>
      <c r="AL13" s="297">
        <f t="shared" si="5"/>
        <v>0.68848912700837772</v>
      </c>
      <c r="AM13" s="175"/>
      <c r="AO13" s="807"/>
      <c r="AP13" s="807"/>
      <c r="AQ13" s="807"/>
      <c r="AR13" s="807"/>
      <c r="AS13" s="807"/>
      <c r="AT13" s="807"/>
      <c r="AU13" s="807"/>
      <c r="AV13" s="807"/>
      <c r="AW13" s="807"/>
      <c r="AX13" s="807"/>
      <c r="AY13" s="807"/>
      <c r="AZ13" s="807"/>
      <c r="BA13" s="807"/>
      <c r="BB13" s="807"/>
      <c r="BC13" s="807"/>
      <c r="BD13" s="807"/>
    </row>
    <row r="14" spans="1:56" x14ac:dyDescent="0.3">
      <c r="C14" s="173"/>
      <c r="D14" s="72"/>
      <c r="E14" s="435" t="s">
        <v>116</v>
      </c>
      <c r="F14" s="72"/>
      <c r="G14" s="72"/>
      <c r="H14" s="178"/>
      <c r="I14" s="315"/>
      <c r="J14" s="315"/>
      <c r="K14" s="72"/>
      <c r="L14" s="72"/>
      <c r="M14" s="72"/>
      <c r="N14" s="72"/>
      <c r="O14" s="72"/>
      <c r="P14" s="72"/>
      <c r="Q14" s="72"/>
      <c r="R14" s="72"/>
      <c r="S14" s="72"/>
      <c r="T14" s="72"/>
      <c r="U14" s="72"/>
      <c r="V14" s="72"/>
      <c r="W14" s="297">
        <f t="shared" ref="W14" si="7">+W29</f>
        <v>146.897185520362</v>
      </c>
      <c r="X14" s="297">
        <f t="shared" ref="X14:AG15" si="8">+X29</f>
        <v>150.75967140319719</v>
      </c>
      <c r="Y14" s="297">
        <f t="shared" si="8"/>
        <v>145.13131288343561</v>
      </c>
      <c r="Z14" s="297">
        <f t="shared" si="8"/>
        <v>136.05410120068609</v>
      </c>
      <c r="AA14" s="297">
        <f t="shared" si="8"/>
        <v>137.41464221269294</v>
      </c>
      <c r="AB14" s="297">
        <f t="shared" si="8"/>
        <v>138.78878863481987</v>
      </c>
      <c r="AC14" s="297">
        <f t="shared" si="8"/>
        <v>140.17667652116808</v>
      </c>
      <c r="AD14" s="297">
        <f t="shared" si="8"/>
        <v>141.57844328637975</v>
      </c>
      <c r="AE14" s="297">
        <f t="shared" si="8"/>
        <v>142.99422771924355</v>
      </c>
      <c r="AF14" s="297">
        <f t="shared" si="8"/>
        <v>144.42416999643598</v>
      </c>
      <c r="AG14" s="297">
        <f t="shared" si="8"/>
        <v>145.86841169640033</v>
      </c>
      <c r="AH14" s="297">
        <f t="shared" ref="AH14:AL15" si="9">+AH29</f>
        <v>147.32709581336434</v>
      </c>
      <c r="AI14" s="297">
        <f t="shared" si="9"/>
        <v>148.80036677149798</v>
      </c>
      <c r="AJ14" s="297">
        <f t="shared" si="9"/>
        <v>150.28837043921297</v>
      </c>
      <c r="AK14" s="297">
        <f t="shared" si="9"/>
        <v>151.7912541436051</v>
      </c>
      <c r="AL14" s="297">
        <f t="shared" si="9"/>
        <v>153.30916668504116</v>
      </c>
      <c r="AM14" s="175"/>
      <c r="AO14" s="807"/>
      <c r="AP14" s="807"/>
      <c r="AQ14" s="807"/>
      <c r="AR14" s="807"/>
      <c r="AS14" s="807"/>
      <c r="AT14" s="807"/>
      <c r="AU14" s="807"/>
      <c r="AV14" s="807"/>
      <c r="AW14" s="807"/>
      <c r="AX14" s="807"/>
      <c r="AY14" s="807"/>
      <c r="AZ14" s="807"/>
      <c r="BA14" s="807"/>
      <c r="BB14" s="807"/>
      <c r="BC14" s="807"/>
      <c r="BD14" s="807"/>
    </row>
    <row r="15" spans="1:56" x14ac:dyDescent="0.3">
      <c r="C15" s="173"/>
      <c r="D15" s="72"/>
      <c r="E15" s="435" t="s">
        <v>117</v>
      </c>
      <c r="F15" s="72"/>
      <c r="G15" s="72"/>
      <c r="H15" s="178"/>
      <c r="I15" s="315"/>
      <c r="J15" s="315"/>
      <c r="K15" s="72"/>
      <c r="L15" s="72"/>
      <c r="M15" s="72"/>
      <c r="N15" s="72"/>
      <c r="O15" s="72"/>
      <c r="P15" s="72"/>
      <c r="Q15" s="72"/>
      <c r="R15" s="72"/>
      <c r="S15" s="72"/>
      <c r="T15" s="72"/>
      <c r="U15" s="72"/>
      <c r="V15" s="72"/>
      <c r="W15" s="297">
        <f t="shared" ref="W15" si="10">+W30</f>
        <v>10.052158371040726</v>
      </c>
      <c r="X15" s="297">
        <f t="shared" si="8"/>
        <v>9.0801314387211391</v>
      </c>
      <c r="Y15" s="297">
        <f t="shared" si="8"/>
        <v>8.027519114723928</v>
      </c>
      <c r="Z15" s="297">
        <f t="shared" si="8"/>
        <v>7.0217084048027445</v>
      </c>
      <c r="AA15" s="297">
        <f t="shared" si="8"/>
        <v>7.0919254888507721</v>
      </c>
      <c r="AB15" s="297">
        <f t="shared" si="8"/>
        <v>7.1628447437392797</v>
      </c>
      <c r="AC15" s="297">
        <f t="shared" si="8"/>
        <v>7.2344731911766722</v>
      </c>
      <c r="AD15" s="297">
        <f t="shared" si="8"/>
        <v>7.3068179230884391</v>
      </c>
      <c r="AE15" s="297">
        <f t="shared" si="8"/>
        <v>7.3798861023193236</v>
      </c>
      <c r="AF15" s="297">
        <f t="shared" si="8"/>
        <v>7.4536849633425168</v>
      </c>
      <c r="AG15" s="297">
        <f t="shared" si="8"/>
        <v>7.528221812975942</v>
      </c>
      <c r="AH15" s="297">
        <f t="shared" si="9"/>
        <v>7.6035040311057012</v>
      </c>
      <c r="AI15" s="297">
        <f t="shared" si="9"/>
        <v>7.679539071416758</v>
      </c>
      <c r="AJ15" s="297">
        <f t="shared" si="9"/>
        <v>7.7563344621309254</v>
      </c>
      <c r="AK15" s="297">
        <f t="shared" si="9"/>
        <v>7.8338978067522351</v>
      </c>
      <c r="AL15" s="297">
        <f t="shared" si="9"/>
        <v>7.9122367848197577</v>
      </c>
      <c r="AM15" s="175"/>
      <c r="AO15" s="807"/>
      <c r="AP15" s="807"/>
      <c r="AQ15" s="807"/>
      <c r="AR15" s="807"/>
      <c r="AS15" s="807"/>
      <c r="AT15" s="807"/>
      <c r="AU15" s="807"/>
      <c r="AV15" s="807"/>
      <c r="AW15" s="807"/>
      <c r="AX15" s="807"/>
      <c r="AY15" s="807"/>
      <c r="AZ15" s="807"/>
      <c r="BA15" s="807"/>
      <c r="BB15" s="807"/>
      <c r="BC15" s="807"/>
      <c r="BD15" s="807"/>
    </row>
    <row r="16" spans="1:56" x14ac:dyDescent="0.3">
      <c r="C16" s="173"/>
      <c r="D16" s="72"/>
      <c r="E16" s="435"/>
      <c r="F16" s="72"/>
      <c r="G16" s="72"/>
      <c r="H16" s="178"/>
      <c r="I16" s="315"/>
      <c r="J16" s="315"/>
      <c r="K16" s="72"/>
      <c r="L16" s="72"/>
      <c r="M16" s="72"/>
      <c r="N16" s="72"/>
      <c r="O16" s="72"/>
      <c r="P16" s="72"/>
      <c r="Q16" s="72"/>
      <c r="R16" s="72"/>
      <c r="S16" s="72"/>
      <c r="T16" s="72"/>
      <c r="U16" s="72"/>
      <c r="V16" s="72"/>
      <c r="W16" s="462"/>
      <c r="X16" s="462"/>
      <c r="Y16" s="462"/>
      <c r="Z16" s="462"/>
      <c r="AA16" s="462"/>
      <c r="AB16" s="462"/>
      <c r="AC16" s="462"/>
      <c r="AD16" s="462"/>
      <c r="AE16" s="462"/>
      <c r="AF16" s="462"/>
      <c r="AG16" s="462"/>
      <c r="AH16" s="462"/>
      <c r="AI16" s="462"/>
      <c r="AJ16" s="462"/>
      <c r="AK16" s="462"/>
      <c r="AL16" s="462"/>
      <c r="AM16" s="175"/>
      <c r="AO16" s="807"/>
      <c r="AP16" s="807"/>
      <c r="AQ16" s="807"/>
      <c r="AR16" s="807"/>
      <c r="AS16" s="807"/>
      <c r="AT16" s="807"/>
      <c r="AU16" s="807"/>
      <c r="AV16" s="807"/>
      <c r="AW16" s="807"/>
      <c r="AX16" s="807"/>
      <c r="AY16" s="807"/>
      <c r="AZ16" s="807"/>
      <c r="BA16" s="807"/>
      <c r="BB16" s="807"/>
      <c r="BC16" s="807"/>
      <c r="BD16" s="807"/>
    </row>
    <row r="17" spans="3:56" x14ac:dyDescent="0.3">
      <c r="C17" s="173"/>
      <c r="D17" s="72"/>
      <c r="E17" s="435" t="s">
        <v>118</v>
      </c>
      <c r="F17" s="72"/>
      <c r="G17" s="72"/>
      <c r="H17" s="178"/>
      <c r="I17" s="315"/>
      <c r="J17" s="315"/>
      <c r="K17" s="72"/>
      <c r="L17" s="72"/>
      <c r="M17" s="72"/>
      <c r="N17" s="72"/>
      <c r="O17" s="72"/>
      <c r="P17" s="72"/>
      <c r="Q17" s="72"/>
      <c r="R17" s="72"/>
      <c r="S17" s="72"/>
      <c r="T17" s="72"/>
      <c r="U17" s="72"/>
      <c r="V17" s="72"/>
      <c r="W17" s="297">
        <f t="shared" ref="W17" si="11">+W37</f>
        <v>0</v>
      </c>
      <c r="X17" s="297">
        <f t="shared" ref="X17:AG17" si="12">+X37</f>
        <v>0</v>
      </c>
      <c r="Y17" s="297">
        <f t="shared" si="12"/>
        <v>0</v>
      </c>
      <c r="Z17" s="297">
        <f t="shared" si="12"/>
        <v>0</v>
      </c>
      <c r="AA17" s="297">
        <f t="shared" si="12"/>
        <v>0</v>
      </c>
      <c r="AB17" s="297">
        <f t="shared" si="12"/>
        <v>0</v>
      </c>
      <c r="AC17" s="297">
        <f t="shared" si="12"/>
        <v>0</v>
      </c>
      <c r="AD17" s="297">
        <f t="shared" si="12"/>
        <v>0</v>
      </c>
      <c r="AE17" s="297">
        <f t="shared" si="12"/>
        <v>0</v>
      </c>
      <c r="AF17" s="297">
        <f t="shared" si="12"/>
        <v>0</v>
      </c>
      <c r="AG17" s="297">
        <f t="shared" si="12"/>
        <v>0</v>
      </c>
      <c r="AH17" s="297">
        <f>+AH37</f>
        <v>0</v>
      </c>
      <c r="AI17" s="297">
        <f>+AI37</f>
        <v>0</v>
      </c>
      <c r="AJ17" s="297">
        <f>+AJ37</f>
        <v>0</v>
      </c>
      <c r="AK17" s="297">
        <f>+AK37</f>
        <v>0</v>
      </c>
      <c r="AL17" s="297">
        <f>+AL37</f>
        <v>0</v>
      </c>
      <c r="AM17" s="175"/>
      <c r="AO17" s="807"/>
      <c r="AP17" s="807"/>
      <c r="AQ17" s="807"/>
      <c r="AR17" s="807"/>
      <c r="AS17" s="807"/>
      <c r="AT17" s="807"/>
      <c r="AU17" s="807"/>
      <c r="AV17" s="807"/>
      <c r="AW17" s="807"/>
      <c r="AX17" s="807"/>
      <c r="AY17" s="807"/>
      <c r="AZ17" s="807"/>
      <c r="BA17" s="807"/>
      <c r="BB17" s="807"/>
      <c r="BC17" s="807"/>
      <c r="BD17" s="807"/>
    </row>
    <row r="18" spans="3:56" x14ac:dyDescent="0.3">
      <c r="C18" s="173"/>
      <c r="D18" s="72"/>
      <c r="E18" s="435" t="s">
        <v>121</v>
      </c>
      <c r="F18" s="72"/>
      <c r="G18" s="72"/>
      <c r="H18" s="178"/>
      <c r="I18" s="315"/>
      <c r="J18" s="315"/>
      <c r="K18" s="72"/>
      <c r="L18" s="72"/>
      <c r="M18" s="72"/>
      <c r="N18" s="72"/>
      <c r="O18" s="72"/>
      <c r="P18" s="72"/>
      <c r="Q18" s="72"/>
      <c r="R18" s="72"/>
      <c r="S18" s="72"/>
      <c r="T18" s="72"/>
      <c r="U18" s="72"/>
      <c r="V18" s="72"/>
      <c r="W18" s="297">
        <f t="shared" ref="W18:AB18" si="13">+W39</f>
        <v>25.819268831674211</v>
      </c>
      <c r="X18" s="297">
        <f t="shared" si="13"/>
        <v>25.9086140008881</v>
      </c>
      <c r="Y18" s="297">
        <f t="shared" si="13"/>
        <v>26.63701065141926</v>
      </c>
      <c r="Z18" s="297">
        <f t="shared" si="13"/>
        <v>27.717428500857633</v>
      </c>
      <c r="AA18" s="297">
        <f t="shared" si="13"/>
        <v>27.99460278586621</v>
      </c>
      <c r="AB18" s="297">
        <f t="shared" si="13"/>
        <v>28.274548813724873</v>
      </c>
      <c r="AC18" s="297">
        <f t="shared" ref="AC18:AL18" si="14">+AC39</f>
        <v>28.557294301862122</v>
      </c>
      <c r="AD18" s="297">
        <f t="shared" si="14"/>
        <v>28.842867244880743</v>
      </c>
      <c r="AE18" s="297">
        <f t="shared" si="14"/>
        <v>29.131295917329552</v>
      </c>
      <c r="AF18" s="297">
        <f t="shared" si="14"/>
        <v>29.422608876502849</v>
      </c>
      <c r="AG18" s="297">
        <f t="shared" si="14"/>
        <v>29.716834965267878</v>
      </c>
      <c r="AH18" s="297">
        <f t="shared" si="14"/>
        <v>30.014003314920558</v>
      </c>
      <c r="AI18" s="297">
        <f t="shared" si="14"/>
        <v>30.314143348069763</v>
      </c>
      <c r="AJ18" s="297">
        <f t="shared" si="14"/>
        <v>30.61728478155046</v>
      </c>
      <c r="AK18" s="297">
        <f t="shared" si="14"/>
        <v>30.923457629365963</v>
      </c>
      <c r="AL18" s="297">
        <f t="shared" si="14"/>
        <v>31.232692205659621</v>
      </c>
      <c r="AM18" s="175"/>
      <c r="AO18" s="807"/>
      <c r="AP18" s="807"/>
      <c r="AQ18" s="807"/>
      <c r="AR18" s="807"/>
      <c r="AS18" s="807"/>
      <c r="AT18" s="807"/>
      <c r="AU18" s="807"/>
      <c r="AV18" s="807"/>
      <c r="AW18" s="807"/>
      <c r="AX18" s="807"/>
      <c r="AY18" s="807"/>
      <c r="AZ18" s="807"/>
      <c r="BA18" s="807"/>
      <c r="BB18" s="807"/>
      <c r="BC18" s="807"/>
      <c r="BD18" s="807"/>
    </row>
    <row r="19" spans="3:56" x14ac:dyDescent="0.3">
      <c r="C19" s="173"/>
      <c r="D19" s="72"/>
      <c r="E19" s="435" t="s">
        <v>540</v>
      </c>
      <c r="F19" s="72"/>
      <c r="G19" s="72"/>
      <c r="H19" s="178"/>
      <c r="I19" s="315"/>
      <c r="J19" s="315"/>
      <c r="K19" s="72"/>
      <c r="L19" s="72"/>
      <c r="M19" s="72"/>
      <c r="N19" s="72"/>
      <c r="O19" s="72"/>
      <c r="P19" s="72"/>
      <c r="Q19" s="72"/>
      <c r="R19" s="72"/>
      <c r="S19" s="72"/>
      <c r="T19" s="72"/>
      <c r="U19" s="72"/>
      <c r="V19" s="72"/>
      <c r="W19" s="275"/>
      <c r="X19" s="462"/>
      <c r="Y19" s="462"/>
      <c r="Z19" s="462"/>
      <c r="AA19" s="462"/>
      <c r="AB19" s="462"/>
      <c r="AC19" s="297">
        <f t="shared" ref="AC19:AG19" ca="1" si="15">AC42+AC45</f>
        <v>0.38383078749999994</v>
      </c>
      <c r="AD19" s="297">
        <f t="shared" ca="1" si="15"/>
        <v>1.1859059285416664</v>
      </c>
      <c r="AE19" s="297">
        <f t="shared" ca="1" si="15"/>
        <v>2.0396384158166674</v>
      </c>
      <c r="AF19" s="297">
        <f t="shared" ca="1" si="15"/>
        <v>2.9876070552983225</v>
      </c>
      <c r="AG19" s="297">
        <f t="shared" ca="1" si="15"/>
        <v>4.0580449654300743</v>
      </c>
      <c r="AH19" s="297">
        <f ca="1">AH42+AH45</f>
        <v>5.6397728584216633</v>
      </c>
      <c r="AI19" s="297">
        <f ca="1">AI42+AI45</f>
        <v>7.7165152303366478</v>
      </c>
      <c r="AJ19" s="297">
        <f ca="1">AJ42+AJ45</f>
        <v>9.5546549620265377</v>
      </c>
      <c r="AK19" s="297">
        <f ca="1">AK42+AK45</f>
        <v>11.018761536615159</v>
      </c>
      <c r="AL19" s="297">
        <f ca="1">AL42+AL45</f>
        <v>12.51555177477373</v>
      </c>
      <c r="AM19" s="175"/>
      <c r="AO19" s="807"/>
      <c r="AP19" s="807"/>
      <c r="AQ19" s="807"/>
      <c r="AR19" s="807"/>
      <c r="AS19" s="807"/>
      <c r="AT19" s="807"/>
      <c r="AU19" s="807"/>
      <c r="AV19" s="807"/>
      <c r="AW19" s="807"/>
      <c r="AX19" s="807"/>
      <c r="AY19" s="807"/>
      <c r="AZ19" s="807"/>
      <c r="BA19" s="807"/>
      <c r="BB19" s="807"/>
      <c r="BC19" s="807"/>
      <c r="BD19" s="807"/>
    </row>
    <row r="20" spans="3:56" x14ac:dyDescent="0.3">
      <c r="C20" s="173"/>
      <c r="D20" s="72"/>
      <c r="E20" s="265" t="s">
        <v>109</v>
      </c>
      <c r="F20" s="72"/>
      <c r="G20" s="72"/>
      <c r="H20" s="178"/>
      <c r="I20" s="315"/>
      <c r="J20" s="315"/>
      <c r="K20" s="72"/>
      <c r="L20" s="72"/>
      <c r="M20" s="72"/>
      <c r="N20" s="72"/>
      <c r="O20" s="72"/>
      <c r="P20" s="72"/>
      <c r="Q20" s="72"/>
      <c r="R20" s="72"/>
      <c r="S20" s="72"/>
      <c r="T20" s="72"/>
      <c r="U20" s="72"/>
      <c r="V20" s="72"/>
      <c r="W20" s="178"/>
      <c r="X20" s="1527">
        <f>+X35</f>
        <v>0</v>
      </c>
      <c r="Y20" s="178"/>
      <c r="Z20" s="1527"/>
      <c r="AA20" s="178"/>
      <c r="AB20" s="178"/>
      <c r="AC20" s="1527">
        <f>+AC35</f>
        <v>0</v>
      </c>
      <c r="AD20" s="178"/>
      <c r="AE20" s="178"/>
      <c r="AF20" s="178"/>
      <c r="AG20" s="178"/>
      <c r="AH20" s="275"/>
      <c r="AI20" s="178"/>
      <c r="AJ20" s="178"/>
      <c r="AK20" s="178"/>
      <c r="AL20" s="178"/>
      <c r="AM20" s="175"/>
      <c r="AO20" s="807"/>
      <c r="AP20" s="807"/>
      <c r="AQ20" s="807"/>
      <c r="AR20" s="807"/>
      <c r="AS20" s="807"/>
      <c r="AT20" s="807"/>
      <c r="AU20" s="807"/>
      <c r="AV20" s="807"/>
      <c r="AW20" s="807"/>
      <c r="AX20" s="807"/>
      <c r="AY20" s="807"/>
      <c r="AZ20" s="807"/>
      <c r="BA20" s="807"/>
      <c r="BB20" s="807"/>
      <c r="BC20" s="807"/>
      <c r="BD20" s="807"/>
    </row>
    <row r="21" spans="3:56" ht="12.5" thickBot="1" x14ac:dyDescent="0.35">
      <c r="C21" s="179"/>
      <c r="D21" s="180"/>
      <c r="E21" s="180"/>
      <c r="F21" s="180"/>
      <c r="G21" s="180"/>
      <c r="H21" s="181"/>
      <c r="I21" s="624"/>
      <c r="J21" s="624"/>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182"/>
      <c r="AO21" s="807"/>
      <c r="AP21" s="807"/>
      <c r="AQ21" s="807"/>
      <c r="AR21" s="807"/>
      <c r="AS21" s="807"/>
      <c r="AT21" s="807"/>
      <c r="AU21" s="807"/>
      <c r="AV21" s="807"/>
      <c r="AW21" s="807"/>
      <c r="AX21" s="807"/>
      <c r="AY21" s="807"/>
      <c r="AZ21" s="807"/>
      <c r="BA21" s="807"/>
      <c r="BB21" s="807"/>
      <c r="BC21" s="807"/>
      <c r="BD21" s="807"/>
    </row>
    <row r="22" spans="3:56" x14ac:dyDescent="0.3">
      <c r="I22" s="265"/>
      <c r="J22" s="265"/>
      <c r="K22" s="517"/>
      <c r="L22" s="517"/>
      <c r="M22" s="517"/>
      <c r="N22" s="517"/>
      <c r="O22" s="517"/>
      <c r="P22" s="517"/>
      <c r="Q22" s="517"/>
      <c r="R22" s="517"/>
      <c r="S22" s="517"/>
      <c r="T22" s="517"/>
      <c r="U22" s="517"/>
      <c r="V22" s="517"/>
      <c r="W22" s="517"/>
      <c r="X22" s="517"/>
      <c r="Y22" s="517"/>
      <c r="Z22" s="517"/>
      <c r="AA22" s="517"/>
      <c r="AB22" s="517"/>
      <c r="AO22" s="807"/>
      <c r="AP22" s="807"/>
      <c r="AQ22" s="807"/>
      <c r="AR22" s="807"/>
      <c r="AS22" s="807"/>
      <c r="AT22" s="807"/>
      <c r="AU22" s="807"/>
      <c r="AV22" s="807"/>
      <c r="AW22" s="807"/>
      <c r="AX22" s="807"/>
      <c r="AY22" s="807"/>
      <c r="AZ22" s="807"/>
      <c r="BA22" s="807"/>
      <c r="BB22" s="807"/>
      <c r="BC22" s="807"/>
      <c r="BD22" s="807"/>
    </row>
    <row r="23" spans="3:56" x14ac:dyDescent="0.3">
      <c r="I23" s="265"/>
      <c r="J23" s="265"/>
      <c r="K23" s="265"/>
      <c r="L23" s="265"/>
      <c r="M23" s="265"/>
      <c r="AO23" s="807"/>
      <c r="AP23" s="807"/>
      <c r="AQ23" s="807"/>
      <c r="AR23" s="807"/>
      <c r="AS23" s="807"/>
      <c r="AT23" s="807"/>
      <c r="AU23" s="807"/>
      <c r="AV23" s="807"/>
      <c r="AW23" s="807"/>
      <c r="AX23" s="807"/>
      <c r="AY23" s="807"/>
      <c r="AZ23" s="807"/>
      <c r="BA23" s="807"/>
      <c r="BB23" s="807"/>
      <c r="BC23" s="807"/>
      <c r="BD23" s="807"/>
    </row>
    <row r="24" spans="3:56" x14ac:dyDescent="0.3">
      <c r="C24" s="296" t="s">
        <v>120</v>
      </c>
      <c r="G24" s="126" t="str">
        <f>Expenditure_Detail!$B$6</f>
        <v>$m, 01/01/23</v>
      </c>
      <c r="I24" s="265"/>
      <c r="J24" s="265"/>
      <c r="K24" s="77"/>
      <c r="L24" s="77"/>
      <c r="M24" s="77"/>
      <c r="AO24" s="807"/>
      <c r="AP24" s="807"/>
      <c r="AQ24" s="807"/>
      <c r="AR24" s="807"/>
      <c r="AS24" s="807"/>
      <c r="AT24" s="807"/>
      <c r="AU24" s="807"/>
      <c r="AV24" s="807"/>
      <c r="AW24" s="807"/>
      <c r="AX24" s="807"/>
      <c r="AY24" s="807"/>
      <c r="AZ24" s="807"/>
      <c r="BA24" s="807"/>
      <c r="BB24" s="807"/>
      <c r="BC24" s="807"/>
      <c r="BD24" s="807"/>
    </row>
    <row r="25" spans="3:56" x14ac:dyDescent="0.3">
      <c r="I25" s="265"/>
      <c r="J25" s="265"/>
      <c r="K25" s="77"/>
      <c r="L25" s="77"/>
      <c r="M25" s="77"/>
      <c r="AO25" s="807"/>
      <c r="AP25" s="807"/>
      <c r="AQ25" s="807"/>
      <c r="AR25" s="807"/>
      <c r="AS25" s="807"/>
      <c r="AT25" s="807"/>
      <c r="AU25" s="807"/>
      <c r="AV25" s="807"/>
      <c r="AW25" s="807"/>
      <c r="AX25" s="807"/>
      <c r="AY25" s="807"/>
      <c r="AZ25" s="807"/>
      <c r="BA25" s="807"/>
      <c r="BB25" s="807"/>
      <c r="BC25" s="807"/>
      <c r="BD25" s="807"/>
    </row>
    <row r="26" spans="3:56" x14ac:dyDescent="0.3">
      <c r="D26" s="73" t="s">
        <v>114</v>
      </c>
      <c r="I26" s="526"/>
      <c r="J26" s="526"/>
      <c r="K26" s="77"/>
      <c r="L26" s="77"/>
      <c r="M26" s="77"/>
      <c r="S26" s="625"/>
      <c r="T26" s="626"/>
      <c r="U26" s="626"/>
      <c r="V26" s="626"/>
      <c r="W26" s="648">
        <v>4.8831176470588238</v>
      </c>
      <c r="X26" s="646">
        <v>4.9868099467140325</v>
      </c>
      <c r="Y26" s="647">
        <v>3.77238036809816</v>
      </c>
      <c r="Z26" s="647">
        <v>4.2111123499142371</v>
      </c>
      <c r="AA26" s="647">
        <v>4.2532234734133798</v>
      </c>
      <c r="AB26" s="648">
        <v>4.2957557081475137</v>
      </c>
      <c r="AC26" s="1679">
        <v>4.3387132652289893</v>
      </c>
      <c r="AD26" s="1679">
        <v>4.3821003978812794</v>
      </c>
      <c r="AE26" s="1679">
        <v>4.4259214018600925</v>
      </c>
      <c r="AF26" s="1679">
        <v>4.4701806158786939</v>
      </c>
      <c r="AG26" s="1680">
        <v>4.5148824220374806</v>
      </c>
      <c r="AH26" s="1679">
        <v>4.5600312462578554</v>
      </c>
      <c r="AI26" s="1679">
        <v>4.6056315587204342</v>
      </c>
      <c r="AJ26" s="1679">
        <v>4.6516878743076386</v>
      </c>
      <c r="AK26" s="1679">
        <v>4.6982047530507147</v>
      </c>
      <c r="AL26" s="1680">
        <v>4.7451868005812221</v>
      </c>
      <c r="AO26" s="807"/>
      <c r="AP26" s="807"/>
      <c r="AQ26" s="807"/>
      <c r="AR26" s="807"/>
      <c r="AS26" s="807"/>
      <c r="AT26" s="807"/>
      <c r="AU26" s="807"/>
      <c r="AV26" s="807"/>
      <c r="AW26" s="807"/>
      <c r="AX26" s="807"/>
      <c r="AY26" s="807"/>
      <c r="AZ26" s="807"/>
      <c r="BA26" s="807"/>
      <c r="BB26" s="807"/>
      <c r="BC26" s="807"/>
      <c r="BD26" s="807"/>
    </row>
    <row r="27" spans="3:56" x14ac:dyDescent="0.3">
      <c r="D27" s="73" t="s">
        <v>115</v>
      </c>
      <c r="I27" s="526"/>
      <c r="J27" s="526"/>
      <c r="K27" s="77"/>
      <c r="L27" s="77"/>
      <c r="M27" s="77"/>
      <c r="S27" s="627"/>
      <c r="T27" s="628"/>
      <c r="U27" s="628"/>
      <c r="V27" s="628"/>
      <c r="W27" s="651">
        <v>0.32740995475113122</v>
      </c>
      <c r="X27" s="649">
        <v>0.56998401420959155</v>
      </c>
      <c r="Y27" s="650">
        <v>0.21934969325153378</v>
      </c>
      <c r="Z27" s="650">
        <v>0.61099914236706698</v>
      </c>
      <c r="AA27" s="650">
        <v>0.61710913379073762</v>
      </c>
      <c r="AB27" s="651">
        <v>0.623280225128645</v>
      </c>
      <c r="AC27" s="1681">
        <v>0.62951302737993142</v>
      </c>
      <c r="AD27" s="1681">
        <v>0.63580815765373078</v>
      </c>
      <c r="AE27" s="1681">
        <v>0.64216623923026805</v>
      </c>
      <c r="AF27" s="1681">
        <v>0.64858790162257074</v>
      </c>
      <c r="AG27" s="1682">
        <v>0.6550737806387964</v>
      </c>
      <c r="AH27" s="1681">
        <v>0.66162451844518433</v>
      </c>
      <c r="AI27" s="1681">
        <v>0.66824076362963614</v>
      </c>
      <c r="AJ27" s="1681">
        <v>0.67492317126593249</v>
      </c>
      <c r="AK27" s="1681">
        <v>0.68167240297859177</v>
      </c>
      <c r="AL27" s="1682">
        <v>0.68848912700837772</v>
      </c>
      <c r="AO27" s="807"/>
      <c r="AP27" s="807"/>
      <c r="AQ27" s="807"/>
      <c r="AR27" s="807"/>
      <c r="AS27" s="807"/>
      <c r="AT27" s="807"/>
      <c r="AU27" s="807"/>
      <c r="AV27" s="807"/>
      <c r="AW27" s="807"/>
      <c r="AX27" s="807"/>
      <c r="AY27" s="807"/>
      <c r="AZ27" s="807"/>
      <c r="BA27" s="807"/>
      <c r="BB27" s="807"/>
      <c r="BC27" s="807"/>
      <c r="BD27" s="807"/>
    </row>
    <row r="28" spans="3:56" x14ac:dyDescent="0.3">
      <c r="I28" s="526"/>
      <c r="J28" s="526"/>
      <c r="K28" s="77"/>
      <c r="L28" s="77"/>
      <c r="M28" s="77"/>
      <c r="S28" s="465"/>
      <c r="T28" s="465"/>
      <c r="U28" s="465"/>
      <c r="V28" s="465"/>
      <c r="W28" s="652"/>
      <c r="X28" s="652"/>
      <c r="Y28" s="652"/>
      <c r="Z28" s="652"/>
      <c r="AA28" s="652"/>
      <c r="AB28" s="652"/>
      <c r="AC28" s="652"/>
      <c r="AD28" s="652"/>
      <c r="AE28" s="652"/>
      <c r="AF28" s="652"/>
      <c r="AG28" s="652"/>
      <c r="AH28" s="652"/>
      <c r="AI28" s="652"/>
      <c r="AJ28" s="652"/>
      <c r="AK28" s="652"/>
      <c r="AL28" s="652"/>
      <c r="AO28" s="807"/>
      <c r="AP28" s="807"/>
      <c r="AQ28" s="807"/>
      <c r="AR28" s="807"/>
      <c r="AS28" s="807"/>
      <c r="AT28" s="807"/>
      <c r="AU28" s="807"/>
      <c r="AV28" s="807"/>
      <c r="AW28" s="807"/>
      <c r="AX28" s="807"/>
      <c r="AY28" s="807"/>
      <c r="AZ28" s="807"/>
      <c r="BA28" s="807"/>
      <c r="BB28" s="807"/>
      <c r="BC28" s="807"/>
      <c r="BD28" s="807"/>
    </row>
    <row r="29" spans="3:56" x14ac:dyDescent="0.3">
      <c r="D29" s="73" t="s">
        <v>116</v>
      </c>
      <c r="I29" s="526"/>
      <c r="J29" s="526"/>
      <c r="K29" s="77"/>
      <c r="L29" s="77"/>
      <c r="M29" s="77"/>
      <c r="S29" s="625"/>
      <c r="T29" s="626"/>
      <c r="U29" s="626"/>
      <c r="V29" s="626"/>
      <c r="W29" s="647">
        <v>146.897185520362</v>
      </c>
      <c r="X29" s="646">
        <v>150.75967140319719</v>
      </c>
      <c r="Y29" s="647">
        <v>145.13131288343561</v>
      </c>
      <c r="Z29" s="647">
        <v>136.05410120068609</v>
      </c>
      <c r="AA29" s="647">
        <v>137.41464221269294</v>
      </c>
      <c r="AB29" s="648">
        <v>138.78878863481987</v>
      </c>
      <c r="AC29" s="1679">
        <v>140.17667652116808</v>
      </c>
      <c r="AD29" s="1679">
        <v>141.57844328637975</v>
      </c>
      <c r="AE29" s="1679">
        <v>142.99422771924355</v>
      </c>
      <c r="AF29" s="1679">
        <v>144.42416999643598</v>
      </c>
      <c r="AG29" s="1680">
        <v>145.86841169640033</v>
      </c>
      <c r="AH29" s="1679">
        <v>147.32709581336434</v>
      </c>
      <c r="AI29" s="1679">
        <v>148.80036677149798</v>
      </c>
      <c r="AJ29" s="1679">
        <v>150.28837043921297</v>
      </c>
      <c r="AK29" s="1679">
        <v>151.7912541436051</v>
      </c>
      <c r="AL29" s="1680">
        <v>153.30916668504116</v>
      </c>
      <c r="AO29" s="807"/>
      <c r="AP29" s="807"/>
      <c r="AQ29" s="807"/>
      <c r="AR29" s="807"/>
      <c r="AS29" s="807"/>
      <c r="AT29" s="807"/>
      <c r="AU29" s="807"/>
      <c r="AV29" s="807"/>
      <c r="AW29" s="807"/>
      <c r="AX29" s="807"/>
      <c r="AY29" s="807"/>
      <c r="AZ29" s="807"/>
      <c r="BA29" s="807"/>
      <c r="BB29" s="807"/>
      <c r="BC29" s="807"/>
      <c r="BD29" s="807"/>
    </row>
    <row r="30" spans="3:56" x14ac:dyDescent="0.3">
      <c r="D30" s="73" t="s">
        <v>117</v>
      </c>
      <c r="I30" s="526"/>
      <c r="J30" s="526"/>
      <c r="K30" s="77"/>
      <c r="L30" s="77"/>
      <c r="M30" s="77"/>
      <c r="S30" s="627"/>
      <c r="T30" s="628"/>
      <c r="U30" s="628"/>
      <c r="V30" s="628"/>
      <c r="W30" s="650">
        <v>10.052158371040726</v>
      </c>
      <c r="X30" s="649">
        <v>9.0801314387211391</v>
      </c>
      <c r="Y30" s="650">
        <v>8.027519114723928</v>
      </c>
      <c r="Z30" s="650">
        <v>7.0217084048027445</v>
      </c>
      <c r="AA30" s="650">
        <v>7.0919254888507721</v>
      </c>
      <c r="AB30" s="651">
        <v>7.1628447437392797</v>
      </c>
      <c r="AC30" s="1681">
        <v>7.2344731911766722</v>
      </c>
      <c r="AD30" s="1681">
        <v>7.3068179230884391</v>
      </c>
      <c r="AE30" s="1681">
        <v>7.3798861023193236</v>
      </c>
      <c r="AF30" s="1681">
        <v>7.4536849633425168</v>
      </c>
      <c r="AG30" s="1682">
        <v>7.528221812975942</v>
      </c>
      <c r="AH30" s="1681">
        <v>7.6035040311057012</v>
      </c>
      <c r="AI30" s="1681">
        <v>7.679539071416758</v>
      </c>
      <c r="AJ30" s="1681">
        <v>7.7563344621309254</v>
      </c>
      <c r="AK30" s="1681">
        <v>7.8338978067522351</v>
      </c>
      <c r="AL30" s="1682">
        <v>7.9122367848197577</v>
      </c>
      <c r="AO30" s="807"/>
      <c r="AP30" s="807"/>
      <c r="AQ30" s="807"/>
      <c r="AR30" s="807"/>
      <c r="AS30" s="807"/>
      <c r="AT30" s="807"/>
      <c r="AU30" s="807"/>
      <c r="AV30" s="807"/>
      <c r="AW30" s="807"/>
      <c r="AX30" s="807"/>
      <c r="AY30" s="807"/>
      <c r="AZ30" s="807"/>
      <c r="BA30" s="807"/>
      <c r="BB30" s="807"/>
      <c r="BC30" s="807"/>
      <c r="BD30" s="807"/>
    </row>
    <row r="31" spans="3:56" x14ac:dyDescent="0.3">
      <c r="I31" s="526"/>
      <c r="J31" s="526"/>
      <c r="K31" s="77"/>
      <c r="L31" s="77"/>
      <c r="M31" s="77"/>
      <c r="S31" s="125"/>
      <c r="T31" s="125"/>
      <c r="U31" s="125"/>
      <c r="V31" s="125"/>
      <c r="W31" s="125"/>
      <c r="X31" s="125"/>
      <c r="Y31" s="125"/>
      <c r="Z31" s="125"/>
      <c r="AA31" s="125"/>
      <c r="AB31" s="125"/>
      <c r="AC31" s="125"/>
      <c r="AD31" s="125"/>
      <c r="AE31" s="125"/>
      <c r="AF31" s="125"/>
      <c r="AG31" s="125"/>
      <c r="AH31" s="125"/>
      <c r="AI31" s="125"/>
      <c r="AJ31" s="125"/>
      <c r="AK31" s="125"/>
      <c r="AL31" s="125"/>
      <c r="AO31" s="807"/>
      <c r="AP31" s="807"/>
      <c r="AQ31" s="807"/>
      <c r="AR31" s="807"/>
      <c r="AS31" s="807"/>
      <c r="AT31" s="807"/>
      <c r="AU31" s="807"/>
      <c r="AV31" s="807"/>
      <c r="AW31" s="807"/>
      <c r="AX31" s="807"/>
      <c r="AY31" s="807"/>
      <c r="AZ31" s="807"/>
      <c r="BA31" s="807"/>
      <c r="BB31" s="807"/>
      <c r="BC31" s="807"/>
      <c r="BD31" s="807"/>
    </row>
    <row r="32" spans="3:56" x14ac:dyDescent="0.3">
      <c r="I32" s="526"/>
      <c r="J32" s="526"/>
      <c r="K32" s="77"/>
      <c r="L32" s="77"/>
      <c r="M32" s="77"/>
      <c r="S32" s="125"/>
      <c r="T32" s="125"/>
      <c r="U32" s="125"/>
      <c r="V32" s="125"/>
      <c r="W32" s="125"/>
      <c r="X32" s="125"/>
      <c r="Y32" s="125"/>
      <c r="Z32" s="125"/>
      <c r="AA32" s="125"/>
      <c r="AB32" s="125"/>
      <c r="AC32" s="125"/>
      <c r="AD32" s="125"/>
      <c r="AE32" s="125"/>
      <c r="AF32" s="125"/>
      <c r="AG32" s="125"/>
      <c r="AH32" s="125"/>
      <c r="AI32" s="125"/>
      <c r="AJ32" s="125"/>
      <c r="AK32" s="125"/>
      <c r="AL32" s="125"/>
      <c r="AO32" s="807"/>
      <c r="AP32" s="807"/>
      <c r="AQ32" s="807"/>
      <c r="AR32" s="807"/>
      <c r="AS32" s="807"/>
      <c r="AT32" s="807"/>
      <c r="AU32" s="807"/>
      <c r="AV32" s="807"/>
      <c r="AW32" s="807"/>
      <c r="AX32" s="807"/>
      <c r="AY32" s="807"/>
      <c r="AZ32" s="807"/>
      <c r="BA32" s="807"/>
      <c r="BB32" s="807"/>
      <c r="BC32" s="807"/>
      <c r="BD32" s="807"/>
    </row>
    <row r="33" spans="1:56" x14ac:dyDescent="0.3">
      <c r="C33" s="296" t="s">
        <v>26</v>
      </c>
      <c r="G33" s="73" t="s">
        <v>126</v>
      </c>
      <c r="H33" s="629"/>
      <c r="I33" s="526"/>
      <c r="J33" s="526"/>
      <c r="K33" s="77"/>
      <c r="L33" s="77"/>
      <c r="M33" s="77"/>
      <c r="S33" s="125"/>
      <c r="T33" s="125"/>
      <c r="U33" s="125"/>
      <c r="V33" s="125"/>
      <c r="W33" s="125"/>
      <c r="X33" s="125"/>
      <c r="Y33" s="125"/>
      <c r="Z33" s="125"/>
      <c r="AA33" s="125"/>
      <c r="AB33" s="125"/>
      <c r="AC33" s="125"/>
      <c r="AD33" s="125"/>
      <c r="AE33" s="125"/>
      <c r="AF33" s="125"/>
      <c r="AG33" s="125"/>
      <c r="AH33" s="125"/>
      <c r="AI33" s="125"/>
      <c r="AJ33" s="125"/>
      <c r="AK33" s="125"/>
      <c r="AL33" s="125"/>
      <c r="AO33" s="807"/>
      <c r="AP33" s="807"/>
      <c r="AQ33" s="807"/>
      <c r="AR33" s="807"/>
      <c r="AS33" s="807"/>
      <c r="AT33" s="807"/>
      <c r="AU33" s="807"/>
      <c r="AV33" s="807"/>
      <c r="AW33" s="807"/>
      <c r="AX33" s="807"/>
      <c r="AY33" s="807"/>
      <c r="AZ33" s="807"/>
      <c r="BA33" s="807"/>
      <c r="BB33" s="807"/>
      <c r="BC33" s="807"/>
      <c r="BD33" s="807"/>
    </row>
    <row r="34" spans="1:56" x14ac:dyDescent="0.3">
      <c r="I34" s="526"/>
      <c r="J34" s="526"/>
      <c r="K34" s="77"/>
      <c r="L34" s="77"/>
      <c r="M34" s="77"/>
      <c r="S34" s="125"/>
      <c r="T34" s="125"/>
      <c r="U34" s="125"/>
      <c r="V34" s="125"/>
      <c r="W34" s="125"/>
      <c r="X34" s="2111" t="s">
        <v>1056</v>
      </c>
      <c r="Y34" s="2111"/>
      <c r="Z34" s="2111"/>
      <c r="AA34" s="2111"/>
      <c r="AB34" s="2111"/>
      <c r="AC34" s="2111"/>
      <c r="AD34" s="125"/>
      <c r="AE34" s="125"/>
      <c r="AF34" s="125"/>
      <c r="AG34" s="125"/>
      <c r="AH34" s="125"/>
      <c r="AI34" s="125"/>
      <c r="AJ34" s="125"/>
      <c r="AK34" s="125"/>
      <c r="AL34" s="125"/>
      <c r="AO34" s="807"/>
      <c r="AP34" s="807"/>
      <c r="AQ34" s="807"/>
      <c r="AR34" s="807"/>
      <c r="AS34" s="807"/>
      <c r="AT34" s="807"/>
      <c r="AU34" s="807"/>
      <c r="AV34" s="807"/>
      <c r="AW34" s="807"/>
      <c r="AX34" s="807"/>
      <c r="AY34" s="807"/>
      <c r="AZ34" s="807"/>
      <c r="BA34" s="807"/>
      <c r="BB34" s="807"/>
      <c r="BC34" s="807"/>
      <c r="BD34" s="807"/>
    </row>
    <row r="35" spans="1:56" x14ac:dyDescent="0.3">
      <c r="D35" s="73" t="s">
        <v>109</v>
      </c>
      <c r="I35" s="526"/>
      <c r="J35" s="526"/>
      <c r="K35" s="77"/>
      <c r="L35" s="77"/>
      <c r="M35" s="77"/>
      <c r="S35" s="125"/>
      <c r="T35" s="125"/>
      <c r="U35" s="125"/>
      <c r="V35" s="125"/>
      <c r="W35" s="125"/>
      <c r="X35" s="1683"/>
      <c r="Y35" s="125"/>
      <c r="Z35" s="126"/>
      <c r="AC35" s="1683"/>
      <c r="AD35" s="125"/>
      <c r="AE35" s="125"/>
      <c r="AF35" s="125"/>
      <c r="AG35" s="125"/>
      <c r="AH35" s="125"/>
      <c r="AI35" s="125"/>
      <c r="AJ35" s="125"/>
      <c r="AK35" s="125"/>
      <c r="AL35" s="125"/>
      <c r="AO35" s="807"/>
      <c r="AP35" s="807"/>
      <c r="AQ35" s="807"/>
      <c r="AR35" s="807"/>
      <c r="AS35" s="807"/>
      <c r="AT35" s="807"/>
      <c r="AU35" s="807"/>
      <c r="AV35" s="807"/>
      <c r="AW35" s="807"/>
      <c r="AX35" s="807"/>
      <c r="AY35" s="807"/>
      <c r="AZ35" s="807"/>
      <c r="BA35" s="807"/>
      <c r="BB35" s="807"/>
      <c r="BC35" s="807"/>
      <c r="BD35" s="807"/>
    </row>
    <row r="36" spans="1:56" x14ac:dyDescent="0.3">
      <c r="I36" s="526"/>
      <c r="J36" s="526"/>
      <c r="K36" s="77"/>
      <c r="L36" s="77"/>
      <c r="M36" s="77"/>
      <c r="S36" s="125"/>
      <c r="T36" s="125"/>
      <c r="U36" s="125"/>
      <c r="V36" s="125"/>
      <c r="W36" s="125"/>
      <c r="X36" s="125"/>
      <c r="Y36" s="125"/>
      <c r="Z36" s="125"/>
      <c r="AA36" s="125"/>
      <c r="AB36" s="125"/>
      <c r="AC36" s="125"/>
      <c r="AD36" s="125"/>
      <c r="AE36" s="125"/>
      <c r="AF36" s="125"/>
      <c r="AG36" s="125"/>
      <c r="AH36" s="125"/>
      <c r="AI36" s="125"/>
      <c r="AJ36" s="125"/>
      <c r="AK36" s="125"/>
      <c r="AL36" s="125"/>
      <c r="AO36" s="807"/>
      <c r="AP36" s="807"/>
      <c r="AQ36" s="807"/>
      <c r="AR36" s="807"/>
      <c r="AS36" s="807"/>
      <c r="AT36" s="807"/>
      <c r="AU36" s="807"/>
      <c r="AV36" s="807"/>
      <c r="AW36" s="807"/>
      <c r="AX36" s="807"/>
      <c r="AY36" s="807"/>
      <c r="AZ36" s="807"/>
      <c r="BA36" s="807"/>
      <c r="BB36" s="807"/>
      <c r="BC36" s="807"/>
      <c r="BD36" s="807"/>
    </row>
    <row r="37" spans="1:56" x14ac:dyDescent="0.3">
      <c r="D37" s="73" t="s">
        <v>118</v>
      </c>
      <c r="I37" s="526"/>
      <c r="J37" s="526"/>
      <c r="K37" s="77"/>
      <c r="L37" s="77"/>
      <c r="M37" s="77"/>
      <c r="S37" s="111"/>
      <c r="T37" s="112"/>
      <c r="U37" s="112"/>
      <c r="V37" s="112"/>
      <c r="W37" s="485"/>
      <c r="X37" s="484"/>
      <c r="Y37" s="485"/>
      <c r="Z37" s="485"/>
      <c r="AA37" s="485"/>
      <c r="AB37" s="486"/>
      <c r="AC37" s="1669"/>
      <c r="AD37" s="1669"/>
      <c r="AE37" s="1669"/>
      <c r="AF37" s="1669"/>
      <c r="AG37" s="1670"/>
      <c r="AH37" s="1669"/>
      <c r="AI37" s="1669"/>
      <c r="AJ37" s="1669"/>
      <c r="AK37" s="1669"/>
      <c r="AL37" s="1670"/>
      <c r="AO37" s="807"/>
      <c r="AP37" s="807"/>
      <c r="AQ37" s="807"/>
      <c r="AR37" s="807"/>
      <c r="AS37" s="807"/>
      <c r="AT37" s="807"/>
      <c r="AU37" s="807"/>
      <c r="AV37" s="807"/>
      <c r="AW37" s="807"/>
      <c r="AX37" s="807"/>
      <c r="AY37" s="807"/>
      <c r="AZ37" s="807"/>
      <c r="BA37" s="807"/>
      <c r="BB37" s="807"/>
      <c r="BC37" s="807"/>
      <c r="BD37" s="807"/>
    </row>
    <row r="38" spans="1:56" ht="12.75" customHeight="1" x14ac:dyDescent="0.3">
      <c r="I38" s="526"/>
      <c r="J38" s="526"/>
      <c r="K38" s="77"/>
      <c r="L38" s="77"/>
      <c r="M38" s="77"/>
      <c r="S38" s="465"/>
      <c r="T38" s="465"/>
      <c r="U38" s="465"/>
      <c r="V38" s="465"/>
      <c r="W38" s="652"/>
      <c r="X38" s="652"/>
      <c r="Y38" s="652"/>
      <c r="Z38" s="652"/>
      <c r="AA38" s="652"/>
      <c r="AB38" s="652"/>
      <c r="AC38" s="652"/>
      <c r="AD38" s="652"/>
      <c r="AE38" s="652"/>
      <c r="AF38" s="652"/>
      <c r="AG38" s="652"/>
      <c r="AH38" s="652"/>
      <c r="AI38" s="652"/>
      <c r="AJ38" s="652"/>
      <c r="AK38" s="652"/>
      <c r="AL38" s="652"/>
      <c r="AO38" s="807"/>
      <c r="AP38" s="807"/>
      <c r="AQ38" s="807"/>
      <c r="AR38" s="807"/>
      <c r="AS38" s="807"/>
      <c r="AT38" s="807"/>
      <c r="AU38" s="807"/>
      <c r="AV38" s="807"/>
      <c r="AW38" s="807"/>
      <c r="AX38" s="807"/>
      <c r="AY38" s="807"/>
      <c r="AZ38" s="807"/>
      <c r="BA38" s="807"/>
      <c r="BB38" s="807"/>
      <c r="BC38" s="807"/>
      <c r="BD38" s="807"/>
    </row>
    <row r="39" spans="1:56" x14ac:dyDescent="0.3">
      <c r="D39" s="73" t="s">
        <v>542</v>
      </c>
      <c r="I39" s="526"/>
      <c r="J39" s="526"/>
      <c r="K39" s="77"/>
      <c r="L39" s="77"/>
      <c r="M39" s="77"/>
      <c r="S39" s="111"/>
      <c r="T39" s="112"/>
      <c r="U39" s="112"/>
      <c r="V39" s="112"/>
      <c r="W39" s="485">
        <v>25.819268831674211</v>
      </c>
      <c r="X39" s="484">
        <v>25.9086140008881</v>
      </c>
      <c r="Y39" s="485">
        <v>26.63701065141926</v>
      </c>
      <c r="Z39" s="485">
        <v>27.717428500857633</v>
      </c>
      <c r="AA39" s="485">
        <v>27.99460278586621</v>
      </c>
      <c r="AB39" s="486">
        <v>28.274548813724873</v>
      </c>
      <c r="AC39" s="1669">
        <v>28.557294301862122</v>
      </c>
      <c r="AD39" s="1669">
        <v>28.842867244880743</v>
      </c>
      <c r="AE39" s="1669">
        <v>29.131295917329552</v>
      </c>
      <c r="AF39" s="1669">
        <v>29.422608876502849</v>
      </c>
      <c r="AG39" s="1670">
        <v>29.716834965267878</v>
      </c>
      <c r="AH39" s="1669">
        <v>30.014003314920558</v>
      </c>
      <c r="AI39" s="1669">
        <v>30.314143348069763</v>
      </c>
      <c r="AJ39" s="1669">
        <v>30.61728478155046</v>
      </c>
      <c r="AK39" s="1669">
        <v>30.923457629365963</v>
      </c>
      <c r="AL39" s="1670">
        <v>31.232692205659621</v>
      </c>
      <c r="AO39" s="807"/>
      <c r="AP39" s="807"/>
      <c r="AQ39" s="807"/>
      <c r="AR39" s="807"/>
      <c r="AS39" s="807"/>
      <c r="AT39" s="807"/>
      <c r="AU39" s="807"/>
      <c r="AV39" s="807"/>
      <c r="AW39" s="807"/>
      <c r="AX39" s="807"/>
      <c r="AY39" s="807"/>
      <c r="AZ39" s="807"/>
      <c r="BA39" s="807"/>
      <c r="BB39" s="807"/>
      <c r="BC39" s="807"/>
      <c r="BD39" s="807"/>
    </row>
    <row r="40" spans="1:56" x14ac:dyDescent="0.3">
      <c r="I40" s="125"/>
      <c r="J40" s="125"/>
      <c r="K40" s="465"/>
      <c r="L40" s="465"/>
      <c r="M40" s="465"/>
      <c r="N40" s="465"/>
      <c r="O40" s="465"/>
      <c r="P40" s="465"/>
      <c r="Q40" s="465"/>
      <c r="R40" s="465"/>
      <c r="S40" s="125"/>
      <c r="T40" s="125"/>
      <c r="U40" s="125"/>
      <c r="V40" s="125"/>
      <c r="W40" s="125"/>
      <c r="X40" s="125"/>
      <c r="Y40" s="125"/>
      <c r="Z40" s="125"/>
      <c r="AA40" s="125"/>
      <c r="AB40" s="125"/>
      <c r="AO40" s="807"/>
      <c r="AP40" s="807"/>
      <c r="AQ40" s="807"/>
      <c r="AR40" s="807"/>
      <c r="AS40" s="807"/>
      <c r="AT40" s="807"/>
      <c r="AU40" s="807"/>
      <c r="AV40" s="807"/>
      <c r="AW40" s="807"/>
      <c r="AX40" s="807"/>
      <c r="AY40" s="807"/>
      <c r="AZ40" s="807"/>
      <c r="BA40" s="807"/>
      <c r="BB40" s="807"/>
      <c r="BC40" s="807"/>
      <c r="BD40" s="807"/>
    </row>
    <row r="41" spans="1:56" x14ac:dyDescent="0.3">
      <c r="I41" s="125"/>
      <c r="J41" s="125"/>
      <c r="K41" s="465"/>
      <c r="L41" s="465"/>
      <c r="M41" s="630"/>
      <c r="N41" s="630"/>
      <c r="O41" s="630"/>
      <c r="P41" s="630"/>
      <c r="Q41" s="630"/>
      <c r="R41" s="630"/>
      <c r="S41" s="631"/>
      <c r="T41" s="631"/>
      <c r="U41" s="125"/>
      <c r="V41" s="125"/>
      <c r="W41" s="125"/>
      <c r="X41" s="125"/>
      <c r="Y41" s="125"/>
      <c r="Z41" s="125"/>
      <c r="AA41" s="125"/>
      <c r="AB41" s="125"/>
      <c r="AO41" s="807"/>
      <c r="AP41" s="807"/>
      <c r="AQ41" s="807"/>
      <c r="AR41" s="807"/>
      <c r="AS41" s="807"/>
      <c r="AT41" s="807"/>
      <c r="AU41" s="807"/>
      <c r="AV41" s="807"/>
      <c r="AW41" s="807"/>
      <c r="AX41" s="807"/>
      <c r="AY41" s="807"/>
      <c r="AZ41" s="807"/>
      <c r="BA41" s="807"/>
      <c r="BB41" s="807"/>
      <c r="BC41" s="807"/>
      <c r="BD41" s="807"/>
    </row>
    <row r="42" spans="1:56" x14ac:dyDescent="0.3">
      <c r="D42" s="447" t="s">
        <v>541</v>
      </c>
      <c r="E42" s="102"/>
      <c r="F42" s="102"/>
      <c r="G42" s="102"/>
      <c r="H42" s="126"/>
      <c r="I42" s="632"/>
      <c r="J42" s="632"/>
      <c r="K42" s="423"/>
      <c r="L42" s="423"/>
      <c r="M42" s="423"/>
      <c r="N42" s="423"/>
      <c r="O42" s="423"/>
      <c r="P42" s="423"/>
      <c r="Q42" s="423"/>
      <c r="R42" s="423"/>
      <c r="S42" s="302"/>
      <c r="T42" s="302"/>
      <c r="U42" s="423"/>
      <c r="Y42" s="423"/>
      <c r="AA42" s="125"/>
      <c r="AB42" s="423" t="s">
        <v>589</v>
      </c>
      <c r="AC42" s="1548"/>
      <c r="AD42" s="1557"/>
      <c r="AE42" s="1557"/>
      <c r="AF42" s="1557"/>
      <c r="AG42" s="1558"/>
      <c r="AH42" s="1557"/>
      <c r="AI42" s="1557"/>
      <c r="AJ42" s="1557"/>
      <c r="AK42" s="1557"/>
      <c r="AL42" s="1558"/>
      <c r="AM42" s="302"/>
      <c r="AO42" s="807"/>
      <c r="AP42" s="807"/>
      <c r="AQ42" s="807"/>
      <c r="AR42" s="807"/>
      <c r="AS42" s="807"/>
      <c r="AT42" s="807"/>
      <c r="AU42" s="807"/>
      <c r="AV42" s="807"/>
      <c r="AW42" s="807"/>
      <c r="AX42" s="807"/>
      <c r="AY42" s="807"/>
      <c r="AZ42" s="807"/>
      <c r="BA42" s="807"/>
      <c r="BB42" s="807"/>
      <c r="BC42" s="807"/>
      <c r="BD42" s="807"/>
    </row>
    <row r="43" spans="1:56" x14ac:dyDescent="0.3">
      <c r="D43" s="102"/>
      <c r="E43" s="102"/>
      <c r="F43" s="102"/>
      <c r="G43" s="102"/>
      <c r="H43" s="102"/>
      <c r="I43" s="102"/>
      <c r="J43" s="102"/>
      <c r="K43" s="84"/>
      <c r="L43" s="84"/>
      <c r="M43" s="84"/>
      <c r="N43" s="84"/>
      <c r="O43" s="84"/>
      <c r="P43" s="84"/>
      <c r="Q43" s="84"/>
      <c r="R43" s="84"/>
      <c r="S43" s="102"/>
      <c r="T43" s="102"/>
      <c r="U43" s="84"/>
      <c r="V43" s="84"/>
      <c r="W43" s="532"/>
      <c r="X43" s="125"/>
      <c r="Y43" s="125"/>
      <c r="Z43" s="532"/>
      <c r="AA43" s="532"/>
      <c r="AB43" s="532"/>
      <c r="AC43" s="532"/>
      <c r="AD43" s="532"/>
      <c r="AE43" s="532"/>
      <c r="AF43" s="532"/>
      <c r="AG43" s="532"/>
      <c r="AH43" s="532"/>
      <c r="AI43" s="532"/>
      <c r="AJ43" s="532"/>
      <c r="AK43" s="532"/>
      <c r="AL43" s="532"/>
      <c r="AM43" s="532"/>
      <c r="AN43" s="532"/>
    </row>
    <row r="44" spans="1:56" ht="12.5" thickBot="1" x14ac:dyDescent="0.35">
      <c r="A44" s="102"/>
      <c r="B44" s="102"/>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c r="AM44" s="120"/>
      <c r="AN44" s="120"/>
    </row>
    <row r="45" spans="1:56" ht="24.5" thickBot="1" x14ac:dyDescent="0.35">
      <c r="C45" s="120"/>
      <c r="D45" s="1684" t="str">
        <f>+'Capex_FO input'!C41</f>
        <v>Project/program Name</v>
      </c>
      <c r="E45" s="401"/>
      <c r="F45" s="633"/>
      <c r="G45" s="633"/>
      <c r="H45" s="633"/>
      <c r="I45" s="1685" t="str">
        <f>+'Capex_FO input'!M41</f>
        <v>Asset life (Tax)</v>
      </c>
      <c r="J45" s="634"/>
      <c r="K45" s="633"/>
      <c r="L45" s="633"/>
      <c r="M45" s="633"/>
      <c r="N45" s="634"/>
      <c r="O45" s="633"/>
      <c r="P45" s="633"/>
      <c r="Q45" s="633"/>
      <c r="R45" s="635"/>
      <c r="S45" s="633"/>
      <c r="T45" s="633"/>
      <c r="U45" s="633"/>
      <c r="V45" s="633"/>
      <c r="W45" s="633"/>
      <c r="X45" s="633"/>
      <c r="Y45" s="633"/>
      <c r="Z45" s="633"/>
      <c r="AA45" s="633"/>
      <c r="AB45" s="633"/>
      <c r="AC45" s="1686">
        <f t="shared" ref="AC45:AG45" ca="1" si="16">SUM(AC46:AC808)</f>
        <v>0.38383078749999994</v>
      </c>
      <c r="AD45" s="1686">
        <f t="shared" ca="1" si="16"/>
        <v>1.1859059285416664</v>
      </c>
      <c r="AE45" s="1686">
        <f t="shared" ca="1" si="16"/>
        <v>2.0396384158166674</v>
      </c>
      <c r="AF45" s="1686">
        <f t="shared" ca="1" si="16"/>
        <v>2.9876070552983225</v>
      </c>
      <c r="AG45" s="1687">
        <f t="shared" ca="1" si="16"/>
        <v>4.0580449654300743</v>
      </c>
      <c r="AH45" s="1686">
        <f ca="1">SUM(AH46:AH808)</f>
        <v>5.6397728584216633</v>
      </c>
      <c r="AI45" s="1686">
        <f ca="1">SUM(AI46:AI808)</f>
        <v>7.7165152303366478</v>
      </c>
      <c r="AJ45" s="1686">
        <f ca="1">SUM(AJ46:AJ808)</f>
        <v>9.5546549620265377</v>
      </c>
      <c r="AK45" s="1686">
        <f ca="1">SUM(AK46:AK808)</f>
        <v>11.018761536615159</v>
      </c>
      <c r="AL45" s="1687">
        <f ca="1">SUM(AL46:AL808)</f>
        <v>12.51555177477373</v>
      </c>
    </row>
    <row r="46" spans="1:56" x14ac:dyDescent="0.3">
      <c r="C46" s="120"/>
      <c r="D46" s="2403" t="str">
        <f>+'Capex_FO input'!C42</f>
        <v>Ballarat Water Growth Project - Northern Growth Area</v>
      </c>
      <c r="E46" s="2404"/>
      <c r="F46" s="2404"/>
      <c r="G46" s="2404"/>
      <c r="H46" s="2405"/>
      <c r="I46" s="1688">
        <f>+'Capex_FO input'!M42</f>
        <v>80</v>
      </c>
      <c r="J46" s="120"/>
      <c r="K46" s="120"/>
      <c r="L46" s="120"/>
      <c r="M46" s="120"/>
      <c r="N46" s="636"/>
      <c r="O46" s="120"/>
      <c r="P46" s="120"/>
      <c r="Q46" s="120"/>
      <c r="R46" s="637"/>
      <c r="S46" s="120"/>
      <c r="T46" s="120"/>
      <c r="U46" s="120"/>
      <c r="V46" s="120"/>
      <c r="W46" s="120"/>
      <c r="X46" s="643"/>
      <c r="Y46" s="642"/>
      <c r="Z46" s="642"/>
      <c r="AA46" s="642"/>
      <c r="AB46" s="1675"/>
      <c r="AC46" s="1496">
        <f ca="1">+'Capex_FO input'!CP42</f>
        <v>6.4375000000000001E-4</v>
      </c>
      <c r="AD46" s="1516">
        <f ca="1">+'Capex_FO input'!CQ42</f>
        <v>9.9073125000000012E-3</v>
      </c>
      <c r="AE46" s="1516">
        <f ca="1">+'Capex_FO input'!CR42</f>
        <v>4.2430528124999999E-2</v>
      </c>
      <c r="AF46" s="1516">
        <f ca="1">+'Capex_FO input'!CS42</f>
        <v>9.9044031040625008E-2</v>
      </c>
      <c r="AG46" s="1499">
        <f ca="1">+'Capex_FO input'!CT42</f>
        <v>0.15638870491012505</v>
      </c>
      <c r="AH46" s="1496">
        <f ca="1">+'Capex_FO input'!CU42</f>
        <v>0.2481887206687563</v>
      </c>
      <c r="AI46" s="1516">
        <f ca="1">+'Capex_FO input'!CV42</f>
        <v>0.31535416234851255</v>
      </c>
      <c r="AJ46" s="1516">
        <f ca="1">+'Capex_FO input'!CW42</f>
        <v>0.31535416234851255</v>
      </c>
      <c r="AK46" s="1516">
        <f ca="1">+'Capex_FO input'!CX42</f>
        <v>0.31535416234851255</v>
      </c>
      <c r="AL46" s="1499">
        <f ca="1">+'Capex_FO input'!CY42</f>
        <v>0.31535416234851255</v>
      </c>
    </row>
    <row r="47" spans="1:56" x14ac:dyDescent="0.3">
      <c r="C47" s="120"/>
      <c r="D47" s="2406" t="str">
        <f>+'Capex_FO input'!C43</f>
        <v>Ballarat Sewer Growth Project - Ballarat West UGZ southern section</v>
      </c>
      <c r="E47" s="2407"/>
      <c r="F47" s="2407"/>
      <c r="G47" s="2407"/>
      <c r="H47" s="2408"/>
      <c r="I47" s="1689">
        <f>+'Capex_FO input'!M43</f>
        <v>80</v>
      </c>
      <c r="J47" s="120"/>
      <c r="K47" s="120"/>
      <c r="L47" s="120"/>
      <c r="M47" s="120"/>
      <c r="N47" s="636"/>
      <c r="O47" s="120"/>
      <c r="P47" s="120"/>
      <c r="Q47" s="120"/>
      <c r="R47" s="637"/>
      <c r="S47" s="120"/>
      <c r="T47" s="120"/>
      <c r="U47" s="120"/>
      <c r="V47" s="120"/>
      <c r="W47" s="120"/>
      <c r="X47" s="636"/>
      <c r="Y47" s="120"/>
      <c r="Z47" s="120"/>
      <c r="AA47" s="120"/>
      <c r="AB47" s="1676"/>
      <c r="AC47" s="1492">
        <f ca="1">+'Capex_FO input'!CP43</f>
        <v>0</v>
      </c>
      <c r="AD47" s="1490">
        <f ca="1">+'Capex_FO input'!CQ43</f>
        <v>1.9891875000000001E-3</v>
      </c>
      <c r="AE47" s="1490">
        <f ca="1">+'Capex_FO input'!CR43</f>
        <v>2.4467006249999999E-2</v>
      </c>
      <c r="AF47" s="1490">
        <f ca="1">+'Capex_FO input'!CS43</f>
        <v>8.85691038875E-2</v>
      </c>
      <c r="AG47" s="1491">
        <f ca="1">+'Capex_FO input'!CT43</f>
        <v>0.18869718139712499</v>
      </c>
      <c r="AH47" s="1492">
        <f ca="1">+'Capex_FO input'!CU43</f>
        <v>0.2608837289111931</v>
      </c>
      <c r="AI47" s="1490">
        <f ca="1">+'Capex_FO input'!CV43</f>
        <v>0.35342278189219062</v>
      </c>
      <c r="AJ47" s="1490">
        <f ca="1">+'Capex_FO input'!CW43</f>
        <v>0.46195915051593539</v>
      </c>
      <c r="AK47" s="1490">
        <f ca="1">+'Capex_FO input'!CX43</f>
        <v>0.49362840255062579</v>
      </c>
      <c r="AL47" s="1491">
        <f ca="1">+'Capex_FO input'!CY43</f>
        <v>0.49362840255062579</v>
      </c>
    </row>
    <row r="48" spans="1:56" x14ac:dyDescent="0.3">
      <c r="C48" s="120"/>
      <c r="D48" s="2406" t="str">
        <f>+'Capex_FO input'!C44</f>
        <v>Ballarat Sewer Build - Ballarat South Outfall Project</v>
      </c>
      <c r="E48" s="2407"/>
      <c r="F48" s="2407"/>
      <c r="G48" s="2407"/>
      <c r="H48" s="2408"/>
      <c r="I48" s="1689">
        <f>+'Capex_FO input'!M44</f>
        <v>80</v>
      </c>
      <c r="J48" s="120"/>
      <c r="K48" s="120"/>
      <c r="L48" s="120"/>
      <c r="M48" s="120"/>
      <c r="N48" s="636"/>
      <c r="O48" s="120"/>
      <c r="P48" s="120"/>
      <c r="Q48" s="120"/>
      <c r="R48" s="637"/>
      <c r="S48" s="120"/>
      <c r="T48" s="120"/>
      <c r="U48" s="120"/>
      <c r="V48" s="120"/>
      <c r="W48" s="120"/>
      <c r="X48" s="636"/>
      <c r="Y48" s="120"/>
      <c r="Z48" s="120"/>
      <c r="AA48" s="120"/>
      <c r="AB48" s="1676"/>
      <c r="AC48" s="1492">
        <f ca="1">+'Capex_FO input'!CP44</f>
        <v>7.6219999999999996E-2</v>
      </c>
      <c r="AD48" s="1490">
        <f ca="1">+'Capex_FO input'!CQ44</f>
        <v>0.15442918749999998</v>
      </c>
      <c r="AE48" s="1490">
        <f ca="1">+'Capex_FO input'!CR44</f>
        <v>0.156418375</v>
      </c>
      <c r="AF48" s="1490">
        <f ca="1">+'Capex_FO input'!CS44</f>
        <v>0.156418375</v>
      </c>
      <c r="AG48" s="1491">
        <f ca="1">+'Capex_FO input'!CT44</f>
        <v>0.156418375</v>
      </c>
      <c r="AH48" s="1492">
        <f ca="1">+'Capex_FO input'!CU44</f>
        <v>0.156418375</v>
      </c>
      <c r="AI48" s="1490">
        <f ca="1">+'Capex_FO input'!CV44</f>
        <v>0.156418375</v>
      </c>
      <c r="AJ48" s="1490">
        <f ca="1">+'Capex_FO input'!CW44</f>
        <v>0.156418375</v>
      </c>
      <c r="AK48" s="1490">
        <f ca="1">+'Capex_FO input'!CX44</f>
        <v>0.156418375</v>
      </c>
      <c r="AL48" s="1491">
        <f ca="1">+'Capex_FO input'!CY44</f>
        <v>0.156418375</v>
      </c>
    </row>
    <row r="49" spans="3:38" x14ac:dyDescent="0.3">
      <c r="C49" s="120"/>
      <c r="D49" s="2406" t="str">
        <f>+'Capex_FO input'!C45</f>
        <v>White Swan Dam Safety Improvement</v>
      </c>
      <c r="E49" s="2407"/>
      <c r="F49" s="2407"/>
      <c r="G49" s="2407"/>
      <c r="H49" s="2408"/>
      <c r="I49" s="1689">
        <f>+'Capex_FO input'!M45</f>
        <v>80</v>
      </c>
      <c r="J49" s="120"/>
      <c r="K49" s="120"/>
      <c r="L49" s="120"/>
      <c r="M49" s="120"/>
      <c r="N49" s="636"/>
      <c r="O49" s="120"/>
      <c r="P49" s="120"/>
      <c r="Q49" s="120"/>
      <c r="R49" s="637"/>
      <c r="S49" s="120"/>
      <c r="T49" s="120"/>
      <c r="U49" s="120"/>
      <c r="V49" s="120"/>
      <c r="W49" s="120"/>
      <c r="X49" s="636"/>
      <c r="Y49" s="120"/>
      <c r="Z49" s="120"/>
      <c r="AA49" s="120"/>
      <c r="AB49" s="1676"/>
      <c r="AC49" s="1492">
        <f ca="1">+'Capex_FO input'!CP45</f>
        <v>5.1500000000000005E-4</v>
      </c>
      <c r="AD49" s="1490">
        <f ca="1">+'Capex_FO input'!CQ45</f>
        <v>4.7444374999999997E-2</v>
      </c>
      <c r="AE49" s="1490">
        <f ca="1">+'Capex_FO input'!CR45</f>
        <v>0.13483601249999999</v>
      </c>
      <c r="AF49" s="1490">
        <f ca="1">+'Capex_FO input'!CS45</f>
        <v>0.17627051295406249</v>
      </c>
      <c r="AG49" s="1491">
        <f ca="1">+'Capex_FO input'!CT45</f>
        <v>0.17672775090812498</v>
      </c>
      <c r="AH49" s="1492">
        <f ca="1">+'Capex_FO input'!CU45</f>
        <v>0.17672775090812498</v>
      </c>
      <c r="AI49" s="1490">
        <f ca="1">+'Capex_FO input'!CV45</f>
        <v>0.17672775090812498</v>
      </c>
      <c r="AJ49" s="1490">
        <f ca="1">+'Capex_FO input'!CW45</f>
        <v>0.17672775090812498</v>
      </c>
      <c r="AK49" s="1490">
        <f ca="1">+'Capex_FO input'!CX45</f>
        <v>0.17672775090812498</v>
      </c>
      <c r="AL49" s="1491">
        <f ca="1">+'Capex_FO input'!CY45</f>
        <v>0.17672775090812498</v>
      </c>
    </row>
    <row r="50" spans="3:38" ht="11.25" customHeight="1" x14ac:dyDescent="0.3">
      <c r="C50" s="120"/>
      <c r="D50" s="2406" t="str">
        <f>+'Capex_FO input'!C46</f>
        <v>Daylesford Superpipe Raw Water Interconnection</v>
      </c>
      <c r="E50" s="2407"/>
      <c r="F50" s="2407"/>
      <c r="G50" s="2407"/>
      <c r="H50" s="2408"/>
      <c r="I50" s="1689">
        <f>+'Capex_FO input'!M46</f>
        <v>80</v>
      </c>
      <c r="J50" s="120"/>
      <c r="K50" s="120"/>
      <c r="L50" s="120"/>
      <c r="M50" s="120"/>
      <c r="N50" s="636"/>
      <c r="O50" s="120"/>
      <c r="P50" s="120"/>
      <c r="Q50" s="120"/>
      <c r="R50" s="637"/>
      <c r="S50" s="120"/>
      <c r="T50" s="120"/>
      <c r="U50" s="120"/>
      <c r="V50" s="120"/>
      <c r="W50" s="120"/>
      <c r="X50" s="636"/>
      <c r="Y50" s="120"/>
      <c r="Z50" s="120"/>
      <c r="AA50" s="120"/>
      <c r="AB50" s="1676"/>
      <c r="AC50" s="1492">
        <f ca="1">+'Capex_FO input'!CP46</f>
        <v>5.2787500000000001E-2</v>
      </c>
      <c r="AD50" s="1490">
        <f ca="1">+'Capex_FO input'!CQ46</f>
        <v>0.10756418750000001</v>
      </c>
      <c r="AE50" s="1490">
        <f ca="1">+'Capex_FO input'!CR46</f>
        <v>0.10955337499999999</v>
      </c>
      <c r="AF50" s="1490">
        <f ca="1">+'Capex_FO input'!CS46</f>
        <v>0.10955337499999999</v>
      </c>
      <c r="AG50" s="1491">
        <f ca="1">+'Capex_FO input'!CT46</f>
        <v>0.10955337499999999</v>
      </c>
      <c r="AH50" s="1492">
        <f ca="1">+'Capex_FO input'!CU46</f>
        <v>0.10955337499999999</v>
      </c>
      <c r="AI50" s="1490">
        <f ca="1">+'Capex_FO input'!CV46</f>
        <v>0.10955337499999999</v>
      </c>
      <c r="AJ50" s="1490">
        <f ca="1">+'Capex_FO input'!CW46</f>
        <v>0.10955337499999999</v>
      </c>
      <c r="AK50" s="1490">
        <f ca="1">+'Capex_FO input'!CX46</f>
        <v>0.10955337499999999</v>
      </c>
      <c r="AL50" s="1491">
        <f ca="1">+'Capex_FO input'!CY46</f>
        <v>0.10955337499999999</v>
      </c>
    </row>
    <row r="51" spans="3:38" ht="11.25" customHeight="1" x14ac:dyDescent="0.3">
      <c r="C51" s="120"/>
      <c r="D51" s="2406" t="str">
        <f>+'Capex_FO input'!C47</f>
        <v>Ballarat Sewer Build - Ballarat East Trunk Sewer (Stage 2)</v>
      </c>
      <c r="E51" s="2407"/>
      <c r="F51" s="2407"/>
      <c r="G51" s="2407"/>
      <c r="H51" s="2408"/>
      <c r="I51" s="1689">
        <f>+'Capex_FO input'!M47</f>
        <v>80</v>
      </c>
      <c r="J51" s="120"/>
      <c r="K51" s="120"/>
      <c r="L51" s="120"/>
      <c r="M51" s="120"/>
      <c r="N51" s="636"/>
      <c r="O51" s="120"/>
      <c r="P51" s="120"/>
      <c r="Q51" s="120"/>
      <c r="R51" s="637"/>
      <c r="S51" s="120"/>
      <c r="T51" s="120"/>
      <c r="U51" s="120"/>
      <c r="V51" s="120"/>
      <c r="W51" s="120"/>
      <c r="X51" s="636"/>
      <c r="Y51" s="120"/>
      <c r="Z51" s="120"/>
      <c r="AA51" s="120"/>
      <c r="AB51" s="1676"/>
      <c r="AC51" s="1492">
        <f ca="1">+'Capex_FO input'!CP47</f>
        <v>1.2875E-3</v>
      </c>
      <c r="AD51" s="1490">
        <f ca="1">+'Capex_FO input'!CQ47</f>
        <v>4.8989374999999995E-2</v>
      </c>
      <c r="AE51" s="1490">
        <f ca="1">+'Capex_FO input'!CR47</f>
        <v>0.138429875625</v>
      </c>
      <c r="AF51" s="1490">
        <f ca="1">+'Capex_FO input'!CS47</f>
        <v>0.18849043131250001</v>
      </c>
      <c r="AG51" s="1491">
        <f ca="1">+'Capex_FO input'!CT47</f>
        <v>0.19552486137499997</v>
      </c>
      <c r="AH51" s="1492">
        <f ca="1">+'Capex_FO input'!CU47</f>
        <v>0.19552486137499997</v>
      </c>
      <c r="AI51" s="1490">
        <f ca="1">+'Capex_FO input'!CV47</f>
        <v>0.19552486137499997</v>
      </c>
      <c r="AJ51" s="1490">
        <f ca="1">+'Capex_FO input'!CW47</f>
        <v>0.19552486137499997</v>
      </c>
      <c r="AK51" s="1490">
        <f ca="1">+'Capex_FO input'!CX47</f>
        <v>0.19552486137499997</v>
      </c>
      <c r="AL51" s="1491">
        <f ca="1">+'Capex_FO input'!CY47</f>
        <v>0.19552486137499997</v>
      </c>
    </row>
    <row r="52" spans="3:38" ht="11.25" customHeight="1" x14ac:dyDescent="0.3">
      <c r="C52" s="120"/>
      <c r="D52" s="2406" t="str">
        <f>+'Capex_FO input'!C48</f>
        <v>Daylesford Water Treatment Plant Upgrade</v>
      </c>
      <c r="E52" s="2407"/>
      <c r="F52" s="2407"/>
      <c r="G52" s="2407"/>
      <c r="H52" s="2408"/>
      <c r="I52" s="1689">
        <f>+'Capex_FO input'!M48</f>
        <v>60</v>
      </c>
      <c r="J52" s="120"/>
      <c r="K52" s="120"/>
      <c r="L52" s="120"/>
      <c r="M52" s="120"/>
      <c r="N52" s="636"/>
      <c r="O52" s="120"/>
      <c r="P52" s="120"/>
      <c r="Q52" s="120"/>
      <c r="R52" s="637"/>
      <c r="S52" s="120"/>
      <c r="T52" s="120"/>
      <c r="U52" s="120"/>
      <c r="V52" s="120"/>
      <c r="W52" s="120"/>
      <c r="X52" s="636"/>
      <c r="Y52" s="120"/>
      <c r="Z52" s="120"/>
      <c r="AA52" s="120"/>
      <c r="AB52" s="1676"/>
      <c r="AC52" s="1492">
        <f ca="1">+'Capex_FO input'!CP48</f>
        <v>2.1458333333333334E-3</v>
      </c>
      <c r="AD52" s="1490">
        <f ca="1">+'Capex_FO input'!CQ48</f>
        <v>4.8495833333333335E-2</v>
      </c>
      <c r="AE52" s="1490">
        <f ca="1">+'Capex_FO input'!CR48</f>
        <v>0.12457120416666667</v>
      </c>
      <c r="AF52" s="1490">
        <f ca="1">+'Capex_FO input'!CS48</f>
        <v>0.15841204875083331</v>
      </c>
      <c r="AG52" s="1491">
        <f ca="1">+'Capex_FO input'!CT48</f>
        <v>0.16038168916833331</v>
      </c>
      <c r="AH52" s="1492">
        <f ca="1">+'Capex_FO input'!CU48</f>
        <v>0.17331725571406414</v>
      </c>
      <c r="AI52" s="1490">
        <f ca="1">+'Capex_FO input'!CV48</f>
        <v>0.21699966889541678</v>
      </c>
      <c r="AJ52" s="1490">
        <f ca="1">+'Capex_FO input'!CW48</f>
        <v>0.24774651553103852</v>
      </c>
      <c r="AK52" s="1490">
        <f ca="1">+'Capex_FO input'!CX48</f>
        <v>0.24774651553103852</v>
      </c>
      <c r="AL52" s="1491">
        <f ca="1">+'Capex_FO input'!CY48</f>
        <v>0.24774651553103852</v>
      </c>
    </row>
    <row r="53" spans="3:38" ht="11.25" customHeight="1" x14ac:dyDescent="0.3">
      <c r="C53" s="120"/>
      <c r="D53" s="2406" t="str">
        <f>+'Capex_FO input'!C49</f>
        <v>Regional Recycled Water Scheme Upgrades</v>
      </c>
      <c r="E53" s="2407"/>
      <c r="F53" s="2407"/>
      <c r="G53" s="2407"/>
      <c r="H53" s="2408"/>
      <c r="I53" s="1689">
        <f>+'Capex_FO input'!M49</f>
        <v>60</v>
      </c>
      <c r="J53" s="120"/>
      <c r="K53" s="120"/>
      <c r="L53" s="120"/>
      <c r="M53" s="120"/>
      <c r="N53" s="636"/>
      <c r="O53" s="120"/>
      <c r="P53" s="120"/>
      <c r="Q53" s="120"/>
      <c r="R53" s="637"/>
      <c r="S53" s="120"/>
      <c r="T53" s="120"/>
      <c r="U53" s="120"/>
      <c r="V53" s="120"/>
      <c r="W53" s="120"/>
      <c r="X53" s="636"/>
      <c r="Y53" s="120"/>
      <c r="Z53" s="120"/>
      <c r="AA53" s="120"/>
      <c r="AB53" s="1676"/>
      <c r="AC53" s="1492">
        <f ca="1">+'Capex_FO input'!CP49</f>
        <v>1.8024999999999998E-3</v>
      </c>
      <c r="AD53" s="1490">
        <f ca="1">+'Capex_FO input'!CQ49</f>
        <v>2.9773866666666666E-2</v>
      </c>
      <c r="AE53" s="1490">
        <f ca="1">+'Capex_FO input'!CR49</f>
        <v>6.9692881416666658E-2</v>
      </c>
      <c r="AF53" s="1490">
        <f ca="1">+'Capex_FO input'!CS49</f>
        <v>0.11870897221333332</v>
      </c>
      <c r="AG53" s="1491">
        <f ca="1">+'Capex_FO input'!CT49</f>
        <v>0.16421516924964999</v>
      </c>
      <c r="AH53" s="1492">
        <f ca="1">+'Capex_FO input'!CU49</f>
        <v>0.20261515689910892</v>
      </c>
      <c r="AI53" s="1490">
        <f ca="1">+'Capex_FO input'!CV49</f>
        <v>0.2413313075704813</v>
      </c>
      <c r="AJ53" s="1490">
        <f ca="1">+'Capex_FO input'!CW49</f>
        <v>0.26276083478062179</v>
      </c>
      <c r="AK53" s="1490">
        <f ca="1">+'Capex_FO input'!CX49</f>
        <v>0.28483324780706654</v>
      </c>
      <c r="AL53" s="1491">
        <f ca="1">+'Capex_FO input'!CY49</f>
        <v>0.30756783322430464</v>
      </c>
    </row>
    <row r="54" spans="3:38" ht="11.25" customHeight="1" x14ac:dyDescent="0.3">
      <c r="C54" s="120"/>
      <c r="D54" s="2406" t="str">
        <f>+'Capex_FO input'!C50</f>
        <v>Ballarat Sewer Growth Project - Northern growth area</v>
      </c>
      <c r="E54" s="2407"/>
      <c r="F54" s="2407"/>
      <c r="G54" s="2407"/>
      <c r="H54" s="2408"/>
      <c r="I54" s="1689">
        <f>+'Capex_FO input'!M50</f>
        <v>80</v>
      </c>
      <c r="J54" s="120"/>
      <c r="K54" s="120"/>
      <c r="L54" s="120"/>
      <c r="M54" s="120"/>
      <c r="N54" s="636"/>
      <c r="O54" s="120"/>
      <c r="P54" s="120"/>
      <c r="Q54" s="120"/>
      <c r="R54" s="637"/>
      <c r="S54" s="120"/>
      <c r="T54" s="120"/>
      <c r="U54" s="120"/>
      <c r="V54" s="120"/>
      <c r="W54" s="120"/>
      <c r="X54" s="636"/>
      <c r="Y54" s="120"/>
      <c r="Z54" s="120"/>
      <c r="AA54" s="120"/>
      <c r="AB54" s="1676"/>
      <c r="AC54" s="1492">
        <f ca="1">+'Capex_FO input'!CP50</f>
        <v>0</v>
      </c>
      <c r="AD54" s="1490">
        <f ca="1">+'Capex_FO input'!CQ50</f>
        <v>0</v>
      </c>
      <c r="AE54" s="1490">
        <f ca="1">+'Capex_FO input'!CR50</f>
        <v>1.3659087499999999E-3</v>
      </c>
      <c r="AF54" s="1490">
        <f ca="1">+'Capex_FO input'!CS50</f>
        <v>3.1080570651875007E-2</v>
      </c>
      <c r="AG54" s="1491">
        <f ca="1">+'Capex_FO input'!CT50</f>
        <v>7.3920249732500012E-2</v>
      </c>
      <c r="AH54" s="1492">
        <f ca="1">+'Capex_FO input'!CU50</f>
        <v>8.8411175661250008E-2</v>
      </c>
      <c r="AI54" s="1490">
        <f ca="1">+'Capex_FO input'!CV50</f>
        <v>8.8411175661250008E-2</v>
      </c>
      <c r="AJ54" s="1490">
        <f ca="1">+'Capex_FO input'!CW50</f>
        <v>8.8411175661250008E-2</v>
      </c>
      <c r="AK54" s="1490">
        <f ca="1">+'Capex_FO input'!CX50</f>
        <v>8.8411175661250008E-2</v>
      </c>
      <c r="AL54" s="1491">
        <f ca="1">+'Capex_FO input'!CY50</f>
        <v>8.8411175661250008E-2</v>
      </c>
    </row>
    <row r="55" spans="3:38" ht="11.25" customHeight="1" thickBot="1" x14ac:dyDescent="0.35">
      <c r="C55" s="120"/>
      <c r="D55" s="2409" t="str">
        <f>+'Capex_FO input'!C51</f>
        <v>Digital Water Metering</v>
      </c>
      <c r="E55" s="2410"/>
      <c r="F55" s="2410"/>
      <c r="G55" s="2410"/>
      <c r="H55" s="2411"/>
      <c r="I55" s="1690">
        <f>+'Capex_FO input'!M51</f>
        <v>80</v>
      </c>
      <c r="J55" s="638"/>
      <c r="K55" s="638"/>
      <c r="L55" s="638"/>
      <c r="M55" s="638"/>
      <c r="N55" s="639"/>
      <c r="O55" s="638"/>
      <c r="P55" s="638"/>
      <c r="Q55" s="638"/>
      <c r="R55" s="640"/>
      <c r="S55" s="638"/>
      <c r="T55" s="638"/>
      <c r="U55" s="638"/>
      <c r="V55" s="638"/>
      <c r="W55" s="638"/>
      <c r="X55" s="639"/>
      <c r="Y55" s="638"/>
      <c r="Z55" s="638"/>
      <c r="AA55" s="638"/>
      <c r="AB55" s="1677"/>
      <c r="AC55" s="1492">
        <f ca="1">+'Capex_FO input'!CP51</f>
        <v>3.2187500000000001E-2</v>
      </c>
      <c r="AD55" s="1490">
        <f ca="1">+'Capex_FO input'!CQ51</f>
        <v>9.7528124999999993E-2</v>
      </c>
      <c r="AE55" s="1490">
        <f ca="1">+'Capex_FO input'!CR51</f>
        <v>0.15116988125</v>
      </c>
      <c r="AF55" s="1490">
        <f ca="1">+'Capex_FO input'!CS51</f>
        <v>0.1716585125</v>
      </c>
      <c r="AG55" s="1491">
        <f ca="1">+'Capex_FO input'!CT51</f>
        <v>0.1716585125</v>
      </c>
      <c r="AH55" s="1492">
        <f ca="1">+'Capex_FO input'!CU51</f>
        <v>0.1716585125</v>
      </c>
      <c r="AI55" s="1490">
        <f ca="1">+'Capex_FO input'!CV51</f>
        <v>0.1716585125</v>
      </c>
      <c r="AJ55" s="1490">
        <f ca="1">+'Capex_FO input'!CW51</f>
        <v>0.1716585125</v>
      </c>
      <c r="AK55" s="1490">
        <f ca="1">+'Capex_FO input'!CX51</f>
        <v>0.1716585125</v>
      </c>
      <c r="AL55" s="1491">
        <f ca="1">+'Capex_FO input'!CY51</f>
        <v>0.1716585125</v>
      </c>
    </row>
    <row r="56" spans="3:38" ht="11.25" customHeight="1" thickBot="1" x14ac:dyDescent="0.35">
      <c r="H56" s="73"/>
      <c r="I56" s="641"/>
      <c r="L56" s="120"/>
      <c r="M56" s="120"/>
      <c r="N56" s="120"/>
      <c r="O56" s="120"/>
      <c r="P56" s="120"/>
      <c r="Q56" s="120"/>
      <c r="R56" s="120"/>
      <c r="S56" s="120"/>
      <c r="T56" s="120"/>
      <c r="U56" s="120"/>
      <c r="V56" s="120"/>
      <c r="W56" s="120"/>
      <c r="X56" s="120"/>
      <c r="Y56" s="405"/>
      <c r="Z56" s="405"/>
      <c r="AA56" s="405"/>
      <c r="AB56" s="405"/>
      <c r="AC56" s="405"/>
      <c r="AD56" s="405"/>
      <c r="AE56" s="405"/>
      <c r="AF56" s="405"/>
      <c r="AG56" s="405"/>
      <c r="AH56" s="405"/>
      <c r="AI56" s="405"/>
      <c r="AJ56" s="405"/>
      <c r="AK56" s="405"/>
      <c r="AL56" s="405"/>
    </row>
    <row r="57" spans="3:38" ht="11.25" customHeight="1" x14ac:dyDescent="0.3">
      <c r="C57" s="120"/>
      <c r="D57" s="2403" t="str">
        <f>+'Capex_FO input'!C53</f>
        <v>Growth &amp; Development Upsizing &amp; Efficiency Program</v>
      </c>
      <c r="E57" s="2404"/>
      <c r="F57" s="2404"/>
      <c r="G57" s="2404"/>
      <c r="H57" s="2405"/>
      <c r="I57" s="1688">
        <f>+'Capex_FO input'!M53</f>
        <v>80</v>
      </c>
      <c r="J57" s="642"/>
      <c r="K57" s="642"/>
      <c r="L57" s="642"/>
      <c r="M57" s="642"/>
      <c r="N57" s="643"/>
      <c r="O57" s="642"/>
      <c r="P57" s="642"/>
      <c r="Q57" s="642"/>
      <c r="R57" s="644"/>
      <c r="S57" s="643"/>
      <c r="T57" s="642"/>
      <c r="U57" s="642"/>
      <c r="V57" s="642"/>
      <c r="W57" s="642"/>
      <c r="X57" s="643"/>
      <c r="Y57" s="642"/>
      <c r="Z57" s="642"/>
      <c r="AA57" s="642"/>
      <c r="AB57" s="1675"/>
      <c r="AC57" s="1496">
        <f ca="1">+'Capex_FO input'!CP53</f>
        <v>1.8024999999999999E-2</v>
      </c>
      <c r="AD57" s="1487">
        <f ca="1">+'Capex_FO input'!CQ53</f>
        <v>5.1963499999999996E-2</v>
      </c>
      <c r="AE57" s="1487">
        <f ca="1">+'Capex_FO input'!CR53</f>
        <v>8.426790499999999E-2</v>
      </c>
      <c r="AF57" s="1487">
        <f ca="1">+'Capex_FO input'!CS53</f>
        <v>0.11754144215000001</v>
      </c>
      <c r="AG57" s="1488">
        <f ca="1">+'Capex_FO input'!CT53</f>
        <v>0.15181318541450001</v>
      </c>
      <c r="AH57" s="1489">
        <f ca="1">+'Capex_FO input'!CU53</f>
        <v>0.18412795023561251</v>
      </c>
      <c r="AI57" s="1487">
        <f ca="1">+'Capex_FO input'!CV53</f>
        <v>0.21442702726003587</v>
      </c>
      <c r="AJ57" s="1487">
        <f ca="1">+'Capex_FO input'!CW53</f>
        <v>0.24563507659519196</v>
      </c>
      <c r="AK57" s="1487">
        <f ca="1">+'Capex_FO input'!CX53</f>
        <v>0.27777936741040271</v>
      </c>
      <c r="AL57" s="1488">
        <f ca="1">+'Capex_FO input'!CY53</f>
        <v>0.31088798695006981</v>
      </c>
    </row>
    <row r="58" spans="3:38" ht="11.25" customHeight="1" x14ac:dyDescent="0.3">
      <c r="C58" s="120"/>
      <c r="D58" s="2406" t="str">
        <f>+'Capex_FO input'!C54</f>
        <v>ICT Business Solutions Enhancements</v>
      </c>
      <c r="E58" s="2407"/>
      <c r="F58" s="2407"/>
      <c r="G58" s="2407"/>
      <c r="H58" s="2408"/>
      <c r="I58" s="1689">
        <f>+'Capex_FO input'!M54</f>
        <v>20</v>
      </c>
      <c r="J58" s="120"/>
      <c r="K58" s="120"/>
      <c r="L58" s="120"/>
      <c r="M58" s="120"/>
      <c r="N58" s="636"/>
      <c r="O58" s="120"/>
      <c r="P58" s="120"/>
      <c r="Q58" s="120"/>
      <c r="R58" s="637"/>
      <c r="S58" s="636"/>
      <c r="T58" s="120"/>
      <c r="U58" s="120"/>
      <c r="V58" s="120"/>
      <c r="W58" s="120"/>
      <c r="X58" s="636"/>
      <c r="Y58" s="120"/>
      <c r="Z58" s="120"/>
      <c r="AA58" s="120"/>
      <c r="AB58" s="1676"/>
      <c r="AC58" s="1496">
        <f ca="1">+'Capex_FO input'!CP54</f>
        <v>8.0687625000000013E-2</v>
      </c>
      <c r="AD58" s="1516">
        <f ca="1">+'Capex_FO input'!CQ54</f>
        <v>0.24087644375000003</v>
      </c>
      <c r="AE58" s="1516">
        <f ca="1">+'Capex_FO input'!CR54</f>
        <v>0.39232005136250003</v>
      </c>
      <c r="AF58" s="1516">
        <f ca="1">+'Capex_FO input'!CS54</f>
        <v>0.55610398412100004</v>
      </c>
      <c r="AG58" s="1499">
        <f ca="1">+'Capex_FO input'!CT54</f>
        <v>0.73121036340359757</v>
      </c>
      <c r="AH58" s="1496">
        <f ca="1">+'Capex_FO input'!CU54</f>
        <v>0.93388045344309512</v>
      </c>
      <c r="AI58" s="1516">
        <f ca="1">+'Capex_FO input'!CV54</f>
        <v>1.1762730696384822</v>
      </c>
      <c r="AJ58" s="1516">
        <f ca="1">+'Capex_FO input'!CW54</f>
        <v>1.4259374643197307</v>
      </c>
      <c r="AK58" s="1516">
        <f ca="1">+'Capex_FO input'!CX54</f>
        <v>1.6830917908414169</v>
      </c>
      <c r="AL58" s="1499">
        <f ca="1">+'Capex_FO input'!CY54</f>
        <v>1.9479607471587537</v>
      </c>
    </row>
    <row r="59" spans="3:38" ht="11.25" customHeight="1" x14ac:dyDescent="0.3">
      <c r="C59" s="120"/>
      <c r="D59" s="2406" t="str">
        <f>+'Capex_FO input'!C55</f>
        <v>Water Main Renewals Program</v>
      </c>
      <c r="E59" s="2407"/>
      <c r="F59" s="2407"/>
      <c r="G59" s="2407"/>
      <c r="H59" s="2408"/>
      <c r="I59" s="1689">
        <f>+'Capex_FO input'!M55</f>
        <v>80</v>
      </c>
      <c r="J59" s="120"/>
      <c r="K59" s="120"/>
      <c r="L59" s="120"/>
      <c r="M59" s="120"/>
      <c r="N59" s="636"/>
      <c r="O59" s="120"/>
      <c r="P59" s="120"/>
      <c r="Q59" s="120"/>
      <c r="R59" s="637"/>
      <c r="S59" s="636"/>
      <c r="T59" s="120"/>
      <c r="U59" s="120"/>
      <c r="V59" s="120"/>
      <c r="W59" s="120"/>
      <c r="X59" s="636"/>
      <c r="Y59" s="120"/>
      <c r="Z59" s="120"/>
      <c r="AA59" s="120"/>
      <c r="AB59" s="1676"/>
      <c r="AC59" s="1496">
        <f ca="1">+'Capex_FO input'!CP55</f>
        <v>1.1587500000000001E-2</v>
      </c>
      <c r="AD59" s="1516">
        <f ca="1">+'Capex_FO input'!CQ55</f>
        <v>3.5773187499999998E-2</v>
      </c>
      <c r="AE59" s="1516">
        <f ca="1">+'Capex_FO input'!CR55</f>
        <v>6.2030462500000001E-2</v>
      </c>
      <c r="AF59" s="1516">
        <f ca="1">+'Capex_FO input'!CS55</f>
        <v>9.0461853131249992E-2</v>
      </c>
      <c r="AG59" s="1499">
        <f ca="1">+'Capex_FO input'!CT55</f>
        <v>0.12117417478412501</v>
      </c>
      <c r="AH59" s="1496">
        <f ca="1">+'Capex_FO input'!CU55</f>
        <v>0.16995063146029751</v>
      </c>
      <c r="AI59" s="1516">
        <f ca="1">+'Capex_FO input'!CV55</f>
        <v>0.23660860091402891</v>
      </c>
      <c r="AJ59" s="1516">
        <f ca="1">+'Capex_FO input'!CW55</f>
        <v>0.30526630945137234</v>
      </c>
      <c r="AK59" s="1516">
        <f ca="1">+'Capex_FO input'!CX55</f>
        <v>0.37598374924483602</v>
      </c>
      <c r="AL59" s="1499">
        <f ca="1">+'Capex_FO input'!CY55</f>
        <v>0.44882271223210368</v>
      </c>
    </row>
    <row r="60" spans="3:38" x14ac:dyDescent="0.3">
      <c r="C60" s="120"/>
      <c r="D60" s="2406" t="str">
        <f>+'Capex_FO input'!C56</f>
        <v>Clear Water Storage Tank Rehabilitation Program</v>
      </c>
      <c r="E60" s="2407"/>
      <c r="F60" s="2407"/>
      <c r="G60" s="2407"/>
      <c r="H60" s="2408"/>
      <c r="I60" s="1689">
        <f>+'Capex_FO input'!M56</f>
        <v>80</v>
      </c>
      <c r="J60" s="120"/>
      <c r="K60" s="120"/>
      <c r="L60" s="120"/>
      <c r="M60" s="120"/>
      <c r="N60" s="636"/>
      <c r="O60" s="120"/>
      <c r="P60" s="120"/>
      <c r="Q60" s="120"/>
      <c r="R60" s="637"/>
      <c r="S60" s="636"/>
      <c r="T60" s="120"/>
      <c r="U60" s="120"/>
      <c r="V60" s="120"/>
      <c r="W60" s="120"/>
      <c r="X60" s="636"/>
      <c r="Y60" s="120"/>
      <c r="Z60" s="120"/>
      <c r="AA60" s="120"/>
      <c r="AB60" s="1676"/>
      <c r="AC60" s="1496">
        <f ca="1">+'Capex_FO input'!CP56</f>
        <v>4.828125E-3</v>
      </c>
      <c r="AD60" s="1516">
        <f ca="1">+'Capex_FO input'!CQ56</f>
        <v>2.125984375E-2</v>
      </c>
      <c r="AE60" s="1516">
        <f ca="1">+'Capex_FO input'!CR56</f>
        <v>4.6522524999999995E-2</v>
      </c>
      <c r="AF60" s="1516">
        <f ca="1">+'Capex_FO input'!CS56</f>
        <v>7.7767687656250001E-2</v>
      </c>
      <c r="AG60" s="1499">
        <f ca="1">+'Capex_FO input'!CT56</f>
        <v>0.1163656054091875</v>
      </c>
      <c r="AH60" s="1496">
        <f ca="1">+'Capex_FO input'!CU56</f>
        <v>0.15976592856579375</v>
      </c>
      <c r="AI60" s="1516">
        <f ca="1">+'Capex_FO input'!CV56</f>
        <v>0.20521454410242884</v>
      </c>
      <c r="AJ60" s="1516">
        <f ca="1">+'Capex_FO input'!CW56</f>
        <v>0.25202661810516297</v>
      </c>
      <c r="AK60" s="1516">
        <f ca="1">+'Capex_FO input'!CX56</f>
        <v>0.30024305432797904</v>
      </c>
      <c r="AL60" s="1499">
        <f ca="1">+'Capex_FO input'!CY56</f>
        <v>0.34990598363747966</v>
      </c>
    </row>
    <row r="61" spans="3:38" x14ac:dyDescent="0.3">
      <c r="C61" s="120"/>
      <c r="D61" s="2406" t="str">
        <f>+'Capex_FO input'!C57</f>
        <v>Sewer Gravity Main Renewals Program</v>
      </c>
      <c r="E61" s="2407"/>
      <c r="F61" s="2407"/>
      <c r="G61" s="2407"/>
      <c r="H61" s="2408"/>
      <c r="I61" s="1689">
        <f>+'Capex_FO input'!M57</f>
        <v>80</v>
      </c>
      <c r="J61" s="120"/>
      <c r="K61" s="120"/>
      <c r="L61" s="120"/>
      <c r="M61" s="120"/>
      <c r="N61" s="636"/>
      <c r="O61" s="120"/>
      <c r="P61" s="120"/>
      <c r="Q61" s="120"/>
      <c r="R61" s="637"/>
      <c r="S61" s="636"/>
      <c r="T61" s="120"/>
      <c r="U61" s="120"/>
      <c r="V61" s="120"/>
      <c r="W61" s="120"/>
      <c r="X61" s="636"/>
      <c r="Y61" s="120"/>
      <c r="Z61" s="120"/>
      <c r="AA61" s="120"/>
      <c r="AB61" s="1676"/>
      <c r="AC61" s="1496">
        <f ca="1">+'Capex_FO input'!CP57</f>
        <v>1.03E-2</v>
      </c>
      <c r="AD61" s="1516">
        <f ca="1">+'Capex_FO input'!CQ57</f>
        <v>3.1872062499999999E-2</v>
      </c>
      <c r="AE61" s="1516">
        <f ca="1">+'Capex_FO input'!CR57</f>
        <v>5.543730375E-2</v>
      </c>
      <c r="AF61" s="1516">
        <f ca="1">+'Capex_FO input'!CS57</f>
        <v>8.1095899618749995E-2</v>
      </c>
      <c r="AG61" s="1499">
        <f ca="1">+'Capex_FO input'!CT57</f>
        <v>0.10895224266624999</v>
      </c>
      <c r="AH61" s="1496">
        <f ca="1">+'Capex_FO input'!CU57</f>
        <v>0.13986138767227374</v>
      </c>
      <c r="AI61" s="1516">
        <f ca="1">+'Capex_FO input'!CV57</f>
        <v>0.17319037239913945</v>
      </c>
      <c r="AJ61" s="1516">
        <f ca="1">+'Capex_FO input'!CW57</f>
        <v>0.20751922666781117</v>
      </c>
      <c r="AK61" s="1516">
        <f ca="1">+'Capex_FO input'!CX57</f>
        <v>0.24287794656454301</v>
      </c>
      <c r="AL61" s="1499">
        <f ca="1">+'Capex_FO input'!CY57</f>
        <v>0.27929742805817681</v>
      </c>
    </row>
    <row r="62" spans="3:38" x14ac:dyDescent="0.3">
      <c r="C62" s="120"/>
      <c r="D62" s="2406" t="str">
        <f>+'Capex_FO input'!C58</f>
        <v>Ballarat South Sewer Treatment Plant Upgrades</v>
      </c>
      <c r="E62" s="2407"/>
      <c r="F62" s="2407"/>
      <c r="G62" s="2407"/>
      <c r="H62" s="2408"/>
      <c r="I62" s="1689">
        <f>+'Capex_FO input'!M58</f>
        <v>60</v>
      </c>
      <c r="J62" s="120"/>
      <c r="K62" s="120"/>
      <c r="L62" s="120"/>
      <c r="M62" s="120"/>
      <c r="N62" s="636"/>
      <c r="O62" s="120"/>
      <c r="P62" s="120"/>
      <c r="Q62" s="120"/>
      <c r="R62" s="637"/>
      <c r="S62" s="636"/>
      <c r="T62" s="120"/>
      <c r="U62" s="120"/>
      <c r="V62" s="120"/>
      <c r="W62" s="120"/>
      <c r="X62" s="636"/>
      <c r="Y62" s="120"/>
      <c r="Z62" s="120"/>
      <c r="AA62" s="120"/>
      <c r="AB62" s="1676"/>
      <c r="AC62" s="1496">
        <f ca="1">+'Capex_FO input'!CP58</f>
        <v>7.7250000000000001E-3</v>
      </c>
      <c r="AD62" s="1516">
        <f ca="1">+'Capex_FO input'!CQ58</f>
        <v>2.2787891666666667E-2</v>
      </c>
      <c r="AE62" s="1516">
        <f ca="1">+'Capex_FO input'!CR58</f>
        <v>3.6545554458333331E-2</v>
      </c>
      <c r="AF62" s="1516">
        <f ca="1">+'Capex_FO input'!CS58</f>
        <v>6.1207947545416669E-2</v>
      </c>
      <c r="AG62" s="1499">
        <f ca="1">+'Capex_FO input'!CT58</f>
        <v>9.2395796670516672E-2</v>
      </c>
      <c r="AH62" s="1496">
        <f ca="1">+'Capex_FO input'!CU58</f>
        <v>0.13081413949281867</v>
      </c>
      <c r="AI62" s="1516">
        <f ca="1">+'Capex_FO input'!CV58</f>
        <v>0.19871790350926202</v>
      </c>
      <c r="AJ62" s="1516">
        <f ca="1">+'Capex_FO input'!CW58</f>
        <v>0.26215582238276469</v>
      </c>
      <c r="AK62" s="1516">
        <f ca="1">+'Capex_FO input'!CX58</f>
        <v>0.32165390182207204</v>
      </c>
      <c r="AL62" s="1499">
        <f ca="1">+'Capex_FO input'!CY58</f>
        <v>0.40443795474758476</v>
      </c>
    </row>
    <row r="63" spans="3:38" x14ac:dyDescent="0.3">
      <c r="C63" s="120"/>
      <c r="D63" s="2406" t="str">
        <f>+'Capex_FO input'!C59</f>
        <v>Cardigan Village Sewer Treatment Plant Capacity Improvements</v>
      </c>
      <c r="E63" s="2407"/>
      <c r="F63" s="2407"/>
      <c r="G63" s="2407"/>
      <c r="H63" s="2408"/>
      <c r="I63" s="1689">
        <f>+'Capex_FO input'!M59</f>
        <v>60</v>
      </c>
      <c r="J63" s="120"/>
      <c r="K63" s="120"/>
      <c r="L63" s="120"/>
      <c r="M63" s="120"/>
      <c r="N63" s="636"/>
      <c r="O63" s="120"/>
      <c r="P63" s="120"/>
      <c r="Q63" s="120"/>
      <c r="R63" s="637"/>
      <c r="S63" s="636"/>
      <c r="T63" s="120"/>
      <c r="U63" s="120"/>
      <c r="V63" s="120"/>
      <c r="W63" s="120"/>
      <c r="X63" s="636"/>
      <c r="Y63" s="120"/>
      <c r="Z63" s="120"/>
      <c r="AA63" s="120"/>
      <c r="AB63" s="1676"/>
      <c r="AC63" s="1496">
        <f ca="1">+'Capex_FO input'!CP59</f>
        <v>8.5833333333333345E-4</v>
      </c>
      <c r="AD63" s="1516">
        <f ca="1">+'Capex_FO input'!CQ59</f>
        <v>1.7166666666666669E-3</v>
      </c>
      <c r="AE63" s="1516">
        <f ca="1">+'Capex_FO input'!CR59</f>
        <v>1.7166666666666669E-3</v>
      </c>
      <c r="AF63" s="1516">
        <f ca="1">+'Capex_FO input'!CS59</f>
        <v>2.7483830758333336E-3</v>
      </c>
      <c r="AG63" s="1499">
        <f ca="1">+'Capex_FO input'!CT59</f>
        <v>3.4694074799666672E-2</v>
      </c>
      <c r="AH63" s="1496">
        <f ca="1">+'Capex_FO input'!CU59</f>
        <v>9.6454401107999174E-2</v>
      </c>
      <c r="AI63" s="1516">
        <f ca="1">+'Capex_FO input'!CV59</f>
        <v>0.12730075210166503</v>
      </c>
      <c r="AJ63" s="1516">
        <f ca="1">+'Capex_FO input'!CW59</f>
        <v>0.12730075210166503</v>
      </c>
      <c r="AK63" s="1516">
        <f ca="1">+'Capex_FO input'!CX59</f>
        <v>0.12730075210166503</v>
      </c>
      <c r="AL63" s="1499">
        <f ca="1">+'Capex_FO input'!CY59</f>
        <v>0.12730075210166503</v>
      </c>
    </row>
    <row r="64" spans="3:38" x14ac:dyDescent="0.3">
      <c r="C64" s="120"/>
      <c r="D64" s="2406" t="str">
        <f>+'Capex_FO input'!C60</f>
        <v>Ballarat North Sewer Treatment Plant Upgrades</v>
      </c>
      <c r="E64" s="2407"/>
      <c r="F64" s="2407"/>
      <c r="G64" s="2407"/>
      <c r="H64" s="2408"/>
      <c r="I64" s="1689">
        <f>+'Capex_FO input'!M60</f>
        <v>60</v>
      </c>
      <c r="J64" s="120"/>
      <c r="K64" s="120"/>
      <c r="L64" s="120"/>
      <c r="M64" s="120"/>
      <c r="N64" s="636"/>
      <c r="O64" s="120"/>
      <c r="P64" s="120"/>
      <c r="Q64" s="120"/>
      <c r="R64" s="637"/>
      <c r="S64" s="636"/>
      <c r="T64" s="120"/>
      <c r="U64" s="120"/>
      <c r="V64" s="120"/>
      <c r="W64" s="120"/>
      <c r="X64" s="636"/>
      <c r="Y64" s="120"/>
      <c r="Z64" s="120"/>
      <c r="AA64" s="120"/>
      <c r="AB64" s="1676"/>
      <c r="AC64" s="1496">
        <f ca="1">+'Capex_FO input'!CP60</f>
        <v>0</v>
      </c>
      <c r="AD64" s="1516">
        <f ca="1">+'Capex_FO input'!CQ60</f>
        <v>0</v>
      </c>
      <c r="AE64" s="1516">
        <f ca="1">+'Capex_FO input'!CR60</f>
        <v>1.8212116666666666E-3</v>
      </c>
      <c r="AF64" s="1516">
        <f ca="1">+'Capex_FO input'!CS60</f>
        <v>1.1145815400000002E-2</v>
      </c>
      <c r="AG64" s="1499">
        <f ca="1">+'Capex_FO input'!CT60</f>
        <v>5.7001858091425009E-2</v>
      </c>
      <c r="AH64" s="1496">
        <f ca="1">+'Capex_FO input'!CU60</f>
        <v>0.13605179115621344</v>
      </c>
      <c r="AI64" s="1516">
        <f ca="1">+'Capex_FO input'!CV60</f>
        <v>0.20032165601688684</v>
      </c>
      <c r="AJ64" s="1516">
        <f ca="1">+'Capex_FO input'!CW60</f>
        <v>0.24817399833079284</v>
      </c>
      <c r="AK64" s="1516">
        <f ca="1">+'Capex_FO input'!CX60</f>
        <v>0.297461910914116</v>
      </c>
      <c r="AL64" s="1499">
        <f ca="1">+'Capex_FO input'!CY60</f>
        <v>0.3517562413707172</v>
      </c>
    </row>
    <row r="65" spans="3:38" x14ac:dyDescent="0.3">
      <c r="C65" s="120"/>
      <c r="D65" s="2406" t="str">
        <f>+'Capex_FO input'!C61</f>
        <v>Integrated Water Management Program</v>
      </c>
      <c r="E65" s="2407"/>
      <c r="F65" s="2407"/>
      <c r="G65" s="2407"/>
      <c r="H65" s="2408"/>
      <c r="I65" s="1689">
        <f>+'Capex_FO input'!M61</f>
        <v>60</v>
      </c>
      <c r="J65" s="120"/>
      <c r="K65" s="120"/>
      <c r="L65" s="120"/>
      <c r="M65" s="120"/>
      <c r="N65" s="636"/>
      <c r="O65" s="120"/>
      <c r="P65" s="120"/>
      <c r="Q65" s="120"/>
      <c r="R65" s="637"/>
      <c r="S65" s="636"/>
      <c r="T65" s="120"/>
      <c r="U65" s="120"/>
      <c r="V65" s="120"/>
      <c r="W65" s="120"/>
      <c r="X65" s="636"/>
      <c r="Y65" s="120"/>
      <c r="Z65" s="120"/>
      <c r="AA65" s="120"/>
      <c r="AB65" s="1676"/>
      <c r="AC65" s="1496">
        <f ca="1">+'Capex_FO input'!CP61</f>
        <v>2.06E-2</v>
      </c>
      <c r="AD65" s="1516">
        <f ca="1">+'Capex_FO input'!CQ61</f>
        <v>4.5620416666666663E-2</v>
      </c>
      <c r="AE65" s="1516">
        <f ca="1">+'Capex_FO input'!CR61</f>
        <v>5.0951439166666668E-2</v>
      </c>
      <c r="AF65" s="1516">
        <f ca="1">+'Capex_FO input'!CS61</f>
        <v>5.4675817025000004E-2</v>
      </c>
      <c r="AG65" s="1499">
        <f ca="1">+'Capex_FO input'!CT61</f>
        <v>6.9082329793000011E-2</v>
      </c>
      <c r="AH65" s="1496">
        <f ca="1">+'Capex_FO input'!CU61</f>
        <v>9.6595767823053347E-2</v>
      </c>
      <c r="AI65" s="1516">
        <f ca="1">+'Capex_FO input'!CV61</f>
        <v>0.12891478331577161</v>
      </c>
      <c r="AJ65" s="1516">
        <f ca="1">+'Capex_FO input'!CW61</f>
        <v>0.16220336927327145</v>
      </c>
      <c r="AK65" s="1516">
        <f ca="1">+'Capex_FO input'!CX61</f>
        <v>0.19649061280949626</v>
      </c>
      <c r="AL65" s="1499">
        <f ca="1">+'Capex_FO input'!CY61</f>
        <v>0.23180647365180784</v>
      </c>
    </row>
    <row r="66" spans="3:38" x14ac:dyDescent="0.3">
      <c r="C66" s="120"/>
      <c r="D66" s="2406" t="str">
        <f>+'Capex_FO input'!C62</f>
        <v>Waubra Water Treatment Plant Upgrade</v>
      </c>
      <c r="E66" s="2407"/>
      <c r="F66" s="2407"/>
      <c r="G66" s="2407"/>
      <c r="H66" s="2408"/>
      <c r="I66" s="1689">
        <f>+'Capex_FO input'!M62</f>
        <v>60</v>
      </c>
      <c r="J66" s="120"/>
      <c r="K66" s="120"/>
      <c r="L66" s="120"/>
      <c r="M66" s="120"/>
      <c r="N66" s="636"/>
      <c r="O66" s="120"/>
      <c r="P66" s="120"/>
      <c r="Q66" s="120"/>
      <c r="R66" s="637"/>
      <c r="S66" s="636"/>
      <c r="T66" s="120"/>
      <c r="U66" s="120"/>
      <c r="V66" s="120"/>
      <c r="W66" s="120"/>
      <c r="X66" s="636"/>
      <c r="Y66" s="120"/>
      <c r="Z66" s="120"/>
      <c r="AA66" s="120"/>
      <c r="AB66" s="1676"/>
      <c r="AC66" s="1496">
        <f ca="1">+'Capex_FO input'!CP62</f>
        <v>4.2916666666666673E-4</v>
      </c>
      <c r="AD66" s="1516">
        <f ca="1">+'Capex_FO input'!CQ62</f>
        <v>8.5833333333333345E-4</v>
      </c>
      <c r="AE66" s="1516">
        <f ca="1">+'Capex_FO input'!CR62</f>
        <v>8.5833333333333345E-4</v>
      </c>
      <c r="AF66" s="1516">
        <f ca="1">+'Capex_FO input'!CS62</f>
        <v>6.9548393875000017E-3</v>
      </c>
      <c r="AG66" s="1499">
        <f ca="1">+'Capex_FO input'!CT62</f>
        <v>4.6863505942083335E-2</v>
      </c>
      <c r="AH66" s="1496">
        <f ca="1">+'Capex_FO input'!CU62</f>
        <v>0.10057653805131667</v>
      </c>
      <c r="AI66" s="1516">
        <f ca="1">+'Capex_FO input'!CV62</f>
        <v>0.12047740966013334</v>
      </c>
      <c r="AJ66" s="1516">
        <f ca="1">+'Capex_FO input'!CW62</f>
        <v>0.12047740966013334</v>
      </c>
      <c r="AK66" s="1516">
        <f ca="1">+'Capex_FO input'!CX62</f>
        <v>0.12047740966013334</v>
      </c>
      <c r="AL66" s="1499">
        <f ca="1">+'Capex_FO input'!CY62</f>
        <v>0.12047740966013334</v>
      </c>
    </row>
    <row r="67" spans="3:38" ht="11.25" customHeight="1" x14ac:dyDescent="0.3">
      <c r="C67" s="120"/>
      <c r="D67" s="2406" t="str">
        <f>+'Capex_FO input'!C63</f>
        <v>Fleet &amp; Major Plant Replacement Program</v>
      </c>
      <c r="E67" s="2407"/>
      <c r="F67" s="2407"/>
      <c r="G67" s="2407"/>
      <c r="H67" s="2408"/>
      <c r="I67" s="1689">
        <f>+'Capex_FO input'!M63</f>
        <v>80</v>
      </c>
      <c r="J67" s="120"/>
      <c r="K67" s="120"/>
      <c r="L67" s="120"/>
      <c r="M67" s="120"/>
      <c r="N67" s="636"/>
      <c r="O67" s="120"/>
      <c r="P67" s="120"/>
      <c r="Q67" s="120"/>
      <c r="R67" s="637"/>
      <c r="S67" s="636"/>
      <c r="T67" s="120"/>
      <c r="U67" s="120"/>
      <c r="V67" s="120"/>
      <c r="W67" s="120"/>
      <c r="X67" s="636"/>
      <c r="Y67" s="120"/>
      <c r="Z67" s="120"/>
      <c r="AA67" s="120"/>
      <c r="AB67" s="1676"/>
      <c r="AC67" s="1496">
        <f ca="1">+'Capex_FO input'!CP63</f>
        <v>5.1500000000000001E-3</v>
      </c>
      <c r="AD67" s="1516">
        <f ca="1">+'Capex_FO input'!CQ63</f>
        <v>1.56045E-2</v>
      </c>
      <c r="AE67" s="1516">
        <f ca="1">+'Capex_FO input'!CR63</f>
        <v>2.6372634999999998E-2</v>
      </c>
      <c r="AF67" s="1516">
        <f ca="1">+'Capex_FO input'!CS63</f>
        <v>3.7463814050000002E-2</v>
      </c>
      <c r="AG67" s="1499">
        <f ca="1">+'Capex_FO input'!CT63</f>
        <v>4.8887728471499997E-2</v>
      </c>
      <c r="AH67" s="1496">
        <f ca="1">+'Capex_FO input'!CU63</f>
        <v>6.4833543363496504E-2</v>
      </c>
      <c r="AI67" s="1516">
        <f ca="1">+'Capex_FO input'!CV63</f>
        <v>8.2669699542898462E-2</v>
      </c>
      <c r="AJ67" s="1516">
        <f ca="1">+'Capex_FO input'!CW63</f>
        <v>9.827372421047649E-2</v>
      </c>
      <c r="AK67" s="1516">
        <f ca="1">+'Capex_FO input'!CX63</f>
        <v>0.11434586961808187</v>
      </c>
      <c r="AL67" s="1499">
        <f ca="1">+'Capex_FO input'!CY63</f>
        <v>0.1309001793879154</v>
      </c>
    </row>
    <row r="68" spans="3:38" ht="11.25" customHeight="1" x14ac:dyDescent="0.3">
      <c r="C68" s="120"/>
      <c r="D68" s="2406" t="str">
        <f>+'Capex_FO input'!C64</f>
        <v>Water Network - Network Rehabilitation</v>
      </c>
      <c r="E68" s="2407"/>
      <c r="F68" s="2407"/>
      <c r="G68" s="2407"/>
      <c r="H68" s="2408"/>
      <c r="I68" s="1689">
        <f>+'Capex_FO input'!M64</f>
        <v>80</v>
      </c>
      <c r="J68" s="120"/>
      <c r="K68" s="120"/>
      <c r="L68" s="120"/>
      <c r="M68" s="120"/>
      <c r="N68" s="636"/>
      <c r="O68" s="120"/>
      <c r="P68" s="120"/>
      <c r="Q68" s="120"/>
      <c r="R68" s="637"/>
      <c r="S68" s="636"/>
      <c r="T68" s="120"/>
      <c r="U68" s="120"/>
      <c r="V68" s="120"/>
      <c r="W68" s="120"/>
      <c r="X68" s="636"/>
      <c r="Y68" s="120"/>
      <c r="Z68" s="120"/>
      <c r="AA68" s="120"/>
      <c r="AB68" s="1676"/>
      <c r="AC68" s="1496">
        <f ca="1">+'Capex_FO input'!CP64</f>
        <v>1.4806249999999998E-2</v>
      </c>
      <c r="AD68" s="1516">
        <f ca="1">+'Capex_FO input'!CQ64</f>
        <v>3.0275562499999995E-2</v>
      </c>
      <c r="AE68" s="1516">
        <f ca="1">+'Capex_FO input'!CR64</f>
        <v>3.1963056562499995E-2</v>
      </c>
      <c r="AF68" s="1516">
        <f ca="1">+'Capex_FO input'!CS64</f>
        <v>3.580126015E-2</v>
      </c>
      <c r="AG68" s="1499">
        <f ca="1">+'Capex_FO input'!CT64</f>
        <v>4.1150944212531244E-2</v>
      </c>
      <c r="AH68" s="1496">
        <f ca="1">+'Capex_FO input'!CU64</f>
        <v>4.7269013139649492E-2</v>
      </c>
      <c r="AI68" s="1516">
        <f ca="1">+'Capex_FO input'!CV64</f>
        <v>5.2619113710784739E-2</v>
      </c>
      <c r="AJ68" s="1516">
        <f ca="1">+'Capex_FO input'!CW64</f>
        <v>5.6208039384327696E-2</v>
      </c>
      <c r="AK68" s="1516">
        <f ca="1">+'Capex_FO input'!CX64</f>
        <v>5.9904632828076933E-2</v>
      </c>
      <c r="AL68" s="1499">
        <f ca="1">+'Capex_FO input'!CY64</f>
        <v>6.371212407513864E-2</v>
      </c>
    </row>
    <row r="69" spans="3:38" ht="11.25" customHeight="1" x14ac:dyDescent="0.3">
      <c r="C69" s="120"/>
      <c r="D69" s="2406" t="str">
        <f>+'Capex_FO input'!C65</f>
        <v>Ballarat Water Growth Project - Ballarat West UGZ southern section</v>
      </c>
      <c r="E69" s="2407"/>
      <c r="F69" s="2407"/>
      <c r="G69" s="2407"/>
      <c r="H69" s="2408"/>
      <c r="I69" s="1689">
        <f>+'Capex_FO input'!M65</f>
        <v>60</v>
      </c>
      <c r="J69" s="120"/>
      <c r="K69" s="120"/>
      <c r="L69" s="120"/>
      <c r="M69" s="120"/>
      <c r="N69" s="636"/>
      <c r="O69" s="120"/>
      <c r="P69" s="120"/>
      <c r="Q69" s="120"/>
      <c r="R69" s="637"/>
      <c r="S69" s="636"/>
      <c r="T69" s="120"/>
      <c r="U69" s="120"/>
      <c r="V69" s="120"/>
      <c r="W69" s="120"/>
      <c r="X69" s="636"/>
      <c r="Y69" s="120"/>
      <c r="Z69" s="120"/>
      <c r="AA69" s="120"/>
      <c r="AB69" s="1676"/>
      <c r="AC69" s="1496">
        <f ca="1">+'Capex_FO input'!CP65</f>
        <v>0</v>
      </c>
      <c r="AD69" s="1516">
        <f ca="1">+'Capex_FO input'!CQ65</f>
        <v>2.6522500000000001E-3</v>
      </c>
      <c r="AE69" s="1516">
        <f ca="1">+'Capex_FO input'!CR65</f>
        <v>2.5565479791666668E-2</v>
      </c>
      <c r="AF69" s="1516">
        <f ca="1">+'Capex_FO input'!CS65</f>
        <v>5.0516079625000002E-2</v>
      </c>
      <c r="AG69" s="1499">
        <f ca="1">+'Capex_FO input'!CT65</f>
        <v>5.520569966666667E-2</v>
      </c>
      <c r="AH69" s="1496">
        <f ca="1">+'Capex_FO input'!CU65</f>
        <v>5.520569966666667E-2</v>
      </c>
      <c r="AI69" s="1516">
        <f ca="1">+'Capex_FO input'!CV65</f>
        <v>5.520569966666667E-2</v>
      </c>
      <c r="AJ69" s="1516">
        <f ca="1">+'Capex_FO input'!CW65</f>
        <v>5.520569966666667E-2</v>
      </c>
      <c r="AK69" s="1516">
        <f ca="1">+'Capex_FO input'!CX65</f>
        <v>5.520569966666667E-2</v>
      </c>
      <c r="AL69" s="1499">
        <f ca="1">+'Capex_FO input'!CY65</f>
        <v>5.520569966666667E-2</v>
      </c>
    </row>
    <row r="70" spans="3:38" ht="11.25" customHeight="1" x14ac:dyDescent="0.3">
      <c r="C70" s="120"/>
      <c r="D70" s="2406" t="str">
        <f>+'Capex_FO input'!C66</f>
        <v>Major Water Main Renewal  - Colac Rd Trunk Main</v>
      </c>
      <c r="E70" s="2407"/>
      <c r="F70" s="2407"/>
      <c r="G70" s="2407"/>
      <c r="H70" s="2408"/>
      <c r="I70" s="1689">
        <f>+'Capex_FO input'!M66</f>
        <v>80</v>
      </c>
      <c r="J70" s="120"/>
      <c r="K70" s="120"/>
      <c r="L70" s="120"/>
      <c r="M70" s="120"/>
      <c r="N70" s="636"/>
      <c r="O70" s="120"/>
      <c r="P70" s="120"/>
      <c r="Q70" s="120"/>
      <c r="R70" s="637"/>
      <c r="S70" s="636"/>
      <c r="T70" s="120"/>
      <c r="U70" s="120"/>
      <c r="V70" s="120"/>
      <c r="W70" s="120"/>
      <c r="X70" s="636"/>
      <c r="Y70" s="120"/>
      <c r="Z70" s="120"/>
      <c r="AA70" s="120"/>
      <c r="AB70" s="1676"/>
      <c r="AC70" s="1496">
        <f ca="1">+'Capex_FO input'!CP66</f>
        <v>0</v>
      </c>
      <c r="AD70" s="1516">
        <f ca="1">+'Capex_FO input'!CQ66</f>
        <v>0</v>
      </c>
      <c r="AE70" s="1516">
        <f ca="1">+'Capex_FO input'!CR66</f>
        <v>0</v>
      </c>
      <c r="AF70" s="1516">
        <f ca="1">+'Capex_FO input'!CS66</f>
        <v>7.0344300625000008E-4</v>
      </c>
      <c r="AG70" s="1499">
        <f ca="1">+'Capex_FO input'!CT66</f>
        <v>2.2418728609187501E-2</v>
      </c>
      <c r="AH70" s="1496">
        <f ca="1">+'Capex_FO input'!CU66</f>
        <v>4.3430571205874999E-2</v>
      </c>
      <c r="AI70" s="1516">
        <f ca="1">+'Capex_FO input'!CV66</f>
        <v>4.3430571205874999E-2</v>
      </c>
      <c r="AJ70" s="1516">
        <f ca="1">+'Capex_FO input'!CW66</f>
        <v>4.3430571205874999E-2</v>
      </c>
      <c r="AK70" s="1516">
        <f ca="1">+'Capex_FO input'!CX66</f>
        <v>4.5877020925554832E-2</v>
      </c>
      <c r="AL70" s="1499">
        <f ca="1">+'Capex_FO input'!CY66</f>
        <v>8.780101428846826E-2</v>
      </c>
    </row>
    <row r="71" spans="3:38" ht="11.25" customHeight="1" x14ac:dyDescent="0.3">
      <c r="C71" s="120"/>
      <c r="D71" s="2406" t="str">
        <f>+'Capex_FO input'!C67</f>
        <v>White Swan Water Treatment Plant UV upgrade</v>
      </c>
      <c r="E71" s="2407"/>
      <c r="F71" s="2407"/>
      <c r="G71" s="2407"/>
      <c r="H71" s="2408"/>
      <c r="I71" s="1689">
        <f>+'Capex_FO input'!M67</f>
        <v>60</v>
      </c>
      <c r="J71" s="120"/>
      <c r="K71" s="120"/>
      <c r="L71" s="120"/>
      <c r="M71" s="120"/>
      <c r="N71" s="636"/>
      <c r="O71" s="120"/>
      <c r="P71" s="120"/>
      <c r="Q71" s="120"/>
      <c r="R71" s="637"/>
      <c r="S71" s="636"/>
      <c r="T71" s="120"/>
      <c r="U71" s="120"/>
      <c r="V71" s="120"/>
      <c r="W71" s="120"/>
      <c r="X71" s="636"/>
      <c r="Y71" s="120"/>
      <c r="Z71" s="120"/>
      <c r="AA71" s="120"/>
      <c r="AB71" s="1676"/>
      <c r="AC71" s="1496">
        <f ca="1">+'Capex_FO input'!CP67</f>
        <v>0</v>
      </c>
      <c r="AD71" s="1516">
        <f ca="1">+'Capex_FO input'!CQ67</f>
        <v>0</v>
      </c>
      <c r="AE71" s="1516">
        <f ca="1">+'Capex_FO input'!CR67</f>
        <v>0</v>
      </c>
      <c r="AF71" s="1516">
        <f ca="1">+'Capex_FO input'!CS67</f>
        <v>2.7481173444166673E-2</v>
      </c>
      <c r="AG71" s="1499">
        <f ca="1">+'Capex_FO input'!CT67</f>
        <v>5.4962346888333347E-2</v>
      </c>
      <c r="AH71" s="1496">
        <f ca="1">+'Capex_FO input'!CU67</f>
        <v>5.4962346888333347E-2</v>
      </c>
      <c r="AI71" s="1516">
        <f ca="1">+'Capex_FO input'!CV67</f>
        <v>5.4962346888333347E-2</v>
      </c>
      <c r="AJ71" s="1516">
        <f ca="1">+'Capex_FO input'!CW67</f>
        <v>5.4962346888333347E-2</v>
      </c>
      <c r="AK71" s="1516">
        <f ca="1">+'Capex_FO input'!CX67</f>
        <v>5.4962346888333347E-2</v>
      </c>
      <c r="AL71" s="1499">
        <f ca="1">+'Capex_FO input'!CY67</f>
        <v>5.4962346888333347E-2</v>
      </c>
    </row>
    <row r="72" spans="3:38" ht="11.25" customHeight="1" x14ac:dyDescent="0.3">
      <c r="C72" s="120"/>
      <c r="D72" s="2406" t="str">
        <f>+'Capex_FO input'!C68</f>
        <v>Regional Sewer Treatment Plant Upgrades</v>
      </c>
      <c r="E72" s="2407"/>
      <c r="F72" s="2407"/>
      <c r="G72" s="2407"/>
      <c r="H72" s="2408"/>
      <c r="I72" s="1689">
        <f>+'Capex_FO input'!M68</f>
        <v>80</v>
      </c>
      <c r="J72" s="120"/>
      <c r="K72" s="120"/>
      <c r="L72" s="120"/>
      <c r="M72" s="120"/>
      <c r="N72" s="636"/>
      <c r="O72" s="120"/>
      <c r="P72" s="120"/>
      <c r="Q72" s="120"/>
      <c r="R72" s="637"/>
      <c r="S72" s="636"/>
      <c r="T72" s="120"/>
      <c r="U72" s="120"/>
      <c r="V72" s="120"/>
      <c r="W72" s="120"/>
      <c r="X72" s="636"/>
      <c r="Y72" s="120"/>
      <c r="Z72" s="120"/>
      <c r="AA72" s="120"/>
      <c r="AB72" s="1676"/>
      <c r="AC72" s="1496">
        <f ca="1">+'Capex_FO input'!CP68</f>
        <v>5.1500000000000005E-4</v>
      </c>
      <c r="AD72" s="1516">
        <f ca="1">+'Capex_FO input'!CQ68</f>
        <v>4.7431500000000007E-3</v>
      </c>
      <c r="AE72" s="1516">
        <f ca="1">+'Capex_FO input'!CR68</f>
        <v>1.2280844500000002E-2</v>
      </c>
      <c r="AF72" s="1516">
        <f ca="1">+'Capex_FO input'!CS68</f>
        <v>2.0044669835000008E-2</v>
      </c>
      <c r="AG72" s="1499">
        <f ca="1">+'Capex_FO input'!CT68</f>
        <v>3.22437784493875E-2</v>
      </c>
      <c r="AH72" s="1496">
        <f ca="1">+'Capex_FO input'!CU68</f>
        <v>4.6623124248486129E-2</v>
      </c>
      <c r="AI72" s="1516">
        <f ca="1">+'Capex_FO input'!CV68</f>
        <v>5.904574582849971E-2</v>
      </c>
      <c r="AJ72" s="1516">
        <f ca="1">+'Capex_FO input'!CW68</f>
        <v>6.8674120852444662E-2</v>
      </c>
      <c r="AK72" s="1516">
        <f ca="1">+'Capex_FO input'!CX68</f>
        <v>7.5424421923638921E-2</v>
      </c>
      <c r="AL72" s="1499">
        <f ca="1">+'Capex_FO input'!CY68</f>
        <v>8.2377232026969005E-2</v>
      </c>
    </row>
    <row r="73" spans="3:38" ht="11.25" customHeight="1" x14ac:dyDescent="0.3">
      <c r="C73" s="120"/>
      <c r="D73" s="2406" t="str">
        <f>+'Capex_FO input'!C69</f>
        <v>Strategic Land Acquisitions</v>
      </c>
      <c r="E73" s="2407"/>
      <c r="F73" s="2407"/>
      <c r="G73" s="2407"/>
      <c r="H73" s="2408"/>
      <c r="I73" s="1689">
        <f>+'Capex_FO input'!M69</f>
        <v>60</v>
      </c>
      <c r="J73" s="120"/>
      <c r="K73" s="120"/>
      <c r="L73" s="120"/>
      <c r="M73" s="120"/>
      <c r="N73" s="636"/>
      <c r="O73" s="120"/>
      <c r="P73" s="120"/>
      <c r="Q73" s="120"/>
      <c r="R73" s="637"/>
      <c r="S73" s="636"/>
      <c r="T73" s="120"/>
      <c r="U73" s="120"/>
      <c r="V73" s="120"/>
      <c r="W73" s="120"/>
      <c r="X73" s="636"/>
      <c r="Y73" s="120"/>
      <c r="Z73" s="120"/>
      <c r="AA73" s="120"/>
      <c r="AB73" s="1676"/>
      <c r="AC73" s="1496">
        <f ca="1">+'Capex_FO input'!CP69</f>
        <v>0</v>
      </c>
      <c r="AD73" s="1516">
        <f ca="1">+'Capex_FO input'!CQ69</f>
        <v>0</v>
      </c>
      <c r="AE73" s="1516">
        <f ca="1">+'Capex_FO input'!CR69</f>
        <v>0</v>
      </c>
      <c r="AF73" s="1516">
        <f ca="1">+'Capex_FO input'!CS69</f>
        <v>2.5792910229166671E-2</v>
      </c>
      <c r="AG73" s="1499">
        <f ca="1">+'Capex_FO input'!CT69</f>
        <v>5.1585820458333341E-2</v>
      </c>
      <c r="AH73" s="1496">
        <f ca="1">+'Capex_FO input'!CU69</f>
        <v>5.5565994780096675E-2</v>
      </c>
      <c r="AI73" s="1516">
        <f ca="1">+'Capex_FO input'!CV69</f>
        <v>6.3645748653276241E-2</v>
      </c>
      <c r="AJ73" s="1516">
        <f ca="1">+'Capex_FO input'!CW69</f>
        <v>8.78025211599964E-2</v>
      </c>
      <c r="AK73" s="1516">
        <f ca="1">+'Capex_FO input'!CX69</f>
        <v>0.11220895806139781</v>
      </c>
      <c r="AL73" s="1499">
        <f ca="1">+'Capex_FO input'!CY69</f>
        <v>0.1210379232719757</v>
      </c>
    </row>
    <row r="74" spans="3:38" ht="11.25" customHeight="1" x14ac:dyDescent="0.3">
      <c r="C74" s="120"/>
      <c r="D74" s="2406" t="str">
        <f>+'Capex_FO input'!C70</f>
        <v>Raw Water Main Renewals Program</v>
      </c>
      <c r="E74" s="2407"/>
      <c r="F74" s="2407"/>
      <c r="G74" s="2407"/>
      <c r="H74" s="2408"/>
      <c r="I74" s="1689">
        <f>+'Capex_FO input'!M70</f>
        <v>80</v>
      </c>
      <c r="J74" s="120"/>
      <c r="K74" s="120"/>
      <c r="L74" s="120"/>
      <c r="M74" s="120"/>
      <c r="N74" s="636"/>
      <c r="O74" s="120"/>
      <c r="P74" s="120"/>
      <c r="Q74" s="120"/>
      <c r="R74" s="637"/>
      <c r="S74" s="636"/>
      <c r="T74" s="120"/>
      <c r="U74" s="120"/>
      <c r="V74" s="120"/>
      <c r="W74" s="120"/>
      <c r="X74" s="636"/>
      <c r="Y74" s="120"/>
      <c r="Z74" s="120"/>
      <c r="AA74" s="120"/>
      <c r="AB74" s="1676"/>
      <c r="AC74" s="1496">
        <f ca="1">+'Capex_FO input'!CP70</f>
        <v>1.1329999999999999E-3</v>
      </c>
      <c r="AD74" s="1516">
        <f ca="1">+'Capex_FO input'!CQ70</f>
        <v>4.2618181249999996E-3</v>
      </c>
      <c r="AE74" s="1516">
        <f ca="1">+'Capex_FO input'!CR70</f>
        <v>7.8352608562499999E-3</v>
      </c>
      <c r="AF74" s="1516">
        <f ca="1">+'Capex_FO input'!CS70</f>
        <v>1.5504701896625003E-2</v>
      </c>
      <c r="AG74" s="1499">
        <f ca="1">+'Capex_FO input'!CT70</f>
        <v>3.3863087129436878E-2</v>
      </c>
      <c r="AH74" s="1496">
        <f ca="1">+'Capex_FO input'!CU70</f>
        <v>4.7995362641450323E-2</v>
      </c>
      <c r="AI74" s="1516">
        <f ca="1">+'Capex_FO input'!CV70</f>
        <v>5.2935754018339061E-2</v>
      </c>
      <c r="AJ74" s="1516">
        <f ca="1">+'Capex_FO input'!CW70</f>
        <v>8.0554109008786304E-2</v>
      </c>
      <c r="AK74" s="1516">
        <f ca="1">+'Capex_FO input'!CX70</f>
        <v>0.10713648743540456</v>
      </c>
      <c r="AL74" s="1499">
        <f ca="1">+'Capex_FO input'!CY70</f>
        <v>0.11127506487786296</v>
      </c>
    </row>
    <row r="75" spans="3:38" ht="11.25" customHeight="1" x14ac:dyDescent="0.3">
      <c r="C75" s="120"/>
      <c r="D75" s="2406" t="str">
        <f>+'Capex_FO input'!C71</f>
        <v>Sewer Network - SPS Optimisation</v>
      </c>
      <c r="E75" s="2407"/>
      <c r="F75" s="2407"/>
      <c r="G75" s="2407"/>
      <c r="H75" s="2408"/>
      <c r="I75" s="1689">
        <f>+'Capex_FO input'!M71</f>
        <v>60</v>
      </c>
      <c r="J75" s="120"/>
      <c r="K75" s="120"/>
      <c r="L75" s="120"/>
      <c r="M75" s="120"/>
      <c r="N75" s="636"/>
      <c r="O75" s="120"/>
      <c r="P75" s="120"/>
      <c r="Q75" s="120"/>
      <c r="R75" s="637"/>
      <c r="S75" s="636"/>
      <c r="T75" s="120"/>
      <c r="U75" s="120"/>
      <c r="V75" s="120"/>
      <c r="W75" s="120"/>
      <c r="X75" s="636"/>
      <c r="Y75" s="120"/>
      <c r="Z75" s="120"/>
      <c r="AA75" s="120"/>
      <c r="AB75" s="1676"/>
      <c r="AC75" s="1496">
        <f ca="1">+'Capex_FO input'!CP71</f>
        <v>1.1158333333333335E-3</v>
      </c>
      <c r="AD75" s="1516">
        <f ca="1">+'Capex_FO input'!CQ71</f>
        <v>6.6520833333333328E-3</v>
      </c>
      <c r="AE75" s="1516">
        <f ca="1">+'Capex_FO input'!CR71</f>
        <v>1.38043175E-2</v>
      </c>
      <c r="AF75" s="1516">
        <f ca="1">+'Capex_FO input'!CS71</f>
        <v>2.708778009375E-2</v>
      </c>
      <c r="AG75" s="1499">
        <f ca="1">+'Capex_FO input'!CT71</f>
        <v>4.0296094941104164E-2</v>
      </c>
      <c r="AH75" s="1496">
        <f ca="1">+'Capex_FO input'!CU71</f>
        <v>4.3251277768840586E-2</v>
      </c>
      <c r="AI75" s="1516">
        <f ca="1">+'Capex_FO input'!CV71</f>
        <v>4.4882154197183111E-2</v>
      </c>
      <c r="AJ75" s="1516">
        <f ca="1">+'Capex_FO input'!CW71</f>
        <v>5.2865060478678373E-2</v>
      </c>
      <c r="AK75" s="1516">
        <f ca="1">+'Capex_FO input'!CX71</f>
        <v>5.984179670192067E-2</v>
      </c>
      <c r="AL75" s="1499">
        <f ca="1">+'Capex_FO input'!CY71</f>
        <v>6.0503969092714008E-2</v>
      </c>
    </row>
    <row r="76" spans="3:38" ht="11.25" customHeight="1" x14ac:dyDescent="0.3">
      <c r="C76" s="120"/>
      <c r="D76" s="2406" t="str">
        <f>+'Capex_FO input'!C72</f>
        <v>Sewer Network - Gravity Network Rehabilitation</v>
      </c>
      <c r="E76" s="2407"/>
      <c r="F76" s="2407"/>
      <c r="G76" s="2407"/>
      <c r="H76" s="2408"/>
      <c r="I76" s="1689">
        <f>+'Capex_FO input'!M72</f>
        <v>80</v>
      </c>
      <c r="J76" s="120"/>
      <c r="K76" s="120"/>
      <c r="L76" s="120"/>
      <c r="M76" s="120"/>
      <c r="N76" s="636"/>
      <c r="O76" s="120"/>
      <c r="P76" s="120"/>
      <c r="Q76" s="120"/>
      <c r="R76" s="637"/>
      <c r="S76" s="636"/>
      <c r="T76" s="120"/>
      <c r="U76" s="120"/>
      <c r="V76" s="120"/>
      <c r="W76" s="120"/>
      <c r="X76" s="636"/>
      <c r="Y76" s="120"/>
      <c r="Z76" s="120"/>
      <c r="AA76" s="120"/>
      <c r="AB76" s="1676"/>
      <c r="AC76" s="1496">
        <f ca="1">+'Capex_FO input'!CP72</f>
        <v>2.8968750000000001E-3</v>
      </c>
      <c r="AD76" s="1516">
        <f ca="1">+'Capex_FO input'!CQ72</f>
        <v>8.7775312499999997E-3</v>
      </c>
      <c r="AE76" s="1516">
        <f ca="1">+'Capex_FO input'!CR72</f>
        <v>1.48346071875E-2</v>
      </c>
      <c r="AF76" s="1516">
        <f ca="1">+'Capex_FO input'!CS72</f>
        <v>2.1143739703750001E-2</v>
      </c>
      <c r="AG76" s="1499">
        <f ca="1">+'Capex_FO input'!CT72</f>
        <v>2.7784945125756248E-2</v>
      </c>
      <c r="AH76" s="1496">
        <f ca="1">+'Capex_FO input'!CU72</f>
        <v>3.5294867488330932E-2</v>
      </c>
      <c r="AI76" s="1516">
        <f ca="1">+'Capex_FO input'!CV72</f>
        <v>4.3627113670047367E-2</v>
      </c>
      <c r="AJ76" s="1516">
        <f ca="1">+'Capex_FO input'!CW72</f>
        <v>5.2209327237215289E-2</v>
      </c>
      <c r="AK76" s="1516">
        <f ca="1">+'Capex_FO input'!CX72</f>
        <v>6.1049007211398248E-2</v>
      </c>
      <c r="AL76" s="1499">
        <f ca="1">+'Capex_FO input'!CY72</f>
        <v>7.0153877584806706E-2</v>
      </c>
    </row>
    <row r="77" spans="3:38" x14ac:dyDescent="0.3">
      <c r="C77" s="120"/>
      <c r="D77" s="2406" t="str">
        <f>+'Capex_FO input'!C73</f>
        <v>Water Treatment Plant - PPP Site Upgrades</v>
      </c>
      <c r="E77" s="2407"/>
      <c r="F77" s="2407"/>
      <c r="G77" s="2407"/>
      <c r="H77" s="2408"/>
      <c r="I77" s="1689">
        <f>+'Capex_FO input'!M73</f>
        <v>80</v>
      </c>
      <c r="J77" s="120"/>
      <c r="K77" s="120"/>
      <c r="L77" s="120"/>
      <c r="M77" s="120"/>
      <c r="N77" s="636"/>
      <c r="O77" s="120"/>
      <c r="P77" s="120"/>
      <c r="Q77" s="120"/>
      <c r="R77" s="637"/>
      <c r="S77" s="636"/>
      <c r="T77" s="120"/>
      <c r="U77" s="120"/>
      <c r="V77" s="120"/>
      <c r="W77" s="120"/>
      <c r="X77" s="636"/>
      <c r="Y77" s="120"/>
      <c r="Z77" s="120"/>
      <c r="AA77" s="120"/>
      <c r="AB77" s="1676"/>
      <c r="AC77" s="1496">
        <f ca="1">+'Capex_FO input'!CP73</f>
        <v>7.02975E-4</v>
      </c>
      <c r="AD77" s="1516">
        <f ca="1">+'Capex_FO input'!CQ73</f>
        <v>4.6218031249999998E-3</v>
      </c>
      <c r="AE77" s="1516">
        <f ca="1">+'Capex_FO input'!CR73</f>
        <v>1.6729722212499999E-2</v>
      </c>
      <c r="AF77" s="1516">
        <f ca="1">+'Capex_FO input'!CS73</f>
        <v>2.5653443110281254E-2</v>
      </c>
      <c r="AG77" s="1499">
        <f ca="1">+'Capex_FO input'!CT73</f>
        <v>2.5717702628902193E-2</v>
      </c>
      <c r="AH77" s="1496">
        <f ca="1">+'Capex_FO input'!CU73</f>
        <v>2.6496589897572507E-2</v>
      </c>
      <c r="AI77" s="1516">
        <f ca="1">+'Capex_FO input'!CV73</f>
        <v>2.8011543748793676E-2</v>
      </c>
      <c r="AJ77" s="1516">
        <f ca="1">+'Capex_FO input'!CW73</f>
        <v>2.9571946215551481E-2</v>
      </c>
      <c r="AK77" s="1516">
        <f ca="1">+'Capex_FO input'!CX73</f>
        <v>3.1179160756312017E-2</v>
      </c>
      <c r="AL77" s="1499">
        <f ca="1">+'Capex_FO input'!CY73</f>
        <v>3.2834591733295372E-2</v>
      </c>
    </row>
    <row r="78" spans="3:38" x14ac:dyDescent="0.3">
      <c r="C78" s="120"/>
      <c r="D78" s="2406" t="str">
        <f>+'Capex_FO input'!C74</f>
        <v>Water Network - Monitoring &amp; Control Rehabilitation</v>
      </c>
      <c r="E78" s="2407"/>
      <c r="F78" s="2407"/>
      <c r="G78" s="2407"/>
      <c r="H78" s="2408"/>
      <c r="I78" s="1689">
        <f>+'Capex_FO input'!M74</f>
        <v>80</v>
      </c>
      <c r="J78" s="120"/>
      <c r="K78" s="120"/>
      <c r="L78" s="120"/>
      <c r="M78" s="120"/>
      <c r="N78" s="636"/>
      <c r="O78" s="120"/>
      <c r="P78" s="120"/>
      <c r="Q78" s="120"/>
      <c r="R78" s="637"/>
      <c r="S78" s="636"/>
      <c r="T78" s="120"/>
      <c r="U78" s="120"/>
      <c r="V78" s="120"/>
      <c r="W78" s="120"/>
      <c r="X78" s="636"/>
      <c r="Y78" s="120"/>
      <c r="Z78" s="120"/>
      <c r="AA78" s="120"/>
      <c r="AB78" s="1676"/>
      <c r="AC78" s="1496">
        <f ca="1">+'Capex_FO input'!CP74</f>
        <v>4.6993750000000004E-3</v>
      </c>
      <c r="AD78" s="1516">
        <f ca="1">+'Capex_FO input'!CQ74</f>
        <v>1.1586856250000001E-2</v>
      </c>
      <c r="AE78" s="1516">
        <f ca="1">+'Capex_FO input'!CR74</f>
        <v>1.6028711937499999E-2</v>
      </c>
      <c r="AF78" s="1516">
        <f ca="1">+'Capex_FO input'!CS74</f>
        <v>2.0603823295624997E-2</v>
      </c>
      <c r="AG78" s="1499">
        <f ca="1">+'Capex_FO input'!CT74</f>
        <v>2.6040734290931247E-2</v>
      </c>
      <c r="AH78" s="1496">
        <f ca="1">+'Capex_FO input'!CU74</f>
        <v>3.2365298912534188E-2</v>
      </c>
      <c r="AI78" s="1516">
        <f ca="1">+'Capex_FO input'!CV74</f>
        <v>3.5804915809223035E-2</v>
      </c>
      <c r="AJ78" s="1516">
        <f ca="1">+'Capex_FO input'!CW74</f>
        <v>3.6273036549250376E-2</v>
      </c>
      <c r="AK78" s="1516">
        <f ca="1">+'Capex_FO input'!CX74</f>
        <v>3.6755200911478533E-2</v>
      </c>
      <c r="AL78" s="1499">
        <f ca="1">+'Capex_FO input'!CY74</f>
        <v>3.7251830204573545E-2</v>
      </c>
    </row>
    <row r="79" spans="3:38" x14ac:dyDescent="0.3">
      <c r="C79" s="120"/>
      <c r="D79" s="2406" t="str">
        <f>+'Capex_FO input'!C75</f>
        <v>Regional Sewer Network Growth Project</v>
      </c>
      <c r="E79" s="2407"/>
      <c r="F79" s="2407"/>
      <c r="G79" s="2407"/>
      <c r="H79" s="2408"/>
      <c r="I79" s="1689">
        <f>+'Capex_FO input'!M75</f>
        <v>60</v>
      </c>
      <c r="J79" s="120"/>
      <c r="K79" s="120"/>
      <c r="L79" s="120"/>
      <c r="M79" s="120"/>
      <c r="N79" s="636"/>
      <c r="O79" s="120"/>
      <c r="P79" s="120"/>
      <c r="Q79" s="120"/>
      <c r="R79" s="637"/>
      <c r="S79" s="636"/>
      <c r="T79" s="120"/>
      <c r="U79" s="120"/>
      <c r="V79" s="120"/>
      <c r="W79" s="120"/>
      <c r="X79" s="636"/>
      <c r="Y79" s="120"/>
      <c r="Z79" s="120"/>
      <c r="AA79" s="120"/>
      <c r="AB79" s="1676"/>
      <c r="AC79" s="1496">
        <f ca="1">+'Capex_FO input'!CP75</f>
        <v>0</v>
      </c>
      <c r="AD79" s="1516">
        <f ca="1">+'Capex_FO input'!CQ75</f>
        <v>0</v>
      </c>
      <c r="AE79" s="1516">
        <f ca="1">+'Capex_FO input'!CR75</f>
        <v>1.8212116666666666E-3</v>
      </c>
      <c r="AF79" s="1516">
        <f ca="1">+'Capex_FO input'!CS75</f>
        <v>1.3021663416666667E-2</v>
      </c>
      <c r="AG79" s="1499">
        <f ca="1">+'Capex_FO input'!CT75</f>
        <v>3.1095459057250002E-2</v>
      </c>
      <c r="AH79" s="1496">
        <f ca="1">+'Capex_FO input'!CU75</f>
        <v>4.9740450418908337E-2</v>
      </c>
      <c r="AI79" s="1516">
        <f ca="1">+'Capex_FO input'!CV75</f>
        <v>8.9156614249120858E-2</v>
      </c>
      <c r="AJ79" s="1516">
        <f ca="1">+'Capex_FO input'!CW75</f>
        <v>0.11862234227492505</v>
      </c>
      <c r="AK79" s="1516">
        <f ca="1">+'Capex_FO input'!CX75</f>
        <v>0.11862234227492505</v>
      </c>
      <c r="AL79" s="1499">
        <f ca="1">+'Capex_FO input'!CY75</f>
        <v>0.11862234227492505</v>
      </c>
    </row>
    <row r="80" spans="3:38" x14ac:dyDescent="0.3">
      <c r="C80" s="120"/>
      <c r="D80" s="2406" t="str">
        <f>+'Capex_FO input'!C76</f>
        <v>Sewer Treatment Plant Lagoon Biosolids Remediation</v>
      </c>
      <c r="E80" s="2407"/>
      <c r="F80" s="2407"/>
      <c r="G80" s="2407"/>
      <c r="H80" s="2408"/>
      <c r="I80" s="1689">
        <f>+'Capex_FO input'!M76</f>
        <v>60</v>
      </c>
      <c r="J80" s="120"/>
      <c r="K80" s="120"/>
      <c r="L80" s="120"/>
      <c r="M80" s="120"/>
      <c r="N80" s="636"/>
      <c r="O80" s="120"/>
      <c r="P80" s="120"/>
      <c r="Q80" s="120"/>
      <c r="R80" s="637"/>
      <c r="S80" s="636"/>
      <c r="T80" s="120"/>
      <c r="U80" s="120"/>
      <c r="V80" s="120"/>
      <c r="W80" s="120"/>
      <c r="X80" s="636"/>
      <c r="Y80" s="120"/>
      <c r="Z80" s="120"/>
      <c r="AA80" s="120"/>
      <c r="AB80" s="1676"/>
      <c r="AC80" s="1496">
        <f ca="1">+'Capex_FO input'!CP76</f>
        <v>1.2875E-3</v>
      </c>
      <c r="AD80" s="1516">
        <f ca="1">+'Capex_FO input'!CQ76</f>
        <v>5.2272500000000001E-3</v>
      </c>
      <c r="AE80" s="1516">
        <f ca="1">+'Capex_FO input'!CR76</f>
        <v>1.1066620416666667E-2</v>
      </c>
      <c r="AF80" s="1516">
        <f ca="1">+'Capex_FO input'!CS76</f>
        <v>1.9646803881250001E-2</v>
      </c>
      <c r="AG80" s="1499">
        <f ca="1">+'Capex_FO input'!CT76</f>
        <v>2.9870175572083331E-2</v>
      </c>
      <c r="AH80" s="1496">
        <f ca="1">+'Capex_FO input'!CU76</f>
        <v>3.8431897641653126E-2</v>
      </c>
      <c r="AI80" s="1516">
        <f ca="1">+'Capex_FO input'!CV76</f>
        <v>4.6006666897758973E-2</v>
      </c>
      <c r="AJ80" s="1516">
        <f ca="1">+'Capex_FO input'!CW76</f>
        <v>5.3808679231547994E-2</v>
      </c>
      <c r="AK80" s="1516">
        <f ca="1">+'Capex_FO input'!CX76</f>
        <v>6.1844751935350682E-2</v>
      </c>
      <c r="AL80" s="1499">
        <f ca="1">+'Capex_FO input'!CY76</f>
        <v>7.0121906820267449E-2</v>
      </c>
    </row>
    <row r="81" spans="3:38" x14ac:dyDescent="0.3">
      <c r="C81" s="120"/>
      <c r="D81" s="2406" t="str">
        <f>+'Capex_FO input'!C77</f>
        <v>Sewer Network - SPS Rehabilitation</v>
      </c>
      <c r="E81" s="2407"/>
      <c r="F81" s="2407"/>
      <c r="G81" s="2407"/>
      <c r="H81" s="2408"/>
      <c r="I81" s="1689">
        <f>+'Capex_FO input'!M77</f>
        <v>80</v>
      </c>
      <c r="J81" s="120"/>
      <c r="K81" s="120"/>
      <c r="L81" s="120"/>
      <c r="M81" s="120"/>
      <c r="N81" s="636"/>
      <c r="O81" s="120"/>
      <c r="P81" s="120"/>
      <c r="Q81" s="120"/>
      <c r="R81" s="637"/>
      <c r="S81" s="636"/>
      <c r="T81" s="120"/>
      <c r="U81" s="120"/>
      <c r="V81" s="120"/>
      <c r="W81" s="120"/>
      <c r="X81" s="636"/>
      <c r="Y81" s="120"/>
      <c r="Z81" s="120"/>
      <c r="AA81" s="120"/>
      <c r="AB81" s="1676"/>
      <c r="AC81" s="1496">
        <f ca="1">+'Capex_FO input'!CP77</f>
        <v>6.4375000000000001E-4</v>
      </c>
      <c r="AD81" s="1516">
        <f ca="1">+'Capex_FO input'!CQ77</f>
        <v>2.6136250000000001E-3</v>
      </c>
      <c r="AE81" s="1516">
        <f ca="1">+'Capex_FO input'!CR77</f>
        <v>6.6715675000000004E-3</v>
      </c>
      <c r="AF81" s="1516">
        <f ca="1">+'Capex_FO input'!CS77</f>
        <v>1.2217157025000001E-2</v>
      </c>
      <c r="AG81" s="1499">
        <f ca="1">+'Capex_FO input'!CT77</f>
        <v>1.7929114235750002E-2</v>
      </c>
      <c r="AH81" s="1496">
        <f ca="1">+'Capex_FO input'!CU77</f>
        <v>2.6051278218814377E-2</v>
      </c>
      <c r="AI81" s="1516">
        <f ca="1">+'Capex_FO input'!CV77</f>
        <v>3.6655955177362559E-2</v>
      </c>
      <c r="AJ81" s="1516">
        <f ca="1">+'Capex_FO input'!CW77</f>
        <v>4.757877244466719E-2</v>
      </c>
      <c r="AK81" s="1516">
        <f ca="1">+'Capex_FO input'!CX77</f>
        <v>5.8829274229990958E-2</v>
      </c>
      <c r="AL81" s="1499">
        <f ca="1">+'Capex_FO input'!CY77</f>
        <v>7.0417291068874455E-2</v>
      </c>
    </row>
    <row r="82" spans="3:38" x14ac:dyDescent="0.3">
      <c r="C82" s="120"/>
      <c r="D82" s="2406" t="str">
        <f>+'Capex_FO input'!C78</f>
        <v>Major Water Main Renewal - White Swan Trunk Main</v>
      </c>
      <c r="E82" s="2407"/>
      <c r="F82" s="2407"/>
      <c r="G82" s="2407"/>
      <c r="H82" s="2408"/>
      <c r="I82" s="1689">
        <f>+'Capex_FO input'!M78</f>
        <v>60</v>
      </c>
      <c r="J82" s="120"/>
      <c r="K82" s="120"/>
      <c r="L82" s="120"/>
      <c r="M82" s="120"/>
      <c r="N82" s="636"/>
      <c r="O82" s="120"/>
      <c r="P82" s="120"/>
      <c r="Q82" s="120"/>
      <c r="R82" s="637"/>
      <c r="S82" s="636"/>
      <c r="T82" s="120"/>
      <c r="U82" s="120"/>
      <c r="V82" s="120"/>
      <c r="W82" s="120"/>
      <c r="X82" s="636"/>
      <c r="Y82" s="120"/>
      <c r="Z82" s="120"/>
      <c r="AA82" s="120"/>
      <c r="AB82" s="1676"/>
      <c r="AC82" s="1496">
        <f ca="1">+'Capex_FO input'!CP78</f>
        <v>1.2875E-3</v>
      </c>
      <c r="AD82" s="1516">
        <f ca="1">+'Capex_FO input'!CQ78</f>
        <v>2.575E-3</v>
      </c>
      <c r="AE82" s="1516">
        <f ca="1">+'Capex_FO input'!CR78</f>
        <v>2.575E-3</v>
      </c>
      <c r="AF82" s="1516">
        <f ca="1">+'Capex_FO input'!CS78</f>
        <v>6.3266960333333341E-3</v>
      </c>
      <c r="AG82" s="1499">
        <f ca="1">+'Capex_FO input'!CT78</f>
        <v>1.9255978488208335E-2</v>
      </c>
      <c r="AH82" s="1496">
        <f ca="1">+'Capex_FO input'!CU78</f>
        <v>5.3309654420770833E-2</v>
      </c>
      <c r="AI82" s="1516">
        <f ca="1">+'Capex_FO input'!CV78</f>
        <v>7.8185743931791674E-2</v>
      </c>
      <c r="AJ82" s="1516">
        <f ca="1">+'Capex_FO input'!CW78</f>
        <v>7.8185743931791674E-2</v>
      </c>
      <c r="AK82" s="1516">
        <f ca="1">+'Capex_FO input'!CX78</f>
        <v>7.8185743931791674E-2</v>
      </c>
      <c r="AL82" s="1499">
        <f ca="1">+'Capex_FO input'!CY78</f>
        <v>7.8185743931791674E-2</v>
      </c>
    </row>
    <row r="83" spans="3:38" x14ac:dyDescent="0.3">
      <c r="C83" s="120"/>
      <c r="D83" s="2406" t="str">
        <f>+'Capex_FO input'!C79</f>
        <v>Water Network - Tanks Optimisation</v>
      </c>
      <c r="E83" s="2407"/>
      <c r="F83" s="2407"/>
      <c r="G83" s="2407"/>
      <c r="H83" s="2408"/>
      <c r="I83" s="1689">
        <f>+'Capex_FO input'!M79</f>
        <v>60</v>
      </c>
      <c r="J83" s="120"/>
      <c r="K83" s="120"/>
      <c r="L83" s="120"/>
      <c r="M83" s="120"/>
      <c r="N83" s="636"/>
      <c r="O83" s="120"/>
      <c r="P83" s="120"/>
      <c r="Q83" s="120"/>
      <c r="R83" s="637"/>
      <c r="S83" s="636"/>
      <c r="T83" s="120"/>
      <c r="U83" s="120"/>
      <c r="V83" s="120"/>
      <c r="W83" s="120"/>
      <c r="X83" s="636"/>
      <c r="Y83" s="120"/>
      <c r="Z83" s="120"/>
      <c r="AA83" s="120"/>
      <c r="AB83" s="1676"/>
      <c r="AC83" s="1496">
        <f ca="1">+'Capex_FO input'!CP79</f>
        <v>0</v>
      </c>
      <c r="AD83" s="1516">
        <f ca="1">+'Capex_FO input'!CQ79</f>
        <v>1.7681666666666668E-3</v>
      </c>
      <c r="AE83" s="1516">
        <f ca="1">+'Capex_FO input'!CR79</f>
        <v>6.450272E-3</v>
      </c>
      <c r="AF83" s="1516">
        <f ca="1">+'Capex_FO input'!CS79</f>
        <v>1.3022114299166668E-2</v>
      </c>
      <c r="AG83" s="1499">
        <f ca="1">+'Capex_FO input'!CT79</f>
        <v>2.0930689537433336E-2</v>
      </c>
      <c r="AH83" s="1496">
        <f ca="1">+'Capex_FO input'!CU79</f>
        <v>2.8166491884522502E-2</v>
      </c>
      <c r="AI83" s="1516">
        <f ca="1">+'Capex_FO input'!CV79</f>
        <v>3.4226307289407176E-2</v>
      </c>
      <c r="AJ83" s="1516">
        <f ca="1">+'Capex_FO input'!CW79</f>
        <v>3.7828812820214192E-2</v>
      </c>
      <c r="AK83" s="1516">
        <f ca="1">+'Capex_FO input'!CX79</f>
        <v>4.0531255660507776E-2</v>
      </c>
      <c r="AL83" s="1499">
        <f ca="1">+'Capex_FO input'!CY79</f>
        <v>4.326584279161657E-2</v>
      </c>
    </row>
    <row r="84" spans="3:38" ht="11.25" customHeight="1" x14ac:dyDescent="0.3">
      <c r="C84" s="120"/>
      <c r="D84" s="2406" t="str">
        <f>+'Capex_FO input'!C80</f>
        <v>Maryborough Works Depot Modernisation</v>
      </c>
      <c r="E84" s="2407"/>
      <c r="F84" s="2407"/>
      <c r="G84" s="2407"/>
      <c r="H84" s="2408"/>
      <c r="I84" s="1689">
        <f>+'Capex_FO input'!M80</f>
        <v>60</v>
      </c>
      <c r="J84" s="120"/>
      <c r="K84" s="120"/>
      <c r="L84" s="120"/>
      <c r="M84" s="120"/>
      <c r="N84" s="636"/>
      <c r="O84" s="120"/>
      <c r="P84" s="120"/>
      <c r="Q84" s="120"/>
      <c r="R84" s="637"/>
      <c r="S84" s="636"/>
      <c r="T84" s="120"/>
      <c r="U84" s="120"/>
      <c r="V84" s="120"/>
      <c r="W84" s="120"/>
      <c r="X84" s="636"/>
      <c r="Y84" s="120"/>
      <c r="Z84" s="120"/>
      <c r="AA84" s="120"/>
      <c r="AB84" s="1676"/>
      <c r="AC84" s="1496">
        <f ca="1">+'Capex_FO input'!CP80</f>
        <v>0</v>
      </c>
      <c r="AD84" s="1516">
        <f ca="1">+'Capex_FO input'!CQ80</f>
        <v>0</v>
      </c>
      <c r="AE84" s="1516">
        <f ca="1">+'Capex_FO input'!CR80</f>
        <v>0</v>
      </c>
      <c r="AF84" s="1516">
        <f ca="1">+'Capex_FO input'!CS80</f>
        <v>1.875848016666667E-3</v>
      </c>
      <c r="AG84" s="1499">
        <f ca="1">+'Capex_FO input'!CT80</f>
        <v>1.3412313319166667E-2</v>
      </c>
      <c r="AH84" s="1496">
        <f ca="1">+'Capex_FO input'!CU80</f>
        <v>3.0535757458306251E-2</v>
      </c>
      <c r="AI84" s="1516">
        <f ca="1">+'Capex_FO input'!CV80</f>
        <v>3.7998584311612502E-2</v>
      </c>
      <c r="AJ84" s="1516">
        <f ca="1">+'Capex_FO input'!CW80</f>
        <v>3.7998584311612502E-2</v>
      </c>
      <c r="AK84" s="1516">
        <f ca="1">+'Capex_FO input'!CX80</f>
        <v>3.7998584311612502E-2</v>
      </c>
      <c r="AL84" s="1499">
        <f ca="1">+'Capex_FO input'!CY80</f>
        <v>3.7998584311612502E-2</v>
      </c>
    </row>
    <row r="85" spans="3:38" ht="11.25" customHeight="1" x14ac:dyDescent="0.3">
      <c r="C85" s="120"/>
      <c r="D85" s="2406" t="str">
        <f>+'Capex_FO input'!C81</f>
        <v>Ballarat Sewer Growth Project - Western &amp; North-Western growth area</v>
      </c>
      <c r="E85" s="2407"/>
      <c r="F85" s="2407"/>
      <c r="G85" s="2407"/>
      <c r="H85" s="2408"/>
      <c r="I85" s="1689">
        <f>+'Capex_FO input'!M81</f>
        <v>60</v>
      </c>
      <c r="J85" s="120"/>
      <c r="K85" s="120"/>
      <c r="L85" s="120"/>
      <c r="M85" s="120"/>
      <c r="N85" s="636"/>
      <c r="O85" s="120"/>
      <c r="P85" s="120"/>
      <c r="Q85" s="120"/>
      <c r="R85" s="637"/>
      <c r="S85" s="636"/>
      <c r="T85" s="120"/>
      <c r="U85" s="120"/>
      <c r="V85" s="120"/>
      <c r="W85" s="120"/>
      <c r="X85" s="636"/>
      <c r="Y85" s="120"/>
      <c r="Z85" s="120"/>
      <c r="AA85" s="120"/>
      <c r="AB85" s="1676"/>
      <c r="AC85" s="1496">
        <f ca="1">+'Capex_FO input'!CP81</f>
        <v>0</v>
      </c>
      <c r="AD85" s="1516">
        <f ca="1">+'Capex_FO input'!CQ81</f>
        <v>0</v>
      </c>
      <c r="AE85" s="1516">
        <f ca="1">+'Capex_FO input'!CR81</f>
        <v>0</v>
      </c>
      <c r="AF85" s="1516">
        <f ca="1">+'Capex_FO input'!CS81</f>
        <v>3.2827340291666667E-3</v>
      </c>
      <c r="AG85" s="1499">
        <f ca="1">+'Capex_FO input'!CT81</f>
        <v>1.4004143368425001E-2</v>
      </c>
      <c r="AH85" s="1496">
        <f ca="1">+'Capex_FO input'!CU81</f>
        <v>5.8060422438739344E-2</v>
      </c>
      <c r="AI85" s="1516">
        <f ca="1">+'Capex_FO input'!CV81</f>
        <v>0.15770906180198663</v>
      </c>
      <c r="AJ85" s="1516">
        <f ca="1">+'Capex_FO input'!CW81</f>
        <v>0.27510564673122972</v>
      </c>
      <c r="AK85" s="1516">
        <f ca="1">+'Capex_FO input'!CX81</f>
        <v>0.35284838226772225</v>
      </c>
      <c r="AL85" s="1499">
        <f ca="1">+'Capex_FO input'!CY81</f>
        <v>0.40030407027457837</v>
      </c>
    </row>
    <row r="86" spans="3:38" ht="11.25" customHeight="1" x14ac:dyDescent="0.3">
      <c r="C86" s="120"/>
      <c r="D86" s="2406" t="str">
        <f>+'Capex_FO input'!C82</f>
        <v>Water Network - Monitoring &amp; Control Optimisation</v>
      </c>
      <c r="E86" s="2407"/>
      <c r="F86" s="2407"/>
      <c r="G86" s="2407"/>
      <c r="H86" s="2408"/>
      <c r="I86" s="1689">
        <f>+'Capex_FO input'!M82</f>
        <v>60</v>
      </c>
      <c r="J86" s="120"/>
      <c r="K86" s="120"/>
      <c r="L86" s="120"/>
      <c r="M86" s="120"/>
      <c r="N86" s="636"/>
      <c r="O86" s="120"/>
      <c r="P86" s="120"/>
      <c r="Q86" s="120"/>
      <c r="R86" s="637"/>
      <c r="S86" s="636"/>
      <c r="T86" s="120"/>
      <c r="U86" s="120"/>
      <c r="V86" s="120"/>
      <c r="W86" s="120"/>
      <c r="X86" s="636"/>
      <c r="Y86" s="120"/>
      <c r="Z86" s="120"/>
      <c r="AA86" s="120"/>
      <c r="AB86" s="1676"/>
      <c r="AC86" s="1496">
        <f ca="1">+'Capex_FO input'!CP82</f>
        <v>0</v>
      </c>
      <c r="AD86" s="1516">
        <f ca="1">+'Capex_FO input'!CQ82</f>
        <v>1.8123708333333331E-3</v>
      </c>
      <c r="AE86" s="1516">
        <f ca="1">+'Capex_FO input'!CR82</f>
        <v>5.2183018749999994E-3</v>
      </c>
      <c r="AF86" s="1516">
        <f ca="1">+'Capex_FO input'!CS82</f>
        <v>9.7194265091666669E-3</v>
      </c>
      <c r="AG86" s="1499">
        <f ca="1">+'Capex_FO input'!CT82</f>
        <v>1.6104813157900001E-2</v>
      </c>
      <c r="AH86" s="1496">
        <f ca="1">+'Capex_FO input'!CU82</f>
        <v>2.341355316549721E-2</v>
      </c>
      <c r="AI86" s="1516">
        <f ca="1">+'Capex_FO input'!CV82</f>
        <v>3.0882847802076327E-2</v>
      </c>
      <c r="AJ86" s="1516">
        <f ca="1">+'Capex_FO input'!CW82</f>
        <v>3.8268752811396599E-2</v>
      </c>
      <c r="AK86" s="1516">
        <f ca="1">+'Capex_FO input'!CX82</f>
        <v>4.5332579477734287E-2</v>
      </c>
      <c r="AL86" s="1499">
        <f ca="1">+'Capex_FO input'!CY82</f>
        <v>5.2064665450799942E-2</v>
      </c>
    </row>
    <row r="87" spans="3:38" ht="11.25" customHeight="1" x14ac:dyDescent="0.3">
      <c r="C87" s="120"/>
      <c r="D87" s="2406" t="str">
        <f>+'Capex_FO input'!C83</f>
        <v>Source Water Management Program</v>
      </c>
      <c r="E87" s="2407"/>
      <c r="F87" s="2407"/>
      <c r="G87" s="2407"/>
      <c r="H87" s="2408"/>
      <c r="I87" s="1689">
        <f>+'Capex_FO input'!M83</f>
        <v>80</v>
      </c>
      <c r="J87" s="120"/>
      <c r="K87" s="120"/>
      <c r="L87" s="120"/>
      <c r="M87" s="120"/>
      <c r="N87" s="636"/>
      <c r="O87" s="120"/>
      <c r="P87" s="120"/>
      <c r="Q87" s="120"/>
      <c r="R87" s="637"/>
      <c r="S87" s="636"/>
      <c r="T87" s="120"/>
      <c r="U87" s="120"/>
      <c r="V87" s="120"/>
      <c r="W87" s="120"/>
      <c r="X87" s="636"/>
      <c r="Y87" s="120"/>
      <c r="Z87" s="120"/>
      <c r="AA87" s="120"/>
      <c r="AB87" s="1676"/>
      <c r="AC87" s="1496">
        <f ca="1">+'Capex_FO input'!CP83</f>
        <v>1.2875E-3</v>
      </c>
      <c r="AD87" s="1516">
        <f ca="1">+'Capex_FO input'!CQ83</f>
        <v>5.0946375000000006E-3</v>
      </c>
      <c r="AE87" s="1516">
        <f ca="1">+'Capex_FO input'!CR83</f>
        <v>8.7070020000000019E-3</v>
      </c>
      <c r="AF87" s="1516">
        <f ca="1">+'Capex_FO input'!CS83</f>
        <v>1.0925237810000002E-2</v>
      </c>
      <c r="AG87" s="1499">
        <f ca="1">+'Capex_FO input'!CT83</f>
        <v>1.3210020694300002E-2</v>
      </c>
      <c r="AH87" s="1496">
        <f ca="1">+'Capex_FO input'!CU83</f>
        <v>2.6309817733890004E-2</v>
      </c>
      <c r="AI87" s="1516">
        <f ca="1">+'Capex_FO input'!CV83</f>
        <v>4.5937052358085442E-2</v>
      </c>
      <c r="AJ87" s="1516">
        <f ca="1">+'Capex_FO input'!CW83</f>
        <v>6.1541077025663485E-2</v>
      </c>
      <c r="AK87" s="1516">
        <f ca="1">+'Capex_FO input'!CX83</f>
        <v>7.7613222433268875E-2</v>
      </c>
      <c r="AL87" s="1499">
        <f ca="1">+'Capex_FO input'!CY83</f>
        <v>9.4167532203102422E-2</v>
      </c>
    </row>
    <row r="88" spans="3:38" ht="11.25" customHeight="1" x14ac:dyDescent="0.3">
      <c r="C88" s="120"/>
      <c r="D88" s="2406" t="str">
        <f>+'Capex_FO input'!C84</f>
        <v>Water Network - Network Optimisation</v>
      </c>
      <c r="E88" s="2407"/>
      <c r="F88" s="2407"/>
      <c r="G88" s="2407"/>
      <c r="H88" s="2408"/>
      <c r="I88" s="1689">
        <f>+'Capex_FO input'!M84</f>
        <v>60</v>
      </c>
      <c r="J88" s="120"/>
      <c r="K88" s="120"/>
      <c r="L88" s="120"/>
      <c r="M88" s="120"/>
      <c r="N88" s="636"/>
      <c r="O88" s="120"/>
      <c r="P88" s="120"/>
      <c r="Q88" s="120"/>
      <c r="R88" s="637"/>
      <c r="S88" s="636"/>
      <c r="T88" s="120"/>
      <c r="U88" s="120"/>
      <c r="V88" s="120"/>
      <c r="W88" s="120"/>
      <c r="X88" s="636"/>
      <c r="Y88" s="120"/>
      <c r="Z88" s="120"/>
      <c r="AA88" s="120"/>
      <c r="AB88" s="1676"/>
      <c r="AC88" s="1496">
        <f ca="1">+'Capex_FO input'!CP84</f>
        <v>1.7166666666666667E-4</v>
      </c>
      <c r="AD88" s="1516">
        <f ca="1">+'Capex_FO input'!CQ84</f>
        <v>9.1798750000000005E-4</v>
      </c>
      <c r="AE88" s="1516">
        <f ca="1">+'Capex_FO input'!CR84</f>
        <v>2.9951412916666672E-3</v>
      </c>
      <c r="AF88" s="1516">
        <f ca="1">+'Capex_FO input'!CS84</f>
        <v>7.9210635470833343E-3</v>
      </c>
      <c r="AG88" s="1499">
        <f ca="1">+'Capex_FO input'!CT84</f>
        <v>1.5353642351120834E-2</v>
      </c>
      <c r="AH88" s="1496">
        <f ca="1">+'Capex_FO input'!CU84</f>
        <v>2.1173777841143986E-2</v>
      </c>
      <c r="AI88" s="1516">
        <f ca="1">+'Capex_FO input'!CV84</f>
        <v>2.4850065853440687E-2</v>
      </c>
      <c r="AJ88" s="1516">
        <f ca="1">+'Capex_FO input'!CW84</f>
        <v>2.7053179904371772E-2</v>
      </c>
      <c r="AK88" s="1516">
        <f ca="1">+'Capex_FO input'!CX84</f>
        <v>2.773892477509627E-2</v>
      </c>
      <c r="AL88" s="1499">
        <f ca="1">+'Capex_FO input'!CY84</f>
        <v>2.84452419919425E-2</v>
      </c>
    </row>
    <row r="89" spans="3:38" ht="11.25" customHeight="1" x14ac:dyDescent="0.3">
      <c r="C89" s="120"/>
      <c r="D89" s="2406" t="str">
        <f>+'Capex_FO input'!C85</f>
        <v>Greenhouse Gas Emissions Reduction Program</v>
      </c>
      <c r="E89" s="2407"/>
      <c r="F89" s="2407"/>
      <c r="G89" s="2407"/>
      <c r="H89" s="2408"/>
      <c r="I89" s="1689">
        <f>+'Capex_FO input'!M85</f>
        <v>60</v>
      </c>
      <c r="J89" s="120"/>
      <c r="K89" s="120"/>
      <c r="L89" s="120"/>
      <c r="M89" s="120"/>
      <c r="N89" s="636"/>
      <c r="O89" s="120"/>
      <c r="P89" s="120"/>
      <c r="Q89" s="120"/>
      <c r="R89" s="637"/>
      <c r="S89" s="636"/>
      <c r="T89" s="120"/>
      <c r="U89" s="120"/>
      <c r="V89" s="120"/>
      <c r="W89" s="120"/>
      <c r="X89" s="636"/>
      <c r="Y89" s="120"/>
      <c r="Z89" s="120"/>
      <c r="AA89" s="120"/>
      <c r="AB89" s="1676"/>
      <c r="AC89" s="1496">
        <f ca="1">+'Capex_FO input'!CP85</f>
        <v>0</v>
      </c>
      <c r="AD89" s="1516">
        <f ca="1">+'Capex_FO input'!CQ85</f>
        <v>0</v>
      </c>
      <c r="AE89" s="1516">
        <f ca="1">+'Capex_FO input'!CR85</f>
        <v>0</v>
      </c>
      <c r="AF89" s="1516">
        <f ca="1">+'Capex_FO input'!CS85</f>
        <v>4.6896200416666669E-3</v>
      </c>
      <c r="AG89" s="1499">
        <f ca="1">+'Capex_FO input'!CT85</f>
        <v>1.420954872625E-2</v>
      </c>
      <c r="AH89" s="1496">
        <f ca="1">+'Capex_FO input'!CU85</f>
        <v>3.3965511075779171E-2</v>
      </c>
      <c r="AI89" s="1516">
        <f ca="1">+'Capex_FO input'!CV85</f>
        <v>6.4264588100202552E-2</v>
      </c>
      <c r="AJ89" s="1516">
        <f ca="1">+'Capex_FO input'!CW85</f>
        <v>9.5472637435358637E-2</v>
      </c>
      <c r="AK89" s="1516">
        <f ca="1">+'Capex_FO input'!CX85</f>
        <v>0.12761692825056942</v>
      </c>
      <c r="AL89" s="1499">
        <f ca="1">+'Capex_FO input'!CY85</f>
        <v>0.16072554779023651</v>
      </c>
    </row>
    <row r="90" spans="3:38" ht="11.25" customHeight="1" x14ac:dyDescent="0.3">
      <c r="C90" s="120"/>
      <c r="D90" s="2406" t="str">
        <f>+'Capex_FO input'!C86</f>
        <v>Sites &amp; Facilities Security Upgrades</v>
      </c>
      <c r="E90" s="2407"/>
      <c r="F90" s="2407"/>
      <c r="G90" s="2407"/>
      <c r="H90" s="2408"/>
      <c r="I90" s="1689">
        <f>+'Capex_FO input'!M86</f>
        <v>10</v>
      </c>
      <c r="J90" s="120"/>
      <c r="K90" s="120"/>
      <c r="L90" s="120"/>
      <c r="M90" s="120"/>
      <c r="N90" s="636"/>
      <c r="O90" s="120"/>
      <c r="P90" s="120"/>
      <c r="Q90" s="120"/>
      <c r="R90" s="637"/>
      <c r="S90" s="636"/>
      <c r="T90" s="120"/>
      <c r="U90" s="120"/>
      <c r="V90" s="120"/>
      <c r="W90" s="120"/>
      <c r="X90" s="636"/>
      <c r="Y90" s="120"/>
      <c r="Z90" s="120"/>
      <c r="AA90" s="120"/>
      <c r="AB90" s="1676"/>
      <c r="AC90" s="1496">
        <f ca="1">+'Capex_FO input'!CP86</f>
        <v>1.03E-2</v>
      </c>
      <c r="AD90" s="1516">
        <f ca="1">+'Capex_FO input'!CQ86</f>
        <v>3.1209000000000001E-2</v>
      </c>
      <c r="AE90" s="1516">
        <f ca="1">+'Capex_FO input'!CR86</f>
        <v>5.2745269999999997E-2</v>
      </c>
      <c r="AF90" s="1516">
        <f ca="1">+'Capex_FO input'!CS86</f>
        <v>7.4927628100000004E-2</v>
      </c>
      <c r="AG90" s="1499">
        <f ca="1">+'Capex_FO input'!CT86</f>
        <v>9.7775456942999994E-2</v>
      </c>
      <c r="AH90" s="1496">
        <f ca="1">+'Capex_FO input'!CU86</f>
        <v>0.14518976658186999</v>
      </c>
      <c r="AI90" s="1516">
        <f ca="1">+'Capex_FO input'!CV86</f>
        <v>0.21790755144048612</v>
      </c>
      <c r="AJ90" s="1516">
        <f ca="1">+'Capex_FO input'!CW86</f>
        <v>0.29280686984486071</v>
      </c>
      <c r="AK90" s="1516">
        <f ca="1">+'Capex_FO input'!CX86</f>
        <v>0.3699531678013665</v>
      </c>
      <c r="AL90" s="1499">
        <f ca="1">+'Capex_FO input'!CY86</f>
        <v>0.44941385469656747</v>
      </c>
    </row>
    <row r="91" spans="3:38" ht="11.25" customHeight="1" x14ac:dyDescent="0.3">
      <c r="C91" s="120"/>
      <c r="D91" s="2406" t="str">
        <f>+'Capex_FO input'!C87</f>
        <v>Catchment Management Program</v>
      </c>
      <c r="E91" s="2407"/>
      <c r="F91" s="2407"/>
      <c r="G91" s="2407"/>
      <c r="H91" s="2408"/>
      <c r="I91" s="1689">
        <f>+'Capex_FO input'!M87</f>
        <v>80</v>
      </c>
      <c r="J91" s="120"/>
      <c r="K91" s="120"/>
      <c r="L91" s="120"/>
      <c r="M91" s="120"/>
      <c r="N91" s="636"/>
      <c r="O91" s="120"/>
      <c r="P91" s="120"/>
      <c r="Q91" s="120"/>
      <c r="R91" s="637"/>
      <c r="S91" s="636"/>
      <c r="T91" s="120"/>
      <c r="U91" s="120"/>
      <c r="V91" s="120"/>
      <c r="W91" s="120"/>
      <c r="X91" s="636"/>
      <c r="Y91" s="120"/>
      <c r="Z91" s="120"/>
      <c r="AA91" s="120"/>
      <c r="AB91" s="1676"/>
      <c r="AC91" s="1496">
        <f ca="1">+'Capex_FO input'!CP87</f>
        <v>9.0125000000000014E-4</v>
      </c>
      <c r="AD91" s="1516">
        <f ca="1">+'Capex_FO input'!CQ87</f>
        <v>3.7253812500000001E-3</v>
      </c>
      <c r="AE91" s="1516">
        <f ca="1">+'Capex_FO input'!CR87</f>
        <v>7.6288301874999987E-3</v>
      </c>
      <c r="AF91" s="1516">
        <f ca="1">+'Capex_FO input'!CS87</f>
        <v>1.0594218083749999E-2</v>
      </c>
      <c r="AG91" s="1499">
        <f ca="1">+'Capex_FO input'!CT87</f>
        <v>1.25934031075125E-2</v>
      </c>
      <c r="AH91" s="1496">
        <f ca="1">+'Capex_FO input'!CU87</f>
        <v>1.842129124290753E-2</v>
      </c>
      <c r="AI91" s="1516">
        <f ca="1">+'Capex_FO input'!CV87</f>
        <v>2.8192743583284073E-2</v>
      </c>
      <c r="AJ91" s="1516">
        <f ca="1">+'Capex_FO input'!CW87</f>
        <v>3.647594406692057E-2</v>
      </c>
      <c r="AK91" s="1516">
        <f ca="1">+'Capex_FO input'!CX87</f>
        <v>4.3226245138114835E-2</v>
      </c>
      <c r="AL91" s="1499">
        <f ca="1">+'Capex_FO input'!CY87</f>
        <v>5.0179055241444927E-2</v>
      </c>
    </row>
    <row r="92" spans="3:38" ht="11.25" customHeight="1" x14ac:dyDescent="0.3">
      <c r="C92" s="120"/>
      <c r="D92" s="2406" t="str">
        <f>+'Capex_FO input'!C88</f>
        <v>Dam Safety Improvement Program</v>
      </c>
      <c r="E92" s="2407"/>
      <c r="F92" s="2407"/>
      <c r="G92" s="2407"/>
      <c r="H92" s="2408"/>
      <c r="I92" s="1689">
        <f>+'Capex_FO input'!M88</f>
        <v>60</v>
      </c>
      <c r="J92" s="120"/>
      <c r="K92" s="120"/>
      <c r="L92" s="120"/>
      <c r="M92" s="120"/>
      <c r="N92" s="636"/>
      <c r="O92" s="120"/>
      <c r="P92" s="120"/>
      <c r="Q92" s="120"/>
      <c r="R92" s="637"/>
      <c r="S92" s="636"/>
      <c r="T92" s="120"/>
      <c r="U92" s="120"/>
      <c r="V92" s="120"/>
      <c r="W92" s="120"/>
      <c r="X92" s="636"/>
      <c r="Y92" s="120"/>
      <c r="Z92" s="120"/>
      <c r="AA92" s="120"/>
      <c r="AB92" s="1676"/>
      <c r="AC92" s="1496">
        <f ca="1">+'Capex_FO input'!CP88</f>
        <v>0</v>
      </c>
      <c r="AD92" s="1516">
        <f ca="1">+'Capex_FO input'!CQ88</f>
        <v>0</v>
      </c>
      <c r="AE92" s="1516">
        <f ca="1">+'Capex_FO input'!CR88</f>
        <v>2.2765145833333333E-3</v>
      </c>
      <c r="AF92" s="1516">
        <f ca="1">+'Capex_FO input'!CS88</f>
        <v>6.8978391875000001E-3</v>
      </c>
      <c r="AG92" s="1499">
        <f ca="1">+'Capex_FO input'!CT88</f>
        <v>1.4072957851250002E-2</v>
      </c>
      <c r="AH92" s="1496">
        <f ca="1">+'Capex_FO input'!CU88</f>
        <v>2.3878484396370837E-2</v>
      </c>
      <c r="AI92" s="1516">
        <f ca="1">+'Capex_FO input'!CV88</f>
        <v>2.8853702298575003E-2</v>
      </c>
      <c r="AJ92" s="1516">
        <f ca="1">+'Capex_FO input'!CW88</f>
        <v>2.8853702298575003E-2</v>
      </c>
      <c r="AK92" s="1516">
        <f ca="1">+'Capex_FO input'!CX88</f>
        <v>2.8853702298575003E-2</v>
      </c>
      <c r="AL92" s="1499">
        <f ca="1">+'Capex_FO input'!CY88</f>
        <v>2.8853702298575003E-2</v>
      </c>
    </row>
    <row r="93" spans="3:38" ht="11.25" customHeight="1" x14ac:dyDescent="0.3">
      <c r="C93" s="120"/>
      <c r="D93" s="2406" t="str">
        <f>+'Capex_FO input'!C89</f>
        <v>Water Network Rationalisation program</v>
      </c>
      <c r="E93" s="2407"/>
      <c r="F93" s="2407"/>
      <c r="G93" s="2407"/>
      <c r="H93" s="2408"/>
      <c r="I93" s="1689">
        <f>+'Capex_FO input'!M89</f>
        <v>60</v>
      </c>
      <c r="J93" s="120"/>
      <c r="K93" s="120"/>
      <c r="L93" s="120"/>
      <c r="M93" s="120"/>
      <c r="N93" s="636"/>
      <c r="O93" s="120"/>
      <c r="P93" s="120"/>
      <c r="Q93" s="120"/>
      <c r="R93" s="637"/>
      <c r="S93" s="636"/>
      <c r="T93" s="120"/>
      <c r="U93" s="120"/>
      <c r="V93" s="120"/>
      <c r="W93" s="120"/>
      <c r="X93" s="636"/>
      <c r="Y93" s="120"/>
      <c r="Z93" s="120"/>
      <c r="AA93" s="120"/>
      <c r="AB93" s="1676"/>
      <c r="AC93" s="1496">
        <f ca="1">+'Capex_FO input'!CP89</f>
        <v>1.7166666666666669E-3</v>
      </c>
      <c r="AD93" s="1516">
        <f ca="1">+'Capex_FO input'!CQ89</f>
        <v>5.2015000000000004E-3</v>
      </c>
      <c r="AE93" s="1516">
        <f ca="1">+'Capex_FO input'!CR89</f>
        <v>6.9696666666666665E-3</v>
      </c>
      <c r="AF93" s="1516">
        <f ca="1">+'Capex_FO input'!CS89</f>
        <v>7.4386286708333334E-3</v>
      </c>
      <c r="AG93" s="1499">
        <f ca="1">+'Capex_FO input'!CT89</f>
        <v>1.25446869722E-2</v>
      </c>
      <c r="AH93" s="1496">
        <f ca="1">+'Capex_FO input'!CU89</f>
        <v>0.14952257946803085</v>
      </c>
      <c r="AI93" s="1516">
        <f ca="1">+'Capex_FO input'!CV89</f>
        <v>0.38435286445206751</v>
      </c>
      <c r="AJ93" s="1516">
        <f ca="1">+'Capex_FO input'!CW89</f>
        <v>0.53962443996195741</v>
      </c>
      <c r="AK93" s="1516">
        <f ca="1">+'Capex_FO input'!CX89</f>
        <v>0.59566845964601445</v>
      </c>
      <c r="AL93" s="1499">
        <f ca="1">+'Capex_FO input'!CY89</f>
        <v>0.63028844145695051</v>
      </c>
    </row>
    <row r="94" spans="3:38" x14ac:dyDescent="0.3">
      <c r="C94" s="120"/>
      <c r="D94" s="2406" t="str">
        <f>+'Capex_FO input'!C90</f>
        <v>Water Network - WPS Optimisation</v>
      </c>
      <c r="E94" s="2407"/>
      <c r="F94" s="2407"/>
      <c r="G94" s="2407"/>
      <c r="H94" s="2408"/>
      <c r="I94" s="1689">
        <f>+'Capex_FO input'!M90</f>
        <v>60</v>
      </c>
      <c r="J94" s="120"/>
      <c r="K94" s="120"/>
      <c r="L94" s="120"/>
      <c r="M94" s="120"/>
      <c r="N94" s="636"/>
      <c r="O94" s="120"/>
      <c r="P94" s="120"/>
      <c r="Q94" s="120"/>
      <c r="R94" s="637"/>
      <c r="S94" s="636"/>
      <c r="T94" s="120"/>
      <c r="U94" s="120"/>
      <c r="V94" s="120"/>
      <c r="W94" s="120"/>
      <c r="X94" s="636"/>
      <c r="Y94" s="120"/>
      <c r="Z94" s="120"/>
      <c r="AA94" s="120"/>
      <c r="AB94" s="1676"/>
      <c r="AC94" s="1496">
        <f ca="1">+'Capex_FO input'!CP90</f>
        <v>0</v>
      </c>
      <c r="AD94" s="1516">
        <f ca="1">+'Capex_FO input'!CQ90</f>
        <v>3.5363333333333333E-4</v>
      </c>
      <c r="AE94" s="1516">
        <f ca="1">+'Capex_FO input'!CR90</f>
        <v>3.4390841666666664E-3</v>
      </c>
      <c r="AF94" s="1516">
        <f ca="1">+'Capex_FO input'!CS90</f>
        <v>8.1874382845833343E-3</v>
      </c>
      <c r="AG94" s="1499">
        <f ca="1">+'Capex_FO input'!CT90</f>
        <v>1.3536887866112502E-2</v>
      </c>
      <c r="AH94" s="1496">
        <f ca="1">+'Capex_FO input'!CU90</f>
        <v>1.86608792745185E-2</v>
      </c>
      <c r="AI94" s="1516">
        <f ca="1">+'Capex_FO input'!CV90</f>
        <v>2.1681831584736872E-2</v>
      </c>
      <c r="AJ94" s="1516">
        <f ca="1">+'Capex_FO input'!CW90</f>
        <v>2.2911705450161742E-2</v>
      </c>
      <c r="AK94" s="1516">
        <f ca="1">+'Capex_FO input'!CX90</f>
        <v>3.1066537849094522E-2</v>
      </c>
      <c r="AL94" s="1499">
        <f ca="1">+'Capex_FO input'!CY90</f>
        <v>3.9221370248027299E-2</v>
      </c>
    </row>
    <row r="95" spans="3:38" x14ac:dyDescent="0.3">
      <c r="C95" s="120"/>
      <c r="D95" s="2406" t="str">
        <f>+'Capex_FO input'!C91</f>
        <v>Major Water Main Renewal - Balanee Rd Trunk Main</v>
      </c>
      <c r="E95" s="2407"/>
      <c r="F95" s="2407"/>
      <c r="G95" s="2407"/>
      <c r="H95" s="2408"/>
      <c r="I95" s="1689">
        <f>+'Capex_FO input'!M91</f>
        <v>80</v>
      </c>
      <c r="J95" s="120"/>
      <c r="K95" s="120"/>
      <c r="L95" s="120"/>
      <c r="M95" s="120"/>
      <c r="N95" s="636"/>
      <c r="O95" s="120"/>
      <c r="P95" s="120"/>
      <c r="Q95" s="120"/>
      <c r="R95" s="637"/>
      <c r="S95" s="636"/>
      <c r="T95" s="120"/>
      <c r="U95" s="120"/>
      <c r="V95" s="120"/>
      <c r="W95" s="120"/>
      <c r="X95" s="636"/>
      <c r="Y95" s="120"/>
      <c r="Z95" s="120"/>
      <c r="AA95" s="120"/>
      <c r="AB95" s="1676"/>
      <c r="AC95" s="1496">
        <f ca="1">+'Capex_FO input'!CP91</f>
        <v>0</v>
      </c>
      <c r="AD95" s="1516">
        <f ca="1">+'Capex_FO input'!CQ91</f>
        <v>6.6306250000000002E-4</v>
      </c>
      <c r="AE95" s="1516">
        <f ca="1">+'Capex_FO input'!CR91</f>
        <v>6.1068056250000004E-3</v>
      </c>
      <c r="AF95" s="1516">
        <f ca="1">+'Capex_FO input'!CS91</f>
        <v>1.088748625E-2</v>
      </c>
      <c r="AG95" s="1499">
        <f ca="1">+'Capex_FO input'!CT91</f>
        <v>1.088748625E-2</v>
      </c>
      <c r="AH95" s="1496">
        <f ca="1">+'Capex_FO input'!CU91</f>
        <v>1.088748625E-2</v>
      </c>
      <c r="AI95" s="1516">
        <f ca="1">+'Capex_FO input'!CV91</f>
        <v>1.088748625E-2</v>
      </c>
      <c r="AJ95" s="1516">
        <f ca="1">+'Capex_FO input'!CW91</f>
        <v>1.088748625E-2</v>
      </c>
      <c r="AK95" s="1516">
        <f ca="1">+'Capex_FO input'!CX91</f>
        <v>1.088748625E-2</v>
      </c>
      <c r="AL95" s="1499">
        <f ca="1">+'Capex_FO input'!CY91</f>
        <v>1.088748625E-2</v>
      </c>
    </row>
    <row r="96" spans="3:38" x14ac:dyDescent="0.3">
      <c r="C96" s="120"/>
      <c r="D96" s="2406" t="str">
        <f>+'Capex_FO input'!C92</f>
        <v>Sewer Network - Monitoring &amp; Control Optimisation</v>
      </c>
      <c r="E96" s="2407"/>
      <c r="F96" s="2407"/>
      <c r="G96" s="2407"/>
      <c r="H96" s="2408"/>
      <c r="I96" s="1689">
        <f>+'Capex_FO input'!M92</f>
        <v>60</v>
      </c>
      <c r="J96" s="120"/>
      <c r="K96" s="120"/>
      <c r="L96" s="120"/>
      <c r="M96" s="120"/>
      <c r="N96" s="636"/>
      <c r="O96" s="120"/>
      <c r="P96" s="120"/>
      <c r="Q96" s="120"/>
      <c r="R96" s="637"/>
      <c r="S96" s="636"/>
      <c r="T96" s="120"/>
      <c r="U96" s="120"/>
      <c r="V96" s="120"/>
      <c r="W96" s="120"/>
      <c r="X96" s="636"/>
      <c r="Y96" s="120"/>
      <c r="Z96" s="120"/>
      <c r="AA96" s="120"/>
      <c r="AB96" s="1676"/>
      <c r="AC96" s="1496">
        <f ca="1">+'Capex_FO input'!CP92</f>
        <v>8.5833333333333337E-5</v>
      </c>
      <c r="AD96" s="1516">
        <f ca="1">+'Capex_FO input'!CQ92</f>
        <v>8.3472916666666667E-4</v>
      </c>
      <c r="AE96" s="1516">
        <f ca="1">+'Capex_FO input'!CR92</f>
        <v>2.6360489583333335E-3</v>
      </c>
      <c r="AF96" s="1516">
        <f ca="1">+'Capex_FO input'!CS92</f>
        <v>5.8377390683333336E-3</v>
      </c>
      <c r="AG96" s="1499">
        <f ca="1">+'Capex_FO input'!CT92</f>
        <v>1.0992569418133334E-2</v>
      </c>
      <c r="AH96" s="1496">
        <f ca="1">+'Capex_FO input'!CU92</f>
        <v>1.5079010530040836E-2</v>
      </c>
      <c r="AI96" s="1516">
        <f ca="1">+'Capex_FO input'!CV92</f>
        <v>1.7098948998335729E-2</v>
      </c>
      <c r="AJ96" s="1516">
        <f ca="1">+'Capex_FO input'!CW92</f>
        <v>1.8123843886189785E-2</v>
      </c>
      <c r="AK96" s="1516">
        <f ca="1">+'Capex_FO input'!CX92</f>
        <v>1.8123843886189785E-2</v>
      </c>
      <c r="AL96" s="1499">
        <f ca="1">+'Capex_FO input'!CY92</f>
        <v>1.8123843886189785E-2</v>
      </c>
    </row>
    <row r="97" spans="3:38" x14ac:dyDescent="0.3">
      <c r="C97" s="120"/>
      <c r="D97" s="2406" t="str">
        <f>+'Capex_FO input'!C93</f>
        <v>Regional Water Network Growth Project</v>
      </c>
      <c r="E97" s="2407"/>
      <c r="F97" s="2407"/>
      <c r="G97" s="2407"/>
      <c r="H97" s="2408"/>
      <c r="I97" s="1689">
        <f>+'Capex_FO input'!M93</f>
        <v>60</v>
      </c>
      <c r="J97" s="120"/>
      <c r="K97" s="120"/>
      <c r="L97" s="120"/>
      <c r="M97" s="120"/>
      <c r="N97" s="636"/>
      <c r="O97" s="120"/>
      <c r="P97" s="120"/>
      <c r="Q97" s="120"/>
      <c r="R97" s="637"/>
      <c r="S97" s="636"/>
      <c r="T97" s="120"/>
      <c r="U97" s="120"/>
      <c r="V97" s="120"/>
      <c r="W97" s="120"/>
      <c r="X97" s="636"/>
      <c r="Y97" s="120"/>
      <c r="Z97" s="120"/>
      <c r="AA97" s="120"/>
      <c r="AB97" s="1676"/>
      <c r="AC97" s="1496">
        <f ca="1">+'Capex_FO input'!CP93</f>
        <v>0</v>
      </c>
      <c r="AD97" s="1516">
        <f ca="1">+'Capex_FO input'!CQ93</f>
        <v>0</v>
      </c>
      <c r="AE97" s="1516">
        <f ca="1">+'Capex_FO input'!CR93</f>
        <v>0</v>
      </c>
      <c r="AF97" s="1516">
        <f ca="1">+'Capex_FO input'!CS93</f>
        <v>9.3792400833333351E-4</v>
      </c>
      <c r="AG97" s="1499">
        <f ca="1">+'Capex_FO input'!CT93</f>
        <v>6.8027628324416663E-3</v>
      </c>
      <c r="AH97" s="1496">
        <f ca="1">+'Capex_FO input'!CU93</f>
        <v>6.1680865386346498E-2</v>
      </c>
      <c r="AI97" s="1516">
        <f ca="1">+'Capex_FO input'!CV93</f>
        <v>0.17886515776770257</v>
      </c>
      <c r="AJ97" s="1516">
        <f ca="1">+'Capex_FO input'!CW93</f>
        <v>0.25084865021613234</v>
      </c>
      <c r="AK97" s="1516">
        <f ca="1">+'Capex_FO input'!CX93</f>
        <v>0.26016574416473826</v>
      </c>
      <c r="AL97" s="1499">
        <f ca="1">+'Capex_FO input'!CY93</f>
        <v>0.28993088242084292</v>
      </c>
    </row>
    <row r="98" spans="3:38" x14ac:dyDescent="0.3">
      <c r="C98" s="120"/>
      <c r="D98" s="2406" t="str">
        <f>+'Capex_FO input'!C94</f>
        <v>Major Water Main Renewal - Norman Street Trunk Main</v>
      </c>
      <c r="E98" s="2407"/>
      <c r="F98" s="2407"/>
      <c r="G98" s="2407"/>
      <c r="H98" s="2408"/>
      <c r="I98" s="1689">
        <f>+'Capex_FO input'!M94</f>
        <v>80</v>
      </c>
      <c r="J98" s="120"/>
      <c r="K98" s="120"/>
      <c r="L98" s="120"/>
      <c r="M98" s="120"/>
      <c r="N98" s="636"/>
      <c r="O98" s="120"/>
      <c r="P98" s="120"/>
      <c r="Q98" s="120"/>
      <c r="R98" s="637"/>
      <c r="S98" s="636"/>
      <c r="T98" s="120"/>
      <c r="U98" s="120"/>
      <c r="V98" s="120"/>
      <c r="W98" s="120"/>
      <c r="X98" s="636"/>
      <c r="Y98" s="120"/>
      <c r="Z98" s="120"/>
      <c r="AA98" s="120"/>
      <c r="AB98" s="1676"/>
      <c r="AC98" s="1496">
        <f ca="1">+'Capex_FO input'!CP94</f>
        <v>0</v>
      </c>
      <c r="AD98" s="1516">
        <f ca="1">+'Capex_FO input'!CQ94</f>
        <v>0</v>
      </c>
      <c r="AE98" s="1516">
        <f ca="1">+'Capex_FO input'!CR94</f>
        <v>3.4147718749999998E-4</v>
      </c>
      <c r="AF98" s="1516">
        <f ca="1">+'Capex_FO input'!CS94</f>
        <v>3.8484479031250006E-3</v>
      </c>
      <c r="AG98" s="1499">
        <f ca="1">+'Capex_FO input'!CT94</f>
        <v>7.0139414312500011E-3</v>
      </c>
      <c r="AH98" s="1496">
        <f ca="1">+'Capex_FO input'!CU94</f>
        <v>7.0139414312500011E-3</v>
      </c>
      <c r="AI98" s="1516">
        <f ca="1">+'Capex_FO input'!CV94</f>
        <v>7.3982770141952734E-3</v>
      </c>
      <c r="AJ98" s="1516">
        <f ca="1">+'Capex_FO input'!CW94</f>
        <v>1.1345403451043217E-2</v>
      </c>
      <c r="AK98" s="1516">
        <f ca="1">+'Capex_FO input'!CX94</f>
        <v>1.5723677544839165E-2</v>
      </c>
      <c r="AL98" s="1499">
        <f ca="1">+'Capex_FO input'!CY94</f>
        <v>2.1578847207272902E-2</v>
      </c>
    </row>
    <row r="99" spans="3:38" x14ac:dyDescent="0.3">
      <c r="C99" s="120"/>
      <c r="D99" s="2406" t="str">
        <f>+'Capex_FO input'!C95</f>
        <v>Environmental Groundwater Monitoring Program</v>
      </c>
      <c r="E99" s="2407"/>
      <c r="F99" s="2407"/>
      <c r="G99" s="2407"/>
      <c r="H99" s="2408"/>
      <c r="I99" s="1689">
        <f>+'Capex_FO input'!M95</f>
        <v>10</v>
      </c>
      <c r="J99" s="120"/>
      <c r="K99" s="120"/>
      <c r="L99" s="120"/>
      <c r="M99" s="120"/>
      <c r="N99" s="636"/>
      <c r="O99" s="120"/>
      <c r="P99" s="120"/>
      <c r="Q99" s="120"/>
      <c r="R99" s="637"/>
      <c r="S99" s="636"/>
      <c r="T99" s="120"/>
      <c r="U99" s="120"/>
      <c r="V99" s="120"/>
      <c r="W99" s="120"/>
      <c r="X99" s="636"/>
      <c r="Y99" s="120"/>
      <c r="Z99" s="120"/>
      <c r="AA99" s="120"/>
      <c r="AB99" s="1676"/>
      <c r="AC99" s="1496">
        <f ca="1">+'Capex_FO input'!CP95</f>
        <v>2.575E-3</v>
      </c>
      <c r="AD99" s="1516">
        <f ca="1">+'Capex_FO input'!CQ95</f>
        <v>1.04545E-2</v>
      </c>
      <c r="AE99" s="1516">
        <f ca="1">+'Capex_FO input'!CR95</f>
        <v>2.1222635000000004E-2</v>
      </c>
      <c r="AF99" s="1516">
        <f ca="1">+'Capex_FO input'!CS95</f>
        <v>3.231381405E-2</v>
      </c>
      <c r="AG99" s="1499">
        <f ca="1">+'Capex_FO input'!CT95</f>
        <v>4.6635913657250005E-2</v>
      </c>
      <c r="AH99" s="1496">
        <f ca="1">+'Capex_FO input'!CU95</f>
        <v>6.1300730697144999E-2</v>
      </c>
      <c r="AI99" s="1516">
        <f ca="1">+'Capex_FO input'!CV95</f>
        <v>7.3420361506914361E-2</v>
      </c>
      <c r="AJ99" s="1516">
        <f ca="1">+'Capex_FO input'!CW95</f>
        <v>8.5903581240976787E-2</v>
      </c>
      <c r="AK99" s="1516">
        <f ca="1">+'Capex_FO input'!CX95</f>
        <v>9.876129756706109E-2</v>
      </c>
      <c r="AL99" s="1499">
        <f ca="1">+'Capex_FO input'!CY95</f>
        <v>0.11200474538292793</v>
      </c>
    </row>
    <row r="100" spans="3:38" x14ac:dyDescent="0.3">
      <c r="C100" s="120"/>
      <c r="D100" s="2406" t="str">
        <f>+'Capex_FO input'!C96</f>
        <v>Sites &amp; Facilities Minor Asset Replacements</v>
      </c>
      <c r="E100" s="2407"/>
      <c r="F100" s="2407"/>
      <c r="G100" s="2407"/>
      <c r="H100" s="2408"/>
      <c r="I100" s="1689">
        <f>+'Capex_FO input'!M96</f>
        <v>80</v>
      </c>
      <c r="J100" s="120"/>
      <c r="K100" s="120"/>
      <c r="L100" s="120"/>
      <c r="M100" s="120"/>
      <c r="N100" s="636"/>
      <c r="O100" s="120"/>
      <c r="P100" s="120"/>
      <c r="Q100" s="120"/>
      <c r="R100" s="637"/>
      <c r="S100" s="636"/>
      <c r="T100" s="120"/>
      <c r="U100" s="120"/>
      <c r="V100" s="120"/>
      <c r="W100" s="120"/>
      <c r="X100" s="636"/>
      <c r="Y100" s="120"/>
      <c r="Z100" s="120"/>
      <c r="AA100" s="120"/>
      <c r="AB100" s="1676"/>
      <c r="AC100" s="1496">
        <f ca="1">+'Capex_FO input'!CP96</f>
        <v>6.4375000000000001E-4</v>
      </c>
      <c r="AD100" s="1516">
        <f ca="1">+'Capex_FO input'!CQ96</f>
        <v>1.9505625E-3</v>
      </c>
      <c r="AE100" s="1516">
        <f ca="1">+'Capex_FO input'!CR96</f>
        <v>3.2965793749999998E-3</v>
      </c>
      <c r="AF100" s="1516">
        <f ca="1">+'Capex_FO input'!CS96</f>
        <v>4.6829767562500003E-3</v>
      </c>
      <c r="AG100" s="1499">
        <f ca="1">+'Capex_FO input'!CT96</f>
        <v>6.1109660589374996E-3</v>
      </c>
      <c r="AH100" s="1496">
        <f ca="1">+'Capex_FO input'!CU96</f>
        <v>7.5817950407056252E-3</v>
      </c>
      <c r="AI100" s="1516">
        <f ca="1">+'Capex_FO input'!CV96</f>
        <v>9.0967488919267963E-3</v>
      </c>
      <c r="AJ100" s="1516">
        <f ca="1">+'Capex_FO input'!CW96</f>
        <v>1.06571513586846E-2</v>
      </c>
      <c r="AK100" s="1516">
        <f ca="1">+'Capex_FO input'!CX96</f>
        <v>1.2264365899445137E-2</v>
      </c>
      <c r="AL100" s="1499">
        <f ca="1">+'Capex_FO input'!CY96</f>
        <v>1.3919796876428492E-2</v>
      </c>
    </row>
    <row r="101" spans="3:38" ht="11.25" customHeight="1" x14ac:dyDescent="0.3">
      <c r="C101" s="120"/>
      <c r="D101" s="2406" t="str">
        <f>+'Capex_FO input'!C97</f>
        <v>Small Plant Replacement Program</v>
      </c>
      <c r="E101" s="2407"/>
      <c r="F101" s="2407"/>
      <c r="G101" s="2407"/>
      <c r="H101" s="2408"/>
      <c r="I101" s="1689">
        <f>+'Capex_FO input'!M97</f>
        <v>80</v>
      </c>
      <c r="J101" s="120"/>
      <c r="K101" s="120"/>
      <c r="L101" s="120"/>
      <c r="M101" s="120"/>
      <c r="N101" s="636"/>
      <c r="O101" s="120"/>
      <c r="P101" s="120"/>
      <c r="Q101" s="120"/>
      <c r="R101" s="637"/>
      <c r="S101" s="636"/>
      <c r="T101" s="120"/>
      <c r="U101" s="120"/>
      <c r="V101" s="120"/>
      <c r="W101" s="120"/>
      <c r="X101" s="636"/>
      <c r="Y101" s="120"/>
      <c r="Z101" s="120"/>
      <c r="AA101" s="120"/>
      <c r="AB101" s="1676"/>
      <c r="AC101" s="1496">
        <f ca="1">+'Capex_FO input'!CP97</f>
        <v>6.4375000000000001E-4</v>
      </c>
      <c r="AD101" s="1516">
        <f ca="1">+'Capex_FO input'!CQ97</f>
        <v>1.9505625E-3</v>
      </c>
      <c r="AE101" s="1516">
        <f ca="1">+'Capex_FO input'!CR97</f>
        <v>3.2965793749999998E-3</v>
      </c>
      <c r="AF101" s="1516">
        <f ca="1">+'Capex_FO input'!CS97</f>
        <v>4.6829767562500003E-3</v>
      </c>
      <c r="AG101" s="1499">
        <f ca="1">+'Capex_FO input'!CT97</f>
        <v>6.1109660589374996E-3</v>
      </c>
      <c r="AH101" s="1496">
        <f ca="1">+'Capex_FO input'!CU97</f>
        <v>7.5817950407056252E-3</v>
      </c>
      <c r="AI101" s="1516">
        <f ca="1">+'Capex_FO input'!CV97</f>
        <v>9.0967488919267963E-3</v>
      </c>
      <c r="AJ101" s="1516">
        <f ca="1">+'Capex_FO input'!CW97</f>
        <v>1.06571513586846E-2</v>
      </c>
      <c r="AK101" s="1516">
        <f ca="1">+'Capex_FO input'!CX97</f>
        <v>1.2264365899445137E-2</v>
      </c>
      <c r="AL101" s="1499">
        <f ca="1">+'Capex_FO input'!CY97</f>
        <v>1.3919796876428492E-2</v>
      </c>
    </row>
    <row r="102" spans="3:38" ht="11.25" customHeight="1" x14ac:dyDescent="0.3">
      <c r="C102" s="120"/>
      <c r="D102" s="2406" t="str">
        <f>+'Capex_FO input'!C98</f>
        <v>Water Network - WPS Rehabilitation</v>
      </c>
      <c r="E102" s="2407"/>
      <c r="F102" s="2407"/>
      <c r="G102" s="2407"/>
      <c r="H102" s="2408"/>
      <c r="I102" s="1689">
        <f>+'Capex_FO input'!M98</f>
        <v>80</v>
      </c>
      <c r="J102" s="120"/>
      <c r="K102" s="120"/>
      <c r="L102" s="120"/>
      <c r="M102" s="120"/>
      <c r="N102" s="636"/>
      <c r="O102" s="120"/>
      <c r="P102" s="120"/>
      <c r="Q102" s="120"/>
      <c r="R102" s="637"/>
      <c r="S102" s="636"/>
      <c r="T102" s="120"/>
      <c r="U102" s="120"/>
      <c r="V102" s="120"/>
      <c r="W102" s="120"/>
      <c r="X102" s="636"/>
      <c r="Y102" s="120"/>
      <c r="Z102" s="120"/>
      <c r="AA102" s="120"/>
      <c r="AB102" s="1676"/>
      <c r="AC102" s="1496">
        <f ca="1">+'Capex_FO input'!CP98</f>
        <v>6.4375000000000001E-4</v>
      </c>
      <c r="AD102" s="1516">
        <f ca="1">+'Capex_FO input'!CQ98</f>
        <v>1.9505625E-3</v>
      </c>
      <c r="AE102" s="1516">
        <f ca="1">+'Capex_FO input'!CR98</f>
        <v>3.2965793749999998E-3</v>
      </c>
      <c r="AF102" s="1516">
        <f ca="1">+'Capex_FO input'!CS98</f>
        <v>4.6829767562500003E-3</v>
      </c>
      <c r="AG102" s="1499">
        <f ca="1">+'Capex_FO input'!CT98</f>
        <v>6.1109660589374996E-3</v>
      </c>
      <c r="AH102" s="1496">
        <f ca="1">+'Capex_FO input'!CU98</f>
        <v>7.5817950407056252E-3</v>
      </c>
      <c r="AI102" s="1516">
        <f ca="1">+'Capex_FO input'!CV98</f>
        <v>9.0967488919267963E-3</v>
      </c>
      <c r="AJ102" s="1516">
        <f ca="1">+'Capex_FO input'!CW98</f>
        <v>1.06571513586846E-2</v>
      </c>
      <c r="AK102" s="1516">
        <f ca="1">+'Capex_FO input'!CX98</f>
        <v>1.2264365899445137E-2</v>
      </c>
      <c r="AL102" s="1499">
        <f ca="1">+'Capex_FO input'!CY98</f>
        <v>1.3919796876428492E-2</v>
      </c>
    </row>
    <row r="103" spans="3:38" ht="11.25" customHeight="1" x14ac:dyDescent="0.3">
      <c r="C103" s="120"/>
      <c r="D103" s="2406" t="str">
        <f>+'Capex_FO input'!C99</f>
        <v>Sewer Network - Sewer Rising Main Renewals Program</v>
      </c>
      <c r="E103" s="2407"/>
      <c r="F103" s="2407"/>
      <c r="G103" s="2407"/>
      <c r="H103" s="2408"/>
      <c r="I103" s="1689">
        <f>+'Capex_FO input'!M99</f>
        <v>80</v>
      </c>
      <c r="J103" s="120"/>
      <c r="K103" s="120"/>
      <c r="L103" s="120"/>
      <c r="M103" s="120"/>
      <c r="N103" s="636"/>
      <c r="O103" s="120"/>
      <c r="P103" s="120"/>
      <c r="Q103" s="120"/>
      <c r="R103" s="637"/>
      <c r="S103" s="636"/>
      <c r="T103" s="120"/>
      <c r="U103" s="120"/>
      <c r="V103" s="120"/>
      <c r="W103" s="120"/>
      <c r="X103" s="636"/>
      <c r="Y103" s="120"/>
      <c r="Z103" s="120"/>
      <c r="AA103" s="120"/>
      <c r="AB103" s="1676"/>
      <c r="AC103" s="1496">
        <f ca="1">+'Capex_FO input'!CP99</f>
        <v>0</v>
      </c>
      <c r="AD103" s="1516">
        <f ca="1">+'Capex_FO input'!CQ99</f>
        <v>6.6306250000000002E-4</v>
      </c>
      <c r="AE103" s="1516">
        <f ca="1">+'Capex_FO input'!CR99</f>
        <v>4.3994196874999995E-3</v>
      </c>
      <c r="AF103" s="1516">
        <f ca="1">+'Capex_FO input'!CS99</f>
        <v>9.9347648968750001E-3</v>
      </c>
      <c r="AG103" s="1499">
        <f ca="1">+'Capex_FO input'!CT99</f>
        <v>1.2396815418750002E-2</v>
      </c>
      <c r="AH103" s="1496">
        <f ca="1">+'Capex_FO input'!CU99</f>
        <v>1.2396815418750002E-2</v>
      </c>
      <c r="AI103" s="1516">
        <f ca="1">+'Capex_FO input'!CV99</f>
        <v>1.2396815418750002E-2</v>
      </c>
      <c r="AJ103" s="1516">
        <f ca="1">+'Capex_FO input'!CW99</f>
        <v>1.2396815418750002E-2</v>
      </c>
      <c r="AK103" s="1516">
        <f ca="1">+'Capex_FO input'!CX99</f>
        <v>1.2396815418750002E-2</v>
      </c>
      <c r="AL103" s="1499">
        <f ca="1">+'Capex_FO input'!CY99</f>
        <v>1.2396815418750002E-2</v>
      </c>
    </row>
    <row r="104" spans="3:38" ht="11.25" customHeight="1" x14ac:dyDescent="0.3">
      <c r="C104" s="120"/>
      <c r="D104" s="2406" t="str">
        <f>+'Capex_FO input'!C100</f>
        <v>Ballarat Water Growth Project - Western &amp; North-Western growth area</v>
      </c>
      <c r="E104" s="2407"/>
      <c r="F104" s="2407"/>
      <c r="G104" s="2407"/>
      <c r="H104" s="2408"/>
      <c r="I104" s="1689">
        <f>+'Capex_FO input'!M100</f>
        <v>60</v>
      </c>
      <c r="J104" s="120"/>
      <c r="K104" s="120"/>
      <c r="L104" s="120"/>
      <c r="M104" s="120"/>
      <c r="N104" s="636"/>
      <c r="O104" s="120"/>
      <c r="P104" s="120"/>
      <c r="Q104" s="120"/>
      <c r="R104" s="637"/>
      <c r="S104" s="636"/>
      <c r="T104" s="120"/>
      <c r="U104" s="120"/>
      <c r="V104" s="120"/>
      <c r="W104" s="120"/>
      <c r="X104" s="636"/>
      <c r="Y104" s="120"/>
      <c r="Z104" s="120"/>
      <c r="AA104" s="120"/>
      <c r="AB104" s="1676"/>
      <c r="AC104" s="1496">
        <f ca="1">+'Capex_FO input'!CP100</f>
        <v>0</v>
      </c>
      <c r="AD104" s="1516">
        <f ca="1">+'Capex_FO input'!CQ100</f>
        <v>0</v>
      </c>
      <c r="AE104" s="1516">
        <f ca="1">+'Capex_FO input'!CR100</f>
        <v>0</v>
      </c>
      <c r="AF104" s="1516">
        <f ca="1">+'Capex_FO input'!CS100</f>
        <v>0</v>
      </c>
      <c r="AG104" s="1499">
        <f ca="1">+'Capex_FO input'!CT100</f>
        <v>4.1057623464791672E-3</v>
      </c>
      <c r="AH104" s="1496">
        <f ca="1">+'Capex_FO input'!CU100</f>
        <v>5.6222377449228554E-2</v>
      </c>
      <c r="AI104" s="1516">
        <f ca="1">+'Capex_FO input'!CV100</f>
        <v>0.19083684822916669</v>
      </c>
      <c r="AJ104" s="1516">
        <f ca="1">+'Capex_FO input'!CW100</f>
        <v>0.36189180501200907</v>
      </c>
      <c r="AK104" s="1516">
        <f ca="1">+'Capex_FO input'!CX100</f>
        <v>0.52789146776051121</v>
      </c>
      <c r="AL104" s="1499">
        <f ca="1">+'Capex_FO input'!CY100</f>
        <v>0.71583317178124872</v>
      </c>
    </row>
    <row r="105" spans="3:38" ht="11.25" customHeight="1" x14ac:dyDescent="0.3">
      <c r="C105" s="120"/>
      <c r="D105" s="2406" t="str">
        <f>+'Capex_FO input'!C101</f>
        <v>Small System Water Treatment Supply Upgrades</v>
      </c>
      <c r="E105" s="2407"/>
      <c r="F105" s="2407"/>
      <c r="G105" s="2407"/>
      <c r="H105" s="2408"/>
      <c r="I105" s="1689">
        <f>+'Capex_FO input'!M101</f>
        <v>80</v>
      </c>
      <c r="J105" s="120"/>
      <c r="K105" s="120"/>
      <c r="L105" s="120"/>
      <c r="M105" s="120"/>
      <c r="N105" s="636"/>
      <c r="O105" s="120"/>
      <c r="P105" s="120"/>
      <c r="Q105" s="120"/>
      <c r="R105" s="637"/>
      <c r="S105" s="636"/>
      <c r="T105" s="120"/>
      <c r="U105" s="120"/>
      <c r="V105" s="120"/>
      <c r="W105" s="120"/>
      <c r="X105" s="636"/>
      <c r="Y105" s="120"/>
      <c r="Z105" s="120"/>
      <c r="AA105" s="120"/>
      <c r="AB105" s="1676"/>
      <c r="AC105" s="1496">
        <f ca="1">+'Capex_FO input'!CP101</f>
        <v>5.1500000000000005E-4</v>
      </c>
      <c r="AD105" s="1516">
        <f ca="1">+'Capex_FO input'!CQ101</f>
        <v>1.5604500000000001E-3</v>
      </c>
      <c r="AE105" s="1516">
        <f ca="1">+'Capex_FO input'!CR101</f>
        <v>2.6372635000000001E-3</v>
      </c>
      <c r="AF105" s="1516">
        <f ca="1">+'Capex_FO input'!CS101</f>
        <v>3.7463814050000001E-3</v>
      </c>
      <c r="AG105" s="1499">
        <f ca="1">+'Capex_FO input'!CT101</f>
        <v>4.8163182175062508E-3</v>
      </c>
      <c r="AH105" s="1496">
        <f ca="1">+'Capex_FO input'!CU101</f>
        <v>6.0697833103431249E-3</v>
      </c>
      <c r="AI105" s="1516">
        <f ca="1">+'Capex_FO input'!CV101</f>
        <v>7.5847371615642943E-3</v>
      </c>
      <c r="AJ105" s="1516">
        <f ca="1">+'Capex_FO input'!CW101</f>
        <v>9.1451396283220993E-3</v>
      </c>
      <c r="AK105" s="1516">
        <f ca="1">+'Capex_FO input'!CX101</f>
        <v>1.0752354169082637E-2</v>
      </c>
      <c r="AL105" s="1499">
        <f ca="1">+'Capex_FO input'!CY101</f>
        <v>1.2407785146065994E-2</v>
      </c>
    </row>
    <row r="106" spans="3:38" ht="11.25" customHeight="1" x14ac:dyDescent="0.3">
      <c r="C106" s="120"/>
      <c r="D106" s="2406" t="str">
        <f>+'Capex_FO input'!C102</f>
        <v>New Water Meter Connections Program</v>
      </c>
      <c r="E106" s="2407"/>
      <c r="F106" s="2407"/>
      <c r="G106" s="2407"/>
      <c r="H106" s="2408"/>
      <c r="I106" s="1689">
        <f>+'Capex_FO input'!M102</f>
        <v>60</v>
      </c>
      <c r="J106" s="120"/>
      <c r="K106" s="120"/>
      <c r="L106" s="120"/>
      <c r="M106" s="120"/>
      <c r="N106" s="636"/>
      <c r="O106" s="120"/>
      <c r="P106" s="120"/>
      <c r="Q106" s="120"/>
      <c r="R106" s="637"/>
      <c r="S106" s="636"/>
      <c r="T106" s="120"/>
      <c r="U106" s="120"/>
      <c r="V106" s="120"/>
      <c r="W106" s="120"/>
      <c r="X106" s="636"/>
      <c r="Y106" s="120"/>
      <c r="Z106" s="120"/>
      <c r="AA106" s="120"/>
      <c r="AB106" s="1676"/>
      <c r="AC106" s="1496">
        <f ca="1">+'Capex_FO input'!CP102</f>
        <v>4.2916666666666673E-4</v>
      </c>
      <c r="AD106" s="1516">
        <f ca="1">+'Capex_FO input'!CQ102</f>
        <v>1.3003750000000001E-3</v>
      </c>
      <c r="AE106" s="1516">
        <f ca="1">+'Capex_FO input'!CR102</f>
        <v>2.1977195833333333E-3</v>
      </c>
      <c r="AF106" s="1516">
        <f ca="1">+'Capex_FO input'!CS102</f>
        <v>3.1219845041666667E-3</v>
      </c>
      <c r="AG106" s="1499">
        <f ca="1">+'Capex_FO input'!CT102</f>
        <v>4.0739773726249998E-3</v>
      </c>
      <c r="AH106" s="1496">
        <f ca="1">+'Capex_FO input'!CU102</f>
        <v>5.5520518173575008E-3</v>
      </c>
      <c r="AI106" s="1516">
        <f ca="1">+'Capex_FO input'!CV102</f>
        <v>7.571990285652393E-3</v>
      </c>
      <c r="AJ106" s="1516">
        <f ca="1">+'Capex_FO input'!CW102</f>
        <v>9.652526907996133E-3</v>
      </c>
      <c r="AK106" s="1516">
        <f ca="1">+'Capex_FO input'!CX102</f>
        <v>1.1795479629010182E-2</v>
      </c>
      <c r="AL106" s="1499">
        <f ca="1">+'Capex_FO input'!CY102</f>
        <v>1.4002720931654656E-2</v>
      </c>
    </row>
    <row r="107" spans="3:38" ht="11.25" customHeight="1" x14ac:dyDescent="0.3">
      <c r="C107" s="120"/>
      <c r="D107" s="2406" t="str">
        <f>+'Capex_FO input'!C103</f>
        <v>Digital Meter Replacement Program</v>
      </c>
      <c r="E107" s="2407"/>
      <c r="F107" s="2407"/>
      <c r="G107" s="2407"/>
      <c r="H107" s="2408"/>
      <c r="I107" s="1689">
        <f>+'Capex_FO input'!M103</f>
        <v>80</v>
      </c>
      <c r="J107" s="120"/>
      <c r="K107" s="120"/>
      <c r="L107" s="120"/>
      <c r="M107" s="120"/>
      <c r="N107" s="636"/>
      <c r="O107" s="120"/>
      <c r="P107" s="120"/>
      <c r="Q107" s="120"/>
      <c r="R107" s="637"/>
      <c r="S107" s="636"/>
      <c r="T107" s="120"/>
      <c r="U107" s="120"/>
      <c r="V107" s="120"/>
      <c r="W107" s="120"/>
      <c r="X107" s="636"/>
      <c r="Y107" s="120"/>
      <c r="Z107" s="120"/>
      <c r="AA107" s="120"/>
      <c r="AB107" s="1676"/>
      <c r="AC107" s="1496">
        <f ca="1">+'Capex_FO input'!CP103</f>
        <v>0</v>
      </c>
      <c r="AD107" s="1516">
        <f ca="1">+'Capex_FO input'!CQ103</f>
        <v>0</v>
      </c>
      <c r="AE107" s="1516">
        <f ca="1">+'Capex_FO input'!CR103</f>
        <v>3.4147718749999998E-4</v>
      </c>
      <c r="AF107" s="1516">
        <f ca="1">+'Capex_FO input'!CS103</f>
        <v>1.0346758781249999E-3</v>
      </c>
      <c r="AG107" s="1499">
        <f ca="1">+'Capex_FO input'!CT103</f>
        <v>1.74867052946875E-3</v>
      </c>
      <c r="AH107" s="1496">
        <f ca="1">+'Capex_FO input'!CU103</f>
        <v>3.9766503910140631E-3</v>
      </c>
      <c r="AI107" s="1516">
        <f ca="1">+'Capex_FO input'!CV103</f>
        <v>7.7640350190669857E-3</v>
      </c>
      <c r="AJ107" s="1516">
        <f ca="1">+'Capex_FO input'!CW103</f>
        <v>1.1665041185961494E-2</v>
      </c>
      <c r="AK107" s="1516">
        <f ca="1">+'Capex_FO input'!CX103</f>
        <v>1.5683077537862838E-2</v>
      </c>
      <c r="AL107" s="1499">
        <f ca="1">+'Capex_FO input'!CY103</f>
        <v>1.9821654980321228E-2</v>
      </c>
    </row>
    <row r="108" spans="3:38" ht="11.25" customHeight="1" x14ac:dyDescent="0.3">
      <c r="C108" s="120"/>
      <c r="D108" s="2406" t="str">
        <f>+'Capex_FO input'!C104</f>
        <v>Laboratory Equipment Replacements</v>
      </c>
      <c r="E108" s="2407"/>
      <c r="F108" s="2407"/>
      <c r="G108" s="2407"/>
      <c r="H108" s="2408"/>
      <c r="I108" s="1689">
        <f>+'Capex_FO input'!M104</f>
        <v>10</v>
      </c>
      <c r="J108" s="120"/>
      <c r="K108" s="120"/>
      <c r="L108" s="120"/>
      <c r="M108" s="120"/>
      <c r="N108" s="636"/>
      <c r="O108" s="120"/>
      <c r="P108" s="120"/>
      <c r="Q108" s="120"/>
      <c r="R108" s="637"/>
      <c r="S108" s="636"/>
      <c r="T108" s="120"/>
      <c r="U108" s="120"/>
      <c r="V108" s="120"/>
      <c r="W108" s="120"/>
      <c r="X108" s="636"/>
      <c r="Y108" s="120"/>
      <c r="Z108" s="120"/>
      <c r="AA108" s="120"/>
      <c r="AB108" s="1676"/>
      <c r="AC108" s="1496">
        <f ca="1">+'Capex_FO input'!CP104</f>
        <v>5.6649999999999999E-3</v>
      </c>
      <c r="AD108" s="1516">
        <f ca="1">+'Capex_FO input'!CQ104</f>
        <v>1.186045E-2</v>
      </c>
      <c r="AE108" s="1516">
        <f ca="1">+'Capex_FO input'!CR104</f>
        <v>1.2937263500000001E-2</v>
      </c>
      <c r="AF108" s="1516">
        <f ca="1">+'Capex_FO input'!CS104</f>
        <v>1.4046381404999999E-2</v>
      </c>
      <c r="AG108" s="1499">
        <f ca="1">+'Capex_FO input'!CT104</f>
        <v>1.5188772847149997E-2</v>
      </c>
      <c r="AH108" s="1496">
        <f ca="1">+'Capex_FO input'!CU104</f>
        <v>1.6365436032564497E-2</v>
      </c>
      <c r="AI108" s="1516">
        <f ca="1">+'Capex_FO input'!CV104</f>
        <v>1.7577399113541434E-2</v>
      </c>
      <c r="AJ108" s="1516">
        <f ca="1">+'Capex_FO input'!CW104</f>
        <v>1.8825721086947682E-2</v>
      </c>
      <c r="AK108" s="1516">
        <f ca="1">+'Capex_FO input'!CX104</f>
        <v>2.0111492719556111E-2</v>
      </c>
      <c r="AL108" s="1499">
        <f ca="1">+'Capex_FO input'!CY104</f>
        <v>2.143583750114279E-2</v>
      </c>
    </row>
    <row r="109" spans="3:38" ht="11.25" customHeight="1" x14ac:dyDescent="0.3">
      <c r="C109" s="120"/>
      <c r="D109" s="2406" t="str">
        <f>+'Capex_FO input'!C105</f>
        <v xml:space="preserve">Community, Festival &amp; Events Program </v>
      </c>
      <c r="E109" s="2407"/>
      <c r="F109" s="2407"/>
      <c r="G109" s="2407"/>
      <c r="H109" s="2408"/>
      <c r="I109" s="1689">
        <f>+'Capex_FO input'!M105</f>
        <v>10</v>
      </c>
      <c r="J109" s="120"/>
      <c r="K109" s="120"/>
      <c r="L109" s="120"/>
      <c r="M109" s="120"/>
      <c r="N109" s="636"/>
      <c r="O109" s="120"/>
      <c r="P109" s="120"/>
      <c r="Q109" s="120"/>
      <c r="R109" s="637"/>
      <c r="S109" s="636"/>
      <c r="T109" s="120"/>
      <c r="U109" s="120"/>
      <c r="V109" s="120"/>
      <c r="W109" s="120"/>
      <c r="X109" s="636"/>
      <c r="Y109" s="120"/>
      <c r="Z109" s="120"/>
      <c r="AA109" s="120"/>
      <c r="AB109" s="1676"/>
      <c r="AC109" s="1496">
        <f ca="1">+'Capex_FO input'!CP105</f>
        <v>1.2875E-3</v>
      </c>
      <c r="AD109" s="1516">
        <f ca="1">+'Capex_FO input'!CQ105</f>
        <v>3.9011250000000001E-3</v>
      </c>
      <c r="AE109" s="1516">
        <f ca="1">+'Capex_FO input'!CR105</f>
        <v>6.5931587499999996E-3</v>
      </c>
      <c r="AF109" s="1516">
        <f ca="1">+'Capex_FO input'!CS105</f>
        <v>9.3659535125000005E-3</v>
      </c>
      <c r="AG109" s="1499">
        <f ca="1">+'Capex_FO input'!CT105</f>
        <v>1.2221932117874999E-2</v>
      </c>
      <c r="AH109" s="1496">
        <f ca="1">+'Capex_FO input'!CU105</f>
        <v>1.516359008141125E-2</v>
      </c>
      <c r="AI109" s="1516">
        <f ca="1">+'Capex_FO input'!CV105</f>
        <v>1.8193497783853593E-2</v>
      </c>
      <c r="AJ109" s="1516">
        <f ca="1">+'Capex_FO input'!CW105</f>
        <v>2.1314302717369199E-2</v>
      </c>
      <c r="AK109" s="1516">
        <f ca="1">+'Capex_FO input'!CX105</f>
        <v>2.4528731798890275E-2</v>
      </c>
      <c r="AL109" s="1499">
        <f ca="1">+'Capex_FO input'!CY105</f>
        <v>2.7839593752856984E-2</v>
      </c>
    </row>
    <row r="110" spans="3:38" ht="11.25" customHeight="1" x14ac:dyDescent="0.3">
      <c r="C110" s="120"/>
      <c r="D110" s="2406" t="str">
        <f>+'Capex_FO input'!C106</f>
        <v>Sewer Servicing - Pressure Sewer Backlog</v>
      </c>
      <c r="E110" s="2407"/>
      <c r="F110" s="2407"/>
      <c r="G110" s="2407"/>
      <c r="H110" s="2408"/>
      <c r="I110" s="1689">
        <f>+'Capex_FO input'!M106</f>
        <v>60</v>
      </c>
      <c r="J110" s="120"/>
      <c r="K110" s="120"/>
      <c r="L110" s="120"/>
      <c r="M110" s="120"/>
      <c r="N110" s="636"/>
      <c r="O110" s="120"/>
      <c r="P110" s="120"/>
      <c r="Q110" s="120"/>
      <c r="R110" s="637"/>
      <c r="S110" s="636"/>
      <c r="T110" s="120"/>
      <c r="U110" s="120"/>
      <c r="V110" s="120"/>
      <c r="W110" s="120"/>
      <c r="X110" s="636"/>
      <c r="Y110" s="120"/>
      <c r="Z110" s="120"/>
      <c r="AA110" s="120"/>
      <c r="AB110" s="1676"/>
      <c r="AC110" s="1496">
        <f ca="1">+'Capex_FO input'!CP106</f>
        <v>0</v>
      </c>
      <c r="AD110" s="1516">
        <f ca="1">+'Capex_FO input'!CQ106</f>
        <v>0</v>
      </c>
      <c r="AE110" s="1516">
        <f ca="1">+'Capex_FO input'!CR106</f>
        <v>4.5530291666666666E-4</v>
      </c>
      <c r="AF110" s="1516">
        <f ca="1">+'Capex_FO input'!CS106</f>
        <v>1.3795678375000001E-3</v>
      </c>
      <c r="AG110" s="1499">
        <f ca="1">+'Capex_FO input'!CT106</f>
        <v>1.8485298416666669E-3</v>
      </c>
      <c r="AH110" s="1496">
        <f ca="1">+'Capex_FO input'!CU106</f>
        <v>3.3410952123279171E-3</v>
      </c>
      <c r="AI110" s="1516">
        <f ca="1">+'Capex_FO input'!CV106</f>
        <v>6.3710029147702541E-3</v>
      </c>
      <c r="AJ110" s="1516">
        <f ca="1">+'Capex_FO input'!CW106</f>
        <v>9.4918078482858631E-3</v>
      </c>
      <c r="AK110" s="1516">
        <f ca="1">+'Capex_FO input'!CX106</f>
        <v>1.2706236929806939E-2</v>
      </c>
      <c r="AL110" s="1499">
        <f ca="1">+'Capex_FO input'!CY106</f>
        <v>1.6017098883773648E-2</v>
      </c>
    </row>
    <row r="111" spans="3:38" x14ac:dyDescent="0.3">
      <c r="C111" s="120"/>
      <c r="D111" s="2406" t="str">
        <f>+'Capex_FO input'!C107</f>
        <v>Sewer Network - Gravity Network Optimisation</v>
      </c>
      <c r="E111" s="2407"/>
      <c r="F111" s="2407"/>
      <c r="G111" s="2407"/>
      <c r="H111" s="2408"/>
      <c r="I111" s="1689">
        <f>+'Capex_FO input'!M107</f>
        <v>60</v>
      </c>
      <c r="J111" s="120"/>
      <c r="K111" s="120"/>
      <c r="L111" s="120"/>
      <c r="M111" s="120"/>
      <c r="N111" s="636"/>
      <c r="O111" s="120"/>
      <c r="P111" s="120"/>
      <c r="Q111" s="120"/>
      <c r="R111" s="637"/>
      <c r="S111" s="636"/>
      <c r="T111" s="120"/>
      <c r="U111" s="120"/>
      <c r="V111" s="120"/>
      <c r="W111" s="120"/>
      <c r="X111" s="636"/>
      <c r="Y111" s="120"/>
      <c r="Z111" s="120"/>
      <c r="AA111" s="120"/>
      <c r="AB111" s="1676"/>
      <c r="AC111" s="1496">
        <f ca="1">+'Capex_FO input'!CP107</f>
        <v>0</v>
      </c>
      <c r="AD111" s="1516">
        <f ca="1">+'Capex_FO input'!CQ107</f>
        <v>0</v>
      </c>
      <c r="AE111" s="1516">
        <f ca="1">+'Capex_FO input'!CR107</f>
        <v>0</v>
      </c>
      <c r="AF111" s="1516">
        <f ca="1">+'Capex_FO input'!CS107</f>
        <v>0</v>
      </c>
      <c r="AG111" s="1499">
        <f ca="1">+'Capex_FO input'!CT107</f>
        <v>9.6606172858333347E-4</v>
      </c>
      <c r="AH111" s="1496">
        <f ca="1">+'Capex_FO input'!CU107</f>
        <v>8.8974285202525014E-3</v>
      </c>
      <c r="AI111" s="1516">
        <f ca="1">+'Capex_FO input'!CV107</f>
        <v>1.5862733583338336E-2</v>
      </c>
      <c r="AJ111" s="1516">
        <f ca="1">+'Capex_FO input'!CW107</f>
        <v>1.5862733583338336E-2</v>
      </c>
      <c r="AK111" s="1516">
        <f ca="1">+'Capex_FO input'!CX107</f>
        <v>1.5862733583338336E-2</v>
      </c>
      <c r="AL111" s="1499">
        <f ca="1">+'Capex_FO input'!CY107</f>
        <v>1.5862733583338336E-2</v>
      </c>
    </row>
    <row r="112" spans="3:38" x14ac:dyDescent="0.3">
      <c r="C112" s="120"/>
      <c r="D112" s="2406" t="str">
        <f>+'Capex_FO input'!C108</f>
        <v>Sewer Network - Monitoring &amp; Control Rehabilitation</v>
      </c>
      <c r="E112" s="2407"/>
      <c r="F112" s="2407"/>
      <c r="G112" s="2407"/>
      <c r="H112" s="2408"/>
      <c r="I112" s="1689">
        <f>+'Capex_FO input'!M108</f>
        <v>80</v>
      </c>
      <c r="J112" s="120"/>
      <c r="K112" s="120"/>
      <c r="L112" s="120"/>
      <c r="M112" s="120"/>
      <c r="N112" s="636"/>
      <c r="O112" s="120"/>
      <c r="P112" s="120"/>
      <c r="Q112" s="120"/>
      <c r="R112" s="637"/>
      <c r="S112" s="636"/>
      <c r="T112" s="120"/>
      <c r="U112" s="120"/>
      <c r="V112" s="120"/>
      <c r="W112" s="120"/>
      <c r="X112" s="636"/>
      <c r="Y112" s="120"/>
      <c r="Z112" s="120"/>
      <c r="AA112" s="120"/>
      <c r="AB112" s="1676"/>
      <c r="AC112" s="1496">
        <f ca="1">+'Capex_FO input'!CP108</f>
        <v>9.6562499999999996E-5</v>
      </c>
      <c r="AD112" s="1516">
        <f ca="1">+'Capex_FO input'!CQ108</f>
        <v>2.9258437499999994E-4</v>
      </c>
      <c r="AE112" s="1516">
        <f ca="1">+'Capex_FO input'!CR108</f>
        <v>4.9448690624999999E-4</v>
      </c>
      <c r="AF112" s="1516">
        <f ca="1">+'Capex_FO input'!CS108</f>
        <v>7.024465134375E-4</v>
      </c>
      <c r="AG112" s="1499">
        <f ca="1">+'Capex_FO input'!CT108</f>
        <v>9.1664490884062492E-4</v>
      </c>
      <c r="AH112" s="1496">
        <f ca="1">+'Capex_FO input'!CU108</f>
        <v>1.2492116589054374E-3</v>
      </c>
      <c r="AI112" s="1516">
        <f ca="1">+'Capex_FO input'!CV108</f>
        <v>1.7036978142717881E-3</v>
      </c>
      <c r="AJ112" s="1516">
        <f ca="1">+'Capex_FO input'!CW108</f>
        <v>2.1718185542991294E-3</v>
      </c>
      <c r="AK112" s="1516">
        <f ca="1">+'Capex_FO input'!CX108</f>
        <v>2.6539829165272912E-3</v>
      </c>
      <c r="AL112" s="1499">
        <f ca="1">+'Capex_FO input'!CY108</f>
        <v>3.1506122096222971E-3</v>
      </c>
    </row>
    <row r="113" spans="3:38" x14ac:dyDescent="0.3">
      <c r="C113" s="120"/>
      <c r="D113" s="2406" t="str">
        <f>+'Capex_FO input'!C109</f>
        <v>Small Town Sewerage Schemes</v>
      </c>
      <c r="E113" s="2407"/>
      <c r="F113" s="2407"/>
      <c r="G113" s="2407"/>
      <c r="H113" s="2408"/>
      <c r="I113" s="1689">
        <f>+'Capex_FO input'!M109</f>
        <v>60</v>
      </c>
      <c r="J113" s="120"/>
      <c r="K113" s="120"/>
      <c r="L113" s="120"/>
      <c r="M113" s="120"/>
      <c r="N113" s="636"/>
      <c r="O113" s="120"/>
      <c r="P113" s="120"/>
      <c r="Q113" s="120"/>
      <c r="R113" s="637"/>
      <c r="S113" s="636"/>
      <c r="T113" s="120"/>
      <c r="U113" s="120"/>
      <c r="V113" s="120"/>
      <c r="W113" s="120"/>
      <c r="X113" s="636"/>
      <c r="Y113" s="120"/>
      <c r="Z113" s="120"/>
      <c r="AA113" s="120"/>
      <c r="AB113" s="1676"/>
      <c r="AC113" s="1496">
        <f ca="1">+'Capex_FO input'!CP109</f>
        <v>0</v>
      </c>
      <c r="AD113" s="1516">
        <f ca="1">+'Capex_FO input'!CQ109</f>
        <v>0</v>
      </c>
      <c r="AE113" s="1516">
        <f ca="1">+'Capex_FO input'!CR109</f>
        <v>0</v>
      </c>
      <c r="AF113" s="1516">
        <f ca="1">+'Capex_FO input'!CS109</f>
        <v>0</v>
      </c>
      <c r="AG113" s="1499">
        <f ca="1">+'Capex_FO input'!CT109</f>
        <v>0</v>
      </c>
      <c r="AH113" s="1496">
        <f ca="1">+'Capex_FO input'!CU109</f>
        <v>1.9900871608816668E-2</v>
      </c>
      <c r="AI113" s="1516">
        <f ca="1">+'Capex_FO input'!CV109</f>
        <v>6.0299640974714505E-2</v>
      </c>
      <c r="AJ113" s="1516">
        <f ca="1">+'Capex_FO input'!CW109</f>
        <v>0.10191037342158929</v>
      </c>
      <c r="AK113" s="1516">
        <f ca="1">+'Capex_FO input'!CX109</f>
        <v>0.1447694278418703</v>
      </c>
      <c r="AL113" s="1499">
        <f ca="1">+'Capex_FO input'!CY109</f>
        <v>0.18891425389475977</v>
      </c>
    </row>
    <row r="114" spans="3:38" x14ac:dyDescent="0.3">
      <c r="C114" s="120"/>
      <c r="D114" s="2406" t="str">
        <f>+'Capex_FO input'!C110</f>
        <v>Small Town Water Schemes</v>
      </c>
      <c r="E114" s="2407"/>
      <c r="F114" s="2407"/>
      <c r="G114" s="2407"/>
      <c r="H114" s="2408"/>
      <c r="I114" s="1689">
        <f>+'Capex_FO input'!M110</f>
        <v>60</v>
      </c>
      <c r="J114" s="120"/>
      <c r="K114" s="120"/>
      <c r="L114" s="120"/>
      <c r="M114" s="120"/>
      <c r="N114" s="636"/>
      <c r="O114" s="120"/>
      <c r="P114" s="120"/>
      <c r="Q114" s="120"/>
      <c r="R114" s="637"/>
      <c r="S114" s="636"/>
      <c r="T114" s="120"/>
      <c r="U114" s="120"/>
      <c r="V114" s="120"/>
      <c r="W114" s="120"/>
      <c r="X114" s="636"/>
      <c r="Y114" s="120"/>
      <c r="Z114" s="120"/>
      <c r="AA114" s="120"/>
      <c r="AB114" s="1676"/>
      <c r="AC114" s="1496">
        <f ca="1">+'Capex_FO input'!CP110</f>
        <v>0</v>
      </c>
      <c r="AD114" s="1516">
        <f ca="1">+'Capex_FO input'!CQ110</f>
        <v>0</v>
      </c>
      <c r="AE114" s="1516">
        <f ca="1">+'Capex_FO input'!CR110</f>
        <v>0</v>
      </c>
      <c r="AF114" s="1516">
        <f ca="1">+'Capex_FO input'!CS110</f>
        <v>0</v>
      </c>
      <c r="AG114" s="1499">
        <f ca="1">+'Capex_FO input'!CT110</f>
        <v>0</v>
      </c>
      <c r="AH114" s="1496">
        <f ca="1">+'Capex_FO input'!CU110</f>
        <v>1.9900871608816668E-2</v>
      </c>
      <c r="AI114" s="1516">
        <f ca="1">+'Capex_FO input'!CV110</f>
        <v>6.0299640974714505E-2</v>
      </c>
      <c r="AJ114" s="1516">
        <f ca="1">+'Capex_FO input'!CW110</f>
        <v>0.10191037342158929</v>
      </c>
      <c r="AK114" s="1516">
        <f ca="1">+'Capex_FO input'!CX110</f>
        <v>0.1447694278418703</v>
      </c>
      <c r="AL114" s="1499">
        <f ca="1">+'Capex_FO input'!CY110</f>
        <v>0.18891425389475977</v>
      </c>
    </row>
    <row r="115" spans="3:38" x14ac:dyDescent="0.3">
      <c r="C115" s="120"/>
      <c r="D115" s="2406" t="str">
        <f>+'Capex_FO input'!C111</f>
        <v>Ballarat Sewer Build - Specimen Vale Upgrade</v>
      </c>
      <c r="E115" s="2407"/>
      <c r="F115" s="2407"/>
      <c r="G115" s="2407"/>
      <c r="H115" s="2408"/>
      <c r="I115" s="1689">
        <f>+'Capex_FO input'!M111</f>
        <v>60</v>
      </c>
      <c r="J115" s="120"/>
      <c r="K115" s="120"/>
      <c r="L115" s="120"/>
      <c r="M115" s="120"/>
      <c r="N115" s="636"/>
      <c r="O115" s="120"/>
      <c r="P115" s="120"/>
      <c r="Q115" s="120"/>
      <c r="R115" s="637"/>
      <c r="S115" s="636"/>
      <c r="T115" s="120"/>
      <c r="U115" s="120"/>
      <c r="V115" s="120"/>
      <c r="W115" s="120"/>
      <c r="X115" s="636"/>
      <c r="Y115" s="120"/>
      <c r="Z115" s="120"/>
      <c r="AA115" s="120"/>
      <c r="AB115" s="1676"/>
      <c r="AC115" s="1496">
        <f ca="1">+'Capex_FO input'!CP111</f>
        <v>0</v>
      </c>
      <c r="AD115" s="1516">
        <f ca="1">+'Capex_FO input'!CQ111</f>
        <v>0</v>
      </c>
      <c r="AE115" s="1516">
        <f ca="1">+'Capex_FO input'!CR111</f>
        <v>0</v>
      </c>
      <c r="AF115" s="1516">
        <f ca="1">+'Capex_FO input'!CS111</f>
        <v>0</v>
      </c>
      <c r="AG115" s="1499">
        <f ca="1">+'Capex_FO input'!CT111</f>
        <v>0</v>
      </c>
      <c r="AH115" s="1496">
        <f ca="1">+'Capex_FO input'!CU111</f>
        <v>3.4826525315429173E-2</v>
      </c>
      <c r="AI115" s="1516">
        <f ca="1">+'Capex_FO input'!CV111</f>
        <v>0.10552437170575038</v>
      </c>
      <c r="AJ115" s="1516">
        <f ca="1">+'Capex_FO input'!CW111</f>
        <v>0.14139569278064243</v>
      </c>
      <c r="AK115" s="1516">
        <f ca="1">+'Capex_FO input'!CX111</f>
        <v>0.14139569278064243</v>
      </c>
      <c r="AL115" s="1499">
        <f ca="1">+'Capex_FO input'!CY111</f>
        <v>0.14139569278064243</v>
      </c>
    </row>
    <row r="116" spans="3:38" x14ac:dyDescent="0.3">
      <c r="C116" s="120"/>
      <c r="D116" s="2406" t="str">
        <f>+'Capex_FO input'!C112</f>
        <v>Ballarat West Water Treatment Plant Upgrades</v>
      </c>
      <c r="E116" s="2407"/>
      <c r="F116" s="2407"/>
      <c r="G116" s="2407"/>
      <c r="H116" s="2408"/>
      <c r="I116" s="1689">
        <f>+'Capex_FO input'!M112</f>
        <v>60</v>
      </c>
      <c r="J116" s="120"/>
      <c r="K116" s="120"/>
      <c r="L116" s="120"/>
      <c r="M116" s="120"/>
      <c r="N116" s="636"/>
      <c r="O116" s="120"/>
      <c r="P116" s="120"/>
      <c r="Q116" s="120"/>
      <c r="R116" s="637"/>
      <c r="S116" s="636"/>
      <c r="T116" s="120"/>
      <c r="U116" s="120"/>
      <c r="V116" s="120"/>
      <c r="W116" s="120"/>
      <c r="X116" s="636"/>
      <c r="Y116" s="120"/>
      <c r="Z116" s="120"/>
      <c r="AA116" s="120"/>
      <c r="AB116" s="1676"/>
      <c r="AC116" s="1496">
        <f ca="1">+'Capex_FO input'!CP112</f>
        <v>0</v>
      </c>
      <c r="AD116" s="1516">
        <f ca="1">+'Capex_FO input'!CQ112</f>
        <v>0</v>
      </c>
      <c r="AE116" s="1516">
        <f ca="1">+'Capex_FO input'!CR112</f>
        <v>0</v>
      </c>
      <c r="AF116" s="1516">
        <f ca="1">+'Capex_FO input'!CS112</f>
        <v>0</v>
      </c>
      <c r="AG116" s="1499">
        <f ca="1">+'Capex_FO input'!CT112</f>
        <v>0</v>
      </c>
      <c r="AH116" s="1496">
        <f ca="1">+'Capex_FO input'!CU112</f>
        <v>0</v>
      </c>
      <c r="AI116" s="1516">
        <f ca="1">+'Capex_FO input'!CV112</f>
        <v>0</v>
      </c>
      <c r="AJ116" s="1516">
        <f ca="1">+'Capex_FO input'!CW112</f>
        <v>1.0556417344896804E-3</v>
      </c>
      <c r="AK116" s="1516">
        <f ca="1">+'Capex_FO input'!CX112</f>
        <v>2.8206747145564256E-2</v>
      </c>
      <c r="AL116" s="1499">
        <f ca="1">+'Capex_FO input'!CY112</f>
        <v>8.2300468725151704E-2</v>
      </c>
    </row>
    <row r="117" spans="3:38" x14ac:dyDescent="0.3">
      <c r="C117" s="120"/>
      <c r="D117" s="2406" t="str">
        <f>+'Capex_FO input'!C113</f>
        <v>Digital Water Metering Modernisation Program</v>
      </c>
      <c r="E117" s="2407"/>
      <c r="F117" s="2407"/>
      <c r="G117" s="2407"/>
      <c r="H117" s="2408"/>
      <c r="I117" s="1689">
        <f>+'Capex_FO input'!M113</f>
        <v>60</v>
      </c>
      <c r="J117" s="120"/>
      <c r="K117" s="120"/>
      <c r="L117" s="120"/>
      <c r="M117" s="120"/>
      <c r="N117" s="636"/>
      <c r="O117" s="120"/>
      <c r="P117" s="120"/>
      <c r="Q117" s="120"/>
      <c r="R117" s="637"/>
      <c r="S117" s="636"/>
      <c r="T117" s="120"/>
      <c r="U117" s="120"/>
      <c r="V117" s="120"/>
      <c r="W117" s="120"/>
      <c r="X117" s="636"/>
      <c r="Y117" s="120"/>
      <c r="Z117" s="120"/>
      <c r="AA117" s="120"/>
      <c r="AB117" s="1676"/>
      <c r="AC117" s="1496">
        <f ca="1">+'Capex_FO input'!CP113</f>
        <v>0</v>
      </c>
      <c r="AD117" s="1516">
        <f ca="1">+'Capex_FO input'!CQ113</f>
        <v>0</v>
      </c>
      <c r="AE117" s="1516">
        <f ca="1">+'Capex_FO input'!CR113</f>
        <v>0</v>
      </c>
      <c r="AF117" s="1516">
        <f ca="1">+'Capex_FO input'!CS113</f>
        <v>0</v>
      </c>
      <c r="AG117" s="1499">
        <f ca="1">+'Capex_FO input'!CT113</f>
        <v>0</v>
      </c>
      <c r="AH117" s="1496">
        <f ca="1">+'Capex_FO input'!CU113</f>
        <v>1.4925653706612501E-3</v>
      </c>
      <c r="AI117" s="1516">
        <f ca="1">+'Capex_FO input'!CV113</f>
        <v>1.1696737288081998E-2</v>
      </c>
      <c r="AJ117" s="1516">
        <f ca="1">+'Capex_FO input'!CW113</f>
        <v>3.0964761179738294E-2</v>
      </c>
      <c r="AK117" s="1516">
        <f ca="1">+'Capex_FO input'!CX113</f>
        <v>5.7830843322500658E-2</v>
      </c>
      <c r="AL117" s="1499">
        <f ca="1">+'Capex_FO input'!CY113</f>
        <v>9.0939462862167753E-2</v>
      </c>
    </row>
    <row r="118" spans="3:38" ht="11.25" customHeight="1" x14ac:dyDescent="0.3">
      <c r="C118" s="120"/>
      <c r="D118" s="2406" t="str">
        <f>+'Capex_FO input'!C114</f>
        <v>Regulated Supply Water Quality Upgrades</v>
      </c>
      <c r="E118" s="2407"/>
      <c r="F118" s="2407"/>
      <c r="G118" s="2407"/>
      <c r="H118" s="2408"/>
      <c r="I118" s="1689">
        <f>+'Capex_FO input'!M114</f>
        <v>60</v>
      </c>
      <c r="J118" s="120"/>
      <c r="K118" s="120"/>
      <c r="L118" s="120"/>
      <c r="M118" s="120"/>
      <c r="N118" s="636"/>
      <c r="O118" s="120"/>
      <c r="P118" s="120"/>
      <c r="Q118" s="120"/>
      <c r="R118" s="637"/>
      <c r="S118" s="636"/>
      <c r="T118" s="120"/>
      <c r="U118" s="120"/>
      <c r="V118" s="120"/>
      <c r="W118" s="120"/>
      <c r="X118" s="636"/>
      <c r="Y118" s="120"/>
      <c r="Z118" s="120"/>
      <c r="AA118" s="120"/>
      <c r="AB118" s="1676"/>
      <c r="AC118" s="1496">
        <f ca="1">+'Capex_FO input'!CP114</f>
        <v>0</v>
      </c>
      <c r="AD118" s="1516">
        <f ca="1">+'Capex_FO input'!CQ114</f>
        <v>0</v>
      </c>
      <c r="AE118" s="1516">
        <f ca="1">+'Capex_FO input'!CR114</f>
        <v>0</v>
      </c>
      <c r="AF118" s="1516">
        <f ca="1">+'Capex_FO input'!CS114</f>
        <v>0</v>
      </c>
      <c r="AG118" s="1499">
        <f ca="1">+'Capex_FO input'!CT114</f>
        <v>0</v>
      </c>
      <c r="AH118" s="1496">
        <f ca="1">+'Capex_FO input'!CU114</f>
        <v>9.9504358044083339E-3</v>
      </c>
      <c r="AI118" s="1516">
        <f ca="1">+'Capex_FO input'!CV114</f>
        <v>3.0149820487357253E-2</v>
      </c>
      <c r="AJ118" s="1516">
        <f ca="1">+'Capex_FO input'!CW114</f>
        <v>5.0955186710794645E-2</v>
      </c>
      <c r="AK118" s="1516">
        <f ca="1">+'Capex_FO input'!CX114</f>
        <v>7.2384713920935151E-2</v>
      </c>
      <c r="AL118" s="1499">
        <f ca="1">+'Capex_FO input'!CY114</f>
        <v>9.4457126947379885E-2</v>
      </c>
    </row>
    <row r="119" spans="3:38" ht="11.25" customHeight="1" x14ac:dyDescent="0.3">
      <c r="C119" s="120"/>
      <c r="D119" s="2406" t="str">
        <f>+'Capex_FO input'!C115</f>
        <v>Water Resource Security - Northern Victoria</v>
      </c>
      <c r="E119" s="2407"/>
      <c r="F119" s="2407"/>
      <c r="G119" s="2407"/>
      <c r="H119" s="2408"/>
      <c r="I119" s="1689">
        <f>+'Capex_FO input'!M115</f>
        <v>60</v>
      </c>
      <c r="J119" s="120"/>
      <c r="K119" s="120"/>
      <c r="L119" s="120"/>
      <c r="M119" s="120"/>
      <c r="N119" s="636"/>
      <c r="O119" s="120"/>
      <c r="P119" s="120"/>
      <c r="Q119" s="120"/>
      <c r="R119" s="637"/>
      <c r="S119" s="636"/>
      <c r="T119" s="120"/>
      <c r="U119" s="120"/>
      <c r="V119" s="120"/>
      <c r="W119" s="120"/>
      <c r="X119" s="636"/>
      <c r="Y119" s="120"/>
      <c r="Z119" s="120"/>
      <c r="AA119" s="120"/>
      <c r="AB119" s="1676"/>
      <c r="AC119" s="1496">
        <f ca="1">+'Capex_FO input'!CP115</f>
        <v>0</v>
      </c>
      <c r="AD119" s="1516">
        <f ca="1">+'Capex_FO input'!CQ115</f>
        <v>0</v>
      </c>
      <c r="AE119" s="1516">
        <f ca="1">+'Capex_FO input'!CR115</f>
        <v>0</v>
      </c>
      <c r="AF119" s="1516">
        <f ca="1">+'Capex_FO input'!CS115</f>
        <v>0</v>
      </c>
      <c r="AG119" s="1499">
        <f ca="1">+'Capex_FO input'!CT115</f>
        <v>0</v>
      </c>
      <c r="AH119" s="1496">
        <f ca="1">+'Capex_FO input'!CU115</f>
        <v>9.9504358044083339E-3</v>
      </c>
      <c r="AI119" s="1516">
        <f ca="1">+'Capex_FO input'!CV115</f>
        <v>3.0149820487357253E-2</v>
      </c>
      <c r="AJ119" s="1516">
        <f ca="1">+'Capex_FO input'!CW115</f>
        <v>5.0955186710794645E-2</v>
      </c>
      <c r="AK119" s="1516">
        <f ca="1">+'Capex_FO input'!CX115</f>
        <v>7.2384713920935151E-2</v>
      </c>
      <c r="AL119" s="1499">
        <f ca="1">+'Capex_FO input'!CY115</f>
        <v>9.4457126947379885E-2</v>
      </c>
    </row>
    <row r="120" spans="3:38" ht="11.25" customHeight="1" x14ac:dyDescent="0.3">
      <c r="C120" s="120"/>
      <c r="D120" s="2406" t="str">
        <f>+'Capex_FO input'!C116</f>
        <v>Learmonth Road Office Modernisation</v>
      </c>
      <c r="E120" s="2407"/>
      <c r="F120" s="2407"/>
      <c r="G120" s="2407"/>
      <c r="H120" s="2408"/>
      <c r="I120" s="1689">
        <f>+'Capex_FO input'!M116</f>
        <v>20</v>
      </c>
      <c r="J120" s="120"/>
      <c r="K120" s="120"/>
      <c r="L120" s="120"/>
      <c r="M120" s="120"/>
      <c r="N120" s="636"/>
      <c r="O120" s="120"/>
      <c r="P120" s="120"/>
      <c r="Q120" s="120"/>
      <c r="R120" s="637"/>
      <c r="S120" s="636"/>
      <c r="T120" s="120"/>
      <c r="U120" s="120"/>
      <c r="V120" s="120"/>
      <c r="W120" s="120"/>
      <c r="X120" s="636"/>
      <c r="Y120" s="120"/>
      <c r="Z120" s="120"/>
      <c r="AA120" s="120"/>
      <c r="AB120" s="1676"/>
      <c r="AC120" s="1496">
        <f ca="1">+'Capex_FO input'!CP116</f>
        <v>0</v>
      </c>
      <c r="AD120" s="1516">
        <f ca="1">+'Capex_FO input'!CQ116</f>
        <v>0</v>
      </c>
      <c r="AE120" s="1516">
        <f ca="1">+'Capex_FO input'!CR116</f>
        <v>0</v>
      </c>
      <c r="AF120" s="1516">
        <f ca="1">+'Capex_FO input'!CS116</f>
        <v>0</v>
      </c>
      <c r="AG120" s="1499">
        <f ca="1">+'Capex_FO input'!CT116</f>
        <v>0</v>
      </c>
      <c r="AH120" s="1496">
        <f ca="1">+'Capex_FO input'!CU116</f>
        <v>2.9851307413225002E-3</v>
      </c>
      <c r="AI120" s="1516">
        <f ca="1">+'Capex_FO input'!CV116</f>
        <v>5.2090531436077635E-2</v>
      </c>
      <c r="AJ120" s="1516">
        <f ca="1">+'Capex_FO input'!CW116</f>
        <v>0.11087850220338644</v>
      </c>
      <c r="AK120" s="1516">
        <f ca="1">+'Capex_FO input'!CX116</f>
        <v>0.1235462030172626</v>
      </c>
      <c r="AL120" s="1499">
        <f ca="1">+'Capex_FO input'!CY116</f>
        <v>0.1235462030172626</v>
      </c>
    </row>
    <row r="121" spans="3:38" ht="11.25" customHeight="1" x14ac:dyDescent="0.3">
      <c r="C121" s="120"/>
      <c r="D121" s="2406" t="str">
        <f>+'Capex_FO input'!C117</f>
        <v>Sewer Network - Ballarat South Outfall Sewer Relining</v>
      </c>
      <c r="E121" s="2407"/>
      <c r="F121" s="2407"/>
      <c r="G121" s="2407"/>
      <c r="H121" s="2408"/>
      <c r="I121" s="1689">
        <f>+'Capex_FO input'!M117</f>
        <v>80</v>
      </c>
      <c r="J121" s="120"/>
      <c r="K121" s="120"/>
      <c r="L121" s="120"/>
      <c r="M121" s="120"/>
      <c r="N121" s="636"/>
      <c r="O121" s="120"/>
      <c r="P121" s="120"/>
      <c r="Q121" s="120"/>
      <c r="R121" s="637"/>
      <c r="S121" s="636"/>
      <c r="T121" s="120"/>
      <c r="U121" s="120"/>
      <c r="V121" s="120"/>
      <c r="W121" s="120"/>
      <c r="X121" s="636"/>
      <c r="Y121" s="120"/>
      <c r="Z121" s="120"/>
      <c r="AA121" s="120"/>
      <c r="AB121" s="1676"/>
      <c r="AC121" s="1496">
        <f ca="1">+'Capex_FO input'!CP117</f>
        <v>0</v>
      </c>
      <c r="AD121" s="1516">
        <f ca="1">+'Capex_FO input'!CQ117</f>
        <v>0</v>
      </c>
      <c r="AE121" s="1516">
        <f ca="1">+'Capex_FO input'!CR117</f>
        <v>0</v>
      </c>
      <c r="AF121" s="1516">
        <f ca="1">+'Capex_FO input'!CS117</f>
        <v>0</v>
      </c>
      <c r="AG121" s="1499">
        <f ca="1">+'Capex_FO input'!CT117</f>
        <v>0</v>
      </c>
      <c r="AH121" s="1496">
        <f ca="1">+'Capex_FO input'!CU117</f>
        <v>1.8657067133265627E-4</v>
      </c>
      <c r="AI121" s="1516">
        <f ca="1">+'Capex_FO input'!CV117</f>
        <v>5.9460072953717554E-3</v>
      </c>
      <c r="AJ121" s="1516">
        <f ca="1">+'Capex_FO input'!CW117</f>
        <v>1.7654790829799465E-2</v>
      </c>
      <c r="AK121" s="1516">
        <f ca="1">+'Capex_FO input'!CX117</f>
        <v>2.3790708411520735E-2</v>
      </c>
      <c r="AL121" s="1499">
        <f ca="1">+'Capex_FO input'!CY117</f>
        <v>2.3790708411520735E-2</v>
      </c>
    </row>
    <row r="122" spans="3:38" ht="11.25" customHeight="1" x14ac:dyDescent="0.3">
      <c r="C122" s="120"/>
      <c r="D122" s="2406" t="str">
        <f>+'Capex_FO input'!C118</f>
        <v>Water Resource Security - Forest Hill</v>
      </c>
      <c r="E122" s="2407"/>
      <c r="F122" s="2407"/>
      <c r="G122" s="2407"/>
      <c r="H122" s="2408"/>
      <c r="I122" s="1689">
        <f>+'Capex_FO input'!M118</f>
        <v>60</v>
      </c>
      <c r="J122" s="120"/>
      <c r="K122" s="120"/>
      <c r="L122" s="120"/>
      <c r="M122" s="120"/>
      <c r="N122" s="636"/>
      <c r="O122" s="120"/>
      <c r="P122" s="120"/>
      <c r="Q122" s="120"/>
      <c r="R122" s="637"/>
      <c r="S122" s="636"/>
      <c r="T122" s="120"/>
      <c r="U122" s="120"/>
      <c r="V122" s="120"/>
      <c r="W122" s="120"/>
      <c r="X122" s="636"/>
      <c r="Y122" s="120"/>
      <c r="Z122" s="120"/>
      <c r="AA122" s="120"/>
      <c r="AB122" s="1676"/>
      <c r="AC122" s="1496">
        <f ca="1">+'Capex_FO input'!CP118</f>
        <v>0</v>
      </c>
      <c r="AD122" s="1516">
        <f ca="1">+'Capex_FO input'!CQ118</f>
        <v>0</v>
      </c>
      <c r="AE122" s="1516">
        <f ca="1">+'Capex_FO input'!CR118</f>
        <v>0</v>
      </c>
      <c r="AF122" s="1516">
        <f ca="1">+'Capex_FO input'!CS118</f>
        <v>0</v>
      </c>
      <c r="AG122" s="1499">
        <f ca="1">+'Capex_FO input'!CT118</f>
        <v>0</v>
      </c>
      <c r="AH122" s="1496">
        <f ca="1">+'Capex_FO input'!CU118</f>
        <v>4.9752179022041667E-4</v>
      </c>
      <c r="AI122" s="1516">
        <f ca="1">+'Capex_FO input'!CV118</f>
        <v>9.9504358044083334E-4</v>
      </c>
      <c r="AJ122" s="1516">
        <f ca="1">+'Capex_FO input'!CW118</f>
        <v>9.9504358044083334E-4</v>
      </c>
      <c r="AK122" s="1516">
        <f ca="1">+'Capex_FO input'!CX118</f>
        <v>2.6260100602273893E-3</v>
      </c>
      <c r="AL122" s="1499">
        <f ca="1">+'Capex_FO input'!CY118</f>
        <v>1.321641906897476E-2</v>
      </c>
    </row>
    <row r="123" spans="3:38" ht="11.25" customHeight="1" x14ac:dyDescent="0.3">
      <c r="C123" s="120"/>
      <c r="D123" s="2406" t="str">
        <f>+'Capex_FO input'!C119</f>
        <v>Water Network Monitoring Enhancement</v>
      </c>
      <c r="E123" s="2407"/>
      <c r="F123" s="2407"/>
      <c r="G123" s="2407"/>
      <c r="H123" s="2408"/>
      <c r="I123" s="1689">
        <f>+'Capex_FO input'!M119</f>
        <v>60</v>
      </c>
      <c r="J123" s="120"/>
      <c r="K123" s="120"/>
      <c r="L123" s="120"/>
      <c r="M123" s="120"/>
      <c r="N123" s="636"/>
      <c r="O123" s="120"/>
      <c r="P123" s="120"/>
      <c r="Q123" s="120"/>
      <c r="R123" s="637"/>
      <c r="S123" s="636"/>
      <c r="T123" s="120"/>
      <c r="U123" s="120"/>
      <c r="V123" s="120"/>
      <c r="W123" s="120"/>
      <c r="X123" s="636"/>
      <c r="Y123" s="120"/>
      <c r="Z123" s="120"/>
      <c r="AA123" s="120"/>
      <c r="AB123" s="1676"/>
      <c r="AC123" s="1496">
        <f ca="1">+'Capex_FO input'!CP119</f>
        <v>0</v>
      </c>
      <c r="AD123" s="1516">
        <f ca="1">+'Capex_FO input'!CQ119</f>
        <v>0</v>
      </c>
      <c r="AE123" s="1516">
        <f ca="1">+'Capex_FO input'!CR119</f>
        <v>0</v>
      </c>
      <c r="AF123" s="1516">
        <f ca="1">+'Capex_FO input'!CS119</f>
        <v>0</v>
      </c>
      <c r="AG123" s="1499">
        <f ca="1">+'Capex_FO input'!CT119</f>
        <v>0</v>
      </c>
      <c r="AH123" s="1496">
        <f ca="1">+'Capex_FO input'!CU119</f>
        <v>1.3930610126171668E-3</v>
      </c>
      <c r="AI123" s="1516">
        <f ca="1">+'Capex_FO input'!CV119</f>
        <v>4.2209748682300154E-3</v>
      </c>
      <c r="AJ123" s="1516">
        <f ca="1">+'Capex_FO input'!CW119</f>
        <v>7.1337261395112497E-3</v>
      </c>
      <c r="AK123" s="1516">
        <f ca="1">+'Capex_FO input'!CX119</f>
        <v>1.013385994893092E-2</v>
      </c>
      <c r="AL123" s="1499">
        <f ca="1">+'Capex_FO input'!CY119</f>
        <v>1.3223997772633183E-2</v>
      </c>
    </row>
    <row r="124" spans="3:38" ht="11.25" customHeight="1" x14ac:dyDescent="0.3">
      <c r="C124" s="120"/>
      <c r="D124" s="2406" t="str">
        <f>+'Capex_FO input'!C120</f>
        <v>Sewer Network Monitoring Enhancement</v>
      </c>
      <c r="E124" s="2407"/>
      <c r="F124" s="2407"/>
      <c r="G124" s="2407"/>
      <c r="H124" s="2408"/>
      <c r="I124" s="1689">
        <f>+'Capex_FO input'!M120</f>
        <v>60</v>
      </c>
      <c r="J124" s="120"/>
      <c r="K124" s="120"/>
      <c r="L124" s="120"/>
      <c r="M124" s="120"/>
      <c r="N124" s="636"/>
      <c r="O124" s="120"/>
      <c r="P124" s="120"/>
      <c r="Q124" s="120"/>
      <c r="R124" s="637"/>
      <c r="S124" s="636"/>
      <c r="T124" s="120"/>
      <c r="U124" s="120"/>
      <c r="V124" s="120"/>
      <c r="W124" s="120"/>
      <c r="X124" s="636"/>
      <c r="Y124" s="120"/>
      <c r="Z124" s="120"/>
      <c r="AA124" s="120"/>
      <c r="AB124" s="1676"/>
      <c r="AC124" s="1496">
        <f ca="1">+'Capex_FO input'!CP120</f>
        <v>0</v>
      </c>
      <c r="AD124" s="1516">
        <f ca="1">+'Capex_FO input'!CQ120</f>
        <v>0</v>
      </c>
      <c r="AE124" s="1516">
        <f ca="1">+'Capex_FO input'!CR120</f>
        <v>0</v>
      </c>
      <c r="AF124" s="1516">
        <f ca="1">+'Capex_FO input'!CS120</f>
        <v>0</v>
      </c>
      <c r="AG124" s="1499">
        <f ca="1">+'Capex_FO input'!CT120</f>
        <v>0</v>
      </c>
      <c r="AH124" s="1496">
        <f ca="1">+'Capex_FO input'!CU120</f>
        <v>1.2438044755510417E-3</v>
      </c>
      <c r="AI124" s="1516">
        <f ca="1">+'Capex_FO input'!CV120</f>
        <v>3.7687275609196566E-3</v>
      </c>
      <c r="AJ124" s="1516">
        <f ca="1">+'Capex_FO input'!CW120</f>
        <v>6.3693983388493306E-3</v>
      </c>
      <c r="AK124" s="1516">
        <f ca="1">+'Capex_FO input'!CX120</f>
        <v>9.0480892401168939E-3</v>
      </c>
      <c r="AL124" s="1499">
        <f ca="1">+'Capex_FO input'!CY120</f>
        <v>1.1807140868422486E-2</v>
      </c>
    </row>
    <row r="125" spans="3:38" ht="11.25" customHeight="1" x14ac:dyDescent="0.3">
      <c r="C125" s="120"/>
      <c r="D125" s="2406" t="str">
        <f>+'Capex_FO input'!C121</f>
        <v>Maryborough Raw Water Augmentation</v>
      </c>
      <c r="E125" s="2407"/>
      <c r="F125" s="2407"/>
      <c r="G125" s="2407"/>
      <c r="H125" s="2408"/>
      <c r="I125" s="1689">
        <f>+'Capex_FO input'!M121</f>
        <v>60</v>
      </c>
      <c r="J125" s="120"/>
      <c r="K125" s="120"/>
      <c r="L125" s="120"/>
      <c r="M125" s="120"/>
      <c r="N125" s="636"/>
      <c r="O125" s="120"/>
      <c r="P125" s="120"/>
      <c r="Q125" s="120"/>
      <c r="R125" s="637"/>
      <c r="S125" s="636"/>
      <c r="T125" s="120"/>
      <c r="U125" s="120"/>
      <c r="V125" s="120"/>
      <c r="W125" s="120"/>
      <c r="X125" s="636"/>
      <c r="Y125" s="120"/>
      <c r="Z125" s="120"/>
      <c r="AA125" s="120"/>
      <c r="AB125" s="1676"/>
      <c r="AC125" s="1496">
        <f ca="1">+'Capex_FO input'!CP121</f>
        <v>0</v>
      </c>
      <c r="AD125" s="1516">
        <f ca="1">+'Capex_FO input'!CQ121</f>
        <v>0</v>
      </c>
      <c r="AE125" s="1516">
        <f ca="1">+'Capex_FO input'!CR121</f>
        <v>0</v>
      </c>
      <c r="AF125" s="1516">
        <f ca="1">+'Capex_FO input'!CS121</f>
        <v>0</v>
      </c>
      <c r="AG125" s="1499">
        <f ca="1">+'Capex_FO input'!CT121</f>
        <v>0</v>
      </c>
      <c r="AH125" s="1496">
        <f ca="1">+'Capex_FO input'!CU121</f>
        <v>0</v>
      </c>
      <c r="AI125" s="1516">
        <f ca="1">+'Capex_FO input'!CV121</f>
        <v>0</v>
      </c>
      <c r="AJ125" s="1516">
        <f ca="1">+'Capex_FO input'!CW121</f>
        <v>0</v>
      </c>
      <c r="AK125" s="1516">
        <f ca="1">+'Capex_FO input'!CX121</f>
        <v>0</v>
      </c>
      <c r="AL125" s="1499">
        <f ca="1">+'Capex_FO input'!CY121</f>
        <v>0</v>
      </c>
    </row>
    <row r="126" spans="3:38" ht="11.25" customHeight="1" x14ac:dyDescent="0.3">
      <c r="C126" s="120"/>
      <c r="D126" s="2406" t="str">
        <f>+'Capex_FO input'!C122</f>
        <v>White Swan - Lal Lal Interconnection Project</v>
      </c>
      <c r="E126" s="2407"/>
      <c r="F126" s="2407"/>
      <c r="G126" s="2407"/>
      <c r="H126" s="2408"/>
      <c r="I126" s="1689">
        <f>+'Capex_FO input'!M122</f>
        <v>60</v>
      </c>
      <c r="J126" s="120"/>
      <c r="K126" s="120"/>
      <c r="L126" s="120"/>
      <c r="M126" s="120"/>
      <c r="N126" s="636"/>
      <c r="O126" s="120"/>
      <c r="P126" s="120"/>
      <c r="Q126" s="120"/>
      <c r="R126" s="637"/>
      <c r="S126" s="636"/>
      <c r="T126" s="120"/>
      <c r="U126" s="120"/>
      <c r="V126" s="120"/>
      <c r="W126" s="120"/>
      <c r="X126" s="636"/>
      <c r="Y126" s="120"/>
      <c r="Z126" s="120"/>
      <c r="AA126" s="120"/>
      <c r="AB126" s="1676"/>
      <c r="AC126" s="1496">
        <f ca="1">+'Capex_FO input'!CP122</f>
        <v>0</v>
      </c>
      <c r="AD126" s="1516">
        <f ca="1">+'Capex_FO input'!CQ122</f>
        <v>0</v>
      </c>
      <c r="AE126" s="1516">
        <f ca="1">+'Capex_FO input'!CR122</f>
        <v>0</v>
      </c>
      <c r="AF126" s="1516">
        <f ca="1">+'Capex_FO input'!CS122</f>
        <v>0</v>
      </c>
      <c r="AG126" s="1499">
        <f ca="1">+'Capex_FO input'!CT122</f>
        <v>0</v>
      </c>
      <c r="AH126" s="1496">
        <f ca="1">+'Capex_FO input'!CU122</f>
        <v>0</v>
      </c>
      <c r="AI126" s="1516">
        <f ca="1">+'Capex_FO input'!CV122</f>
        <v>0</v>
      </c>
      <c r="AJ126" s="1516">
        <f ca="1">+'Capex_FO input'!CW122</f>
        <v>0</v>
      </c>
      <c r="AK126" s="1516">
        <f ca="1">+'Capex_FO input'!CX122</f>
        <v>0</v>
      </c>
      <c r="AL126" s="1499">
        <f ca="1">+'Capex_FO input'!CY122</f>
        <v>0</v>
      </c>
    </row>
    <row r="127" spans="3:38" ht="11.25" customHeight="1" x14ac:dyDescent="0.3">
      <c r="C127" s="120"/>
      <c r="D127" s="2406" t="str">
        <f>+'Capex_FO input'!C123</f>
        <v>White Swan Water Treatment Plant capacity upgrade</v>
      </c>
      <c r="E127" s="2407"/>
      <c r="F127" s="2407"/>
      <c r="G127" s="2407"/>
      <c r="H127" s="2408"/>
      <c r="I127" s="1689">
        <f>+'Capex_FO input'!M123</f>
        <v>60</v>
      </c>
      <c r="J127" s="120"/>
      <c r="K127" s="120"/>
      <c r="L127" s="120"/>
      <c r="M127" s="120"/>
      <c r="N127" s="636"/>
      <c r="O127" s="120"/>
      <c r="P127" s="120"/>
      <c r="Q127" s="120"/>
      <c r="R127" s="637"/>
      <c r="S127" s="636"/>
      <c r="T127" s="120"/>
      <c r="U127" s="120"/>
      <c r="V127" s="120"/>
      <c r="W127" s="120"/>
      <c r="X127" s="636"/>
      <c r="Y127" s="120"/>
      <c r="Z127" s="120"/>
      <c r="AA127" s="120"/>
      <c r="AB127" s="1676"/>
      <c r="AC127" s="1496">
        <f ca="1">+'Capex_FO input'!CP123</f>
        <v>0</v>
      </c>
      <c r="AD127" s="1516">
        <f ca="1">+'Capex_FO input'!CQ123</f>
        <v>0</v>
      </c>
      <c r="AE127" s="1516">
        <f ca="1">+'Capex_FO input'!CR123</f>
        <v>0</v>
      </c>
      <c r="AF127" s="1516">
        <f ca="1">+'Capex_FO input'!CS123</f>
        <v>0</v>
      </c>
      <c r="AG127" s="1499">
        <f ca="1">+'Capex_FO input'!CT123</f>
        <v>0</v>
      </c>
      <c r="AH127" s="1496">
        <f ca="1">+'Capex_FO input'!CU123</f>
        <v>0</v>
      </c>
      <c r="AI127" s="1516">
        <f ca="1">+'Capex_FO input'!CV123</f>
        <v>0</v>
      </c>
      <c r="AJ127" s="1516">
        <f ca="1">+'Capex_FO input'!CW123</f>
        <v>0</v>
      </c>
      <c r="AK127" s="1516">
        <f ca="1">+'Capex_FO input'!CX123</f>
        <v>0</v>
      </c>
      <c r="AL127" s="1499">
        <f ca="1">+'Capex_FO input'!CY123</f>
        <v>0</v>
      </c>
    </row>
    <row r="128" spans="3:38" x14ac:dyDescent="0.3">
      <c r="C128" s="120"/>
      <c r="D128" s="2406" t="str">
        <f>+'Capex_FO input'!C124</f>
        <v>Ballarat Sewer Growth Project - Future Growth Areas</v>
      </c>
      <c r="E128" s="2407"/>
      <c r="F128" s="2407"/>
      <c r="G128" s="2407"/>
      <c r="H128" s="2408"/>
      <c r="I128" s="1689">
        <f>+'Capex_FO input'!M124</f>
        <v>60</v>
      </c>
      <c r="J128" s="120"/>
      <c r="K128" s="120"/>
      <c r="L128" s="120"/>
      <c r="M128" s="120"/>
      <c r="N128" s="636"/>
      <c r="O128" s="120"/>
      <c r="P128" s="120"/>
      <c r="Q128" s="120"/>
      <c r="R128" s="637"/>
      <c r="S128" s="636"/>
      <c r="T128" s="120"/>
      <c r="U128" s="120"/>
      <c r="V128" s="120"/>
      <c r="W128" s="120"/>
      <c r="X128" s="636"/>
      <c r="Y128" s="120"/>
      <c r="Z128" s="120"/>
      <c r="AA128" s="120"/>
      <c r="AB128" s="1676"/>
      <c r="AC128" s="1496">
        <f ca="1">+'Capex_FO input'!CP124</f>
        <v>0</v>
      </c>
      <c r="AD128" s="1516">
        <f ca="1">+'Capex_FO input'!CQ124</f>
        <v>0</v>
      </c>
      <c r="AE128" s="1516">
        <f ca="1">+'Capex_FO input'!CR124</f>
        <v>0</v>
      </c>
      <c r="AF128" s="1516">
        <f ca="1">+'Capex_FO input'!CS124</f>
        <v>0</v>
      </c>
      <c r="AG128" s="1499">
        <f ca="1">+'Capex_FO input'!CT124</f>
        <v>0</v>
      </c>
      <c r="AH128" s="1496">
        <f ca="1">+'Capex_FO input'!CU124</f>
        <v>0</v>
      </c>
      <c r="AI128" s="1516">
        <f ca="1">+'Capex_FO input'!CV124</f>
        <v>0</v>
      </c>
      <c r="AJ128" s="1516">
        <f ca="1">+'Capex_FO input'!CW124</f>
        <v>0</v>
      </c>
      <c r="AK128" s="1516">
        <f ca="1">+'Capex_FO input'!CX124</f>
        <v>0</v>
      </c>
      <c r="AL128" s="1499">
        <f ca="1">+'Capex_FO input'!CY124</f>
        <v>0</v>
      </c>
    </row>
    <row r="129" spans="3:38" x14ac:dyDescent="0.3">
      <c r="C129" s="120"/>
      <c r="D129" s="2406" t="str">
        <f>+'Capex_FO input'!C125</f>
        <v>Ballarat Water Growth Project - Future Growth Areas</v>
      </c>
      <c r="E129" s="2407"/>
      <c r="F129" s="2407"/>
      <c r="G129" s="2407"/>
      <c r="H129" s="2408"/>
      <c r="I129" s="1689">
        <f>+'Capex_FO input'!M125</f>
        <v>60</v>
      </c>
      <c r="J129" s="120"/>
      <c r="K129" s="120"/>
      <c r="L129" s="120"/>
      <c r="M129" s="120"/>
      <c r="N129" s="636"/>
      <c r="O129" s="120"/>
      <c r="P129" s="120"/>
      <c r="Q129" s="120"/>
      <c r="R129" s="637"/>
      <c r="S129" s="636"/>
      <c r="T129" s="120"/>
      <c r="U129" s="120"/>
      <c r="V129" s="120"/>
      <c r="W129" s="120"/>
      <c r="X129" s="636"/>
      <c r="Y129" s="120"/>
      <c r="Z129" s="120"/>
      <c r="AA129" s="120"/>
      <c r="AB129" s="1676"/>
      <c r="AC129" s="1496">
        <f ca="1">+'Capex_FO input'!CP125</f>
        <v>0</v>
      </c>
      <c r="AD129" s="1516">
        <f ca="1">+'Capex_FO input'!CQ125</f>
        <v>0</v>
      </c>
      <c r="AE129" s="1516">
        <f ca="1">+'Capex_FO input'!CR125</f>
        <v>0</v>
      </c>
      <c r="AF129" s="1516">
        <f ca="1">+'Capex_FO input'!CS125</f>
        <v>0</v>
      </c>
      <c r="AG129" s="1499">
        <f ca="1">+'Capex_FO input'!CT125</f>
        <v>0</v>
      </c>
      <c r="AH129" s="1496">
        <f ca="1">+'Capex_FO input'!CU125</f>
        <v>0</v>
      </c>
      <c r="AI129" s="1516">
        <f ca="1">+'Capex_FO input'!CV125</f>
        <v>0</v>
      </c>
      <c r="AJ129" s="1516">
        <f ca="1">+'Capex_FO input'!CW125</f>
        <v>0</v>
      </c>
      <c r="AK129" s="1516">
        <f ca="1">+'Capex_FO input'!CX125</f>
        <v>0</v>
      </c>
      <c r="AL129" s="1499">
        <f ca="1">+'Capex_FO input'!CY125</f>
        <v>0</v>
      </c>
    </row>
    <row r="130" spans="3:38" x14ac:dyDescent="0.3">
      <c r="C130" s="120"/>
      <c r="D130" s="2406" t="str">
        <f>+'Capex_FO input'!C126</f>
        <v>Major Water Main Renewal - Musical Gully Trunk Main</v>
      </c>
      <c r="E130" s="2407"/>
      <c r="F130" s="2407"/>
      <c r="G130" s="2407"/>
      <c r="H130" s="2408"/>
      <c r="I130" s="1689">
        <f>+'Capex_FO input'!M126</f>
        <v>60</v>
      </c>
      <c r="J130" s="120"/>
      <c r="K130" s="120"/>
      <c r="L130" s="120"/>
      <c r="M130" s="120"/>
      <c r="N130" s="636"/>
      <c r="O130" s="120"/>
      <c r="P130" s="120"/>
      <c r="Q130" s="120"/>
      <c r="R130" s="637"/>
      <c r="S130" s="636"/>
      <c r="T130" s="120"/>
      <c r="U130" s="120"/>
      <c r="V130" s="120"/>
      <c r="W130" s="120"/>
      <c r="X130" s="636"/>
      <c r="Y130" s="120"/>
      <c r="Z130" s="120"/>
      <c r="AA130" s="120"/>
      <c r="AB130" s="1676"/>
      <c r="AC130" s="1496">
        <f ca="1">+'Capex_FO input'!CP126</f>
        <v>0</v>
      </c>
      <c r="AD130" s="1516">
        <f ca="1">+'Capex_FO input'!CQ126</f>
        <v>0</v>
      </c>
      <c r="AE130" s="1516">
        <f ca="1">+'Capex_FO input'!CR126</f>
        <v>0</v>
      </c>
      <c r="AF130" s="1516">
        <f ca="1">+'Capex_FO input'!CS126</f>
        <v>0</v>
      </c>
      <c r="AG130" s="1499">
        <f ca="1">+'Capex_FO input'!CT126</f>
        <v>0</v>
      </c>
      <c r="AH130" s="1496">
        <f ca="1">+'Capex_FO input'!CU126</f>
        <v>0</v>
      </c>
      <c r="AI130" s="1516">
        <f ca="1">+'Capex_FO input'!CV126</f>
        <v>0</v>
      </c>
      <c r="AJ130" s="1516">
        <f ca="1">+'Capex_FO input'!CW126</f>
        <v>0</v>
      </c>
      <c r="AK130" s="1516">
        <f ca="1">+'Capex_FO input'!CX126</f>
        <v>0</v>
      </c>
      <c r="AL130" s="1499">
        <f ca="1">+'Capex_FO input'!CY126</f>
        <v>0</v>
      </c>
    </row>
    <row r="131" spans="3:38" x14ac:dyDescent="0.3">
      <c r="C131" s="120"/>
      <c r="D131" s="2406" t="str">
        <f>+'Capex_FO input'!C127</f>
        <v>[Capex Item - Significant Project / Capital Program / Other Capex]</v>
      </c>
      <c r="E131" s="2407"/>
      <c r="F131" s="2407"/>
      <c r="G131" s="2407"/>
      <c r="H131" s="2408"/>
      <c r="I131" s="1689">
        <f>+'Capex_FO input'!M127</f>
        <v>0</v>
      </c>
      <c r="J131" s="120"/>
      <c r="K131" s="120"/>
      <c r="L131" s="120"/>
      <c r="M131" s="120"/>
      <c r="N131" s="636"/>
      <c r="O131" s="120"/>
      <c r="P131" s="120"/>
      <c r="Q131" s="120"/>
      <c r="R131" s="637"/>
      <c r="S131" s="636"/>
      <c r="T131" s="120"/>
      <c r="U131" s="120"/>
      <c r="V131" s="120"/>
      <c r="W131" s="120"/>
      <c r="X131" s="636"/>
      <c r="Y131" s="120"/>
      <c r="Z131" s="120"/>
      <c r="AA131" s="120"/>
      <c r="AB131" s="1676"/>
      <c r="AC131" s="1496">
        <f ca="1">+'Capex_FO input'!CP127</f>
        <v>0</v>
      </c>
      <c r="AD131" s="1516">
        <f ca="1">+'Capex_FO input'!CQ127</f>
        <v>0</v>
      </c>
      <c r="AE131" s="1516">
        <f ca="1">+'Capex_FO input'!CR127</f>
        <v>0</v>
      </c>
      <c r="AF131" s="1516">
        <f ca="1">+'Capex_FO input'!CS127</f>
        <v>0</v>
      </c>
      <c r="AG131" s="1499">
        <f ca="1">+'Capex_FO input'!CT127</f>
        <v>0</v>
      </c>
      <c r="AH131" s="1496">
        <f ca="1">+'Capex_FO input'!CU127</f>
        <v>0</v>
      </c>
      <c r="AI131" s="1516">
        <f ca="1">+'Capex_FO input'!CV127</f>
        <v>0</v>
      </c>
      <c r="AJ131" s="1516">
        <f ca="1">+'Capex_FO input'!CW127</f>
        <v>0</v>
      </c>
      <c r="AK131" s="1516">
        <f ca="1">+'Capex_FO input'!CX127</f>
        <v>0</v>
      </c>
      <c r="AL131" s="1499">
        <f ca="1">+'Capex_FO input'!CY127</f>
        <v>0</v>
      </c>
    </row>
    <row r="132" spans="3:38" x14ac:dyDescent="0.3">
      <c r="C132" s="120"/>
      <c r="D132" s="2406" t="str">
        <f>+'Capex_FO input'!C128</f>
        <v>[Capex Item - Significant Project / Capital Program / Other Capex]</v>
      </c>
      <c r="E132" s="2407"/>
      <c r="F132" s="2407"/>
      <c r="G132" s="2407"/>
      <c r="H132" s="2408"/>
      <c r="I132" s="1689">
        <f>+'Capex_FO input'!M128</f>
        <v>0</v>
      </c>
      <c r="J132" s="120"/>
      <c r="K132" s="120"/>
      <c r="L132" s="120"/>
      <c r="M132" s="120"/>
      <c r="N132" s="636"/>
      <c r="O132" s="120"/>
      <c r="P132" s="120"/>
      <c r="Q132" s="120"/>
      <c r="R132" s="637"/>
      <c r="S132" s="636"/>
      <c r="T132" s="120"/>
      <c r="U132" s="120"/>
      <c r="V132" s="120"/>
      <c r="W132" s="120"/>
      <c r="X132" s="636"/>
      <c r="Y132" s="120"/>
      <c r="Z132" s="120"/>
      <c r="AA132" s="120"/>
      <c r="AB132" s="1676"/>
      <c r="AC132" s="1496">
        <f ca="1">+'Capex_FO input'!CP128</f>
        <v>0</v>
      </c>
      <c r="AD132" s="1516">
        <f ca="1">+'Capex_FO input'!CQ128</f>
        <v>0</v>
      </c>
      <c r="AE132" s="1516">
        <f ca="1">+'Capex_FO input'!CR128</f>
        <v>0</v>
      </c>
      <c r="AF132" s="1516">
        <f ca="1">+'Capex_FO input'!CS128</f>
        <v>0</v>
      </c>
      <c r="AG132" s="1499">
        <f ca="1">+'Capex_FO input'!CT128</f>
        <v>0</v>
      </c>
      <c r="AH132" s="1496">
        <f ca="1">+'Capex_FO input'!CU128</f>
        <v>0</v>
      </c>
      <c r="AI132" s="1516">
        <f ca="1">+'Capex_FO input'!CV128</f>
        <v>0</v>
      </c>
      <c r="AJ132" s="1516">
        <f ca="1">+'Capex_FO input'!CW128</f>
        <v>0</v>
      </c>
      <c r="AK132" s="1516">
        <f ca="1">+'Capex_FO input'!CX128</f>
        <v>0</v>
      </c>
      <c r="AL132" s="1499">
        <f ca="1">+'Capex_FO input'!CY128</f>
        <v>0</v>
      </c>
    </row>
    <row r="133" spans="3:38" x14ac:dyDescent="0.3">
      <c r="C133" s="120"/>
      <c r="D133" s="2406" t="str">
        <f>+'Capex_FO input'!C129</f>
        <v>[Capex Item - Significant Project / Capital Program / Other Capex]</v>
      </c>
      <c r="E133" s="2407"/>
      <c r="F133" s="2407"/>
      <c r="G133" s="2407"/>
      <c r="H133" s="2408"/>
      <c r="I133" s="1689">
        <f>+'Capex_FO input'!M129</f>
        <v>0</v>
      </c>
      <c r="J133" s="120"/>
      <c r="K133" s="120"/>
      <c r="L133" s="120"/>
      <c r="M133" s="120"/>
      <c r="N133" s="636"/>
      <c r="O133" s="120"/>
      <c r="P133" s="120"/>
      <c r="Q133" s="120"/>
      <c r="R133" s="637"/>
      <c r="S133" s="636"/>
      <c r="T133" s="120"/>
      <c r="U133" s="120"/>
      <c r="V133" s="120"/>
      <c r="W133" s="120"/>
      <c r="X133" s="636"/>
      <c r="Y133" s="120"/>
      <c r="Z133" s="120"/>
      <c r="AA133" s="120"/>
      <c r="AB133" s="1676"/>
      <c r="AC133" s="1496">
        <f ca="1">+'Capex_FO input'!CP129</f>
        <v>0</v>
      </c>
      <c r="AD133" s="1516">
        <f ca="1">+'Capex_FO input'!CQ129</f>
        <v>0</v>
      </c>
      <c r="AE133" s="1516">
        <f ca="1">+'Capex_FO input'!CR129</f>
        <v>0</v>
      </c>
      <c r="AF133" s="1516">
        <f ca="1">+'Capex_FO input'!CS129</f>
        <v>0</v>
      </c>
      <c r="AG133" s="1499">
        <f ca="1">+'Capex_FO input'!CT129</f>
        <v>0</v>
      </c>
      <c r="AH133" s="1496">
        <f ca="1">+'Capex_FO input'!CU129</f>
        <v>0</v>
      </c>
      <c r="AI133" s="1516">
        <f ca="1">+'Capex_FO input'!CV129</f>
        <v>0</v>
      </c>
      <c r="AJ133" s="1516">
        <f ca="1">+'Capex_FO input'!CW129</f>
        <v>0</v>
      </c>
      <c r="AK133" s="1516">
        <f ca="1">+'Capex_FO input'!CX129</f>
        <v>0</v>
      </c>
      <c r="AL133" s="1499">
        <f ca="1">+'Capex_FO input'!CY129</f>
        <v>0</v>
      </c>
    </row>
    <row r="134" spans="3:38" x14ac:dyDescent="0.3">
      <c r="C134" s="120"/>
      <c r="D134" s="2406" t="str">
        <f>+'Capex_FO input'!C130</f>
        <v>[Capex Item - Significant Project / Capital Program / Other Capex]</v>
      </c>
      <c r="E134" s="2407"/>
      <c r="F134" s="2407"/>
      <c r="G134" s="2407"/>
      <c r="H134" s="2408"/>
      <c r="I134" s="1689">
        <f>+'Capex_FO input'!M130</f>
        <v>0</v>
      </c>
      <c r="J134" s="120"/>
      <c r="K134" s="120"/>
      <c r="L134" s="120"/>
      <c r="M134" s="120"/>
      <c r="N134" s="636"/>
      <c r="O134" s="120"/>
      <c r="P134" s="120"/>
      <c r="Q134" s="120"/>
      <c r="R134" s="637"/>
      <c r="S134" s="636"/>
      <c r="T134" s="120"/>
      <c r="U134" s="120"/>
      <c r="V134" s="120"/>
      <c r="W134" s="120"/>
      <c r="X134" s="636"/>
      <c r="Y134" s="120"/>
      <c r="Z134" s="120"/>
      <c r="AA134" s="120"/>
      <c r="AB134" s="1676"/>
      <c r="AC134" s="1496">
        <f ca="1">+'Capex_FO input'!CP130</f>
        <v>0</v>
      </c>
      <c r="AD134" s="1516">
        <f ca="1">+'Capex_FO input'!CQ130</f>
        <v>0</v>
      </c>
      <c r="AE134" s="1516">
        <f ca="1">+'Capex_FO input'!CR130</f>
        <v>0</v>
      </c>
      <c r="AF134" s="1516">
        <f ca="1">+'Capex_FO input'!CS130</f>
        <v>0</v>
      </c>
      <c r="AG134" s="1499">
        <f ca="1">+'Capex_FO input'!CT130</f>
        <v>0</v>
      </c>
      <c r="AH134" s="1496">
        <f ca="1">+'Capex_FO input'!CU130</f>
        <v>0</v>
      </c>
      <c r="AI134" s="1516">
        <f ca="1">+'Capex_FO input'!CV130</f>
        <v>0</v>
      </c>
      <c r="AJ134" s="1516">
        <f ca="1">+'Capex_FO input'!CW130</f>
        <v>0</v>
      </c>
      <c r="AK134" s="1516">
        <f ca="1">+'Capex_FO input'!CX130</f>
        <v>0</v>
      </c>
      <c r="AL134" s="1499">
        <f ca="1">+'Capex_FO input'!CY130</f>
        <v>0</v>
      </c>
    </row>
    <row r="135" spans="3:38" ht="11.25" customHeight="1" x14ac:dyDescent="0.3">
      <c r="C135" s="120"/>
      <c r="D135" s="2406" t="str">
        <f>+'Capex_FO input'!C131</f>
        <v>[Capex Item - Significant Project / Capital Program / Other Capex]</v>
      </c>
      <c r="E135" s="2407"/>
      <c r="F135" s="2407"/>
      <c r="G135" s="2407"/>
      <c r="H135" s="2408"/>
      <c r="I135" s="1689">
        <f>+'Capex_FO input'!M131</f>
        <v>0</v>
      </c>
      <c r="J135" s="120"/>
      <c r="K135" s="120"/>
      <c r="L135" s="120"/>
      <c r="M135" s="120"/>
      <c r="N135" s="636"/>
      <c r="O135" s="120"/>
      <c r="P135" s="120"/>
      <c r="Q135" s="120"/>
      <c r="R135" s="637"/>
      <c r="S135" s="636"/>
      <c r="T135" s="120"/>
      <c r="U135" s="120"/>
      <c r="V135" s="120"/>
      <c r="W135" s="120"/>
      <c r="X135" s="636"/>
      <c r="Y135" s="120"/>
      <c r="Z135" s="120"/>
      <c r="AA135" s="120"/>
      <c r="AB135" s="1676"/>
      <c r="AC135" s="1496">
        <f ca="1">+'Capex_FO input'!CP131</f>
        <v>0</v>
      </c>
      <c r="AD135" s="1516">
        <f ca="1">+'Capex_FO input'!CQ131</f>
        <v>0</v>
      </c>
      <c r="AE135" s="1516">
        <f ca="1">+'Capex_FO input'!CR131</f>
        <v>0</v>
      </c>
      <c r="AF135" s="1516">
        <f ca="1">+'Capex_FO input'!CS131</f>
        <v>0</v>
      </c>
      <c r="AG135" s="1499">
        <f ca="1">+'Capex_FO input'!CT131</f>
        <v>0</v>
      </c>
      <c r="AH135" s="1496">
        <f ca="1">+'Capex_FO input'!CU131</f>
        <v>0</v>
      </c>
      <c r="AI135" s="1516">
        <f ca="1">+'Capex_FO input'!CV131</f>
        <v>0</v>
      </c>
      <c r="AJ135" s="1516">
        <f ca="1">+'Capex_FO input'!CW131</f>
        <v>0</v>
      </c>
      <c r="AK135" s="1516">
        <f ca="1">+'Capex_FO input'!CX131</f>
        <v>0</v>
      </c>
      <c r="AL135" s="1499">
        <f ca="1">+'Capex_FO input'!CY131</f>
        <v>0</v>
      </c>
    </row>
    <row r="136" spans="3:38" ht="11.25" customHeight="1" x14ac:dyDescent="0.3">
      <c r="C136" s="120"/>
      <c r="D136" s="2406" t="str">
        <f>+'Capex_FO input'!C132</f>
        <v>[Capex Item - Significant Project / Capital Program / Other Capex]</v>
      </c>
      <c r="E136" s="2407"/>
      <c r="F136" s="2407"/>
      <c r="G136" s="2407"/>
      <c r="H136" s="2408"/>
      <c r="I136" s="1689">
        <f>+'Capex_FO input'!M132</f>
        <v>0</v>
      </c>
      <c r="J136" s="120"/>
      <c r="K136" s="120"/>
      <c r="L136" s="120"/>
      <c r="M136" s="120"/>
      <c r="N136" s="636"/>
      <c r="O136" s="120"/>
      <c r="P136" s="120"/>
      <c r="Q136" s="120"/>
      <c r="R136" s="637"/>
      <c r="S136" s="636"/>
      <c r="T136" s="120"/>
      <c r="U136" s="120"/>
      <c r="V136" s="120"/>
      <c r="W136" s="120"/>
      <c r="X136" s="636"/>
      <c r="Y136" s="120"/>
      <c r="Z136" s="120"/>
      <c r="AA136" s="120"/>
      <c r="AB136" s="1676"/>
      <c r="AC136" s="1496">
        <f ca="1">+'Capex_FO input'!CP132</f>
        <v>0</v>
      </c>
      <c r="AD136" s="1516">
        <f ca="1">+'Capex_FO input'!CQ132</f>
        <v>0</v>
      </c>
      <c r="AE136" s="1516">
        <f ca="1">+'Capex_FO input'!CR132</f>
        <v>0</v>
      </c>
      <c r="AF136" s="1516">
        <f ca="1">+'Capex_FO input'!CS132</f>
        <v>0</v>
      </c>
      <c r="AG136" s="1499">
        <f ca="1">+'Capex_FO input'!CT132</f>
        <v>0</v>
      </c>
      <c r="AH136" s="1496">
        <f ca="1">+'Capex_FO input'!CU132</f>
        <v>0</v>
      </c>
      <c r="AI136" s="1516">
        <f ca="1">+'Capex_FO input'!CV132</f>
        <v>0</v>
      </c>
      <c r="AJ136" s="1516">
        <f ca="1">+'Capex_FO input'!CW132</f>
        <v>0</v>
      </c>
      <c r="AK136" s="1516">
        <f ca="1">+'Capex_FO input'!CX132</f>
        <v>0</v>
      </c>
      <c r="AL136" s="1499">
        <f ca="1">+'Capex_FO input'!CY132</f>
        <v>0</v>
      </c>
    </row>
    <row r="137" spans="3:38" ht="11.25" customHeight="1" x14ac:dyDescent="0.3">
      <c r="C137" s="120"/>
      <c r="D137" s="2406" t="str">
        <f>+'Capex_FO input'!C133</f>
        <v>[Capex Item - Significant Project / Capital Program / Other Capex]</v>
      </c>
      <c r="E137" s="2407"/>
      <c r="F137" s="2407"/>
      <c r="G137" s="2407"/>
      <c r="H137" s="2408"/>
      <c r="I137" s="1689">
        <f>+'Capex_FO input'!M133</f>
        <v>0</v>
      </c>
      <c r="J137" s="120"/>
      <c r="K137" s="120"/>
      <c r="L137" s="120"/>
      <c r="M137" s="120"/>
      <c r="N137" s="636"/>
      <c r="O137" s="120"/>
      <c r="P137" s="120"/>
      <c r="Q137" s="120"/>
      <c r="R137" s="637"/>
      <c r="S137" s="636"/>
      <c r="T137" s="120"/>
      <c r="U137" s="120"/>
      <c r="V137" s="120"/>
      <c r="W137" s="120"/>
      <c r="X137" s="636"/>
      <c r="Y137" s="120"/>
      <c r="Z137" s="120"/>
      <c r="AA137" s="120"/>
      <c r="AB137" s="1676"/>
      <c r="AC137" s="1496">
        <f ca="1">+'Capex_FO input'!CP133</f>
        <v>0</v>
      </c>
      <c r="AD137" s="1516">
        <f ca="1">+'Capex_FO input'!CQ133</f>
        <v>0</v>
      </c>
      <c r="AE137" s="1516">
        <f ca="1">+'Capex_FO input'!CR133</f>
        <v>0</v>
      </c>
      <c r="AF137" s="1516">
        <f ca="1">+'Capex_FO input'!CS133</f>
        <v>0</v>
      </c>
      <c r="AG137" s="1499">
        <f ca="1">+'Capex_FO input'!CT133</f>
        <v>0</v>
      </c>
      <c r="AH137" s="1496">
        <f ca="1">+'Capex_FO input'!CU133</f>
        <v>0</v>
      </c>
      <c r="AI137" s="1516">
        <f ca="1">+'Capex_FO input'!CV133</f>
        <v>0</v>
      </c>
      <c r="AJ137" s="1516">
        <f ca="1">+'Capex_FO input'!CW133</f>
        <v>0</v>
      </c>
      <c r="AK137" s="1516">
        <f ca="1">+'Capex_FO input'!CX133</f>
        <v>0</v>
      </c>
      <c r="AL137" s="1499">
        <f ca="1">+'Capex_FO input'!CY133</f>
        <v>0</v>
      </c>
    </row>
    <row r="138" spans="3:38" ht="11.25" customHeight="1" x14ac:dyDescent="0.3">
      <c r="C138" s="120"/>
      <c r="D138" s="2406" t="str">
        <f>+'Capex_FO input'!C134</f>
        <v>[Capex Item - Significant Project / Capital Program / Other Capex]</v>
      </c>
      <c r="E138" s="2407"/>
      <c r="F138" s="2407"/>
      <c r="G138" s="2407"/>
      <c r="H138" s="2408"/>
      <c r="I138" s="1689">
        <f>+'Capex_FO input'!M134</f>
        <v>0</v>
      </c>
      <c r="J138" s="120"/>
      <c r="K138" s="120"/>
      <c r="L138" s="120"/>
      <c r="M138" s="120"/>
      <c r="N138" s="636"/>
      <c r="O138" s="120"/>
      <c r="P138" s="120"/>
      <c r="Q138" s="120"/>
      <c r="R138" s="637"/>
      <c r="S138" s="636"/>
      <c r="T138" s="120"/>
      <c r="U138" s="120"/>
      <c r="V138" s="120"/>
      <c r="W138" s="120"/>
      <c r="X138" s="636"/>
      <c r="Y138" s="120"/>
      <c r="Z138" s="120"/>
      <c r="AA138" s="120"/>
      <c r="AB138" s="1676"/>
      <c r="AC138" s="1496">
        <f ca="1">+'Capex_FO input'!CP134</f>
        <v>0</v>
      </c>
      <c r="AD138" s="1516">
        <f ca="1">+'Capex_FO input'!CQ134</f>
        <v>0</v>
      </c>
      <c r="AE138" s="1516">
        <f ca="1">+'Capex_FO input'!CR134</f>
        <v>0</v>
      </c>
      <c r="AF138" s="1516">
        <f ca="1">+'Capex_FO input'!CS134</f>
        <v>0</v>
      </c>
      <c r="AG138" s="1499">
        <f ca="1">+'Capex_FO input'!CT134</f>
        <v>0</v>
      </c>
      <c r="AH138" s="1496">
        <f ca="1">+'Capex_FO input'!CU134</f>
        <v>0</v>
      </c>
      <c r="AI138" s="1516">
        <f ca="1">+'Capex_FO input'!CV134</f>
        <v>0</v>
      </c>
      <c r="AJ138" s="1516">
        <f ca="1">+'Capex_FO input'!CW134</f>
        <v>0</v>
      </c>
      <c r="AK138" s="1516">
        <f ca="1">+'Capex_FO input'!CX134</f>
        <v>0</v>
      </c>
      <c r="AL138" s="1499">
        <f ca="1">+'Capex_FO input'!CY134</f>
        <v>0</v>
      </c>
    </row>
    <row r="139" spans="3:38" ht="11.25" customHeight="1" x14ac:dyDescent="0.3">
      <c r="C139" s="120"/>
      <c r="D139" s="2406" t="str">
        <f>+'Capex_FO input'!C135</f>
        <v>[Capex Item - Significant Project / Capital Program / Other Capex]</v>
      </c>
      <c r="E139" s="2407"/>
      <c r="F139" s="2407"/>
      <c r="G139" s="2407"/>
      <c r="H139" s="2408"/>
      <c r="I139" s="1689">
        <f>+'Capex_FO input'!M135</f>
        <v>0</v>
      </c>
      <c r="J139" s="120"/>
      <c r="K139" s="120"/>
      <c r="L139" s="120"/>
      <c r="M139" s="120"/>
      <c r="N139" s="636"/>
      <c r="O139" s="120"/>
      <c r="P139" s="120"/>
      <c r="Q139" s="120"/>
      <c r="R139" s="637"/>
      <c r="S139" s="636"/>
      <c r="T139" s="120"/>
      <c r="U139" s="120"/>
      <c r="V139" s="120"/>
      <c r="W139" s="120"/>
      <c r="X139" s="636"/>
      <c r="Y139" s="120"/>
      <c r="Z139" s="120"/>
      <c r="AA139" s="120"/>
      <c r="AB139" s="1676"/>
      <c r="AC139" s="1496">
        <f ca="1">+'Capex_FO input'!CP135</f>
        <v>0</v>
      </c>
      <c r="AD139" s="1516">
        <f ca="1">+'Capex_FO input'!CQ135</f>
        <v>0</v>
      </c>
      <c r="AE139" s="1516">
        <f ca="1">+'Capex_FO input'!CR135</f>
        <v>0</v>
      </c>
      <c r="AF139" s="1516">
        <f ca="1">+'Capex_FO input'!CS135</f>
        <v>0</v>
      </c>
      <c r="AG139" s="1499">
        <f ca="1">+'Capex_FO input'!CT135</f>
        <v>0</v>
      </c>
      <c r="AH139" s="1496">
        <f ca="1">+'Capex_FO input'!CU135</f>
        <v>0</v>
      </c>
      <c r="AI139" s="1516">
        <f ca="1">+'Capex_FO input'!CV135</f>
        <v>0</v>
      </c>
      <c r="AJ139" s="1516">
        <f ca="1">+'Capex_FO input'!CW135</f>
        <v>0</v>
      </c>
      <c r="AK139" s="1516">
        <f ca="1">+'Capex_FO input'!CX135</f>
        <v>0</v>
      </c>
      <c r="AL139" s="1499">
        <f ca="1">+'Capex_FO input'!CY135</f>
        <v>0</v>
      </c>
    </row>
    <row r="140" spans="3:38" ht="11.25" customHeight="1" x14ac:dyDescent="0.3">
      <c r="C140" s="120"/>
      <c r="D140" s="2406" t="str">
        <f>+'Capex_FO input'!C136</f>
        <v>[Capex Item - Significant Project / Capital Program / Other Capex]</v>
      </c>
      <c r="E140" s="2407"/>
      <c r="F140" s="2407"/>
      <c r="G140" s="2407"/>
      <c r="H140" s="2408"/>
      <c r="I140" s="1689">
        <f>+'Capex_FO input'!M136</f>
        <v>0</v>
      </c>
      <c r="J140" s="120"/>
      <c r="K140" s="120"/>
      <c r="L140" s="120"/>
      <c r="M140" s="120"/>
      <c r="N140" s="636"/>
      <c r="O140" s="120"/>
      <c r="P140" s="120"/>
      <c r="Q140" s="120"/>
      <c r="R140" s="637"/>
      <c r="S140" s="636"/>
      <c r="T140" s="120"/>
      <c r="U140" s="120"/>
      <c r="V140" s="120"/>
      <c r="W140" s="120"/>
      <c r="X140" s="636"/>
      <c r="Y140" s="120"/>
      <c r="Z140" s="120"/>
      <c r="AA140" s="120"/>
      <c r="AB140" s="1676"/>
      <c r="AC140" s="1496">
        <f ca="1">+'Capex_FO input'!CP136</f>
        <v>0</v>
      </c>
      <c r="AD140" s="1516">
        <f ca="1">+'Capex_FO input'!CQ136</f>
        <v>0</v>
      </c>
      <c r="AE140" s="1516">
        <f ca="1">+'Capex_FO input'!CR136</f>
        <v>0</v>
      </c>
      <c r="AF140" s="1516">
        <f ca="1">+'Capex_FO input'!CS136</f>
        <v>0</v>
      </c>
      <c r="AG140" s="1499">
        <f ca="1">+'Capex_FO input'!CT136</f>
        <v>0</v>
      </c>
      <c r="AH140" s="1496">
        <f ca="1">+'Capex_FO input'!CU136</f>
        <v>0</v>
      </c>
      <c r="AI140" s="1516">
        <f ca="1">+'Capex_FO input'!CV136</f>
        <v>0</v>
      </c>
      <c r="AJ140" s="1516">
        <f ca="1">+'Capex_FO input'!CW136</f>
        <v>0</v>
      </c>
      <c r="AK140" s="1516">
        <f ca="1">+'Capex_FO input'!CX136</f>
        <v>0</v>
      </c>
      <c r="AL140" s="1499">
        <f ca="1">+'Capex_FO input'!CY136</f>
        <v>0</v>
      </c>
    </row>
    <row r="141" spans="3:38" ht="11.25" customHeight="1" x14ac:dyDescent="0.3">
      <c r="C141" s="120"/>
      <c r="D141" s="2406" t="str">
        <f>+'Capex_FO input'!C137</f>
        <v>[Capex Item - Significant Project / Capital Program / Other Capex]</v>
      </c>
      <c r="E141" s="2407"/>
      <c r="F141" s="2407"/>
      <c r="G141" s="2407"/>
      <c r="H141" s="2408"/>
      <c r="I141" s="1689">
        <f>+'Capex_FO input'!M137</f>
        <v>0</v>
      </c>
      <c r="J141" s="120"/>
      <c r="K141" s="120"/>
      <c r="L141" s="120"/>
      <c r="M141" s="120"/>
      <c r="N141" s="636"/>
      <c r="O141" s="120"/>
      <c r="P141" s="120"/>
      <c r="Q141" s="120"/>
      <c r="R141" s="637"/>
      <c r="S141" s="636"/>
      <c r="T141" s="120"/>
      <c r="U141" s="120"/>
      <c r="V141" s="120"/>
      <c r="W141" s="120"/>
      <c r="X141" s="636"/>
      <c r="Y141" s="120"/>
      <c r="Z141" s="120"/>
      <c r="AA141" s="120"/>
      <c r="AB141" s="1676"/>
      <c r="AC141" s="1496">
        <f ca="1">+'Capex_FO input'!CP137</f>
        <v>0</v>
      </c>
      <c r="AD141" s="1516">
        <f ca="1">+'Capex_FO input'!CQ137</f>
        <v>0</v>
      </c>
      <c r="AE141" s="1516">
        <f ca="1">+'Capex_FO input'!CR137</f>
        <v>0</v>
      </c>
      <c r="AF141" s="1516">
        <f ca="1">+'Capex_FO input'!CS137</f>
        <v>0</v>
      </c>
      <c r="AG141" s="1499">
        <f ca="1">+'Capex_FO input'!CT137</f>
        <v>0</v>
      </c>
      <c r="AH141" s="1496">
        <f ca="1">+'Capex_FO input'!CU137</f>
        <v>0</v>
      </c>
      <c r="AI141" s="1516">
        <f ca="1">+'Capex_FO input'!CV137</f>
        <v>0</v>
      </c>
      <c r="AJ141" s="1516">
        <f ca="1">+'Capex_FO input'!CW137</f>
        <v>0</v>
      </c>
      <c r="AK141" s="1516">
        <f ca="1">+'Capex_FO input'!CX137</f>
        <v>0</v>
      </c>
      <c r="AL141" s="1499">
        <f ca="1">+'Capex_FO input'!CY137</f>
        <v>0</v>
      </c>
    </row>
    <row r="142" spans="3:38" ht="11.25" customHeight="1" x14ac:dyDescent="0.3">
      <c r="C142" s="120"/>
      <c r="D142" s="2406" t="str">
        <f>+'Capex_FO input'!C138</f>
        <v>[Capex Item - Significant Project / Capital Program / Other Capex]</v>
      </c>
      <c r="E142" s="2407"/>
      <c r="F142" s="2407"/>
      <c r="G142" s="2407"/>
      <c r="H142" s="2408"/>
      <c r="I142" s="1689">
        <f>+'Capex_FO input'!M138</f>
        <v>0</v>
      </c>
      <c r="J142" s="120"/>
      <c r="K142" s="120"/>
      <c r="L142" s="120"/>
      <c r="M142" s="120"/>
      <c r="N142" s="636"/>
      <c r="O142" s="120"/>
      <c r="P142" s="120"/>
      <c r="Q142" s="120"/>
      <c r="R142" s="637"/>
      <c r="S142" s="636"/>
      <c r="T142" s="120"/>
      <c r="U142" s="120"/>
      <c r="V142" s="120"/>
      <c r="W142" s="120"/>
      <c r="X142" s="636"/>
      <c r="Y142" s="120"/>
      <c r="Z142" s="120"/>
      <c r="AA142" s="120"/>
      <c r="AB142" s="1676"/>
      <c r="AC142" s="1496">
        <f ca="1">+'Capex_FO input'!CP138</f>
        <v>0</v>
      </c>
      <c r="AD142" s="1516">
        <f ca="1">+'Capex_FO input'!CQ138</f>
        <v>0</v>
      </c>
      <c r="AE142" s="1516">
        <f ca="1">+'Capex_FO input'!CR138</f>
        <v>0</v>
      </c>
      <c r="AF142" s="1516">
        <f ca="1">+'Capex_FO input'!CS138</f>
        <v>0</v>
      </c>
      <c r="AG142" s="1499">
        <f ca="1">+'Capex_FO input'!CT138</f>
        <v>0</v>
      </c>
      <c r="AH142" s="1496">
        <f ca="1">+'Capex_FO input'!CU138</f>
        <v>0</v>
      </c>
      <c r="AI142" s="1516">
        <f ca="1">+'Capex_FO input'!CV138</f>
        <v>0</v>
      </c>
      <c r="AJ142" s="1516">
        <f ca="1">+'Capex_FO input'!CW138</f>
        <v>0</v>
      </c>
      <c r="AK142" s="1516">
        <f ca="1">+'Capex_FO input'!CX138</f>
        <v>0</v>
      </c>
      <c r="AL142" s="1499">
        <f ca="1">+'Capex_FO input'!CY138</f>
        <v>0</v>
      </c>
    </row>
    <row r="143" spans="3:38" ht="11.25" customHeight="1" x14ac:dyDescent="0.3">
      <c r="C143" s="120"/>
      <c r="D143" s="2406" t="str">
        <f>+'Capex_FO input'!C139</f>
        <v>[Capex Item - Significant Project / Capital Program / Other Capex]</v>
      </c>
      <c r="E143" s="2407"/>
      <c r="F143" s="2407"/>
      <c r="G143" s="2407"/>
      <c r="H143" s="2408"/>
      <c r="I143" s="1689">
        <f>+'Capex_FO input'!M139</f>
        <v>0</v>
      </c>
      <c r="J143" s="120"/>
      <c r="K143" s="120"/>
      <c r="L143" s="120"/>
      <c r="M143" s="120"/>
      <c r="N143" s="636"/>
      <c r="O143" s="120"/>
      <c r="P143" s="120"/>
      <c r="Q143" s="120"/>
      <c r="R143" s="637"/>
      <c r="S143" s="636"/>
      <c r="T143" s="120"/>
      <c r="U143" s="120"/>
      <c r="V143" s="120"/>
      <c r="W143" s="120"/>
      <c r="X143" s="636"/>
      <c r="Y143" s="120"/>
      <c r="Z143" s="120"/>
      <c r="AA143" s="120"/>
      <c r="AB143" s="1676"/>
      <c r="AC143" s="1496">
        <f ca="1">+'Capex_FO input'!CP139</f>
        <v>0</v>
      </c>
      <c r="AD143" s="1516">
        <f ca="1">+'Capex_FO input'!CQ139</f>
        <v>0</v>
      </c>
      <c r="AE143" s="1516">
        <f ca="1">+'Capex_FO input'!CR139</f>
        <v>0</v>
      </c>
      <c r="AF143" s="1516">
        <f ca="1">+'Capex_FO input'!CS139</f>
        <v>0</v>
      </c>
      <c r="AG143" s="1499">
        <f ca="1">+'Capex_FO input'!CT139</f>
        <v>0</v>
      </c>
      <c r="AH143" s="1496">
        <f ca="1">+'Capex_FO input'!CU139</f>
        <v>0</v>
      </c>
      <c r="AI143" s="1516">
        <f ca="1">+'Capex_FO input'!CV139</f>
        <v>0</v>
      </c>
      <c r="AJ143" s="1516">
        <f ca="1">+'Capex_FO input'!CW139</f>
        <v>0</v>
      </c>
      <c r="AK143" s="1516">
        <f ca="1">+'Capex_FO input'!CX139</f>
        <v>0</v>
      </c>
      <c r="AL143" s="1499">
        <f ca="1">+'Capex_FO input'!CY139</f>
        <v>0</v>
      </c>
    </row>
    <row r="144" spans="3:38" ht="11.25" customHeight="1" x14ac:dyDescent="0.3">
      <c r="C144" s="120"/>
      <c r="D144" s="2406" t="str">
        <f>+'Capex_FO input'!C140</f>
        <v>[Capex Item - Significant Project / Capital Program / Other Capex]</v>
      </c>
      <c r="E144" s="2407"/>
      <c r="F144" s="2407"/>
      <c r="G144" s="2407"/>
      <c r="H144" s="2408"/>
      <c r="I144" s="1689">
        <f>+'Capex_FO input'!M140</f>
        <v>0</v>
      </c>
      <c r="J144" s="120"/>
      <c r="K144" s="120"/>
      <c r="L144" s="120"/>
      <c r="M144" s="120"/>
      <c r="N144" s="636"/>
      <c r="O144" s="120"/>
      <c r="P144" s="120"/>
      <c r="Q144" s="120"/>
      <c r="R144" s="637"/>
      <c r="S144" s="636"/>
      <c r="T144" s="120"/>
      <c r="U144" s="120"/>
      <c r="V144" s="120"/>
      <c r="W144" s="120"/>
      <c r="X144" s="636"/>
      <c r="Y144" s="120"/>
      <c r="Z144" s="120"/>
      <c r="AA144" s="120"/>
      <c r="AB144" s="1676"/>
      <c r="AC144" s="1496">
        <f ca="1">+'Capex_FO input'!CP140</f>
        <v>0</v>
      </c>
      <c r="AD144" s="1516">
        <f ca="1">+'Capex_FO input'!CQ140</f>
        <v>0</v>
      </c>
      <c r="AE144" s="1516">
        <f ca="1">+'Capex_FO input'!CR140</f>
        <v>0</v>
      </c>
      <c r="AF144" s="1516">
        <f ca="1">+'Capex_FO input'!CS140</f>
        <v>0</v>
      </c>
      <c r="AG144" s="1499">
        <f ca="1">+'Capex_FO input'!CT140</f>
        <v>0</v>
      </c>
      <c r="AH144" s="1496">
        <f ca="1">+'Capex_FO input'!CU140</f>
        <v>0</v>
      </c>
      <c r="AI144" s="1516">
        <f ca="1">+'Capex_FO input'!CV140</f>
        <v>0</v>
      </c>
      <c r="AJ144" s="1516">
        <f ca="1">+'Capex_FO input'!CW140</f>
        <v>0</v>
      </c>
      <c r="AK144" s="1516">
        <f ca="1">+'Capex_FO input'!CX140</f>
        <v>0</v>
      </c>
      <c r="AL144" s="1499">
        <f ca="1">+'Capex_FO input'!CY140</f>
        <v>0</v>
      </c>
    </row>
    <row r="145" spans="3:38" x14ac:dyDescent="0.3">
      <c r="C145" s="120"/>
      <c r="D145" s="2406" t="str">
        <f>+'Capex_FO input'!C141</f>
        <v>[Capex Item - Significant Project / Capital Program / Other Capex]</v>
      </c>
      <c r="E145" s="2407"/>
      <c r="F145" s="2407"/>
      <c r="G145" s="2407"/>
      <c r="H145" s="2408"/>
      <c r="I145" s="1689">
        <f>+'Capex_FO input'!M141</f>
        <v>0</v>
      </c>
      <c r="J145" s="120"/>
      <c r="K145" s="120"/>
      <c r="L145" s="120"/>
      <c r="M145" s="120"/>
      <c r="N145" s="636"/>
      <c r="O145" s="120"/>
      <c r="P145" s="120"/>
      <c r="Q145" s="120"/>
      <c r="R145" s="637"/>
      <c r="S145" s="636"/>
      <c r="T145" s="120"/>
      <c r="U145" s="120"/>
      <c r="V145" s="120"/>
      <c r="W145" s="120"/>
      <c r="X145" s="636"/>
      <c r="Y145" s="120"/>
      <c r="Z145" s="120"/>
      <c r="AA145" s="120"/>
      <c r="AB145" s="1676"/>
      <c r="AC145" s="1496">
        <f ca="1">+'Capex_FO input'!CP141</f>
        <v>0</v>
      </c>
      <c r="AD145" s="1516">
        <f ca="1">+'Capex_FO input'!CQ141</f>
        <v>0</v>
      </c>
      <c r="AE145" s="1516">
        <f ca="1">+'Capex_FO input'!CR141</f>
        <v>0</v>
      </c>
      <c r="AF145" s="1516">
        <f ca="1">+'Capex_FO input'!CS141</f>
        <v>0</v>
      </c>
      <c r="AG145" s="1499">
        <f ca="1">+'Capex_FO input'!CT141</f>
        <v>0</v>
      </c>
      <c r="AH145" s="1496">
        <f ca="1">+'Capex_FO input'!CU141</f>
        <v>0</v>
      </c>
      <c r="AI145" s="1516">
        <f ca="1">+'Capex_FO input'!CV141</f>
        <v>0</v>
      </c>
      <c r="AJ145" s="1516">
        <f ca="1">+'Capex_FO input'!CW141</f>
        <v>0</v>
      </c>
      <c r="AK145" s="1516">
        <f ca="1">+'Capex_FO input'!CX141</f>
        <v>0</v>
      </c>
      <c r="AL145" s="1499">
        <f ca="1">+'Capex_FO input'!CY141</f>
        <v>0</v>
      </c>
    </row>
    <row r="146" spans="3:38" ht="12.5" thickBot="1" x14ac:dyDescent="0.35">
      <c r="C146" s="120"/>
      <c r="D146" s="2409" t="str">
        <f>+'Capex_FO input'!C142</f>
        <v>[Capex Item - Significant Project / Capital Program / Other Capex]</v>
      </c>
      <c r="E146" s="2410"/>
      <c r="F146" s="2410"/>
      <c r="G146" s="2410"/>
      <c r="H146" s="2411"/>
      <c r="I146" s="1690">
        <f>+'Capex_FO input'!M142</f>
        <v>0</v>
      </c>
      <c r="J146" s="638"/>
      <c r="K146" s="638"/>
      <c r="L146" s="638"/>
      <c r="M146" s="638"/>
      <c r="N146" s="639"/>
      <c r="O146" s="638"/>
      <c r="P146" s="638"/>
      <c r="Q146" s="638"/>
      <c r="R146" s="640"/>
      <c r="S146" s="639"/>
      <c r="T146" s="638"/>
      <c r="U146" s="638"/>
      <c r="V146" s="638"/>
      <c r="W146" s="638"/>
      <c r="X146" s="639"/>
      <c r="Y146" s="638"/>
      <c r="Z146" s="638"/>
      <c r="AA146" s="638"/>
      <c r="AB146" s="1677"/>
      <c r="AC146" s="1691">
        <f ca="1">+'Capex_FO input'!CP142</f>
        <v>0</v>
      </c>
      <c r="AD146" s="1692">
        <f ca="1">+'Capex_FO input'!CQ142</f>
        <v>0</v>
      </c>
      <c r="AE146" s="1692">
        <f ca="1">+'Capex_FO input'!CR142</f>
        <v>0</v>
      </c>
      <c r="AF146" s="1692">
        <f ca="1">+'Capex_FO input'!CS142</f>
        <v>0</v>
      </c>
      <c r="AG146" s="1693">
        <f ca="1">+'Capex_FO input'!CT142</f>
        <v>0</v>
      </c>
      <c r="AH146" s="1691">
        <f ca="1">+'Capex_FO input'!CU142</f>
        <v>0</v>
      </c>
      <c r="AI146" s="1692">
        <f ca="1">+'Capex_FO input'!CV142</f>
        <v>0</v>
      </c>
      <c r="AJ146" s="1692">
        <f ca="1">+'Capex_FO input'!CW142</f>
        <v>0</v>
      </c>
      <c r="AK146" s="1692">
        <f ca="1">+'Capex_FO input'!CX142</f>
        <v>0</v>
      </c>
      <c r="AL146" s="1693">
        <f ca="1">+'Capex_FO input'!CY142</f>
        <v>0</v>
      </c>
    </row>
    <row r="147" spans="3:38" x14ac:dyDescent="0.3">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645"/>
      <c r="Y147" s="645"/>
      <c r="Z147" s="645"/>
      <c r="AA147" s="645"/>
      <c r="AB147" s="645"/>
      <c r="AC147" s="645"/>
      <c r="AD147" s="645"/>
      <c r="AE147" s="645"/>
      <c r="AF147" s="645"/>
      <c r="AG147" s="645"/>
      <c r="AH147" s="645"/>
      <c r="AI147" s="645"/>
      <c r="AJ147" s="645"/>
      <c r="AK147" s="645"/>
      <c r="AL147" s="645"/>
    </row>
    <row r="148" spans="3:38" x14ac:dyDescent="0.3">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645"/>
      <c r="Y148" s="645"/>
      <c r="Z148" s="645"/>
      <c r="AA148" s="645"/>
      <c r="AB148" s="645"/>
      <c r="AC148" s="645"/>
      <c r="AD148" s="645"/>
      <c r="AE148" s="645"/>
      <c r="AF148" s="645"/>
      <c r="AG148" s="645"/>
      <c r="AH148" s="645"/>
      <c r="AI148" s="645"/>
      <c r="AJ148" s="645"/>
      <c r="AK148" s="645"/>
      <c r="AL148" s="645"/>
    </row>
  </sheetData>
  <sheetProtection algorithmName="SHA-512" hashValue="piLiW+q482+xF0Z/1t/EG3F7IXpR5i5SfFJFxZhAbYKRZ6FGRoIklslTTySy7Hi3G0JowYyUqcUSYQec7Vqe9w==" saltValue="h1bcTDR0OWb/DfQjfAV+mg==" spinCount="100000" sheet="1" objects="1" scenarios="1"/>
  <mergeCells count="101">
    <mergeCell ref="D73:H73"/>
    <mergeCell ref="D87:H87"/>
    <mergeCell ref="D86:H86"/>
    <mergeCell ref="D84:H84"/>
    <mergeCell ref="D82:H82"/>
    <mergeCell ref="D81:H81"/>
    <mergeCell ref="D80:H80"/>
    <mergeCell ref="D76:H76"/>
    <mergeCell ref="D75:H75"/>
    <mergeCell ref="D74:H74"/>
    <mergeCell ref="D54:H54"/>
    <mergeCell ref="D53:H53"/>
    <mergeCell ref="D52:H52"/>
    <mergeCell ref="D67:H67"/>
    <mergeCell ref="D66:H66"/>
    <mergeCell ref="D65:H65"/>
    <mergeCell ref="D64:H64"/>
    <mergeCell ref="D63:H63"/>
    <mergeCell ref="D62:H62"/>
    <mergeCell ref="D61:H61"/>
    <mergeCell ref="D60:H60"/>
    <mergeCell ref="D55:H55"/>
    <mergeCell ref="D144:H144"/>
    <mergeCell ref="D145:H145"/>
    <mergeCell ref="D146:H146"/>
    <mergeCell ref="D132:H132"/>
    <mergeCell ref="D133:H133"/>
    <mergeCell ref="D134:H134"/>
    <mergeCell ref="D135:H135"/>
    <mergeCell ref="D136:H136"/>
    <mergeCell ref="D137:H137"/>
    <mergeCell ref="D140:H140"/>
    <mergeCell ref="D141:H141"/>
    <mergeCell ref="D142:H142"/>
    <mergeCell ref="D143:H143"/>
    <mergeCell ref="D138:H138"/>
    <mergeCell ref="D139:H139"/>
    <mergeCell ref="D129:H129"/>
    <mergeCell ref="D130:H130"/>
    <mergeCell ref="D131:H131"/>
    <mergeCell ref="D126:H126"/>
    <mergeCell ref="D127:H127"/>
    <mergeCell ref="D116:H116"/>
    <mergeCell ref="D117:H117"/>
    <mergeCell ref="D118:H118"/>
    <mergeCell ref="D119:H119"/>
    <mergeCell ref="D120:H120"/>
    <mergeCell ref="D121:H121"/>
    <mergeCell ref="D122:H122"/>
    <mergeCell ref="D123:H123"/>
    <mergeCell ref="D124:H124"/>
    <mergeCell ref="D125:H125"/>
    <mergeCell ref="D128:H128"/>
    <mergeCell ref="D111:H111"/>
    <mergeCell ref="D112:H112"/>
    <mergeCell ref="D113:H113"/>
    <mergeCell ref="D114:H114"/>
    <mergeCell ref="D115:H115"/>
    <mergeCell ref="D77:H77"/>
    <mergeCell ref="D57:H57"/>
    <mergeCell ref="D58:H58"/>
    <mergeCell ref="D59:H59"/>
    <mergeCell ref="D89:H89"/>
    <mergeCell ref="D90:H90"/>
    <mergeCell ref="D91:H91"/>
    <mergeCell ref="D83:H83"/>
    <mergeCell ref="D78:H78"/>
    <mergeCell ref="D79:H79"/>
    <mergeCell ref="D108:H108"/>
    <mergeCell ref="D109:H109"/>
    <mergeCell ref="D68:H68"/>
    <mergeCell ref="D69:H69"/>
    <mergeCell ref="D70:H70"/>
    <mergeCell ref="D71:H71"/>
    <mergeCell ref="D72:H72"/>
    <mergeCell ref="D85:H85"/>
    <mergeCell ref="D107:H107"/>
    <mergeCell ref="B3:F3"/>
    <mergeCell ref="D46:H46"/>
    <mergeCell ref="D47:H47"/>
    <mergeCell ref="D48:H48"/>
    <mergeCell ref="D49:H49"/>
    <mergeCell ref="D50:H50"/>
    <mergeCell ref="D51:H51"/>
    <mergeCell ref="D110:H110"/>
    <mergeCell ref="D106:H106"/>
    <mergeCell ref="D105:H105"/>
    <mergeCell ref="D104:H104"/>
    <mergeCell ref="D103:H103"/>
    <mergeCell ref="D102:H102"/>
    <mergeCell ref="D101:H101"/>
    <mergeCell ref="D100:H100"/>
    <mergeCell ref="D99:H99"/>
    <mergeCell ref="D98:H98"/>
    <mergeCell ref="D97:H97"/>
    <mergeCell ref="D96:H96"/>
    <mergeCell ref="D95:H95"/>
    <mergeCell ref="D94:H94"/>
    <mergeCell ref="D93:H93"/>
    <mergeCell ref="D92:H92"/>
    <mergeCell ref="D88:H88"/>
  </mergeCells>
  <phoneticPr fontId="0" type="noConversion"/>
  <hyperlinks>
    <hyperlink ref="B3" location="HL_Home" tooltip="Go to Table of Contents" display="HL_Home" xr:uid="{00000000-0004-0000-0F00-000000000000}"/>
  </hyperlinks>
  <pageMargins left="0.39370078740157499" right="0.39370078740157499" top="0.59055118110236249" bottom="0.98425196850393748" header="0" footer="0.31496062992125973"/>
  <pageSetup paperSize="9" scale="66" orientation="landscape" r:id="rId1"/>
  <headerFooter alignWithMargins="0">
    <oddHeader>&amp;C&amp;B&amp;"Arial"&amp;12&amp;Kff0000​‌OFFICIAL‌​</oddHeader>
    <oddFooter>&amp;C&amp;"Arial,Bold"&amp;8Sheet b.
Page &amp;P of &amp;N&amp;L&amp;"Arial,Bold"&amp;7&amp;F
&amp;A
Printed: &amp;T on &amp;D</oddFooter>
  </headerFooter>
  <rowBreaks count="1" manualBreakCount="1">
    <brk id="77" min="1" max="2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5">
    <tabColor theme="0"/>
    <pageSetUpPr autoPageBreaks="0"/>
  </sheetPr>
  <dimension ref="A1:BE124"/>
  <sheetViews>
    <sheetView showGridLines="0" zoomScaleNormal="100" workbookViewId="0">
      <pane ySplit="7" topLeftCell="A8" activePane="bottomLeft" state="frozen"/>
      <selection pane="bottomLeft" activeCell="AO21" sqref="AO21"/>
    </sheetView>
  </sheetViews>
  <sheetFormatPr defaultColWidth="10.77734375" defaultRowHeight="12" outlineLevelCol="1" x14ac:dyDescent="0.3"/>
  <cols>
    <col min="1" max="5" width="3.77734375" style="73" customWidth="1"/>
    <col min="6" max="7" width="10.77734375" style="73" customWidth="1"/>
    <col min="8" max="9" width="13.77734375" style="73" customWidth="1"/>
    <col min="10" max="10" width="13.109375" style="73" hidden="1" customWidth="1" outlineLevel="1"/>
    <col min="11" max="22" width="11.77734375" style="73" hidden="1" customWidth="1" outlineLevel="1"/>
    <col min="23" max="23" width="11.77734375" style="73" customWidth="1" collapsed="1"/>
    <col min="24" max="28" width="11.77734375" style="73" customWidth="1"/>
    <col min="29" max="38" width="10.77734375" style="73" customWidth="1"/>
    <col min="39" max="39" width="6.33203125" style="73" customWidth="1"/>
    <col min="40" max="16384" width="10.77734375" style="73"/>
  </cols>
  <sheetData>
    <row r="1" spans="1:57" ht="14.5" x14ac:dyDescent="0.3">
      <c r="A1" s="1358">
        <v>80</v>
      </c>
      <c r="B1" s="158" t="s">
        <v>85</v>
      </c>
      <c r="J1" s="77"/>
      <c r="K1" s="77"/>
      <c r="L1" s="77"/>
      <c r="M1" s="77"/>
      <c r="N1" s="77"/>
      <c r="O1" s="84"/>
      <c r="P1" s="84"/>
      <c r="Q1" s="84"/>
      <c r="R1" s="315"/>
      <c r="S1" s="315"/>
      <c r="T1" s="422"/>
    </row>
    <row r="2" spans="1:57" ht="13" x14ac:dyDescent="0.3">
      <c r="B2" s="1359" t="str">
        <f>+Contents!H7</f>
        <v>Central Highlands Water</v>
      </c>
      <c r="J2" s="77"/>
      <c r="K2" s="77"/>
      <c r="L2" s="77"/>
      <c r="M2" s="77"/>
      <c r="N2" s="77"/>
      <c r="O2" s="84"/>
      <c r="P2" s="84"/>
      <c r="Q2" s="275"/>
      <c r="R2" s="315"/>
      <c r="S2" s="315"/>
      <c r="T2" s="422"/>
    </row>
    <row r="3" spans="1:57" x14ac:dyDescent="0.3">
      <c r="B3" s="2357" t="s">
        <v>0</v>
      </c>
      <c r="C3" s="2357"/>
      <c r="D3" s="2357"/>
      <c r="E3" s="2357"/>
      <c r="F3" s="2357"/>
      <c r="G3" s="74"/>
      <c r="J3" s="77"/>
      <c r="K3" s="77"/>
      <c r="L3" s="77"/>
      <c r="M3" s="77"/>
      <c r="N3" s="77"/>
      <c r="O3" s="77"/>
      <c r="P3" s="77"/>
      <c r="Q3" s="77"/>
    </row>
    <row r="4" spans="1:57" x14ac:dyDescent="0.3">
      <c r="A4" s="165"/>
      <c r="B4" s="75"/>
      <c r="C4" s="76"/>
      <c r="F4" s="63"/>
      <c r="J4" s="77"/>
      <c r="K4" s="66"/>
      <c r="L4" s="1186" t="s">
        <v>60</v>
      </c>
      <c r="M4" s="65"/>
      <c r="N4" s="66"/>
      <c r="O4" s="67"/>
      <c r="P4" s="1186" t="s">
        <v>61</v>
      </c>
      <c r="Q4" s="67"/>
      <c r="R4" s="65"/>
      <c r="S4" s="1202"/>
      <c r="T4" s="1203"/>
      <c r="U4" s="1572" t="s">
        <v>274</v>
      </c>
      <c r="V4" s="1203"/>
      <c r="W4" s="1204"/>
      <c r="X4" s="1944"/>
      <c r="Y4" s="1575"/>
      <c r="Z4" s="1575" t="s">
        <v>1072</v>
      </c>
      <c r="AA4" s="1575"/>
      <c r="AB4" s="1574"/>
      <c r="AC4" s="1573"/>
      <c r="AD4" s="1575"/>
      <c r="AE4" s="1575" t="s">
        <v>457</v>
      </c>
      <c r="AF4" s="1575"/>
      <c r="AG4" s="1574"/>
      <c r="AH4" s="1573"/>
      <c r="AI4" s="1575"/>
      <c r="AJ4" s="1575" t="s">
        <v>903</v>
      </c>
      <c r="AK4" s="1575"/>
      <c r="AL4" s="1574"/>
    </row>
    <row r="5" spans="1:57" x14ac:dyDescent="0.3">
      <c r="J5" s="77"/>
      <c r="K5" s="77"/>
      <c r="L5" s="77"/>
      <c r="M5" s="77"/>
      <c r="N5" s="77"/>
      <c r="O5" s="77"/>
      <c r="P5" s="77"/>
      <c r="Q5" s="77"/>
    </row>
    <row r="6" spans="1:57" x14ac:dyDescent="0.3">
      <c r="B6" s="166"/>
      <c r="F6" s="167" t="s">
        <v>63</v>
      </c>
      <c r="J6" s="1555">
        <v>2005</v>
      </c>
      <c r="K6" s="1419">
        <v>2006</v>
      </c>
      <c r="L6" s="1419">
        <v>2007</v>
      </c>
      <c r="M6" s="1419">
        <v>2008</v>
      </c>
      <c r="N6" s="1419">
        <v>2009</v>
      </c>
      <c r="O6" s="1419">
        <v>2010</v>
      </c>
      <c r="P6" s="1419">
        <v>2011</v>
      </c>
      <c r="Q6" s="1419">
        <v>2012</v>
      </c>
      <c r="R6" s="1360">
        <v>2013</v>
      </c>
      <c r="S6" s="1360">
        <v>2014</v>
      </c>
      <c r="T6" s="1360">
        <v>2015</v>
      </c>
      <c r="U6" s="1360">
        <v>2016</v>
      </c>
      <c r="V6" s="1360">
        <v>2017</v>
      </c>
      <c r="W6" s="1360">
        <v>2018</v>
      </c>
      <c r="X6" s="1360">
        <v>2019</v>
      </c>
      <c r="Y6" s="1360">
        <v>2020</v>
      </c>
      <c r="Z6" s="1360">
        <v>2021</v>
      </c>
      <c r="AA6" s="1360">
        <v>2022</v>
      </c>
      <c r="AB6" s="1360">
        <v>2023</v>
      </c>
      <c r="AC6" s="1420">
        <v>2024</v>
      </c>
      <c r="AD6" s="1420">
        <v>2025</v>
      </c>
      <c r="AE6" s="1420">
        <v>2026</v>
      </c>
      <c r="AF6" s="1420">
        <v>2027</v>
      </c>
      <c r="AG6" s="1420">
        <v>2028</v>
      </c>
      <c r="AH6" s="1420">
        <v>2029</v>
      </c>
      <c r="AI6" s="1420">
        <v>2030</v>
      </c>
      <c r="AJ6" s="1420">
        <v>2031</v>
      </c>
      <c r="AK6" s="1420">
        <v>2032</v>
      </c>
      <c r="AL6" s="1420">
        <v>2033</v>
      </c>
    </row>
    <row r="7" spans="1:57" x14ac:dyDescent="0.3">
      <c r="A7" s="78"/>
      <c r="B7" s="168"/>
      <c r="C7" s="78"/>
      <c r="D7" s="78"/>
      <c r="E7" s="78"/>
      <c r="F7" s="169" t="s">
        <v>64</v>
      </c>
      <c r="G7" s="78"/>
      <c r="H7" s="78"/>
      <c r="I7" s="78"/>
      <c r="J7" s="653" t="s">
        <v>89</v>
      </c>
      <c r="K7" s="1556" t="str">
        <f t="shared" ref="K7:W7" si="0">+CONCATENATE(K6-1,"-",RIGHT(K6,2))</f>
        <v>2005-06</v>
      </c>
      <c r="L7" s="1556" t="str">
        <f t="shared" si="0"/>
        <v>2006-07</v>
      </c>
      <c r="M7" s="1556" t="str">
        <f t="shared" si="0"/>
        <v>2007-08</v>
      </c>
      <c r="N7" s="1556" t="str">
        <f t="shared" si="0"/>
        <v>2008-09</v>
      </c>
      <c r="O7" s="1556" t="str">
        <f t="shared" si="0"/>
        <v>2009-10</v>
      </c>
      <c r="P7" s="1556" t="str">
        <f t="shared" si="0"/>
        <v>2010-11</v>
      </c>
      <c r="Q7" s="1556" t="str">
        <f t="shared" si="0"/>
        <v>2011-12</v>
      </c>
      <c r="R7" s="1319" t="str">
        <f t="shared" si="0"/>
        <v>2012-13</v>
      </c>
      <c r="S7" s="1319" t="str">
        <f t="shared" si="0"/>
        <v>2013-14</v>
      </c>
      <c r="T7" s="1319" t="str">
        <f t="shared" si="0"/>
        <v>2014-15</v>
      </c>
      <c r="U7" s="1319" t="str">
        <f t="shared" si="0"/>
        <v>2015-16</v>
      </c>
      <c r="V7" s="1319" t="str">
        <f t="shared" si="0"/>
        <v>2016-17</v>
      </c>
      <c r="W7" s="1319" t="str">
        <f t="shared" si="0"/>
        <v>2017-18</v>
      </c>
      <c r="X7" s="1319" t="str">
        <f t="shared" ref="X7:AG7" si="1">+CONCATENATE(X6-1,"-",RIGHT(X6,2))</f>
        <v>2018-19</v>
      </c>
      <c r="Y7" s="1319" t="str">
        <f t="shared" si="1"/>
        <v>2019-20</v>
      </c>
      <c r="Z7" s="1319" t="str">
        <f t="shared" si="1"/>
        <v>2020-21</v>
      </c>
      <c r="AA7" s="1319" t="str">
        <f t="shared" si="1"/>
        <v>2021-22</v>
      </c>
      <c r="AB7" s="1319" t="str">
        <f t="shared" si="1"/>
        <v>2022-23</v>
      </c>
      <c r="AC7" s="1319" t="str">
        <f t="shared" si="1"/>
        <v>2023-24</v>
      </c>
      <c r="AD7" s="1319" t="str">
        <f t="shared" si="1"/>
        <v>2024-25</v>
      </c>
      <c r="AE7" s="1319" t="str">
        <f t="shared" si="1"/>
        <v>2025-26</v>
      </c>
      <c r="AF7" s="1319" t="str">
        <f t="shared" si="1"/>
        <v>2026-27</v>
      </c>
      <c r="AG7" s="1319" t="str">
        <f t="shared" si="1"/>
        <v>2027-28</v>
      </c>
      <c r="AH7" s="1319" t="str">
        <f>+CONCATENATE(AH6-1,"-",RIGHT(AH6,2))</f>
        <v>2028-29</v>
      </c>
      <c r="AI7" s="1319" t="str">
        <f>+CONCATENATE(AI6-1,"-",RIGHT(AI6,2))</f>
        <v>2029-30</v>
      </c>
      <c r="AJ7" s="1319" t="str">
        <f>+CONCATENATE(AJ6-1,"-",RIGHT(AJ6,2))</f>
        <v>2030-31</v>
      </c>
      <c r="AK7" s="1319" t="str">
        <f>+CONCATENATE(AK6-1,"-",RIGHT(AK6,2))</f>
        <v>2031-32</v>
      </c>
      <c r="AL7" s="1319" t="str">
        <f>+CONCATENATE(AL6-1,"-",RIGHT(AL6,2))</f>
        <v>2032-33</v>
      </c>
    </row>
    <row r="8" spans="1:57" x14ac:dyDescent="0.3">
      <c r="J8" s="77"/>
      <c r="K8" s="77"/>
      <c r="L8" s="77"/>
      <c r="M8" s="77"/>
      <c r="N8" s="77"/>
      <c r="O8" s="77"/>
      <c r="P8" s="77"/>
      <c r="Q8" s="77"/>
    </row>
    <row r="9" spans="1:57" x14ac:dyDescent="0.3">
      <c r="J9" s="77"/>
      <c r="K9" s="320"/>
      <c r="L9" s="320"/>
      <c r="M9" s="320"/>
      <c r="N9" s="320"/>
      <c r="O9" s="320"/>
      <c r="P9" s="320"/>
      <c r="Q9" s="320"/>
      <c r="R9" s="321"/>
      <c r="S9" s="321"/>
      <c r="T9" s="321"/>
      <c r="U9" s="321"/>
      <c r="V9" s="321"/>
      <c r="W9" s="321"/>
      <c r="X9" s="321"/>
      <c r="Y9" s="321"/>
      <c r="Z9" s="321"/>
      <c r="AA9" s="321"/>
      <c r="AB9" s="321"/>
    </row>
    <row r="10" spans="1:57" x14ac:dyDescent="0.3">
      <c r="B10" s="296" t="s">
        <v>82</v>
      </c>
      <c r="J10" s="77"/>
      <c r="K10" s="320"/>
      <c r="L10" s="320"/>
      <c r="M10" s="320"/>
      <c r="N10" s="320"/>
      <c r="O10" s="320"/>
      <c r="P10" s="320"/>
      <c r="Q10" s="320"/>
      <c r="R10" s="321"/>
      <c r="S10" s="321"/>
      <c r="T10" s="321"/>
      <c r="U10" s="321"/>
      <c r="V10" s="321"/>
      <c r="W10" s="321"/>
      <c r="X10" s="321"/>
      <c r="Y10" s="321"/>
      <c r="Z10" s="321"/>
      <c r="AA10" s="321"/>
      <c r="AB10" s="321"/>
    </row>
    <row r="11" spans="1:57" ht="12.5" thickBot="1" x14ac:dyDescent="0.35">
      <c r="J11" s="77"/>
      <c r="K11" s="320"/>
      <c r="L11" s="320"/>
      <c r="M11" s="320"/>
      <c r="N11" s="320"/>
      <c r="O11" s="320"/>
      <c r="P11" s="320"/>
      <c r="Q11" s="320"/>
      <c r="R11" s="321"/>
      <c r="S11" s="321"/>
      <c r="T11" s="321"/>
      <c r="U11" s="321"/>
      <c r="V11" s="321"/>
      <c r="W11" s="321"/>
      <c r="X11" s="321"/>
      <c r="Y11" s="321"/>
      <c r="Z11" s="321"/>
      <c r="AA11" s="321"/>
      <c r="AB11" s="321"/>
    </row>
    <row r="12" spans="1:57" x14ac:dyDescent="0.3">
      <c r="C12" s="654"/>
      <c r="D12" s="623"/>
      <c r="E12" s="623"/>
      <c r="F12" s="623"/>
      <c r="G12" s="623"/>
      <c r="H12" s="623"/>
      <c r="I12" s="623"/>
      <c r="J12" s="231"/>
      <c r="K12" s="655"/>
      <c r="L12" s="655"/>
      <c r="M12" s="655"/>
      <c r="N12" s="655"/>
      <c r="O12" s="655"/>
      <c r="P12" s="655"/>
      <c r="Q12" s="655"/>
      <c r="R12" s="444"/>
      <c r="S12" s="656"/>
      <c r="T12" s="656"/>
      <c r="U12" s="656"/>
      <c r="V12" s="656"/>
      <c r="W12" s="656"/>
      <c r="X12" s="656"/>
      <c r="Y12" s="656"/>
      <c r="Z12" s="656"/>
      <c r="AA12" s="656"/>
      <c r="AB12" s="656"/>
      <c r="AC12" s="656"/>
      <c r="AD12" s="656"/>
      <c r="AE12" s="656"/>
      <c r="AF12" s="656"/>
      <c r="AG12" s="656"/>
      <c r="AH12" s="656"/>
      <c r="AI12" s="656"/>
      <c r="AJ12" s="656"/>
      <c r="AK12" s="656"/>
      <c r="AL12" s="656"/>
      <c r="AM12" s="657"/>
    </row>
    <row r="13" spans="1:57" x14ac:dyDescent="0.3">
      <c r="C13" s="658"/>
      <c r="D13" s="659" t="s">
        <v>568</v>
      </c>
      <c r="E13" s="206"/>
      <c r="F13" s="206"/>
      <c r="G13" s="206"/>
      <c r="H13" s="206"/>
      <c r="I13" s="206"/>
      <c r="J13" s="84"/>
      <c r="K13" s="221"/>
      <c r="L13" s="221"/>
      <c r="M13" s="221"/>
      <c r="N13" s="221"/>
      <c r="O13" s="221"/>
      <c r="P13" s="221"/>
      <c r="Q13" s="221"/>
      <c r="R13" s="223"/>
      <c r="S13" s="583"/>
      <c r="T13" s="583"/>
      <c r="U13" s="583"/>
      <c r="V13" s="583"/>
      <c r="W13" s="583"/>
      <c r="X13" s="583"/>
      <c r="Y13" s="583"/>
      <c r="Z13" s="583"/>
      <c r="AA13" s="583"/>
      <c r="AB13" s="583"/>
      <c r="AC13" s="583"/>
      <c r="AD13" s="583"/>
      <c r="AE13" s="583"/>
      <c r="AF13" s="583"/>
      <c r="AG13" s="583"/>
      <c r="AH13" s="583"/>
      <c r="AI13" s="583"/>
      <c r="AJ13" s="583"/>
      <c r="AK13" s="583"/>
      <c r="AL13" s="583"/>
      <c r="AM13" s="660"/>
    </row>
    <row r="14" spans="1:57" x14ac:dyDescent="0.3">
      <c r="C14" s="658"/>
      <c r="D14" s="206"/>
      <c r="E14" s="206"/>
      <c r="F14" s="206"/>
      <c r="G14" s="206"/>
      <c r="H14" s="206"/>
      <c r="I14" s="206"/>
      <c r="J14" s="84"/>
      <c r="K14" s="84"/>
      <c r="L14" s="84"/>
      <c r="M14" s="84"/>
      <c r="N14" s="84"/>
      <c r="O14" s="84"/>
      <c r="P14" s="84"/>
      <c r="Q14" s="84"/>
      <c r="R14" s="223"/>
      <c r="S14" s="583"/>
      <c r="T14" s="583"/>
      <c r="U14" s="583"/>
      <c r="V14" s="583"/>
      <c r="W14" s="583"/>
      <c r="X14" s="583"/>
      <c r="Y14" s="583"/>
      <c r="Z14" s="206"/>
      <c r="AA14" s="206"/>
      <c r="AB14" s="206"/>
      <c r="AC14" s="206"/>
      <c r="AD14" s="206"/>
      <c r="AE14" s="206"/>
      <c r="AF14" s="206"/>
      <c r="AG14" s="206"/>
      <c r="AH14" s="206"/>
      <c r="AI14" s="206"/>
      <c r="AJ14" s="206"/>
      <c r="AK14" s="206"/>
      <c r="AL14" s="206"/>
      <c r="AM14" s="660"/>
    </row>
    <row r="15" spans="1:57" x14ac:dyDescent="0.3">
      <c r="C15" s="658"/>
      <c r="D15" s="206"/>
      <c r="E15" s="206"/>
      <c r="F15" s="206" t="s">
        <v>27</v>
      </c>
      <c r="G15" s="206"/>
      <c r="H15" s="206"/>
      <c r="I15" s="206"/>
      <c r="J15" s="275"/>
      <c r="K15" s="275"/>
      <c r="L15" s="275"/>
      <c r="M15" s="275"/>
      <c r="N15" s="275"/>
      <c r="O15" s="275"/>
      <c r="P15" s="275"/>
      <c r="Q15" s="275"/>
      <c r="R15" s="223"/>
      <c r="S15" s="583"/>
      <c r="T15" s="583"/>
      <c r="U15" s="583"/>
      <c r="V15" s="583"/>
      <c r="W15" s="583"/>
      <c r="X15" s="583"/>
      <c r="Y15" s="583"/>
      <c r="Z15" s="206"/>
      <c r="AA15" s="206"/>
      <c r="AB15" s="1968"/>
      <c r="AC15" s="1527">
        <f>ExpSummary_FO!AC15</f>
        <v>72.169469837930734</v>
      </c>
      <c r="AD15" s="1527">
        <f>ExpSummary_FO!AD15</f>
        <v>74.399449166374168</v>
      </c>
      <c r="AE15" s="1527">
        <f>ExpSummary_FO!AE15</f>
        <v>75.691158800394518</v>
      </c>
      <c r="AF15" s="1527">
        <f>ExpSummary_FO!AF15</f>
        <v>75.980141983741191</v>
      </c>
      <c r="AG15" s="1527">
        <f>ExpSummary_FO!AG15</f>
        <v>77.011878971844908</v>
      </c>
      <c r="AH15" s="1527">
        <f>ExpSummary_FO!AH15</f>
        <v>75.47114933831196</v>
      </c>
      <c r="AI15" s="1527">
        <f>ExpSummary_FO!AI15</f>
        <v>76.201399553889303</v>
      </c>
      <c r="AJ15" s="1527">
        <f>ExpSummary_FO!AJ15</f>
        <v>76.943675197668682</v>
      </c>
      <c r="AK15" s="1527">
        <f>ExpSummary_FO!AK15</f>
        <v>77.698057986918883</v>
      </c>
      <c r="AL15" s="1527">
        <f>ExpSummary_FO!AL15</f>
        <v>78.464631841579532</v>
      </c>
      <c r="AM15" s="660"/>
      <c r="AO15" s="1307"/>
      <c r="AP15" s="1307"/>
      <c r="AQ15" s="1307"/>
      <c r="AR15" s="1307"/>
      <c r="AS15" s="1307"/>
      <c r="AT15" s="1307"/>
      <c r="AU15" s="1307"/>
      <c r="AV15" s="1307"/>
      <c r="AW15" s="1307"/>
      <c r="AX15" s="1307"/>
      <c r="AY15" s="1307"/>
      <c r="AZ15" s="1307"/>
      <c r="BA15" s="1307"/>
      <c r="BB15" s="1307"/>
      <c r="BC15" s="1307"/>
      <c r="BD15" s="807"/>
      <c r="BE15" s="807"/>
    </row>
    <row r="16" spans="1:57" x14ac:dyDescent="0.3">
      <c r="C16" s="658"/>
      <c r="D16" s="206"/>
      <c r="E16" s="206"/>
      <c r="F16" s="206" t="s">
        <v>67</v>
      </c>
      <c r="G16" s="206"/>
      <c r="H16" s="206"/>
      <c r="I16" s="206"/>
      <c r="J16" s="275"/>
      <c r="K16" s="275"/>
      <c r="L16" s="275"/>
      <c r="M16" s="275"/>
      <c r="N16" s="275"/>
      <c r="O16" s="275"/>
      <c r="P16" s="275"/>
      <c r="Q16" s="275"/>
      <c r="R16" s="223"/>
      <c r="S16" s="583"/>
      <c r="T16" s="583"/>
      <c r="U16" s="583"/>
      <c r="V16" s="583"/>
      <c r="W16" s="583"/>
      <c r="X16" s="583"/>
      <c r="Y16" s="583"/>
      <c r="Z16" s="206"/>
      <c r="AA16" s="206"/>
      <c r="AB16" s="206"/>
      <c r="AC16" s="1527">
        <f t="shared" ref="AC16:AG16" si="2">+AC47+AC64</f>
        <v>10.996623111914259</v>
      </c>
      <c r="AD16" s="1527">
        <f t="shared" si="2"/>
        <v>10.646091921643968</v>
      </c>
      <c r="AE16" s="1527">
        <f t="shared" si="2"/>
        <v>10.628700610151842</v>
      </c>
      <c r="AF16" s="1527">
        <f t="shared" si="2"/>
        <v>10.625668873684829</v>
      </c>
      <c r="AG16" s="1527">
        <f t="shared" si="2"/>
        <v>10.758516478347047</v>
      </c>
      <c r="AH16" s="1527">
        <f>+AH47+AH64</f>
        <v>11.268904659153598</v>
      </c>
      <c r="AI16" s="1527">
        <f>+AI47+AI64</f>
        <v>12.01723855644779</v>
      </c>
      <c r="AJ16" s="1527">
        <f>+AJ47+AJ64</f>
        <v>12.881936088976456</v>
      </c>
      <c r="AK16" s="1527">
        <f>+AK47+AK64</f>
        <v>13.393486881410746</v>
      </c>
      <c r="AL16" s="1527">
        <f>+AL47+AL64</f>
        <v>13.627552496954662</v>
      </c>
      <c r="AM16" s="660"/>
      <c r="AO16" s="1307"/>
      <c r="AP16" s="1307"/>
      <c r="AQ16" s="1307"/>
      <c r="AR16" s="1307"/>
      <c r="AS16" s="1307"/>
      <c r="AT16" s="1307"/>
      <c r="AU16" s="1307"/>
      <c r="AV16" s="1307"/>
      <c r="AW16" s="1307"/>
      <c r="AX16" s="1307"/>
      <c r="AY16" s="1307"/>
      <c r="AZ16" s="1307"/>
      <c r="BA16" s="1307"/>
      <c r="BB16" s="1307"/>
      <c r="BC16" s="1307"/>
      <c r="BD16" s="807"/>
      <c r="BE16" s="807"/>
    </row>
    <row r="17" spans="3:57" x14ac:dyDescent="0.3">
      <c r="C17" s="658"/>
      <c r="D17" s="206"/>
      <c r="E17" s="206"/>
      <c r="F17" s="206" t="s">
        <v>550</v>
      </c>
      <c r="G17" s="206"/>
      <c r="H17" s="206"/>
      <c r="I17" s="206"/>
      <c r="J17" s="275"/>
      <c r="K17" s="275"/>
      <c r="L17" s="275"/>
      <c r="M17" s="275"/>
      <c r="N17" s="275"/>
      <c r="O17" s="275"/>
      <c r="P17" s="275"/>
      <c r="Q17" s="275"/>
      <c r="R17" s="223"/>
      <c r="S17" s="583"/>
      <c r="T17" s="583"/>
      <c r="U17" s="583"/>
      <c r="V17" s="583"/>
      <c r="W17" s="583"/>
      <c r="X17" s="583"/>
      <c r="Y17" s="583"/>
      <c r="Z17" s="206"/>
      <c r="AA17" s="206"/>
      <c r="AB17" s="206"/>
      <c r="AC17" s="1527">
        <f>RollForward_FO!AC17</f>
        <v>20.897762504541834</v>
      </c>
      <c r="AD17" s="1527">
        <f>RollForward_FO!AD17</f>
        <v>21.89450176682837</v>
      </c>
      <c r="AE17" s="1527">
        <f>RollForward_FO!AE17</f>
        <v>22.861663683787434</v>
      </c>
      <c r="AF17" s="1527">
        <f>RollForward_FO!AF17</f>
        <v>23.84283011064943</v>
      </c>
      <c r="AG17" s="1527">
        <f>RollForward_FO!AG17</f>
        <v>24.873532936648907</v>
      </c>
      <c r="AH17" s="1527">
        <f>RollForward_FO!AH17</f>
        <v>26.813503033238412</v>
      </c>
      <c r="AI17" s="1527">
        <f>RollForward_FO!AI17</f>
        <v>29.258768401734326</v>
      </c>
      <c r="AJ17" s="1527">
        <f>RollForward_FO!AJ17</f>
        <v>30.861988708021514</v>
      </c>
      <c r="AK17" s="1527">
        <f>RollForward_FO!AK17</f>
        <v>31.454648094124892</v>
      </c>
      <c r="AL17" s="1527">
        <f>RollForward_FO!AL17</f>
        <v>32.002425927635215</v>
      </c>
      <c r="AM17" s="660"/>
      <c r="AO17" s="1307"/>
      <c r="AP17" s="1307"/>
      <c r="AQ17" s="1307"/>
      <c r="AR17" s="1307"/>
      <c r="AS17" s="1307"/>
      <c r="AT17" s="1307"/>
      <c r="AU17" s="1307"/>
      <c r="AV17" s="1307"/>
      <c r="AW17" s="1307"/>
      <c r="AX17" s="1307"/>
      <c r="AY17" s="1307"/>
      <c r="AZ17" s="1307"/>
      <c r="BA17" s="1307"/>
      <c r="BB17" s="1307"/>
      <c r="BC17" s="1307"/>
      <c r="BD17" s="807"/>
      <c r="BE17" s="807"/>
    </row>
    <row r="18" spans="3:57" x14ac:dyDescent="0.3">
      <c r="C18" s="658"/>
      <c r="D18" s="206"/>
      <c r="E18" s="206"/>
      <c r="F18" s="206" t="s">
        <v>240</v>
      </c>
      <c r="G18" s="206"/>
      <c r="H18" s="206"/>
      <c r="I18" s="206"/>
      <c r="J18" s="275"/>
      <c r="K18" s="275"/>
      <c r="L18" s="275"/>
      <c r="M18" s="275"/>
      <c r="N18" s="275"/>
      <c r="O18" s="275"/>
      <c r="P18" s="275"/>
      <c r="Q18" s="275"/>
      <c r="R18" s="223"/>
      <c r="S18" s="583"/>
      <c r="T18" s="583"/>
      <c r="U18" s="583"/>
      <c r="V18" s="583"/>
      <c r="W18" s="583"/>
      <c r="X18" s="583"/>
      <c r="Y18" s="583"/>
      <c r="Z18" s="206"/>
      <c r="AA18" s="206"/>
      <c r="AB18" s="206"/>
      <c r="AC18" s="1527">
        <f>+PrevPerAdj_FO!AC14</f>
        <v>0</v>
      </c>
      <c r="AD18" s="1527">
        <f>+PrevPerAdj_FO!AD14</f>
        <v>0</v>
      </c>
      <c r="AE18" s="1527">
        <f>+PrevPerAdj_FO!AE14</f>
        <v>0</v>
      </c>
      <c r="AF18" s="1527">
        <f>+PrevPerAdj_FO!AF14</f>
        <v>0</v>
      </c>
      <c r="AG18" s="1527">
        <f>+PrevPerAdj_FO!AG14</f>
        <v>0</v>
      </c>
      <c r="AH18" s="1527">
        <f>+PrevPerAdj_FO!AH14</f>
        <v>0</v>
      </c>
      <c r="AI18" s="1527">
        <f>+PrevPerAdj_FO!AI14</f>
        <v>0</v>
      </c>
      <c r="AJ18" s="1527">
        <f>+PrevPerAdj_FO!AJ14</f>
        <v>0</v>
      </c>
      <c r="AK18" s="1527">
        <f>+PrevPerAdj_FO!AK14</f>
        <v>0</v>
      </c>
      <c r="AL18" s="1527">
        <f>+PrevPerAdj_FO!AL14</f>
        <v>0</v>
      </c>
      <c r="AM18" s="660"/>
      <c r="AO18" s="1307"/>
      <c r="AP18" s="1307"/>
      <c r="AQ18" s="1307"/>
      <c r="AR18" s="1307"/>
      <c r="AS18" s="1307"/>
      <c r="AT18" s="1307"/>
      <c r="AU18" s="1307"/>
      <c r="AV18" s="1307"/>
      <c r="AW18" s="1307"/>
      <c r="AX18" s="1307"/>
      <c r="AY18" s="1307"/>
      <c r="AZ18" s="1307"/>
      <c r="BA18" s="1307"/>
      <c r="BB18" s="1307"/>
      <c r="BC18" s="1307"/>
      <c r="BD18" s="807"/>
      <c r="BE18" s="807"/>
    </row>
    <row r="19" spans="3:57" x14ac:dyDescent="0.3">
      <c r="C19" s="658"/>
      <c r="D19" s="206"/>
      <c r="E19" s="206"/>
      <c r="F19" s="206" t="s">
        <v>379</v>
      </c>
      <c r="G19" s="206"/>
      <c r="H19" s="206"/>
      <c r="I19" s="206"/>
      <c r="J19" s="275"/>
      <c r="K19" s="275"/>
      <c r="L19" s="275"/>
      <c r="M19" s="275"/>
      <c r="N19" s="275"/>
      <c r="O19" s="275"/>
      <c r="P19" s="275"/>
      <c r="Q19" s="275"/>
      <c r="R19" s="223"/>
      <c r="S19" s="583"/>
      <c r="T19" s="583"/>
      <c r="U19" s="583"/>
      <c r="V19" s="583"/>
      <c r="W19" s="583"/>
      <c r="X19" s="583"/>
      <c r="Y19" s="583"/>
      <c r="Z19" s="206"/>
      <c r="AA19" s="206"/>
      <c r="AB19" s="206"/>
      <c r="AC19" s="1527">
        <f>+RevenuePriceCap_FO!AC61+RevenueTariffBasket_FO!AC61</f>
        <v>0</v>
      </c>
      <c r="AD19" s="1527">
        <f>+RevenuePriceCap_FO!AD61+RevenueTariffBasket_FO!AD61</f>
        <v>0</v>
      </c>
      <c r="AE19" s="1527">
        <f>+RevenuePriceCap_FO!AE61+RevenueTariffBasket_FO!AE61</f>
        <v>0</v>
      </c>
      <c r="AF19" s="1527">
        <f>+RevenuePriceCap_FO!AF61+RevenueTariffBasket_FO!AF61</f>
        <v>0</v>
      </c>
      <c r="AG19" s="1527">
        <f>+RevenuePriceCap_FO!AG61+RevenueTariffBasket_FO!AG61</f>
        <v>0</v>
      </c>
      <c r="AH19" s="1527">
        <f>+RevenuePriceCap_FO!AH61+RevenueTariffBasket_FO!AH61</f>
        <v>0</v>
      </c>
      <c r="AI19" s="1527">
        <f>+RevenuePriceCap_FO!AI61+RevenueTariffBasket_FO!AI61</f>
        <v>0</v>
      </c>
      <c r="AJ19" s="1527">
        <f>+RevenuePriceCap_FO!AJ61+RevenueTariffBasket_FO!AJ61</f>
        <v>0</v>
      </c>
      <c r="AK19" s="1527">
        <f>+RevenuePriceCap_FO!AK61+RevenueTariffBasket_FO!AK61</f>
        <v>0</v>
      </c>
      <c r="AL19" s="1527">
        <f>+RevenuePriceCap_FO!AL61+RevenueTariffBasket_FO!AL61</f>
        <v>0</v>
      </c>
      <c r="AM19" s="660"/>
      <c r="AO19" s="1307"/>
      <c r="AP19" s="1307"/>
      <c r="AQ19" s="1307"/>
      <c r="AR19" s="1307"/>
      <c r="AS19" s="1307"/>
      <c r="AT19" s="1307"/>
      <c r="AU19" s="1307"/>
      <c r="AV19" s="1307"/>
      <c r="AW19" s="1307"/>
      <c r="AX19" s="1307"/>
      <c r="AY19" s="1307"/>
      <c r="AZ19" s="1307"/>
      <c r="BA19" s="1307"/>
      <c r="BB19" s="1307"/>
      <c r="BC19" s="1307"/>
      <c r="BD19" s="807"/>
      <c r="BE19" s="807"/>
    </row>
    <row r="20" spans="3:57" x14ac:dyDescent="0.3">
      <c r="C20" s="658"/>
      <c r="D20" s="206"/>
      <c r="E20" s="206"/>
      <c r="F20" s="206" t="s">
        <v>393</v>
      </c>
      <c r="G20" s="206"/>
      <c r="H20" s="206"/>
      <c r="I20" s="206"/>
      <c r="J20" s="275"/>
      <c r="K20" s="275"/>
      <c r="L20" s="275"/>
      <c r="M20" s="275"/>
      <c r="N20" s="275"/>
      <c r="O20" s="275"/>
      <c r="P20" s="275"/>
      <c r="Q20" s="275"/>
      <c r="R20" s="275"/>
      <c r="S20" s="583"/>
      <c r="T20" s="583"/>
      <c r="U20" s="583"/>
      <c r="V20" s="583"/>
      <c r="W20" s="583"/>
      <c r="X20" s="583"/>
      <c r="Y20" s="583"/>
      <c r="Z20" s="206"/>
      <c r="AA20" s="206"/>
      <c r="AB20" s="206"/>
      <c r="AC20" s="1548"/>
      <c r="AD20" s="1557"/>
      <c r="AE20" s="1557"/>
      <c r="AF20" s="1557"/>
      <c r="AG20" s="1558">
        <v>5.91</v>
      </c>
      <c r="AH20" s="1557">
        <f t="shared" ref="AH20:AL20" ca="1" si="3">AH122</f>
        <v>7.2038942672706989</v>
      </c>
      <c r="AI20" s="1557">
        <f t="shared" ca="1" si="3"/>
        <v>7.4819299972134852</v>
      </c>
      <c r="AJ20" s="1557">
        <f t="shared" ca="1" si="3"/>
        <v>7.6672889048907695</v>
      </c>
      <c r="AK20" s="1557">
        <f t="shared" ca="1" si="3"/>
        <v>7.7378838802443326</v>
      </c>
      <c r="AL20" s="1558">
        <f t="shared" ca="1" si="3"/>
        <v>7.8087016988629099</v>
      </c>
      <c r="AM20" s="660"/>
      <c r="AO20" s="1307"/>
      <c r="AP20" s="1307"/>
      <c r="AQ20" s="1307"/>
      <c r="AR20" s="1307"/>
      <c r="AS20" s="1307"/>
      <c r="AT20" s="1307"/>
      <c r="AU20" s="1307"/>
      <c r="AV20" s="1307"/>
      <c r="AW20" s="1307"/>
      <c r="AX20" s="1307"/>
      <c r="AY20" s="1307"/>
      <c r="AZ20" s="1307"/>
      <c r="BA20" s="1307"/>
      <c r="BB20" s="1307"/>
      <c r="BC20" s="1307"/>
      <c r="BD20" s="807"/>
      <c r="BE20" s="807"/>
    </row>
    <row r="21" spans="3:57" x14ac:dyDescent="0.3">
      <c r="C21" s="658"/>
      <c r="D21" s="206"/>
      <c r="E21" s="206"/>
      <c r="F21" s="265"/>
      <c r="G21" s="265"/>
      <c r="H21" s="265"/>
      <c r="I21" s="265"/>
      <c r="J21" s="77"/>
      <c r="K21" s="77"/>
      <c r="L21" s="77"/>
      <c r="M21" s="77"/>
      <c r="N21" s="77"/>
      <c r="O21" s="77"/>
      <c r="P21" s="77"/>
      <c r="Q21" s="77"/>
      <c r="R21" s="77"/>
      <c r="S21" s="315"/>
      <c r="T21" s="315"/>
      <c r="U21" s="315"/>
      <c r="V21" s="315"/>
      <c r="W21" s="315"/>
      <c r="X21" s="315"/>
      <c r="Y21" s="315"/>
      <c r="Z21" s="315"/>
      <c r="AA21" s="315"/>
      <c r="AB21" s="315"/>
      <c r="AC21" s="315"/>
      <c r="AD21" s="315"/>
      <c r="AE21" s="315"/>
      <c r="AF21" s="315"/>
      <c r="AG21" s="315"/>
      <c r="AH21" s="315"/>
      <c r="AI21" s="315"/>
      <c r="AJ21" s="315"/>
      <c r="AK21" s="315"/>
      <c r="AL21" s="315"/>
      <c r="AM21" s="660"/>
      <c r="AO21" s="1307"/>
      <c r="AP21" s="1307"/>
      <c r="AQ21" s="1307"/>
      <c r="AR21" s="1307"/>
      <c r="AS21" s="1307"/>
      <c r="AT21" s="1307"/>
      <c r="AU21" s="1307"/>
      <c r="AV21" s="1307"/>
      <c r="AW21" s="1307"/>
      <c r="AX21" s="1307"/>
      <c r="AY21" s="1307"/>
      <c r="AZ21" s="1307"/>
      <c r="BA21" s="1307"/>
      <c r="BB21" s="1307"/>
      <c r="BC21" s="1307"/>
      <c r="BD21" s="807"/>
      <c r="BE21" s="807"/>
    </row>
    <row r="22" spans="3:57" x14ac:dyDescent="0.3">
      <c r="C22" s="658"/>
      <c r="D22" s="206"/>
      <c r="E22" s="206"/>
      <c r="F22" s="206"/>
      <c r="G22" s="206"/>
      <c r="H22" s="206"/>
      <c r="I22" s="206"/>
      <c r="J22" s="275"/>
      <c r="K22" s="275"/>
      <c r="L22" s="275"/>
      <c r="M22" s="275"/>
      <c r="N22" s="275"/>
      <c r="O22" s="275"/>
      <c r="P22" s="275"/>
      <c r="Q22" s="275"/>
      <c r="R22" s="275"/>
      <c r="S22" s="315"/>
      <c r="T22" s="315"/>
      <c r="U22" s="315"/>
      <c r="V22" s="315"/>
      <c r="W22" s="315"/>
      <c r="X22" s="315"/>
      <c r="Y22" s="315"/>
      <c r="Z22" s="315"/>
      <c r="AA22" s="315"/>
      <c r="AB22" s="315"/>
      <c r="AC22" s="315"/>
      <c r="AD22" s="315"/>
      <c r="AE22" s="315"/>
      <c r="AF22" s="315"/>
      <c r="AG22" s="315"/>
      <c r="AH22" s="315"/>
      <c r="AI22" s="315"/>
      <c r="AJ22" s="315"/>
      <c r="AK22" s="315"/>
      <c r="AL22" s="315"/>
      <c r="AM22" s="660"/>
      <c r="AO22" s="1307"/>
      <c r="AP22" s="1307"/>
      <c r="AQ22" s="1307"/>
      <c r="AR22" s="1307"/>
      <c r="AS22" s="1307"/>
      <c r="AT22" s="1307"/>
      <c r="AU22" s="1307"/>
      <c r="AV22" s="1307"/>
      <c r="AW22" s="1307"/>
      <c r="AX22" s="1307"/>
      <c r="AY22" s="1307"/>
      <c r="AZ22" s="1307"/>
      <c r="BA22" s="1307"/>
      <c r="BB22" s="1307"/>
      <c r="BC22" s="1307"/>
      <c r="BD22" s="807"/>
      <c r="BE22" s="807"/>
    </row>
    <row r="23" spans="3:57" ht="12.5" thickBot="1" x14ac:dyDescent="0.35">
      <c r="C23" s="658"/>
      <c r="D23" s="659" t="s">
        <v>84</v>
      </c>
      <c r="E23" s="206"/>
      <c r="F23" s="206"/>
      <c r="G23" s="206"/>
      <c r="H23" s="206"/>
      <c r="I23" s="206"/>
      <c r="J23" s="276"/>
      <c r="K23" s="276"/>
      <c r="L23" s="276"/>
      <c r="M23" s="276"/>
      <c r="N23" s="276"/>
      <c r="O23" s="276"/>
      <c r="P23" s="276"/>
      <c r="Q23" s="276"/>
      <c r="R23" s="276"/>
      <c r="S23" s="276"/>
      <c r="T23" s="276"/>
      <c r="U23" s="276"/>
      <c r="V23" s="276"/>
      <c r="W23" s="1553">
        <f>Determination_Lookup!M10</f>
        <v>99.217006173245181</v>
      </c>
      <c r="X23" s="1553">
        <f>Determination_Lookup!N10</f>
        <v>98.241752731396645</v>
      </c>
      <c r="Y23" s="1553">
        <f>Determination_Lookup!O10</f>
        <v>98.984695770949031</v>
      </c>
      <c r="Z23" s="1553">
        <f>Determination_Lookup!P10</f>
        <v>99.050510493747737</v>
      </c>
      <c r="AA23" s="1553">
        <f>Determination_Lookup!Q10</f>
        <v>99.811440983806364</v>
      </c>
      <c r="AB23" s="1553">
        <f>Determination_Lookup!R10</f>
        <v>100.23147140236459</v>
      </c>
      <c r="AC23" s="1546">
        <f t="shared" ref="AC23:AL23" si="4">+SUM(AC15:AC20)</f>
        <v>104.06385545438683</v>
      </c>
      <c r="AD23" s="1546">
        <f t="shared" si="4"/>
        <v>106.94004285484651</v>
      </c>
      <c r="AE23" s="1546">
        <f t="shared" si="4"/>
        <v>109.18152309433378</v>
      </c>
      <c r="AF23" s="1546">
        <f t="shared" si="4"/>
        <v>110.44864096807545</v>
      </c>
      <c r="AG23" s="1546">
        <f t="shared" si="4"/>
        <v>118.55392838684085</v>
      </c>
      <c r="AH23" s="1546">
        <f t="shared" ca="1" si="4"/>
        <v>120.75745129797468</v>
      </c>
      <c r="AI23" s="1546">
        <f t="shared" ca="1" si="4"/>
        <v>124.95933650928491</v>
      </c>
      <c r="AJ23" s="1546">
        <f t="shared" ca="1" si="4"/>
        <v>128.35488889955744</v>
      </c>
      <c r="AK23" s="1546">
        <f t="shared" ca="1" si="4"/>
        <v>130.28407684269885</v>
      </c>
      <c r="AL23" s="1546">
        <f t="shared" ca="1" si="4"/>
        <v>131.90331196503232</v>
      </c>
      <c r="AM23" s="660"/>
      <c r="AO23" s="1307"/>
      <c r="AP23" s="1307"/>
      <c r="AQ23" s="1307"/>
      <c r="AR23" s="1307"/>
      <c r="AS23" s="1307"/>
      <c r="AT23" s="1307"/>
      <c r="AU23" s="1307"/>
      <c r="AV23" s="1307"/>
      <c r="AW23" s="1307"/>
      <c r="AX23" s="1307"/>
      <c r="AY23" s="1307"/>
      <c r="AZ23" s="1307"/>
      <c r="BA23" s="1307"/>
      <c r="BB23" s="1307"/>
      <c r="BC23" s="1307"/>
      <c r="BD23" s="807"/>
      <c r="BE23" s="807"/>
    </row>
    <row r="24" spans="3:57" x14ac:dyDescent="0.3">
      <c r="C24" s="658"/>
      <c r="D24" s="206"/>
      <c r="E24" s="206"/>
      <c r="F24" s="206"/>
      <c r="G24" s="206"/>
      <c r="H24" s="206"/>
      <c r="I24" s="206"/>
      <c r="J24" s="118"/>
      <c r="K24" s="275"/>
      <c r="L24" s="661"/>
      <c r="M24" s="275"/>
      <c r="N24" s="275"/>
      <c r="O24" s="275"/>
      <c r="P24" s="275"/>
      <c r="Q24" s="275"/>
      <c r="R24" s="275"/>
      <c r="S24" s="315"/>
      <c r="T24" s="315"/>
      <c r="U24" s="315"/>
      <c r="V24" s="315"/>
      <c r="W24" s="315"/>
      <c r="X24" s="315"/>
      <c r="Y24" s="315"/>
      <c r="Z24" s="315"/>
      <c r="AA24" s="315"/>
      <c r="AB24" s="315"/>
      <c r="AC24" s="315"/>
      <c r="AD24" s="315"/>
      <c r="AE24" s="315"/>
      <c r="AF24" s="315"/>
      <c r="AG24" s="315"/>
      <c r="AH24" s="315"/>
      <c r="AI24" s="315"/>
      <c r="AJ24" s="315"/>
      <c r="AK24" s="315"/>
      <c r="AL24" s="315"/>
      <c r="AM24" s="660"/>
      <c r="AO24" s="1307"/>
      <c r="AP24" s="1307"/>
      <c r="AQ24" s="1307"/>
      <c r="AR24" s="1307"/>
      <c r="AS24" s="1307"/>
      <c r="AT24" s="1307"/>
      <c r="AU24" s="1307"/>
      <c r="AV24" s="1307"/>
      <c r="AW24" s="1307"/>
      <c r="AX24" s="1307"/>
      <c r="AY24" s="1307"/>
      <c r="AZ24" s="1307"/>
      <c r="BA24" s="1307"/>
      <c r="BB24" s="1307"/>
      <c r="BC24" s="1307"/>
    </row>
    <row r="25" spans="3:57" ht="12.5" thickBot="1" x14ac:dyDescent="0.35">
      <c r="C25" s="662"/>
      <c r="D25" s="624"/>
      <c r="E25" s="624"/>
      <c r="F25" s="624"/>
      <c r="G25" s="624"/>
      <c r="H25" s="624"/>
      <c r="I25" s="624"/>
      <c r="J25" s="599"/>
      <c r="K25" s="293"/>
      <c r="L25" s="293"/>
      <c r="M25" s="293"/>
      <c r="N25" s="293"/>
      <c r="O25" s="293"/>
      <c r="P25" s="293"/>
      <c r="Q25" s="293"/>
      <c r="R25" s="293"/>
      <c r="S25" s="557"/>
      <c r="T25" s="557"/>
      <c r="U25" s="557"/>
      <c r="V25" s="557"/>
      <c r="W25" s="557"/>
      <c r="X25" s="557"/>
      <c r="Y25" s="557"/>
      <c r="Z25" s="557"/>
      <c r="AA25" s="557"/>
      <c r="AB25" s="557"/>
      <c r="AC25" s="557"/>
      <c r="AD25" s="557"/>
      <c r="AE25" s="557"/>
      <c r="AF25" s="557"/>
      <c r="AG25" s="557"/>
      <c r="AH25" s="557"/>
      <c r="AI25" s="557"/>
      <c r="AJ25" s="557"/>
      <c r="AK25" s="557"/>
      <c r="AL25" s="557"/>
      <c r="AM25" s="556"/>
      <c r="AO25" s="1307"/>
      <c r="AP25" s="1307"/>
      <c r="AQ25" s="1307"/>
      <c r="AR25" s="1307"/>
      <c r="AS25" s="1307"/>
      <c r="AT25" s="1307"/>
      <c r="AU25" s="1307"/>
      <c r="AV25" s="1307"/>
      <c r="AW25" s="1307"/>
      <c r="AX25" s="1307"/>
      <c r="AY25" s="1307"/>
      <c r="AZ25" s="1307"/>
      <c r="BA25" s="1307"/>
      <c r="BB25" s="1307"/>
      <c r="BC25" s="1307"/>
    </row>
    <row r="26" spans="3:57" ht="12.5" thickBot="1" x14ac:dyDescent="0.35">
      <c r="J26" s="465"/>
      <c r="K26" s="465"/>
      <c r="L26" s="465"/>
      <c r="M26" s="465"/>
      <c r="N26" s="465"/>
      <c r="O26" s="465"/>
      <c r="P26" s="465"/>
      <c r="Q26" s="465"/>
      <c r="R26" s="465"/>
      <c r="S26" s="125"/>
      <c r="T26" s="125"/>
      <c r="U26" s="125"/>
      <c r="V26" s="125"/>
      <c r="W26" s="125"/>
      <c r="X26" s="125"/>
      <c r="Y26" s="125"/>
      <c r="Z26" s="125"/>
      <c r="AA26" s="125"/>
      <c r="AB26" s="125"/>
      <c r="AC26" s="125"/>
      <c r="AD26" s="125"/>
      <c r="AE26" s="125"/>
      <c r="AF26" s="125"/>
      <c r="AG26" s="125"/>
      <c r="AH26" s="125"/>
      <c r="AI26" s="125"/>
      <c r="AJ26" s="125"/>
      <c r="AK26" s="125"/>
      <c r="AL26" s="125"/>
      <c r="AO26" s="1307"/>
      <c r="AP26" s="1307"/>
      <c r="AQ26" s="1307"/>
      <c r="AR26" s="1307"/>
      <c r="AS26" s="1307"/>
      <c r="AT26" s="1307"/>
      <c r="AU26" s="1307"/>
      <c r="AV26" s="1307"/>
      <c r="AW26" s="1307"/>
      <c r="AX26" s="1307"/>
      <c r="AY26" s="1307"/>
      <c r="AZ26" s="1307"/>
      <c r="BA26" s="1307"/>
      <c r="BB26" s="1307"/>
      <c r="BC26" s="1307"/>
    </row>
    <row r="27" spans="3:57" x14ac:dyDescent="0.3">
      <c r="C27" s="170"/>
      <c r="D27" s="171"/>
      <c r="E27" s="171"/>
      <c r="F27" s="171"/>
      <c r="G27" s="171"/>
      <c r="H27" s="171"/>
      <c r="I27" s="171"/>
      <c r="J27" s="663"/>
      <c r="K27" s="663"/>
      <c r="L27" s="663"/>
      <c r="M27" s="663"/>
      <c r="N27" s="663"/>
      <c r="O27" s="663"/>
      <c r="P27" s="663"/>
      <c r="Q27" s="663"/>
      <c r="R27" s="663"/>
      <c r="S27" s="664"/>
      <c r="T27" s="664"/>
      <c r="U27" s="664"/>
      <c r="V27" s="664"/>
      <c r="W27" s="664"/>
      <c r="X27" s="664"/>
      <c r="Y27" s="664"/>
      <c r="Z27" s="1299"/>
      <c r="AA27" s="664"/>
      <c r="AB27" s="664"/>
      <c r="AC27" s="664"/>
      <c r="AD27" s="664"/>
      <c r="AE27" s="664"/>
      <c r="AF27" s="664"/>
      <c r="AG27" s="664"/>
      <c r="AH27" s="664"/>
      <c r="AI27" s="664"/>
      <c r="AJ27" s="664"/>
      <c r="AK27" s="664"/>
      <c r="AL27" s="664"/>
      <c r="AM27" s="172"/>
      <c r="AO27" s="1307"/>
      <c r="AP27" s="1307"/>
      <c r="AQ27" s="1307"/>
      <c r="AR27" s="1307"/>
      <c r="AS27" s="1307"/>
      <c r="AT27" s="1307"/>
      <c r="AU27" s="1307"/>
      <c r="AV27" s="1307"/>
      <c r="AW27" s="1307"/>
      <c r="AX27" s="1307"/>
      <c r="AY27" s="1307"/>
      <c r="AZ27" s="1307"/>
      <c r="BA27" s="1307"/>
      <c r="BB27" s="1307"/>
      <c r="BC27" s="1307"/>
    </row>
    <row r="28" spans="3:57" x14ac:dyDescent="0.3">
      <c r="C28" s="173"/>
      <c r="D28" s="665" t="s">
        <v>99</v>
      </c>
      <c r="E28" s="72"/>
      <c r="F28" s="72"/>
      <c r="G28" s="72"/>
      <c r="H28" s="72"/>
      <c r="I28" s="72"/>
      <c r="J28" s="118"/>
      <c r="K28" s="118"/>
      <c r="L28" s="118"/>
      <c r="M28" s="118"/>
      <c r="N28" s="118"/>
      <c r="O28" s="118"/>
      <c r="P28" s="118"/>
      <c r="Q28" s="118"/>
      <c r="R28" s="118"/>
      <c r="S28" s="118"/>
      <c r="T28" s="118"/>
      <c r="U28" s="118"/>
      <c r="V28" s="118"/>
      <c r="W28" s="1559">
        <v>0.3</v>
      </c>
      <c r="X28" s="1559">
        <v>0.3</v>
      </c>
      <c r="Y28" s="1559">
        <v>0.3</v>
      </c>
      <c r="Z28" s="1559">
        <v>0.3</v>
      </c>
      <c r="AA28" s="1559">
        <v>0.3</v>
      </c>
      <c r="AB28" s="1559">
        <v>0.3</v>
      </c>
      <c r="AC28" s="1560">
        <v>0.3</v>
      </c>
      <c r="AD28" s="1561">
        <v>0.3</v>
      </c>
      <c r="AE28" s="1561">
        <v>0.3</v>
      </c>
      <c r="AF28" s="1561">
        <v>0.3</v>
      </c>
      <c r="AG28" s="1562">
        <v>0.3</v>
      </c>
      <c r="AH28" s="1561">
        <v>0.3</v>
      </c>
      <c r="AI28" s="1561">
        <v>0.3</v>
      </c>
      <c r="AJ28" s="1561">
        <v>0.3</v>
      </c>
      <c r="AK28" s="1561">
        <v>0.3</v>
      </c>
      <c r="AL28" s="1562">
        <v>0.3</v>
      </c>
      <c r="AM28" s="175"/>
      <c r="AN28" s="1524" t="s">
        <v>692</v>
      </c>
      <c r="AO28" s="1571"/>
      <c r="AP28" s="1307"/>
      <c r="AQ28" s="1307"/>
      <c r="AR28" s="1307"/>
      <c r="AS28" s="1307"/>
      <c r="AT28" s="1307"/>
      <c r="AU28" s="1307"/>
      <c r="AV28" s="1307"/>
      <c r="AW28" s="1307"/>
      <c r="AX28" s="1307"/>
      <c r="AY28" s="1307"/>
      <c r="AZ28" s="1307"/>
      <c r="BA28" s="1307"/>
      <c r="BB28" s="1307"/>
      <c r="BC28" s="1307"/>
    </row>
    <row r="29" spans="3:57" ht="12.5" thickBot="1" x14ac:dyDescent="0.35">
      <c r="C29" s="179"/>
      <c r="D29" s="180"/>
      <c r="E29" s="180"/>
      <c r="F29" s="180"/>
      <c r="G29" s="180"/>
      <c r="H29" s="180"/>
      <c r="I29" s="180"/>
      <c r="J29" s="599"/>
      <c r="K29" s="599"/>
      <c r="L29" s="599"/>
      <c r="M29" s="599"/>
      <c r="N29" s="599"/>
      <c r="O29" s="599"/>
      <c r="P29" s="599"/>
      <c r="Q29" s="599"/>
      <c r="R29" s="599"/>
      <c r="S29" s="516"/>
      <c r="T29" s="516"/>
      <c r="U29" s="516"/>
      <c r="V29" s="516"/>
      <c r="W29" s="516"/>
      <c r="X29" s="516"/>
      <c r="Y29" s="516"/>
      <c r="Z29" s="516"/>
      <c r="AA29" s="516"/>
      <c r="AB29" s="516"/>
      <c r="AC29" s="516"/>
      <c r="AD29" s="516"/>
      <c r="AE29" s="516"/>
      <c r="AF29" s="516"/>
      <c r="AG29" s="516"/>
      <c r="AH29" s="516"/>
      <c r="AI29" s="516"/>
      <c r="AJ29" s="516"/>
      <c r="AK29" s="516"/>
      <c r="AL29" s="516"/>
      <c r="AM29" s="182"/>
      <c r="AO29" s="1307"/>
      <c r="AP29" s="1307"/>
      <c r="AQ29" s="1307"/>
      <c r="AR29" s="1307"/>
      <c r="AS29" s="1307"/>
      <c r="AT29" s="1307"/>
      <c r="AU29" s="1307"/>
      <c r="AV29" s="1307"/>
      <c r="AW29" s="1307"/>
      <c r="AX29" s="1307"/>
      <c r="AY29" s="1307"/>
      <c r="AZ29" s="1307"/>
      <c r="BA29" s="1307"/>
      <c r="BB29" s="1307"/>
      <c r="BC29" s="1307"/>
    </row>
    <row r="30" spans="3:57" ht="12.5" thickBot="1" x14ac:dyDescent="0.35">
      <c r="C30" s="180"/>
      <c r="D30" s="180"/>
      <c r="E30" s="180"/>
      <c r="F30" s="180"/>
      <c r="G30" s="180"/>
      <c r="H30" s="180"/>
      <c r="I30" s="180"/>
      <c r="J30" s="599"/>
      <c r="K30" s="599"/>
      <c r="L30" s="599"/>
      <c r="M30" s="599"/>
      <c r="N30" s="599"/>
      <c r="O30" s="599"/>
      <c r="P30" s="599"/>
      <c r="Q30" s="599"/>
      <c r="R30" s="599"/>
      <c r="S30" s="516"/>
      <c r="T30" s="516"/>
      <c r="U30" s="516"/>
      <c r="V30" s="516"/>
      <c r="W30" s="516"/>
      <c r="X30" s="516"/>
      <c r="Y30" s="516"/>
      <c r="Z30" s="516"/>
      <c r="AA30" s="516"/>
      <c r="AB30" s="516"/>
      <c r="AC30" s="516"/>
      <c r="AD30" s="516"/>
      <c r="AE30" s="516"/>
      <c r="AF30" s="516"/>
      <c r="AG30" s="516"/>
      <c r="AH30" s="516"/>
      <c r="AI30" s="516"/>
      <c r="AJ30" s="516"/>
      <c r="AK30" s="516"/>
      <c r="AL30" s="516"/>
      <c r="AM30" s="180"/>
      <c r="AO30" s="1307"/>
      <c r="AP30" s="1307"/>
      <c r="AQ30" s="1307"/>
      <c r="AR30" s="1307"/>
      <c r="AS30" s="1307"/>
      <c r="AT30" s="1307"/>
      <c r="AU30" s="1307"/>
      <c r="AV30" s="1307"/>
      <c r="AW30" s="1307"/>
      <c r="AX30" s="1307"/>
      <c r="AY30" s="1307"/>
      <c r="AZ30" s="1307"/>
      <c r="BA30" s="1307"/>
      <c r="BB30" s="1307"/>
      <c r="BC30" s="1307"/>
    </row>
    <row r="31" spans="3:57" x14ac:dyDescent="0.3">
      <c r="C31" s="173"/>
      <c r="E31" s="72"/>
      <c r="F31" s="72"/>
      <c r="G31" s="72"/>
      <c r="H31" s="72"/>
      <c r="I31" s="72"/>
      <c r="J31" s="118"/>
      <c r="K31" s="275"/>
      <c r="L31" s="275"/>
      <c r="M31" s="275"/>
      <c r="N31" s="275"/>
      <c r="O31" s="275"/>
      <c r="P31" s="275"/>
      <c r="Q31" s="275"/>
      <c r="R31" s="275"/>
      <c r="S31" s="462"/>
      <c r="T31" s="462"/>
      <c r="U31" s="462"/>
      <c r="V31" s="462"/>
      <c r="W31" s="462"/>
      <c r="X31" s="462"/>
      <c r="Y31" s="462"/>
      <c r="Z31" s="462"/>
      <c r="AA31" s="462"/>
      <c r="AB31" s="462"/>
      <c r="AC31" s="462"/>
      <c r="AD31" s="462"/>
      <c r="AE31" s="462"/>
      <c r="AF31" s="462"/>
      <c r="AG31" s="462"/>
      <c r="AH31" s="462"/>
      <c r="AI31" s="462"/>
      <c r="AJ31" s="462"/>
      <c r="AK31" s="462"/>
      <c r="AL31" s="462"/>
      <c r="AM31" s="175"/>
      <c r="AO31" s="1307"/>
      <c r="AP31" s="1307"/>
      <c r="AQ31" s="1307"/>
      <c r="AR31" s="1307"/>
      <c r="AS31" s="1307"/>
      <c r="AT31" s="1307"/>
      <c r="AU31" s="1307"/>
      <c r="AV31" s="1307"/>
      <c r="AW31" s="1307"/>
      <c r="AX31" s="1307"/>
      <c r="AY31" s="1307"/>
      <c r="AZ31" s="1307"/>
      <c r="BA31" s="1307"/>
      <c r="BB31" s="1307"/>
      <c r="BC31" s="1307"/>
    </row>
    <row r="32" spans="3:57" x14ac:dyDescent="0.3">
      <c r="C32" s="173"/>
      <c r="D32" s="666" t="s">
        <v>85</v>
      </c>
      <c r="E32" s="72"/>
      <c r="F32" s="72"/>
      <c r="G32" s="72"/>
      <c r="H32" s="72"/>
      <c r="I32" s="72"/>
      <c r="J32" s="118"/>
      <c r="K32" s="275"/>
      <c r="L32" s="275"/>
      <c r="M32" s="275"/>
      <c r="N32" s="275"/>
      <c r="O32" s="275"/>
      <c r="P32" s="275"/>
      <c r="Q32" s="275"/>
      <c r="R32" s="275"/>
      <c r="S32" s="462"/>
      <c r="T32" s="462"/>
      <c r="U32" s="462"/>
      <c r="V32" s="462"/>
      <c r="W32" s="462"/>
      <c r="X32" s="462"/>
      <c r="Y32" s="462"/>
      <c r="Z32" s="462"/>
      <c r="AA32" s="462"/>
      <c r="AB32" s="462"/>
      <c r="AC32" s="462"/>
      <c r="AD32" s="462"/>
      <c r="AE32" s="462"/>
      <c r="AF32" s="462"/>
      <c r="AG32" s="462"/>
      <c r="AH32" s="462"/>
      <c r="AI32" s="462"/>
      <c r="AJ32" s="462"/>
      <c r="AK32" s="462"/>
      <c r="AL32" s="462"/>
      <c r="AM32" s="175"/>
      <c r="AO32" s="1307"/>
      <c r="AP32" s="1307"/>
      <c r="AQ32" s="1307"/>
      <c r="AR32" s="1307"/>
      <c r="AS32" s="1307"/>
      <c r="AT32" s="1307"/>
      <c r="AU32" s="1307"/>
      <c r="AV32" s="1307"/>
      <c r="AW32" s="1307"/>
      <c r="AX32" s="1307"/>
      <c r="AY32" s="1307"/>
      <c r="AZ32" s="1307"/>
      <c r="BA32" s="1307"/>
      <c r="BB32" s="1307"/>
      <c r="BC32" s="1307"/>
    </row>
    <row r="33" spans="3:55" x14ac:dyDescent="0.3">
      <c r="C33" s="173"/>
      <c r="D33" s="72"/>
      <c r="E33" s="72"/>
      <c r="F33" s="72"/>
      <c r="G33" s="72"/>
      <c r="H33" s="72"/>
      <c r="I33" s="72"/>
      <c r="J33" s="118"/>
      <c r="K33" s="275"/>
      <c r="L33" s="275"/>
      <c r="M33" s="275"/>
      <c r="N33" s="275"/>
      <c r="O33" s="275"/>
      <c r="P33" s="275"/>
      <c r="Q33" s="275"/>
      <c r="R33" s="275"/>
      <c r="S33" s="462"/>
      <c r="T33" s="462"/>
      <c r="U33" s="462"/>
      <c r="V33" s="462"/>
      <c r="W33" s="462"/>
      <c r="X33" s="462"/>
      <c r="Y33" s="462"/>
      <c r="Z33" s="462"/>
      <c r="AA33" s="462"/>
      <c r="AB33" s="462"/>
      <c r="AC33" s="462"/>
      <c r="AD33" s="462"/>
      <c r="AE33" s="462"/>
      <c r="AF33" s="462"/>
      <c r="AG33" s="462"/>
      <c r="AH33" s="462"/>
      <c r="AI33" s="462"/>
      <c r="AJ33" s="462"/>
      <c r="AK33" s="462"/>
      <c r="AL33" s="462"/>
      <c r="AM33" s="175"/>
      <c r="AO33" s="1307"/>
      <c r="AP33" s="1307"/>
      <c r="AQ33" s="1307"/>
      <c r="AR33" s="1307"/>
      <c r="AS33" s="1307"/>
      <c r="AT33" s="1307"/>
      <c r="AU33" s="1307"/>
      <c r="AV33" s="1307"/>
      <c r="AW33" s="1307"/>
      <c r="AX33" s="1307"/>
      <c r="AY33" s="1307"/>
      <c r="AZ33" s="1307"/>
      <c r="BA33" s="1307"/>
      <c r="BB33" s="1307"/>
      <c r="BC33" s="1307"/>
    </row>
    <row r="34" spans="3:55" x14ac:dyDescent="0.3">
      <c r="C34" s="173"/>
      <c r="D34" s="72"/>
      <c r="E34" s="72"/>
      <c r="F34" s="72"/>
      <c r="G34" s="72"/>
      <c r="H34" s="72"/>
      <c r="I34" s="72"/>
      <c r="J34" s="84"/>
      <c r="K34" s="221"/>
      <c r="L34" s="221"/>
      <c r="M34" s="221"/>
      <c r="N34" s="221"/>
      <c r="O34" s="221"/>
      <c r="P34" s="221"/>
      <c r="Q34" s="221"/>
      <c r="R34" s="221"/>
      <c r="S34" s="178"/>
      <c r="T34" s="178"/>
      <c r="U34" s="178"/>
      <c r="V34" s="178"/>
      <c r="W34" s="178"/>
      <c r="X34" s="178"/>
      <c r="Y34" s="178"/>
      <c r="Z34" s="178"/>
      <c r="AA34" s="178"/>
      <c r="AB34" s="178"/>
      <c r="AC34" s="178"/>
      <c r="AD34" s="178"/>
      <c r="AE34" s="178"/>
      <c r="AF34" s="178"/>
      <c r="AG34" s="178"/>
      <c r="AH34" s="178"/>
      <c r="AI34" s="178"/>
      <c r="AJ34" s="178"/>
      <c r="AK34" s="178"/>
      <c r="AL34" s="178"/>
      <c r="AM34" s="175"/>
      <c r="AO34" s="1307"/>
      <c r="AP34" s="1307"/>
      <c r="AQ34" s="1307"/>
      <c r="AR34" s="1307"/>
      <c r="AS34" s="1307"/>
      <c r="AT34" s="1307"/>
      <c r="AU34" s="1307"/>
      <c r="AV34" s="1307"/>
      <c r="AW34" s="1307"/>
      <c r="AX34" s="1307"/>
      <c r="AY34" s="1307"/>
      <c r="AZ34" s="1307"/>
      <c r="BA34" s="1307"/>
      <c r="BB34" s="1307"/>
      <c r="BC34" s="1307"/>
    </row>
    <row r="35" spans="3:55" x14ac:dyDescent="0.3">
      <c r="C35" s="173"/>
      <c r="D35" s="72"/>
      <c r="E35" s="666" t="s">
        <v>215</v>
      </c>
      <c r="F35" s="72"/>
      <c r="G35" s="72"/>
      <c r="H35" s="72"/>
      <c r="I35" s="72"/>
      <c r="J35" s="84"/>
      <c r="K35" s="221"/>
      <c r="L35" s="221"/>
      <c r="M35" s="221"/>
      <c r="N35" s="221"/>
      <c r="O35" s="221"/>
      <c r="P35" s="221"/>
      <c r="Q35" s="221"/>
      <c r="R35" s="221"/>
      <c r="S35" s="178"/>
      <c r="T35" s="178"/>
      <c r="U35" s="178"/>
      <c r="V35" s="178"/>
      <c r="W35" s="178"/>
      <c r="X35" s="178"/>
      <c r="Y35" s="178"/>
      <c r="Z35" s="178"/>
      <c r="AA35" s="178"/>
      <c r="AB35" s="178"/>
      <c r="AC35" s="178"/>
      <c r="AD35" s="178"/>
      <c r="AE35" s="178"/>
      <c r="AF35" s="178"/>
      <c r="AG35" s="178"/>
      <c r="AH35" s="178"/>
      <c r="AI35" s="178"/>
      <c r="AJ35" s="178"/>
      <c r="AK35" s="178"/>
      <c r="AL35" s="178"/>
      <c r="AM35" s="175"/>
      <c r="AO35" s="1307"/>
      <c r="AP35" s="1307"/>
      <c r="AQ35" s="1307"/>
      <c r="AR35" s="1307"/>
      <c r="AS35" s="1307"/>
      <c r="AT35" s="1307"/>
      <c r="AU35" s="1307"/>
      <c r="AV35" s="1307"/>
      <c r="AW35" s="1307"/>
      <c r="AX35" s="1307"/>
      <c r="AY35" s="1307"/>
      <c r="AZ35" s="1307"/>
      <c r="BA35" s="1307"/>
      <c r="BB35" s="1307"/>
      <c r="BC35" s="1307"/>
    </row>
    <row r="36" spans="3:55" x14ac:dyDescent="0.3">
      <c r="C36" s="173"/>
      <c r="D36" s="72"/>
      <c r="E36" s="72"/>
      <c r="F36" s="72"/>
      <c r="G36" s="72"/>
      <c r="H36" s="72"/>
      <c r="I36" s="72"/>
      <c r="J36" s="667"/>
      <c r="K36" s="77"/>
      <c r="L36" s="668"/>
      <c r="M36" s="221"/>
      <c r="N36" s="669"/>
      <c r="O36" s="669"/>
      <c r="P36" s="84"/>
      <c r="Q36" s="221"/>
      <c r="R36" s="221"/>
      <c r="S36" s="670"/>
      <c r="T36" s="670"/>
      <c r="U36" s="206"/>
      <c r="V36" s="583"/>
      <c r="W36" s="583"/>
      <c r="X36" s="670"/>
      <c r="Y36" s="670"/>
      <c r="AA36" s="178"/>
      <c r="AB36" s="583"/>
      <c r="AC36" s="583"/>
      <c r="AD36" s="583"/>
      <c r="AE36" s="583"/>
      <c r="AF36" s="583"/>
      <c r="AG36" s="583"/>
      <c r="AH36" s="583"/>
      <c r="AI36" s="583"/>
      <c r="AJ36" s="583"/>
      <c r="AK36" s="583"/>
      <c r="AL36" s="583"/>
      <c r="AM36" s="175"/>
      <c r="AO36" s="1307"/>
      <c r="AP36" s="1307"/>
      <c r="AQ36" s="1307"/>
      <c r="AR36" s="1307"/>
      <c r="AS36" s="1307"/>
      <c r="AT36" s="1307"/>
      <c r="AU36" s="1307"/>
      <c r="AV36" s="1307"/>
      <c r="AW36" s="1307"/>
      <c r="AX36" s="1307"/>
      <c r="AY36" s="1307"/>
      <c r="AZ36" s="1307"/>
      <c r="BA36" s="1307"/>
      <c r="BB36" s="1307"/>
      <c r="BC36" s="1307"/>
    </row>
    <row r="37" spans="3:55" x14ac:dyDescent="0.3">
      <c r="C37" s="173"/>
      <c r="D37" s="72"/>
      <c r="E37" s="72"/>
      <c r="F37" s="72" t="s">
        <v>86</v>
      </c>
      <c r="G37" s="72"/>
      <c r="H37" s="72"/>
      <c r="I37" s="72"/>
      <c r="J37" s="515"/>
      <c r="K37" s="515"/>
      <c r="L37" s="515"/>
      <c r="M37" s="515"/>
      <c r="N37" s="515"/>
      <c r="O37" s="515"/>
      <c r="P37" s="515"/>
      <c r="Q37" s="515"/>
      <c r="R37" s="515"/>
      <c r="S37" s="515"/>
      <c r="T37" s="515"/>
      <c r="U37" s="515"/>
      <c r="V37" s="515"/>
      <c r="W37" s="1563">
        <f>+RollForward_FO!W24</f>
        <v>375.63089945463219</v>
      </c>
      <c r="X37" s="1527">
        <f>+RollForward_FO!X24</f>
        <v>381.77089091210621</v>
      </c>
      <c r="Y37" s="1527">
        <f>+RollForward_FO!Y24</f>
        <v>391.44541992819109</v>
      </c>
      <c r="Z37" s="1527">
        <f>+RollForward_FO!Z24</f>
        <v>401.74728460409568</v>
      </c>
      <c r="AA37" s="1527">
        <f>+RollForward_FO!AA24</f>
        <v>405.58945076821254</v>
      </c>
      <c r="AB37" s="1527">
        <f>+RollForward_FO!AB24</f>
        <v>409.3710695194622</v>
      </c>
      <c r="AC37" s="1564">
        <f>AB43</f>
        <v>421.14965328812417</v>
      </c>
      <c r="AD37" s="297">
        <f t="shared" ref="AD37:AG37" si="5">AC43</f>
        <v>400.95561958358235</v>
      </c>
      <c r="AE37" s="297">
        <f t="shared" si="5"/>
        <v>379.80908181675397</v>
      </c>
      <c r="AF37" s="297">
        <f t="shared" si="5"/>
        <v>357.73965413296656</v>
      </c>
      <c r="AG37" s="297">
        <f t="shared" si="5"/>
        <v>334.78105162231714</v>
      </c>
      <c r="AH37" s="297">
        <f>AG43</f>
        <v>310.88304908166822</v>
      </c>
      <c r="AI37" s="297">
        <f>AH43</f>
        <v>286.01547002838981</v>
      </c>
      <c r="AJ37" s="297">
        <f>AI43</f>
        <v>258.61682156641507</v>
      </c>
      <c r="AK37" s="297">
        <f>AJ43</f>
        <v>228.96198671755076</v>
      </c>
      <c r="AL37" s="297">
        <f>AK43</f>
        <v>198.39688394117462</v>
      </c>
      <c r="AM37" s="175"/>
      <c r="AO37" s="1307"/>
      <c r="AP37" s="1307"/>
      <c r="AQ37" s="1307"/>
      <c r="AR37" s="1307"/>
      <c r="AS37" s="1307"/>
      <c r="AT37" s="1307"/>
      <c r="AU37" s="1307"/>
      <c r="AV37" s="1307"/>
      <c r="AW37" s="1307"/>
      <c r="AX37" s="1307"/>
      <c r="AY37" s="1307"/>
      <c r="AZ37" s="1307"/>
      <c r="BA37" s="1307"/>
      <c r="BB37" s="1307"/>
      <c r="BC37" s="1307"/>
    </row>
    <row r="38" spans="3:55" x14ac:dyDescent="0.3">
      <c r="C38" s="173"/>
      <c r="D38" s="72"/>
      <c r="E38" s="72"/>
      <c r="F38" s="72" t="s">
        <v>90</v>
      </c>
      <c r="G38" s="72"/>
      <c r="H38" s="72"/>
      <c r="I38" s="72"/>
      <c r="J38" s="275"/>
      <c r="K38" s="275"/>
      <c r="L38" s="275"/>
      <c r="M38" s="275"/>
      <c r="N38" s="275"/>
      <c r="O38" s="275"/>
      <c r="P38" s="275"/>
      <c r="Q38" s="275"/>
      <c r="R38" s="275"/>
      <c r="S38" s="275"/>
      <c r="T38" s="275"/>
      <c r="U38" s="275"/>
      <c r="V38" s="275"/>
      <c r="W38" s="297">
        <f>+RollForward_FO!W25</f>
        <v>25.192626244343892</v>
      </c>
      <c r="X38" s="297">
        <f>+RollForward_FO!X25</f>
        <v>30.447363509307287</v>
      </c>
      <c r="Y38" s="297">
        <f>+RollForward_FO!Y25</f>
        <v>32.861360104049083</v>
      </c>
      <c r="Z38" s="297">
        <f>+RollForward_FO!Z25</f>
        <v>28.09446153439966</v>
      </c>
      <c r="AA38" s="297">
        <f>+RollForward_FO!AA25</f>
        <v>29.137493005200003</v>
      </c>
      <c r="AB38" s="297">
        <f>+RollForward_FO!AB25</f>
        <v>37.5</v>
      </c>
      <c r="AC38" s="297"/>
      <c r="AD38" s="297"/>
      <c r="AE38" s="297"/>
      <c r="AF38" s="297"/>
      <c r="AG38" s="297"/>
      <c r="AH38" s="297"/>
      <c r="AI38" s="297"/>
      <c r="AJ38" s="297"/>
      <c r="AK38" s="297"/>
      <c r="AL38" s="297"/>
      <c r="AM38" s="175"/>
      <c r="AO38" s="1307"/>
      <c r="AP38" s="1307"/>
      <c r="AQ38" s="1307"/>
      <c r="AR38" s="1307"/>
      <c r="AS38" s="1307"/>
      <c r="AT38" s="1307"/>
      <c r="AU38" s="1307"/>
      <c r="AV38" s="1307"/>
      <c r="AW38" s="1307"/>
      <c r="AX38" s="1307"/>
      <c r="AY38" s="1307"/>
      <c r="AZ38" s="1307"/>
      <c r="BA38" s="1307"/>
      <c r="BB38" s="1307"/>
      <c r="BC38" s="1307"/>
    </row>
    <row r="39" spans="3:55" x14ac:dyDescent="0.3">
      <c r="C39" s="173"/>
      <c r="D39" s="72"/>
      <c r="E39" s="72"/>
      <c r="F39" s="72" t="s">
        <v>91</v>
      </c>
      <c r="G39" s="72"/>
      <c r="H39" s="72"/>
      <c r="I39" s="72"/>
      <c r="J39" s="275"/>
      <c r="K39" s="275"/>
      <c r="L39" s="275"/>
      <c r="M39" s="275"/>
      <c r="N39" s="275"/>
      <c r="O39" s="275"/>
      <c r="P39" s="275"/>
      <c r="Q39" s="275"/>
      <c r="R39" s="275"/>
      <c r="S39" s="275"/>
      <c r="T39" s="275"/>
      <c r="U39" s="275"/>
      <c r="V39" s="275"/>
      <c r="W39" s="297">
        <f>+RollForward_FO!W27</f>
        <v>1.8893348416289593</v>
      </c>
      <c r="X39" s="297">
        <f>+RollForward_FO!X27</f>
        <v>2.0431804654262882</v>
      </c>
      <c r="Y39" s="297">
        <f>+RollForward_FO!Y27</f>
        <v>3.3055239410429444</v>
      </c>
      <c r="Z39" s="297">
        <f>+RollForward_FO!Z27</f>
        <v>3.705311320754717</v>
      </c>
      <c r="AA39" s="297">
        <f>+RollForward_FO!AA27</f>
        <v>4.0999999999999996</v>
      </c>
      <c r="AB39" s="297">
        <f>+RollForward_FO!AB27</f>
        <v>4.141</v>
      </c>
      <c r="AC39" s="297"/>
      <c r="AD39" s="297"/>
      <c r="AE39" s="297"/>
      <c r="AF39" s="297"/>
      <c r="AG39" s="297"/>
      <c r="AH39" s="297"/>
      <c r="AI39" s="297"/>
      <c r="AJ39" s="297"/>
      <c r="AK39" s="297"/>
      <c r="AL39" s="297"/>
      <c r="AM39" s="175"/>
      <c r="AO39" s="1307"/>
      <c r="AP39" s="1307"/>
      <c r="AQ39" s="1307"/>
      <c r="AR39" s="1307"/>
      <c r="AS39" s="1307"/>
      <c r="AT39" s="1307"/>
      <c r="AU39" s="1307"/>
      <c r="AV39" s="1307"/>
      <c r="AW39" s="1307"/>
      <c r="AX39" s="1307"/>
      <c r="AY39" s="1307"/>
      <c r="AZ39" s="1307"/>
      <c r="BA39" s="1307"/>
      <c r="BB39" s="1307"/>
      <c r="BC39" s="1307"/>
    </row>
    <row r="40" spans="3:55" x14ac:dyDescent="0.3">
      <c r="C40" s="173"/>
      <c r="D40" s="72"/>
      <c r="E40" s="72"/>
      <c r="F40" s="72" t="s">
        <v>92</v>
      </c>
      <c r="G40" s="72"/>
      <c r="H40" s="72"/>
      <c r="I40" s="72"/>
      <c r="J40" s="275"/>
      <c r="K40" s="275"/>
      <c r="L40" s="275"/>
      <c r="M40" s="275"/>
      <c r="N40" s="275"/>
      <c r="O40" s="275"/>
      <c r="P40" s="275"/>
      <c r="Q40" s="275"/>
      <c r="R40" s="275"/>
      <c r="S40" s="275"/>
      <c r="T40" s="275"/>
      <c r="U40" s="275"/>
      <c r="V40" s="275"/>
      <c r="W40" s="297">
        <f>+RollForward_FO!W26</f>
        <v>0</v>
      </c>
      <c r="X40" s="297">
        <f>+RollForward_FO!X26</f>
        <v>0</v>
      </c>
      <c r="Y40" s="297">
        <f>+RollForward_FO!Y26</f>
        <v>0</v>
      </c>
      <c r="Z40" s="297">
        <f>+RollForward_FO!Z26</f>
        <v>0.43724108104631215</v>
      </c>
      <c r="AA40" s="297">
        <f>+RollForward_FO!AA26</f>
        <v>0.44161349185677529</v>
      </c>
      <c r="AB40" s="297">
        <f>+RollForward_FO!AB26</f>
        <v>0.44602962677534302</v>
      </c>
      <c r="AC40" s="297"/>
      <c r="AD40" s="297"/>
      <c r="AE40" s="297"/>
      <c r="AF40" s="297"/>
      <c r="AG40" s="297"/>
      <c r="AH40" s="297"/>
      <c r="AI40" s="297"/>
      <c r="AJ40" s="297"/>
      <c r="AK40" s="297"/>
      <c r="AL40" s="297"/>
      <c r="AM40" s="175"/>
      <c r="AO40" s="1307"/>
      <c r="AP40" s="1307"/>
      <c r="AQ40" s="1307"/>
      <c r="AR40" s="1307"/>
      <c r="AS40" s="1307"/>
      <c r="AT40" s="1307"/>
      <c r="AU40" s="1307"/>
      <c r="AV40" s="1307"/>
      <c r="AW40" s="1307"/>
      <c r="AX40" s="1307"/>
      <c r="AY40" s="1307"/>
      <c r="AZ40" s="1307"/>
      <c r="BA40" s="1307"/>
      <c r="BB40" s="1307"/>
      <c r="BC40" s="1307"/>
    </row>
    <row r="41" spans="3:55" x14ac:dyDescent="0.3">
      <c r="C41" s="188"/>
      <c r="D41" s="84"/>
      <c r="E41" s="84"/>
      <c r="F41" s="84" t="s">
        <v>87</v>
      </c>
      <c r="G41" s="84"/>
      <c r="H41" s="84"/>
      <c r="I41" s="84"/>
      <c r="J41" s="275"/>
      <c r="K41" s="275"/>
      <c r="L41" s="275"/>
      <c r="M41" s="275"/>
      <c r="N41" s="275"/>
      <c r="O41" s="275"/>
      <c r="P41" s="275"/>
      <c r="Q41" s="275"/>
      <c r="R41" s="275"/>
      <c r="S41" s="275"/>
      <c r="T41" s="275"/>
      <c r="U41" s="275"/>
      <c r="V41" s="275"/>
      <c r="W41" s="297">
        <f>RollForward_FO!W17</f>
        <v>16.8358899904898</v>
      </c>
      <c r="X41" s="297">
        <f>RollForward_FO!X17</f>
        <v>18.15967001358656</v>
      </c>
      <c r="Y41" s="297">
        <f>RollForward_FO!Y17</f>
        <v>19.034258248880676</v>
      </c>
      <c r="Z41" s="297">
        <f>RollForward_FO!Z17</f>
        <v>19.498743826114701</v>
      </c>
      <c r="AA41" s="297">
        <f>RollForward_FO!AA17</f>
        <v>20.197151628302816</v>
      </c>
      <c r="AB41" s="297">
        <f>RollForward_FO!AB17</f>
        <v>20.51110637943404</v>
      </c>
      <c r="AC41" s="1564">
        <f>+RollForward_FO!AC15</f>
        <v>19.794033704541835</v>
      </c>
      <c r="AD41" s="1527">
        <f>+RollForward_FO!AD15</f>
        <v>20.74253776682837</v>
      </c>
      <c r="AE41" s="1527">
        <f>+RollForward_FO!AE15</f>
        <v>21.661387683787435</v>
      </c>
      <c r="AF41" s="1527">
        <f>+RollForward_FO!AF15</f>
        <v>22.546482110649428</v>
      </c>
      <c r="AG41" s="1527">
        <f>+RollForward_FO!AG15</f>
        <v>23.481760936648907</v>
      </c>
      <c r="AH41" s="1527">
        <f>+RollForward_FO!AH15</f>
        <v>24.447175033238413</v>
      </c>
      <c r="AI41" s="1527">
        <f>+RollForward_FO!AI15</f>
        <v>26.974040401734324</v>
      </c>
      <c r="AJ41" s="1527">
        <f>+RollForward_FO!AJ15</f>
        <v>29.225980708021513</v>
      </c>
      <c r="AK41" s="1527">
        <f>+RollForward_FO!AK15</f>
        <v>30.131960094124892</v>
      </c>
      <c r="AL41" s="1527">
        <f>+RollForward_FO!AL15</f>
        <v>30.396297927635217</v>
      </c>
      <c r="AM41" s="175"/>
      <c r="AO41" s="1307"/>
      <c r="AP41" s="1307"/>
      <c r="AQ41" s="1307"/>
      <c r="AR41" s="1307"/>
      <c r="AS41" s="1307"/>
      <c r="AT41" s="1307"/>
      <c r="AU41" s="1307"/>
      <c r="AV41" s="1307"/>
      <c r="AW41" s="1307"/>
      <c r="AX41" s="1307"/>
      <c r="AY41" s="1307"/>
      <c r="AZ41" s="1307"/>
      <c r="BA41" s="1307"/>
      <c r="BB41" s="1307"/>
      <c r="BC41" s="1307"/>
    </row>
    <row r="42" spans="3:55" x14ac:dyDescent="0.3">
      <c r="C42" s="173"/>
      <c r="D42" s="72"/>
      <c r="E42" s="72"/>
      <c r="F42" s="72" t="s">
        <v>93</v>
      </c>
      <c r="G42" s="72"/>
      <c r="H42" s="72"/>
      <c r="I42" s="72"/>
      <c r="J42" s="275"/>
      <c r="K42" s="275"/>
      <c r="L42" s="275"/>
      <c r="M42" s="275"/>
      <c r="N42" s="275"/>
      <c r="O42" s="275"/>
      <c r="P42" s="275"/>
      <c r="Q42" s="275"/>
      <c r="R42" s="275"/>
      <c r="S42" s="275"/>
      <c r="T42" s="275"/>
      <c r="U42" s="275"/>
      <c r="V42" s="275"/>
      <c r="W42" s="297">
        <f>ExpSummary_FO!W25</f>
        <v>0.32740995475113122</v>
      </c>
      <c r="X42" s="297">
        <f>ExpSummary_FO!X25</f>
        <v>0.56998401420959155</v>
      </c>
      <c r="Y42" s="297">
        <f>ExpSummary_FO!Y25</f>
        <v>0.21971323822085892</v>
      </c>
      <c r="Z42" s="297">
        <f>ExpSummary_FO!Z25</f>
        <v>0.61099914236706698</v>
      </c>
      <c r="AA42" s="297">
        <f>ExpSummary_FO!AA25</f>
        <v>0.61710913379073762</v>
      </c>
      <c r="AB42" s="297">
        <f>ExpSummary_FO!AB25</f>
        <v>0.623280225128645</v>
      </c>
      <c r="AC42" s="297">
        <f>ExpSummary_FO!AC25</f>
        <v>0.4</v>
      </c>
      <c r="AD42" s="297">
        <f>ExpSummary_FO!AD25</f>
        <v>0.40400000000000003</v>
      </c>
      <c r="AE42" s="297">
        <f>ExpSummary_FO!AE25</f>
        <v>0.40804000000000001</v>
      </c>
      <c r="AF42" s="297">
        <f>ExpSummary_FO!AF25</f>
        <v>0.4121204</v>
      </c>
      <c r="AG42" s="297">
        <f>ExpSummary_FO!AG25</f>
        <v>0.41624160399999999</v>
      </c>
      <c r="AH42" s="297">
        <f>ExpSummary_FO!AH25</f>
        <v>0.42040402003999999</v>
      </c>
      <c r="AI42" s="297">
        <f>ExpSummary_FO!AI25</f>
        <v>0.42460806024039999</v>
      </c>
      <c r="AJ42" s="297">
        <f>ExpSummary_FO!AJ25</f>
        <v>0.42885414084280399</v>
      </c>
      <c r="AK42" s="297">
        <f>ExpSummary_FO!AK25</f>
        <v>0.43314268225123204</v>
      </c>
      <c r="AL42" s="297">
        <f>ExpSummary_FO!AL25</f>
        <v>0.43747410907374434</v>
      </c>
      <c r="AM42" s="175"/>
      <c r="AO42" s="1307"/>
      <c r="AP42" s="1307"/>
      <c r="AQ42" s="1307"/>
      <c r="AR42" s="1307"/>
      <c r="AS42" s="1307"/>
      <c r="AT42" s="1307"/>
      <c r="AU42" s="1307"/>
      <c r="AV42" s="1307"/>
      <c r="AW42" s="1307"/>
      <c r="AX42" s="1307"/>
      <c r="AY42" s="1307"/>
      <c r="AZ42" s="1307"/>
      <c r="BA42" s="1307"/>
      <c r="BB42" s="1307"/>
      <c r="BC42" s="1307"/>
    </row>
    <row r="43" spans="3:55" x14ac:dyDescent="0.3">
      <c r="C43" s="173"/>
      <c r="D43" s="72"/>
      <c r="E43" s="72"/>
      <c r="F43" s="72" t="s">
        <v>66</v>
      </c>
      <c r="G43" s="72"/>
      <c r="H43" s="72"/>
      <c r="I43" s="72"/>
      <c r="J43" s="317"/>
      <c r="K43" s="317"/>
      <c r="L43" s="317"/>
      <c r="M43" s="317"/>
      <c r="N43" s="317"/>
      <c r="O43" s="317"/>
      <c r="P43" s="317"/>
      <c r="Q43" s="317"/>
      <c r="R43" s="317"/>
      <c r="S43" s="317"/>
      <c r="T43" s="317"/>
      <c r="U43" s="317"/>
      <c r="V43" s="317"/>
      <c r="W43" s="1565">
        <f t="shared" ref="W43:AB43" si="6">+SUM(W37:W38)-SUM(W39:W42)</f>
        <v>381.77089091210621</v>
      </c>
      <c r="X43" s="1565">
        <f t="shared" si="6"/>
        <v>391.44541992819109</v>
      </c>
      <c r="Y43" s="1565">
        <f t="shared" si="6"/>
        <v>401.74728460409568</v>
      </c>
      <c r="Z43" s="1565">
        <f t="shared" si="6"/>
        <v>405.58945076821254</v>
      </c>
      <c r="AA43" s="1565">
        <f t="shared" si="6"/>
        <v>409.3710695194622</v>
      </c>
      <c r="AB43" s="1565">
        <f t="shared" si="6"/>
        <v>421.14965328812417</v>
      </c>
      <c r="AC43" s="1565">
        <f t="shared" ref="AC43:AL43" si="7">+SUM(AC37:AC38)-SUM(AC39:AC42)</f>
        <v>400.95561958358235</v>
      </c>
      <c r="AD43" s="1565">
        <f t="shared" si="7"/>
        <v>379.80908181675397</v>
      </c>
      <c r="AE43" s="1565">
        <f t="shared" si="7"/>
        <v>357.73965413296656</v>
      </c>
      <c r="AF43" s="1565">
        <f t="shared" si="7"/>
        <v>334.78105162231714</v>
      </c>
      <c r="AG43" s="1565">
        <f t="shared" si="7"/>
        <v>310.88304908166822</v>
      </c>
      <c r="AH43" s="1565">
        <f t="shared" si="7"/>
        <v>286.01547002838981</v>
      </c>
      <c r="AI43" s="1565">
        <f t="shared" si="7"/>
        <v>258.61682156641507</v>
      </c>
      <c r="AJ43" s="1565">
        <f t="shared" si="7"/>
        <v>228.96198671755076</v>
      </c>
      <c r="AK43" s="1565">
        <f t="shared" si="7"/>
        <v>198.39688394117462</v>
      </c>
      <c r="AL43" s="1565">
        <f t="shared" si="7"/>
        <v>167.56311190446567</v>
      </c>
      <c r="AM43" s="175"/>
      <c r="AO43" s="1307"/>
      <c r="AP43" s="1307"/>
      <c r="AQ43" s="1307"/>
      <c r="AR43" s="1307"/>
      <c r="AS43" s="1307"/>
      <c r="AT43" s="1307"/>
      <c r="AU43" s="1307"/>
      <c r="AV43" s="1307"/>
      <c r="AW43" s="1307"/>
      <c r="AX43" s="1307"/>
      <c r="AY43" s="1307"/>
      <c r="AZ43" s="1307"/>
      <c r="BA43" s="1307"/>
      <c r="BB43" s="1307"/>
      <c r="BC43" s="1307"/>
    </row>
    <row r="44" spans="3:55" x14ac:dyDescent="0.3">
      <c r="C44" s="173"/>
      <c r="D44" s="72"/>
      <c r="E44" s="72"/>
      <c r="F44" s="72"/>
      <c r="G44" s="72"/>
      <c r="H44" s="72"/>
      <c r="I44" s="72"/>
      <c r="J44" s="275"/>
      <c r="K44" s="275"/>
      <c r="L44" s="275"/>
      <c r="M44" s="275"/>
      <c r="N44" s="275"/>
      <c r="O44" s="275"/>
      <c r="P44" s="275"/>
      <c r="Q44" s="275"/>
      <c r="R44" s="275"/>
      <c r="S44" s="275"/>
      <c r="T44" s="275"/>
      <c r="U44" s="275"/>
      <c r="V44" s="275"/>
      <c r="W44" s="462"/>
      <c r="X44" s="462"/>
      <c r="Y44" s="462"/>
      <c r="Z44" s="462"/>
      <c r="AA44" s="462"/>
      <c r="AB44" s="462"/>
      <c r="AC44" s="462"/>
      <c r="AD44" s="462"/>
      <c r="AE44" s="462"/>
      <c r="AF44" s="462"/>
      <c r="AG44" s="462"/>
      <c r="AH44" s="462"/>
      <c r="AI44" s="462"/>
      <c r="AJ44" s="462"/>
      <c r="AK44" s="462"/>
      <c r="AL44" s="462"/>
      <c r="AM44" s="175"/>
      <c r="AO44" s="1307"/>
      <c r="AP44" s="1307"/>
      <c r="AQ44" s="1307"/>
      <c r="AR44" s="1307"/>
      <c r="AS44" s="1307"/>
      <c r="AT44" s="1307"/>
      <c r="AU44" s="1307"/>
      <c r="AV44" s="1307"/>
      <c r="AW44" s="1307"/>
      <c r="AX44" s="1307"/>
      <c r="AY44" s="1307"/>
      <c r="AZ44" s="1307"/>
      <c r="BA44" s="1307"/>
      <c r="BB44" s="1307"/>
      <c r="BC44" s="1307"/>
    </row>
    <row r="45" spans="3:55" x14ac:dyDescent="0.3">
      <c r="C45" s="173"/>
      <c r="D45" s="72"/>
      <c r="E45" s="72"/>
      <c r="F45" s="72" t="s">
        <v>88</v>
      </c>
      <c r="G45" s="72"/>
      <c r="H45" s="72"/>
      <c r="I45" s="72"/>
      <c r="J45" s="275"/>
      <c r="K45" s="275"/>
      <c r="L45" s="275"/>
      <c r="M45" s="275"/>
      <c r="N45" s="275"/>
      <c r="O45" s="275"/>
      <c r="P45" s="275"/>
      <c r="Q45" s="275"/>
      <c r="R45" s="275"/>
      <c r="S45" s="275"/>
      <c r="T45" s="275"/>
      <c r="U45" s="275"/>
      <c r="V45" s="275"/>
      <c r="W45" s="297">
        <f t="shared" ref="W45:AB45" si="8">+AVERAGE(W37,W43)</f>
        <v>378.7008951833692</v>
      </c>
      <c r="X45" s="297">
        <f t="shared" si="8"/>
        <v>386.60815542014865</v>
      </c>
      <c r="Y45" s="297">
        <f t="shared" si="8"/>
        <v>396.59635226614341</v>
      </c>
      <c r="Z45" s="297">
        <f t="shared" si="8"/>
        <v>403.66836768615411</v>
      </c>
      <c r="AA45" s="297">
        <f t="shared" si="8"/>
        <v>407.48026014383737</v>
      </c>
      <c r="AB45" s="297">
        <f t="shared" si="8"/>
        <v>415.26036140379318</v>
      </c>
      <c r="AC45" s="297">
        <f t="shared" ref="AC45:AL45" si="9">+AVERAGE(AC37,AC43)</f>
        <v>411.05263643585329</v>
      </c>
      <c r="AD45" s="297">
        <f t="shared" si="9"/>
        <v>390.38235070016816</v>
      </c>
      <c r="AE45" s="297">
        <f t="shared" si="9"/>
        <v>368.7743679748603</v>
      </c>
      <c r="AF45" s="297">
        <f t="shared" si="9"/>
        <v>346.26035287764182</v>
      </c>
      <c r="AG45" s="297">
        <f t="shared" si="9"/>
        <v>322.83205035199268</v>
      </c>
      <c r="AH45" s="297">
        <f t="shared" si="9"/>
        <v>298.44925955502902</v>
      </c>
      <c r="AI45" s="297">
        <f t="shared" si="9"/>
        <v>272.31614579740244</v>
      </c>
      <c r="AJ45" s="297">
        <f t="shared" si="9"/>
        <v>243.78940414198291</v>
      </c>
      <c r="AK45" s="297">
        <f t="shared" si="9"/>
        <v>213.67943532936269</v>
      </c>
      <c r="AL45" s="297">
        <f t="shared" si="9"/>
        <v>182.97999792282013</v>
      </c>
      <c r="AM45" s="175"/>
      <c r="AO45" s="1307"/>
      <c r="AP45" s="1307"/>
      <c r="AQ45" s="1307"/>
      <c r="AR45" s="1307"/>
      <c r="AS45" s="1307"/>
      <c r="AT45" s="1307"/>
      <c r="AU45" s="1307"/>
      <c r="AV45" s="1307"/>
      <c r="AW45" s="1307"/>
      <c r="AX45" s="1307"/>
      <c r="AY45" s="1307"/>
      <c r="AZ45" s="1307"/>
      <c r="BA45" s="1307"/>
      <c r="BB45" s="1307"/>
      <c r="BC45" s="1307"/>
    </row>
    <row r="46" spans="3:55" x14ac:dyDescent="0.3">
      <c r="C46" s="173"/>
      <c r="D46" s="72"/>
      <c r="E46" s="72"/>
      <c r="F46" s="72"/>
      <c r="G46" s="72"/>
      <c r="H46" s="72"/>
      <c r="I46" s="72"/>
      <c r="J46" s="275"/>
      <c r="K46" s="275"/>
      <c r="L46" s="275"/>
      <c r="M46" s="275"/>
      <c r="N46" s="275"/>
      <c r="O46" s="275"/>
      <c r="P46" s="275"/>
      <c r="Q46" s="275"/>
      <c r="R46" s="275"/>
      <c r="S46" s="275"/>
      <c r="T46" s="275"/>
      <c r="U46" s="275"/>
      <c r="V46" s="275"/>
      <c r="W46" s="462"/>
      <c r="X46" s="462"/>
      <c r="Y46" s="462"/>
      <c r="Z46" s="462"/>
      <c r="AA46" s="462"/>
      <c r="AB46" s="462"/>
      <c r="AC46" s="462"/>
      <c r="AD46" s="462"/>
      <c r="AE46" s="462"/>
      <c r="AF46" s="462"/>
      <c r="AG46" s="462"/>
      <c r="AH46" s="462"/>
      <c r="AI46" s="462"/>
      <c r="AJ46" s="462"/>
      <c r="AK46" s="462"/>
      <c r="AL46" s="462"/>
      <c r="AM46" s="175"/>
      <c r="AO46" s="1307"/>
      <c r="AP46" s="1307"/>
      <c r="AQ46" s="1307"/>
      <c r="AR46" s="1307"/>
      <c r="AS46" s="1307"/>
      <c r="AT46" s="1307"/>
      <c r="AU46" s="1307"/>
      <c r="AV46" s="1307"/>
      <c r="AW46" s="1307"/>
      <c r="AX46" s="1307"/>
      <c r="AY46" s="1307"/>
      <c r="AZ46" s="1307"/>
      <c r="BA46" s="1307"/>
      <c r="BB46" s="1307"/>
      <c r="BC46" s="1307"/>
    </row>
    <row r="47" spans="3:55" x14ac:dyDescent="0.3">
      <c r="C47" s="173"/>
      <c r="D47" s="72"/>
      <c r="E47" s="72"/>
      <c r="F47" s="72" t="s">
        <v>551</v>
      </c>
      <c r="G47" s="72"/>
      <c r="H47" s="72"/>
      <c r="I47" s="72"/>
      <c r="J47" s="671"/>
      <c r="K47" s="671"/>
      <c r="L47" s="671"/>
      <c r="M47" s="671"/>
      <c r="N47" s="671"/>
      <c r="O47" s="671"/>
      <c r="P47" s="671"/>
      <c r="Q47" s="671"/>
      <c r="R47" s="671"/>
      <c r="S47" s="671"/>
      <c r="T47" s="671"/>
      <c r="U47" s="671"/>
      <c r="V47" s="671"/>
      <c r="W47" s="1658">
        <f>+Determination_Lookup!M9</f>
        <v>18.033443326115805</v>
      </c>
      <c r="X47" s="1658">
        <f>+Determination_Lookup!N9</f>
        <v>16.061994442020172</v>
      </c>
      <c r="Y47" s="1658">
        <f>+Determination_Lookup!O9</f>
        <v>16.531708008145479</v>
      </c>
      <c r="Z47" s="1658">
        <f>+Determination_Lookup!P9</f>
        <v>16.94890859450965</v>
      </c>
      <c r="AA47" s="1658">
        <f>+Determination_Lookup!Q9</f>
        <v>17.235365345422377</v>
      </c>
      <c r="AB47" s="1658">
        <f>+Determination_Lookup!R9</f>
        <v>17.382169930478227</v>
      </c>
      <c r="AC47" s="297">
        <f>+AC45*KeyAssumptionsPriceControl_FO!AC42</f>
        <v>10.481842229114259</v>
      </c>
      <c r="AD47" s="297">
        <f>+AD45*KeyAssumptionsPriceControl_FO!AD42</f>
        <v>9.2130234765239685</v>
      </c>
      <c r="AE47" s="297">
        <f>+AE45*KeyAssumptionsPriceControl_FO!AE42</f>
        <v>8.3343007162318425</v>
      </c>
      <c r="AF47" s="297">
        <f>+AF45*KeyAssumptionsPriceControl_FO!AF42</f>
        <v>7.5138496574448279</v>
      </c>
      <c r="AG47" s="297">
        <f>+AG45*KeyAssumptionsPriceControl_FO!AG42</f>
        <v>6.8117562624270453</v>
      </c>
      <c r="AH47" s="297">
        <f>+AH45*KeyAssumptionsPriceControl_FO!AH42</f>
        <v>6.1480547468335978</v>
      </c>
      <c r="AI47" s="297">
        <f>+AI45*KeyAssumptionsPriceControl_FO!AI42</f>
        <v>5.4735545305277888</v>
      </c>
      <c r="AJ47" s="297">
        <f>+AJ45*KeyAssumptionsPriceControl_FO!AJ42</f>
        <v>4.9733038444964519</v>
      </c>
      <c r="AK47" s="297">
        <f>+AK45*KeyAssumptionsPriceControl_FO!AK42</f>
        <v>4.4445322548507438</v>
      </c>
      <c r="AL47" s="297">
        <f>+AL45*KeyAssumptionsPriceControl_FO!AL42</f>
        <v>3.8059839567946585</v>
      </c>
      <c r="AM47" s="175"/>
      <c r="AO47" s="1307"/>
      <c r="AP47" s="1307"/>
      <c r="AQ47" s="1307"/>
      <c r="AR47" s="1307"/>
      <c r="AS47" s="1307"/>
      <c r="AT47" s="1307"/>
      <c r="AU47" s="1307"/>
      <c r="AV47" s="1307"/>
      <c r="AW47" s="1307"/>
      <c r="AX47" s="1307"/>
      <c r="AY47" s="1307"/>
      <c r="AZ47" s="1307"/>
      <c r="BA47" s="1307"/>
      <c r="BB47" s="1307"/>
      <c r="BC47" s="1307"/>
    </row>
    <row r="48" spans="3:55" x14ac:dyDescent="0.3">
      <c r="C48" s="173"/>
      <c r="D48" s="72"/>
      <c r="E48" s="72"/>
      <c r="F48" s="72"/>
      <c r="G48" s="72"/>
      <c r="H48" s="72"/>
      <c r="I48" s="72"/>
      <c r="J48" s="275"/>
      <c r="K48" s="275"/>
      <c r="L48" s="275"/>
      <c r="M48" s="275"/>
      <c r="N48" s="275"/>
      <c r="O48" s="275"/>
      <c r="P48" s="275"/>
      <c r="Q48" s="275"/>
      <c r="R48" s="275"/>
      <c r="S48" s="275"/>
      <c r="T48" s="275"/>
      <c r="U48" s="275"/>
      <c r="V48" s="275"/>
      <c r="W48" s="462"/>
      <c r="X48" s="462"/>
      <c r="Y48" s="462"/>
      <c r="Z48" s="462"/>
      <c r="AA48" s="462"/>
      <c r="AB48" s="462"/>
      <c r="AC48" s="462"/>
      <c r="AD48" s="462"/>
      <c r="AE48" s="462"/>
      <c r="AF48" s="462"/>
      <c r="AG48" s="462"/>
      <c r="AH48" s="462"/>
      <c r="AI48" s="462"/>
      <c r="AJ48" s="462"/>
      <c r="AK48" s="462"/>
      <c r="AL48" s="462"/>
      <c r="AM48" s="175"/>
      <c r="AO48" s="1307"/>
      <c r="AP48" s="1307"/>
      <c r="AQ48" s="1307"/>
      <c r="AR48" s="1307"/>
      <c r="AS48" s="1307"/>
      <c r="AT48" s="1307"/>
      <c r="AU48" s="1307"/>
      <c r="AV48" s="1307"/>
      <c r="AW48" s="1307"/>
      <c r="AX48" s="1307"/>
      <c r="AY48" s="1307"/>
      <c r="AZ48" s="1307"/>
      <c r="BA48" s="1307"/>
      <c r="BB48" s="1307"/>
      <c r="BC48" s="1307"/>
    </row>
    <row r="49" spans="3:55" ht="12.5" thickBot="1" x14ac:dyDescent="0.35">
      <c r="C49" s="173"/>
      <c r="D49" s="72"/>
      <c r="E49" s="666" t="s">
        <v>216</v>
      </c>
      <c r="G49" s="72"/>
      <c r="H49" s="72"/>
      <c r="I49" s="72"/>
      <c r="J49" s="1258"/>
      <c r="K49" s="1258"/>
      <c r="L49" s="1258"/>
      <c r="M49" s="1258"/>
      <c r="N49" s="1258"/>
      <c r="O49" s="1258"/>
      <c r="P49" s="1258"/>
      <c r="Q49" s="1258"/>
      <c r="R49" s="1258"/>
      <c r="S49" s="1258"/>
      <c r="T49" s="1258"/>
      <c r="U49" s="1258"/>
      <c r="V49" s="1258"/>
      <c r="W49" s="1566">
        <f t="shared" ref="W49:AB49" si="10">+W47+W41</f>
        <v>34.869333316605605</v>
      </c>
      <c r="X49" s="1566">
        <f t="shared" si="10"/>
        <v>34.221664455606728</v>
      </c>
      <c r="Y49" s="1566">
        <f t="shared" si="10"/>
        <v>35.565966257026155</v>
      </c>
      <c r="Z49" s="1566">
        <f t="shared" si="10"/>
        <v>36.447652420624351</v>
      </c>
      <c r="AA49" s="1566">
        <f t="shared" si="10"/>
        <v>37.432516973725193</v>
      </c>
      <c r="AB49" s="1566">
        <f t="shared" si="10"/>
        <v>37.893276309912267</v>
      </c>
      <c r="AC49" s="1566">
        <f t="shared" ref="AC49:AL49" si="11">+AC47+AC41</f>
        <v>30.275875933656096</v>
      </c>
      <c r="AD49" s="1566">
        <f t="shared" si="11"/>
        <v>29.955561243352339</v>
      </c>
      <c r="AE49" s="1566">
        <f t="shared" si="11"/>
        <v>29.995688400019276</v>
      </c>
      <c r="AF49" s="1566">
        <f t="shared" si="11"/>
        <v>30.060331768094258</v>
      </c>
      <c r="AG49" s="1566">
        <f t="shared" si="11"/>
        <v>30.293517199075954</v>
      </c>
      <c r="AH49" s="1566">
        <f t="shared" si="11"/>
        <v>30.59522978007201</v>
      </c>
      <c r="AI49" s="1566">
        <f t="shared" si="11"/>
        <v>32.447594932262113</v>
      </c>
      <c r="AJ49" s="1566">
        <f t="shared" si="11"/>
        <v>34.199284552517966</v>
      </c>
      <c r="AK49" s="1566">
        <f t="shared" si="11"/>
        <v>34.576492348975634</v>
      </c>
      <c r="AL49" s="1566">
        <f t="shared" si="11"/>
        <v>34.202281884429873</v>
      </c>
      <c r="AM49" s="175"/>
      <c r="AO49" s="1307"/>
      <c r="AP49" s="1307"/>
      <c r="AQ49" s="1307"/>
      <c r="AR49" s="1307"/>
      <c r="AS49" s="1307"/>
      <c r="AT49" s="1307"/>
      <c r="AU49" s="1307"/>
      <c r="AV49" s="1307"/>
      <c r="AW49" s="1307"/>
      <c r="AX49" s="1307"/>
      <c r="AY49" s="1307"/>
      <c r="AZ49" s="1307"/>
      <c r="BA49" s="1307"/>
      <c r="BB49" s="1307"/>
      <c r="BC49" s="1307"/>
    </row>
    <row r="50" spans="3:55" x14ac:dyDescent="0.3">
      <c r="C50" s="173"/>
      <c r="D50" s="72"/>
      <c r="E50" s="72"/>
      <c r="F50" s="72"/>
      <c r="G50" s="72"/>
      <c r="H50" s="72"/>
      <c r="I50" s="72"/>
      <c r="J50" s="118"/>
      <c r="K50" s="275"/>
      <c r="L50" s="275"/>
      <c r="M50" s="275"/>
      <c r="N50" s="275"/>
      <c r="O50" s="275"/>
      <c r="P50" s="275"/>
      <c r="Q50" s="275"/>
      <c r="R50" s="275"/>
      <c r="S50" s="462"/>
      <c r="T50" s="462"/>
      <c r="U50" s="462"/>
      <c r="V50" s="462"/>
      <c r="W50" s="462"/>
      <c r="X50" s="462"/>
      <c r="Y50" s="462"/>
      <c r="Z50" s="462"/>
      <c r="AA50" s="462"/>
      <c r="AB50" s="462"/>
      <c r="AC50" s="462"/>
      <c r="AD50" s="462"/>
      <c r="AE50" s="462"/>
      <c r="AF50" s="462"/>
      <c r="AG50" s="462"/>
      <c r="AH50" s="462"/>
      <c r="AI50" s="462"/>
      <c r="AJ50" s="462"/>
      <c r="AK50" s="462"/>
      <c r="AL50" s="462"/>
      <c r="AM50" s="175"/>
      <c r="AO50" s="1307"/>
      <c r="AP50" s="1307"/>
      <c r="AQ50" s="1307"/>
      <c r="AR50" s="1307"/>
      <c r="AS50" s="1307"/>
      <c r="AT50" s="1307"/>
      <c r="AU50" s="1307"/>
      <c r="AV50" s="1307"/>
      <c r="AW50" s="1307"/>
      <c r="AX50" s="1307"/>
      <c r="AY50" s="1307"/>
      <c r="AZ50" s="1307"/>
      <c r="BA50" s="1307"/>
      <c r="BB50" s="1307"/>
      <c r="BC50" s="1307"/>
    </row>
    <row r="51" spans="3:55" x14ac:dyDescent="0.3">
      <c r="C51" s="173"/>
      <c r="D51" s="72"/>
      <c r="E51" s="72"/>
      <c r="F51" s="72"/>
      <c r="G51" s="72"/>
      <c r="H51" s="72"/>
      <c r="I51" s="72"/>
      <c r="J51" s="118"/>
      <c r="K51" s="275"/>
      <c r="L51" s="275"/>
      <c r="M51" s="275"/>
      <c r="N51" s="275"/>
      <c r="O51" s="275"/>
      <c r="P51" s="275"/>
      <c r="Q51" s="275"/>
      <c r="R51" s="462"/>
      <c r="S51" s="462"/>
      <c r="T51" s="462"/>
      <c r="U51" s="462"/>
      <c r="V51" s="462"/>
      <c r="W51" s="462"/>
      <c r="X51" s="462"/>
      <c r="Y51" s="462"/>
      <c r="Z51" s="462"/>
      <c r="AA51" s="462"/>
      <c r="AB51" s="462"/>
      <c r="AC51" s="462"/>
      <c r="AD51" s="462"/>
      <c r="AE51" s="462"/>
      <c r="AF51" s="462"/>
      <c r="AG51" s="462"/>
      <c r="AH51" s="462"/>
      <c r="AI51" s="462"/>
      <c r="AJ51" s="462"/>
      <c r="AK51" s="462"/>
      <c r="AL51" s="462"/>
      <c r="AM51" s="175"/>
      <c r="AO51" s="1307"/>
      <c r="AP51" s="1307"/>
      <c r="AQ51" s="1307"/>
      <c r="AR51" s="1307"/>
      <c r="AS51" s="1307"/>
      <c r="AT51" s="1307"/>
      <c r="AU51" s="1307"/>
      <c r="AV51" s="1307"/>
      <c r="AW51" s="1307"/>
      <c r="AX51" s="1307"/>
      <c r="AY51" s="1307"/>
      <c r="AZ51" s="1307"/>
      <c r="BA51" s="1307"/>
      <c r="BB51" s="1307"/>
      <c r="BC51" s="1307"/>
    </row>
    <row r="52" spans="3:55" x14ac:dyDescent="0.3">
      <c r="C52" s="173"/>
      <c r="D52" s="72"/>
      <c r="E52" s="666" t="s">
        <v>217</v>
      </c>
      <c r="F52" s="72"/>
      <c r="G52" s="72"/>
      <c r="H52" s="72"/>
      <c r="I52" s="72"/>
      <c r="J52" s="118"/>
      <c r="K52" s="275"/>
      <c r="L52" s="275"/>
      <c r="M52" s="275"/>
      <c r="N52" s="275"/>
      <c r="O52" s="275"/>
      <c r="P52" s="275"/>
      <c r="Q52" s="275"/>
      <c r="R52" s="462"/>
      <c r="S52" s="462"/>
      <c r="T52" s="462"/>
      <c r="U52" s="462"/>
      <c r="V52" s="462"/>
      <c r="W52" s="462"/>
      <c r="X52" s="462"/>
      <c r="Y52" s="462"/>
      <c r="Z52" s="462"/>
      <c r="AA52" s="462"/>
      <c r="AB52" s="462"/>
      <c r="AC52" s="462"/>
      <c r="AD52" s="462"/>
      <c r="AE52" s="462"/>
      <c r="AF52" s="462"/>
      <c r="AG52" s="462"/>
      <c r="AH52" s="462"/>
      <c r="AI52" s="462"/>
      <c r="AJ52" s="462"/>
      <c r="AK52" s="462"/>
      <c r="AL52" s="462"/>
      <c r="AM52" s="175"/>
      <c r="AO52" s="1307"/>
      <c r="AP52" s="1307"/>
      <c r="AQ52" s="1307"/>
      <c r="AR52" s="1307"/>
      <c r="AS52" s="1307"/>
      <c r="AT52" s="1307"/>
      <c r="AU52" s="1307"/>
      <c r="AV52" s="1307"/>
      <c r="AW52" s="1307"/>
      <c r="AX52" s="1307"/>
      <c r="AY52" s="1307"/>
      <c r="AZ52" s="1307"/>
      <c r="BA52" s="1307"/>
      <c r="BB52" s="1307"/>
      <c r="BC52" s="1307"/>
    </row>
    <row r="53" spans="3:55" x14ac:dyDescent="0.3">
      <c r="C53" s="173"/>
      <c r="D53" s="72"/>
      <c r="E53" s="72"/>
      <c r="F53" s="72"/>
      <c r="G53" s="72"/>
      <c r="H53" s="72"/>
      <c r="I53" s="72"/>
      <c r="J53" s="118"/>
      <c r="K53" s="275"/>
      <c r="L53" s="275"/>
      <c r="M53" s="275"/>
      <c r="N53" s="275"/>
      <c r="O53" s="275"/>
      <c r="P53" s="275"/>
      <c r="Q53" s="275"/>
      <c r="R53" s="462"/>
      <c r="S53" s="462"/>
      <c r="T53" s="462"/>
      <c r="U53" s="462"/>
      <c r="V53" s="462"/>
      <c r="W53" s="462"/>
      <c r="X53" s="462"/>
      <c r="Y53" s="462"/>
      <c r="Z53" s="462"/>
      <c r="AA53" s="462"/>
      <c r="AB53" s="462"/>
      <c r="AC53" s="462"/>
      <c r="AD53" s="462"/>
      <c r="AE53" s="462"/>
      <c r="AF53" s="462"/>
      <c r="AG53" s="462"/>
      <c r="AH53" s="462"/>
      <c r="AI53" s="462"/>
      <c r="AJ53" s="462"/>
      <c r="AK53" s="462"/>
      <c r="AL53" s="462"/>
      <c r="AM53" s="175"/>
      <c r="AO53" s="1307"/>
      <c r="AP53" s="1307"/>
      <c r="AQ53" s="1307"/>
      <c r="AR53" s="1307"/>
      <c r="AS53" s="1307"/>
      <c r="AT53" s="1307"/>
      <c r="AU53" s="1307"/>
      <c r="AV53" s="1307"/>
      <c r="AW53" s="1307"/>
      <c r="AX53" s="1307"/>
      <c r="AY53" s="1307"/>
      <c r="AZ53" s="1307"/>
      <c r="BA53" s="1307"/>
      <c r="BB53" s="1307"/>
      <c r="BC53" s="1307"/>
    </row>
    <row r="54" spans="3:55" x14ac:dyDescent="0.3">
      <c r="C54" s="173"/>
      <c r="D54" s="72"/>
      <c r="E54" s="72"/>
      <c r="F54" s="72" t="s">
        <v>86</v>
      </c>
      <c r="G54" s="72"/>
      <c r="H54" s="72"/>
      <c r="I54" s="72"/>
      <c r="J54" s="462"/>
      <c r="K54" s="462"/>
      <c r="L54" s="462"/>
      <c r="M54" s="462"/>
      <c r="N54" s="462"/>
      <c r="O54" s="462"/>
      <c r="P54" s="462"/>
      <c r="Q54" s="462"/>
      <c r="R54" s="462"/>
      <c r="S54" s="275"/>
      <c r="T54" s="275"/>
      <c r="U54" s="275"/>
      <c r="V54" s="275"/>
      <c r="W54" s="275"/>
      <c r="X54" s="462"/>
      <c r="Y54" s="462"/>
      <c r="Z54" s="462"/>
      <c r="AA54" s="462"/>
      <c r="AB54" s="462"/>
      <c r="AC54" s="297">
        <f t="shared" ref="AC54:AG54" si="12">+AB60</f>
        <v>0</v>
      </c>
      <c r="AD54" s="297">
        <f t="shared" si="12"/>
        <v>40.374971200000005</v>
      </c>
      <c r="AE54" s="297">
        <f t="shared" si="12"/>
        <v>81.071507200000013</v>
      </c>
      <c r="AF54" s="297">
        <f t="shared" si="12"/>
        <v>121.97273120000003</v>
      </c>
      <c r="AG54" s="297">
        <f t="shared" si="12"/>
        <v>164.83088320000005</v>
      </c>
      <c r="AH54" s="297">
        <f>+AG60</f>
        <v>209.26961120000004</v>
      </c>
      <c r="AI54" s="297">
        <f>+AH60</f>
        <v>287.9002832000001</v>
      </c>
      <c r="AJ54" s="297">
        <f>+AI60</f>
        <v>363.21255520000011</v>
      </c>
      <c r="AK54" s="297">
        <f>+AJ60</f>
        <v>412.14354720000011</v>
      </c>
      <c r="AL54" s="297">
        <f>+AK60</f>
        <v>448.33285920000014</v>
      </c>
      <c r="AM54" s="175"/>
      <c r="AO54" s="1307"/>
      <c r="AP54" s="1307"/>
      <c r="AQ54" s="1307"/>
      <c r="AR54" s="1307"/>
      <c r="AS54" s="1307"/>
      <c r="AT54" s="1307"/>
      <c r="AU54" s="1307"/>
      <c r="AV54" s="1307"/>
      <c r="AW54" s="1307"/>
      <c r="AX54" s="1307"/>
      <c r="AY54" s="1307"/>
      <c r="AZ54" s="1307"/>
      <c r="BA54" s="1307"/>
      <c r="BB54" s="1307"/>
      <c r="BC54" s="1307"/>
    </row>
    <row r="55" spans="3:55" x14ac:dyDescent="0.3">
      <c r="C55" s="173"/>
      <c r="D55" s="72"/>
      <c r="E55" s="72"/>
      <c r="F55" s="72" t="s">
        <v>90</v>
      </c>
      <c r="G55" s="72"/>
      <c r="H55" s="72"/>
      <c r="I55" s="72"/>
      <c r="J55" s="462"/>
      <c r="K55" s="462"/>
      <c r="L55" s="462"/>
      <c r="M55" s="462"/>
      <c r="N55" s="462"/>
      <c r="O55" s="462"/>
      <c r="P55" s="462"/>
      <c r="Q55" s="462"/>
      <c r="R55" s="462"/>
      <c r="S55" s="275"/>
      <c r="T55" s="275"/>
      <c r="U55" s="275"/>
      <c r="V55" s="275"/>
      <c r="W55" s="275"/>
      <c r="X55" s="462"/>
      <c r="Y55" s="462"/>
      <c r="Z55" s="462"/>
      <c r="AA55" s="462"/>
      <c r="AB55" s="297"/>
      <c r="AC55" s="297">
        <f>+ExpSummary_FO!AC19</f>
        <v>45.988700000000001</v>
      </c>
      <c r="AD55" s="297">
        <f>+ExpSummary_FO!AD19</f>
        <v>47.9985</v>
      </c>
      <c r="AE55" s="297">
        <f>+ExpSummary_FO!AE19</f>
        <v>50.011500000000005</v>
      </c>
      <c r="AF55" s="297">
        <f>+ExpSummary_FO!AF19</f>
        <v>54.014500000000012</v>
      </c>
      <c r="AG55" s="297">
        <f>+ExpSummary_FO!AG19</f>
        <v>57.990499999999997</v>
      </c>
      <c r="AH55" s="297">
        <f>+ExpSummary_FO!AH19</f>
        <v>98.597000000000008</v>
      </c>
      <c r="AI55" s="297">
        <f>+ExpSummary_FO!AI19</f>
        <v>95.197000000000003</v>
      </c>
      <c r="AJ55" s="297">
        <f>+ExpSummary_FO!AJ19</f>
        <v>68.167000000000002</v>
      </c>
      <c r="AK55" s="297">
        <f>+ExpSummary_FO!AK19</f>
        <v>55.112000000000002</v>
      </c>
      <c r="AL55" s="297">
        <f>+ExpSummary_FO!AL19</f>
        <v>66.921999999999997</v>
      </c>
      <c r="AM55" s="175"/>
      <c r="AO55" s="1307"/>
      <c r="AP55" s="1307"/>
      <c r="AQ55" s="1307"/>
      <c r="AR55" s="1307"/>
      <c r="AS55" s="1307"/>
      <c r="AT55" s="1307"/>
      <c r="AU55" s="1307"/>
      <c r="AV55" s="1307"/>
      <c r="AW55" s="1307"/>
      <c r="AX55" s="1307"/>
      <c r="AY55" s="1307"/>
      <c r="AZ55" s="1307"/>
      <c r="BA55" s="1307"/>
      <c r="BB55" s="1307"/>
      <c r="BC55" s="1307"/>
    </row>
    <row r="56" spans="3:55" x14ac:dyDescent="0.3">
      <c r="C56" s="173"/>
      <c r="D56" s="72"/>
      <c r="E56" s="72"/>
      <c r="F56" s="72" t="s">
        <v>91</v>
      </c>
      <c r="G56" s="72"/>
      <c r="H56" s="72"/>
      <c r="I56" s="72"/>
      <c r="J56" s="462"/>
      <c r="K56" s="462"/>
      <c r="L56" s="462"/>
      <c r="M56" s="462"/>
      <c r="N56" s="462"/>
      <c r="O56" s="462"/>
      <c r="P56" s="462"/>
      <c r="Q56" s="462"/>
      <c r="R56" s="462"/>
      <c r="S56" s="275"/>
      <c r="T56" s="275"/>
      <c r="U56" s="275"/>
      <c r="V56" s="275"/>
      <c r="W56" s="275"/>
      <c r="X56" s="462"/>
      <c r="Y56" s="462"/>
      <c r="Z56" s="462"/>
      <c r="AA56" s="462"/>
      <c r="AB56" s="462"/>
      <c r="AC56" s="297">
        <f>+ExpSummary_FO!AC21</f>
        <v>4.51</v>
      </c>
      <c r="AD56" s="297">
        <f>+ExpSummary_FO!AD21</f>
        <v>6.15</v>
      </c>
      <c r="AE56" s="297">
        <f>+ExpSummary_FO!AE21</f>
        <v>7.91</v>
      </c>
      <c r="AF56" s="297">
        <f>+ExpSummary_FO!AF21</f>
        <v>9.86</v>
      </c>
      <c r="AG56" s="297">
        <f>+ExpSummary_FO!AG21</f>
        <v>12.16</v>
      </c>
      <c r="AH56" s="297">
        <f>+ExpSummary_FO!AH21</f>
        <v>17.600000000000001</v>
      </c>
      <c r="AI56" s="297">
        <f>+ExpSummary_FO!AI21</f>
        <v>17.600000000000001</v>
      </c>
      <c r="AJ56" s="297">
        <f>+ExpSummary_FO!AJ21</f>
        <v>17.600000000000001</v>
      </c>
      <c r="AK56" s="297">
        <f>+ExpSummary_FO!AK21</f>
        <v>17.600000000000001</v>
      </c>
      <c r="AL56" s="297">
        <f>+ExpSummary_FO!AL21</f>
        <v>17.600000000000001</v>
      </c>
      <c r="AM56" s="175"/>
      <c r="AO56" s="1307"/>
      <c r="AP56" s="1307"/>
      <c r="AQ56" s="1307"/>
      <c r="AR56" s="1307"/>
      <c r="AS56" s="1307"/>
      <c r="AT56" s="1307"/>
      <c r="AU56" s="1307"/>
      <c r="AV56" s="1307"/>
      <c r="AW56" s="1307"/>
      <c r="AX56" s="1307"/>
      <c r="AY56" s="1307"/>
      <c r="AZ56" s="1307"/>
      <c r="BA56" s="1307"/>
      <c r="BB56" s="1307"/>
      <c r="BC56" s="1307"/>
    </row>
    <row r="57" spans="3:55" x14ac:dyDescent="0.3">
      <c r="C57" s="173"/>
      <c r="D57" s="72"/>
      <c r="E57" s="72"/>
      <c r="F57" s="72" t="s">
        <v>92</v>
      </c>
      <c r="G57" s="72"/>
      <c r="H57" s="72"/>
      <c r="I57" s="72"/>
      <c r="J57" s="462"/>
      <c r="K57" s="462"/>
      <c r="L57" s="462"/>
      <c r="M57" s="462"/>
      <c r="N57" s="462"/>
      <c r="O57" s="462"/>
      <c r="P57" s="462"/>
      <c r="Q57" s="462"/>
      <c r="R57" s="462"/>
      <c r="S57" s="275"/>
      <c r="T57" s="275"/>
      <c r="U57" s="275"/>
      <c r="V57" s="275"/>
      <c r="W57" s="275"/>
      <c r="X57" s="462"/>
      <c r="Y57" s="462"/>
      <c r="Z57" s="462"/>
      <c r="AA57" s="462"/>
      <c r="AB57" s="462"/>
      <c r="AC57" s="297">
        <f>+ExpSummary_FO!AC20</f>
        <v>0</v>
      </c>
      <c r="AD57" s="297">
        <f>+ExpSummary_FO!AD20</f>
        <v>0</v>
      </c>
      <c r="AE57" s="297">
        <f>+ExpSummary_FO!AE20</f>
        <v>0</v>
      </c>
      <c r="AF57" s="297">
        <f>+ExpSummary_FO!AF20</f>
        <v>0</v>
      </c>
      <c r="AG57" s="297">
        <f>+ExpSummary_FO!AG20</f>
        <v>0</v>
      </c>
      <c r="AH57" s="297">
        <f>+ExpSummary_FO!AH20</f>
        <v>0</v>
      </c>
      <c r="AI57" s="297">
        <f>+ExpSummary_FO!AI20</f>
        <v>0</v>
      </c>
      <c r="AJ57" s="297">
        <f>+ExpSummary_FO!AJ20</f>
        <v>0</v>
      </c>
      <c r="AK57" s="297">
        <f>+ExpSummary_FO!AK20</f>
        <v>0</v>
      </c>
      <c r="AL57" s="297">
        <f>+ExpSummary_FO!AL20</f>
        <v>0</v>
      </c>
      <c r="AM57" s="175"/>
      <c r="AO57" s="1307"/>
      <c r="AP57" s="1307"/>
      <c r="AQ57" s="1307"/>
      <c r="AR57" s="1307"/>
      <c r="AS57" s="1307"/>
      <c r="AT57" s="1307"/>
      <c r="AU57" s="1307"/>
      <c r="AV57" s="1307"/>
      <c r="AW57" s="1307"/>
      <c r="AX57" s="1307"/>
      <c r="AY57" s="1307"/>
      <c r="AZ57" s="1307"/>
      <c r="BA57" s="1307"/>
      <c r="BB57" s="1307"/>
      <c r="BC57" s="1307"/>
    </row>
    <row r="58" spans="3:55" x14ac:dyDescent="0.3">
      <c r="C58" s="188"/>
      <c r="D58" s="84"/>
      <c r="E58" s="84"/>
      <c r="F58" s="84" t="s">
        <v>87</v>
      </c>
      <c r="G58" s="84"/>
      <c r="H58" s="84"/>
      <c r="I58" s="84"/>
      <c r="J58" s="462"/>
      <c r="K58" s="462"/>
      <c r="L58" s="462"/>
      <c r="M58" s="462"/>
      <c r="N58" s="462"/>
      <c r="O58" s="462"/>
      <c r="P58" s="462"/>
      <c r="Q58" s="462"/>
      <c r="R58" s="462"/>
      <c r="S58" s="275"/>
      <c r="T58" s="275"/>
      <c r="U58" s="275"/>
      <c r="V58" s="275"/>
      <c r="W58" s="275"/>
      <c r="X58" s="297"/>
      <c r="Y58" s="297"/>
      <c r="Z58" s="297"/>
      <c r="AA58" s="297"/>
      <c r="AB58" s="297"/>
      <c r="AC58" s="297">
        <f>+RollForward_FO!AC16</f>
        <v>1.1037288000000001</v>
      </c>
      <c r="AD58" s="297">
        <f>+RollForward_FO!AD16</f>
        <v>1.151964</v>
      </c>
      <c r="AE58" s="297">
        <f>+RollForward_FO!AE16</f>
        <v>1.2002760000000001</v>
      </c>
      <c r="AF58" s="297">
        <f>+RollForward_FO!AF16</f>
        <v>1.2963480000000003</v>
      </c>
      <c r="AG58" s="297">
        <f>+RollForward_FO!AG16</f>
        <v>1.391772</v>
      </c>
      <c r="AH58" s="297">
        <f>+RollForward_FO!AH16</f>
        <v>2.3663280000000002</v>
      </c>
      <c r="AI58" s="297">
        <f>+RollForward_FO!AI16</f>
        <v>2.2847280000000003</v>
      </c>
      <c r="AJ58" s="297">
        <f>+RollForward_FO!AJ16</f>
        <v>1.6360080000000001</v>
      </c>
      <c r="AK58" s="297">
        <f>+RollForward_FO!AK16</f>
        <v>1.3226880000000001</v>
      </c>
      <c r="AL58" s="297">
        <f>+RollForward_FO!AL16</f>
        <v>1.606128</v>
      </c>
      <c r="AM58" s="175"/>
      <c r="AO58" s="1307"/>
      <c r="AP58" s="1307"/>
      <c r="AQ58" s="1307"/>
      <c r="AR58" s="1307"/>
      <c r="AS58" s="1307"/>
      <c r="AT58" s="1307"/>
      <c r="AU58" s="1307"/>
      <c r="AV58" s="1307"/>
      <c r="AW58" s="1307"/>
      <c r="AX58" s="1307"/>
      <c r="AY58" s="1307"/>
      <c r="AZ58" s="1307"/>
      <c r="BA58" s="1307"/>
      <c r="BB58" s="1307"/>
      <c r="BC58" s="1307"/>
    </row>
    <row r="59" spans="3:55" x14ac:dyDescent="0.3">
      <c r="C59" s="173"/>
      <c r="D59" s="72"/>
      <c r="E59" s="72"/>
      <c r="F59" s="72" t="s">
        <v>269</v>
      </c>
      <c r="G59" s="102"/>
      <c r="H59" s="102"/>
      <c r="I59" s="102"/>
      <c r="J59" s="297"/>
      <c r="K59" s="297"/>
      <c r="L59" s="297"/>
      <c r="M59" s="297"/>
      <c r="N59" s="297"/>
      <c r="O59" s="297"/>
      <c r="P59" s="297"/>
      <c r="Q59" s="297"/>
      <c r="R59" s="297"/>
      <c r="S59" s="275"/>
      <c r="T59" s="275"/>
      <c r="U59" s="275"/>
      <c r="V59" s="275"/>
      <c r="W59" s="275"/>
      <c r="X59" s="297"/>
      <c r="Y59" s="297"/>
      <c r="Z59" s="297"/>
      <c r="AA59" s="297"/>
      <c r="AB59" s="297"/>
      <c r="AC59" s="297">
        <v>0</v>
      </c>
      <c r="AD59" s="297">
        <v>0</v>
      </c>
      <c r="AE59" s="297">
        <v>0</v>
      </c>
      <c r="AF59" s="297">
        <v>0</v>
      </c>
      <c r="AG59" s="297">
        <v>0</v>
      </c>
      <c r="AH59" s="297">
        <v>0</v>
      </c>
      <c r="AI59" s="297">
        <v>0</v>
      </c>
      <c r="AJ59" s="297">
        <v>0</v>
      </c>
      <c r="AK59" s="297">
        <v>0</v>
      </c>
      <c r="AL59" s="297">
        <v>0</v>
      </c>
      <c r="AM59" s="175"/>
      <c r="AO59" s="1307"/>
      <c r="AP59" s="1307"/>
      <c r="AQ59" s="1307"/>
      <c r="AR59" s="1307"/>
      <c r="AS59" s="1307"/>
      <c r="AT59" s="1307"/>
      <c r="AU59" s="1307"/>
      <c r="AV59" s="1307"/>
      <c r="AW59" s="1307"/>
      <c r="AX59" s="1307"/>
      <c r="AY59" s="1307"/>
      <c r="AZ59" s="1307"/>
      <c r="BA59" s="1307"/>
      <c r="BB59" s="1307"/>
      <c r="BC59" s="1307"/>
    </row>
    <row r="60" spans="3:55" x14ac:dyDescent="0.3">
      <c r="C60" s="173"/>
      <c r="D60" s="72"/>
      <c r="E60" s="72"/>
      <c r="F60" s="72" t="s">
        <v>66</v>
      </c>
      <c r="G60" s="72"/>
      <c r="H60" s="72"/>
      <c r="I60" s="72"/>
      <c r="J60" s="512"/>
      <c r="K60" s="512"/>
      <c r="L60" s="512"/>
      <c r="M60" s="512"/>
      <c r="N60" s="512"/>
      <c r="O60" s="512"/>
      <c r="P60" s="512"/>
      <c r="Q60" s="512"/>
      <c r="R60" s="512"/>
      <c r="S60" s="317"/>
      <c r="T60" s="317"/>
      <c r="U60" s="317"/>
      <c r="V60" s="317"/>
      <c r="W60" s="317"/>
      <c r="X60" s="512"/>
      <c r="Y60" s="512"/>
      <c r="Z60" s="512"/>
      <c r="AA60" s="512"/>
      <c r="AB60" s="512"/>
      <c r="AC60" s="1565">
        <f t="shared" ref="AC60:AG60" si="13">+SUM(AC54:AC55)-SUM(AC56:AC59)</f>
        <v>40.374971200000005</v>
      </c>
      <c r="AD60" s="1565">
        <f t="shared" si="13"/>
        <v>81.071507200000013</v>
      </c>
      <c r="AE60" s="1565">
        <f t="shared" si="13"/>
        <v>121.97273120000003</v>
      </c>
      <c r="AF60" s="1565">
        <f t="shared" si="13"/>
        <v>164.83088320000005</v>
      </c>
      <c r="AG60" s="1565">
        <f t="shared" si="13"/>
        <v>209.26961120000004</v>
      </c>
      <c r="AH60" s="1565">
        <f>+SUM(AH54:AH55)-SUM(AH56:AH59)</f>
        <v>287.9002832000001</v>
      </c>
      <c r="AI60" s="1565">
        <f>+SUM(AI54:AI55)-SUM(AI56:AI59)</f>
        <v>363.21255520000011</v>
      </c>
      <c r="AJ60" s="1565">
        <f>+SUM(AJ54:AJ55)-SUM(AJ56:AJ59)</f>
        <v>412.14354720000011</v>
      </c>
      <c r="AK60" s="1565">
        <f>+SUM(AK54:AK55)-SUM(AK56:AK59)</f>
        <v>448.33285920000014</v>
      </c>
      <c r="AL60" s="1565">
        <f>+SUM(AL54:AL55)-SUM(AL56:AL59)</f>
        <v>496.04873120000019</v>
      </c>
      <c r="AM60" s="175"/>
      <c r="AO60" s="1307"/>
      <c r="AP60" s="1307"/>
      <c r="AQ60" s="1307"/>
      <c r="AR60" s="1307"/>
      <c r="AS60" s="1307"/>
      <c r="AT60" s="1307"/>
      <c r="AU60" s="1307"/>
      <c r="AV60" s="1307"/>
      <c r="AW60" s="1307"/>
      <c r="AX60" s="1307"/>
      <c r="AY60" s="1307"/>
      <c r="AZ60" s="1307"/>
      <c r="BA60" s="1307"/>
      <c r="BB60" s="1307"/>
      <c r="BC60" s="1307"/>
    </row>
    <row r="61" spans="3:55" x14ac:dyDescent="0.3">
      <c r="C61" s="173"/>
      <c r="D61" s="72"/>
      <c r="E61" s="72"/>
      <c r="F61" s="72"/>
      <c r="G61" s="72"/>
      <c r="H61" s="72"/>
      <c r="I61" s="72"/>
      <c r="J61" s="462"/>
      <c r="K61" s="462"/>
      <c r="L61" s="462"/>
      <c r="M61" s="462"/>
      <c r="N61" s="462"/>
      <c r="O61" s="462"/>
      <c r="P61" s="462"/>
      <c r="Q61" s="462"/>
      <c r="R61" s="462"/>
      <c r="S61" s="275"/>
      <c r="T61" s="275"/>
      <c r="U61" s="275"/>
      <c r="V61" s="275"/>
      <c r="W61" s="275"/>
      <c r="X61" s="462"/>
      <c r="Y61" s="462"/>
      <c r="Z61" s="462"/>
      <c r="AA61" s="462"/>
      <c r="AB61" s="462"/>
      <c r="AC61" s="462"/>
      <c r="AD61" s="462"/>
      <c r="AE61" s="462"/>
      <c r="AF61" s="462"/>
      <c r="AG61" s="462"/>
      <c r="AH61" s="462"/>
      <c r="AI61" s="462"/>
      <c r="AJ61" s="462"/>
      <c r="AK61" s="462"/>
      <c r="AL61" s="462"/>
      <c r="AM61" s="175"/>
      <c r="AO61" s="1307"/>
      <c r="AP61" s="1307"/>
      <c r="AQ61" s="1307"/>
      <c r="AR61" s="1307"/>
      <c r="AS61" s="1307"/>
      <c r="AT61" s="1307"/>
      <c r="AU61" s="1307"/>
      <c r="AV61" s="1307"/>
      <c r="AW61" s="1307"/>
      <c r="AX61" s="1307"/>
      <c r="AY61" s="1307"/>
      <c r="AZ61" s="1307"/>
      <c r="BA61" s="1307"/>
      <c r="BB61" s="1307"/>
      <c r="BC61" s="1307"/>
    </row>
    <row r="62" spans="3:55" x14ac:dyDescent="0.3">
      <c r="C62" s="173"/>
      <c r="D62" s="72"/>
      <c r="E62" s="72"/>
      <c r="F62" s="72" t="s">
        <v>88</v>
      </c>
      <c r="G62" s="72"/>
      <c r="H62" s="72"/>
      <c r="I62" s="72"/>
      <c r="J62" s="462"/>
      <c r="K62" s="462"/>
      <c r="L62" s="462"/>
      <c r="M62" s="462"/>
      <c r="N62" s="462"/>
      <c r="O62" s="462"/>
      <c r="P62" s="462"/>
      <c r="Q62" s="462"/>
      <c r="R62" s="462"/>
      <c r="S62" s="275"/>
      <c r="T62" s="275"/>
      <c r="U62" s="275"/>
      <c r="V62" s="275"/>
      <c r="W62" s="275"/>
      <c r="X62" s="462"/>
      <c r="Y62" s="462"/>
      <c r="Z62" s="462"/>
      <c r="AA62" s="462"/>
      <c r="AB62" s="462"/>
      <c r="AC62" s="297">
        <f t="shared" ref="AC62:AG62" si="14">+AVERAGE(AC54,AC60)</f>
        <v>20.187485600000002</v>
      </c>
      <c r="AD62" s="297">
        <f t="shared" si="14"/>
        <v>60.723239200000009</v>
      </c>
      <c r="AE62" s="297">
        <f t="shared" si="14"/>
        <v>101.52211920000002</v>
      </c>
      <c r="AF62" s="297">
        <f t="shared" si="14"/>
        <v>143.40180720000004</v>
      </c>
      <c r="AG62" s="297">
        <f t="shared" si="14"/>
        <v>187.05024720000006</v>
      </c>
      <c r="AH62" s="297">
        <f>+AVERAGE(AH54,AH60)</f>
        <v>248.58494720000007</v>
      </c>
      <c r="AI62" s="297">
        <f>+AVERAGE(AI54,AI60)</f>
        <v>325.55641920000011</v>
      </c>
      <c r="AJ62" s="297">
        <f>+AVERAGE(AJ54,AJ60)</f>
        <v>387.67805120000014</v>
      </c>
      <c r="AK62" s="297">
        <f>+AVERAGE(AK54,AK60)</f>
        <v>430.23820320000016</v>
      </c>
      <c r="AL62" s="297">
        <f>+AVERAGE(AL54,AL60)</f>
        <v>472.19079520000014</v>
      </c>
      <c r="AM62" s="175"/>
      <c r="AO62" s="1307"/>
      <c r="AP62" s="1307"/>
      <c r="AQ62" s="1307"/>
      <c r="AR62" s="1307"/>
      <c r="AS62" s="1307"/>
      <c r="AT62" s="1307"/>
      <c r="AU62" s="1307"/>
      <c r="AV62" s="1307"/>
      <c r="AW62" s="1307"/>
      <c r="AX62" s="1307"/>
      <c r="AY62" s="1307"/>
      <c r="AZ62" s="1307"/>
      <c r="BA62" s="1307"/>
      <c r="BB62" s="1307"/>
      <c r="BC62" s="1307"/>
    </row>
    <row r="63" spans="3:55" x14ac:dyDescent="0.3">
      <c r="C63" s="173"/>
      <c r="D63" s="72"/>
      <c r="E63" s="72"/>
      <c r="F63" s="72"/>
      <c r="G63" s="72"/>
      <c r="H63" s="72"/>
      <c r="I63" s="72"/>
      <c r="J63" s="462"/>
      <c r="K63" s="462"/>
      <c r="L63" s="462"/>
      <c r="M63" s="462"/>
      <c r="N63" s="462"/>
      <c r="O63" s="462"/>
      <c r="P63" s="462"/>
      <c r="Q63" s="462"/>
      <c r="R63" s="462"/>
      <c r="S63" s="275"/>
      <c r="T63" s="275"/>
      <c r="U63" s="275"/>
      <c r="V63" s="275"/>
      <c r="W63" s="275"/>
      <c r="X63" s="462"/>
      <c r="Y63" s="462"/>
      <c r="Z63" s="462"/>
      <c r="AA63" s="462"/>
      <c r="AB63" s="462"/>
      <c r="AC63" s="462"/>
      <c r="AD63" s="462"/>
      <c r="AE63" s="462"/>
      <c r="AF63" s="462"/>
      <c r="AG63" s="462"/>
      <c r="AH63" s="462"/>
      <c r="AI63" s="462"/>
      <c r="AJ63" s="462"/>
      <c r="AK63" s="462"/>
      <c r="AL63" s="462"/>
      <c r="AM63" s="175"/>
      <c r="AO63" s="1307"/>
      <c r="AP63" s="1307"/>
      <c r="AQ63" s="1307"/>
      <c r="AR63" s="1307"/>
      <c r="AS63" s="1307"/>
      <c r="AT63" s="1307"/>
      <c r="AU63" s="1307"/>
      <c r="AV63" s="1307"/>
      <c r="AW63" s="1307"/>
      <c r="AX63" s="1307"/>
      <c r="AY63" s="1307"/>
      <c r="AZ63" s="1307"/>
      <c r="BA63" s="1307"/>
      <c r="BB63" s="1307"/>
      <c r="BC63" s="1307"/>
    </row>
    <row r="64" spans="3:55" x14ac:dyDescent="0.3">
      <c r="C64" s="173"/>
      <c r="D64" s="72"/>
      <c r="E64" s="72"/>
      <c r="F64" s="72" t="s">
        <v>94</v>
      </c>
      <c r="G64" s="72"/>
      <c r="H64" s="72"/>
      <c r="I64" s="72"/>
      <c r="J64" s="462"/>
      <c r="K64" s="462"/>
      <c r="L64" s="462"/>
      <c r="M64" s="462"/>
      <c r="N64" s="462"/>
      <c r="O64" s="462"/>
      <c r="P64" s="462"/>
      <c r="Q64" s="462"/>
      <c r="R64" s="462"/>
      <c r="S64" s="275"/>
      <c r="T64" s="275"/>
      <c r="U64" s="275"/>
      <c r="V64" s="275"/>
      <c r="W64" s="275"/>
      <c r="X64" s="462"/>
      <c r="Y64" s="275"/>
      <c r="Z64" s="275"/>
      <c r="AA64" s="275"/>
      <c r="AB64" s="275"/>
      <c r="AC64" s="297">
        <f>+AC62*KeyAssumptionsPriceControl_FO!AC42</f>
        <v>0.51478088280000001</v>
      </c>
      <c r="AD64" s="297">
        <f>+AD62*KeyAssumptionsPriceControl_FO!AD42</f>
        <v>1.4330684451200002</v>
      </c>
      <c r="AE64" s="297">
        <f>+AE62*KeyAssumptionsPriceControl_FO!AE42</f>
        <v>2.2943998939200001</v>
      </c>
      <c r="AF64" s="297">
        <f>+AF62*KeyAssumptionsPriceControl_FO!AF42</f>
        <v>3.1118192162400007</v>
      </c>
      <c r="AG64" s="297">
        <f>+AG62*KeyAssumptionsPriceControl_FO!AG42</f>
        <v>3.9467602159200013</v>
      </c>
      <c r="AH64" s="297">
        <f>+AH62*KeyAssumptionsPriceControl_FO!AH42</f>
        <v>5.1208499123200015</v>
      </c>
      <c r="AI64" s="297">
        <f>+AI62*KeyAssumptionsPriceControl_FO!AI42</f>
        <v>6.543684025920002</v>
      </c>
      <c r="AJ64" s="297">
        <f>+AJ62*KeyAssumptionsPriceControl_FO!AJ42</f>
        <v>7.9086322444800032</v>
      </c>
      <c r="AK64" s="297">
        <f>+AK62*KeyAssumptionsPriceControl_FO!AK42</f>
        <v>8.9489546265600026</v>
      </c>
      <c r="AL64" s="297">
        <f>+AL62*KeyAssumptionsPriceControl_FO!AL42</f>
        <v>9.821568540160003</v>
      </c>
      <c r="AM64" s="175"/>
      <c r="AO64" s="1307"/>
      <c r="AP64" s="1307"/>
      <c r="AQ64" s="1307"/>
      <c r="AR64" s="1307"/>
      <c r="AS64" s="1307"/>
      <c r="AT64" s="1307"/>
      <c r="AU64" s="1307"/>
      <c r="AV64" s="1307"/>
      <c r="AW64" s="1307"/>
      <c r="AX64" s="1307"/>
      <c r="AY64" s="1307"/>
      <c r="AZ64" s="1307"/>
      <c r="BA64" s="1307"/>
      <c r="BB64" s="1307"/>
      <c r="BC64" s="1307"/>
    </row>
    <row r="65" spans="3:55" x14ac:dyDescent="0.3">
      <c r="C65" s="173"/>
      <c r="D65" s="72"/>
      <c r="E65" s="72"/>
      <c r="F65" s="72"/>
      <c r="G65" s="72"/>
      <c r="H65" s="72"/>
      <c r="I65" s="72"/>
      <c r="J65" s="462"/>
      <c r="K65" s="462"/>
      <c r="L65" s="462"/>
      <c r="M65" s="462"/>
      <c r="N65" s="462"/>
      <c r="O65" s="462"/>
      <c r="P65" s="462"/>
      <c r="Q65" s="462"/>
      <c r="R65" s="462"/>
      <c r="S65" s="275"/>
      <c r="T65" s="275"/>
      <c r="U65" s="275"/>
      <c r="V65" s="275"/>
      <c r="W65" s="275"/>
      <c r="X65" s="462"/>
      <c r="Y65" s="462"/>
      <c r="Z65" s="462"/>
      <c r="AA65" s="462"/>
      <c r="AB65" s="462"/>
      <c r="AC65" s="462"/>
      <c r="AD65" s="462"/>
      <c r="AE65" s="462"/>
      <c r="AF65" s="462"/>
      <c r="AG65" s="462"/>
      <c r="AH65" s="462"/>
      <c r="AI65" s="462"/>
      <c r="AJ65" s="462"/>
      <c r="AK65" s="462"/>
      <c r="AL65" s="462"/>
      <c r="AM65" s="175"/>
      <c r="AO65" s="1307"/>
      <c r="AP65" s="1307"/>
      <c r="AQ65" s="1307"/>
      <c r="AR65" s="1307"/>
      <c r="AS65" s="1307"/>
      <c r="AT65" s="1307"/>
      <c r="AU65" s="1307"/>
      <c r="AV65" s="1307"/>
      <c r="AW65" s="1307"/>
      <c r="AX65" s="1307"/>
      <c r="AY65" s="1307"/>
      <c r="AZ65" s="1307"/>
      <c r="BA65" s="1307"/>
      <c r="BB65" s="1307"/>
      <c r="BC65" s="1307"/>
    </row>
    <row r="66" spans="3:55" ht="12.5" thickBot="1" x14ac:dyDescent="0.35">
      <c r="C66" s="173"/>
      <c r="D66" s="72"/>
      <c r="E66" s="666" t="s">
        <v>95</v>
      </c>
      <c r="F66" s="72"/>
      <c r="G66" s="72"/>
      <c r="H66" s="72"/>
      <c r="I66" s="72"/>
      <c r="J66" s="683"/>
      <c r="K66" s="683"/>
      <c r="L66" s="683"/>
      <c r="M66" s="683"/>
      <c r="N66" s="683"/>
      <c r="O66" s="683"/>
      <c r="P66" s="683"/>
      <c r="Q66" s="683"/>
      <c r="R66" s="683"/>
      <c r="S66" s="277"/>
      <c r="T66" s="277"/>
      <c r="U66" s="277"/>
      <c r="V66" s="277"/>
      <c r="W66" s="277"/>
      <c r="X66" s="683"/>
      <c r="Y66" s="683"/>
      <c r="Z66" s="683"/>
      <c r="AA66" s="683"/>
      <c r="AB66" s="683"/>
      <c r="AC66" s="1547">
        <f t="shared" ref="AC66:AG66" si="15">+AC64+AC58</f>
        <v>1.6185096828000001</v>
      </c>
      <c r="AD66" s="1547">
        <f t="shared" si="15"/>
        <v>2.5850324451200004</v>
      </c>
      <c r="AE66" s="1547">
        <f t="shared" si="15"/>
        <v>3.4946758939200002</v>
      </c>
      <c r="AF66" s="1547">
        <f t="shared" si="15"/>
        <v>4.4081672162400007</v>
      </c>
      <c r="AG66" s="1547">
        <f t="shared" si="15"/>
        <v>5.3385322159200008</v>
      </c>
      <c r="AH66" s="1547">
        <f>+AH64+AH58</f>
        <v>7.4871779123200017</v>
      </c>
      <c r="AI66" s="1547">
        <f>+AI64+AI58</f>
        <v>8.8284120259200023</v>
      </c>
      <c r="AJ66" s="1547">
        <f>+AJ64+AJ58</f>
        <v>9.5446402444800036</v>
      </c>
      <c r="AK66" s="1547">
        <f>+AK64+AK58</f>
        <v>10.271642626560002</v>
      </c>
      <c r="AL66" s="1547">
        <f>+AL64+AL58</f>
        <v>11.427696540160003</v>
      </c>
      <c r="AM66" s="175"/>
      <c r="AO66" s="1307"/>
      <c r="AP66" s="1307"/>
      <c r="AQ66" s="1307"/>
      <c r="AR66" s="1307"/>
      <c r="AS66" s="1307"/>
      <c r="AT66" s="1307"/>
      <c r="AU66" s="1307"/>
      <c r="AV66" s="1307"/>
      <c r="AW66" s="1307"/>
      <c r="AX66" s="1307"/>
      <c r="AY66" s="1307"/>
      <c r="AZ66" s="1307"/>
      <c r="BA66" s="1307"/>
      <c r="BB66" s="1307"/>
      <c r="BC66" s="1307"/>
    </row>
    <row r="67" spans="3:55" x14ac:dyDescent="0.3">
      <c r="C67" s="173"/>
      <c r="D67" s="72"/>
      <c r="E67" s="72"/>
      <c r="F67" s="72"/>
      <c r="G67" s="72"/>
      <c r="H67" s="72"/>
      <c r="I67" s="72"/>
      <c r="J67" s="462"/>
      <c r="K67" s="462"/>
      <c r="L67" s="462"/>
      <c r="M67" s="462"/>
      <c r="N67" s="462"/>
      <c r="O67" s="462"/>
      <c r="P67" s="462"/>
      <c r="Q67" s="462"/>
      <c r="R67" s="462"/>
      <c r="S67" s="462"/>
      <c r="T67" s="462"/>
      <c r="U67" s="462"/>
      <c r="V67" s="462"/>
      <c r="W67" s="462"/>
      <c r="X67" s="462"/>
      <c r="Y67" s="462"/>
      <c r="Z67" s="462"/>
      <c r="AA67" s="462"/>
      <c r="AB67" s="462"/>
      <c r="AC67" s="462"/>
      <c r="AD67" s="462"/>
      <c r="AE67" s="462"/>
      <c r="AF67" s="462"/>
      <c r="AG67" s="462"/>
      <c r="AH67" s="462"/>
      <c r="AI67" s="462"/>
      <c r="AJ67" s="462"/>
      <c r="AK67" s="462"/>
      <c r="AL67" s="462"/>
      <c r="AM67" s="175"/>
      <c r="AO67" s="1307"/>
      <c r="AP67" s="1307"/>
      <c r="AQ67" s="1307"/>
      <c r="AR67" s="1307"/>
      <c r="AS67" s="1307"/>
      <c r="AT67" s="1307"/>
      <c r="AU67" s="1307"/>
      <c r="AV67" s="1307"/>
      <c r="AW67" s="1307"/>
      <c r="AX67" s="1307"/>
      <c r="AY67" s="1307"/>
      <c r="AZ67" s="1307"/>
      <c r="BA67" s="1307"/>
      <c r="BB67" s="1307"/>
      <c r="BC67" s="1307"/>
    </row>
    <row r="68" spans="3:55" x14ac:dyDescent="0.3">
      <c r="C68" s="173"/>
      <c r="D68" s="72"/>
      <c r="E68" s="72"/>
      <c r="F68" s="72"/>
      <c r="G68" s="72"/>
      <c r="H68" s="72"/>
      <c r="I68" s="72"/>
      <c r="J68" s="462"/>
      <c r="K68" s="462"/>
      <c r="L68" s="462"/>
      <c r="M68" s="462"/>
      <c r="N68" s="462"/>
      <c r="O68" s="462"/>
      <c r="P68" s="462"/>
      <c r="Q68" s="462"/>
      <c r="R68" s="462"/>
      <c r="S68" s="462"/>
      <c r="T68" s="462"/>
      <c r="U68" s="462"/>
      <c r="V68" s="462"/>
      <c r="W68" s="462"/>
      <c r="X68" s="462"/>
      <c r="Y68" s="462"/>
      <c r="Z68" s="462"/>
      <c r="AA68" s="462"/>
      <c r="AB68" s="462"/>
      <c r="AC68" s="462"/>
      <c r="AD68" s="462"/>
      <c r="AE68" s="462"/>
      <c r="AF68" s="462"/>
      <c r="AG68" s="462"/>
      <c r="AH68" s="462"/>
      <c r="AI68" s="462"/>
      <c r="AJ68" s="462"/>
      <c r="AK68" s="462"/>
      <c r="AL68" s="462"/>
      <c r="AM68" s="175"/>
      <c r="AO68" s="1307"/>
      <c r="AP68" s="1307"/>
      <c r="AQ68" s="1307"/>
      <c r="AR68" s="1307"/>
      <c r="AS68" s="1307"/>
      <c r="AT68" s="1307"/>
      <c r="AU68" s="1307"/>
      <c r="AV68" s="1307"/>
      <c r="AW68" s="1307"/>
      <c r="AX68" s="1307"/>
      <c r="AY68" s="1307"/>
      <c r="AZ68" s="1307"/>
      <c r="BA68" s="1307"/>
      <c r="BB68" s="1307"/>
      <c r="BC68" s="1307"/>
    </row>
    <row r="69" spans="3:55" x14ac:dyDescent="0.3">
      <c r="C69" s="173"/>
      <c r="D69" s="72"/>
      <c r="E69" s="666" t="s">
        <v>96</v>
      </c>
      <c r="F69" s="72"/>
      <c r="G69" s="72"/>
      <c r="H69" s="72"/>
      <c r="I69" s="72"/>
      <c r="J69" s="275"/>
      <c r="K69" s="275"/>
      <c r="L69" s="275"/>
      <c r="M69" s="275"/>
      <c r="N69" s="275"/>
      <c r="O69" s="275"/>
      <c r="P69" s="275"/>
      <c r="Q69" s="275"/>
      <c r="R69" s="275"/>
      <c r="S69" s="462"/>
      <c r="T69" s="462"/>
      <c r="U69" s="462"/>
      <c r="V69" s="462"/>
      <c r="W69" s="462"/>
      <c r="X69" s="462"/>
      <c r="Y69" s="462"/>
      <c r="Z69" s="462"/>
      <c r="AA69" s="462"/>
      <c r="AB69" s="462"/>
      <c r="AC69" s="462"/>
      <c r="AD69" s="462"/>
      <c r="AE69" s="462"/>
      <c r="AF69" s="462"/>
      <c r="AG69" s="462"/>
      <c r="AH69" s="462"/>
      <c r="AI69" s="462"/>
      <c r="AJ69" s="462"/>
      <c r="AK69" s="462"/>
      <c r="AL69" s="462"/>
      <c r="AM69" s="175"/>
      <c r="AO69" s="1307"/>
      <c r="AP69" s="1307"/>
      <c r="AQ69" s="1307"/>
      <c r="AR69" s="1307"/>
      <c r="AS69" s="1307"/>
      <c r="AT69" s="1307"/>
      <c r="AU69" s="1307"/>
      <c r="AV69" s="1307"/>
      <c r="AW69" s="1307"/>
      <c r="AX69" s="1307"/>
      <c r="AY69" s="1307"/>
      <c r="AZ69" s="1307"/>
      <c r="BA69" s="1307"/>
      <c r="BB69" s="1307"/>
      <c r="BC69" s="1307"/>
    </row>
    <row r="70" spans="3:55" x14ac:dyDescent="0.3">
      <c r="C70" s="173"/>
      <c r="D70" s="72"/>
      <c r="E70" s="72"/>
      <c r="F70" s="72"/>
      <c r="G70" s="72"/>
      <c r="H70" s="72"/>
      <c r="I70" s="72"/>
      <c r="J70" s="275"/>
      <c r="K70" s="275"/>
      <c r="L70" s="275"/>
      <c r="M70" s="275"/>
      <c r="N70" s="275"/>
      <c r="O70" s="275"/>
      <c r="P70" s="275"/>
      <c r="Q70" s="275"/>
      <c r="R70" s="275"/>
      <c r="S70" s="462"/>
      <c r="T70" s="462"/>
      <c r="U70" s="462"/>
      <c r="V70" s="462"/>
      <c r="W70" s="462"/>
      <c r="X70" s="462"/>
      <c r="Y70" s="462"/>
      <c r="Z70" s="462"/>
      <c r="AA70" s="462"/>
      <c r="AB70" s="462"/>
      <c r="AC70" s="462"/>
      <c r="AD70" s="462"/>
      <c r="AE70" s="462"/>
      <c r="AF70" s="462"/>
      <c r="AG70" s="462"/>
      <c r="AH70" s="462"/>
      <c r="AI70" s="462"/>
      <c r="AJ70" s="462"/>
      <c r="AK70" s="462"/>
      <c r="AL70" s="462"/>
      <c r="AM70" s="175"/>
      <c r="AO70" s="1307"/>
      <c r="AP70" s="1307"/>
      <c r="AQ70" s="1307"/>
      <c r="AR70" s="1307"/>
      <c r="AS70" s="1307"/>
      <c r="AT70" s="1307"/>
      <c r="AU70" s="1307"/>
      <c r="AV70" s="1307"/>
      <c r="AW70" s="1307"/>
      <c r="AX70" s="1307"/>
      <c r="AY70" s="1307"/>
      <c r="AZ70" s="1307"/>
      <c r="BA70" s="1307"/>
      <c r="BB70" s="1307"/>
      <c r="BC70" s="1307"/>
    </row>
    <row r="71" spans="3:55" x14ac:dyDescent="0.3">
      <c r="C71" s="173"/>
      <c r="D71" s="72"/>
      <c r="E71" s="72"/>
      <c r="F71" s="102" t="s">
        <v>86</v>
      </c>
      <c r="G71" s="102"/>
      <c r="H71" s="102"/>
      <c r="I71" s="102"/>
      <c r="J71" s="275"/>
      <c r="K71" s="275"/>
      <c r="L71" s="275"/>
      <c r="M71" s="275"/>
      <c r="N71" s="275"/>
      <c r="O71" s="275"/>
      <c r="P71" s="275"/>
      <c r="Q71" s="275"/>
      <c r="R71" s="275"/>
      <c r="S71" s="275"/>
      <c r="T71" s="275"/>
      <c r="U71" s="275"/>
      <c r="V71" s="275"/>
      <c r="W71" s="2030">
        <f>W37</f>
        <v>375.63089945463219</v>
      </c>
      <c r="X71" s="297">
        <f t="shared" ref="X71:AG71" si="16">+W78</f>
        <v>381.77089091210621</v>
      </c>
      <c r="Y71" s="297">
        <f t="shared" si="16"/>
        <v>391.44541992819109</v>
      </c>
      <c r="Z71" s="297">
        <f t="shared" si="16"/>
        <v>401.74728460409568</v>
      </c>
      <c r="AA71" s="297">
        <f t="shared" si="16"/>
        <v>405.58945076821254</v>
      </c>
      <c r="AB71" s="297">
        <f t="shared" si="16"/>
        <v>409.3710695194622</v>
      </c>
      <c r="AC71" s="297">
        <f t="shared" si="16"/>
        <v>421.14965328812417</v>
      </c>
      <c r="AD71" s="297">
        <f t="shared" si="16"/>
        <v>441.33059078358235</v>
      </c>
      <c r="AE71" s="297">
        <f t="shared" si="16"/>
        <v>460.88058901675396</v>
      </c>
      <c r="AF71" s="297">
        <f t="shared" si="16"/>
        <v>479.71238533296656</v>
      </c>
      <c r="AG71" s="297">
        <f t="shared" si="16"/>
        <v>499.61193482231721</v>
      </c>
      <c r="AH71" s="297">
        <f>+AG78</f>
        <v>520.15266028166832</v>
      </c>
      <c r="AI71" s="297">
        <f>+AH78</f>
        <v>573.91575322838992</v>
      </c>
      <c r="AJ71" s="297">
        <f>+AI78</f>
        <v>621.82937676641518</v>
      </c>
      <c r="AK71" s="297">
        <f>+AJ78</f>
        <v>641.10553391755093</v>
      </c>
      <c r="AL71" s="297">
        <f>+AK78</f>
        <v>646.72974314117482</v>
      </c>
      <c r="AM71" s="175"/>
      <c r="AO71" s="1307"/>
      <c r="AP71" s="1307"/>
      <c r="AQ71" s="1307"/>
      <c r="AR71" s="1307"/>
      <c r="AS71" s="1307"/>
      <c r="AT71" s="1307"/>
      <c r="AU71" s="1307"/>
      <c r="AV71" s="1307"/>
      <c r="AW71" s="1307"/>
      <c r="AX71" s="1307"/>
      <c r="AY71" s="1307"/>
      <c r="AZ71" s="1307"/>
      <c r="BA71" s="1307"/>
      <c r="BB71" s="1307"/>
      <c r="BC71" s="1307"/>
    </row>
    <row r="72" spans="3:55" x14ac:dyDescent="0.3">
      <c r="C72" s="173"/>
      <c r="D72" s="72"/>
      <c r="E72" s="72"/>
      <c r="F72" s="102" t="s">
        <v>90</v>
      </c>
      <c r="G72" s="102"/>
      <c r="H72" s="102"/>
      <c r="I72" s="102"/>
      <c r="J72" s="275"/>
      <c r="K72" s="275"/>
      <c r="L72" s="275"/>
      <c r="M72" s="275"/>
      <c r="N72" s="275"/>
      <c r="O72" s="275"/>
      <c r="P72" s="275"/>
      <c r="Q72" s="275"/>
      <c r="R72" s="275"/>
      <c r="S72" s="275"/>
      <c r="T72" s="275"/>
      <c r="U72" s="275"/>
      <c r="V72" s="275"/>
      <c r="W72" s="297">
        <f>+W55+W38</f>
        <v>25.192626244343892</v>
      </c>
      <c r="X72" s="297">
        <f t="shared" ref="X72:AB76" si="17">+X55+X38</f>
        <v>30.447363509307287</v>
      </c>
      <c r="Y72" s="297">
        <f t="shared" si="17"/>
        <v>32.861360104049083</v>
      </c>
      <c r="Z72" s="297">
        <f t="shared" si="17"/>
        <v>28.09446153439966</v>
      </c>
      <c r="AA72" s="297">
        <f t="shared" si="17"/>
        <v>29.137493005200003</v>
      </c>
      <c r="AB72" s="297">
        <f>+AB55+AB38</f>
        <v>37.5</v>
      </c>
      <c r="AC72" s="297">
        <f t="shared" ref="AC72:AG76" si="18">+AC55+AC38</f>
        <v>45.988700000000001</v>
      </c>
      <c r="AD72" s="297">
        <f t="shared" si="18"/>
        <v>47.9985</v>
      </c>
      <c r="AE72" s="297">
        <f t="shared" si="18"/>
        <v>50.011500000000005</v>
      </c>
      <c r="AF72" s="297">
        <f t="shared" si="18"/>
        <v>54.014500000000012</v>
      </c>
      <c r="AG72" s="297">
        <f t="shared" si="18"/>
        <v>57.990499999999997</v>
      </c>
      <c r="AH72" s="297">
        <f t="shared" ref="AH72:AL76" si="19">+AH55+AH38</f>
        <v>98.597000000000008</v>
      </c>
      <c r="AI72" s="297">
        <f t="shared" si="19"/>
        <v>95.197000000000003</v>
      </c>
      <c r="AJ72" s="297">
        <f t="shared" si="19"/>
        <v>68.167000000000002</v>
      </c>
      <c r="AK72" s="297">
        <f t="shared" si="19"/>
        <v>55.112000000000002</v>
      </c>
      <c r="AL72" s="297">
        <f t="shared" si="19"/>
        <v>66.921999999999997</v>
      </c>
      <c r="AM72" s="175"/>
      <c r="AO72" s="1307"/>
      <c r="AP72" s="1307"/>
      <c r="AQ72" s="1307"/>
      <c r="AR72" s="1307"/>
      <c r="AS72" s="1307"/>
      <c r="AT72" s="1307"/>
      <c r="AU72" s="1307"/>
      <c r="AV72" s="1307"/>
      <c r="AW72" s="1307"/>
      <c r="AX72" s="1307"/>
      <c r="AY72" s="1307"/>
      <c r="AZ72" s="1307"/>
      <c r="BA72" s="1307"/>
      <c r="BB72" s="1307"/>
      <c r="BC72" s="1307"/>
    </row>
    <row r="73" spans="3:55" x14ac:dyDescent="0.3">
      <c r="C73" s="173"/>
      <c r="D73" s="72"/>
      <c r="E73" s="72"/>
      <c r="F73" s="102" t="s">
        <v>91</v>
      </c>
      <c r="G73" s="102"/>
      <c r="H73" s="102"/>
      <c r="I73" s="102"/>
      <c r="J73" s="275"/>
      <c r="K73" s="275"/>
      <c r="L73" s="275"/>
      <c r="M73" s="275"/>
      <c r="N73" s="275"/>
      <c r="O73" s="275"/>
      <c r="P73" s="275"/>
      <c r="Q73" s="275"/>
      <c r="R73" s="275"/>
      <c r="S73" s="275"/>
      <c r="T73" s="275"/>
      <c r="U73" s="275"/>
      <c r="V73" s="275"/>
      <c r="W73" s="297">
        <f>+W56+W39</f>
        <v>1.8893348416289593</v>
      </c>
      <c r="X73" s="297">
        <f t="shared" si="17"/>
        <v>2.0431804654262882</v>
      </c>
      <c r="Y73" s="297">
        <f t="shared" si="17"/>
        <v>3.3055239410429444</v>
      </c>
      <c r="Z73" s="297">
        <f t="shared" si="17"/>
        <v>3.705311320754717</v>
      </c>
      <c r="AA73" s="297">
        <f t="shared" si="17"/>
        <v>4.0999999999999996</v>
      </c>
      <c r="AB73" s="297">
        <f t="shared" si="17"/>
        <v>4.141</v>
      </c>
      <c r="AC73" s="297">
        <f t="shared" si="18"/>
        <v>4.51</v>
      </c>
      <c r="AD73" s="297">
        <f t="shared" si="18"/>
        <v>6.15</v>
      </c>
      <c r="AE73" s="297">
        <f t="shared" si="18"/>
        <v>7.91</v>
      </c>
      <c r="AF73" s="297">
        <f t="shared" si="18"/>
        <v>9.86</v>
      </c>
      <c r="AG73" s="297">
        <f t="shared" si="18"/>
        <v>12.16</v>
      </c>
      <c r="AH73" s="297">
        <f t="shared" si="19"/>
        <v>17.600000000000001</v>
      </c>
      <c r="AI73" s="297">
        <f t="shared" si="19"/>
        <v>17.600000000000001</v>
      </c>
      <c r="AJ73" s="297">
        <f t="shared" si="19"/>
        <v>17.600000000000001</v>
      </c>
      <c r="AK73" s="297">
        <f t="shared" si="19"/>
        <v>17.600000000000001</v>
      </c>
      <c r="AL73" s="297">
        <f t="shared" si="19"/>
        <v>17.600000000000001</v>
      </c>
      <c r="AM73" s="175"/>
      <c r="AO73" s="1307"/>
      <c r="AP73" s="1307"/>
      <c r="AQ73" s="1307"/>
      <c r="AR73" s="1307"/>
      <c r="AS73" s="1307"/>
      <c r="AT73" s="1307"/>
      <c r="AU73" s="1307"/>
      <c r="AV73" s="1307"/>
      <c r="AW73" s="1307"/>
      <c r="AX73" s="1307"/>
      <c r="AY73" s="1307"/>
      <c r="AZ73" s="1307"/>
      <c r="BA73" s="1307"/>
      <c r="BB73" s="1307"/>
      <c r="BC73" s="1307"/>
    </row>
    <row r="74" spans="3:55" x14ac:dyDescent="0.3">
      <c r="C74" s="173"/>
      <c r="D74" s="72"/>
      <c r="E74" s="72"/>
      <c r="F74" s="102" t="s">
        <v>92</v>
      </c>
      <c r="G74" s="102"/>
      <c r="H74" s="102"/>
      <c r="I74" s="102"/>
      <c r="J74" s="275"/>
      <c r="K74" s="275"/>
      <c r="L74" s="275"/>
      <c r="M74" s="275"/>
      <c r="N74" s="275"/>
      <c r="O74" s="275"/>
      <c r="P74" s="275"/>
      <c r="Q74" s="275"/>
      <c r="R74" s="275"/>
      <c r="S74" s="275"/>
      <c r="T74" s="275"/>
      <c r="U74" s="275"/>
      <c r="V74" s="275"/>
      <c r="W74" s="297">
        <f>+W57+W40</f>
        <v>0</v>
      </c>
      <c r="X74" s="297">
        <f t="shared" si="17"/>
        <v>0</v>
      </c>
      <c r="Y74" s="297">
        <f t="shared" si="17"/>
        <v>0</v>
      </c>
      <c r="Z74" s="297">
        <f t="shared" si="17"/>
        <v>0.43724108104631215</v>
      </c>
      <c r="AA74" s="297">
        <f t="shared" si="17"/>
        <v>0.44161349185677529</v>
      </c>
      <c r="AB74" s="297">
        <f t="shared" si="17"/>
        <v>0.44602962677534302</v>
      </c>
      <c r="AC74" s="297">
        <f t="shared" si="18"/>
        <v>0</v>
      </c>
      <c r="AD74" s="297">
        <f t="shared" si="18"/>
        <v>0</v>
      </c>
      <c r="AE74" s="297">
        <f t="shared" si="18"/>
        <v>0</v>
      </c>
      <c r="AF74" s="297">
        <f t="shared" si="18"/>
        <v>0</v>
      </c>
      <c r="AG74" s="297">
        <f t="shared" si="18"/>
        <v>0</v>
      </c>
      <c r="AH74" s="297">
        <f t="shared" si="19"/>
        <v>0</v>
      </c>
      <c r="AI74" s="297">
        <f t="shared" si="19"/>
        <v>0</v>
      </c>
      <c r="AJ74" s="297">
        <f t="shared" si="19"/>
        <v>0</v>
      </c>
      <c r="AK74" s="297">
        <f t="shared" si="19"/>
        <v>0</v>
      </c>
      <c r="AL74" s="297">
        <f t="shared" si="19"/>
        <v>0</v>
      </c>
      <c r="AM74" s="175"/>
      <c r="AO74" s="1307"/>
      <c r="AP74" s="1307"/>
      <c r="AQ74" s="1307"/>
      <c r="AR74" s="1307"/>
      <c r="AS74" s="1307"/>
      <c r="AT74" s="1307"/>
      <c r="AU74" s="1307"/>
      <c r="AV74" s="1307"/>
      <c r="AW74" s="1307"/>
      <c r="AX74" s="1307"/>
      <c r="AY74" s="1307"/>
      <c r="AZ74" s="1307"/>
      <c r="BA74" s="1307"/>
      <c r="BB74" s="1307"/>
      <c r="BC74" s="1307"/>
    </row>
    <row r="75" spans="3:55" x14ac:dyDescent="0.3">
      <c r="C75" s="173"/>
      <c r="D75" s="72"/>
      <c r="E75" s="72"/>
      <c r="F75" s="102" t="s">
        <v>87</v>
      </c>
      <c r="G75" s="102"/>
      <c r="H75" s="102"/>
      <c r="I75" s="102"/>
      <c r="J75" s="275"/>
      <c r="K75" s="275"/>
      <c r="L75" s="275"/>
      <c r="M75" s="275"/>
      <c r="N75" s="275"/>
      <c r="O75" s="275"/>
      <c r="P75" s="275"/>
      <c r="Q75" s="275"/>
      <c r="R75" s="275"/>
      <c r="S75" s="275"/>
      <c r="T75" s="275"/>
      <c r="U75" s="275"/>
      <c r="V75" s="275"/>
      <c r="W75" s="297">
        <f>+W58+W41</f>
        <v>16.8358899904898</v>
      </c>
      <c r="X75" s="297">
        <f t="shared" si="17"/>
        <v>18.15967001358656</v>
      </c>
      <c r="Y75" s="297">
        <f t="shared" si="17"/>
        <v>19.034258248880676</v>
      </c>
      <c r="Z75" s="297">
        <f t="shared" si="17"/>
        <v>19.498743826114701</v>
      </c>
      <c r="AA75" s="297">
        <f t="shared" si="17"/>
        <v>20.197151628302816</v>
      </c>
      <c r="AB75" s="297">
        <f t="shared" si="17"/>
        <v>20.51110637943404</v>
      </c>
      <c r="AC75" s="297">
        <f t="shared" si="18"/>
        <v>20.897762504541834</v>
      </c>
      <c r="AD75" s="297">
        <f t="shared" si="18"/>
        <v>21.89450176682837</v>
      </c>
      <c r="AE75" s="297">
        <f t="shared" si="18"/>
        <v>22.861663683787434</v>
      </c>
      <c r="AF75" s="297">
        <f t="shared" si="18"/>
        <v>23.84283011064943</v>
      </c>
      <c r="AG75" s="297">
        <f t="shared" si="18"/>
        <v>24.873532936648907</v>
      </c>
      <c r="AH75" s="297">
        <f t="shared" si="19"/>
        <v>26.813503033238412</v>
      </c>
      <c r="AI75" s="297">
        <f t="shared" si="19"/>
        <v>29.258768401734326</v>
      </c>
      <c r="AJ75" s="297">
        <f t="shared" si="19"/>
        <v>30.861988708021514</v>
      </c>
      <c r="AK75" s="297">
        <f t="shared" si="19"/>
        <v>31.454648094124892</v>
      </c>
      <c r="AL75" s="297">
        <f t="shared" si="19"/>
        <v>32.002425927635215</v>
      </c>
      <c r="AM75" s="175"/>
      <c r="AO75" s="1307"/>
      <c r="AP75" s="1307"/>
      <c r="AQ75" s="1307"/>
      <c r="AR75" s="1307"/>
      <c r="AS75" s="1307"/>
      <c r="AT75" s="1307"/>
      <c r="AU75" s="1307"/>
      <c r="AV75" s="1307"/>
      <c r="AW75" s="1307"/>
      <c r="AX75" s="1307"/>
      <c r="AY75" s="1307"/>
      <c r="AZ75" s="1307"/>
      <c r="BA75" s="1307"/>
      <c r="BB75" s="1307"/>
      <c r="BC75" s="1307"/>
    </row>
    <row r="76" spans="3:55" x14ac:dyDescent="0.3">
      <c r="C76" s="173"/>
      <c r="D76" s="72"/>
      <c r="E76" s="72"/>
      <c r="F76" s="102" t="s">
        <v>93</v>
      </c>
      <c r="G76" s="102"/>
      <c r="H76" s="102"/>
      <c r="I76" s="102"/>
      <c r="J76" s="275"/>
      <c r="K76" s="275"/>
      <c r="L76" s="275"/>
      <c r="M76" s="275"/>
      <c r="N76" s="275"/>
      <c r="O76" s="275"/>
      <c r="P76" s="275"/>
      <c r="Q76" s="275"/>
      <c r="R76" s="275"/>
      <c r="S76" s="275"/>
      <c r="T76" s="275"/>
      <c r="U76" s="275"/>
      <c r="V76" s="275"/>
      <c r="W76" s="297">
        <f>+W59+W42</f>
        <v>0.32740995475113122</v>
      </c>
      <c r="X76" s="297">
        <f t="shared" si="17"/>
        <v>0.56998401420959155</v>
      </c>
      <c r="Y76" s="297">
        <f t="shared" si="17"/>
        <v>0.21971323822085892</v>
      </c>
      <c r="Z76" s="297">
        <f t="shared" si="17"/>
        <v>0.61099914236706698</v>
      </c>
      <c r="AA76" s="297">
        <f t="shared" si="17"/>
        <v>0.61710913379073762</v>
      </c>
      <c r="AB76" s="297">
        <f t="shared" si="17"/>
        <v>0.623280225128645</v>
      </c>
      <c r="AC76" s="297">
        <f t="shared" si="18"/>
        <v>0.4</v>
      </c>
      <c r="AD76" s="297">
        <f t="shared" si="18"/>
        <v>0.40400000000000003</v>
      </c>
      <c r="AE76" s="297">
        <f t="shared" si="18"/>
        <v>0.40804000000000001</v>
      </c>
      <c r="AF76" s="297">
        <f t="shared" si="18"/>
        <v>0.4121204</v>
      </c>
      <c r="AG76" s="297">
        <f t="shared" si="18"/>
        <v>0.41624160399999999</v>
      </c>
      <c r="AH76" s="297">
        <f t="shared" si="19"/>
        <v>0.42040402003999999</v>
      </c>
      <c r="AI76" s="297">
        <f t="shared" si="19"/>
        <v>0.42460806024039999</v>
      </c>
      <c r="AJ76" s="297">
        <f t="shared" si="19"/>
        <v>0.42885414084280399</v>
      </c>
      <c r="AK76" s="297">
        <f t="shared" si="19"/>
        <v>0.43314268225123204</v>
      </c>
      <c r="AL76" s="297">
        <f t="shared" si="19"/>
        <v>0.43747410907374434</v>
      </c>
      <c r="AM76" s="175"/>
      <c r="AO76" s="1307"/>
      <c r="AP76" s="1307"/>
      <c r="AQ76" s="1307"/>
      <c r="AR76" s="1307"/>
      <c r="AS76" s="1307"/>
      <c r="AT76" s="1307"/>
      <c r="AU76" s="1307"/>
      <c r="AV76" s="1307"/>
      <c r="AW76" s="1307"/>
      <c r="AX76" s="1307"/>
      <c r="AY76" s="1307"/>
      <c r="AZ76" s="1307"/>
      <c r="BA76" s="1307"/>
      <c r="BB76" s="1307"/>
      <c r="BC76" s="1307"/>
    </row>
    <row r="77" spans="3:55" x14ac:dyDescent="0.3">
      <c r="C77" s="173"/>
      <c r="D77" s="72"/>
      <c r="E77" s="72"/>
      <c r="J77" s="465"/>
      <c r="K77" s="465"/>
      <c r="L77" s="465"/>
      <c r="M77" s="465"/>
      <c r="N77" s="465"/>
      <c r="O77" s="465"/>
      <c r="P77" s="465"/>
      <c r="Q77" s="465"/>
      <c r="R77" s="465"/>
      <c r="S77" s="465"/>
      <c r="T77" s="465"/>
      <c r="U77" s="465"/>
      <c r="V77" s="465"/>
      <c r="W77" s="125"/>
      <c r="X77" s="125"/>
      <c r="Y77" s="125"/>
      <c r="Z77" s="125"/>
      <c r="AA77" s="125"/>
      <c r="AB77" s="125"/>
      <c r="AC77" s="125"/>
      <c r="AD77" s="125"/>
      <c r="AE77" s="125"/>
      <c r="AF77" s="125"/>
      <c r="AG77" s="125"/>
      <c r="AH77" s="125"/>
      <c r="AI77" s="125"/>
      <c r="AJ77" s="125"/>
      <c r="AK77" s="125"/>
      <c r="AL77" s="125"/>
      <c r="AM77" s="175"/>
      <c r="AO77" s="1307"/>
      <c r="AP77" s="1307"/>
      <c r="AQ77" s="1307"/>
      <c r="AR77" s="1307"/>
      <c r="AS77" s="1307"/>
      <c r="AT77" s="1307"/>
      <c r="AU77" s="1307"/>
      <c r="AV77" s="1307"/>
      <c r="AW77" s="1307"/>
      <c r="AX77" s="1307"/>
      <c r="AY77" s="1307"/>
      <c r="AZ77" s="1307"/>
      <c r="BA77" s="1307"/>
      <c r="BB77" s="1307"/>
      <c r="BC77" s="1307"/>
    </row>
    <row r="78" spans="3:55" x14ac:dyDescent="0.3">
      <c r="C78" s="173"/>
      <c r="D78" s="72"/>
      <c r="E78" s="666" t="s">
        <v>96</v>
      </c>
      <c r="G78" s="105"/>
      <c r="H78" s="105"/>
      <c r="I78" s="105"/>
      <c r="J78" s="672"/>
      <c r="K78" s="672"/>
      <c r="L78" s="672"/>
      <c r="M78" s="672"/>
      <c r="N78" s="672"/>
      <c r="O78" s="672"/>
      <c r="P78" s="672"/>
      <c r="Q78" s="672"/>
      <c r="R78" s="672"/>
      <c r="S78" s="672"/>
      <c r="T78" s="672"/>
      <c r="U78" s="672"/>
      <c r="V78" s="672"/>
      <c r="W78" s="1260">
        <f t="shared" ref="W78:AG78" si="20">+SUM(W71:W72)-SUM(W73:W76)</f>
        <v>381.77089091210621</v>
      </c>
      <c r="X78" s="1260">
        <f t="shared" si="20"/>
        <v>391.44541992819109</v>
      </c>
      <c r="Y78" s="1260">
        <f t="shared" si="20"/>
        <v>401.74728460409568</v>
      </c>
      <c r="Z78" s="1260">
        <f t="shared" si="20"/>
        <v>405.58945076821254</v>
      </c>
      <c r="AA78" s="1260">
        <f t="shared" si="20"/>
        <v>409.3710695194622</v>
      </c>
      <c r="AB78" s="1260">
        <f t="shared" si="20"/>
        <v>421.14965328812417</v>
      </c>
      <c r="AC78" s="1260">
        <f t="shared" si="20"/>
        <v>441.33059078358235</v>
      </c>
      <c r="AD78" s="1260">
        <f t="shared" si="20"/>
        <v>460.88058901675396</v>
      </c>
      <c r="AE78" s="1260">
        <f t="shared" si="20"/>
        <v>479.71238533296656</v>
      </c>
      <c r="AF78" s="1260">
        <f t="shared" si="20"/>
        <v>499.61193482231721</v>
      </c>
      <c r="AG78" s="1260">
        <f t="shared" si="20"/>
        <v>520.15266028166832</v>
      </c>
      <c r="AH78" s="1260">
        <f>+SUM(AH71:AH72)-SUM(AH73:AH76)</f>
        <v>573.91575322838992</v>
      </c>
      <c r="AI78" s="1260">
        <f>+SUM(AI71:AI72)-SUM(AI73:AI76)</f>
        <v>621.82937676641518</v>
      </c>
      <c r="AJ78" s="1260">
        <f>+SUM(AJ71:AJ72)-SUM(AJ73:AJ76)</f>
        <v>641.10553391755093</v>
      </c>
      <c r="AK78" s="1260">
        <f>+SUM(AK71:AK72)-SUM(AK73:AK76)</f>
        <v>646.72974314117482</v>
      </c>
      <c r="AL78" s="1260">
        <f>+SUM(AL71:AL72)-SUM(AL73:AL76)</f>
        <v>663.61184310446583</v>
      </c>
      <c r="AM78" s="175"/>
      <c r="AO78" s="1307"/>
      <c r="AP78" s="1307"/>
      <c r="AQ78" s="1307"/>
      <c r="AR78" s="1307"/>
      <c r="AS78" s="1307"/>
      <c r="AT78" s="1307"/>
      <c r="AU78" s="1307"/>
      <c r="AV78" s="1307"/>
      <c r="AW78" s="1307"/>
      <c r="AX78" s="1307"/>
      <c r="AY78" s="1307"/>
      <c r="AZ78" s="1307"/>
      <c r="BA78" s="1307"/>
      <c r="BB78" s="1307"/>
      <c r="BC78" s="1307"/>
    </row>
    <row r="79" spans="3:55" x14ac:dyDescent="0.3">
      <c r="C79" s="173"/>
      <c r="D79" s="72"/>
      <c r="E79" s="72"/>
      <c r="F79" s="72"/>
      <c r="G79" s="72"/>
      <c r="H79" s="72"/>
      <c r="I79" s="72"/>
      <c r="J79" s="275"/>
      <c r="K79" s="275"/>
      <c r="L79" s="275"/>
      <c r="M79" s="275"/>
      <c r="N79" s="275"/>
      <c r="O79" s="275"/>
      <c r="P79" s="275"/>
      <c r="Q79" s="275"/>
      <c r="R79" s="275"/>
      <c r="S79" s="275"/>
      <c r="T79" s="275"/>
      <c r="U79" s="275"/>
      <c r="V79" s="275"/>
      <c r="W79" s="1567">
        <f>+RollForward_FO!W30</f>
        <v>381.77089091210621</v>
      </c>
      <c r="X79" s="1567">
        <f>+RollForward_FO!X30</f>
        <v>391.44541992819109</v>
      </c>
      <c r="Y79" s="1567">
        <f>+RollForward_FO!Y30</f>
        <v>401.74728460409568</v>
      </c>
      <c r="Z79" s="1567">
        <f>+RollForward_FO!Z30</f>
        <v>405.58945076821254</v>
      </c>
      <c r="AA79" s="1567">
        <f>+RollForward_FO!AA30</f>
        <v>409.3710695194622</v>
      </c>
      <c r="AB79" s="1567">
        <f>+RollForward_FO!AB30</f>
        <v>421.14965328812417</v>
      </c>
      <c r="AC79" s="1567">
        <f>+RollForward_FO!AC30</f>
        <v>441.33059078358235</v>
      </c>
      <c r="AD79" s="1567">
        <f>+RollForward_FO!AD30</f>
        <v>460.88058901675396</v>
      </c>
      <c r="AE79" s="1567">
        <f>+RollForward_FO!AE30</f>
        <v>479.71238533296656</v>
      </c>
      <c r="AF79" s="1567">
        <f>+RollForward_FO!AF30</f>
        <v>499.61193482231721</v>
      </c>
      <c r="AG79" s="1567">
        <f>+RollForward_FO!AG30</f>
        <v>520.15266028166832</v>
      </c>
      <c r="AH79" s="1567">
        <f>+RollForward_FO!AH30</f>
        <v>573.91575322838992</v>
      </c>
      <c r="AI79" s="1567">
        <f>+RollForward_FO!AI30</f>
        <v>621.82937676641518</v>
      </c>
      <c r="AJ79" s="1567">
        <f>+RollForward_FO!AJ30</f>
        <v>641.10553391755093</v>
      </c>
      <c r="AK79" s="1567">
        <f>+RollForward_FO!AK30</f>
        <v>646.72974314117482</v>
      </c>
      <c r="AL79" s="1567">
        <f>+RollForward_FO!AL30</f>
        <v>663.61184310446583</v>
      </c>
      <c r="AM79" s="175"/>
      <c r="AO79" s="1307"/>
      <c r="AP79" s="1307"/>
      <c r="AQ79" s="1307"/>
      <c r="AR79" s="1307"/>
      <c r="AS79" s="1307"/>
      <c r="AT79" s="1307"/>
      <c r="AU79" s="1307"/>
      <c r="AV79" s="1307"/>
      <c r="AW79" s="1307"/>
      <c r="AX79" s="1307"/>
      <c r="AY79" s="1307"/>
      <c r="AZ79" s="1307"/>
      <c r="BA79" s="1307"/>
      <c r="BB79" s="1307"/>
      <c r="BC79" s="1307"/>
    </row>
    <row r="80" spans="3:55" x14ac:dyDescent="0.3">
      <c r="C80" s="173"/>
      <c r="D80" s="72"/>
      <c r="E80" s="72"/>
      <c r="F80" s="72"/>
      <c r="G80" s="72"/>
      <c r="H80" s="72"/>
      <c r="I80" s="72"/>
      <c r="J80" s="673"/>
      <c r="K80" s="673"/>
      <c r="L80" s="673"/>
      <c r="M80" s="673"/>
      <c r="N80" s="673"/>
      <c r="O80" s="673"/>
      <c r="P80" s="673"/>
      <c r="Q80" s="673"/>
      <c r="R80" s="673"/>
      <c r="S80" s="673"/>
      <c r="T80" s="673"/>
      <c r="U80" s="673"/>
      <c r="V80" s="673"/>
      <c r="W80" s="1935">
        <f t="shared" ref="W80" si="21">IF(ROUND(W79,2)=ROUND(W78,2),0,1)</f>
        <v>0</v>
      </c>
      <c r="X80" s="1935">
        <f t="shared" ref="X80" si="22">IF(ROUND(X79,2)=ROUND(X78,2),0,1)</f>
        <v>0</v>
      </c>
      <c r="Y80" s="1935">
        <f t="shared" ref="Y80" si="23">IF(ROUND(Y79,2)=ROUND(Y78,2),0,1)</f>
        <v>0</v>
      </c>
      <c r="Z80" s="1935">
        <f t="shared" ref="Z80" si="24">IF(ROUND(Z79,2)=ROUND(Z78,2),0,1)</f>
        <v>0</v>
      </c>
      <c r="AA80" s="1935">
        <f t="shared" ref="AA80" si="25">IF(ROUND(AA79,2)=ROUND(AA78,2),0,1)</f>
        <v>0</v>
      </c>
      <c r="AB80" s="1935">
        <f t="shared" ref="AB80" si="26">IF(ROUND(AB79,2)=ROUND(AB78,2),0,1)</f>
        <v>0</v>
      </c>
      <c r="AC80" s="1935">
        <f t="shared" ref="AC80" si="27">IF(ROUND(AC79,2)=ROUND(AC78,2),0,1)</f>
        <v>0</v>
      </c>
      <c r="AD80" s="1935">
        <f t="shared" ref="AD80" si="28">IF(ROUND(AD79,2)=ROUND(AD78,2),0,1)</f>
        <v>0</v>
      </c>
      <c r="AE80" s="1935">
        <f t="shared" ref="AE80" si="29">IF(ROUND(AE79,2)=ROUND(AE78,2),0,1)</f>
        <v>0</v>
      </c>
      <c r="AF80" s="1935">
        <f t="shared" ref="AF80" si="30">IF(ROUND(AF79,2)=ROUND(AF78,2),0,1)</f>
        <v>0</v>
      </c>
      <c r="AG80" s="1935">
        <f t="shared" ref="AG80" si="31">IF(ROUND(AG79,2)=ROUND(AG78,2),0,1)</f>
        <v>0</v>
      </c>
      <c r="AH80" s="1935">
        <f t="shared" ref="AH80" si="32">IF(ROUND(AH79,2)=ROUND(AH78,2),0,1)</f>
        <v>0</v>
      </c>
      <c r="AI80" s="1935">
        <f t="shared" ref="AI80" si="33">IF(ROUND(AI79,2)=ROUND(AI78,2),0,1)</f>
        <v>0</v>
      </c>
      <c r="AJ80" s="1935">
        <f t="shared" ref="AJ80" si="34">IF(ROUND(AJ79,2)=ROUND(AJ78,2),0,1)</f>
        <v>0</v>
      </c>
      <c r="AK80" s="1935">
        <f t="shared" ref="AK80" si="35">IF(ROUND(AK79,2)=ROUND(AK78,2),0,1)</f>
        <v>0</v>
      </c>
      <c r="AL80" s="1935">
        <f t="shared" ref="AL80" si="36">IF(ROUND(AL79,2)=ROUND(AL78,2),0,1)</f>
        <v>0</v>
      </c>
      <c r="AM80" s="175"/>
      <c r="AO80" s="1307"/>
      <c r="AP80" s="1307"/>
      <c r="AQ80" s="1307"/>
      <c r="AR80" s="1307"/>
      <c r="AS80" s="1307"/>
      <c r="AT80" s="1307"/>
      <c r="AU80" s="1307"/>
      <c r="AV80" s="1307"/>
      <c r="AW80" s="1307"/>
      <c r="AX80" s="1307"/>
      <c r="AY80" s="1307"/>
      <c r="AZ80" s="1307"/>
      <c r="BA80" s="1307"/>
      <c r="BB80" s="1307"/>
      <c r="BC80" s="1307"/>
    </row>
    <row r="81" spans="3:55" x14ac:dyDescent="0.3">
      <c r="C81" s="173"/>
      <c r="D81" s="72"/>
      <c r="E81" s="666" t="s">
        <v>83</v>
      </c>
      <c r="F81" s="72"/>
      <c r="G81" s="72"/>
      <c r="H81" s="72"/>
      <c r="I81" s="72"/>
      <c r="J81" s="221"/>
      <c r="K81" s="221"/>
      <c r="L81" s="221"/>
      <c r="M81" s="221"/>
      <c r="N81" s="221"/>
      <c r="O81" s="221"/>
      <c r="P81" s="221"/>
      <c r="Q81" s="221"/>
      <c r="R81" s="221"/>
      <c r="S81" s="221"/>
      <c r="T81" s="221"/>
      <c r="U81" s="221"/>
      <c r="V81" s="221"/>
      <c r="W81" s="223">
        <f t="shared" ref="W81:AF81" si="37">+W78-W79</f>
        <v>0</v>
      </c>
      <c r="X81" s="223">
        <f t="shared" si="37"/>
        <v>0</v>
      </c>
      <c r="Y81" s="223">
        <f t="shared" si="37"/>
        <v>0</v>
      </c>
      <c r="Z81" s="223">
        <f t="shared" si="37"/>
        <v>0</v>
      </c>
      <c r="AA81" s="223">
        <f t="shared" si="37"/>
        <v>0</v>
      </c>
      <c r="AB81" s="223">
        <f t="shared" si="37"/>
        <v>0</v>
      </c>
      <c r="AC81" s="223">
        <f t="shared" si="37"/>
        <v>0</v>
      </c>
      <c r="AD81" s="223">
        <f t="shared" si="37"/>
        <v>0</v>
      </c>
      <c r="AE81" s="223">
        <f t="shared" si="37"/>
        <v>0</v>
      </c>
      <c r="AF81" s="223">
        <f t="shared" si="37"/>
        <v>0</v>
      </c>
      <c r="AG81" s="223">
        <f t="shared" ref="AG81:AL81" si="38">+AG78-AG79</f>
        <v>0</v>
      </c>
      <c r="AH81" s="223">
        <f t="shared" si="38"/>
        <v>0</v>
      </c>
      <c r="AI81" s="223">
        <f t="shared" si="38"/>
        <v>0</v>
      </c>
      <c r="AJ81" s="223">
        <f t="shared" si="38"/>
        <v>0</v>
      </c>
      <c r="AK81" s="223">
        <f t="shared" si="38"/>
        <v>0</v>
      </c>
      <c r="AL81" s="223">
        <f t="shared" si="38"/>
        <v>0</v>
      </c>
      <c r="AM81" s="175"/>
      <c r="AO81" s="1307"/>
      <c r="AP81" s="1307"/>
      <c r="AQ81" s="1307"/>
      <c r="AR81" s="1307"/>
      <c r="AS81" s="1307"/>
      <c r="AT81" s="1307"/>
      <c r="AU81" s="1307"/>
      <c r="AV81" s="1307"/>
      <c r="AW81" s="1307"/>
      <c r="AX81" s="1307"/>
      <c r="AY81" s="1307"/>
      <c r="AZ81" s="1307"/>
      <c r="BA81" s="1307"/>
      <c r="BB81" s="1307"/>
      <c r="BC81" s="1307"/>
    </row>
    <row r="82" spans="3:55" x14ac:dyDescent="0.3">
      <c r="C82" s="173"/>
      <c r="D82" s="72"/>
      <c r="E82" s="72"/>
      <c r="F82" s="72"/>
      <c r="G82" s="72"/>
      <c r="H82" s="72"/>
      <c r="I82" s="72"/>
      <c r="J82" s="221"/>
      <c r="K82" s="221"/>
      <c r="L82" s="221"/>
      <c r="M82" s="221"/>
      <c r="N82" s="221"/>
      <c r="O82" s="221"/>
      <c r="P82" s="221"/>
      <c r="Q82" s="221"/>
      <c r="R82" s="221"/>
      <c r="S82" s="221"/>
      <c r="T82" s="221"/>
      <c r="U82" s="221"/>
      <c r="V82" s="221"/>
      <c r="W82" s="178"/>
      <c r="X82" s="178"/>
      <c r="Y82" s="178"/>
      <c r="Z82" s="178"/>
      <c r="AA82" s="178"/>
      <c r="AB82" s="178"/>
      <c r="AC82" s="178"/>
      <c r="AD82" s="178"/>
      <c r="AE82" s="178"/>
      <c r="AF82" s="178"/>
      <c r="AG82" s="178"/>
      <c r="AH82" s="178"/>
      <c r="AI82" s="178"/>
      <c r="AJ82" s="178"/>
      <c r="AK82" s="178"/>
      <c r="AL82" s="178"/>
      <c r="AM82" s="175"/>
      <c r="AO82" s="1307"/>
      <c r="AP82" s="1307"/>
      <c r="AQ82" s="1307"/>
      <c r="AR82" s="1307"/>
      <c r="AS82" s="1307"/>
      <c r="AT82" s="1307"/>
      <c r="AU82" s="1307"/>
      <c r="AV82" s="1307"/>
      <c r="AW82" s="1307"/>
      <c r="AX82" s="1307"/>
      <c r="AY82" s="1307"/>
      <c r="AZ82" s="1307"/>
      <c r="BA82" s="1307"/>
      <c r="BB82" s="1307"/>
      <c r="BC82" s="1307"/>
    </row>
    <row r="83" spans="3:55" x14ac:dyDescent="0.3">
      <c r="C83" s="173"/>
      <c r="D83" s="72"/>
      <c r="E83" s="72"/>
      <c r="F83" s="72" t="s">
        <v>81</v>
      </c>
      <c r="G83" s="72"/>
      <c r="H83" s="72"/>
      <c r="I83" s="72"/>
      <c r="J83" s="77"/>
      <c r="K83" s="77"/>
      <c r="L83" s="77"/>
      <c r="M83" s="77"/>
      <c r="N83" s="77"/>
      <c r="O83" s="77"/>
      <c r="P83" s="77"/>
      <c r="Q83" s="77"/>
      <c r="R83" s="77"/>
      <c r="S83" s="77"/>
      <c r="T83" s="77"/>
      <c r="U83" s="77"/>
      <c r="V83" s="77"/>
      <c r="AM83" s="175"/>
      <c r="AO83" s="1307"/>
      <c r="AP83" s="1307"/>
      <c r="AQ83" s="1307"/>
      <c r="AR83" s="1307"/>
      <c r="AS83" s="1307"/>
      <c r="AT83" s="1307"/>
      <c r="AU83" s="1307"/>
      <c r="AV83" s="1307"/>
      <c r="AW83" s="1307"/>
      <c r="AX83" s="1307"/>
      <c r="AY83" s="1307"/>
      <c r="AZ83" s="1307"/>
      <c r="BA83" s="1307"/>
      <c r="BB83" s="1307"/>
      <c r="BC83" s="1307"/>
    </row>
    <row r="84" spans="3:55" x14ac:dyDescent="0.3">
      <c r="C84" s="173"/>
      <c r="D84" s="72"/>
      <c r="E84" s="72"/>
      <c r="F84" s="72" t="s">
        <v>97</v>
      </c>
      <c r="G84" s="72"/>
      <c r="H84" s="72"/>
      <c r="I84" s="72"/>
      <c r="J84" s="674"/>
      <c r="K84" s="674"/>
      <c r="L84" s="674"/>
      <c r="M84" s="674"/>
      <c r="N84" s="674"/>
      <c r="O84" s="674"/>
      <c r="P84" s="674"/>
      <c r="Q84" s="674"/>
      <c r="R84" s="674"/>
      <c r="S84" s="674"/>
      <c r="T84" s="674"/>
      <c r="U84" s="674"/>
      <c r="V84" s="674"/>
      <c r="W84" s="1559">
        <f>+KeyAssumptionsPriceControl_FO!W14</f>
        <v>2.1256931608133023E-2</v>
      </c>
      <c r="X84" s="1559">
        <f>+KeyAssumptionsPriceControl_FO!X14</f>
        <v>1.9004524886877761E-2</v>
      </c>
      <c r="Y84" s="1559">
        <f>+KeyAssumptionsPriceControl_FO!Y14</f>
        <v>1.3321492007104752E-2</v>
      </c>
      <c r="Z84" s="1559">
        <f>+KeyAssumptionsPriceControl_FO!Z14</f>
        <v>2.1910604732690686E-2</v>
      </c>
      <c r="AA84" s="1559">
        <f>+KeyAssumptionsPriceControl_FO!AA14</f>
        <v>1.1149228130360234E-2</v>
      </c>
      <c r="AB84" s="1559">
        <f>+KeyAssumptionsPriceControl_FO!AB14</f>
        <v>5.0890585241730291E-2</v>
      </c>
      <c r="AC84" s="1559">
        <f>+KeyAssumptionsPriceControl_FO!AC14</f>
        <v>0.03</v>
      </c>
      <c r="AD84" s="1559">
        <f>+KeyAssumptionsPriceControl_FO!AD14</f>
        <v>0.03</v>
      </c>
      <c r="AE84" s="1559">
        <f>+KeyAssumptionsPriceControl_FO!AE14</f>
        <v>0.03</v>
      </c>
      <c r="AF84" s="1559">
        <f>+KeyAssumptionsPriceControl_FO!AF14</f>
        <v>0.03</v>
      </c>
      <c r="AG84" s="1559">
        <f>+KeyAssumptionsPriceControl_FO!AG14</f>
        <v>0.03</v>
      </c>
      <c r="AH84" s="1559">
        <f>+KeyAssumptionsPriceControl_FO!AH14</f>
        <v>0.03</v>
      </c>
      <c r="AI84" s="1559">
        <f>+KeyAssumptionsPriceControl_FO!AI14</f>
        <v>0.03</v>
      </c>
      <c r="AJ84" s="1559">
        <f>+KeyAssumptionsPriceControl_FO!AJ14</f>
        <v>0.03</v>
      </c>
      <c r="AK84" s="1559">
        <f>+KeyAssumptionsPriceControl_FO!AK14</f>
        <v>0.03</v>
      </c>
      <c r="AL84" s="1559">
        <f>+KeyAssumptionsPriceControl_FO!AL14</f>
        <v>0.03</v>
      </c>
      <c r="AM84" s="175"/>
      <c r="AO84" s="1307"/>
      <c r="AP84" s="1307"/>
      <c r="AQ84" s="1307"/>
      <c r="AR84" s="1307"/>
      <c r="AS84" s="1307"/>
      <c r="AT84" s="1307"/>
      <c r="AU84" s="1307"/>
      <c r="AV84" s="1307"/>
      <c r="AW84" s="1307"/>
      <c r="AX84" s="1307"/>
      <c r="AY84" s="1307"/>
      <c r="AZ84" s="1307"/>
      <c r="BA84" s="1307"/>
      <c r="BB84" s="1307"/>
      <c r="BC84" s="1307"/>
    </row>
    <row r="85" spans="3:55" x14ac:dyDescent="0.3">
      <c r="C85" s="173"/>
      <c r="D85" s="72"/>
      <c r="E85" s="72"/>
      <c r="F85" s="72" t="s">
        <v>50</v>
      </c>
      <c r="G85" s="72"/>
      <c r="H85" s="72"/>
      <c r="I85" s="72"/>
      <c r="J85" s="676"/>
      <c r="K85" s="676"/>
      <c r="L85" s="676"/>
      <c r="M85" s="676"/>
      <c r="N85" s="676"/>
      <c r="O85" s="676"/>
      <c r="P85" s="676"/>
      <c r="Q85" s="676"/>
      <c r="R85" s="676"/>
      <c r="S85" s="676"/>
      <c r="T85" s="676"/>
      <c r="U85" s="676"/>
      <c r="V85" s="676"/>
      <c r="W85" s="218">
        <f>+KeyAssumptionsPriceControl_FO!W15</f>
        <v>0.89184826472962064</v>
      </c>
      <c r="X85" s="218">
        <f>+KeyAssumptionsPriceControl_FO!X15</f>
        <v>0.90879741727199348</v>
      </c>
      <c r="Y85" s="218">
        <f>+KeyAssumptionsPriceControl_FO!Y15</f>
        <v>0.92090395480225984</v>
      </c>
      <c r="Z85" s="218">
        <f>+KeyAssumptionsPriceControl_FO!Z15</f>
        <v>0.94108151735270373</v>
      </c>
      <c r="AA85" s="218">
        <f>+KeyAssumptionsPriceControl_FO!AA15</f>
        <v>0.95157384987893467</v>
      </c>
      <c r="AB85" s="218">
        <f>+KeyAssumptionsPriceControl_FO!AB15</f>
        <v>1</v>
      </c>
      <c r="AC85" s="218">
        <f>+KeyAssumptionsPriceControl_FO!AC15</f>
        <v>1.03</v>
      </c>
      <c r="AD85" s="218">
        <f>+KeyAssumptionsPriceControl_FO!AD15</f>
        <v>1.0609</v>
      </c>
      <c r="AE85" s="218">
        <f>+KeyAssumptionsPriceControl_FO!AE15</f>
        <v>1.092727</v>
      </c>
      <c r="AF85" s="218">
        <f>+KeyAssumptionsPriceControl_FO!AF15</f>
        <v>1.1255088100000001</v>
      </c>
      <c r="AG85" s="218">
        <f>+KeyAssumptionsPriceControl_FO!AG15</f>
        <v>1.1592740743000001</v>
      </c>
      <c r="AH85" s="218">
        <f>+KeyAssumptionsPriceControl_FO!AH15</f>
        <v>1.1940522965290001</v>
      </c>
      <c r="AI85" s="218">
        <f>+KeyAssumptionsPriceControl_FO!AI15</f>
        <v>1.2298738654248702</v>
      </c>
      <c r="AJ85" s="218">
        <f>+KeyAssumptionsPriceControl_FO!AJ15</f>
        <v>1.2667700813876164</v>
      </c>
      <c r="AK85" s="218">
        <f>+KeyAssumptionsPriceControl_FO!AK15</f>
        <v>1.3047731838292449</v>
      </c>
      <c r="AL85" s="218">
        <f>+KeyAssumptionsPriceControl_FO!AL15</f>
        <v>1.3439163793441222</v>
      </c>
      <c r="AM85" s="175"/>
      <c r="AO85" s="1307"/>
      <c r="AP85" s="1307"/>
      <c r="AQ85" s="1307"/>
      <c r="AR85" s="1307"/>
      <c r="AS85" s="1307"/>
      <c r="AT85" s="1307"/>
      <c r="AU85" s="1307"/>
      <c r="AV85" s="1307"/>
      <c r="AW85" s="1307"/>
      <c r="AX85" s="1307"/>
      <c r="AY85" s="1307"/>
      <c r="AZ85" s="1307"/>
      <c r="BA85" s="1307"/>
      <c r="BB85" s="1307"/>
      <c r="BC85" s="1307"/>
    </row>
    <row r="86" spans="3:55" x14ac:dyDescent="0.3">
      <c r="C86" s="173"/>
      <c r="D86" s="72"/>
      <c r="E86" s="72"/>
      <c r="F86" s="72" t="s">
        <v>98</v>
      </c>
      <c r="G86" s="72"/>
      <c r="H86" s="72"/>
      <c r="I86" s="72"/>
      <c r="J86" s="677"/>
      <c r="K86" s="677"/>
      <c r="L86" s="677"/>
      <c r="M86" s="677"/>
      <c r="N86" s="677"/>
      <c r="O86" s="677"/>
      <c r="P86" s="677"/>
      <c r="Q86" s="677"/>
      <c r="R86" s="677"/>
      <c r="S86" s="677"/>
      <c r="T86" s="677"/>
      <c r="U86" s="677"/>
      <c r="V86" s="677"/>
      <c r="W86" s="1568">
        <f t="shared" ref="W86:AL86" si="39">+$H$90</f>
        <v>0.6</v>
      </c>
      <c r="X86" s="1568">
        <f t="shared" si="39"/>
        <v>0.6</v>
      </c>
      <c r="Y86" s="1568">
        <f t="shared" si="39"/>
        <v>0.6</v>
      </c>
      <c r="Z86" s="1568">
        <f t="shared" si="39"/>
        <v>0.6</v>
      </c>
      <c r="AA86" s="1568">
        <f t="shared" si="39"/>
        <v>0.6</v>
      </c>
      <c r="AB86" s="1568">
        <f t="shared" si="39"/>
        <v>0.6</v>
      </c>
      <c r="AC86" s="1568">
        <f t="shared" si="39"/>
        <v>0.6</v>
      </c>
      <c r="AD86" s="1568">
        <f t="shared" si="39"/>
        <v>0.6</v>
      </c>
      <c r="AE86" s="1568">
        <f t="shared" si="39"/>
        <v>0.6</v>
      </c>
      <c r="AF86" s="1568">
        <f t="shared" si="39"/>
        <v>0.6</v>
      </c>
      <c r="AG86" s="1568">
        <f t="shared" si="39"/>
        <v>0.6</v>
      </c>
      <c r="AH86" s="1568">
        <f t="shared" si="39"/>
        <v>0.6</v>
      </c>
      <c r="AI86" s="1568">
        <f t="shared" si="39"/>
        <v>0.6</v>
      </c>
      <c r="AJ86" s="1568">
        <f t="shared" si="39"/>
        <v>0.6</v>
      </c>
      <c r="AK86" s="1568">
        <f t="shared" si="39"/>
        <v>0.6</v>
      </c>
      <c r="AL86" s="1568">
        <f t="shared" si="39"/>
        <v>0.6</v>
      </c>
      <c r="AM86" s="175"/>
      <c r="AO86" s="1307"/>
      <c r="AP86" s="1307"/>
      <c r="AQ86" s="1307"/>
      <c r="AR86" s="1307"/>
      <c r="AS86" s="1307"/>
      <c r="AT86" s="1307"/>
      <c r="AU86" s="1307"/>
      <c r="AV86" s="1307"/>
      <c r="AW86" s="1307"/>
      <c r="AX86" s="1307"/>
      <c r="AY86" s="1307"/>
      <c r="AZ86" s="1307"/>
      <c r="BA86" s="1307"/>
      <c r="BB86" s="1307"/>
      <c r="BC86" s="1307"/>
    </row>
    <row r="87" spans="3:55" x14ac:dyDescent="0.3">
      <c r="C87" s="173"/>
      <c r="D87" s="72"/>
      <c r="E87" s="72"/>
      <c r="F87" s="102" t="s">
        <v>99</v>
      </c>
      <c r="G87" s="72"/>
      <c r="H87" s="72"/>
      <c r="I87" s="72"/>
      <c r="J87" s="677"/>
      <c r="K87" s="677"/>
      <c r="L87" s="677"/>
      <c r="M87" s="677"/>
      <c r="N87" s="677"/>
      <c r="O87" s="677"/>
      <c r="P87" s="677"/>
      <c r="Q87" s="677"/>
      <c r="R87" s="677"/>
      <c r="S87" s="677"/>
      <c r="T87" s="677"/>
      <c r="U87" s="677"/>
      <c r="V87" s="677"/>
      <c r="W87" s="1568">
        <f t="shared" ref="W87:AB87" si="40">+W28</f>
        <v>0.3</v>
      </c>
      <c r="X87" s="1568">
        <f t="shared" si="40"/>
        <v>0.3</v>
      </c>
      <c r="Y87" s="1568">
        <f t="shared" si="40"/>
        <v>0.3</v>
      </c>
      <c r="Z87" s="1568">
        <f t="shared" si="40"/>
        <v>0.3</v>
      </c>
      <c r="AA87" s="1568">
        <f t="shared" si="40"/>
        <v>0.3</v>
      </c>
      <c r="AB87" s="1568">
        <f t="shared" si="40"/>
        <v>0.3</v>
      </c>
      <c r="AC87" s="1568">
        <f t="shared" ref="AC87:AL87" si="41">+AC28</f>
        <v>0.3</v>
      </c>
      <c r="AD87" s="1568">
        <f t="shared" si="41"/>
        <v>0.3</v>
      </c>
      <c r="AE87" s="1568">
        <f t="shared" si="41"/>
        <v>0.3</v>
      </c>
      <c r="AF87" s="1568">
        <f t="shared" si="41"/>
        <v>0.3</v>
      </c>
      <c r="AG87" s="1568">
        <f t="shared" si="41"/>
        <v>0.3</v>
      </c>
      <c r="AH87" s="1568">
        <f t="shared" si="41"/>
        <v>0.3</v>
      </c>
      <c r="AI87" s="1568">
        <f t="shared" si="41"/>
        <v>0.3</v>
      </c>
      <c r="AJ87" s="1568">
        <f t="shared" si="41"/>
        <v>0.3</v>
      </c>
      <c r="AK87" s="1568">
        <f t="shared" si="41"/>
        <v>0.3</v>
      </c>
      <c r="AL87" s="1568">
        <f t="shared" si="41"/>
        <v>0.3</v>
      </c>
      <c r="AM87" s="175"/>
      <c r="AO87" s="1307"/>
      <c r="AP87" s="1307"/>
      <c r="AQ87" s="1307"/>
      <c r="AR87" s="1307"/>
      <c r="AS87" s="1307"/>
      <c r="AT87" s="1307"/>
      <c r="AU87" s="1307"/>
      <c r="AV87" s="1307"/>
      <c r="AW87" s="1307"/>
      <c r="AX87" s="1307"/>
      <c r="AY87" s="1307"/>
      <c r="AZ87" s="1307"/>
      <c r="BA87" s="1307"/>
      <c r="BB87" s="1307"/>
      <c r="BC87" s="1307"/>
    </row>
    <row r="88" spans="3:55" x14ac:dyDescent="0.3">
      <c r="C88" s="173"/>
      <c r="D88" s="72"/>
      <c r="E88" s="72"/>
      <c r="F88" s="72"/>
      <c r="G88" s="72"/>
      <c r="H88" s="72"/>
      <c r="I88" s="72"/>
      <c r="J88" s="221"/>
      <c r="K88" s="221"/>
      <c r="L88" s="221"/>
      <c r="M88" s="221"/>
      <c r="N88" s="221"/>
      <c r="O88" s="221"/>
      <c r="P88" s="221"/>
      <c r="Q88" s="221"/>
      <c r="R88" s="221"/>
      <c r="S88" s="178"/>
      <c r="T88" s="178"/>
      <c r="U88" s="178"/>
      <c r="V88" s="178"/>
      <c r="W88" s="178"/>
      <c r="AM88" s="175"/>
      <c r="AO88" s="1307"/>
      <c r="AP88" s="1307"/>
      <c r="AQ88" s="1307"/>
      <c r="AR88" s="1307"/>
      <c r="AS88" s="1307"/>
      <c r="AT88" s="1307"/>
      <c r="AU88" s="1307"/>
      <c r="AV88" s="1307"/>
      <c r="AW88" s="1307"/>
      <c r="AX88" s="1307"/>
      <c r="AY88" s="1307"/>
      <c r="AZ88" s="1307"/>
      <c r="BA88" s="1307"/>
      <c r="BB88" s="1307"/>
      <c r="BC88" s="1307"/>
    </row>
    <row r="89" spans="3:55" x14ac:dyDescent="0.3">
      <c r="C89" s="173"/>
      <c r="D89" s="72"/>
      <c r="E89" s="72"/>
      <c r="F89" s="72"/>
      <c r="G89" s="72"/>
      <c r="H89" s="72"/>
      <c r="I89" s="72"/>
      <c r="J89" s="72"/>
      <c r="O89" s="675"/>
      <c r="P89" s="675"/>
      <c r="Q89" s="675"/>
      <c r="R89" s="675"/>
      <c r="T89" s="675"/>
      <c r="U89" s="675"/>
      <c r="V89" s="675"/>
      <c r="W89" s="675"/>
      <c r="Y89" s="675"/>
      <c r="Z89" s="675"/>
      <c r="AA89" s="675"/>
      <c r="AB89" s="675"/>
      <c r="AC89" s="675"/>
      <c r="AD89" s="675"/>
      <c r="AE89" s="675"/>
      <c r="AF89" s="675"/>
      <c r="AG89" s="675"/>
      <c r="AH89" s="675"/>
      <c r="AI89" s="675"/>
      <c r="AJ89" s="675"/>
      <c r="AK89" s="675"/>
      <c r="AL89" s="675"/>
      <c r="AM89" s="175"/>
      <c r="AO89" s="1307"/>
      <c r="AP89" s="1307"/>
      <c r="AQ89" s="1307"/>
      <c r="AR89" s="1307"/>
      <c r="AS89" s="1307"/>
      <c r="AT89" s="1307"/>
      <c r="AU89" s="1307"/>
      <c r="AV89" s="1307"/>
      <c r="AW89" s="1307"/>
      <c r="AX89" s="1307"/>
      <c r="AY89" s="1307"/>
      <c r="AZ89" s="1307"/>
      <c r="BA89" s="1307"/>
      <c r="BB89" s="1307"/>
      <c r="BC89" s="1307"/>
    </row>
    <row r="90" spans="3:55" x14ac:dyDescent="0.3">
      <c r="C90" s="173"/>
      <c r="D90" s="72"/>
      <c r="E90" s="72"/>
      <c r="F90" s="102" t="str">
        <f>+KeyAssumptionsPriceControl_FO!F38</f>
        <v>Gearing (Debt/Assets)</v>
      </c>
      <c r="G90" s="72"/>
      <c r="H90" s="1550">
        <f>KeyAssumptionsPriceControl_FO!AC43</f>
        <v>0.6</v>
      </c>
      <c r="I90" s="72"/>
      <c r="J90" s="72"/>
      <c r="O90" s="178"/>
      <c r="P90" s="178"/>
      <c r="Q90" s="178"/>
      <c r="R90" s="178"/>
      <c r="T90" s="178"/>
      <c r="U90" s="178"/>
      <c r="V90" s="178"/>
      <c r="W90" s="178"/>
      <c r="X90" s="178"/>
      <c r="Y90" s="178"/>
      <c r="Z90" s="178"/>
      <c r="AA90" s="178"/>
      <c r="AB90" s="178"/>
      <c r="AC90" s="178"/>
      <c r="AD90" s="178"/>
      <c r="AE90" s="178"/>
      <c r="AF90" s="178"/>
      <c r="AG90" s="178"/>
      <c r="AH90" s="178"/>
      <c r="AI90" s="178"/>
      <c r="AJ90" s="178"/>
      <c r="AK90" s="178"/>
      <c r="AL90" s="178"/>
      <c r="AM90" s="175"/>
      <c r="AO90" s="1307"/>
      <c r="AP90" s="1307"/>
      <c r="AQ90" s="1307"/>
      <c r="AR90" s="1307"/>
      <c r="AS90" s="1307"/>
      <c r="AT90" s="1307"/>
      <c r="AU90" s="1307"/>
      <c r="AV90" s="1307"/>
      <c r="AW90" s="1307"/>
      <c r="AX90" s="1307"/>
      <c r="AY90" s="1307"/>
      <c r="AZ90" s="1307"/>
      <c r="BA90" s="1307"/>
      <c r="BB90" s="1307"/>
      <c r="BC90" s="1307"/>
    </row>
    <row r="91" spans="3:55" x14ac:dyDescent="0.3">
      <c r="C91" s="173"/>
      <c r="D91" s="72"/>
      <c r="E91" s="72"/>
      <c r="F91" s="72" t="s">
        <v>100</v>
      </c>
      <c r="G91" s="72"/>
      <c r="H91" s="1552">
        <f>+KeyAssumptionsPriceControl_FO!AC32</f>
        <v>4.5590838412683798E-2</v>
      </c>
      <c r="I91" s="72"/>
      <c r="J91" s="178"/>
      <c r="K91" s="178"/>
      <c r="O91" s="678"/>
      <c r="P91" s="678"/>
      <c r="Q91" s="678"/>
      <c r="R91" s="678"/>
      <c r="T91" s="178"/>
      <c r="U91" s="178"/>
      <c r="V91" s="178"/>
      <c r="W91" s="178"/>
      <c r="X91" s="178"/>
      <c r="Y91" s="178"/>
      <c r="Z91" s="178"/>
      <c r="AA91" s="178"/>
      <c r="AB91" s="178"/>
      <c r="AC91" s="2224">
        <f>KeyAssumptionsPriceControl_FO!AC32</f>
        <v>4.5590838412683798E-2</v>
      </c>
      <c r="AD91" s="2224">
        <f>KeyAssumptionsPriceControl_FO!AD32</f>
        <v>4.2291638412683803E-2</v>
      </c>
      <c r="AE91" s="2224">
        <f>KeyAssumptionsPriceControl_FO!AE32</f>
        <v>4.0684105079350476E-2</v>
      </c>
      <c r="AF91" s="2224">
        <f>KeyAssumptionsPriceControl_FO!AF32</f>
        <v>3.9167266666666666E-2</v>
      </c>
      <c r="AG91" s="2224">
        <f>KeyAssumptionsPriceControl_FO!AG32</f>
        <v>3.8012233333333333E-2</v>
      </c>
      <c r="AH91" s="2224">
        <f>KeyAssumptionsPriceControl_FO!AH32</f>
        <v>3.7237233333333335E-2</v>
      </c>
      <c r="AI91" s="2224">
        <f>KeyAssumptionsPriceControl_FO!AI32</f>
        <v>3.6377233333333335E-2</v>
      </c>
      <c r="AJ91" s="2224">
        <f>KeyAssumptionsPriceControl_FO!AJ32</f>
        <v>3.6824700000000002E-2</v>
      </c>
      <c r="AK91" s="2224">
        <f>KeyAssumptionsPriceControl_FO!AK32</f>
        <v>3.7533000000000004E-2</v>
      </c>
      <c r="AL91" s="2224">
        <f>KeyAssumptionsPriceControl_FO!AL32</f>
        <v>3.7533000000000004E-2</v>
      </c>
      <c r="AM91" s="175"/>
      <c r="AO91" s="1307"/>
      <c r="AP91" s="1307"/>
      <c r="AQ91" s="1307"/>
      <c r="AR91" s="1307"/>
      <c r="AS91" s="1307"/>
      <c r="AT91" s="1307"/>
      <c r="AU91" s="1307"/>
      <c r="AV91" s="1307"/>
      <c r="AW91" s="1307"/>
      <c r="AX91" s="1307"/>
      <c r="AY91" s="1307"/>
      <c r="AZ91" s="1307"/>
      <c r="BA91" s="1307"/>
      <c r="BB91" s="1307"/>
      <c r="BC91" s="1307"/>
    </row>
    <row r="92" spans="3:55" x14ac:dyDescent="0.3">
      <c r="C92" s="173"/>
      <c r="D92" s="72"/>
      <c r="E92" s="72"/>
      <c r="F92" s="72" t="s">
        <v>57</v>
      </c>
      <c r="G92" s="72"/>
      <c r="H92" s="1569">
        <v>0.5</v>
      </c>
      <c r="I92" s="72"/>
      <c r="J92" s="178"/>
      <c r="K92" s="178"/>
      <c r="O92" s="178"/>
      <c r="P92" s="178"/>
      <c r="Q92" s="178"/>
      <c r="R92" s="178"/>
      <c r="T92" s="178"/>
      <c r="U92" s="178"/>
      <c r="V92" s="178"/>
      <c r="W92" s="178"/>
      <c r="X92" s="178"/>
      <c r="Y92" s="178"/>
      <c r="Z92" s="178"/>
      <c r="AA92" s="178"/>
      <c r="AB92" s="178"/>
      <c r="AC92" s="178"/>
      <c r="AD92" s="178"/>
      <c r="AE92" s="178"/>
      <c r="AF92" s="178"/>
      <c r="AG92" s="178"/>
      <c r="AH92" s="178"/>
      <c r="AI92" s="178"/>
      <c r="AJ92" s="178"/>
      <c r="AK92" s="178"/>
      <c r="AL92" s="178"/>
      <c r="AM92" s="175"/>
      <c r="AO92" s="1307"/>
      <c r="AP92" s="1307"/>
      <c r="AQ92" s="1307"/>
      <c r="AR92" s="1307"/>
      <c r="AS92" s="1307"/>
      <c r="AT92" s="1307"/>
      <c r="AU92" s="1307"/>
      <c r="AV92" s="1307"/>
      <c r="AW92" s="1307"/>
      <c r="AX92" s="1307"/>
      <c r="AY92" s="1307"/>
      <c r="AZ92" s="1307"/>
      <c r="BA92" s="1307"/>
      <c r="BB92" s="1307"/>
      <c r="BC92" s="1307"/>
    </row>
    <row r="93" spans="3:55" x14ac:dyDescent="0.3">
      <c r="C93" s="173"/>
      <c r="D93" s="72"/>
      <c r="E93" s="72"/>
      <c r="F93" s="72"/>
      <c r="G93" s="72"/>
      <c r="H93" s="72"/>
      <c r="I93" s="72"/>
      <c r="J93" s="178"/>
      <c r="K93" s="223"/>
      <c r="M93" s="223"/>
      <c r="N93" s="178"/>
      <c r="O93" s="178"/>
      <c r="P93" s="178"/>
      <c r="Q93" s="178"/>
      <c r="R93" s="178"/>
      <c r="S93" s="679"/>
      <c r="T93" s="178"/>
      <c r="U93" s="178"/>
      <c r="V93" s="178"/>
      <c r="W93" s="178"/>
      <c r="X93" s="178"/>
      <c r="Y93" s="178"/>
      <c r="Z93" s="178"/>
      <c r="AA93" s="178"/>
      <c r="AB93" s="178"/>
      <c r="AC93" s="178"/>
      <c r="AD93" s="178"/>
      <c r="AE93" s="178"/>
      <c r="AF93" s="178"/>
      <c r="AG93" s="178"/>
      <c r="AH93" s="178"/>
      <c r="AI93" s="178"/>
      <c r="AJ93" s="178"/>
      <c r="AK93" s="178"/>
      <c r="AL93" s="178"/>
      <c r="AM93" s="175"/>
      <c r="AO93" s="1307"/>
      <c r="AP93" s="1307"/>
      <c r="AQ93" s="1307"/>
      <c r="AR93" s="1307"/>
      <c r="AS93" s="1307"/>
      <c r="AT93" s="1307"/>
      <c r="AU93" s="1307"/>
      <c r="AV93" s="1307"/>
      <c r="AW93" s="1307"/>
      <c r="AX93" s="1307"/>
      <c r="AY93" s="1307"/>
      <c r="AZ93" s="1307"/>
      <c r="BA93" s="1307"/>
      <c r="BB93" s="1307"/>
      <c r="BC93" s="1307"/>
    </row>
    <row r="94" spans="3:55" x14ac:dyDescent="0.3">
      <c r="C94" s="173"/>
      <c r="D94" s="72"/>
      <c r="E94" s="72"/>
      <c r="F94" s="72"/>
      <c r="G94" s="72"/>
      <c r="H94" s="72"/>
      <c r="I94" s="72"/>
      <c r="J94" s="178"/>
      <c r="K94" s="223"/>
      <c r="M94" s="223"/>
      <c r="N94" s="178"/>
      <c r="O94" s="178"/>
      <c r="P94" s="178"/>
      <c r="Q94" s="178"/>
      <c r="R94" s="178"/>
      <c r="S94" s="679"/>
      <c r="T94" s="178"/>
      <c r="U94" s="178"/>
      <c r="V94" s="178"/>
      <c r="W94" s="178"/>
      <c r="X94" s="178"/>
      <c r="Y94" s="178"/>
      <c r="Z94" s="178"/>
      <c r="AA94" s="178"/>
      <c r="AB94" s="178"/>
      <c r="AC94" s="178"/>
      <c r="AD94" s="178"/>
      <c r="AE94" s="178"/>
      <c r="AF94" s="178"/>
      <c r="AG94" s="178"/>
      <c r="AH94" s="178"/>
      <c r="AI94" s="178"/>
      <c r="AJ94" s="178"/>
      <c r="AK94" s="178"/>
      <c r="AL94" s="178"/>
      <c r="AM94" s="175"/>
      <c r="AO94" s="1307"/>
      <c r="AP94" s="1307"/>
      <c r="AQ94" s="1307"/>
      <c r="AR94" s="1307"/>
      <c r="AS94" s="1307"/>
      <c r="AT94" s="1307"/>
      <c r="AU94" s="1307"/>
      <c r="AV94" s="1307"/>
      <c r="AW94" s="1307"/>
      <c r="AX94" s="1307"/>
      <c r="AY94" s="1307"/>
      <c r="AZ94" s="1307"/>
      <c r="BA94" s="1307"/>
      <c r="BB94" s="1307"/>
      <c r="BC94" s="1307"/>
    </row>
    <row r="95" spans="3:55" x14ac:dyDescent="0.3">
      <c r="C95" s="173"/>
      <c r="D95" s="72"/>
      <c r="E95" s="72"/>
      <c r="F95" s="105" t="s">
        <v>101</v>
      </c>
      <c r="G95" s="72"/>
      <c r="H95" s="72"/>
      <c r="I95" s="72"/>
      <c r="J95" s="680"/>
      <c r="K95" s="223"/>
      <c r="L95" s="223"/>
      <c r="M95" s="223"/>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c r="AM95" s="175"/>
      <c r="AO95" s="1307"/>
      <c r="AP95" s="1307"/>
      <c r="AQ95" s="1307"/>
      <c r="AR95" s="1307"/>
      <c r="AS95" s="1307"/>
      <c r="AT95" s="1307"/>
      <c r="AU95" s="1307"/>
      <c r="AV95" s="1307"/>
      <c r="AW95" s="1307"/>
      <c r="AX95" s="1307"/>
      <c r="AY95" s="1307"/>
      <c r="AZ95" s="1307"/>
      <c r="BA95" s="1307"/>
      <c r="BB95" s="1307"/>
      <c r="BC95" s="1307"/>
    </row>
    <row r="96" spans="3:55" x14ac:dyDescent="0.3">
      <c r="C96" s="173"/>
      <c r="D96" s="72"/>
      <c r="E96" s="72"/>
      <c r="F96" s="72"/>
      <c r="G96" s="72"/>
      <c r="H96" s="72"/>
      <c r="I96" s="72"/>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c r="AJ96" s="178"/>
      <c r="AK96" s="178"/>
      <c r="AL96" s="178"/>
      <c r="AM96" s="175"/>
      <c r="AO96" s="1307"/>
      <c r="AP96" s="1307"/>
      <c r="AQ96" s="1307"/>
      <c r="AR96" s="1307"/>
      <c r="AS96" s="1307"/>
      <c r="AT96" s="1307"/>
      <c r="AU96" s="1307"/>
      <c r="AV96" s="1307"/>
      <c r="AW96" s="1307"/>
      <c r="AX96" s="1307"/>
      <c r="AY96" s="1307"/>
      <c r="AZ96" s="1307"/>
      <c r="BA96" s="1307"/>
      <c r="BB96" s="1307"/>
      <c r="BC96" s="1307"/>
    </row>
    <row r="97" spans="3:55" x14ac:dyDescent="0.3">
      <c r="C97" s="173"/>
      <c r="D97" s="72"/>
      <c r="F97" s="1259" t="str">
        <f>Expenditure_Detail!$B$6</f>
        <v>$m, 01/01/23</v>
      </c>
      <c r="G97" s="72"/>
      <c r="H97" s="72"/>
      <c r="I97" s="72"/>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c r="AM97" s="175"/>
      <c r="AO97" s="1307"/>
      <c r="AP97" s="1307"/>
      <c r="AQ97" s="1307"/>
      <c r="AR97" s="1307"/>
      <c r="AS97" s="1307"/>
      <c r="AT97" s="1307"/>
      <c r="AU97" s="1307"/>
      <c r="AV97" s="1307"/>
      <c r="AW97" s="1307"/>
      <c r="AX97" s="1307"/>
      <c r="AY97" s="1307"/>
      <c r="AZ97" s="1307"/>
      <c r="BA97" s="1307"/>
      <c r="BB97" s="1307"/>
      <c r="BC97" s="1307"/>
    </row>
    <row r="98" spans="3:55" x14ac:dyDescent="0.3">
      <c r="C98" s="173"/>
      <c r="D98" s="72"/>
      <c r="E98" s="72"/>
      <c r="F98" s="72" t="s">
        <v>73</v>
      </c>
      <c r="G98" s="72"/>
      <c r="H98" s="72"/>
      <c r="I98" s="72"/>
      <c r="J98" s="297"/>
      <c r="K98" s="297"/>
      <c r="L98" s="297"/>
      <c r="M98" s="297"/>
      <c r="N98" s="462"/>
      <c r="O98" s="462"/>
      <c r="P98" s="462"/>
      <c r="Q98" s="462"/>
      <c r="R98" s="462"/>
      <c r="S98" s="275"/>
      <c r="T98" s="275"/>
      <c r="U98" s="275"/>
      <c r="V98" s="275"/>
      <c r="W98" s="275"/>
      <c r="X98" s="178"/>
      <c r="Y98" s="178"/>
      <c r="Z98" s="178"/>
      <c r="AA98" s="178"/>
      <c r="AB98" s="178"/>
      <c r="AC98" s="1527">
        <f t="shared" ref="AC98:AG98" si="42">SUM(AC15:AC19)</f>
        <v>104.06385545438683</v>
      </c>
      <c r="AD98" s="1527">
        <f t="shared" si="42"/>
        <v>106.94004285484651</v>
      </c>
      <c r="AE98" s="1527">
        <f t="shared" si="42"/>
        <v>109.18152309433378</v>
      </c>
      <c r="AF98" s="1527">
        <f t="shared" si="42"/>
        <v>110.44864096807545</v>
      </c>
      <c r="AG98" s="1527">
        <f t="shared" si="42"/>
        <v>112.64392838684086</v>
      </c>
      <c r="AH98" s="1527">
        <f>SUM(AH15:AH19)</f>
        <v>113.55355703070398</v>
      </c>
      <c r="AI98" s="1527">
        <f>SUM(AI15:AI19)</f>
        <v>117.47740651207143</v>
      </c>
      <c r="AJ98" s="1527">
        <f>SUM(AJ15:AJ19)</f>
        <v>120.68759999466666</v>
      </c>
      <c r="AK98" s="1527">
        <f>SUM(AK15:AK19)</f>
        <v>122.54619296245453</v>
      </c>
      <c r="AL98" s="1527">
        <f>SUM(AL15:AL19)</f>
        <v>124.09461026616941</v>
      </c>
      <c r="AM98" s="175"/>
      <c r="AO98" s="1307"/>
      <c r="AP98" s="1307"/>
      <c r="AQ98" s="1307"/>
      <c r="AR98" s="1307"/>
      <c r="AS98" s="1307"/>
      <c r="AT98" s="1307"/>
      <c r="AU98" s="1307"/>
      <c r="AV98" s="1307"/>
      <c r="AW98" s="1307"/>
      <c r="AX98" s="1307"/>
      <c r="AY98" s="1307"/>
      <c r="AZ98" s="1307"/>
      <c r="BA98" s="1307"/>
      <c r="BB98" s="1307"/>
      <c r="BC98" s="1307"/>
    </row>
    <row r="99" spans="3:55" x14ac:dyDescent="0.3">
      <c r="C99" s="173"/>
      <c r="D99" s="72"/>
      <c r="E99" s="72"/>
      <c r="F99" s="72" t="s">
        <v>23</v>
      </c>
      <c r="G99" s="72"/>
      <c r="H99" s="72"/>
      <c r="I99" s="72"/>
      <c r="J99" s="297"/>
      <c r="K99" s="297"/>
      <c r="L99" s="297"/>
      <c r="M99" s="297"/>
      <c r="N99" s="462"/>
      <c r="O99" s="462"/>
      <c r="P99" s="462"/>
      <c r="Q99" s="462"/>
      <c r="R99" s="462"/>
      <c r="S99" s="275"/>
      <c r="T99" s="275"/>
      <c r="U99" s="275"/>
      <c r="V99" s="275"/>
      <c r="W99" s="275"/>
      <c r="X99" s="178"/>
      <c r="Y99" s="178"/>
      <c r="Z99" s="178"/>
      <c r="AA99" s="178"/>
      <c r="AB99" s="178"/>
      <c r="AC99" s="297">
        <f t="shared" ref="AC99:AG100" si="43">+AC73</f>
        <v>4.51</v>
      </c>
      <c r="AD99" s="297">
        <f t="shared" si="43"/>
        <v>6.15</v>
      </c>
      <c r="AE99" s="297">
        <f t="shared" si="43"/>
        <v>7.91</v>
      </c>
      <c r="AF99" s="297">
        <f t="shared" si="43"/>
        <v>9.86</v>
      </c>
      <c r="AG99" s="297">
        <f t="shared" si="43"/>
        <v>12.16</v>
      </c>
      <c r="AH99" s="297">
        <f t="shared" ref="AH99:AL100" si="44">+AH73</f>
        <v>17.600000000000001</v>
      </c>
      <c r="AI99" s="297">
        <f t="shared" si="44"/>
        <v>17.600000000000001</v>
      </c>
      <c r="AJ99" s="297">
        <f t="shared" si="44"/>
        <v>17.600000000000001</v>
      </c>
      <c r="AK99" s="297">
        <f t="shared" si="44"/>
        <v>17.600000000000001</v>
      </c>
      <c r="AL99" s="297">
        <f t="shared" si="44"/>
        <v>17.600000000000001</v>
      </c>
      <c r="AM99" s="175"/>
      <c r="AO99" s="1307"/>
      <c r="AP99" s="1307"/>
      <c r="AQ99" s="1307"/>
      <c r="AR99" s="1307"/>
      <c r="AS99" s="1307"/>
      <c r="AT99" s="1307"/>
      <c r="AU99" s="1307"/>
      <c r="AV99" s="1307"/>
      <c r="AW99" s="1307"/>
      <c r="AX99" s="1307"/>
      <c r="AY99" s="1307"/>
      <c r="AZ99" s="1307"/>
      <c r="BA99" s="1307"/>
      <c r="BB99" s="1307"/>
      <c r="BC99" s="1307"/>
    </row>
    <row r="100" spans="3:55" x14ac:dyDescent="0.3">
      <c r="C100" s="173"/>
      <c r="D100" s="72"/>
      <c r="E100" s="72"/>
      <c r="F100" s="72" t="s">
        <v>20</v>
      </c>
      <c r="G100" s="72"/>
      <c r="H100" s="72"/>
      <c r="I100" s="72"/>
      <c r="J100" s="297"/>
      <c r="K100" s="297"/>
      <c r="L100" s="297"/>
      <c r="M100" s="297"/>
      <c r="N100" s="462"/>
      <c r="O100" s="462"/>
      <c r="P100" s="462"/>
      <c r="Q100" s="462"/>
      <c r="R100" s="462"/>
      <c r="S100" s="275"/>
      <c r="T100" s="275"/>
      <c r="U100" s="275"/>
      <c r="V100" s="275"/>
      <c r="W100" s="275"/>
      <c r="X100" s="178"/>
      <c r="Y100" s="178"/>
      <c r="Z100" s="178"/>
      <c r="AA100" s="178"/>
      <c r="AB100" s="178"/>
      <c r="AC100" s="297">
        <f t="shared" si="43"/>
        <v>0</v>
      </c>
      <c r="AD100" s="297">
        <f t="shared" si="43"/>
        <v>0</v>
      </c>
      <c r="AE100" s="297">
        <f t="shared" si="43"/>
        <v>0</v>
      </c>
      <c r="AF100" s="297">
        <f t="shared" si="43"/>
        <v>0</v>
      </c>
      <c r="AG100" s="297">
        <f t="shared" si="43"/>
        <v>0</v>
      </c>
      <c r="AH100" s="297">
        <f t="shared" si="44"/>
        <v>0</v>
      </c>
      <c r="AI100" s="297">
        <f t="shared" si="44"/>
        <v>0</v>
      </c>
      <c r="AJ100" s="297">
        <f t="shared" si="44"/>
        <v>0</v>
      </c>
      <c r="AK100" s="297">
        <f t="shared" si="44"/>
        <v>0</v>
      </c>
      <c r="AL100" s="297">
        <f t="shared" si="44"/>
        <v>0</v>
      </c>
      <c r="AM100" s="175"/>
      <c r="AO100" s="1307"/>
      <c r="AP100" s="1307"/>
      <c r="AQ100" s="1307"/>
      <c r="AR100" s="1307"/>
      <c r="AS100" s="1307"/>
      <c r="AT100" s="1307"/>
      <c r="AU100" s="1307"/>
      <c r="AV100" s="1307"/>
      <c r="AW100" s="1307"/>
      <c r="AX100" s="1307"/>
      <c r="AY100" s="1307"/>
      <c r="AZ100" s="1307"/>
      <c r="BA100" s="1307"/>
      <c r="BB100" s="1307"/>
      <c r="BC100" s="1307"/>
    </row>
    <row r="101" spans="3:55" x14ac:dyDescent="0.3">
      <c r="C101" s="173"/>
      <c r="D101" s="72"/>
      <c r="E101" s="72"/>
      <c r="F101" s="72" t="s">
        <v>18</v>
      </c>
      <c r="G101" s="72"/>
      <c r="H101" s="72"/>
      <c r="I101" s="72"/>
      <c r="J101" s="297"/>
      <c r="K101" s="297"/>
      <c r="L101" s="297"/>
      <c r="M101" s="297"/>
      <c r="N101" s="462"/>
      <c r="O101" s="462"/>
      <c r="P101" s="462"/>
      <c r="Q101" s="462"/>
      <c r="R101" s="462"/>
      <c r="S101" s="275"/>
      <c r="T101" s="275"/>
      <c r="U101" s="275"/>
      <c r="V101" s="275"/>
      <c r="W101" s="275"/>
      <c r="X101" s="178"/>
      <c r="Y101" s="178"/>
      <c r="Z101" s="178"/>
      <c r="AA101" s="178"/>
      <c r="AB101" s="178"/>
      <c r="AC101" s="297">
        <f>ExpSummary_FO!AC24</f>
        <v>25.9</v>
      </c>
      <c r="AD101" s="297">
        <f>ExpSummary_FO!AD24</f>
        <v>26.158999999999999</v>
      </c>
      <c r="AE101" s="297">
        <f>ExpSummary_FO!AE24</f>
        <v>26.420590000000001</v>
      </c>
      <c r="AF101" s="297">
        <f>ExpSummary_FO!AF24</f>
        <v>26.684795900000001</v>
      </c>
      <c r="AG101" s="297">
        <f>ExpSummary_FO!AG24</f>
        <v>26.951643859000001</v>
      </c>
      <c r="AH101" s="297">
        <f>ExpSummary_FO!AH24</f>
        <v>27.22116029759</v>
      </c>
      <c r="AI101" s="297">
        <f>ExpSummary_FO!AI24</f>
        <v>27.493371900565901</v>
      </c>
      <c r="AJ101" s="297">
        <f>ExpSummary_FO!AJ24</f>
        <v>27.76830561957156</v>
      </c>
      <c r="AK101" s="297">
        <f>ExpSummary_FO!AK24</f>
        <v>28.045988675767276</v>
      </c>
      <c r="AL101" s="297">
        <f>ExpSummary_FO!AL24</f>
        <v>28.326448562524948</v>
      </c>
      <c r="AM101" s="175"/>
      <c r="AO101" s="1307"/>
      <c r="AP101" s="1307"/>
      <c r="AQ101" s="1307"/>
      <c r="AR101" s="1307"/>
      <c r="AS101" s="1307"/>
      <c r="AT101" s="1307"/>
      <c r="AU101" s="1307"/>
      <c r="AV101" s="1307"/>
      <c r="AW101" s="1307"/>
      <c r="AX101" s="1307"/>
      <c r="AY101" s="1307"/>
      <c r="AZ101" s="1307"/>
      <c r="BA101" s="1307"/>
      <c r="BB101" s="1307"/>
      <c r="BC101" s="1307"/>
    </row>
    <row r="102" spans="3:55" x14ac:dyDescent="0.3">
      <c r="C102" s="173"/>
      <c r="D102" s="72"/>
      <c r="E102" s="72"/>
      <c r="F102" s="72" t="s">
        <v>102</v>
      </c>
      <c r="G102" s="72"/>
      <c r="H102" s="72"/>
      <c r="I102" s="72"/>
      <c r="J102" s="297"/>
      <c r="K102" s="297"/>
      <c r="L102" s="297"/>
      <c r="M102" s="297"/>
      <c r="N102" s="462"/>
      <c r="O102" s="462"/>
      <c r="P102" s="462"/>
      <c r="Q102" s="462"/>
      <c r="R102" s="462"/>
      <c r="S102" s="275"/>
      <c r="T102" s="275"/>
      <c r="U102" s="275"/>
      <c r="V102" s="275"/>
      <c r="W102" s="275"/>
      <c r="X102" s="178"/>
      <c r="Y102" s="178"/>
      <c r="Z102" s="178"/>
      <c r="AA102" s="178"/>
      <c r="AB102" s="178"/>
      <c r="AC102" s="297">
        <f t="shared" ref="AC102:AG102" si="45">+AC15</f>
        <v>72.169469837930734</v>
      </c>
      <c r="AD102" s="297">
        <f t="shared" si="45"/>
        <v>74.399449166374168</v>
      </c>
      <c r="AE102" s="297">
        <f t="shared" si="45"/>
        <v>75.691158800394518</v>
      </c>
      <c r="AF102" s="297">
        <f t="shared" si="45"/>
        <v>75.980141983741191</v>
      </c>
      <c r="AG102" s="297">
        <f t="shared" si="45"/>
        <v>77.011878971844908</v>
      </c>
      <c r="AH102" s="297">
        <f>+AH15</f>
        <v>75.47114933831196</v>
      </c>
      <c r="AI102" s="297">
        <f>+AI15</f>
        <v>76.201399553889303</v>
      </c>
      <c r="AJ102" s="297">
        <f>+AJ15</f>
        <v>76.943675197668682</v>
      </c>
      <c r="AK102" s="297">
        <f>+AK15</f>
        <v>77.698057986918883</v>
      </c>
      <c r="AL102" s="297">
        <f>+AL15</f>
        <v>78.464631841579532</v>
      </c>
      <c r="AM102" s="175"/>
      <c r="AO102" s="1307"/>
      <c r="AP102" s="1307"/>
      <c r="AQ102" s="1307"/>
      <c r="AR102" s="1307"/>
      <c r="AS102" s="1307"/>
      <c r="AT102" s="1307"/>
      <c r="AU102" s="1307"/>
      <c r="AV102" s="1307"/>
      <c r="AW102" s="1307"/>
      <c r="AX102" s="1307"/>
      <c r="AY102" s="1307"/>
      <c r="AZ102" s="1307"/>
      <c r="BA102" s="1307"/>
      <c r="BB102" s="1307"/>
      <c r="BC102" s="1307"/>
    </row>
    <row r="103" spans="3:55" x14ac:dyDescent="0.3">
      <c r="C103" s="173"/>
      <c r="D103" s="72"/>
      <c r="E103" s="72"/>
      <c r="F103" s="72" t="s">
        <v>103</v>
      </c>
      <c r="G103" s="72"/>
      <c r="H103" s="72"/>
      <c r="I103" s="72"/>
      <c r="J103" s="297"/>
      <c r="K103" s="297"/>
      <c r="L103" s="297"/>
      <c r="M103" s="297"/>
      <c r="N103" s="462"/>
      <c r="O103" s="462"/>
      <c r="P103" s="462"/>
      <c r="Q103" s="462"/>
      <c r="R103" s="462"/>
      <c r="S103" s="275"/>
      <c r="T103" s="275"/>
      <c r="U103" s="275"/>
      <c r="V103" s="275"/>
      <c r="W103" s="275"/>
      <c r="X103" s="178"/>
      <c r="Y103" s="178"/>
      <c r="Z103" s="178"/>
      <c r="AA103" s="178"/>
      <c r="AB103" s="178"/>
      <c r="AC103" s="297">
        <f t="shared" ref="AC103:AG103" si="46">+AC62+AC45</f>
        <v>431.24012203585329</v>
      </c>
      <c r="AD103" s="297">
        <f t="shared" si="46"/>
        <v>451.10558990016818</v>
      </c>
      <c r="AE103" s="297">
        <f t="shared" si="46"/>
        <v>470.29648717486032</v>
      </c>
      <c r="AF103" s="297">
        <f t="shared" si="46"/>
        <v>489.66216007764183</v>
      </c>
      <c r="AG103" s="297">
        <f t="shared" si="46"/>
        <v>509.88229755199274</v>
      </c>
      <c r="AH103" s="297">
        <f>+AH62+AH45</f>
        <v>547.03420675502912</v>
      </c>
      <c r="AI103" s="297">
        <f>+AI62+AI45</f>
        <v>597.87256499740261</v>
      </c>
      <c r="AJ103" s="297">
        <f>+AJ62+AJ45</f>
        <v>631.46745534198305</v>
      </c>
      <c r="AK103" s="297">
        <f>+AK62+AK45</f>
        <v>643.91763852936288</v>
      </c>
      <c r="AL103" s="297">
        <f>+AL62+AL45</f>
        <v>655.17079312282021</v>
      </c>
      <c r="AM103" s="175"/>
      <c r="AO103" s="1307"/>
      <c r="AP103" s="1307"/>
      <c r="AQ103" s="1307"/>
      <c r="AR103" s="1307"/>
      <c r="AS103" s="1307"/>
      <c r="AT103" s="1307"/>
      <c r="AU103" s="1307"/>
      <c r="AV103" s="1307"/>
      <c r="AW103" s="1307"/>
      <c r="AX103" s="1307"/>
      <c r="AY103" s="1307"/>
      <c r="AZ103" s="1307"/>
      <c r="BA103" s="1307"/>
      <c r="BB103" s="1307"/>
      <c r="BC103" s="1307"/>
    </row>
    <row r="104" spans="3:55" x14ac:dyDescent="0.3">
      <c r="C104" s="173"/>
      <c r="D104" s="72"/>
      <c r="E104" s="72"/>
      <c r="F104" s="206" t="s">
        <v>104</v>
      </c>
      <c r="G104" s="72"/>
      <c r="H104" s="72"/>
      <c r="I104" s="72"/>
      <c r="J104" s="297"/>
      <c r="K104" s="297"/>
      <c r="L104" s="297"/>
      <c r="M104" s="297"/>
      <c r="N104" s="462"/>
      <c r="O104" s="462"/>
      <c r="P104" s="462"/>
      <c r="Q104" s="462"/>
      <c r="R104" s="462"/>
      <c r="S104" s="275"/>
      <c r="T104" s="275"/>
      <c r="U104" s="275"/>
      <c r="V104" s="275"/>
      <c r="W104" s="275"/>
      <c r="X104" s="178"/>
      <c r="Y104" s="178"/>
      <c r="Z104" s="178"/>
      <c r="AA104" s="178"/>
      <c r="AB104" s="178"/>
      <c r="AC104" s="297">
        <f t="shared" ref="AC104:AG104" si="47">+AC103*AC86</f>
        <v>258.74407322151194</v>
      </c>
      <c r="AD104" s="297">
        <f t="shared" si="47"/>
        <v>270.66335394010088</v>
      </c>
      <c r="AE104" s="297">
        <f t="shared" si="47"/>
        <v>282.17789230491616</v>
      </c>
      <c r="AF104" s="297">
        <f t="shared" si="47"/>
        <v>293.79729604658507</v>
      </c>
      <c r="AG104" s="297">
        <f t="shared" si="47"/>
        <v>305.92937853119565</v>
      </c>
      <c r="AH104" s="297">
        <f>+AH103*AH86</f>
        <v>328.22052405301747</v>
      </c>
      <c r="AI104" s="297">
        <f>+AI103*AI86</f>
        <v>358.72353899844154</v>
      </c>
      <c r="AJ104" s="297">
        <f>+AJ103*AJ86</f>
        <v>378.88047320518984</v>
      </c>
      <c r="AK104" s="297">
        <f>+AK103*AK86</f>
        <v>386.3505831176177</v>
      </c>
      <c r="AL104" s="297">
        <f>+AL103*AL86</f>
        <v>393.10247587369213</v>
      </c>
      <c r="AM104" s="175"/>
      <c r="AO104" s="1307"/>
      <c r="AP104" s="1307"/>
      <c r="AQ104" s="1307"/>
      <c r="AR104" s="1307"/>
      <c r="AS104" s="1307"/>
      <c r="AT104" s="1307"/>
      <c r="AU104" s="1307"/>
      <c r="AV104" s="1307"/>
      <c r="AW104" s="1307"/>
      <c r="AX104" s="1307"/>
      <c r="AY104" s="1307"/>
      <c r="AZ104" s="1307"/>
      <c r="BA104" s="1307"/>
      <c r="BB104" s="1307"/>
      <c r="BC104" s="1307"/>
    </row>
    <row r="105" spans="3:55" x14ac:dyDescent="0.3">
      <c r="C105" s="173"/>
      <c r="D105" s="72"/>
      <c r="E105" s="72"/>
      <c r="F105" s="72"/>
      <c r="G105" s="72"/>
      <c r="H105" s="72"/>
      <c r="I105" s="72"/>
      <c r="J105" s="297"/>
      <c r="K105" s="297"/>
      <c r="L105" s="297"/>
      <c r="M105" s="297"/>
      <c r="N105" s="462"/>
      <c r="O105" s="462"/>
      <c r="P105" s="462"/>
      <c r="Q105" s="462"/>
      <c r="R105" s="462"/>
      <c r="S105" s="275"/>
      <c r="T105" s="275"/>
      <c r="U105" s="275"/>
      <c r="V105" s="275"/>
      <c r="W105" s="275"/>
      <c r="X105" s="178"/>
      <c r="Y105" s="178"/>
      <c r="Z105" s="178"/>
      <c r="AA105" s="178"/>
      <c r="AB105" s="178"/>
      <c r="AC105" s="462"/>
      <c r="AD105" s="462"/>
      <c r="AE105" s="462"/>
      <c r="AF105" s="462"/>
      <c r="AG105" s="462"/>
      <c r="AH105" s="462"/>
      <c r="AI105" s="462"/>
      <c r="AJ105" s="462"/>
      <c r="AK105" s="462"/>
      <c r="AL105" s="462"/>
      <c r="AM105" s="175"/>
      <c r="AO105" s="1307"/>
      <c r="AP105" s="1307"/>
      <c r="AQ105" s="1307"/>
      <c r="AR105" s="1307"/>
      <c r="AS105" s="1307"/>
      <c r="AT105" s="1307"/>
      <c r="AU105" s="1307"/>
      <c r="AV105" s="1307"/>
      <c r="AW105" s="1307"/>
      <c r="AX105" s="1307"/>
      <c r="AY105" s="1307"/>
      <c r="AZ105" s="1307"/>
      <c r="BA105" s="1307"/>
      <c r="BB105" s="1307"/>
      <c r="BC105" s="1307"/>
    </row>
    <row r="106" spans="3:55" x14ac:dyDescent="0.3">
      <c r="C106" s="173"/>
      <c r="D106" s="72"/>
      <c r="F106" s="681" t="s">
        <v>105</v>
      </c>
      <c r="G106" s="72"/>
      <c r="H106" s="72"/>
      <c r="I106" s="72"/>
      <c r="J106" s="297"/>
      <c r="K106" s="297"/>
      <c r="L106" s="297"/>
      <c r="M106" s="297"/>
      <c r="N106" s="462"/>
      <c r="O106" s="462"/>
      <c r="P106" s="462"/>
      <c r="Q106" s="462"/>
      <c r="R106" s="462"/>
      <c r="S106" s="275"/>
      <c r="T106" s="275"/>
      <c r="U106" s="275"/>
      <c r="V106" s="275"/>
      <c r="W106" s="275"/>
      <c r="X106" s="178"/>
      <c r="Y106" s="178"/>
      <c r="Z106" s="178"/>
      <c r="AA106" s="178"/>
      <c r="AB106" s="178"/>
      <c r="AC106" s="462"/>
      <c r="AD106" s="462"/>
      <c r="AE106" s="462"/>
      <c r="AF106" s="462"/>
      <c r="AG106" s="462"/>
      <c r="AH106" s="462"/>
      <c r="AI106" s="462"/>
      <c r="AJ106" s="462"/>
      <c r="AK106" s="462"/>
      <c r="AL106" s="462"/>
      <c r="AM106" s="175"/>
      <c r="AO106" s="1307"/>
      <c r="AP106" s="1307"/>
      <c r="AQ106" s="1307"/>
      <c r="AR106" s="1307"/>
      <c r="AS106" s="1307"/>
      <c r="AT106" s="1307"/>
      <c r="AU106" s="1307"/>
      <c r="AV106" s="1307"/>
      <c r="AW106" s="1307"/>
      <c r="AX106" s="1307"/>
      <c r="AY106" s="1307"/>
      <c r="AZ106" s="1307"/>
      <c r="BA106" s="1307"/>
      <c r="BB106" s="1307"/>
      <c r="BC106" s="1307"/>
    </row>
    <row r="107" spans="3:55" x14ac:dyDescent="0.3">
      <c r="C107" s="173"/>
      <c r="D107" s="72"/>
      <c r="E107" s="72"/>
      <c r="F107" s="72" t="s">
        <v>73</v>
      </c>
      <c r="G107" s="72"/>
      <c r="H107" s="72"/>
      <c r="I107" s="72"/>
      <c r="J107" s="297"/>
      <c r="K107" s="297"/>
      <c r="L107" s="297"/>
      <c r="M107" s="297"/>
      <c r="N107" s="462"/>
      <c r="O107" s="462"/>
      <c r="P107" s="462"/>
      <c r="Q107" s="462"/>
      <c r="R107" s="462"/>
      <c r="S107" s="275"/>
      <c r="T107" s="275"/>
      <c r="U107" s="275"/>
      <c r="V107" s="275"/>
      <c r="W107" s="275"/>
      <c r="X107" s="178"/>
      <c r="Y107" s="178"/>
      <c r="Z107" s="178"/>
      <c r="AA107" s="178"/>
      <c r="AB107" s="178"/>
      <c r="AC107" s="297">
        <f t="shared" ref="AC107:AG109" si="48">+AC98*AC$85</f>
        <v>107.18577111801844</v>
      </c>
      <c r="AD107" s="297">
        <f t="shared" si="48"/>
        <v>113.45269146470666</v>
      </c>
      <c r="AE107" s="297">
        <f t="shared" si="48"/>
        <v>119.30559818630208</v>
      </c>
      <c r="AF107" s="297">
        <f t="shared" si="48"/>
        <v>124.31091846209587</v>
      </c>
      <c r="AG107" s="297">
        <f t="shared" si="48"/>
        <v>130.58518580617044</v>
      </c>
      <c r="AH107" s="297">
        <f t="shared" ref="AH107:AL111" si="49">+AH98*AH$85</f>
        <v>135.58888555154888</v>
      </c>
      <c r="AI107" s="297">
        <f t="shared" si="49"/>
        <v>144.48239204709012</v>
      </c>
      <c r="AJ107" s="297">
        <f t="shared" si="49"/>
        <v>152.88344086771997</v>
      </c>
      <c r="AK107" s="297">
        <f t="shared" si="49"/>
        <v>159.8949863577748</v>
      </c>
      <c r="AL107" s="297">
        <f t="shared" si="49"/>
        <v>166.77277932503034</v>
      </c>
      <c r="AM107" s="175"/>
      <c r="AO107" s="1307"/>
      <c r="AP107" s="1307"/>
      <c r="AQ107" s="1307"/>
      <c r="AR107" s="1307"/>
      <c r="AS107" s="1307"/>
      <c r="AT107" s="1307"/>
      <c r="AU107" s="1307"/>
      <c r="AV107" s="1307"/>
      <c r="AW107" s="1307"/>
      <c r="AX107" s="1307"/>
      <c r="AY107" s="1307"/>
      <c r="AZ107" s="1307"/>
      <c r="BA107" s="1307"/>
      <c r="BB107" s="1307"/>
      <c r="BC107" s="1307"/>
    </row>
    <row r="108" spans="3:55" x14ac:dyDescent="0.3">
      <c r="C108" s="173"/>
      <c r="D108" s="72"/>
      <c r="E108" s="72"/>
      <c r="F108" s="72" t="s">
        <v>23</v>
      </c>
      <c r="G108" s="72"/>
      <c r="H108" s="72"/>
      <c r="I108" s="72"/>
      <c r="J108" s="297"/>
      <c r="K108" s="297"/>
      <c r="L108" s="297"/>
      <c r="M108" s="297"/>
      <c r="N108" s="462"/>
      <c r="O108" s="462"/>
      <c r="P108" s="462"/>
      <c r="Q108" s="462"/>
      <c r="R108" s="462"/>
      <c r="S108" s="275"/>
      <c r="T108" s="275"/>
      <c r="U108" s="275"/>
      <c r="V108" s="275"/>
      <c r="W108" s="275"/>
      <c r="X108" s="178"/>
      <c r="Y108" s="178"/>
      <c r="Z108" s="178"/>
      <c r="AA108" s="178"/>
      <c r="AB108" s="178"/>
      <c r="AC108" s="297">
        <f t="shared" si="48"/>
        <v>4.6452999999999998</v>
      </c>
      <c r="AD108" s="297">
        <f t="shared" si="48"/>
        <v>6.5245350000000002</v>
      </c>
      <c r="AE108" s="297">
        <f t="shared" si="48"/>
        <v>8.6434705699999999</v>
      </c>
      <c r="AF108" s="297">
        <f t="shared" si="48"/>
        <v>11.097516866600001</v>
      </c>
      <c r="AG108" s="297">
        <f t="shared" si="48"/>
        <v>14.096772743488001</v>
      </c>
      <c r="AH108" s="297">
        <f t="shared" si="49"/>
        <v>21.015320418910402</v>
      </c>
      <c r="AI108" s="297">
        <f t="shared" si="49"/>
        <v>21.645780031477717</v>
      </c>
      <c r="AJ108" s="297">
        <f t="shared" si="49"/>
        <v>22.295153432422051</v>
      </c>
      <c r="AK108" s="297">
        <f t="shared" si="49"/>
        <v>22.964008035394713</v>
      </c>
      <c r="AL108" s="297">
        <f t="shared" si="49"/>
        <v>23.652928276456553</v>
      </c>
      <c r="AM108" s="175"/>
      <c r="AO108" s="1307"/>
      <c r="AP108" s="1307"/>
      <c r="AQ108" s="1307"/>
      <c r="AR108" s="1307"/>
      <c r="AS108" s="1307"/>
      <c r="AT108" s="1307"/>
      <c r="AU108" s="1307"/>
      <c r="AV108" s="1307"/>
      <c r="AW108" s="1307"/>
      <c r="AX108" s="1307"/>
      <c r="AY108" s="1307"/>
      <c r="AZ108" s="1307"/>
      <c r="BA108" s="1307"/>
      <c r="BB108" s="1307"/>
      <c r="BC108" s="1307"/>
    </row>
    <row r="109" spans="3:55" x14ac:dyDescent="0.3">
      <c r="C109" s="173"/>
      <c r="D109" s="72"/>
      <c r="E109" s="72"/>
      <c r="F109" s="72" t="s">
        <v>20</v>
      </c>
      <c r="G109" s="72"/>
      <c r="H109" s="72"/>
      <c r="I109" s="72"/>
      <c r="J109" s="297"/>
      <c r="K109" s="297"/>
      <c r="L109" s="297"/>
      <c r="M109" s="297"/>
      <c r="N109" s="462"/>
      <c r="O109" s="462"/>
      <c r="P109" s="462"/>
      <c r="Q109" s="462"/>
      <c r="R109" s="462"/>
      <c r="S109" s="275"/>
      <c r="T109" s="275"/>
      <c r="U109" s="275"/>
      <c r="V109" s="275"/>
      <c r="W109" s="275"/>
      <c r="X109" s="178"/>
      <c r="Y109" s="178"/>
      <c r="Z109" s="178"/>
      <c r="AA109" s="178"/>
      <c r="AB109" s="178"/>
      <c r="AC109" s="297">
        <f t="shared" si="48"/>
        <v>0</v>
      </c>
      <c r="AD109" s="297">
        <f t="shared" si="48"/>
        <v>0</v>
      </c>
      <c r="AE109" s="297">
        <f t="shared" si="48"/>
        <v>0</v>
      </c>
      <c r="AF109" s="297">
        <f t="shared" si="48"/>
        <v>0</v>
      </c>
      <c r="AG109" s="297">
        <f t="shared" si="48"/>
        <v>0</v>
      </c>
      <c r="AH109" s="297">
        <f t="shared" si="49"/>
        <v>0</v>
      </c>
      <c r="AI109" s="297">
        <f t="shared" si="49"/>
        <v>0</v>
      </c>
      <c r="AJ109" s="297">
        <f t="shared" si="49"/>
        <v>0</v>
      </c>
      <c r="AK109" s="297">
        <f t="shared" si="49"/>
        <v>0</v>
      </c>
      <c r="AL109" s="297">
        <f t="shared" si="49"/>
        <v>0</v>
      </c>
      <c r="AM109" s="175"/>
      <c r="AO109" s="1307"/>
      <c r="AP109" s="1307"/>
      <c r="AQ109" s="1307"/>
      <c r="AR109" s="1307"/>
      <c r="AS109" s="1307"/>
      <c r="AT109" s="1307"/>
      <c r="AU109" s="1307"/>
      <c r="AV109" s="1307"/>
      <c r="AW109" s="1307"/>
      <c r="AX109" s="1307"/>
      <c r="AY109" s="1307"/>
      <c r="AZ109" s="1307"/>
      <c r="BA109" s="1307"/>
      <c r="BB109" s="1307"/>
      <c r="BC109" s="1307"/>
    </row>
    <row r="110" spans="3:55" x14ac:dyDescent="0.3">
      <c r="C110" s="173"/>
      <c r="D110" s="72"/>
      <c r="E110" s="72"/>
      <c r="F110" s="72" t="s">
        <v>18</v>
      </c>
      <c r="G110" s="72"/>
      <c r="H110" s="72"/>
      <c r="I110" s="72"/>
      <c r="J110" s="297"/>
      <c r="K110" s="297"/>
      <c r="L110" s="297"/>
      <c r="M110" s="297"/>
      <c r="N110" s="462"/>
      <c r="O110" s="462"/>
      <c r="P110" s="462"/>
      <c r="Q110" s="462"/>
      <c r="R110" s="462"/>
      <c r="S110" s="275"/>
      <c r="T110" s="275"/>
      <c r="U110" s="275"/>
      <c r="V110" s="275"/>
      <c r="W110" s="275"/>
      <c r="X110" s="178"/>
      <c r="Y110" s="178"/>
      <c r="Z110" s="178"/>
      <c r="AA110" s="178"/>
      <c r="AB110" s="178"/>
      <c r="AC110" s="297">
        <f t="shared" ref="AC110:AG110" si="50">+AC101*AC$85</f>
        <v>26.677</v>
      </c>
      <c r="AD110" s="297">
        <f t="shared" si="50"/>
        <v>27.752083099999997</v>
      </c>
      <c r="AE110" s="297">
        <f t="shared" si="50"/>
        <v>28.87049204893</v>
      </c>
      <c r="AF110" s="297">
        <f t="shared" si="50"/>
        <v>30.033972878501885</v>
      </c>
      <c r="AG110" s="297">
        <f t="shared" si="50"/>
        <v>31.244341985505507</v>
      </c>
      <c r="AH110" s="297">
        <f t="shared" si="49"/>
        <v>32.503488967521378</v>
      </c>
      <c r="AI110" s="297">
        <f t="shared" si="49"/>
        <v>33.813379572912496</v>
      </c>
      <c r="AJ110" s="297">
        <f t="shared" si="49"/>
        <v>35.176058769700873</v>
      </c>
      <c r="AK110" s="297">
        <f t="shared" si="49"/>
        <v>36.593653938119814</v>
      </c>
      <c r="AL110" s="297">
        <f t="shared" si="49"/>
        <v>38.068378191826042</v>
      </c>
      <c r="AM110" s="175"/>
      <c r="AO110" s="1307"/>
      <c r="AP110" s="1307"/>
      <c r="AQ110" s="1307"/>
      <c r="AR110" s="1307"/>
      <c r="AS110" s="1307"/>
      <c r="AT110" s="1307"/>
      <c r="AU110" s="1307"/>
      <c r="AV110" s="1307"/>
      <c r="AW110" s="1307"/>
      <c r="AX110" s="1307"/>
      <c r="AY110" s="1307"/>
      <c r="AZ110" s="1307"/>
      <c r="BA110" s="1307"/>
      <c r="BB110" s="1307"/>
      <c r="BC110" s="1307"/>
    </row>
    <row r="111" spans="3:55" x14ac:dyDescent="0.3">
      <c r="C111" s="173"/>
      <c r="D111" s="72"/>
      <c r="E111" s="72"/>
      <c r="F111" s="72" t="s">
        <v>102</v>
      </c>
      <c r="G111" s="72"/>
      <c r="H111" s="72"/>
      <c r="I111" s="72"/>
      <c r="J111" s="297"/>
      <c r="K111" s="297"/>
      <c r="L111" s="297"/>
      <c r="M111" s="297"/>
      <c r="N111" s="462"/>
      <c r="O111" s="462"/>
      <c r="P111" s="462"/>
      <c r="Q111" s="462"/>
      <c r="R111" s="462"/>
      <c r="S111" s="275"/>
      <c r="T111" s="275"/>
      <c r="U111" s="275"/>
      <c r="V111" s="275"/>
      <c r="W111" s="275"/>
      <c r="X111" s="178"/>
      <c r="Y111" s="178"/>
      <c r="Z111" s="178"/>
      <c r="AA111" s="178"/>
      <c r="AB111" s="178"/>
      <c r="AC111" s="297">
        <f>+AC102*AC$85</f>
        <v>74.334553933068662</v>
      </c>
      <c r="AD111" s="297">
        <f>+AD102*AD$85</f>
        <v>78.930375620606355</v>
      </c>
      <c r="AE111" s="297">
        <f>+AE102*AE$85</f>
        <v>82.709772882478703</v>
      </c>
      <c r="AF111" s="297">
        <f>+AF102*AF$85</f>
        <v>85.516319187751591</v>
      </c>
      <c r="AG111" s="297">
        <f>+AG102*AG$85</f>
        <v>89.277874705189149</v>
      </c>
      <c r="AH111" s="297">
        <f t="shared" si="49"/>
        <v>90.116499189094526</v>
      </c>
      <c r="AI111" s="297">
        <f t="shared" si="49"/>
        <v>93.718109820126813</v>
      </c>
      <c r="AJ111" s="297">
        <f t="shared" si="49"/>
        <v>97.469945692413077</v>
      </c>
      <c r="AK111" s="297">
        <f t="shared" si="49"/>
        <v>101.37834249694144</v>
      </c>
      <c r="AL111" s="297">
        <f t="shared" si="49"/>
        <v>105.44990393110508</v>
      </c>
      <c r="AM111" s="175"/>
      <c r="AO111" s="1307"/>
      <c r="AP111" s="1307"/>
      <c r="AQ111" s="1307"/>
      <c r="AR111" s="1307"/>
      <c r="AS111" s="1307"/>
      <c r="AT111" s="1307"/>
      <c r="AU111" s="1307"/>
      <c r="AV111" s="1307"/>
      <c r="AW111" s="1307"/>
      <c r="AX111" s="1307"/>
      <c r="AY111" s="1307"/>
      <c r="AZ111" s="1307"/>
      <c r="BA111" s="1307"/>
      <c r="BB111" s="1307"/>
      <c r="BC111" s="1307"/>
    </row>
    <row r="112" spans="3:55" x14ac:dyDescent="0.3">
      <c r="C112" s="173"/>
      <c r="D112" s="72"/>
      <c r="E112" s="72"/>
      <c r="F112" s="72" t="s">
        <v>106</v>
      </c>
      <c r="G112" s="72"/>
      <c r="H112" s="72"/>
      <c r="I112" s="72"/>
      <c r="J112" s="297"/>
      <c r="K112" s="297"/>
      <c r="L112" s="297"/>
      <c r="M112" s="297"/>
      <c r="N112" s="297"/>
      <c r="O112" s="297"/>
      <c r="P112" s="297"/>
      <c r="Q112" s="297"/>
      <c r="R112" s="297"/>
      <c r="S112" s="275"/>
      <c r="T112" s="275"/>
      <c r="U112" s="275"/>
      <c r="V112" s="275"/>
      <c r="W112" s="275"/>
      <c r="X112" s="178"/>
      <c r="Y112" s="178"/>
      <c r="Z112" s="178"/>
      <c r="AA112" s="178"/>
      <c r="AB112" s="178"/>
      <c r="AC112" s="297">
        <f ca="1">+'Finance&amp;Tax_FO'!AC19</f>
        <v>0.38383078749999994</v>
      </c>
      <c r="AD112" s="297">
        <f ca="1">+'Finance&amp;Tax_FO'!AD19</f>
        <v>1.1859059285416664</v>
      </c>
      <c r="AE112" s="297">
        <f ca="1">+'Finance&amp;Tax_FO'!AE19</f>
        <v>2.0396384158166674</v>
      </c>
      <c r="AF112" s="297">
        <f ca="1">+'Finance&amp;Tax_FO'!AF19</f>
        <v>2.9876070552983225</v>
      </c>
      <c r="AG112" s="297">
        <f ca="1">+'Finance&amp;Tax_FO'!AG19</f>
        <v>4.0580449654300743</v>
      </c>
      <c r="AH112" s="297">
        <f ca="1">+'Finance&amp;Tax_FO'!AH19</f>
        <v>5.6397728584216633</v>
      </c>
      <c r="AI112" s="297">
        <f ca="1">+'Finance&amp;Tax_FO'!AI19</f>
        <v>7.7165152303366478</v>
      </c>
      <c r="AJ112" s="297">
        <f ca="1">+'Finance&amp;Tax_FO'!AJ19</f>
        <v>9.5546549620265377</v>
      </c>
      <c r="AK112" s="297">
        <f ca="1">+'Finance&amp;Tax_FO'!AK19</f>
        <v>11.018761536615159</v>
      </c>
      <c r="AL112" s="297">
        <f ca="1">+'Finance&amp;Tax_FO'!AL19</f>
        <v>12.51555177477373</v>
      </c>
      <c r="AM112" s="175"/>
      <c r="AO112" s="1307"/>
      <c r="AP112" s="1307"/>
      <c r="AQ112" s="1307"/>
      <c r="AR112" s="1307"/>
      <c r="AS112" s="1307"/>
      <c r="AT112" s="1307"/>
      <c r="AU112" s="1307"/>
      <c r="AV112" s="1307"/>
      <c r="AW112" s="1307"/>
      <c r="AX112" s="1307"/>
      <c r="AY112" s="1307"/>
      <c r="AZ112" s="1307"/>
      <c r="BA112" s="1307"/>
      <c r="BB112" s="1307"/>
      <c r="BC112" s="1307"/>
    </row>
    <row r="113" spans="3:55" x14ac:dyDescent="0.3">
      <c r="C113" s="173"/>
      <c r="D113" s="72"/>
      <c r="E113" s="72"/>
      <c r="F113" s="72" t="s">
        <v>107</v>
      </c>
      <c r="G113" s="72"/>
      <c r="H113" s="72"/>
      <c r="I113" s="72"/>
      <c r="J113" s="462"/>
      <c r="K113" s="462"/>
      <c r="L113" s="462"/>
      <c r="M113" s="462"/>
      <c r="N113" s="462"/>
      <c r="O113" s="462"/>
      <c r="P113" s="462"/>
      <c r="Q113" s="462"/>
      <c r="R113" s="462"/>
      <c r="S113" s="275"/>
      <c r="T113" s="275"/>
      <c r="U113" s="275"/>
      <c r="V113" s="275"/>
      <c r="W113" s="275"/>
      <c r="X113" s="178"/>
      <c r="Y113" s="178"/>
      <c r="Z113" s="178"/>
      <c r="AA113" s="178"/>
      <c r="AB113" s="178"/>
      <c r="AC113" s="297">
        <f>+'Finance&amp;Tax_FO'!AC18</f>
        <v>28.557294301862122</v>
      </c>
      <c r="AD113" s="297">
        <f>+'Finance&amp;Tax_FO'!AD18</f>
        <v>28.842867244880743</v>
      </c>
      <c r="AE113" s="297">
        <f>+'Finance&amp;Tax_FO'!AE18</f>
        <v>29.131295917329552</v>
      </c>
      <c r="AF113" s="297">
        <f>+'Finance&amp;Tax_FO'!AF18</f>
        <v>29.422608876502849</v>
      </c>
      <c r="AG113" s="297">
        <f>+'Finance&amp;Tax_FO'!AG18</f>
        <v>29.716834965267878</v>
      </c>
      <c r="AH113" s="297">
        <f>+'Finance&amp;Tax_FO'!AH18</f>
        <v>30.014003314920558</v>
      </c>
      <c r="AI113" s="297">
        <f>+'Finance&amp;Tax_FO'!AI18</f>
        <v>30.314143348069763</v>
      </c>
      <c r="AJ113" s="297">
        <f>+'Finance&amp;Tax_FO'!AJ18</f>
        <v>30.61728478155046</v>
      </c>
      <c r="AK113" s="297">
        <f>+'Finance&amp;Tax_FO'!AK18</f>
        <v>30.923457629365963</v>
      </c>
      <c r="AL113" s="297">
        <f>+'Finance&amp;Tax_FO'!AL18</f>
        <v>31.232692205659621</v>
      </c>
      <c r="AM113" s="175"/>
      <c r="AO113" s="1307"/>
      <c r="AP113" s="1307"/>
      <c r="AQ113" s="1307"/>
      <c r="AR113" s="1307"/>
      <c r="AS113" s="1307"/>
      <c r="AT113" s="1307"/>
      <c r="AU113" s="1307"/>
      <c r="AV113" s="1307"/>
      <c r="AW113" s="1307"/>
      <c r="AX113" s="1307"/>
      <c r="AY113" s="1307"/>
      <c r="AZ113" s="1307"/>
      <c r="BA113" s="1307"/>
      <c r="BB113" s="1307"/>
      <c r="BC113" s="1307"/>
    </row>
    <row r="114" spans="3:55" x14ac:dyDescent="0.3">
      <c r="C114" s="173"/>
      <c r="D114" s="72"/>
      <c r="E114" s="72"/>
      <c r="F114" s="72" t="s">
        <v>108</v>
      </c>
      <c r="G114" s="72"/>
      <c r="H114" s="72"/>
      <c r="I114" s="72"/>
      <c r="J114" s="297"/>
      <c r="K114" s="297"/>
      <c r="L114" s="297"/>
      <c r="M114" s="297"/>
      <c r="N114" s="462"/>
      <c r="O114" s="462"/>
      <c r="P114" s="462"/>
      <c r="Q114" s="462"/>
      <c r="R114" s="462"/>
      <c r="S114" s="275"/>
      <c r="T114" s="275"/>
      <c r="U114" s="275"/>
      <c r="V114" s="275"/>
      <c r="W114" s="275"/>
      <c r="X114" s="178"/>
      <c r="Y114" s="178"/>
      <c r="Z114" s="178"/>
      <c r="AA114" s="178"/>
      <c r="AB114" s="178"/>
      <c r="AC114" s="297">
        <f>AC104*AC$91*AC$85</f>
        <v>12.150250009456023</v>
      </c>
      <c r="AD114" s="297">
        <f>AD104*AD$91*AD$85</f>
        <v>12.143906615209699</v>
      </c>
      <c r="AE114" s="297">
        <f t="shared" ref="AE114:AL114" si="51">AE104*AE$91*AE$85</f>
        <v>12.544675356291018</v>
      </c>
      <c r="AF114" s="297">
        <f t="shared" si="51"/>
        <v>12.951496667505912</v>
      </c>
      <c r="AG114" s="297">
        <f t="shared" si="51"/>
        <v>13.481266514752358</v>
      </c>
      <c r="AH114" s="297">
        <f t="shared" si="51"/>
        <v>14.593736110752735</v>
      </c>
      <c r="AI114" s="297">
        <f t="shared" si="51"/>
        <v>16.049078976050087</v>
      </c>
      <c r="AJ114" s="297">
        <f t="shared" si="51"/>
        <v>17.674178556784661</v>
      </c>
      <c r="AK114" s="297">
        <f t="shared" si="51"/>
        <v>18.920380811378212</v>
      </c>
      <c r="AL114" s="297">
        <f t="shared" si="51"/>
        <v>19.828565899527728</v>
      </c>
      <c r="AM114" s="175"/>
      <c r="AO114" s="1307"/>
      <c r="AP114" s="1307"/>
      <c r="AQ114" s="1307"/>
      <c r="AR114" s="1307"/>
      <c r="AS114" s="1307"/>
      <c r="AT114" s="1307"/>
      <c r="AU114" s="1307"/>
      <c r="AV114" s="1307"/>
      <c r="AW114" s="1307"/>
      <c r="AX114" s="1307"/>
      <c r="AY114" s="1307"/>
      <c r="AZ114" s="1307"/>
      <c r="BA114" s="1307"/>
      <c r="BB114" s="1307"/>
      <c r="BC114" s="1307"/>
    </row>
    <row r="115" spans="3:55" x14ac:dyDescent="0.3">
      <c r="C115" s="173"/>
      <c r="D115" s="72"/>
      <c r="E115" s="72"/>
      <c r="F115" s="72" t="s">
        <v>109</v>
      </c>
      <c r="G115" s="72"/>
      <c r="H115" s="72"/>
      <c r="I115" s="72"/>
      <c r="J115" s="297"/>
      <c r="K115" s="297"/>
      <c r="L115" s="297"/>
      <c r="M115" s="297"/>
      <c r="N115" s="297"/>
      <c r="O115" s="462"/>
      <c r="P115" s="462"/>
      <c r="Q115" s="462"/>
      <c r="R115" s="462"/>
      <c r="S115" s="275"/>
      <c r="T115" s="275"/>
      <c r="U115" s="275"/>
      <c r="V115" s="275"/>
      <c r="W115" s="275"/>
      <c r="X115" s="178"/>
      <c r="Y115" s="178"/>
      <c r="Z115" s="178"/>
      <c r="AA115" s="178"/>
      <c r="AB115" s="178"/>
      <c r="AC115" s="297">
        <f>'Finance&amp;Tax_FO'!AC20</f>
        <v>0</v>
      </c>
      <c r="AD115" s="1564">
        <f t="shared" ref="AD115:AG115" ca="1" si="52">IF(AC116&lt;0,-AC116,0)</f>
        <v>0</v>
      </c>
      <c r="AE115" s="297">
        <f t="shared" ca="1" si="52"/>
        <v>0</v>
      </c>
      <c r="AF115" s="297">
        <f t="shared" ca="1" si="52"/>
        <v>0</v>
      </c>
      <c r="AG115" s="297">
        <f t="shared" ca="1" si="52"/>
        <v>0</v>
      </c>
      <c r="AH115" s="297">
        <f ca="1">IF(AG116&lt;0,-AG116,0)</f>
        <v>0</v>
      </c>
      <c r="AI115" s="297">
        <f ca="1">IF(AH116&lt;0,-AH116,0)</f>
        <v>0</v>
      </c>
      <c r="AJ115" s="297">
        <f ca="1">IF(AI116&lt;0,-AI116,0)</f>
        <v>0</v>
      </c>
      <c r="AK115" s="297">
        <f ca="1">IF(AJ116&lt;0,-AJ116,0)</f>
        <v>0</v>
      </c>
      <c r="AL115" s="297">
        <f ca="1">IF(AK116&lt;0,-AK116,0)</f>
        <v>0</v>
      </c>
      <c r="AM115" s="175"/>
      <c r="AO115" s="1307"/>
      <c r="AP115" s="1307"/>
      <c r="AQ115" s="1307"/>
      <c r="AR115" s="1307"/>
      <c r="AS115" s="1307"/>
      <c r="AT115" s="1307"/>
      <c r="AU115" s="1307"/>
      <c r="AV115" s="1307"/>
      <c r="AW115" s="1307"/>
      <c r="AX115" s="1307"/>
      <c r="AY115" s="1307"/>
      <c r="AZ115" s="1307"/>
      <c r="BA115" s="1307"/>
      <c r="BB115" s="1307"/>
      <c r="BC115" s="1307"/>
    </row>
    <row r="116" spans="3:55" x14ac:dyDescent="0.3">
      <c r="C116" s="173"/>
      <c r="D116" s="72"/>
      <c r="E116" s="72"/>
      <c r="F116" s="72" t="s">
        <v>270</v>
      </c>
      <c r="G116" s="72"/>
      <c r="H116" s="72"/>
      <c r="I116" s="72"/>
      <c r="J116" s="297"/>
      <c r="K116" s="297"/>
      <c r="L116" s="297"/>
      <c r="M116" s="297"/>
      <c r="N116" s="462"/>
      <c r="O116" s="462"/>
      <c r="P116" s="462"/>
      <c r="Q116" s="462"/>
      <c r="R116" s="462"/>
      <c r="S116" s="275"/>
      <c r="T116" s="275"/>
      <c r="U116" s="275"/>
      <c r="V116" s="275"/>
      <c r="W116" s="275"/>
      <c r="X116" s="178"/>
      <c r="Y116" s="178"/>
      <c r="Z116" s="178"/>
      <c r="AA116" s="178"/>
      <c r="AB116" s="178"/>
      <c r="AC116" s="297">
        <f t="shared" ref="AC116:AG116" ca="1" si="53">SUM(AC107:AC108,AC110)-SUM(AC111:AC115)</f>
        <v>23.082142086131654</v>
      </c>
      <c r="AD116" s="297">
        <f t="shared" ca="1" si="53"/>
        <v>26.626254155468175</v>
      </c>
      <c r="AE116" s="297">
        <f t="shared" ca="1" si="53"/>
        <v>30.394178233316126</v>
      </c>
      <c r="AF116" s="297">
        <f t="shared" ca="1" si="53"/>
        <v>34.56437642013907</v>
      </c>
      <c r="AG116" s="297">
        <f t="shared" ca="1" si="53"/>
        <v>39.3922793845245</v>
      </c>
      <c r="AH116" s="297">
        <f ca="1">SUM(AH107:AH108,AH110)-SUM(AH111:AH115)</f>
        <v>48.743683464791161</v>
      </c>
      <c r="AI116" s="297">
        <f ca="1">SUM(AI107:AI108,AI110)-SUM(AI111:AI115)</f>
        <v>52.143704276897012</v>
      </c>
      <c r="AJ116" s="297">
        <f ca="1">SUM(AJ107:AJ108,AJ110)-SUM(AJ111:AJ115)</f>
        <v>55.038589077068139</v>
      </c>
      <c r="AK116" s="297">
        <f ca="1">SUM(AK107:AK108,AK110)-SUM(AK111:AK115)</f>
        <v>57.211705856988544</v>
      </c>
      <c r="AL116" s="297">
        <f ca="1">SUM(AL107:AL108,AL110)-SUM(AL111:AL115)</f>
        <v>59.467371982246789</v>
      </c>
      <c r="AM116" s="175"/>
      <c r="AO116" s="1307"/>
      <c r="AP116" s="1307"/>
      <c r="AQ116" s="1307"/>
      <c r="AR116" s="1307"/>
      <c r="AS116" s="1307"/>
      <c r="AT116" s="1307"/>
      <c r="AU116" s="1307"/>
      <c r="AV116" s="1307"/>
      <c r="AW116" s="1307"/>
      <c r="AX116" s="1307"/>
      <c r="AY116" s="1307"/>
      <c r="AZ116" s="1307"/>
      <c r="BA116" s="1307"/>
      <c r="BB116" s="1307"/>
      <c r="BC116" s="1307"/>
    </row>
    <row r="117" spans="3:55" x14ac:dyDescent="0.3">
      <c r="C117" s="173"/>
      <c r="D117" s="72"/>
      <c r="E117" s="72"/>
      <c r="F117" s="72" t="s">
        <v>110</v>
      </c>
      <c r="G117" s="72"/>
      <c r="H117" s="72"/>
      <c r="I117" s="72"/>
      <c r="J117" s="297"/>
      <c r="K117" s="297"/>
      <c r="L117" s="297"/>
      <c r="M117" s="297"/>
      <c r="N117" s="462"/>
      <c r="O117" s="462"/>
      <c r="P117" s="462"/>
      <c r="Q117" s="462"/>
      <c r="R117" s="462"/>
      <c r="S117" s="275"/>
      <c r="T117" s="275"/>
      <c r="U117" s="275"/>
      <c r="V117" s="275"/>
      <c r="W117" s="275"/>
      <c r="X117" s="178"/>
      <c r="Y117" s="178"/>
      <c r="Z117" s="178"/>
      <c r="AA117" s="178"/>
      <c r="AB117" s="178"/>
      <c r="AC117" s="297">
        <f t="shared" ref="AC117:AG117" ca="1" si="54">IF(AC116&lt;0,0,AC116*AC$87/(1-AC87*(1-$H$92)))</f>
        <v>8.1466383833405835</v>
      </c>
      <c r="AD117" s="297">
        <f t="shared" ca="1" si="54"/>
        <v>9.397501466635827</v>
      </c>
      <c r="AE117" s="297">
        <f t="shared" ca="1" si="54"/>
        <v>10.727357023523338</v>
      </c>
      <c r="AF117" s="297">
        <f t="shared" ca="1" si="54"/>
        <v>12.199191677696142</v>
      </c>
      <c r="AG117" s="297">
        <f t="shared" ca="1" si="54"/>
        <v>13.903157429832177</v>
      </c>
      <c r="AH117" s="297">
        <f ca="1">IF(AH116&lt;0,0,AH116*AH$87/(1-AH87*(1-$H$92)))</f>
        <v>17.203652987573353</v>
      </c>
      <c r="AI117" s="297">
        <f ca="1">IF(AI116&lt;0,0,AI116*AI$87/(1-AI87*(1-$H$92)))</f>
        <v>18.403660333022476</v>
      </c>
      <c r="AJ117" s="297">
        <f ca="1">IF(AJ116&lt;0,0,AJ116*AJ$87/(1-AJ87*(1-$H$92)))</f>
        <v>19.425384380141697</v>
      </c>
      <c r="AK117" s="297">
        <f ca="1">IF(AK116&lt;0,0,AK116*AK$87/(1-AK87*(1-$H$92)))</f>
        <v>20.192366773054779</v>
      </c>
      <c r="AL117" s="297">
        <f ca="1">IF(AL116&lt;0,0,AL116*AL$87/(1-AL87*(1-$H$92)))</f>
        <v>20.988484229028277</v>
      </c>
      <c r="AM117" s="175"/>
      <c r="AO117" s="1307"/>
      <c r="AP117" s="1307"/>
      <c r="AQ117" s="1307"/>
      <c r="AR117" s="1307"/>
      <c r="AS117" s="1307"/>
      <c r="AT117" s="1307"/>
      <c r="AU117" s="1307"/>
      <c r="AV117" s="1307"/>
      <c r="AW117" s="1307"/>
      <c r="AX117" s="1307"/>
      <c r="AY117" s="1307"/>
      <c r="AZ117" s="1307"/>
      <c r="BA117" s="1307"/>
      <c r="BB117" s="1307"/>
      <c r="BC117" s="1307"/>
    </row>
    <row r="118" spans="3:55" x14ac:dyDescent="0.3">
      <c r="C118" s="173"/>
      <c r="D118" s="72"/>
      <c r="E118" s="72"/>
      <c r="F118" s="72" t="s">
        <v>111</v>
      </c>
      <c r="G118" s="72"/>
      <c r="H118" s="72"/>
      <c r="I118" s="72"/>
      <c r="J118" s="297"/>
      <c r="K118" s="297"/>
      <c r="L118" s="297"/>
      <c r="M118" s="297"/>
      <c r="N118" s="297"/>
      <c r="O118" s="297"/>
      <c r="P118" s="297"/>
      <c r="Q118" s="297"/>
      <c r="R118" s="297"/>
      <c r="S118" s="275"/>
      <c r="T118" s="275"/>
      <c r="U118" s="275"/>
      <c r="V118" s="275"/>
      <c r="W118" s="275"/>
      <c r="X118" s="178"/>
      <c r="Y118" s="178"/>
      <c r="Z118" s="178"/>
      <c r="AA118" s="178"/>
      <c r="AB118" s="178"/>
      <c r="AC118" s="297">
        <f t="shared" ref="AC118:AG118" ca="1" si="55">+AC117*$H92</f>
        <v>4.0733191916702918</v>
      </c>
      <c r="AD118" s="297">
        <f t="shared" ca="1" si="55"/>
        <v>4.6987507333179135</v>
      </c>
      <c r="AE118" s="297">
        <f t="shared" ca="1" si="55"/>
        <v>5.3636785117616688</v>
      </c>
      <c r="AF118" s="297">
        <f t="shared" ca="1" si="55"/>
        <v>6.0995958388480709</v>
      </c>
      <c r="AG118" s="297">
        <f t="shared" ca="1" si="55"/>
        <v>6.9515787149160886</v>
      </c>
      <c r="AH118" s="297">
        <f ca="1">+AH117*$H92</f>
        <v>8.6018264937866764</v>
      </c>
      <c r="AI118" s="297">
        <f ca="1">+AI117*$H92</f>
        <v>9.2018301665112379</v>
      </c>
      <c r="AJ118" s="297">
        <f ca="1">+AJ117*$H92</f>
        <v>9.7126921900708485</v>
      </c>
      <c r="AK118" s="297">
        <f ca="1">+AK117*$H92</f>
        <v>10.09618338652739</v>
      </c>
      <c r="AL118" s="297">
        <f ca="1">+AL117*$H92</f>
        <v>10.494242114514138</v>
      </c>
      <c r="AM118" s="175"/>
      <c r="AO118" s="1307"/>
      <c r="AP118" s="1307"/>
      <c r="AQ118" s="1307"/>
      <c r="AR118" s="1307"/>
      <c r="AS118" s="1307"/>
      <c r="AT118" s="1307"/>
      <c r="AU118" s="1307"/>
      <c r="AV118" s="1307"/>
      <c r="AW118" s="1307"/>
      <c r="AX118" s="1307"/>
      <c r="AY118" s="1307"/>
      <c r="AZ118" s="1307"/>
      <c r="BA118" s="1307"/>
      <c r="BB118" s="1307"/>
      <c r="BC118" s="1307"/>
    </row>
    <row r="119" spans="3:55" s="265" customFormat="1" x14ac:dyDescent="0.3">
      <c r="C119" s="658"/>
      <c r="D119" s="206"/>
      <c r="E119" s="206"/>
      <c r="F119" s="206"/>
      <c r="G119" s="206"/>
      <c r="H119" s="206"/>
      <c r="I119" s="206"/>
      <c r="J119" s="315"/>
      <c r="K119" s="315"/>
      <c r="L119" s="315"/>
      <c r="M119" s="315"/>
      <c r="N119" s="315"/>
      <c r="O119" s="315"/>
      <c r="P119" s="315"/>
      <c r="Q119" s="315"/>
      <c r="R119" s="315"/>
      <c r="S119" s="275"/>
      <c r="T119" s="275"/>
      <c r="U119" s="275"/>
      <c r="V119" s="275"/>
      <c r="W119" s="275"/>
      <c r="X119" s="178"/>
      <c r="Y119" s="178"/>
      <c r="Z119" s="178"/>
      <c r="AA119" s="178"/>
      <c r="AB119" s="178"/>
      <c r="AC119" s="315"/>
      <c r="AD119" s="315"/>
      <c r="AE119" s="315"/>
      <c r="AF119" s="315"/>
      <c r="AG119" s="315"/>
      <c r="AH119" s="315"/>
      <c r="AI119" s="315"/>
      <c r="AJ119" s="315"/>
      <c r="AK119" s="315"/>
      <c r="AL119" s="315"/>
      <c r="AM119" s="660"/>
      <c r="AO119" s="1307"/>
      <c r="AP119" s="1307"/>
      <c r="AQ119" s="1307"/>
      <c r="AR119" s="1307"/>
      <c r="AS119" s="1307"/>
      <c r="AT119" s="1307"/>
      <c r="AU119" s="1307"/>
      <c r="AV119" s="1307"/>
      <c r="AW119" s="1307"/>
      <c r="AX119" s="1307"/>
      <c r="AY119" s="1307"/>
      <c r="AZ119" s="1307"/>
      <c r="BA119" s="1307"/>
      <c r="BB119" s="1307"/>
      <c r="BC119" s="1307"/>
    </row>
    <row r="120" spans="3:55" x14ac:dyDescent="0.3">
      <c r="C120" s="173"/>
      <c r="D120" s="72"/>
      <c r="E120" s="72"/>
      <c r="F120" s="105" t="s">
        <v>112</v>
      </c>
      <c r="G120" s="72"/>
      <c r="H120" s="72"/>
      <c r="I120" s="72"/>
      <c r="J120" s="297"/>
      <c r="K120" s="297"/>
      <c r="L120" s="297"/>
      <c r="M120" s="297"/>
      <c r="N120" s="462"/>
      <c r="O120" s="462"/>
      <c r="P120" s="462"/>
      <c r="Q120" s="462"/>
      <c r="R120" s="462"/>
      <c r="S120" s="275"/>
      <c r="T120" s="275"/>
      <c r="U120" s="275"/>
      <c r="V120" s="275"/>
      <c r="W120" s="275"/>
      <c r="X120" s="178"/>
      <c r="Y120" s="178"/>
      <c r="Z120" s="178"/>
      <c r="AA120" s="178"/>
      <c r="AB120" s="178"/>
      <c r="AC120" s="1549">
        <f t="shared" ref="AC120:AG120" ca="1" si="56">AC117-AC118</f>
        <v>4.0733191916702918</v>
      </c>
      <c r="AD120" s="1549">
        <f t="shared" ca="1" si="56"/>
        <v>4.6987507333179135</v>
      </c>
      <c r="AE120" s="1549">
        <f t="shared" ca="1" si="56"/>
        <v>5.3636785117616688</v>
      </c>
      <c r="AF120" s="1549">
        <f t="shared" ca="1" si="56"/>
        <v>6.0995958388480709</v>
      </c>
      <c r="AG120" s="1549">
        <f t="shared" ca="1" si="56"/>
        <v>6.9515787149160886</v>
      </c>
      <c r="AH120" s="1549">
        <f ca="1">AH117-AH118</f>
        <v>8.6018264937866764</v>
      </c>
      <c r="AI120" s="1549">
        <f ca="1">AI117-AI118</f>
        <v>9.2018301665112379</v>
      </c>
      <c r="AJ120" s="1549">
        <f ca="1">AJ117-AJ118</f>
        <v>9.7126921900708485</v>
      </c>
      <c r="AK120" s="1549">
        <f ca="1">AK117-AK118</f>
        <v>10.09618338652739</v>
      </c>
      <c r="AL120" s="1549">
        <f ca="1">AL117-AL118</f>
        <v>10.494242114514138</v>
      </c>
      <c r="AM120" s="175"/>
      <c r="AO120" s="1307"/>
      <c r="AP120" s="1307"/>
      <c r="AQ120" s="1307"/>
      <c r="AR120" s="1307"/>
      <c r="AS120" s="1307"/>
      <c r="AT120" s="1307"/>
      <c r="AU120" s="1307"/>
      <c r="AV120" s="1307"/>
      <c r="AW120" s="1307"/>
      <c r="AX120" s="1307"/>
      <c r="AY120" s="1307"/>
      <c r="AZ120" s="1307"/>
      <c r="BA120" s="1307"/>
      <c r="BB120" s="1307"/>
      <c r="BC120" s="1307"/>
    </row>
    <row r="121" spans="3:55" x14ac:dyDescent="0.3">
      <c r="C121" s="173"/>
      <c r="D121" s="72"/>
      <c r="E121" s="72"/>
      <c r="F121" s="72"/>
      <c r="G121" s="72"/>
      <c r="H121" s="72"/>
      <c r="I121" s="72"/>
      <c r="J121" s="297"/>
      <c r="K121" s="297"/>
      <c r="L121" s="297"/>
      <c r="M121" s="297"/>
      <c r="N121" s="462"/>
      <c r="O121" s="462"/>
      <c r="P121" s="462"/>
      <c r="Q121" s="462"/>
      <c r="R121" s="462"/>
      <c r="S121" s="275"/>
      <c r="T121" s="275"/>
      <c r="U121" s="275"/>
      <c r="V121" s="275"/>
      <c r="W121" s="275"/>
      <c r="X121" s="178"/>
      <c r="Y121" s="178"/>
      <c r="Z121" s="178"/>
      <c r="AA121" s="178"/>
      <c r="AB121" s="178"/>
      <c r="AC121" s="462"/>
      <c r="AD121" s="462"/>
      <c r="AE121" s="462"/>
      <c r="AF121" s="462"/>
      <c r="AG121" s="462"/>
      <c r="AH121" s="462"/>
      <c r="AI121" s="462"/>
      <c r="AJ121" s="462"/>
      <c r="AK121" s="462"/>
      <c r="AL121" s="462"/>
      <c r="AM121" s="175"/>
      <c r="AO121" s="1307"/>
      <c r="AP121" s="1307"/>
      <c r="AQ121" s="1307"/>
      <c r="AR121" s="1307"/>
      <c r="AS121" s="1307"/>
      <c r="AT121" s="1307"/>
      <c r="AU121" s="1307"/>
      <c r="AV121" s="1307"/>
      <c r="AW121" s="1307"/>
      <c r="AX121" s="1307"/>
      <c r="AY121" s="1307"/>
      <c r="AZ121" s="1307"/>
      <c r="BA121" s="1307"/>
      <c r="BB121" s="1307"/>
      <c r="BC121" s="1307"/>
    </row>
    <row r="122" spans="3:55" ht="12.5" thickBot="1" x14ac:dyDescent="0.35">
      <c r="C122" s="173"/>
      <c r="D122" s="72"/>
      <c r="E122" s="666" t="s">
        <v>113</v>
      </c>
      <c r="G122" s="72"/>
      <c r="H122" s="72"/>
      <c r="I122" s="72"/>
      <c r="J122" s="682"/>
      <c r="K122" s="682"/>
      <c r="L122" s="682"/>
      <c r="M122" s="682"/>
      <c r="N122" s="229"/>
      <c r="O122" s="229"/>
      <c r="P122" s="229"/>
      <c r="Q122" s="229"/>
      <c r="R122" s="229"/>
      <c r="S122" s="275"/>
      <c r="T122" s="275"/>
      <c r="U122" s="275"/>
      <c r="V122" s="275"/>
      <c r="W122" s="275"/>
      <c r="X122" s="178"/>
      <c r="Y122" s="178"/>
      <c r="Z122" s="178"/>
      <c r="AA122" s="178"/>
      <c r="AB122" s="178"/>
      <c r="AC122" s="1547">
        <f t="shared" ref="AC122:AG122" ca="1" si="57">+AC120/AC85</f>
        <v>3.9546788268643609</v>
      </c>
      <c r="AD122" s="1547">
        <f t="shared" ca="1" si="57"/>
        <v>4.4290232192646934</v>
      </c>
      <c r="AE122" s="1547">
        <f t="shared" ca="1" si="57"/>
        <v>4.9085256534904591</v>
      </c>
      <c r="AF122" s="1547">
        <f t="shared" ca="1" si="57"/>
        <v>5.4194119003369421</v>
      </c>
      <c r="AG122" s="1547">
        <f t="shared" ca="1" si="57"/>
        <v>5.9964928648245959</v>
      </c>
      <c r="AH122" s="1547">
        <f ca="1">+AH120/AH85</f>
        <v>7.2038942672706989</v>
      </c>
      <c r="AI122" s="1547">
        <f ca="1">+AI120/AI85</f>
        <v>7.4819299972134852</v>
      </c>
      <c r="AJ122" s="1547">
        <f ca="1">+AJ120/AJ85</f>
        <v>7.6672889048907695</v>
      </c>
      <c r="AK122" s="1547">
        <f ca="1">+AK120/AK85</f>
        <v>7.7378838802443326</v>
      </c>
      <c r="AL122" s="1547">
        <f ca="1">+AL120/AL85</f>
        <v>7.8087016988629099</v>
      </c>
      <c r="AM122" s="175"/>
      <c r="AO122" s="1307"/>
      <c r="AP122" s="1307"/>
      <c r="AQ122" s="1307"/>
      <c r="AR122" s="1307"/>
      <c r="AS122" s="1307"/>
      <c r="AT122" s="1307"/>
      <c r="AU122" s="1307"/>
      <c r="AV122" s="1307"/>
      <c r="AW122" s="1307"/>
      <c r="AX122" s="1307"/>
      <c r="AY122" s="1307"/>
      <c r="AZ122" s="1307"/>
      <c r="BA122" s="1307"/>
      <c r="BB122" s="1307"/>
      <c r="BC122" s="1307"/>
    </row>
    <row r="123" spans="3:55" x14ac:dyDescent="0.3">
      <c r="C123" s="173"/>
      <c r="D123" s="72"/>
      <c r="E123" s="72"/>
      <c r="F123" s="72"/>
      <c r="G123" s="72"/>
      <c r="H123" s="72"/>
      <c r="I123" s="72"/>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c r="AM123" s="175"/>
      <c r="AO123" s="1307"/>
      <c r="AP123" s="1307"/>
      <c r="AQ123" s="1307"/>
      <c r="AR123" s="1307"/>
      <c r="AS123" s="1307"/>
      <c r="AT123" s="1307"/>
      <c r="AU123" s="1307"/>
      <c r="AV123" s="1307"/>
      <c r="AW123" s="1307"/>
      <c r="AX123" s="1307"/>
      <c r="AY123" s="1307"/>
      <c r="AZ123" s="1307"/>
      <c r="BA123" s="1307"/>
      <c r="BB123" s="1307"/>
      <c r="BC123" s="1307"/>
    </row>
    <row r="124" spans="3:55" ht="12.5" thickBot="1" x14ac:dyDescent="0.35">
      <c r="C124" s="179"/>
      <c r="D124" s="180"/>
      <c r="E124" s="180"/>
      <c r="F124" s="180"/>
      <c r="G124" s="180"/>
      <c r="H124" s="180"/>
      <c r="I124" s="180"/>
      <c r="J124" s="180"/>
      <c r="K124" s="180"/>
      <c r="L124" s="180"/>
      <c r="M124" s="180"/>
      <c r="N124" s="180"/>
      <c r="O124" s="180"/>
      <c r="P124" s="180"/>
      <c r="Q124" s="180"/>
      <c r="R124" s="180"/>
      <c r="S124" s="180"/>
      <c r="T124" s="180"/>
      <c r="U124" s="180"/>
      <c r="V124" s="180"/>
      <c r="W124" s="180"/>
      <c r="X124" s="180"/>
      <c r="Y124" s="180"/>
      <c r="Z124" s="180"/>
      <c r="AA124" s="180"/>
      <c r="AB124" s="180"/>
      <c r="AC124" s="180"/>
      <c r="AD124" s="180"/>
      <c r="AE124" s="180"/>
      <c r="AF124" s="180"/>
      <c r="AG124" s="180"/>
      <c r="AH124" s="180"/>
      <c r="AI124" s="180"/>
      <c r="AJ124" s="180"/>
      <c r="AK124" s="180"/>
      <c r="AL124" s="180"/>
      <c r="AM124" s="182"/>
      <c r="AO124" s="1307"/>
      <c r="AP124" s="1307"/>
      <c r="AQ124" s="1307"/>
      <c r="AR124" s="1307"/>
      <c r="AS124" s="1307"/>
      <c r="AT124" s="1307"/>
      <c r="AU124" s="1307"/>
      <c r="AV124" s="1307"/>
      <c r="AW124" s="1307"/>
      <c r="AX124" s="1307"/>
      <c r="AY124" s="1307"/>
      <c r="AZ124" s="1307"/>
      <c r="BA124" s="1307"/>
      <c r="BB124" s="1307"/>
      <c r="BC124" s="1307"/>
    </row>
  </sheetData>
  <sheetProtection algorithmName="SHA-512" hashValue="+xPeT4E21XaFnjZxocVktw6YJQOV48zW6eg7oxl3O71eg+WhveEOEI9o2d5uxvd+V+ZyL77jW1umDbnzCFQsEA==" saltValue="xZFRJd6I3PyRbSOQG9OkzA==" spinCount="100000" sheet="1" objects="1" scenarios="1"/>
  <mergeCells count="1">
    <mergeCell ref="B3:F3"/>
  </mergeCells>
  <phoneticPr fontId="0" type="noConversion"/>
  <conditionalFormatting sqref="W80:AL80">
    <cfRule type="containsText" dxfId="1" priority="1" operator="containsText" text="FALSE">
      <formula>NOT(ISERROR(SEARCH("FALSE",W80)))</formula>
    </cfRule>
    <cfRule type="containsText" dxfId="0" priority="2" operator="containsText" text="TRUE">
      <formula>NOT(ISERROR(SEARCH("TRUE",W80)))</formula>
    </cfRule>
  </conditionalFormatting>
  <hyperlinks>
    <hyperlink ref="B3" location="HL_Home" tooltip="Go to Table of Contents" display="HL_Home" xr:uid="{00000000-0004-0000-0E00-000000000000}"/>
  </hyperlinks>
  <pageMargins left="0.39370078740157499" right="0.39370078740157499" top="0.59055118110236249" bottom="0.98425196850393748" header="0" footer="0.31496062992125973"/>
  <pageSetup paperSize="9" scale="65" orientation="landscape" r:id="rId1"/>
  <headerFooter alignWithMargins="0">
    <oddHeader>&amp;C&amp;B&amp;"Arial"&amp;12&amp;Kff0000​‌OFFICIAL‌​</oddHeader>
    <oddFooter>&amp;C&amp;"Arial,Bold"&amp;8Sheet m.
Page &amp;P of &amp;N&amp;L&amp;"Arial,Bold"&amp;7&amp;F
&amp;A
Printed: &amp;T on &amp;D</oddFooter>
  </headerFooter>
  <rowBreaks count="2" manualBreakCount="2">
    <brk id="50" min="1" max="23" man="1"/>
    <brk id="79" min="1" max="23" man="1"/>
  </rowBreaks>
  <ignoredErrors>
    <ignoredError sqref="W71" formula="1"/>
    <ignoredError sqref="AH20:AL20"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8">
    <tabColor theme="0" tint="-4.9989318521683403E-2"/>
    <pageSetUpPr autoPageBreaks="0"/>
  </sheetPr>
  <dimension ref="A1:BF272"/>
  <sheetViews>
    <sheetView showGridLines="0" zoomScaleNormal="100" workbookViewId="0">
      <pane ySplit="7" topLeftCell="A8" activePane="bottomLeft" state="frozen"/>
      <selection pane="bottomLeft" activeCell="AC239" sqref="AC239"/>
    </sheetView>
  </sheetViews>
  <sheetFormatPr defaultColWidth="10.77734375" defaultRowHeight="12" outlineLevelCol="1" x14ac:dyDescent="0.3"/>
  <cols>
    <col min="1" max="4" width="3.77734375" style="73" customWidth="1"/>
    <col min="5" max="5" width="47" style="73" customWidth="1"/>
    <col min="6" max="6" width="12.44140625" style="73" customWidth="1"/>
    <col min="7" max="7" width="3.77734375" style="73" customWidth="1"/>
    <col min="8" max="8" width="13" style="73" customWidth="1"/>
    <col min="9" max="9" width="3.77734375" style="77" customWidth="1"/>
    <col min="10" max="10" width="12.6640625" style="73" customWidth="1"/>
    <col min="11" max="22" width="11.77734375" style="73" hidden="1" customWidth="1" outlineLevel="1"/>
    <col min="23" max="23" width="11.77734375" style="73" customWidth="1" collapsed="1"/>
    <col min="24" max="28" width="11.77734375" style="73" customWidth="1"/>
    <col min="29" max="30" width="10.33203125" style="73" customWidth="1"/>
    <col min="31" max="33" width="10.77734375" style="73" customWidth="1"/>
    <col min="34" max="35" width="10.33203125" style="73" customWidth="1"/>
    <col min="36" max="38" width="10.77734375" style="73" customWidth="1"/>
    <col min="39" max="39" width="5.33203125" style="73" customWidth="1"/>
    <col min="40" max="16384" width="10.77734375" style="73"/>
  </cols>
  <sheetData>
    <row r="1" spans="1:58" ht="14.5" x14ac:dyDescent="0.3">
      <c r="A1" s="1358">
        <v>80</v>
      </c>
      <c r="B1" s="158" t="s">
        <v>122</v>
      </c>
      <c r="I1" s="73"/>
      <c r="S1" s="684"/>
      <c r="T1" s="684"/>
      <c r="U1" s="684"/>
      <c r="V1" s="265"/>
      <c r="W1" s="265"/>
      <c r="X1" s="265"/>
      <c r="AB1" s="77"/>
      <c r="AC1" s="77"/>
      <c r="AD1" s="77"/>
      <c r="AE1" s="77"/>
      <c r="AF1" s="77"/>
      <c r="AG1" s="77"/>
      <c r="AH1" s="77"/>
      <c r="AI1" s="77"/>
      <c r="AJ1" s="77"/>
      <c r="AK1" s="77"/>
      <c r="AL1" s="77"/>
      <c r="AM1" s="77"/>
      <c r="AN1" s="77"/>
    </row>
    <row r="2" spans="1:58" ht="13" x14ac:dyDescent="0.3">
      <c r="B2" s="1359" t="str">
        <f>Model_Name</f>
        <v>Central Highlands Water</v>
      </c>
      <c r="K2" s="684"/>
      <c r="L2" s="684"/>
      <c r="M2" s="684"/>
      <c r="N2" s="684"/>
      <c r="O2" s="684"/>
      <c r="P2" s="684"/>
      <c r="Q2" s="684"/>
      <c r="R2" s="684"/>
      <c r="AB2" s="77"/>
      <c r="AC2" s="77"/>
      <c r="AD2" s="77"/>
      <c r="AE2" s="77"/>
      <c r="AF2" s="77"/>
      <c r="AG2" s="77"/>
      <c r="AH2" s="77"/>
      <c r="AI2" s="77"/>
      <c r="AJ2" s="77"/>
      <c r="AK2" s="77"/>
      <c r="AL2" s="77"/>
      <c r="AM2" s="77"/>
      <c r="AN2" s="77"/>
    </row>
    <row r="3" spans="1:58" x14ac:dyDescent="0.3">
      <c r="B3" s="2357" t="s">
        <v>0</v>
      </c>
      <c r="C3" s="2357"/>
      <c r="D3" s="2357"/>
      <c r="E3" s="2357"/>
      <c r="F3" s="2357"/>
      <c r="G3" s="74"/>
      <c r="K3" s="684"/>
      <c r="L3" s="684"/>
      <c r="M3" s="684"/>
      <c r="N3" s="684"/>
      <c r="O3" s="684"/>
      <c r="P3" s="684"/>
      <c r="Q3" s="684"/>
      <c r="R3" s="684"/>
    </row>
    <row r="4" spans="1:58" x14ac:dyDescent="0.3">
      <c r="A4" s="165"/>
      <c r="B4" s="75"/>
      <c r="C4" s="76"/>
      <c r="F4" s="63"/>
      <c r="K4" s="66"/>
      <c r="L4" s="1186" t="s">
        <v>60</v>
      </c>
      <c r="M4" s="65"/>
      <c r="N4" s="66"/>
      <c r="O4" s="67"/>
      <c r="P4" s="1186" t="s">
        <v>61</v>
      </c>
      <c r="Q4" s="67"/>
      <c r="R4" s="65"/>
      <c r="S4" s="1202"/>
      <c r="T4" s="1203"/>
      <c r="U4" s="1572" t="s">
        <v>274</v>
      </c>
      <c r="V4" s="1203"/>
      <c r="W4" s="1204"/>
      <c r="X4" s="1944"/>
      <c r="Y4" s="1575"/>
      <c r="Z4" s="1575" t="s">
        <v>1072</v>
      </c>
      <c r="AA4" s="1575"/>
      <c r="AB4" s="1574"/>
      <c r="AC4" s="1573"/>
      <c r="AD4" s="1575"/>
      <c r="AE4" s="1575" t="s">
        <v>457</v>
      </c>
      <c r="AF4" s="1575"/>
      <c r="AG4" s="1574"/>
      <c r="AH4" s="1573"/>
      <c r="AI4" s="1575"/>
      <c r="AJ4" s="1575" t="s">
        <v>903</v>
      </c>
      <c r="AK4" s="1575"/>
      <c r="AL4" s="1574"/>
    </row>
    <row r="5" spans="1:58" x14ac:dyDescent="0.3">
      <c r="K5" s="77"/>
      <c r="L5" s="77"/>
      <c r="M5" s="77"/>
      <c r="N5" s="77"/>
      <c r="O5" s="77"/>
      <c r="P5" s="77"/>
      <c r="Q5" s="77"/>
      <c r="R5" s="77"/>
    </row>
    <row r="6" spans="1:58" x14ac:dyDescent="0.3">
      <c r="B6" s="166"/>
      <c r="F6" s="167" t="s">
        <v>63</v>
      </c>
      <c r="K6" s="1419">
        <v>2006</v>
      </c>
      <c r="L6" s="1419">
        <v>2007</v>
      </c>
      <c r="M6" s="1419">
        <v>2008</v>
      </c>
      <c r="N6" s="1419">
        <v>2009</v>
      </c>
      <c r="O6" s="1419">
        <v>2010</v>
      </c>
      <c r="P6" s="1419">
        <v>2011</v>
      </c>
      <c r="Q6" s="1419">
        <v>2012</v>
      </c>
      <c r="R6" s="1419">
        <v>2013</v>
      </c>
      <c r="S6" s="1360">
        <v>2014</v>
      </c>
      <c r="T6" s="1360">
        <v>2015</v>
      </c>
      <c r="U6" s="1360">
        <v>2016</v>
      </c>
      <c r="V6" s="1360">
        <v>2017</v>
      </c>
      <c r="W6" s="1360">
        <v>2018</v>
      </c>
      <c r="X6" s="1360">
        <v>2019</v>
      </c>
      <c r="Y6" s="1360">
        <v>2020</v>
      </c>
      <c r="Z6" s="1360">
        <v>2021</v>
      </c>
      <c r="AA6" s="1360">
        <v>2022</v>
      </c>
      <c r="AB6" s="1360">
        <v>2023</v>
      </c>
      <c r="AC6" s="1420">
        <v>2024</v>
      </c>
      <c r="AD6" s="1420">
        <v>2025</v>
      </c>
      <c r="AE6" s="1420">
        <v>2026</v>
      </c>
      <c r="AF6" s="1420">
        <v>2027</v>
      </c>
      <c r="AG6" s="1420">
        <v>2028</v>
      </c>
      <c r="AH6" s="1420">
        <v>2029</v>
      </c>
      <c r="AI6" s="1420">
        <v>2030</v>
      </c>
      <c r="AJ6" s="1420">
        <v>2031</v>
      </c>
      <c r="AK6" s="1420">
        <v>2032</v>
      </c>
      <c r="AL6" s="1420">
        <v>2033</v>
      </c>
    </row>
    <row r="7" spans="1:58" x14ac:dyDescent="0.3">
      <c r="A7" s="78"/>
      <c r="B7" s="168"/>
      <c r="C7" s="78"/>
      <c r="D7" s="78"/>
      <c r="E7" s="78"/>
      <c r="F7" s="169" t="s">
        <v>64</v>
      </c>
      <c r="G7" s="78"/>
      <c r="H7" s="78"/>
      <c r="I7" s="323"/>
      <c r="J7" s="268"/>
      <c r="K7" s="1556" t="str">
        <f t="shared" ref="K7:W7" si="0">+CONCATENATE(K6-1,"-",RIGHT(K6,2))</f>
        <v>2005-06</v>
      </c>
      <c r="L7" s="1556" t="str">
        <f t="shared" si="0"/>
        <v>2006-07</v>
      </c>
      <c r="M7" s="1556" t="str">
        <f t="shared" si="0"/>
        <v>2007-08</v>
      </c>
      <c r="N7" s="1556" t="str">
        <f t="shared" si="0"/>
        <v>2008-09</v>
      </c>
      <c r="O7" s="1556" t="str">
        <f t="shared" si="0"/>
        <v>2009-10</v>
      </c>
      <c r="P7" s="1556" t="str">
        <f t="shared" si="0"/>
        <v>2010-11</v>
      </c>
      <c r="Q7" s="1556" t="str">
        <f t="shared" si="0"/>
        <v>2011-12</v>
      </c>
      <c r="R7" s="1556" t="str">
        <f t="shared" si="0"/>
        <v>2012-13</v>
      </c>
      <c r="S7" s="1319" t="str">
        <f t="shared" si="0"/>
        <v>2013-14</v>
      </c>
      <c r="T7" s="1319" t="str">
        <f t="shared" si="0"/>
        <v>2014-15</v>
      </c>
      <c r="U7" s="1319" t="str">
        <f t="shared" si="0"/>
        <v>2015-16</v>
      </c>
      <c r="V7" s="1319" t="str">
        <f t="shared" si="0"/>
        <v>2016-17</v>
      </c>
      <c r="W7" s="1319" t="str">
        <f t="shared" si="0"/>
        <v>2017-18</v>
      </c>
      <c r="X7" s="1319" t="str">
        <f t="shared" ref="X7:AG7" si="1">+CONCATENATE(X6-1,"-",RIGHT(X6,2))</f>
        <v>2018-19</v>
      </c>
      <c r="Y7" s="1319" t="str">
        <f t="shared" si="1"/>
        <v>2019-20</v>
      </c>
      <c r="Z7" s="1319" t="str">
        <f t="shared" si="1"/>
        <v>2020-21</v>
      </c>
      <c r="AA7" s="1319" t="str">
        <f t="shared" si="1"/>
        <v>2021-22</v>
      </c>
      <c r="AB7" s="1319" t="str">
        <f t="shared" si="1"/>
        <v>2022-23</v>
      </c>
      <c r="AC7" s="1319" t="str">
        <f t="shared" si="1"/>
        <v>2023-24</v>
      </c>
      <c r="AD7" s="1319" t="str">
        <f t="shared" si="1"/>
        <v>2024-25</v>
      </c>
      <c r="AE7" s="1319" t="str">
        <f t="shared" si="1"/>
        <v>2025-26</v>
      </c>
      <c r="AF7" s="1319" t="str">
        <f t="shared" si="1"/>
        <v>2026-27</v>
      </c>
      <c r="AG7" s="1319" t="str">
        <f t="shared" si="1"/>
        <v>2027-28</v>
      </c>
      <c r="AH7" s="1319" t="str">
        <f>+CONCATENATE(AH6-1,"-",RIGHT(AH6,2))</f>
        <v>2028-29</v>
      </c>
      <c r="AI7" s="1319" t="str">
        <f>+CONCATENATE(AI6-1,"-",RIGHT(AI6,2))</f>
        <v>2029-30</v>
      </c>
      <c r="AJ7" s="1319" t="str">
        <f>+CONCATENATE(AJ6-1,"-",RIGHT(AJ6,2))</f>
        <v>2030-31</v>
      </c>
      <c r="AK7" s="1319" t="str">
        <f>+CONCATENATE(AK6-1,"-",RIGHT(AK6,2))</f>
        <v>2031-32</v>
      </c>
      <c r="AL7" s="1319" t="str">
        <f>+CONCATENATE(AL6-1,"-",RIGHT(AL6,2))</f>
        <v>2032-33</v>
      </c>
    </row>
    <row r="8" spans="1:58" ht="12.5" thickBot="1" x14ac:dyDescent="0.35">
      <c r="K8" s="684"/>
      <c r="L8" s="684"/>
      <c r="M8" s="684"/>
      <c r="N8" s="684"/>
      <c r="O8" s="684"/>
      <c r="P8" s="684"/>
      <c r="Q8" s="684"/>
      <c r="R8" s="684"/>
    </row>
    <row r="9" spans="1:58" x14ac:dyDescent="0.3">
      <c r="C9" s="685"/>
      <c r="D9" s="171"/>
      <c r="E9" s="171"/>
      <c r="F9" s="171"/>
      <c r="G9" s="171"/>
      <c r="H9" s="171"/>
      <c r="I9" s="23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2"/>
    </row>
    <row r="10" spans="1:58" x14ac:dyDescent="0.3">
      <c r="C10" s="173"/>
      <c r="D10" s="666" t="s">
        <v>223</v>
      </c>
      <c r="E10" s="72"/>
      <c r="F10" s="72"/>
      <c r="G10" s="72"/>
      <c r="H10" s="72"/>
      <c r="I10" s="84"/>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c r="AL10" s="72"/>
      <c r="AM10" s="175"/>
    </row>
    <row r="11" spans="1:58" x14ac:dyDescent="0.3">
      <c r="C11" s="173"/>
      <c r="D11" s="666"/>
      <c r="E11" s="72"/>
      <c r="F11" s="72"/>
      <c r="G11" s="72"/>
      <c r="H11" s="72"/>
      <c r="I11" s="84"/>
      <c r="J11" s="72"/>
      <c r="K11" s="72"/>
      <c r="L11" s="72"/>
      <c r="M11" s="72"/>
      <c r="N11" s="72"/>
      <c r="O11" s="72"/>
      <c r="P11" s="72"/>
      <c r="Q11" s="72"/>
      <c r="R11" s="72"/>
      <c r="S11" s="72"/>
      <c r="T11" s="72"/>
      <c r="U11" s="72"/>
      <c r="V11" s="72"/>
      <c r="W11" s="72"/>
      <c r="X11" s="72"/>
      <c r="Y11" s="72"/>
      <c r="Z11" s="72"/>
      <c r="AA11" s="72"/>
      <c r="AB11" s="72"/>
      <c r="AC11" s="72"/>
      <c r="AD11" s="72"/>
      <c r="AE11" s="72"/>
      <c r="AF11" s="72"/>
      <c r="AG11" s="72"/>
      <c r="AH11" s="72"/>
      <c r="AI11" s="72"/>
      <c r="AJ11" s="72"/>
      <c r="AK11" s="72"/>
      <c r="AL11" s="72"/>
      <c r="AM11" s="175"/>
    </row>
    <row r="12" spans="1:58" x14ac:dyDescent="0.3">
      <c r="C12" s="173"/>
      <c r="D12" s="1576" t="s">
        <v>229</v>
      </c>
      <c r="E12" s="1576"/>
      <c r="F12" s="1576"/>
      <c r="G12" s="1576"/>
      <c r="H12" s="1576"/>
      <c r="I12" s="1576"/>
      <c r="J12" s="1576"/>
      <c r="K12" s="1577"/>
      <c r="L12" s="1577"/>
      <c r="M12" s="1577"/>
      <c r="N12" s="1577"/>
      <c r="O12" s="1577"/>
      <c r="P12" s="1577"/>
      <c r="Q12" s="1577"/>
      <c r="R12" s="1577"/>
      <c r="S12" s="1577"/>
      <c r="T12" s="2113"/>
      <c r="U12" s="2113"/>
      <c r="V12" s="2113"/>
      <c r="W12" s="2113"/>
      <c r="X12" s="2113"/>
      <c r="Y12" s="72"/>
      <c r="Z12" s="72"/>
      <c r="AA12" s="72"/>
      <c r="AB12" s="72"/>
      <c r="AC12" s="72"/>
      <c r="AD12" s="72"/>
      <c r="AE12" s="72"/>
      <c r="AF12" s="72"/>
      <c r="AG12" s="72"/>
      <c r="AH12" s="72"/>
      <c r="AI12" s="72"/>
      <c r="AJ12" s="72"/>
      <c r="AK12" s="72"/>
      <c r="AL12" s="72"/>
      <c r="AM12" s="175"/>
    </row>
    <row r="13" spans="1:58" x14ac:dyDescent="0.3">
      <c r="C13" s="173"/>
      <c r="D13" s="1576" t="s">
        <v>224</v>
      </c>
      <c r="E13" s="1576"/>
      <c r="F13" s="1576"/>
      <c r="G13" s="1576"/>
      <c r="H13" s="1576"/>
      <c r="I13" s="1576"/>
      <c r="J13" s="1576"/>
      <c r="K13" s="1577"/>
      <c r="L13" s="1577"/>
      <c r="M13" s="1577"/>
      <c r="N13" s="1577"/>
      <c r="O13" s="1577"/>
      <c r="P13" s="1577"/>
      <c r="Q13" s="1577"/>
      <c r="R13" s="1577"/>
      <c r="S13" s="1577"/>
      <c r="T13" s="2113"/>
      <c r="U13" s="2113"/>
      <c r="V13" s="2113"/>
      <c r="W13" s="2113"/>
      <c r="X13" s="2113"/>
      <c r="Y13" s="72"/>
      <c r="Z13" s="72"/>
      <c r="AA13" s="72"/>
      <c r="AB13" s="72"/>
      <c r="AC13" s="72"/>
      <c r="AD13" s="72"/>
      <c r="AE13" s="72"/>
      <c r="AF13" s="72"/>
      <c r="AG13" s="72"/>
      <c r="AH13" s="72"/>
      <c r="AI13" s="72"/>
      <c r="AJ13" s="72"/>
      <c r="AK13" s="72"/>
      <c r="AL13" s="72"/>
      <c r="AM13" s="175"/>
    </row>
    <row r="14" spans="1:58" x14ac:dyDescent="0.3">
      <c r="C14" s="173"/>
      <c r="D14" s="72"/>
      <c r="E14" s="72"/>
      <c r="F14" s="72"/>
      <c r="G14" s="72"/>
      <c r="H14" s="72"/>
      <c r="I14" s="84"/>
      <c r="J14" s="72"/>
      <c r="K14" s="72"/>
      <c r="L14" s="72"/>
      <c r="M14" s="72"/>
      <c r="N14" s="72"/>
      <c r="O14" s="72"/>
      <c r="P14" s="72"/>
      <c r="Q14" s="72"/>
      <c r="R14" s="72"/>
      <c r="S14" s="72"/>
      <c r="T14" s="72"/>
      <c r="U14" s="72"/>
      <c r="V14" s="72"/>
      <c r="W14" s="72"/>
      <c r="X14" s="72"/>
      <c r="Y14" s="72"/>
      <c r="Z14" s="72"/>
      <c r="AA14" s="72"/>
      <c r="AB14" s="72"/>
      <c r="AC14" s="72"/>
      <c r="AD14" s="72"/>
      <c r="AE14" s="72"/>
      <c r="AF14" s="72"/>
      <c r="AG14" s="72"/>
      <c r="AH14" s="72"/>
      <c r="AI14" s="72"/>
      <c r="AJ14" s="72"/>
      <c r="AK14" s="72"/>
      <c r="AL14" s="72"/>
      <c r="AM14" s="175"/>
    </row>
    <row r="15" spans="1:58" x14ac:dyDescent="0.3">
      <c r="C15" s="1583">
        <v>1</v>
      </c>
      <c r="D15" s="105" t="s">
        <v>228</v>
      </c>
      <c r="E15" s="72"/>
      <c r="F15" s="72"/>
      <c r="G15" s="72"/>
      <c r="H15" s="72"/>
      <c r="I15" s="84"/>
      <c r="J15" s="72"/>
      <c r="K15" s="206"/>
      <c r="L15" s="206"/>
      <c r="M15" s="206"/>
      <c r="N15" s="72"/>
      <c r="O15" s="72"/>
      <c r="P15" s="72"/>
      <c r="Q15" s="72"/>
      <c r="R15" s="72"/>
      <c r="S15" s="72"/>
      <c r="T15" s="72"/>
      <c r="U15" s="72"/>
      <c r="V15" s="72"/>
      <c r="W15" s="72"/>
      <c r="X15" s="72"/>
      <c r="Y15" s="72"/>
      <c r="Z15" s="72"/>
      <c r="AA15" s="72"/>
      <c r="AB15" s="72"/>
      <c r="AC15" s="72"/>
      <c r="AD15" s="72"/>
      <c r="AE15" s="72"/>
      <c r="AF15" s="72"/>
      <c r="AG15" s="72"/>
      <c r="AH15" s="72"/>
      <c r="AI15" s="72"/>
      <c r="AJ15" s="72"/>
      <c r="AK15" s="72"/>
      <c r="AL15" s="72"/>
      <c r="AM15" s="175"/>
    </row>
    <row r="16" spans="1:58" x14ac:dyDescent="0.3">
      <c r="C16" s="173"/>
      <c r="D16" s="72"/>
      <c r="E16" s="2412" t="s">
        <v>364</v>
      </c>
      <c r="F16" s="2413"/>
      <c r="G16" s="2413"/>
      <c r="H16" s="2413"/>
      <c r="I16" s="2414"/>
      <c r="J16" s="710"/>
      <c r="K16" s="710"/>
      <c r="L16" s="710"/>
      <c r="M16" s="710"/>
      <c r="N16" s="711"/>
      <c r="O16" s="258"/>
      <c r="P16" s="258"/>
      <c r="Q16" s="258"/>
      <c r="R16" s="258"/>
      <c r="S16" s="258"/>
      <c r="T16" s="712"/>
      <c r="U16" s="712"/>
      <c r="V16" s="72"/>
      <c r="W16" s="436"/>
      <c r="X16" s="1584"/>
      <c r="Y16" s="1584"/>
      <c r="Z16" s="1584"/>
      <c r="AA16" s="1584"/>
      <c r="AB16" s="1644"/>
      <c r="AC16" s="336"/>
      <c r="AD16" s="336"/>
      <c r="AE16" s="336"/>
      <c r="AF16" s="336"/>
      <c r="AG16" s="337"/>
      <c r="AH16" s="336"/>
      <c r="AI16" s="336"/>
      <c r="AJ16" s="336"/>
      <c r="AK16" s="336"/>
      <c r="AL16" s="337"/>
      <c r="AM16" s="175"/>
      <c r="AO16" s="1307"/>
      <c r="AP16" s="1307"/>
      <c r="AQ16" s="1307"/>
      <c r="AR16" s="1307"/>
      <c r="AS16" s="1307"/>
      <c r="AT16" s="1307"/>
      <c r="AU16" s="1307"/>
      <c r="AV16" s="1307"/>
      <c r="AW16" s="1307"/>
      <c r="AX16" s="1307"/>
      <c r="AY16" s="1307"/>
      <c r="AZ16" s="1307"/>
      <c r="BA16" s="1307"/>
      <c r="BB16" s="1307"/>
      <c r="BC16" s="1307"/>
      <c r="BD16" s="807"/>
      <c r="BE16" s="807"/>
      <c r="BF16" s="807"/>
    </row>
    <row r="17" spans="3:55" x14ac:dyDescent="0.3">
      <c r="C17" s="173"/>
      <c r="D17" s="72"/>
      <c r="E17" s="2415" t="s">
        <v>365</v>
      </c>
      <c r="F17" s="2416"/>
      <c r="G17" s="2416"/>
      <c r="H17" s="2416"/>
      <c r="I17" s="2417"/>
      <c r="J17" s="710"/>
      <c r="K17" s="710"/>
      <c r="L17" s="710"/>
      <c r="M17" s="710"/>
      <c r="N17" s="711"/>
      <c r="O17" s="258"/>
      <c r="P17" s="258"/>
      <c r="Q17" s="258"/>
      <c r="R17" s="258"/>
      <c r="S17" s="258"/>
      <c r="T17" s="712"/>
      <c r="U17" s="712"/>
      <c r="V17" s="72"/>
      <c r="W17" s="437"/>
      <c r="X17" s="339"/>
      <c r="Y17" s="339"/>
      <c r="Z17" s="339"/>
      <c r="AA17" s="339"/>
      <c r="AB17" s="340"/>
      <c r="AC17" s="339"/>
      <c r="AD17" s="339"/>
      <c r="AE17" s="339"/>
      <c r="AF17" s="339"/>
      <c r="AG17" s="340"/>
      <c r="AH17" s="339"/>
      <c r="AI17" s="339"/>
      <c r="AJ17" s="339"/>
      <c r="AK17" s="339"/>
      <c r="AL17" s="340"/>
      <c r="AM17" s="175"/>
      <c r="AO17" s="1307"/>
      <c r="AP17" s="1307"/>
      <c r="AQ17" s="1307"/>
      <c r="AR17" s="1307"/>
      <c r="AS17" s="1307"/>
      <c r="AT17" s="1307"/>
      <c r="AU17" s="1307"/>
      <c r="AV17" s="1307"/>
      <c r="AW17" s="1307"/>
      <c r="AX17" s="1307"/>
      <c r="AY17" s="1307"/>
      <c r="AZ17" s="1307"/>
      <c r="BA17" s="1307"/>
      <c r="BB17" s="1307"/>
      <c r="BC17" s="1307"/>
    </row>
    <row r="18" spans="3:55" x14ac:dyDescent="0.3">
      <c r="C18" s="173"/>
      <c r="D18" s="72"/>
      <c r="E18" s="2415" t="s">
        <v>366</v>
      </c>
      <c r="F18" s="2416"/>
      <c r="G18" s="2416"/>
      <c r="H18" s="2416"/>
      <c r="I18" s="2417"/>
      <c r="J18" s="710"/>
      <c r="K18" s="710"/>
      <c r="L18" s="710"/>
      <c r="M18" s="710"/>
      <c r="N18" s="711"/>
      <c r="O18" s="258"/>
      <c r="P18" s="258"/>
      <c r="Q18" s="258"/>
      <c r="R18" s="258"/>
      <c r="S18" s="258"/>
      <c r="T18" s="712"/>
      <c r="U18" s="712"/>
      <c r="V18" s="72"/>
      <c r="W18" s="437"/>
      <c r="X18" s="339"/>
      <c r="Y18" s="339"/>
      <c r="Z18" s="339"/>
      <c r="AA18" s="339"/>
      <c r="AB18" s="340"/>
      <c r="AC18" s="339"/>
      <c r="AD18" s="339"/>
      <c r="AE18" s="339"/>
      <c r="AF18" s="339"/>
      <c r="AG18" s="340"/>
      <c r="AH18" s="339"/>
      <c r="AI18" s="339"/>
      <c r="AJ18" s="339"/>
      <c r="AK18" s="339"/>
      <c r="AL18" s="340"/>
      <c r="AM18" s="175"/>
      <c r="AO18" s="1307"/>
      <c r="AP18" s="1307"/>
      <c r="AQ18" s="1307"/>
      <c r="AR18" s="1307"/>
      <c r="AS18" s="1307"/>
      <c r="AT18" s="1307"/>
      <c r="AU18" s="1307"/>
      <c r="AV18" s="1307"/>
      <c r="AW18" s="1307"/>
      <c r="AX18" s="1307"/>
      <c r="AY18" s="1307"/>
      <c r="AZ18" s="1307"/>
      <c r="BA18" s="1307"/>
      <c r="BB18" s="1307"/>
      <c r="BC18" s="1307"/>
    </row>
    <row r="19" spans="3:55" x14ac:dyDescent="0.3">
      <c r="C19" s="173"/>
      <c r="D19" s="72"/>
      <c r="E19" s="2418" t="s">
        <v>367</v>
      </c>
      <c r="F19" s="2419"/>
      <c r="G19" s="2419"/>
      <c r="H19" s="2419"/>
      <c r="I19" s="2420"/>
      <c r="J19" s="710"/>
      <c r="K19" s="710"/>
      <c r="L19" s="710"/>
      <c r="M19" s="710"/>
      <c r="N19" s="711"/>
      <c r="O19" s="258"/>
      <c r="P19" s="258"/>
      <c r="Q19" s="258"/>
      <c r="R19" s="258"/>
      <c r="S19" s="258"/>
      <c r="T19" s="712"/>
      <c r="U19" s="712"/>
      <c r="V19" s="72"/>
      <c r="W19" s="438"/>
      <c r="X19" s="342"/>
      <c r="Y19" s="342"/>
      <c r="Z19" s="342"/>
      <c r="AA19" s="342"/>
      <c r="AB19" s="343"/>
      <c r="AC19" s="342"/>
      <c r="AD19" s="342"/>
      <c r="AE19" s="342"/>
      <c r="AF19" s="342"/>
      <c r="AG19" s="343"/>
      <c r="AH19" s="342"/>
      <c r="AI19" s="342"/>
      <c r="AJ19" s="342"/>
      <c r="AK19" s="342"/>
      <c r="AL19" s="343"/>
      <c r="AM19" s="175"/>
      <c r="AO19" s="1307"/>
      <c r="AP19" s="1307"/>
      <c r="AQ19" s="1307"/>
      <c r="AR19" s="1307"/>
      <c r="AS19" s="1307"/>
      <c r="AT19" s="1307"/>
      <c r="AU19" s="1307"/>
      <c r="AV19" s="1307"/>
      <c r="AW19" s="1307"/>
      <c r="AX19" s="1307"/>
      <c r="AY19" s="1307"/>
      <c r="AZ19" s="1307"/>
      <c r="BA19" s="1307"/>
      <c r="BB19" s="1307"/>
      <c r="BC19" s="1307"/>
    </row>
    <row r="20" spans="3:55" x14ac:dyDescent="0.3">
      <c r="C20" s="173"/>
      <c r="D20" s="227" t="str">
        <f>+CONCATENATE("Total ",LOWER(D15))</f>
        <v>Total revenue adjustments</v>
      </c>
      <c r="E20" s="72"/>
      <c r="F20" s="72"/>
      <c r="G20" s="72"/>
      <c r="H20" s="72"/>
      <c r="I20" s="84"/>
      <c r="J20" s="687"/>
      <c r="K20" s="687"/>
      <c r="L20" s="687"/>
      <c r="M20" s="687"/>
      <c r="N20" s="84"/>
      <c r="O20" s="72"/>
      <c r="P20" s="72"/>
      <c r="Q20" s="72"/>
      <c r="R20" s="72"/>
      <c r="S20" s="72"/>
      <c r="T20" s="583"/>
      <c r="U20" s="583"/>
      <c r="V20" s="72"/>
      <c r="W20" s="682">
        <f t="shared" ref="W20" si="2">+SUM(W16:W19)</f>
        <v>0</v>
      </c>
      <c r="X20" s="2028">
        <f t="shared" ref="X20:AG20" si="3">+SUM(X16:X19)</f>
        <v>0</v>
      </c>
      <c r="Y20" s="2028">
        <f t="shared" si="3"/>
        <v>0</v>
      </c>
      <c r="Z20" s="2028">
        <f t="shared" si="3"/>
        <v>0</v>
      </c>
      <c r="AA20" s="2028">
        <f t="shared" si="3"/>
        <v>0</v>
      </c>
      <c r="AB20" s="2028">
        <f t="shared" si="3"/>
        <v>0</v>
      </c>
      <c r="AC20" s="682">
        <f t="shared" si="3"/>
        <v>0</v>
      </c>
      <c r="AD20" s="682">
        <f t="shared" si="3"/>
        <v>0</v>
      </c>
      <c r="AE20" s="682">
        <f t="shared" si="3"/>
        <v>0</v>
      </c>
      <c r="AF20" s="682">
        <f t="shared" si="3"/>
        <v>0</v>
      </c>
      <c r="AG20" s="682">
        <f t="shared" si="3"/>
        <v>0</v>
      </c>
      <c r="AH20" s="682">
        <f>+SUM(AH16:AH19)</f>
        <v>0</v>
      </c>
      <c r="AI20" s="682">
        <f>+SUM(AI16:AI19)</f>
        <v>0</v>
      </c>
      <c r="AJ20" s="682">
        <f>+SUM(AJ16:AJ19)</f>
        <v>0</v>
      </c>
      <c r="AK20" s="682">
        <f>+SUM(AK16:AK19)</f>
        <v>0</v>
      </c>
      <c r="AL20" s="682">
        <f>+SUM(AL16:AL19)</f>
        <v>0</v>
      </c>
      <c r="AM20" s="175"/>
      <c r="AO20" s="1307"/>
      <c r="AP20" s="1307"/>
      <c r="AQ20" s="1307"/>
      <c r="AR20" s="1307"/>
      <c r="AS20" s="1307"/>
      <c r="AT20" s="1307"/>
      <c r="AU20" s="1307"/>
      <c r="AV20" s="1307"/>
      <c r="AW20" s="1307"/>
      <c r="AX20" s="1307"/>
      <c r="AY20" s="1307"/>
      <c r="AZ20" s="1307"/>
      <c r="BA20" s="1307"/>
      <c r="BB20" s="1307"/>
      <c r="BC20" s="1307"/>
    </row>
    <row r="21" spans="3:55" x14ac:dyDescent="0.3">
      <c r="C21" s="173"/>
      <c r="D21" s="72"/>
      <c r="E21" s="72"/>
      <c r="F21" s="72"/>
      <c r="G21" s="72"/>
      <c r="H21" s="72"/>
      <c r="I21" s="84"/>
      <c r="J21" s="206"/>
      <c r="K21" s="206"/>
      <c r="L21" s="206"/>
      <c r="M21" s="206"/>
      <c r="N21" s="84"/>
      <c r="O21" s="72"/>
      <c r="P21" s="72"/>
      <c r="Q21" s="72"/>
      <c r="R21" s="72"/>
      <c r="S21" s="72"/>
      <c r="T21" s="206"/>
      <c r="U21" s="206"/>
      <c r="V21" s="72"/>
      <c r="W21" s="414"/>
      <c r="X21" s="2145"/>
      <c r="Y21" s="2145"/>
      <c r="Z21" s="2145"/>
      <c r="AA21" s="2145"/>
      <c r="AB21" s="2145"/>
      <c r="AC21" s="414"/>
      <c r="AD21" s="414"/>
      <c r="AE21" s="414"/>
      <c r="AF21" s="414"/>
      <c r="AG21" s="414"/>
      <c r="AH21" s="414"/>
      <c r="AI21" s="414"/>
      <c r="AJ21" s="414"/>
      <c r="AK21" s="414"/>
      <c r="AL21" s="414"/>
      <c r="AM21" s="175"/>
      <c r="AO21" s="1307"/>
      <c r="AP21" s="1307"/>
      <c r="AQ21" s="1307"/>
      <c r="AR21" s="1307"/>
      <c r="AS21" s="1307"/>
      <c r="AT21" s="1307"/>
      <c r="AU21" s="1307"/>
      <c r="AV21" s="1307"/>
      <c r="AW21" s="1307"/>
      <c r="AX21" s="1307"/>
      <c r="AY21" s="1307"/>
      <c r="AZ21" s="1307"/>
      <c r="BA21" s="1307"/>
      <c r="BB21" s="1307"/>
      <c r="BC21" s="1307"/>
    </row>
    <row r="22" spans="3:55" x14ac:dyDescent="0.3">
      <c r="C22" s="173"/>
      <c r="D22" s="72"/>
      <c r="E22" s="72"/>
      <c r="F22" s="72"/>
      <c r="G22" s="72"/>
      <c r="H22" s="72"/>
      <c r="I22" s="84"/>
      <c r="J22" s="206"/>
      <c r="K22" s="206"/>
      <c r="L22" s="206"/>
      <c r="M22" s="206"/>
      <c r="N22" s="84"/>
      <c r="O22" s="72"/>
      <c r="P22" s="72"/>
      <c r="Q22" s="72"/>
      <c r="R22" s="72"/>
      <c r="S22" s="72"/>
      <c r="T22" s="206"/>
      <c r="U22" s="206"/>
      <c r="V22" s="72"/>
      <c r="W22" s="414"/>
      <c r="X22" s="2145"/>
      <c r="Y22" s="2145"/>
      <c r="Z22" s="2145"/>
      <c r="AA22" s="2145"/>
      <c r="AB22" s="2145"/>
      <c r="AC22" s="414"/>
      <c r="AD22" s="414"/>
      <c r="AE22" s="414"/>
      <c r="AF22" s="414"/>
      <c r="AG22" s="414"/>
      <c r="AH22" s="414"/>
      <c r="AI22" s="414"/>
      <c r="AJ22" s="414"/>
      <c r="AK22" s="414"/>
      <c r="AL22" s="414"/>
      <c r="AM22" s="175"/>
      <c r="AO22" s="1307"/>
      <c r="AP22" s="1307"/>
      <c r="AQ22" s="1307"/>
      <c r="AR22" s="1307"/>
      <c r="AS22" s="1307"/>
      <c r="AT22" s="1307"/>
      <c r="AU22" s="1307"/>
      <c r="AV22" s="1307"/>
      <c r="AW22" s="1307"/>
      <c r="AX22" s="1307"/>
      <c r="AY22" s="1307"/>
      <c r="AZ22" s="1307"/>
      <c r="BA22" s="1307"/>
      <c r="BB22" s="1307"/>
      <c r="BC22" s="1307"/>
    </row>
    <row r="23" spans="3:55" x14ac:dyDescent="0.3">
      <c r="C23" s="1583">
        <v>2</v>
      </c>
      <c r="D23" s="105" t="s">
        <v>225</v>
      </c>
      <c r="E23" s="72"/>
      <c r="F23" s="72"/>
      <c r="G23" s="72"/>
      <c r="H23" s="72"/>
      <c r="I23" s="84"/>
      <c r="J23" s="206"/>
      <c r="K23" s="206"/>
      <c r="L23" s="206"/>
      <c r="M23" s="206"/>
      <c r="N23" s="84"/>
      <c r="O23" s="72"/>
      <c r="P23" s="72"/>
      <c r="Q23" s="72"/>
      <c r="R23" s="72"/>
      <c r="S23" s="72"/>
      <c r="T23" s="206"/>
      <c r="U23" s="206"/>
      <c r="V23" s="72"/>
      <c r="W23" s="414"/>
      <c r="X23" s="2145"/>
      <c r="Y23" s="2145"/>
      <c r="Z23" s="2145"/>
      <c r="AA23" s="2145"/>
      <c r="AB23" s="2145"/>
      <c r="AC23" s="414"/>
      <c r="AD23" s="414"/>
      <c r="AE23" s="414"/>
      <c r="AF23" s="414"/>
      <c r="AG23" s="414"/>
      <c r="AH23" s="414"/>
      <c r="AI23" s="414"/>
      <c r="AJ23" s="414"/>
      <c r="AK23" s="414"/>
      <c r="AL23" s="414"/>
      <c r="AM23" s="175"/>
      <c r="AO23" s="1307"/>
      <c r="AP23" s="1307"/>
      <c r="AQ23" s="1307"/>
      <c r="AR23" s="1307"/>
      <c r="AS23" s="1307"/>
      <c r="AT23" s="1307"/>
      <c r="AU23" s="1307"/>
      <c r="AV23" s="1307"/>
      <c r="AW23" s="1307"/>
      <c r="AX23" s="1307"/>
      <c r="AY23" s="1307"/>
      <c r="AZ23" s="1307"/>
      <c r="BA23" s="1307"/>
      <c r="BB23" s="1307"/>
      <c r="BC23" s="1307"/>
    </row>
    <row r="24" spans="3:55" x14ac:dyDescent="0.3">
      <c r="C24" s="173"/>
      <c r="D24" s="72"/>
      <c r="E24" s="2412" t="s">
        <v>364</v>
      </c>
      <c r="F24" s="2413"/>
      <c r="G24" s="2413"/>
      <c r="H24" s="2413"/>
      <c r="I24" s="2414"/>
      <c r="J24" s="710"/>
      <c r="K24" s="710"/>
      <c r="L24" s="710"/>
      <c r="M24" s="710"/>
      <c r="N24" s="711"/>
      <c r="O24" s="258"/>
      <c r="P24" s="258"/>
      <c r="Q24" s="258"/>
      <c r="R24" s="258"/>
      <c r="S24" s="258"/>
      <c r="T24" s="712"/>
      <c r="U24" s="712"/>
      <c r="V24" s="72"/>
      <c r="W24" s="436"/>
      <c r="X24" s="336"/>
      <c r="Y24" s="336"/>
      <c r="Z24" s="336"/>
      <c r="AA24" s="336"/>
      <c r="AB24" s="337"/>
      <c r="AC24" s="336"/>
      <c r="AD24" s="336"/>
      <c r="AE24" s="336"/>
      <c r="AF24" s="336"/>
      <c r="AG24" s="337"/>
      <c r="AH24" s="336"/>
      <c r="AI24" s="336"/>
      <c r="AJ24" s="336"/>
      <c r="AK24" s="336"/>
      <c r="AL24" s="337"/>
      <c r="AM24" s="175"/>
      <c r="AO24" s="1307"/>
      <c r="AP24" s="1307"/>
      <c r="AQ24" s="1307"/>
      <c r="AR24" s="1307"/>
      <c r="AS24" s="1307"/>
      <c r="AT24" s="1307"/>
      <c r="AU24" s="1307"/>
      <c r="AV24" s="1307"/>
      <c r="AW24" s="1307"/>
      <c r="AX24" s="1307"/>
      <c r="AY24" s="1307"/>
      <c r="AZ24" s="1307"/>
      <c r="BA24" s="1307"/>
      <c r="BB24" s="1307"/>
      <c r="BC24" s="1307"/>
    </row>
    <row r="25" spans="3:55" x14ac:dyDescent="0.3">
      <c r="C25" s="173"/>
      <c r="D25" s="72"/>
      <c r="E25" s="2415" t="s">
        <v>365</v>
      </c>
      <c r="F25" s="2416"/>
      <c r="G25" s="2416"/>
      <c r="H25" s="2416"/>
      <c r="I25" s="2417"/>
      <c r="J25" s="710"/>
      <c r="K25" s="710"/>
      <c r="L25" s="710"/>
      <c r="M25" s="710"/>
      <c r="N25" s="711"/>
      <c r="O25" s="258"/>
      <c r="P25" s="258"/>
      <c r="Q25" s="258"/>
      <c r="R25" s="258"/>
      <c r="S25" s="258"/>
      <c r="T25" s="712"/>
      <c r="U25" s="712"/>
      <c r="V25" s="72"/>
      <c r="W25" s="437"/>
      <c r="X25" s="339"/>
      <c r="Y25" s="339"/>
      <c r="Z25" s="339"/>
      <c r="AA25" s="339"/>
      <c r="AB25" s="340"/>
      <c r="AC25" s="339"/>
      <c r="AD25" s="339"/>
      <c r="AE25" s="339"/>
      <c r="AF25" s="339"/>
      <c r="AG25" s="340"/>
      <c r="AH25" s="339"/>
      <c r="AI25" s="339"/>
      <c r="AJ25" s="339"/>
      <c r="AK25" s="339"/>
      <c r="AL25" s="340"/>
      <c r="AM25" s="175"/>
      <c r="AO25" s="1307"/>
      <c r="AP25" s="1307"/>
      <c r="AQ25" s="1307"/>
      <c r="AR25" s="1307"/>
      <c r="AS25" s="1307"/>
      <c r="AT25" s="1307"/>
      <c r="AU25" s="1307"/>
      <c r="AV25" s="1307"/>
      <c r="AW25" s="1307"/>
      <c r="AX25" s="1307"/>
      <c r="AY25" s="1307"/>
      <c r="AZ25" s="1307"/>
      <c r="BA25" s="1307"/>
      <c r="BB25" s="1307"/>
      <c r="BC25" s="1307"/>
    </row>
    <row r="26" spans="3:55" x14ac:dyDescent="0.3">
      <c r="C26" s="173"/>
      <c r="D26" s="72"/>
      <c r="E26" s="2415" t="s">
        <v>366</v>
      </c>
      <c r="F26" s="2416"/>
      <c r="G26" s="2416"/>
      <c r="H26" s="2416"/>
      <c r="I26" s="2417"/>
      <c r="J26" s="710"/>
      <c r="K26" s="710"/>
      <c r="L26" s="710"/>
      <c r="M26" s="710"/>
      <c r="N26" s="711"/>
      <c r="O26" s="258"/>
      <c r="P26" s="258"/>
      <c r="Q26" s="258"/>
      <c r="R26" s="258"/>
      <c r="S26" s="258"/>
      <c r="T26" s="712"/>
      <c r="U26" s="712"/>
      <c r="V26" s="72"/>
      <c r="W26" s="437"/>
      <c r="X26" s="339"/>
      <c r="Y26" s="339"/>
      <c r="Z26" s="339"/>
      <c r="AA26" s="339"/>
      <c r="AB26" s="340"/>
      <c r="AC26" s="339"/>
      <c r="AD26" s="339"/>
      <c r="AE26" s="339"/>
      <c r="AF26" s="339"/>
      <c r="AG26" s="340"/>
      <c r="AH26" s="339"/>
      <c r="AI26" s="339"/>
      <c r="AJ26" s="339"/>
      <c r="AK26" s="339"/>
      <c r="AL26" s="340"/>
      <c r="AM26" s="175"/>
      <c r="AO26" s="1307"/>
      <c r="AP26" s="1307"/>
      <c r="AQ26" s="1307"/>
      <c r="AR26" s="1307"/>
      <c r="AS26" s="1307"/>
      <c r="AT26" s="1307"/>
      <c r="AU26" s="1307"/>
      <c r="AV26" s="1307"/>
      <c r="AW26" s="1307"/>
      <c r="AX26" s="1307"/>
      <c r="AY26" s="1307"/>
      <c r="AZ26" s="1307"/>
      <c r="BA26" s="1307"/>
      <c r="BB26" s="1307"/>
      <c r="BC26" s="1307"/>
    </row>
    <row r="27" spans="3:55" x14ac:dyDescent="0.3">
      <c r="C27" s="173"/>
      <c r="D27" s="72"/>
      <c r="E27" s="2418" t="s">
        <v>367</v>
      </c>
      <c r="F27" s="2419"/>
      <c r="G27" s="2419"/>
      <c r="H27" s="2419"/>
      <c r="I27" s="2420"/>
      <c r="J27" s="710"/>
      <c r="K27" s="710"/>
      <c r="L27" s="710"/>
      <c r="M27" s="710"/>
      <c r="N27" s="711"/>
      <c r="O27" s="258"/>
      <c r="P27" s="258"/>
      <c r="Q27" s="258"/>
      <c r="R27" s="258"/>
      <c r="S27" s="258"/>
      <c r="T27" s="712"/>
      <c r="U27" s="712"/>
      <c r="V27" s="72"/>
      <c r="W27" s="438"/>
      <c r="X27" s="342"/>
      <c r="Y27" s="342"/>
      <c r="Z27" s="342"/>
      <c r="AA27" s="342"/>
      <c r="AB27" s="343"/>
      <c r="AC27" s="342"/>
      <c r="AD27" s="342"/>
      <c r="AE27" s="342"/>
      <c r="AF27" s="342"/>
      <c r="AG27" s="343"/>
      <c r="AH27" s="342"/>
      <c r="AI27" s="342"/>
      <c r="AJ27" s="342"/>
      <c r="AK27" s="342"/>
      <c r="AL27" s="343"/>
      <c r="AM27" s="175"/>
      <c r="AO27" s="1307"/>
      <c r="AP27" s="1307"/>
      <c r="AQ27" s="1307"/>
      <c r="AR27" s="1307"/>
      <c r="AS27" s="1307"/>
      <c r="AT27" s="1307"/>
      <c r="AU27" s="1307"/>
      <c r="AV27" s="1307"/>
      <c r="AW27" s="1307"/>
      <c r="AX27" s="1307"/>
      <c r="AY27" s="1307"/>
      <c r="AZ27" s="1307"/>
      <c r="BA27" s="1307"/>
      <c r="BB27" s="1307"/>
      <c r="BC27" s="1307"/>
    </row>
    <row r="28" spans="3:55" x14ac:dyDescent="0.3">
      <c r="C28" s="173"/>
      <c r="D28" s="227" t="str">
        <f>+CONCATENATE("Total ",LOWER(D23))</f>
        <v>Total operating expenditure adjustments</v>
      </c>
      <c r="E28" s="72"/>
      <c r="F28" s="72"/>
      <c r="G28" s="72"/>
      <c r="H28" s="72"/>
      <c r="I28" s="84"/>
      <c r="J28" s="687"/>
      <c r="K28" s="687"/>
      <c r="L28" s="687"/>
      <c r="M28" s="687"/>
      <c r="N28" s="84"/>
      <c r="O28" s="72"/>
      <c r="P28" s="72"/>
      <c r="Q28" s="72"/>
      <c r="R28" s="72"/>
      <c r="S28" s="72"/>
      <c r="T28" s="583"/>
      <c r="U28" s="583"/>
      <c r="V28" s="72"/>
      <c r="W28" s="682">
        <f t="shared" ref="W28" si="4">+SUM(W24:W27)</f>
        <v>0</v>
      </c>
      <c r="X28" s="2028">
        <f t="shared" ref="X28:AG28" si="5">+SUM(X24:X27)</f>
        <v>0</v>
      </c>
      <c r="Y28" s="2028">
        <f t="shared" si="5"/>
        <v>0</v>
      </c>
      <c r="Z28" s="2028">
        <f t="shared" si="5"/>
        <v>0</v>
      </c>
      <c r="AA28" s="2028">
        <f t="shared" si="5"/>
        <v>0</v>
      </c>
      <c r="AB28" s="2028">
        <f t="shared" si="5"/>
        <v>0</v>
      </c>
      <c r="AC28" s="682">
        <f t="shared" si="5"/>
        <v>0</v>
      </c>
      <c r="AD28" s="682">
        <f t="shared" si="5"/>
        <v>0</v>
      </c>
      <c r="AE28" s="682">
        <f t="shared" si="5"/>
        <v>0</v>
      </c>
      <c r="AF28" s="682">
        <f t="shared" si="5"/>
        <v>0</v>
      </c>
      <c r="AG28" s="682">
        <f t="shared" si="5"/>
        <v>0</v>
      </c>
      <c r="AH28" s="682">
        <f>+SUM(AH24:AH27)</f>
        <v>0</v>
      </c>
      <c r="AI28" s="682">
        <f>+SUM(AI24:AI27)</f>
        <v>0</v>
      </c>
      <c r="AJ28" s="682">
        <f>+SUM(AJ24:AJ27)</f>
        <v>0</v>
      </c>
      <c r="AK28" s="682">
        <f>+SUM(AK24:AK27)</f>
        <v>0</v>
      </c>
      <c r="AL28" s="682">
        <f>+SUM(AL24:AL27)</f>
        <v>0</v>
      </c>
      <c r="AM28" s="175"/>
      <c r="AO28" s="1307"/>
      <c r="AP28" s="1307"/>
      <c r="AQ28" s="1307"/>
      <c r="AR28" s="1307"/>
      <c r="AS28" s="1307"/>
      <c r="AT28" s="1307"/>
      <c r="AU28" s="1307"/>
      <c r="AV28" s="1307"/>
      <c r="AW28" s="1307"/>
      <c r="AX28" s="1307"/>
      <c r="AY28" s="1307"/>
      <c r="AZ28" s="1307"/>
      <c r="BA28" s="1307"/>
      <c r="BB28" s="1307"/>
      <c r="BC28" s="1307"/>
    </row>
    <row r="29" spans="3:55" x14ac:dyDescent="0.3">
      <c r="C29" s="173"/>
      <c r="D29" s="72"/>
      <c r="E29" s="72"/>
      <c r="F29" s="72"/>
      <c r="G29" s="72"/>
      <c r="H29" s="72"/>
      <c r="I29" s="84"/>
      <c r="J29" s="206"/>
      <c r="K29" s="206"/>
      <c r="L29" s="206"/>
      <c r="M29" s="206"/>
      <c r="N29" s="84"/>
      <c r="O29" s="72"/>
      <c r="P29" s="72"/>
      <c r="Q29" s="72"/>
      <c r="R29" s="72"/>
      <c r="S29" s="72"/>
      <c r="T29" s="206"/>
      <c r="U29" s="206"/>
      <c r="V29" s="72"/>
      <c r="W29" s="414"/>
      <c r="X29" s="2145"/>
      <c r="Y29" s="2145"/>
      <c r="Z29" s="2145"/>
      <c r="AA29" s="2145"/>
      <c r="AB29" s="2145"/>
      <c r="AC29" s="414"/>
      <c r="AD29" s="414"/>
      <c r="AE29" s="414"/>
      <c r="AF29" s="414"/>
      <c r="AG29" s="414"/>
      <c r="AH29" s="414"/>
      <c r="AI29" s="414"/>
      <c r="AJ29" s="414"/>
      <c r="AK29" s="414"/>
      <c r="AL29" s="414"/>
      <c r="AM29" s="175"/>
      <c r="AO29" s="1307"/>
      <c r="AP29" s="1307"/>
      <c r="AQ29" s="1307"/>
      <c r="AR29" s="1307"/>
      <c r="AS29" s="1307"/>
      <c r="AT29" s="1307"/>
      <c r="AU29" s="1307"/>
      <c r="AV29" s="1307"/>
      <c r="AW29" s="1307"/>
      <c r="AX29" s="1307"/>
      <c r="AY29" s="1307"/>
      <c r="AZ29" s="1307"/>
      <c r="BA29" s="1307"/>
      <c r="BB29" s="1307"/>
      <c r="BC29" s="1307"/>
    </row>
    <row r="30" spans="3:55" x14ac:dyDescent="0.3">
      <c r="C30" s="173"/>
      <c r="D30" s="72"/>
      <c r="E30" s="72"/>
      <c r="F30" s="72"/>
      <c r="G30" s="72"/>
      <c r="H30" s="72"/>
      <c r="I30" s="84"/>
      <c r="J30" s="206"/>
      <c r="K30" s="206"/>
      <c r="L30" s="206"/>
      <c r="M30" s="206"/>
      <c r="N30" s="84"/>
      <c r="O30" s="72"/>
      <c r="P30" s="72"/>
      <c r="Q30" s="72"/>
      <c r="R30" s="72"/>
      <c r="S30" s="72"/>
      <c r="T30" s="206"/>
      <c r="U30" s="206"/>
      <c r="V30" s="72"/>
      <c r="W30" s="414"/>
      <c r="X30" s="2145"/>
      <c r="Y30" s="2145"/>
      <c r="Z30" s="2145"/>
      <c r="AA30" s="2145"/>
      <c r="AB30" s="2145"/>
      <c r="AC30" s="414"/>
      <c r="AD30" s="414"/>
      <c r="AE30" s="414"/>
      <c r="AF30" s="414"/>
      <c r="AG30" s="414"/>
      <c r="AH30" s="414"/>
      <c r="AI30" s="414"/>
      <c r="AJ30" s="414"/>
      <c r="AK30" s="414"/>
      <c r="AL30" s="414"/>
      <c r="AM30" s="175"/>
      <c r="AO30" s="1307"/>
      <c r="AP30" s="1307"/>
      <c r="AQ30" s="1307"/>
      <c r="AR30" s="1307"/>
      <c r="AS30" s="1307"/>
      <c r="AT30" s="1307"/>
      <c r="AU30" s="1307"/>
      <c r="AV30" s="1307"/>
      <c r="AW30" s="1307"/>
      <c r="AX30" s="1307"/>
      <c r="AY30" s="1307"/>
      <c r="AZ30" s="1307"/>
      <c r="BA30" s="1307"/>
      <c r="BB30" s="1307"/>
      <c r="BC30" s="1307"/>
    </row>
    <row r="31" spans="3:55" x14ac:dyDescent="0.3">
      <c r="C31" s="1583">
        <v>3</v>
      </c>
      <c r="D31" s="105" t="s">
        <v>226</v>
      </c>
      <c r="E31" s="72"/>
      <c r="F31" s="72"/>
      <c r="G31" s="72"/>
      <c r="H31" s="72"/>
      <c r="I31" s="84"/>
      <c r="J31" s="206"/>
      <c r="K31" s="206"/>
      <c r="L31" s="206"/>
      <c r="M31" s="206"/>
      <c r="N31" s="84"/>
      <c r="O31" s="72"/>
      <c r="P31" s="72"/>
      <c r="Q31" s="72"/>
      <c r="R31" s="72"/>
      <c r="S31" s="72"/>
      <c r="T31" s="206"/>
      <c r="U31" s="206"/>
      <c r="V31" s="72"/>
      <c r="W31" s="414"/>
      <c r="X31" s="2145"/>
      <c r="Y31" s="2145"/>
      <c r="Z31" s="2145"/>
      <c r="AA31" s="2145"/>
      <c r="AB31" s="2145"/>
      <c r="AC31" s="414"/>
      <c r="AD31" s="414"/>
      <c r="AE31" s="414"/>
      <c r="AF31" s="414"/>
      <c r="AG31" s="414"/>
      <c r="AH31" s="414"/>
      <c r="AI31" s="414"/>
      <c r="AJ31" s="414"/>
      <c r="AK31" s="414"/>
      <c r="AL31" s="414"/>
      <c r="AM31" s="175"/>
      <c r="AO31" s="1307"/>
      <c r="AP31" s="1307"/>
      <c r="AQ31" s="1307"/>
      <c r="AR31" s="1307"/>
      <c r="AS31" s="1307"/>
      <c r="AT31" s="1307"/>
      <c r="AU31" s="1307"/>
      <c r="AV31" s="1307"/>
      <c r="AW31" s="1307"/>
      <c r="AX31" s="1307"/>
      <c r="AY31" s="1307"/>
      <c r="AZ31" s="1307"/>
      <c r="BA31" s="1307"/>
      <c r="BB31" s="1307"/>
      <c r="BC31" s="1307"/>
    </row>
    <row r="32" spans="3:55" x14ac:dyDescent="0.3">
      <c r="C32" s="173"/>
      <c r="D32" s="72"/>
      <c r="E32" s="2412" t="s">
        <v>364</v>
      </c>
      <c r="F32" s="2413"/>
      <c r="G32" s="2413"/>
      <c r="H32" s="2413"/>
      <c r="I32" s="2414"/>
      <c r="J32" s="710"/>
      <c r="K32" s="710"/>
      <c r="L32" s="710"/>
      <c r="M32" s="710"/>
      <c r="N32" s="711"/>
      <c r="O32" s="258"/>
      <c r="P32" s="258"/>
      <c r="Q32" s="258"/>
      <c r="R32" s="258"/>
      <c r="S32" s="258"/>
      <c r="T32" s="712"/>
      <c r="U32" s="712"/>
      <c r="V32" s="72"/>
      <c r="W32" s="436"/>
      <c r="X32" s="336"/>
      <c r="Y32" s="336"/>
      <c r="Z32" s="336"/>
      <c r="AA32" s="336"/>
      <c r="AB32" s="337"/>
      <c r="AC32" s="336"/>
      <c r="AD32" s="336"/>
      <c r="AE32" s="336"/>
      <c r="AF32" s="336"/>
      <c r="AG32" s="337"/>
      <c r="AH32" s="336"/>
      <c r="AI32" s="336"/>
      <c r="AJ32" s="336"/>
      <c r="AK32" s="336"/>
      <c r="AL32" s="337"/>
      <c r="AM32" s="175"/>
      <c r="AO32" s="1307"/>
      <c r="AP32" s="1307"/>
      <c r="AQ32" s="1307"/>
      <c r="AR32" s="1307"/>
      <c r="AS32" s="1307"/>
      <c r="AT32" s="1307"/>
      <c r="AU32" s="1307"/>
      <c r="AV32" s="1307"/>
      <c r="AW32" s="1307"/>
      <c r="AX32" s="1307"/>
      <c r="AY32" s="1307"/>
      <c r="AZ32" s="1307"/>
      <c r="BA32" s="1307"/>
      <c r="BB32" s="1307"/>
      <c r="BC32" s="1307"/>
    </row>
    <row r="33" spans="3:55" x14ac:dyDescent="0.3">
      <c r="C33" s="173"/>
      <c r="D33" s="72"/>
      <c r="E33" s="2415" t="s">
        <v>365</v>
      </c>
      <c r="F33" s="2416"/>
      <c r="G33" s="2416"/>
      <c r="H33" s="2416"/>
      <c r="I33" s="2417"/>
      <c r="J33" s="710"/>
      <c r="K33" s="710"/>
      <c r="L33" s="710"/>
      <c r="M33" s="710"/>
      <c r="N33" s="711"/>
      <c r="O33" s="258"/>
      <c r="P33" s="258"/>
      <c r="Q33" s="258"/>
      <c r="R33" s="258"/>
      <c r="S33" s="258"/>
      <c r="T33" s="712"/>
      <c r="U33" s="712"/>
      <c r="V33" s="72"/>
      <c r="W33" s="437"/>
      <c r="X33" s="339"/>
      <c r="Y33" s="339"/>
      <c r="Z33" s="339"/>
      <c r="AA33" s="339"/>
      <c r="AB33" s="340"/>
      <c r="AC33" s="339"/>
      <c r="AD33" s="339"/>
      <c r="AE33" s="339"/>
      <c r="AF33" s="339"/>
      <c r="AG33" s="340"/>
      <c r="AH33" s="339"/>
      <c r="AI33" s="339"/>
      <c r="AJ33" s="339"/>
      <c r="AK33" s="339"/>
      <c r="AL33" s="340"/>
      <c r="AM33" s="175"/>
      <c r="AO33" s="1307"/>
      <c r="AP33" s="1307"/>
      <c r="AQ33" s="1307"/>
      <c r="AR33" s="1307"/>
      <c r="AS33" s="1307"/>
      <c r="AT33" s="1307"/>
      <c r="AU33" s="1307"/>
      <c r="AV33" s="1307"/>
      <c r="AW33" s="1307"/>
      <c r="AX33" s="1307"/>
      <c r="AY33" s="1307"/>
      <c r="AZ33" s="1307"/>
      <c r="BA33" s="1307"/>
      <c r="BB33" s="1307"/>
      <c r="BC33" s="1307"/>
    </row>
    <row r="34" spans="3:55" x14ac:dyDescent="0.3">
      <c r="C34" s="173"/>
      <c r="D34" s="72"/>
      <c r="E34" s="2415" t="s">
        <v>366</v>
      </c>
      <c r="F34" s="2416"/>
      <c r="G34" s="2416"/>
      <c r="H34" s="2416"/>
      <c r="I34" s="2417"/>
      <c r="J34" s="710"/>
      <c r="K34" s="710"/>
      <c r="L34" s="710"/>
      <c r="M34" s="710"/>
      <c r="N34" s="711"/>
      <c r="O34" s="258"/>
      <c r="P34" s="258"/>
      <c r="Q34" s="258"/>
      <c r="R34" s="258"/>
      <c r="S34" s="258"/>
      <c r="T34" s="712"/>
      <c r="U34" s="712"/>
      <c r="V34" s="72"/>
      <c r="W34" s="437"/>
      <c r="X34" s="339"/>
      <c r="Y34" s="339"/>
      <c r="Z34" s="339"/>
      <c r="AA34" s="339"/>
      <c r="AB34" s="340"/>
      <c r="AC34" s="339"/>
      <c r="AD34" s="339"/>
      <c r="AE34" s="339"/>
      <c r="AF34" s="339"/>
      <c r="AG34" s="340"/>
      <c r="AH34" s="339"/>
      <c r="AI34" s="339"/>
      <c r="AJ34" s="339"/>
      <c r="AK34" s="339"/>
      <c r="AL34" s="340"/>
      <c r="AM34" s="175"/>
      <c r="AO34" s="1307"/>
      <c r="AP34" s="1307"/>
      <c r="AQ34" s="1307"/>
      <c r="AR34" s="1307"/>
      <c r="AS34" s="1307"/>
      <c r="AT34" s="1307"/>
      <c r="AU34" s="1307"/>
      <c r="AV34" s="1307"/>
      <c r="AW34" s="1307"/>
      <c r="AX34" s="1307"/>
      <c r="AY34" s="1307"/>
      <c r="AZ34" s="1307"/>
      <c r="BA34" s="1307"/>
      <c r="BB34" s="1307"/>
      <c r="BC34" s="1307"/>
    </row>
    <row r="35" spans="3:55" x14ac:dyDescent="0.3">
      <c r="C35" s="173"/>
      <c r="D35" s="72"/>
      <c r="E35" s="2415" t="s">
        <v>367</v>
      </c>
      <c r="F35" s="2416"/>
      <c r="G35" s="2416"/>
      <c r="H35" s="2416"/>
      <c r="I35" s="2417"/>
      <c r="J35" s="710"/>
      <c r="K35" s="710"/>
      <c r="L35" s="710"/>
      <c r="M35" s="710"/>
      <c r="N35" s="711"/>
      <c r="O35" s="258"/>
      <c r="P35" s="258"/>
      <c r="Q35" s="258"/>
      <c r="R35" s="258"/>
      <c r="S35" s="258"/>
      <c r="T35" s="712"/>
      <c r="U35" s="712"/>
      <c r="V35" s="72"/>
      <c r="W35" s="437"/>
      <c r="X35" s="339"/>
      <c r="Y35" s="339"/>
      <c r="Z35" s="339"/>
      <c r="AA35" s="339"/>
      <c r="AB35" s="340"/>
      <c r="AC35" s="339"/>
      <c r="AD35" s="339"/>
      <c r="AE35" s="339"/>
      <c r="AF35" s="339"/>
      <c r="AG35" s="340"/>
      <c r="AH35" s="339"/>
      <c r="AI35" s="339"/>
      <c r="AJ35" s="339"/>
      <c r="AK35" s="339"/>
      <c r="AL35" s="340"/>
      <c r="AM35" s="175"/>
      <c r="AO35" s="1307"/>
      <c r="AP35" s="1307"/>
      <c r="AQ35" s="1307"/>
      <c r="AR35" s="1307"/>
      <c r="AS35" s="1307"/>
      <c r="AT35" s="1307"/>
      <c r="AU35" s="1307"/>
      <c r="AV35" s="1307"/>
      <c r="AW35" s="1307"/>
      <c r="AX35" s="1307"/>
      <c r="AY35" s="1307"/>
      <c r="AZ35" s="1307"/>
      <c r="BA35" s="1307"/>
      <c r="BB35" s="1307"/>
      <c r="BC35" s="1307"/>
    </row>
    <row r="36" spans="3:55" x14ac:dyDescent="0.3">
      <c r="C36" s="173"/>
      <c r="D36" s="72"/>
      <c r="E36" s="2415" t="s">
        <v>368</v>
      </c>
      <c r="F36" s="2416"/>
      <c r="G36" s="2416"/>
      <c r="H36" s="2416"/>
      <c r="I36" s="2417"/>
      <c r="J36" s="710"/>
      <c r="K36" s="710"/>
      <c r="L36" s="710"/>
      <c r="M36" s="710"/>
      <c r="N36" s="711"/>
      <c r="O36" s="258"/>
      <c r="P36" s="258"/>
      <c r="Q36" s="258"/>
      <c r="R36" s="258"/>
      <c r="S36" s="258"/>
      <c r="T36" s="712"/>
      <c r="U36" s="712"/>
      <c r="V36" s="72"/>
      <c r="W36" s="437"/>
      <c r="X36" s="339"/>
      <c r="Y36" s="339"/>
      <c r="Z36" s="339"/>
      <c r="AA36" s="339"/>
      <c r="AB36" s="340"/>
      <c r="AC36" s="339"/>
      <c r="AD36" s="339"/>
      <c r="AE36" s="339"/>
      <c r="AF36" s="339"/>
      <c r="AG36" s="340"/>
      <c r="AH36" s="339"/>
      <c r="AI36" s="339"/>
      <c r="AJ36" s="339"/>
      <c r="AK36" s="339"/>
      <c r="AL36" s="340"/>
      <c r="AM36" s="175"/>
      <c r="AO36" s="1307"/>
      <c r="AP36" s="1307"/>
      <c r="AQ36" s="1307"/>
      <c r="AR36" s="1307"/>
      <c r="AS36" s="1307"/>
      <c r="AT36" s="1307"/>
      <c r="AU36" s="1307"/>
      <c r="AV36" s="1307"/>
      <c r="AW36" s="1307"/>
      <c r="AX36" s="1307"/>
      <c r="AY36" s="1307"/>
      <c r="AZ36" s="1307"/>
      <c r="BA36" s="1307"/>
      <c r="BB36" s="1307"/>
      <c r="BC36" s="1307"/>
    </row>
    <row r="37" spans="3:55" x14ac:dyDescent="0.3">
      <c r="C37" s="173"/>
      <c r="D37" s="72"/>
      <c r="E37" s="2415" t="s">
        <v>369</v>
      </c>
      <c r="F37" s="2416"/>
      <c r="G37" s="2416"/>
      <c r="H37" s="2416"/>
      <c r="I37" s="2417"/>
      <c r="J37" s="710"/>
      <c r="K37" s="710"/>
      <c r="L37" s="710"/>
      <c r="M37" s="710"/>
      <c r="N37" s="711"/>
      <c r="O37" s="258"/>
      <c r="P37" s="258"/>
      <c r="Q37" s="258"/>
      <c r="R37" s="258"/>
      <c r="S37" s="258"/>
      <c r="T37" s="712"/>
      <c r="U37" s="712"/>
      <c r="V37" s="72"/>
      <c r="W37" s="437"/>
      <c r="X37" s="339"/>
      <c r="Y37" s="339"/>
      <c r="Z37" s="339"/>
      <c r="AA37" s="339"/>
      <c r="AB37" s="340"/>
      <c r="AC37" s="339"/>
      <c r="AD37" s="339"/>
      <c r="AE37" s="339"/>
      <c r="AF37" s="339"/>
      <c r="AG37" s="340"/>
      <c r="AH37" s="339"/>
      <c r="AI37" s="339"/>
      <c r="AJ37" s="339"/>
      <c r="AK37" s="339"/>
      <c r="AL37" s="340"/>
      <c r="AM37" s="175"/>
      <c r="AO37" s="1307"/>
      <c r="AP37" s="1307"/>
      <c r="AQ37" s="1307"/>
      <c r="AR37" s="1307"/>
      <c r="AS37" s="1307"/>
      <c r="AT37" s="1307"/>
      <c r="AU37" s="1307"/>
      <c r="AV37" s="1307"/>
      <c r="AW37" s="1307"/>
      <c r="AX37" s="1307"/>
      <c r="AY37" s="1307"/>
      <c r="AZ37" s="1307"/>
      <c r="BA37" s="1307"/>
      <c r="BB37" s="1307"/>
      <c r="BC37" s="1307"/>
    </row>
    <row r="38" spans="3:55" x14ac:dyDescent="0.3">
      <c r="C38" s="173"/>
      <c r="D38" s="72"/>
      <c r="E38" s="2415" t="s">
        <v>370</v>
      </c>
      <c r="F38" s="2416"/>
      <c r="G38" s="2416"/>
      <c r="H38" s="2416"/>
      <c r="I38" s="2417"/>
      <c r="J38" s="710"/>
      <c r="K38" s="710"/>
      <c r="L38" s="710"/>
      <c r="M38" s="710"/>
      <c r="N38" s="711"/>
      <c r="O38" s="258"/>
      <c r="P38" s="258"/>
      <c r="Q38" s="258"/>
      <c r="R38" s="258"/>
      <c r="S38" s="258"/>
      <c r="T38" s="712"/>
      <c r="U38" s="712"/>
      <c r="V38" s="72"/>
      <c r="W38" s="437"/>
      <c r="X38" s="339"/>
      <c r="Y38" s="339"/>
      <c r="Z38" s="339"/>
      <c r="AA38" s="339"/>
      <c r="AB38" s="340"/>
      <c r="AC38" s="339"/>
      <c r="AD38" s="339"/>
      <c r="AE38" s="339"/>
      <c r="AF38" s="339"/>
      <c r="AG38" s="340"/>
      <c r="AH38" s="339"/>
      <c r="AI38" s="339"/>
      <c r="AJ38" s="339"/>
      <c r="AK38" s="339"/>
      <c r="AL38" s="340"/>
      <c r="AM38" s="175"/>
      <c r="AO38" s="1307"/>
      <c r="AP38" s="1307"/>
      <c r="AQ38" s="1307"/>
      <c r="AR38" s="1307"/>
      <c r="AS38" s="1307"/>
      <c r="AT38" s="1307"/>
      <c r="AU38" s="1307"/>
      <c r="AV38" s="1307"/>
      <c r="AW38" s="1307"/>
      <c r="AX38" s="1307"/>
      <c r="AY38" s="1307"/>
      <c r="AZ38" s="1307"/>
      <c r="BA38" s="1307"/>
      <c r="BB38" s="1307"/>
      <c r="BC38" s="1307"/>
    </row>
    <row r="39" spans="3:55" x14ac:dyDescent="0.3">
      <c r="C39" s="173"/>
      <c r="D39" s="72"/>
      <c r="E39" s="2415" t="s">
        <v>371</v>
      </c>
      <c r="F39" s="2416"/>
      <c r="G39" s="2416"/>
      <c r="H39" s="2416"/>
      <c r="I39" s="2417"/>
      <c r="J39" s="710"/>
      <c r="K39" s="710"/>
      <c r="L39" s="710"/>
      <c r="M39" s="710"/>
      <c r="N39" s="711"/>
      <c r="O39" s="258"/>
      <c r="P39" s="258"/>
      <c r="Q39" s="258"/>
      <c r="R39" s="258"/>
      <c r="S39" s="258"/>
      <c r="T39" s="712"/>
      <c r="U39" s="712"/>
      <c r="V39" s="72"/>
      <c r="W39" s="437"/>
      <c r="X39" s="339"/>
      <c r="Y39" s="339"/>
      <c r="Z39" s="339"/>
      <c r="AA39" s="339"/>
      <c r="AB39" s="340"/>
      <c r="AC39" s="339"/>
      <c r="AD39" s="339"/>
      <c r="AE39" s="339"/>
      <c r="AF39" s="339"/>
      <c r="AG39" s="340"/>
      <c r="AH39" s="339"/>
      <c r="AI39" s="339"/>
      <c r="AJ39" s="339"/>
      <c r="AK39" s="339"/>
      <c r="AL39" s="340"/>
      <c r="AM39" s="175"/>
      <c r="AO39" s="1307"/>
      <c r="AP39" s="1307"/>
      <c r="AQ39" s="1307"/>
      <c r="AR39" s="1307"/>
      <c r="AS39" s="1307"/>
      <c r="AT39" s="1307"/>
      <c r="AU39" s="1307"/>
      <c r="AV39" s="1307"/>
      <c r="AW39" s="1307"/>
      <c r="AX39" s="1307"/>
      <c r="AY39" s="1307"/>
      <c r="AZ39" s="1307"/>
      <c r="BA39" s="1307"/>
      <c r="BB39" s="1307"/>
      <c r="BC39" s="1307"/>
    </row>
    <row r="40" spans="3:55" x14ac:dyDescent="0.3">
      <c r="C40" s="173"/>
      <c r="D40" s="72"/>
      <c r="E40" s="2418" t="s">
        <v>372</v>
      </c>
      <c r="F40" s="2419"/>
      <c r="G40" s="2419"/>
      <c r="H40" s="2419"/>
      <c r="I40" s="2420"/>
      <c r="J40" s="710"/>
      <c r="K40" s="710"/>
      <c r="L40" s="710"/>
      <c r="M40" s="710"/>
      <c r="N40" s="711"/>
      <c r="O40" s="258"/>
      <c r="P40" s="258"/>
      <c r="Q40" s="258"/>
      <c r="R40" s="258"/>
      <c r="S40" s="258"/>
      <c r="T40" s="712"/>
      <c r="U40" s="712"/>
      <c r="V40" s="72"/>
      <c r="W40" s="438"/>
      <c r="X40" s="342"/>
      <c r="Y40" s="342"/>
      <c r="Z40" s="342"/>
      <c r="AA40" s="342"/>
      <c r="AB40" s="343"/>
      <c r="AC40" s="342"/>
      <c r="AD40" s="342"/>
      <c r="AE40" s="342"/>
      <c r="AF40" s="342"/>
      <c r="AG40" s="343"/>
      <c r="AH40" s="342"/>
      <c r="AI40" s="342"/>
      <c r="AJ40" s="342"/>
      <c r="AK40" s="342"/>
      <c r="AL40" s="343"/>
      <c r="AM40" s="175"/>
      <c r="AO40" s="1307"/>
      <c r="AP40" s="1307"/>
      <c r="AQ40" s="1307"/>
      <c r="AR40" s="1307"/>
      <c r="AS40" s="1307"/>
      <c r="AT40" s="1307"/>
      <c r="AU40" s="1307"/>
      <c r="AV40" s="1307"/>
      <c r="AW40" s="1307"/>
      <c r="AX40" s="1307"/>
      <c r="AY40" s="1307"/>
      <c r="AZ40" s="1307"/>
      <c r="BA40" s="1307"/>
      <c r="BB40" s="1307"/>
      <c r="BC40" s="1307"/>
    </row>
    <row r="41" spans="3:55" s="103" customFormat="1" x14ac:dyDescent="0.3">
      <c r="C41" s="686"/>
      <c r="D41" s="227" t="str">
        <f>+CONCATENATE("Total ",LOWER(D31))</f>
        <v>Total operating cash flow adjustments</v>
      </c>
      <c r="E41" s="105"/>
      <c r="F41" s="105"/>
      <c r="G41" s="105"/>
      <c r="H41" s="105"/>
      <c r="I41" s="108"/>
      <c r="J41" s="687"/>
      <c r="K41" s="687"/>
      <c r="L41" s="687"/>
      <c r="M41" s="687"/>
      <c r="N41" s="84"/>
      <c r="O41" s="72"/>
      <c r="P41" s="72"/>
      <c r="Q41" s="72"/>
      <c r="R41" s="72"/>
      <c r="S41" s="72"/>
      <c r="T41" s="583"/>
      <c r="U41" s="583"/>
      <c r="V41" s="72"/>
      <c r="W41" s="682">
        <f t="shared" ref="W41" si="6">+SUM(W32:W40)</f>
        <v>0</v>
      </c>
      <c r="X41" s="2028">
        <f t="shared" ref="X41:AG41" si="7">+SUM(X32:X40)</f>
        <v>0</v>
      </c>
      <c r="Y41" s="2028">
        <f t="shared" si="7"/>
        <v>0</v>
      </c>
      <c r="Z41" s="2028">
        <f t="shared" si="7"/>
        <v>0</v>
      </c>
      <c r="AA41" s="2028">
        <f t="shared" si="7"/>
        <v>0</v>
      </c>
      <c r="AB41" s="2028">
        <f t="shared" si="7"/>
        <v>0</v>
      </c>
      <c r="AC41" s="682">
        <f t="shared" si="7"/>
        <v>0</v>
      </c>
      <c r="AD41" s="682">
        <f t="shared" si="7"/>
        <v>0</v>
      </c>
      <c r="AE41" s="682">
        <f t="shared" si="7"/>
        <v>0</v>
      </c>
      <c r="AF41" s="682">
        <f t="shared" si="7"/>
        <v>0</v>
      </c>
      <c r="AG41" s="682">
        <f t="shared" si="7"/>
        <v>0</v>
      </c>
      <c r="AH41" s="682">
        <f>+SUM(AH32:AH40)</f>
        <v>0</v>
      </c>
      <c r="AI41" s="682">
        <f>+SUM(AI32:AI40)</f>
        <v>0</v>
      </c>
      <c r="AJ41" s="682">
        <f>+SUM(AJ32:AJ40)</f>
        <v>0</v>
      </c>
      <c r="AK41" s="682">
        <f>+SUM(AK32:AK40)</f>
        <v>0</v>
      </c>
      <c r="AL41" s="682">
        <f>+SUM(AL32:AL40)</f>
        <v>0</v>
      </c>
      <c r="AM41" s="688"/>
      <c r="AO41" s="1307"/>
      <c r="AP41" s="1307"/>
      <c r="AQ41" s="1307"/>
      <c r="AR41" s="1307"/>
      <c r="AS41" s="1307"/>
      <c r="AT41" s="1307"/>
      <c r="AU41" s="1307"/>
      <c r="AV41" s="1307"/>
      <c r="AW41" s="1307"/>
      <c r="AX41" s="1307"/>
      <c r="AY41" s="1307"/>
      <c r="AZ41" s="1307"/>
      <c r="BA41" s="1307"/>
      <c r="BB41" s="1307"/>
      <c r="BC41" s="1307"/>
    </row>
    <row r="42" spans="3:55" x14ac:dyDescent="0.3">
      <c r="C42" s="173"/>
      <c r="D42" s="72"/>
      <c r="E42" s="72"/>
      <c r="F42" s="72"/>
      <c r="G42" s="72"/>
      <c r="H42" s="72"/>
      <c r="I42" s="84"/>
      <c r="J42" s="206"/>
      <c r="K42" s="206"/>
      <c r="L42" s="206"/>
      <c r="M42" s="206"/>
      <c r="N42" s="84"/>
      <c r="O42" s="72"/>
      <c r="P42" s="72"/>
      <c r="Q42" s="72"/>
      <c r="R42" s="72"/>
      <c r="S42" s="72"/>
      <c r="T42" s="206"/>
      <c r="U42" s="206"/>
      <c r="V42" s="72"/>
      <c r="W42" s="414"/>
      <c r="X42" s="2145"/>
      <c r="Y42" s="2145"/>
      <c r="Z42" s="2145"/>
      <c r="AA42" s="2145"/>
      <c r="AB42" s="2145"/>
      <c r="AC42" s="414"/>
      <c r="AD42" s="414"/>
      <c r="AE42" s="414"/>
      <c r="AF42" s="414"/>
      <c r="AG42" s="414"/>
      <c r="AH42" s="414"/>
      <c r="AI42" s="414"/>
      <c r="AJ42" s="414"/>
      <c r="AK42" s="414"/>
      <c r="AL42" s="414"/>
      <c r="AM42" s="175"/>
      <c r="AO42" s="1307"/>
      <c r="AP42" s="1307"/>
      <c r="AQ42" s="1307"/>
      <c r="AR42" s="1307"/>
      <c r="AS42" s="1307"/>
      <c r="AT42" s="1307"/>
      <c r="AU42" s="1307"/>
      <c r="AV42" s="1307"/>
      <c r="AW42" s="1307"/>
      <c r="AX42" s="1307"/>
      <c r="AY42" s="1307"/>
      <c r="AZ42" s="1307"/>
      <c r="BA42" s="1307"/>
      <c r="BB42" s="1307"/>
      <c r="BC42" s="1307"/>
    </row>
    <row r="43" spans="3:55" x14ac:dyDescent="0.3">
      <c r="C43" s="173"/>
      <c r="D43" s="72"/>
      <c r="E43" s="72"/>
      <c r="F43" s="72"/>
      <c r="G43" s="72"/>
      <c r="H43" s="72"/>
      <c r="I43" s="84"/>
      <c r="J43" s="206"/>
      <c r="K43" s="206"/>
      <c r="L43" s="206"/>
      <c r="M43" s="206"/>
      <c r="N43" s="84"/>
      <c r="O43" s="72"/>
      <c r="P43" s="72"/>
      <c r="Q43" s="72"/>
      <c r="R43" s="72"/>
      <c r="S43" s="72"/>
      <c r="T43" s="206"/>
      <c r="U43" s="206"/>
      <c r="V43" s="72"/>
      <c r="W43" s="414"/>
      <c r="X43" s="2145"/>
      <c r="Y43" s="2145"/>
      <c r="Z43" s="2145"/>
      <c r="AA43" s="2145"/>
      <c r="AB43" s="2145"/>
      <c r="AC43" s="414"/>
      <c r="AD43" s="414"/>
      <c r="AE43" s="414"/>
      <c r="AF43" s="414"/>
      <c r="AG43" s="414"/>
      <c r="AH43" s="414"/>
      <c r="AI43" s="414"/>
      <c r="AJ43" s="414"/>
      <c r="AK43" s="414"/>
      <c r="AL43" s="414"/>
      <c r="AM43" s="175"/>
      <c r="AO43" s="1307"/>
      <c r="AP43" s="1307"/>
      <c r="AQ43" s="1307"/>
      <c r="AR43" s="1307"/>
      <c r="AS43" s="1307"/>
      <c r="AT43" s="1307"/>
      <c r="AU43" s="1307"/>
      <c r="AV43" s="1307"/>
      <c r="AW43" s="1307"/>
      <c r="AX43" s="1307"/>
      <c r="AY43" s="1307"/>
      <c r="AZ43" s="1307"/>
      <c r="BA43" s="1307"/>
      <c r="BB43" s="1307"/>
      <c r="BC43" s="1307"/>
    </row>
    <row r="44" spans="3:55" x14ac:dyDescent="0.3">
      <c r="C44" s="1583">
        <v>4</v>
      </c>
      <c r="D44" s="105" t="s">
        <v>227</v>
      </c>
      <c r="E44" s="72"/>
      <c r="F44" s="72"/>
      <c r="G44" s="72"/>
      <c r="H44" s="72"/>
      <c r="I44" s="84"/>
      <c r="J44" s="206"/>
      <c r="K44" s="206"/>
      <c r="L44" s="206"/>
      <c r="M44" s="206"/>
      <c r="N44" s="84"/>
      <c r="O44" s="72"/>
      <c r="P44" s="72"/>
      <c r="Q44" s="72"/>
      <c r="R44" s="72"/>
      <c r="S44" s="72"/>
      <c r="T44" s="206"/>
      <c r="U44" s="206"/>
      <c r="V44" s="72"/>
      <c r="W44" s="414"/>
      <c r="X44" s="2145"/>
      <c r="Y44" s="2145"/>
      <c r="Z44" s="2145"/>
      <c r="AA44" s="2145"/>
      <c r="AB44" s="2145"/>
      <c r="AC44" s="414"/>
      <c r="AD44" s="414"/>
      <c r="AE44" s="414"/>
      <c r="AF44" s="414"/>
      <c r="AG44" s="414"/>
      <c r="AH44" s="414"/>
      <c r="AI44" s="414"/>
      <c r="AJ44" s="414"/>
      <c r="AK44" s="414"/>
      <c r="AL44" s="414"/>
      <c r="AM44" s="175"/>
      <c r="AO44" s="1307"/>
      <c r="AP44" s="1307"/>
      <c r="AQ44" s="1307"/>
      <c r="AR44" s="1307"/>
      <c r="AS44" s="1307"/>
      <c r="AT44" s="1307"/>
      <c r="AU44" s="1307"/>
      <c r="AV44" s="1307"/>
      <c r="AW44" s="1307"/>
      <c r="AX44" s="1307"/>
      <c r="AY44" s="1307"/>
      <c r="AZ44" s="1307"/>
      <c r="BA44" s="1307"/>
      <c r="BB44" s="1307"/>
      <c r="BC44" s="1307"/>
    </row>
    <row r="45" spans="3:55" x14ac:dyDescent="0.3">
      <c r="C45" s="173"/>
      <c r="D45" s="72"/>
      <c r="E45" s="2412" t="s">
        <v>364</v>
      </c>
      <c r="F45" s="2413"/>
      <c r="G45" s="2413"/>
      <c r="H45" s="2413"/>
      <c r="I45" s="2414"/>
      <c r="J45" s="710"/>
      <c r="K45" s="710"/>
      <c r="L45" s="710"/>
      <c r="M45" s="710"/>
      <c r="N45" s="711"/>
      <c r="O45" s="258"/>
      <c r="P45" s="258"/>
      <c r="Q45" s="258"/>
      <c r="R45" s="258"/>
      <c r="S45" s="258"/>
      <c r="T45" s="712"/>
      <c r="U45" s="712"/>
      <c r="V45" s="72"/>
      <c r="W45" s="436"/>
      <c r="X45" s="336"/>
      <c r="Y45" s="336"/>
      <c r="Z45" s="336"/>
      <c r="AA45" s="336"/>
      <c r="AB45" s="337"/>
      <c r="AC45" s="336"/>
      <c r="AD45" s="336"/>
      <c r="AE45" s="336"/>
      <c r="AF45" s="336"/>
      <c r="AG45" s="337"/>
      <c r="AH45" s="336"/>
      <c r="AI45" s="336"/>
      <c r="AJ45" s="336"/>
      <c r="AK45" s="336"/>
      <c r="AL45" s="337"/>
      <c r="AM45" s="175"/>
      <c r="AO45" s="1307"/>
      <c r="AP45" s="1307"/>
      <c r="AQ45" s="1307"/>
      <c r="AR45" s="1307"/>
      <c r="AS45" s="1307"/>
      <c r="AT45" s="1307"/>
      <c r="AU45" s="1307"/>
      <c r="AV45" s="1307"/>
      <c r="AW45" s="1307"/>
      <c r="AX45" s="1307"/>
      <c r="AY45" s="1307"/>
      <c r="AZ45" s="1307"/>
      <c r="BA45" s="1307"/>
      <c r="BB45" s="1307"/>
      <c r="BC45" s="1307"/>
    </row>
    <row r="46" spans="3:55" x14ac:dyDescent="0.3">
      <c r="C46" s="173"/>
      <c r="D46" s="72"/>
      <c r="E46" s="2415" t="s">
        <v>365</v>
      </c>
      <c r="F46" s="2416"/>
      <c r="G46" s="2416"/>
      <c r="H46" s="2416"/>
      <c r="I46" s="2417"/>
      <c r="J46" s="710"/>
      <c r="K46" s="710"/>
      <c r="L46" s="710"/>
      <c r="M46" s="710"/>
      <c r="N46" s="711"/>
      <c r="O46" s="258"/>
      <c r="P46" s="258"/>
      <c r="Q46" s="258"/>
      <c r="R46" s="258"/>
      <c r="S46" s="258"/>
      <c r="T46" s="712"/>
      <c r="U46" s="712"/>
      <c r="V46" s="72"/>
      <c r="W46" s="437"/>
      <c r="X46" s="339"/>
      <c r="Y46" s="339"/>
      <c r="Z46" s="339"/>
      <c r="AA46" s="339"/>
      <c r="AB46" s="340"/>
      <c r="AC46" s="339"/>
      <c r="AD46" s="339"/>
      <c r="AE46" s="339"/>
      <c r="AF46" s="339"/>
      <c r="AG46" s="340"/>
      <c r="AH46" s="339"/>
      <c r="AI46" s="339"/>
      <c r="AJ46" s="339"/>
      <c r="AK46" s="339"/>
      <c r="AL46" s="340"/>
      <c r="AM46" s="175"/>
      <c r="AO46" s="1307"/>
      <c r="AP46" s="1307"/>
      <c r="AQ46" s="1307"/>
      <c r="AR46" s="1307"/>
      <c r="AS46" s="1307"/>
      <c r="AT46" s="1307"/>
      <c r="AU46" s="1307"/>
      <c r="AV46" s="1307"/>
      <c r="AW46" s="1307"/>
      <c r="AX46" s="1307"/>
      <c r="AY46" s="1307"/>
      <c r="AZ46" s="1307"/>
      <c r="BA46" s="1307"/>
      <c r="BB46" s="1307"/>
      <c r="BC46" s="1307"/>
    </row>
    <row r="47" spans="3:55" x14ac:dyDescent="0.3">
      <c r="C47" s="173"/>
      <c r="D47" s="72"/>
      <c r="E47" s="2415" t="s">
        <v>366</v>
      </c>
      <c r="F47" s="2416"/>
      <c r="G47" s="2416"/>
      <c r="H47" s="2416"/>
      <c r="I47" s="2417"/>
      <c r="J47" s="710"/>
      <c r="K47" s="710"/>
      <c r="L47" s="710"/>
      <c r="M47" s="710"/>
      <c r="N47" s="711"/>
      <c r="O47" s="258"/>
      <c r="P47" s="258"/>
      <c r="Q47" s="258"/>
      <c r="R47" s="258"/>
      <c r="S47" s="258"/>
      <c r="T47" s="712"/>
      <c r="U47" s="712"/>
      <c r="V47" s="72"/>
      <c r="W47" s="437"/>
      <c r="X47" s="339"/>
      <c r="Y47" s="339"/>
      <c r="Z47" s="339"/>
      <c r="AA47" s="339"/>
      <c r="AB47" s="340"/>
      <c r="AC47" s="339"/>
      <c r="AD47" s="339"/>
      <c r="AE47" s="339"/>
      <c r="AF47" s="339"/>
      <c r="AG47" s="340"/>
      <c r="AH47" s="339"/>
      <c r="AI47" s="339"/>
      <c r="AJ47" s="339"/>
      <c r="AK47" s="339"/>
      <c r="AL47" s="340"/>
      <c r="AM47" s="175"/>
      <c r="AO47" s="1307"/>
      <c r="AP47" s="1307"/>
      <c r="AQ47" s="1307"/>
      <c r="AR47" s="1307"/>
      <c r="AS47" s="1307"/>
      <c r="AT47" s="1307"/>
      <c r="AU47" s="1307"/>
      <c r="AV47" s="1307"/>
      <c r="AW47" s="1307"/>
      <c r="AX47" s="1307"/>
      <c r="AY47" s="1307"/>
      <c r="AZ47" s="1307"/>
      <c r="BA47" s="1307"/>
      <c r="BB47" s="1307"/>
      <c r="BC47" s="1307"/>
    </row>
    <row r="48" spans="3:55" x14ac:dyDescent="0.3">
      <c r="C48" s="173"/>
      <c r="D48" s="72"/>
      <c r="E48" s="2415" t="s">
        <v>367</v>
      </c>
      <c r="F48" s="2416"/>
      <c r="G48" s="2416"/>
      <c r="H48" s="2416"/>
      <c r="I48" s="2417"/>
      <c r="J48" s="710"/>
      <c r="K48" s="710"/>
      <c r="L48" s="710"/>
      <c r="M48" s="710"/>
      <c r="N48" s="711"/>
      <c r="O48" s="258"/>
      <c r="P48" s="258"/>
      <c r="Q48" s="258"/>
      <c r="R48" s="258"/>
      <c r="S48" s="258"/>
      <c r="T48" s="712"/>
      <c r="U48" s="712"/>
      <c r="V48" s="72"/>
      <c r="W48" s="437"/>
      <c r="X48" s="339"/>
      <c r="Y48" s="339"/>
      <c r="Z48" s="339"/>
      <c r="AA48" s="339"/>
      <c r="AB48" s="340"/>
      <c r="AC48" s="339"/>
      <c r="AD48" s="339"/>
      <c r="AE48" s="339"/>
      <c r="AF48" s="339"/>
      <c r="AG48" s="340"/>
      <c r="AH48" s="339"/>
      <c r="AI48" s="339"/>
      <c r="AJ48" s="339"/>
      <c r="AK48" s="339"/>
      <c r="AL48" s="340"/>
      <c r="AM48" s="175"/>
      <c r="AO48" s="1307"/>
      <c r="AP48" s="1307"/>
      <c r="AQ48" s="1307"/>
      <c r="AR48" s="1307"/>
      <c r="AS48" s="1307"/>
      <c r="AT48" s="1307"/>
      <c r="AU48" s="1307"/>
      <c r="AV48" s="1307"/>
      <c r="AW48" s="1307"/>
      <c r="AX48" s="1307"/>
      <c r="AY48" s="1307"/>
      <c r="AZ48" s="1307"/>
      <c r="BA48" s="1307"/>
      <c r="BB48" s="1307"/>
      <c r="BC48" s="1307"/>
    </row>
    <row r="49" spans="3:55" x14ac:dyDescent="0.3">
      <c r="C49" s="173"/>
      <c r="D49" s="72"/>
      <c r="E49" s="2415" t="s">
        <v>368</v>
      </c>
      <c r="F49" s="2416"/>
      <c r="G49" s="2416"/>
      <c r="H49" s="2416"/>
      <c r="I49" s="2417"/>
      <c r="J49" s="710"/>
      <c r="K49" s="710"/>
      <c r="L49" s="710"/>
      <c r="M49" s="710"/>
      <c r="N49" s="711"/>
      <c r="O49" s="258"/>
      <c r="P49" s="258"/>
      <c r="Q49" s="258"/>
      <c r="R49" s="258"/>
      <c r="S49" s="258"/>
      <c r="T49" s="712"/>
      <c r="U49" s="712"/>
      <c r="V49" s="72"/>
      <c r="W49" s="437"/>
      <c r="X49" s="339"/>
      <c r="Y49" s="339"/>
      <c r="Z49" s="339"/>
      <c r="AA49" s="339"/>
      <c r="AB49" s="340"/>
      <c r="AC49" s="339"/>
      <c r="AD49" s="339"/>
      <c r="AE49" s="339"/>
      <c r="AF49" s="339"/>
      <c r="AG49" s="340"/>
      <c r="AH49" s="339"/>
      <c r="AI49" s="339"/>
      <c r="AJ49" s="339"/>
      <c r="AK49" s="339"/>
      <c r="AL49" s="340"/>
      <c r="AM49" s="175"/>
      <c r="AO49" s="1307"/>
      <c r="AP49" s="1307"/>
      <c r="AQ49" s="1307"/>
      <c r="AR49" s="1307"/>
      <c r="AS49" s="1307"/>
      <c r="AT49" s="1307"/>
      <c r="AU49" s="1307"/>
      <c r="AV49" s="1307"/>
      <c r="AW49" s="1307"/>
      <c r="AX49" s="1307"/>
      <c r="AY49" s="1307"/>
      <c r="AZ49" s="1307"/>
      <c r="BA49" s="1307"/>
      <c r="BB49" s="1307"/>
      <c r="BC49" s="1307"/>
    </row>
    <row r="50" spans="3:55" x14ac:dyDescent="0.3">
      <c r="C50" s="173"/>
      <c r="D50" s="72"/>
      <c r="E50" s="2418" t="s">
        <v>369</v>
      </c>
      <c r="F50" s="2419"/>
      <c r="G50" s="2419"/>
      <c r="H50" s="2419"/>
      <c r="I50" s="2420"/>
      <c r="J50" s="710"/>
      <c r="K50" s="710"/>
      <c r="L50" s="710"/>
      <c r="M50" s="710"/>
      <c r="N50" s="711"/>
      <c r="O50" s="258"/>
      <c r="P50" s="258"/>
      <c r="Q50" s="258"/>
      <c r="R50" s="258"/>
      <c r="S50" s="258"/>
      <c r="T50" s="712"/>
      <c r="U50" s="712"/>
      <c r="V50" s="72"/>
      <c r="W50" s="438"/>
      <c r="X50" s="342"/>
      <c r="Y50" s="342"/>
      <c r="Z50" s="342"/>
      <c r="AA50" s="342"/>
      <c r="AB50" s="343"/>
      <c r="AC50" s="342"/>
      <c r="AD50" s="342"/>
      <c r="AE50" s="342"/>
      <c r="AF50" s="342"/>
      <c r="AG50" s="343"/>
      <c r="AH50" s="342"/>
      <c r="AI50" s="342"/>
      <c r="AJ50" s="342"/>
      <c r="AK50" s="342"/>
      <c r="AL50" s="343"/>
      <c r="AM50" s="175"/>
      <c r="AO50" s="1307"/>
      <c r="AP50" s="1307"/>
      <c r="AQ50" s="1307"/>
      <c r="AR50" s="1307"/>
      <c r="AS50" s="1307"/>
      <c r="AT50" s="1307"/>
      <c r="AU50" s="1307"/>
      <c r="AV50" s="1307"/>
      <c r="AW50" s="1307"/>
      <c r="AX50" s="1307"/>
      <c r="AY50" s="1307"/>
      <c r="AZ50" s="1307"/>
      <c r="BA50" s="1307"/>
      <c r="BB50" s="1307"/>
      <c r="BC50" s="1307"/>
    </row>
    <row r="51" spans="3:55" x14ac:dyDescent="0.3">
      <c r="C51" s="173"/>
      <c r="D51" s="227" t="str">
        <f>+CONCATENATE("Total ",LOWER(D44))</f>
        <v>Total investing cash flow adjustments</v>
      </c>
      <c r="E51" s="105"/>
      <c r="F51" s="105"/>
      <c r="G51" s="105"/>
      <c r="H51" s="105"/>
      <c r="I51" s="108"/>
      <c r="J51" s="687"/>
      <c r="K51" s="687"/>
      <c r="L51" s="687"/>
      <c r="M51" s="687"/>
      <c r="N51" s="84"/>
      <c r="O51" s="72"/>
      <c r="P51" s="72"/>
      <c r="Q51" s="72"/>
      <c r="R51" s="72"/>
      <c r="S51" s="72"/>
      <c r="T51" s="583"/>
      <c r="U51" s="583"/>
      <c r="V51" s="72"/>
      <c r="W51" s="682">
        <f t="shared" ref="W51" si="8">+SUM(W45:W50)</f>
        <v>0</v>
      </c>
      <c r="X51" s="2028">
        <f t="shared" ref="X51:AG51" si="9">+SUM(X45:X50)</f>
        <v>0</v>
      </c>
      <c r="Y51" s="2028">
        <f t="shared" si="9"/>
        <v>0</v>
      </c>
      <c r="Z51" s="2028">
        <f t="shared" si="9"/>
        <v>0</v>
      </c>
      <c r="AA51" s="2028">
        <f t="shared" si="9"/>
        <v>0</v>
      </c>
      <c r="AB51" s="2028">
        <f t="shared" si="9"/>
        <v>0</v>
      </c>
      <c r="AC51" s="682">
        <f t="shared" si="9"/>
        <v>0</v>
      </c>
      <c r="AD51" s="682">
        <f t="shared" si="9"/>
        <v>0</v>
      </c>
      <c r="AE51" s="682">
        <f t="shared" si="9"/>
        <v>0</v>
      </c>
      <c r="AF51" s="682">
        <f t="shared" si="9"/>
        <v>0</v>
      </c>
      <c r="AG51" s="682">
        <f t="shared" si="9"/>
        <v>0</v>
      </c>
      <c r="AH51" s="682">
        <f>+SUM(AH45:AH50)</f>
        <v>0</v>
      </c>
      <c r="AI51" s="682">
        <f>+SUM(AI45:AI50)</f>
        <v>0</v>
      </c>
      <c r="AJ51" s="682">
        <f>+SUM(AJ45:AJ50)</f>
        <v>0</v>
      </c>
      <c r="AK51" s="682">
        <f>+SUM(AK45:AK50)</f>
        <v>0</v>
      </c>
      <c r="AL51" s="682">
        <f>+SUM(AL45:AL50)</f>
        <v>0</v>
      </c>
      <c r="AM51" s="175"/>
      <c r="AO51" s="1307"/>
      <c r="AP51" s="1307"/>
      <c r="AQ51" s="1307"/>
      <c r="AR51" s="1307"/>
      <c r="AS51" s="1307"/>
      <c r="AT51" s="1307"/>
      <c r="AU51" s="1307"/>
      <c r="AV51" s="1307"/>
      <c r="AW51" s="1307"/>
      <c r="AX51" s="1307"/>
      <c r="AY51" s="1307"/>
      <c r="AZ51" s="1307"/>
      <c r="BA51" s="1307"/>
      <c r="BB51" s="1307"/>
      <c r="BC51" s="1307"/>
    </row>
    <row r="52" spans="3:55" x14ac:dyDescent="0.3">
      <c r="C52" s="173"/>
      <c r="D52" s="105"/>
      <c r="E52" s="105"/>
      <c r="F52" s="105"/>
      <c r="G52" s="105"/>
      <c r="H52" s="105"/>
      <c r="I52" s="108"/>
      <c r="J52" s="687"/>
      <c r="K52" s="687"/>
      <c r="L52" s="687"/>
      <c r="M52" s="687"/>
      <c r="N52" s="84"/>
      <c r="O52" s="72"/>
      <c r="P52" s="72"/>
      <c r="Q52" s="72"/>
      <c r="R52" s="72"/>
      <c r="S52" s="72"/>
      <c r="T52" s="583"/>
      <c r="U52" s="583"/>
      <c r="V52" s="72"/>
      <c r="W52" s="229"/>
      <c r="X52" s="2012"/>
      <c r="Y52" s="2012"/>
      <c r="Z52" s="2012"/>
      <c r="AA52" s="2012"/>
      <c r="AB52" s="2012"/>
      <c r="AC52" s="229"/>
      <c r="AD52" s="229"/>
      <c r="AE52" s="229"/>
      <c r="AF52" s="229"/>
      <c r="AG52" s="229"/>
      <c r="AH52" s="229"/>
      <c r="AI52" s="229"/>
      <c r="AJ52" s="229"/>
      <c r="AK52" s="229"/>
      <c r="AL52" s="229"/>
      <c r="AM52" s="175"/>
      <c r="AO52" s="1307"/>
      <c r="AP52" s="1307"/>
      <c r="AQ52" s="1307"/>
      <c r="AR52" s="1307"/>
      <c r="AS52" s="1307"/>
      <c r="AT52" s="1307"/>
      <c r="AU52" s="1307"/>
      <c r="AV52" s="1307"/>
      <c r="AW52" s="1307"/>
      <c r="AX52" s="1307"/>
      <c r="AY52" s="1307"/>
      <c r="AZ52" s="1307"/>
      <c r="BA52" s="1307"/>
      <c r="BB52" s="1307"/>
      <c r="BC52" s="1307"/>
    </row>
    <row r="53" spans="3:55" x14ac:dyDescent="0.3">
      <c r="C53" s="173"/>
      <c r="D53" s="105"/>
      <c r="E53" s="105"/>
      <c r="F53" s="105"/>
      <c r="G53" s="105"/>
      <c r="H53" s="105"/>
      <c r="I53" s="108"/>
      <c r="J53" s="687"/>
      <c r="K53" s="687"/>
      <c r="L53" s="687"/>
      <c r="M53" s="687"/>
      <c r="N53" s="84"/>
      <c r="O53" s="72"/>
      <c r="P53" s="72"/>
      <c r="Q53" s="72"/>
      <c r="R53" s="72"/>
      <c r="S53" s="72"/>
      <c r="T53" s="583"/>
      <c r="U53" s="583"/>
      <c r="V53" s="72"/>
      <c r="W53" s="229"/>
      <c r="X53" s="2012"/>
      <c r="Y53" s="2012"/>
      <c r="Z53" s="2012"/>
      <c r="AA53" s="2012"/>
      <c r="AB53" s="2012"/>
      <c r="AC53" s="229"/>
      <c r="AD53" s="229"/>
      <c r="AE53" s="229"/>
      <c r="AF53" s="229"/>
      <c r="AG53" s="229"/>
      <c r="AH53" s="229"/>
      <c r="AI53" s="229"/>
      <c r="AJ53" s="229"/>
      <c r="AK53" s="229"/>
      <c r="AL53" s="229"/>
      <c r="AM53" s="175"/>
      <c r="AO53" s="1307"/>
      <c r="AP53" s="1307"/>
      <c r="AQ53" s="1307"/>
      <c r="AR53" s="1307"/>
      <c r="AS53" s="1307"/>
      <c r="AT53" s="1307"/>
      <c r="AU53" s="1307"/>
      <c r="AV53" s="1307"/>
      <c r="AW53" s="1307"/>
      <c r="AX53" s="1307"/>
      <c r="AY53" s="1307"/>
      <c r="AZ53" s="1307"/>
      <c r="BA53" s="1307"/>
      <c r="BB53" s="1307"/>
      <c r="BC53" s="1307"/>
    </row>
    <row r="54" spans="3:55" x14ac:dyDescent="0.3">
      <c r="C54" s="1583">
        <v>5</v>
      </c>
      <c r="D54" s="105" t="s">
        <v>401</v>
      </c>
      <c r="E54" s="72"/>
      <c r="F54" s="72"/>
      <c r="G54" s="72"/>
      <c r="H54" s="72"/>
      <c r="I54" s="84"/>
      <c r="J54" s="687"/>
      <c r="K54" s="687"/>
      <c r="L54" s="687"/>
      <c r="M54" s="687"/>
      <c r="N54" s="84"/>
      <c r="O54" s="72"/>
      <c r="P54" s="72"/>
      <c r="Q54" s="72"/>
      <c r="R54" s="72"/>
      <c r="S54" s="72"/>
      <c r="T54" s="583"/>
      <c r="U54" s="583"/>
      <c r="V54" s="72"/>
      <c r="W54" s="229"/>
      <c r="X54" s="2012"/>
      <c r="Y54" s="2012"/>
      <c r="Z54" s="2012"/>
      <c r="AA54" s="2012"/>
      <c r="AB54" s="2012"/>
      <c r="AC54" s="229"/>
      <c r="AD54" s="229"/>
      <c r="AE54" s="229"/>
      <c r="AF54" s="229"/>
      <c r="AG54" s="229"/>
      <c r="AH54" s="229"/>
      <c r="AI54" s="229"/>
      <c r="AJ54" s="229"/>
      <c r="AK54" s="229"/>
      <c r="AL54" s="229"/>
      <c r="AM54" s="175"/>
      <c r="AO54" s="1307"/>
      <c r="AP54" s="1307"/>
      <c r="AQ54" s="1307"/>
      <c r="AR54" s="1307"/>
      <c r="AS54" s="1307"/>
      <c r="AT54" s="1307"/>
      <c r="AU54" s="1307"/>
      <c r="AV54" s="1307"/>
      <c r="AW54" s="1307"/>
      <c r="AX54" s="1307"/>
      <c r="AY54" s="1307"/>
      <c r="AZ54" s="1307"/>
      <c r="BA54" s="1307"/>
      <c r="BB54" s="1307"/>
      <c r="BC54" s="1307"/>
    </row>
    <row r="55" spans="3:55" x14ac:dyDescent="0.3">
      <c r="C55" s="173"/>
      <c r="D55" s="72"/>
      <c r="E55" s="2412" t="s">
        <v>364</v>
      </c>
      <c r="F55" s="2413"/>
      <c r="G55" s="2413"/>
      <c r="H55" s="2413"/>
      <c r="I55" s="2414"/>
      <c r="J55" s="710"/>
      <c r="K55" s="710"/>
      <c r="L55" s="710"/>
      <c r="M55" s="710"/>
      <c r="N55" s="711"/>
      <c r="O55" s="258"/>
      <c r="P55" s="258"/>
      <c r="Q55" s="258"/>
      <c r="R55" s="258"/>
      <c r="S55" s="258"/>
      <c r="T55" s="712"/>
      <c r="U55" s="712"/>
      <c r="V55" s="72"/>
      <c r="W55" s="436"/>
      <c r="X55" s="336"/>
      <c r="Y55" s="336"/>
      <c r="Z55" s="336"/>
      <c r="AA55" s="336"/>
      <c r="AB55" s="337"/>
      <c r="AC55" s="336"/>
      <c r="AD55" s="336"/>
      <c r="AE55" s="336"/>
      <c r="AF55" s="336"/>
      <c r="AG55" s="337"/>
      <c r="AH55" s="336"/>
      <c r="AI55" s="336"/>
      <c r="AJ55" s="336"/>
      <c r="AK55" s="336"/>
      <c r="AL55" s="337"/>
      <c r="AM55" s="175"/>
      <c r="AO55" s="1307"/>
      <c r="AP55" s="1307"/>
      <c r="AQ55" s="1307"/>
      <c r="AR55" s="1307"/>
      <c r="AS55" s="1307"/>
      <c r="AT55" s="1307"/>
      <c r="AU55" s="1307"/>
      <c r="AV55" s="1307"/>
      <c r="AW55" s="1307"/>
      <c r="AX55" s="1307"/>
      <c r="AY55" s="1307"/>
      <c r="AZ55" s="1307"/>
      <c r="BA55" s="1307"/>
      <c r="BB55" s="1307"/>
      <c r="BC55" s="1307"/>
    </row>
    <row r="56" spans="3:55" x14ac:dyDescent="0.3">
      <c r="C56" s="173"/>
      <c r="D56" s="72"/>
      <c r="E56" s="2415" t="s">
        <v>365</v>
      </c>
      <c r="F56" s="2416"/>
      <c r="G56" s="2416"/>
      <c r="H56" s="2416"/>
      <c r="I56" s="2417"/>
      <c r="J56" s="710"/>
      <c r="K56" s="710"/>
      <c r="L56" s="710"/>
      <c r="M56" s="710"/>
      <c r="N56" s="711"/>
      <c r="O56" s="258"/>
      <c r="P56" s="258"/>
      <c r="Q56" s="258"/>
      <c r="R56" s="258"/>
      <c r="S56" s="258"/>
      <c r="T56" s="712"/>
      <c r="U56" s="712"/>
      <c r="V56" s="72"/>
      <c r="W56" s="437"/>
      <c r="X56" s="339"/>
      <c r="Y56" s="339"/>
      <c r="Z56" s="339"/>
      <c r="AA56" s="339"/>
      <c r="AB56" s="340"/>
      <c r="AC56" s="339"/>
      <c r="AD56" s="339"/>
      <c r="AE56" s="339"/>
      <c r="AF56" s="339"/>
      <c r="AG56" s="340"/>
      <c r="AH56" s="339"/>
      <c r="AI56" s="339"/>
      <c r="AJ56" s="339"/>
      <c r="AK56" s="339"/>
      <c r="AL56" s="340"/>
      <c r="AM56" s="175"/>
      <c r="AO56" s="1307"/>
      <c r="AP56" s="1307"/>
      <c r="AQ56" s="1307"/>
      <c r="AR56" s="1307"/>
      <c r="AS56" s="1307"/>
      <c r="AT56" s="1307"/>
      <c r="AU56" s="1307"/>
      <c r="AV56" s="1307"/>
      <c r="AW56" s="1307"/>
      <c r="AX56" s="1307"/>
      <c r="AY56" s="1307"/>
      <c r="AZ56" s="1307"/>
      <c r="BA56" s="1307"/>
      <c r="BB56" s="1307"/>
      <c r="BC56" s="1307"/>
    </row>
    <row r="57" spans="3:55" x14ac:dyDescent="0.3">
      <c r="C57" s="173"/>
      <c r="D57" s="72"/>
      <c r="E57" s="2415" t="s">
        <v>366</v>
      </c>
      <c r="F57" s="2416"/>
      <c r="G57" s="2416"/>
      <c r="H57" s="2416"/>
      <c r="I57" s="2417"/>
      <c r="J57" s="710"/>
      <c r="K57" s="710"/>
      <c r="L57" s="710"/>
      <c r="M57" s="710"/>
      <c r="N57" s="711"/>
      <c r="O57" s="258"/>
      <c r="P57" s="258"/>
      <c r="Q57" s="258"/>
      <c r="R57" s="258"/>
      <c r="S57" s="258"/>
      <c r="T57" s="712"/>
      <c r="U57" s="712"/>
      <c r="V57" s="72"/>
      <c r="W57" s="437"/>
      <c r="X57" s="339"/>
      <c r="Y57" s="339"/>
      <c r="Z57" s="339"/>
      <c r="AA57" s="339"/>
      <c r="AB57" s="340"/>
      <c r="AC57" s="339"/>
      <c r="AD57" s="339"/>
      <c r="AE57" s="339"/>
      <c r="AF57" s="339"/>
      <c r="AG57" s="340"/>
      <c r="AH57" s="339"/>
      <c r="AI57" s="339"/>
      <c r="AJ57" s="339"/>
      <c r="AK57" s="339"/>
      <c r="AL57" s="340"/>
      <c r="AM57" s="175"/>
      <c r="AO57" s="1307"/>
      <c r="AP57" s="1307"/>
      <c r="AQ57" s="1307"/>
      <c r="AR57" s="1307"/>
      <c r="AS57" s="1307"/>
      <c r="AT57" s="1307"/>
      <c r="AU57" s="1307"/>
      <c r="AV57" s="1307"/>
      <c r="AW57" s="1307"/>
      <c r="AX57" s="1307"/>
      <c r="AY57" s="1307"/>
      <c r="AZ57" s="1307"/>
      <c r="BA57" s="1307"/>
      <c r="BB57" s="1307"/>
      <c r="BC57" s="1307"/>
    </row>
    <row r="58" spans="3:55" x14ac:dyDescent="0.3">
      <c r="C58" s="173"/>
      <c r="D58" s="72"/>
      <c r="E58" s="2415" t="s">
        <v>367</v>
      </c>
      <c r="F58" s="2416"/>
      <c r="G58" s="2416"/>
      <c r="H58" s="2416"/>
      <c r="I58" s="2417"/>
      <c r="J58" s="710"/>
      <c r="K58" s="710"/>
      <c r="L58" s="710"/>
      <c r="M58" s="710"/>
      <c r="N58" s="711"/>
      <c r="O58" s="258"/>
      <c r="P58" s="258"/>
      <c r="Q58" s="258"/>
      <c r="R58" s="258"/>
      <c r="S58" s="258"/>
      <c r="T58" s="712"/>
      <c r="U58" s="712"/>
      <c r="V58" s="72"/>
      <c r="W58" s="437"/>
      <c r="X58" s="339"/>
      <c r="Y58" s="339"/>
      <c r="Z58" s="339"/>
      <c r="AA58" s="339"/>
      <c r="AB58" s="340"/>
      <c r="AC58" s="339"/>
      <c r="AD58" s="339"/>
      <c r="AE58" s="339"/>
      <c r="AF58" s="339"/>
      <c r="AG58" s="340"/>
      <c r="AH58" s="339"/>
      <c r="AI58" s="339"/>
      <c r="AJ58" s="339"/>
      <c r="AK58" s="339"/>
      <c r="AL58" s="340"/>
      <c r="AM58" s="175"/>
      <c r="AO58" s="1307"/>
      <c r="AP58" s="1307"/>
      <c r="AQ58" s="1307"/>
      <c r="AR58" s="1307"/>
      <c r="AS58" s="1307"/>
      <c r="AT58" s="1307"/>
      <c r="AU58" s="1307"/>
      <c r="AV58" s="1307"/>
      <c r="AW58" s="1307"/>
      <c r="AX58" s="1307"/>
      <c r="AY58" s="1307"/>
      <c r="AZ58" s="1307"/>
      <c r="BA58" s="1307"/>
      <c r="BB58" s="1307"/>
      <c r="BC58" s="1307"/>
    </row>
    <row r="59" spans="3:55" x14ac:dyDescent="0.3">
      <c r="C59" s="173"/>
      <c r="D59" s="72"/>
      <c r="E59" s="2415" t="s">
        <v>368</v>
      </c>
      <c r="F59" s="2416"/>
      <c r="G59" s="2416"/>
      <c r="H59" s="2416"/>
      <c r="I59" s="2417"/>
      <c r="J59" s="710"/>
      <c r="K59" s="710"/>
      <c r="L59" s="710"/>
      <c r="M59" s="710"/>
      <c r="N59" s="711"/>
      <c r="O59" s="258"/>
      <c r="P59" s="258"/>
      <c r="Q59" s="258"/>
      <c r="R59" s="258"/>
      <c r="S59" s="258"/>
      <c r="T59" s="712"/>
      <c r="U59" s="712"/>
      <c r="V59" s="72"/>
      <c r="W59" s="437"/>
      <c r="X59" s="339"/>
      <c r="Y59" s="339"/>
      <c r="Z59" s="339"/>
      <c r="AA59" s="339"/>
      <c r="AB59" s="340"/>
      <c r="AC59" s="339"/>
      <c r="AD59" s="339"/>
      <c r="AE59" s="339"/>
      <c r="AF59" s="339"/>
      <c r="AG59" s="340"/>
      <c r="AH59" s="339"/>
      <c r="AI59" s="339"/>
      <c r="AJ59" s="339"/>
      <c r="AK59" s="339"/>
      <c r="AL59" s="340"/>
      <c r="AM59" s="175"/>
      <c r="AO59" s="1307"/>
      <c r="AP59" s="1307"/>
      <c r="AQ59" s="1307"/>
      <c r="AR59" s="1307"/>
      <c r="AS59" s="1307"/>
      <c r="AT59" s="1307"/>
      <c r="AU59" s="1307"/>
      <c r="AV59" s="1307"/>
      <c r="AW59" s="1307"/>
      <c r="AX59" s="1307"/>
      <c r="AY59" s="1307"/>
      <c r="AZ59" s="1307"/>
      <c r="BA59" s="1307"/>
      <c r="BB59" s="1307"/>
      <c r="BC59" s="1307"/>
    </row>
    <row r="60" spans="3:55" x14ac:dyDescent="0.3">
      <c r="C60" s="173"/>
      <c r="D60" s="72"/>
      <c r="E60" s="2418" t="s">
        <v>369</v>
      </c>
      <c r="F60" s="2419"/>
      <c r="G60" s="2419"/>
      <c r="H60" s="2419"/>
      <c r="I60" s="2420"/>
      <c r="J60" s="710"/>
      <c r="K60" s="710"/>
      <c r="L60" s="710"/>
      <c r="M60" s="710"/>
      <c r="N60" s="711"/>
      <c r="O60" s="258"/>
      <c r="P60" s="258"/>
      <c r="Q60" s="258"/>
      <c r="R60" s="258"/>
      <c r="S60" s="258"/>
      <c r="T60" s="712"/>
      <c r="U60" s="712"/>
      <c r="V60" s="72"/>
      <c r="W60" s="438"/>
      <c r="X60" s="342"/>
      <c r="Y60" s="342"/>
      <c r="Z60" s="342"/>
      <c r="AA60" s="342"/>
      <c r="AB60" s="343"/>
      <c r="AC60" s="342"/>
      <c r="AD60" s="342"/>
      <c r="AE60" s="342"/>
      <c r="AF60" s="342"/>
      <c r="AG60" s="343"/>
      <c r="AH60" s="342"/>
      <c r="AI60" s="342"/>
      <c r="AJ60" s="342"/>
      <c r="AK60" s="342"/>
      <c r="AL60" s="343"/>
      <c r="AM60" s="175"/>
      <c r="AO60" s="1307"/>
      <c r="AP60" s="1307"/>
      <c r="AQ60" s="1307"/>
      <c r="AR60" s="1307"/>
      <c r="AS60" s="1307"/>
      <c r="AT60" s="1307"/>
      <c r="AU60" s="1307"/>
      <c r="AV60" s="1307"/>
      <c r="AW60" s="1307"/>
      <c r="AX60" s="1307"/>
      <c r="AY60" s="1307"/>
      <c r="AZ60" s="1307"/>
      <c r="BA60" s="1307"/>
      <c r="BB60" s="1307"/>
      <c r="BC60" s="1307"/>
    </row>
    <row r="61" spans="3:55" x14ac:dyDescent="0.3">
      <c r="C61" s="173"/>
      <c r="D61" s="227" t="str">
        <f>+CONCATENATE("Total ",LOWER(D54))</f>
        <v>Total interest payment adjustments</v>
      </c>
      <c r="E61" s="105"/>
      <c r="F61" s="105"/>
      <c r="G61" s="105"/>
      <c r="H61" s="105"/>
      <c r="I61" s="108"/>
      <c r="J61" s="687"/>
      <c r="K61" s="687"/>
      <c r="L61" s="687"/>
      <c r="M61" s="687"/>
      <c r="N61" s="84"/>
      <c r="O61" s="72"/>
      <c r="P61" s="72"/>
      <c r="Q61" s="72"/>
      <c r="R61" s="72"/>
      <c r="S61" s="72"/>
      <c r="T61" s="583"/>
      <c r="U61" s="583"/>
      <c r="V61" s="72"/>
      <c r="W61" s="682">
        <f t="shared" ref="W61" si="10">+SUM(W55:W60)</f>
        <v>0</v>
      </c>
      <c r="X61" s="2028">
        <f t="shared" ref="X61:AG61" si="11">+SUM(X55:X60)</f>
        <v>0</v>
      </c>
      <c r="Y61" s="2028">
        <f t="shared" si="11"/>
        <v>0</v>
      </c>
      <c r="Z61" s="2028">
        <f t="shared" si="11"/>
        <v>0</v>
      </c>
      <c r="AA61" s="2028">
        <f t="shared" si="11"/>
        <v>0</v>
      </c>
      <c r="AB61" s="2028">
        <f t="shared" si="11"/>
        <v>0</v>
      </c>
      <c r="AC61" s="682">
        <f t="shared" si="11"/>
        <v>0</v>
      </c>
      <c r="AD61" s="682">
        <f t="shared" si="11"/>
        <v>0</v>
      </c>
      <c r="AE61" s="682">
        <f t="shared" si="11"/>
        <v>0</v>
      </c>
      <c r="AF61" s="682">
        <f t="shared" si="11"/>
        <v>0</v>
      </c>
      <c r="AG61" s="682">
        <f t="shared" si="11"/>
        <v>0</v>
      </c>
      <c r="AH61" s="682">
        <f>+SUM(AH55:AH60)</f>
        <v>0</v>
      </c>
      <c r="AI61" s="682">
        <f>+SUM(AI55:AI60)</f>
        <v>0</v>
      </c>
      <c r="AJ61" s="682">
        <f>+SUM(AJ55:AJ60)</f>
        <v>0</v>
      </c>
      <c r="AK61" s="682">
        <f>+SUM(AK55:AK60)</f>
        <v>0</v>
      </c>
      <c r="AL61" s="682">
        <f>+SUM(AL55:AL60)</f>
        <v>0</v>
      </c>
      <c r="AM61" s="175"/>
      <c r="AO61" s="1307"/>
      <c r="AP61" s="1307"/>
      <c r="AQ61" s="1307"/>
      <c r="AR61" s="1307"/>
      <c r="AS61" s="1307"/>
      <c r="AT61" s="1307"/>
      <c r="AU61" s="1307"/>
      <c r="AV61" s="1307"/>
      <c r="AW61" s="1307"/>
      <c r="AX61" s="1307"/>
      <c r="AY61" s="1307"/>
      <c r="AZ61" s="1307"/>
      <c r="BA61" s="1307"/>
      <c r="BB61" s="1307"/>
      <c r="BC61" s="1307"/>
    </row>
    <row r="62" spans="3:55" x14ac:dyDescent="0.3">
      <c r="C62" s="173"/>
      <c r="D62" s="72"/>
      <c r="E62" s="72"/>
      <c r="F62" s="72"/>
      <c r="G62" s="72"/>
      <c r="H62" s="72"/>
      <c r="I62" s="84"/>
      <c r="J62" s="72"/>
      <c r="K62" s="72"/>
      <c r="L62" s="72"/>
      <c r="M62" s="72"/>
      <c r="N62" s="84"/>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175"/>
      <c r="AO62" s="1307"/>
      <c r="AP62" s="1307"/>
      <c r="AQ62" s="1307"/>
      <c r="AR62" s="1307"/>
      <c r="AS62" s="1307"/>
      <c r="AT62" s="1307"/>
      <c r="AU62" s="1307"/>
      <c r="AV62" s="1307"/>
      <c r="AW62" s="1307"/>
      <c r="AX62" s="1307"/>
      <c r="AY62" s="1307"/>
      <c r="AZ62" s="1307"/>
      <c r="BA62" s="1307"/>
      <c r="BB62" s="1307"/>
      <c r="BC62" s="1307"/>
    </row>
    <row r="63" spans="3:55" ht="12.5" thickBot="1" x14ac:dyDescent="0.35">
      <c r="C63" s="179"/>
      <c r="D63" s="180"/>
      <c r="E63" s="180"/>
      <c r="F63" s="180"/>
      <c r="G63" s="180"/>
      <c r="H63" s="180"/>
      <c r="I63" s="197"/>
      <c r="J63" s="180"/>
      <c r="K63" s="180"/>
      <c r="L63" s="180"/>
      <c r="M63" s="180"/>
      <c r="N63" s="180"/>
      <c r="O63" s="180"/>
      <c r="P63" s="180"/>
      <c r="Q63" s="180"/>
      <c r="R63" s="180"/>
      <c r="S63" s="180"/>
      <c r="T63" s="180"/>
      <c r="U63" s="180"/>
      <c r="V63" s="180"/>
      <c r="W63" s="180"/>
      <c r="X63" s="180"/>
      <c r="Y63" s="180"/>
      <c r="Z63" s="180"/>
      <c r="AA63" s="180"/>
      <c r="AB63" s="180"/>
      <c r="AC63" s="180"/>
      <c r="AD63" s="180"/>
      <c r="AE63" s="180"/>
      <c r="AF63" s="180"/>
      <c r="AG63" s="180"/>
      <c r="AH63" s="180"/>
      <c r="AI63" s="180"/>
      <c r="AJ63" s="180"/>
      <c r="AK63" s="180"/>
      <c r="AL63" s="180"/>
      <c r="AM63" s="182"/>
      <c r="AO63" s="1307"/>
      <c r="AP63" s="1307"/>
      <c r="AQ63" s="1307"/>
      <c r="AR63" s="1307"/>
      <c r="AS63" s="1307"/>
      <c r="AT63" s="1307"/>
      <c r="AU63" s="1307"/>
      <c r="AV63" s="1307"/>
      <c r="AW63" s="1307"/>
      <c r="AX63" s="1307"/>
      <c r="AY63" s="1307"/>
      <c r="AZ63" s="1307"/>
      <c r="BA63" s="1307"/>
      <c r="BB63" s="1307"/>
      <c r="BC63" s="1307"/>
    </row>
    <row r="64" spans="3:55" x14ac:dyDescent="0.3">
      <c r="C64" s="72"/>
      <c r="D64" s="72"/>
      <c r="E64" s="72"/>
      <c r="F64" s="72"/>
      <c r="G64" s="72"/>
      <c r="H64" s="72"/>
      <c r="I64" s="72"/>
      <c r="J64" s="72"/>
      <c r="K64" s="689"/>
      <c r="L64" s="689"/>
      <c r="M64" s="689"/>
      <c r="N64" s="689"/>
      <c r="O64" s="689"/>
      <c r="P64" s="689"/>
      <c r="Q64" s="689"/>
      <c r="R64" s="689"/>
      <c r="S64" s="72"/>
      <c r="T64" s="72"/>
      <c r="U64" s="72"/>
      <c r="V64" s="72"/>
      <c r="W64" s="72"/>
      <c r="X64" s="72"/>
      <c r="Y64" s="72"/>
      <c r="Z64" s="72"/>
      <c r="AA64" s="72"/>
      <c r="AB64" s="72"/>
      <c r="AC64" s="72"/>
      <c r="AD64" s="72"/>
      <c r="AE64" s="72"/>
      <c r="AF64" s="72"/>
      <c r="AG64" s="72"/>
      <c r="AH64" s="72"/>
      <c r="AI64" s="72"/>
      <c r="AJ64" s="72"/>
      <c r="AK64" s="72"/>
      <c r="AL64" s="72"/>
      <c r="AM64" s="72"/>
      <c r="AO64" s="1307"/>
      <c r="AP64" s="1307"/>
      <c r="AQ64" s="1307"/>
      <c r="AR64" s="1307"/>
      <c r="AS64" s="1307"/>
      <c r="AT64" s="1307"/>
      <c r="AU64" s="1307"/>
      <c r="AV64" s="1307"/>
      <c r="AW64" s="1307"/>
      <c r="AX64" s="1307"/>
      <c r="AY64" s="1307"/>
      <c r="AZ64" s="1307"/>
      <c r="BA64" s="1307"/>
      <c r="BB64" s="1307"/>
      <c r="BC64" s="1307"/>
    </row>
    <row r="65" spans="3:55" ht="12.5" thickBot="1" x14ac:dyDescent="0.35">
      <c r="C65" s="72"/>
      <c r="D65" s="72"/>
      <c r="E65" s="72"/>
      <c r="F65" s="72"/>
      <c r="G65" s="72"/>
      <c r="H65" s="72"/>
      <c r="I65" s="72"/>
      <c r="J65" s="72"/>
      <c r="L65" s="689"/>
      <c r="M65" s="689"/>
      <c r="N65" s="689"/>
      <c r="O65" s="689"/>
      <c r="P65" s="689"/>
      <c r="Q65" s="689"/>
      <c r="R65" s="689"/>
      <c r="S65" s="72"/>
      <c r="T65" s="72"/>
      <c r="U65" s="72"/>
      <c r="V65" s="72"/>
      <c r="W65" s="72"/>
      <c r="X65" s="72"/>
      <c r="Y65" s="72"/>
      <c r="Z65" s="72"/>
      <c r="AA65" s="72"/>
      <c r="AB65" s="72"/>
      <c r="AC65" s="72"/>
      <c r="AD65" s="72"/>
      <c r="AE65" s="72"/>
      <c r="AF65" s="72"/>
      <c r="AG65" s="72"/>
      <c r="AH65" s="72"/>
      <c r="AI65" s="72"/>
      <c r="AJ65" s="72"/>
      <c r="AK65" s="72"/>
      <c r="AL65" s="72"/>
      <c r="AM65" s="72"/>
      <c r="AO65" s="1307"/>
      <c r="AP65" s="1307"/>
      <c r="AQ65" s="1307"/>
      <c r="AR65" s="1307"/>
      <c r="AS65" s="1307"/>
      <c r="AT65" s="1307"/>
      <c r="AU65" s="1307"/>
      <c r="AV65" s="1307"/>
      <c r="AW65" s="1307"/>
      <c r="AX65" s="1307"/>
      <c r="AY65" s="1307"/>
      <c r="AZ65" s="1307"/>
      <c r="BA65" s="1307"/>
      <c r="BB65" s="1307"/>
      <c r="BC65" s="1307"/>
    </row>
    <row r="66" spans="3:55" x14ac:dyDescent="0.3">
      <c r="C66" s="170"/>
      <c r="D66" s="171"/>
      <c r="E66" s="171"/>
      <c r="F66" s="171"/>
      <c r="G66" s="171"/>
      <c r="H66" s="171"/>
      <c r="I66" s="231"/>
      <c r="J66" s="171"/>
      <c r="K66" s="171"/>
      <c r="L66" s="171"/>
      <c r="M66" s="171"/>
      <c r="N66" s="171"/>
      <c r="O66" s="171"/>
      <c r="P66" s="171"/>
      <c r="Q66" s="171"/>
      <c r="R66" s="231"/>
      <c r="S66" s="171"/>
      <c r="T66" s="171"/>
      <c r="U66" s="171"/>
      <c r="V66" s="171"/>
      <c r="W66" s="171"/>
      <c r="X66" s="171"/>
      <c r="Y66" s="171"/>
      <c r="Z66" s="171"/>
      <c r="AA66" s="171"/>
      <c r="AB66" s="171"/>
      <c r="AC66" s="171"/>
      <c r="AD66" s="171"/>
      <c r="AE66" s="171"/>
      <c r="AF66" s="171"/>
      <c r="AG66" s="171"/>
      <c r="AH66" s="171"/>
      <c r="AI66" s="171"/>
      <c r="AJ66" s="171"/>
      <c r="AK66" s="171"/>
      <c r="AL66" s="171"/>
      <c r="AM66" s="172"/>
      <c r="AO66" s="1307"/>
      <c r="AP66" s="1307"/>
      <c r="AQ66" s="1307"/>
      <c r="AR66" s="1307"/>
      <c r="AS66" s="1307"/>
      <c r="AT66" s="1307"/>
      <c r="AU66" s="1307"/>
      <c r="AV66" s="1307"/>
      <c r="AW66" s="1307"/>
      <c r="AX66" s="1307"/>
      <c r="AY66" s="1307"/>
      <c r="AZ66" s="1307"/>
      <c r="BA66" s="1307"/>
      <c r="BB66" s="1307"/>
      <c r="BC66" s="1307"/>
    </row>
    <row r="67" spans="3:55" x14ac:dyDescent="0.3">
      <c r="C67" s="173"/>
      <c r="D67" s="666" t="s">
        <v>291</v>
      </c>
      <c r="E67" s="72"/>
      <c r="F67" s="72"/>
      <c r="G67" s="72"/>
      <c r="H67" s="72"/>
      <c r="I67" s="84"/>
      <c r="J67" s="72"/>
      <c r="K67" s="72"/>
      <c r="L67" s="72"/>
      <c r="M67" s="72"/>
      <c r="N67" s="72"/>
      <c r="O67" s="72"/>
      <c r="P67" s="72"/>
      <c r="Q67" s="72"/>
      <c r="R67" s="84"/>
      <c r="S67" s="72"/>
      <c r="T67" s="72"/>
      <c r="U67" s="72"/>
      <c r="V67" s="72"/>
      <c r="W67" s="72"/>
      <c r="X67" s="72"/>
      <c r="Y67" s="72"/>
      <c r="Z67" s="72"/>
      <c r="AA67" s="72"/>
      <c r="AB67" s="72"/>
      <c r="AC67" s="72"/>
      <c r="AD67" s="72"/>
      <c r="AE67" s="72"/>
      <c r="AF67" s="72"/>
      <c r="AG67" s="72"/>
      <c r="AH67" s="72"/>
      <c r="AI67" s="72"/>
      <c r="AJ67" s="72"/>
      <c r="AK67" s="72"/>
      <c r="AL67" s="72"/>
      <c r="AM67" s="175"/>
      <c r="AO67" s="1307"/>
      <c r="AP67" s="1307"/>
      <c r="AQ67" s="1307"/>
      <c r="AR67" s="1307"/>
      <c r="AS67" s="1307"/>
      <c r="AT67" s="1307"/>
      <c r="AU67" s="1307"/>
      <c r="AV67" s="1307"/>
      <c r="AW67" s="1307"/>
      <c r="AX67" s="1307"/>
      <c r="AY67" s="1307"/>
      <c r="AZ67" s="1307"/>
      <c r="BA67" s="1307"/>
      <c r="BB67" s="1307"/>
      <c r="BC67" s="1307"/>
    </row>
    <row r="68" spans="3:55" x14ac:dyDescent="0.3">
      <c r="C68" s="173"/>
      <c r="D68" s="72"/>
      <c r="E68" s="72"/>
      <c r="F68" s="690" t="s">
        <v>402</v>
      </c>
      <c r="G68" s="72"/>
      <c r="H68" s="690" t="s">
        <v>1074</v>
      </c>
      <c r="I68" s="84"/>
      <c r="J68" s="690" t="s">
        <v>925</v>
      </c>
      <c r="M68" s="72"/>
      <c r="N68" s="72"/>
      <c r="O68" s="72"/>
      <c r="P68" s="72"/>
      <c r="Q68" s="72"/>
      <c r="R68" s="84"/>
      <c r="S68" s="72"/>
      <c r="T68" s="72"/>
      <c r="U68" s="72"/>
      <c r="V68" s="72"/>
      <c r="Y68" s="72"/>
      <c r="Z68" s="72"/>
      <c r="AA68" s="72"/>
      <c r="AB68" s="72"/>
      <c r="AC68" s="72"/>
      <c r="AD68" s="72"/>
      <c r="AE68" s="72"/>
      <c r="AF68" s="72"/>
      <c r="AG68" s="72"/>
      <c r="AH68" s="72"/>
      <c r="AI68" s="72"/>
      <c r="AJ68" s="72"/>
      <c r="AK68" s="72"/>
      <c r="AL68" s="72"/>
      <c r="AM68" s="175"/>
      <c r="AO68" s="1307"/>
      <c r="AP68" s="1307"/>
      <c r="AQ68" s="1307"/>
      <c r="AR68" s="1307"/>
      <c r="AS68" s="1307"/>
      <c r="AT68" s="1307"/>
      <c r="AU68" s="1307"/>
      <c r="AV68" s="1307"/>
      <c r="AW68" s="1307"/>
      <c r="AX68" s="1307"/>
      <c r="AY68" s="1307"/>
      <c r="AZ68" s="1307"/>
      <c r="BA68" s="1307"/>
      <c r="BB68" s="1307"/>
      <c r="BC68" s="1307"/>
    </row>
    <row r="69" spans="3:55" x14ac:dyDescent="0.3">
      <c r="C69" s="173"/>
      <c r="D69" s="72"/>
      <c r="E69" s="208" t="s">
        <v>271</v>
      </c>
      <c r="F69" s="1580"/>
      <c r="G69" s="102"/>
      <c r="H69" s="1580"/>
      <c r="I69" s="1502"/>
      <c r="J69" s="713"/>
      <c r="M69" s="72"/>
      <c r="N69" s="72"/>
      <c r="O69" s="72"/>
      <c r="P69" s="72"/>
      <c r="Q69" s="72"/>
      <c r="R69" s="691"/>
      <c r="T69" s="72"/>
      <c r="U69" s="72"/>
      <c r="V69" s="84"/>
      <c r="W69" s="691" t="s">
        <v>614</v>
      </c>
      <c r="Z69" s="72"/>
      <c r="AA69" s="72"/>
      <c r="AB69" s="72"/>
      <c r="AC69" s="72"/>
      <c r="AD69" s="72"/>
      <c r="AE69" s="72"/>
      <c r="AF69" s="72"/>
      <c r="AG69" s="72"/>
      <c r="AH69" s="72"/>
      <c r="AI69" s="72"/>
      <c r="AJ69" s="72"/>
      <c r="AK69" s="72"/>
      <c r="AL69" s="72"/>
      <c r="AM69" s="175"/>
      <c r="AO69" s="1307"/>
      <c r="AP69" s="1307"/>
      <c r="AQ69" s="1307"/>
      <c r="AR69" s="1307"/>
      <c r="AS69" s="1307"/>
      <c r="AT69" s="1307"/>
      <c r="AU69" s="1307"/>
      <c r="AV69" s="1307"/>
      <c r="AW69" s="1307"/>
      <c r="AX69" s="1307"/>
      <c r="AY69" s="1307"/>
      <c r="AZ69" s="1307"/>
      <c r="BA69" s="1307"/>
      <c r="BB69" s="1307"/>
      <c r="BC69" s="1307"/>
    </row>
    <row r="70" spans="3:55" x14ac:dyDescent="0.3">
      <c r="C70" s="173"/>
      <c r="D70" s="72"/>
      <c r="E70" s="208" t="s">
        <v>611</v>
      </c>
      <c r="F70" s="1410">
        <f>Determination_Lookup!W20</f>
        <v>6.5000000000000002E-2</v>
      </c>
      <c r="G70" s="102"/>
      <c r="H70" s="1410">
        <f>Determination_Lookup!X20</f>
        <v>0.05</v>
      </c>
      <c r="I70" s="1502"/>
      <c r="J70" s="2031">
        <v>0.05</v>
      </c>
      <c r="K70" s="190"/>
      <c r="M70" s="72"/>
      <c r="N70" s="72"/>
      <c r="O70" s="72"/>
      <c r="P70" s="72"/>
      <c r="Q70" s="72"/>
      <c r="R70" s="691"/>
      <c r="T70" s="84"/>
      <c r="U70" s="84"/>
      <c r="V70" s="84"/>
      <c r="W70" s="691" t="s">
        <v>613</v>
      </c>
      <c r="Z70" s="72"/>
      <c r="AA70" s="72"/>
      <c r="AB70" s="72"/>
      <c r="AC70" s="72"/>
      <c r="AD70" s="72"/>
      <c r="AE70" s="72"/>
      <c r="AF70" s="72"/>
      <c r="AG70" s="72"/>
      <c r="AH70" s="72"/>
      <c r="AI70" s="72"/>
      <c r="AJ70" s="72"/>
      <c r="AK70" s="72"/>
      <c r="AL70" s="72"/>
      <c r="AM70" s="175"/>
      <c r="AO70" s="1307"/>
      <c r="AP70" s="1307"/>
      <c r="AQ70" s="1307"/>
      <c r="AR70" s="1307"/>
      <c r="AS70" s="1307"/>
      <c r="AT70" s="1307"/>
      <c r="AU70" s="1307"/>
      <c r="AV70" s="1307"/>
      <c r="AW70" s="1307"/>
      <c r="AX70" s="1307"/>
      <c r="AY70" s="1307"/>
      <c r="AZ70" s="1307"/>
      <c r="BA70" s="1307"/>
      <c r="BB70" s="1307"/>
      <c r="BC70" s="1307"/>
    </row>
    <row r="71" spans="3:55" x14ac:dyDescent="0.3">
      <c r="C71" s="173"/>
      <c r="D71" s="72"/>
      <c r="E71" s="208" t="s">
        <v>612</v>
      </c>
      <c r="F71" s="1581">
        <f>Determination_Lookup!W21</f>
        <v>4.4999999999999998E-2</v>
      </c>
      <c r="G71" s="102"/>
      <c r="H71" s="1581">
        <f>Determination_Lookup!X21</f>
        <v>3.5000000000000003E-2</v>
      </c>
      <c r="I71" s="1502"/>
      <c r="J71" s="2032">
        <v>3.5000000000000003E-2</v>
      </c>
      <c r="M71" s="72"/>
      <c r="N71" s="72"/>
      <c r="O71" s="72"/>
      <c r="P71" s="72"/>
      <c r="Q71" s="72"/>
      <c r="R71" s="691"/>
      <c r="T71" s="72"/>
      <c r="U71" s="72"/>
      <c r="V71" s="72"/>
      <c r="W71" s="691" t="s">
        <v>613</v>
      </c>
      <c r="Z71" s="72"/>
      <c r="AA71" s="72"/>
      <c r="AB71" s="72"/>
      <c r="AC71" s="72"/>
      <c r="AD71" s="72"/>
      <c r="AE71" s="72"/>
      <c r="AF71" s="72"/>
      <c r="AG71" s="72"/>
      <c r="AH71" s="72"/>
      <c r="AI71" s="72"/>
      <c r="AJ71" s="72"/>
      <c r="AK71" s="72"/>
      <c r="AL71" s="72"/>
      <c r="AM71" s="175"/>
      <c r="AO71" s="1307"/>
      <c r="AP71" s="1307"/>
      <c r="AQ71" s="1307"/>
      <c r="AR71" s="1307"/>
      <c r="AS71" s="1307"/>
      <c r="AT71" s="1307"/>
      <c r="AU71" s="1307"/>
      <c r="AV71" s="1307"/>
      <c r="AW71" s="1307"/>
      <c r="AX71" s="1307"/>
      <c r="AY71" s="1307"/>
      <c r="AZ71" s="1307"/>
      <c r="BA71" s="1307"/>
      <c r="BB71" s="1307"/>
      <c r="BC71" s="1307"/>
    </row>
    <row r="72" spans="3:55" x14ac:dyDescent="0.3">
      <c r="C72" s="173"/>
      <c r="D72" s="72"/>
      <c r="E72" s="72"/>
      <c r="F72" s="72"/>
      <c r="G72" s="72"/>
      <c r="H72" s="109"/>
      <c r="I72" s="532"/>
      <c r="J72" s="692"/>
      <c r="K72" s="72"/>
      <c r="L72" s="72"/>
      <c r="M72" s="72"/>
      <c r="N72" s="72"/>
      <c r="O72" s="72"/>
      <c r="P72" s="72"/>
      <c r="Q72" s="72"/>
      <c r="R72" s="84"/>
      <c r="S72" s="72"/>
      <c r="T72" s="72"/>
      <c r="U72" s="72"/>
      <c r="V72" s="72"/>
      <c r="W72" s="72"/>
      <c r="X72" s="72"/>
      <c r="Y72" s="72"/>
      <c r="Z72" s="72"/>
      <c r="AA72" s="72"/>
      <c r="AB72" s="72"/>
      <c r="AC72" s="72"/>
      <c r="AD72" s="72"/>
      <c r="AE72" s="72"/>
      <c r="AF72" s="72"/>
      <c r="AG72" s="72"/>
      <c r="AH72" s="72"/>
      <c r="AI72" s="72"/>
      <c r="AJ72" s="72"/>
      <c r="AK72" s="72"/>
      <c r="AL72" s="72"/>
      <c r="AM72" s="175"/>
      <c r="AO72" s="1307"/>
      <c r="AP72" s="1307"/>
      <c r="AQ72" s="1307"/>
      <c r="AR72" s="1307"/>
      <c r="AS72" s="1307"/>
      <c r="AT72" s="1307"/>
      <c r="AU72" s="1307"/>
      <c r="AV72" s="1307"/>
      <c r="AW72" s="1307"/>
      <c r="AX72" s="1307"/>
      <c r="AY72" s="1307"/>
      <c r="AZ72" s="1307"/>
      <c r="BA72" s="1307"/>
      <c r="BB72" s="1307"/>
      <c r="BC72" s="1307"/>
    </row>
    <row r="73" spans="3:55" ht="12.5" thickBot="1" x14ac:dyDescent="0.35">
      <c r="C73" s="179"/>
      <c r="D73" s="180"/>
      <c r="E73" s="180"/>
      <c r="F73" s="180"/>
      <c r="G73" s="180"/>
      <c r="H73" s="180"/>
      <c r="I73" s="197"/>
      <c r="J73" s="180"/>
      <c r="K73" s="180"/>
      <c r="L73" s="180"/>
      <c r="M73" s="180"/>
      <c r="N73" s="180"/>
      <c r="O73" s="180"/>
      <c r="P73" s="180"/>
      <c r="Q73" s="180"/>
      <c r="R73" s="197"/>
      <c r="S73" s="180"/>
      <c r="T73" s="180"/>
      <c r="U73" s="180"/>
      <c r="V73" s="180"/>
      <c r="W73" s="180"/>
      <c r="X73" s="180"/>
      <c r="Y73" s="180"/>
      <c r="Z73" s="180"/>
      <c r="AA73" s="180"/>
      <c r="AB73" s="180"/>
      <c r="AC73" s="180"/>
      <c r="AD73" s="180"/>
      <c r="AE73" s="180"/>
      <c r="AF73" s="180"/>
      <c r="AG73" s="180"/>
      <c r="AH73" s="180"/>
      <c r="AI73" s="180"/>
      <c r="AJ73" s="180"/>
      <c r="AK73" s="180"/>
      <c r="AL73" s="180"/>
      <c r="AM73" s="182"/>
      <c r="AO73" s="1307"/>
      <c r="AP73" s="1307"/>
      <c r="AQ73" s="1307"/>
      <c r="AR73" s="1307"/>
      <c r="AS73" s="1307"/>
      <c r="AT73" s="1307"/>
      <c r="AU73" s="1307"/>
      <c r="AV73" s="1307"/>
      <c r="AW73" s="1307"/>
      <c r="AX73" s="1307"/>
      <c r="AY73" s="1307"/>
      <c r="AZ73" s="1307"/>
      <c r="BA73" s="1307"/>
      <c r="BB73" s="1307"/>
      <c r="BC73" s="1307"/>
    </row>
    <row r="74" spans="3:55" x14ac:dyDescent="0.3">
      <c r="C74" s="72"/>
      <c r="D74" s="72"/>
      <c r="E74" s="72"/>
      <c r="F74" s="72"/>
      <c r="G74" s="72"/>
      <c r="H74" s="72"/>
      <c r="I74" s="84"/>
      <c r="J74" s="72"/>
      <c r="K74" s="689"/>
      <c r="L74" s="689"/>
      <c r="M74" s="689"/>
      <c r="N74" s="689"/>
      <c r="O74" s="689"/>
      <c r="P74" s="689"/>
      <c r="Q74" s="689"/>
      <c r="R74" s="689"/>
      <c r="S74" s="72"/>
      <c r="T74" s="72"/>
      <c r="U74" s="72"/>
      <c r="V74" s="72"/>
      <c r="W74" s="72"/>
      <c r="X74" s="72"/>
      <c r="Y74" s="72"/>
      <c r="Z74" s="72"/>
      <c r="AA74" s="72"/>
      <c r="AB74" s="72"/>
      <c r="AC74" s="72"/>
      <c r="AD74" s="72"/>
      <c r="AE74" s="72"/>
      <c r="AF74" s="72"/>
      <c r="AG74" s="72"/>
      <c r="AH74" s="72"/>
      <c r="AI74" s="72"/>
      <c r="AJ74" s="72"/>
      <c r="AK74" s="72"/>
      <c r="AL74" s="72"/>
      <c r="AM74" s="72"/>
      <c r="AO74" s="1307"/>
      <c r="AP74" s="1307"/>
      <c r="AQ74" s="1307"/>
      <c r="AR74" s="1307"/>
      <c r="AS74" s="1307"/>
      <c r="AT74" s="1307"/>
      <c r="AU74" s="1307"/>
      <c r="AV74" s="1307"/>
      <c r="AW74" s="1307"/>
      <c r="AX74" s="1307"/>
      <c r="AY74" s="1307"/>
      <c r="AZ74" s="1307"/>
      <c r="BA74" s="1307"/>
      <c r="BB74" s="1307"/>
      <c r="BC74" s="1307"/>
    </row>
    <row r="75" spans="3:55" ht="12.5" thickBot="1" x14ac:dyDescent="0.35">
      <c r="K75" s="684"/>
      <c r="L75" s="684"/>
      <c r="M75" s="684"/>
      <c r="N75" s="684"/>
      <c r="O75" s="684"/>
      <c r="P75" s="684"/>
      <c r="Q75" s="684"/>
      <c r="R75" s="684"/>
      <c r="AO75" s="1307"/>
      <c r="AP75" s="1307"/>
      <c r="AQ75" s="1307"/>
      <c r="AR75" s="1307"/>
      <c r="AS75" s="1307"/>
      <c r="AT75" s="1307"/>
      <c r="AU75" s="1307"/>
      <c r="AV75" s="1307"/>
      <c r="AW75" s="1307"/>
      <c r="AX75" s="1307"/>
      <c r="AY75" s="1307"/>
      <c r="AZ75" s="1307"/>
      <c r="BA75" s="1307"/>
      <c r="BB75" s="1307"/>
      <c r="BC75" s="1307"/>
    </row>
    <row r="76" spans="3:55" x14ac:dyDescent="0.3">
      <c r="C76" s="170"/>
      <c r="D76" s="171"/>
      <c r="E76" s="171"/>
      <c r="F76" s="171"/>
      <c r="G76" s="171"/>
      <c r="H76" s="171"/>
      <c r="I76" s="231"/>
      <c r="J76" s="171"/>
      <c r="K76" s="622"/>
      <c r="L76" s="622"/>
      <c r="M76" s="622"/>
      <c r="N76" s="622"/>
      <c r="O76" s="622"/>
      <c r="P76" s="622"/>
      <c r="Q76" s="655"/>
      <c r="R76" s="655"/>
      <c r="S76" s="655"/>
      <c r="T76" s="622"/>
      <c r="U76" s="622"/>
      <c r="V76" s="622"/>
      <c r="W76" s="622"/>
      <c r="X76" s="622"/>
      <c r="Y76" s="622"/>
      <c r="Z76" s="622"/>
      <c r="AA76" s="622"/>
      <c r="AB76" s="622"/>
      <c r="AC76" s="622"/>
      <c r="AD76" s="622"/>
      <c r="AE76" s="622"/>
      <c r="AF76" s="622"/>
      <c r="AG76" s="622"/>
      <c r="AH76" s="622"/>
      <c r="AI76" s="622"/>
      <c r="AJ76" s="622"/>
      <c r="AK76" s="622"/>
      <c r="AL76" s="622"/>
      <c r="AM76" s="172"/>
      <c r="AO76" s="1307"/>
      <c r="AP76" s="1307"/>
      <c r="AQ76" s="1307"/>
      <c r="AR76" s="1307"/>
      <c r="AS76" s="1307"/>
      <c r="AT76" s="1307"/>
      <c r="AU76" s="1307"/>
      <c r="AV76" s="1307"/>
      <c r="AW76" s="1307"/>
      <c r="AX76" s="1307"/>
      <c r="AY76" s="1307"/>
      <c r="AZ76" s="1307"/>
      <c r="BA76" s="1307"/>
      <c r="BB76" s="1307"/>
      <c r="BC76" s="1307"/>
    </row>
    <row r="77" spans="3:55" x14ac:dyDescent="0.3">
      <c r="C77" s="173"/>
      <c r="D77" s="666" t="s">
        <v>125</v>
      </c>
      <c r="E77" s="72"/>
      <c r="F77" s="72"/>
      <c r="G77" s="72"/>
      <c r="H77" s="72"/>
      <c r="I77" s="84"/>
      <c r="J77" s="72"/>
      <c r="K77" s="178"/>
      <c r="L77" s="178"/>
      <c r="M77" s="178"/>
      <c r="N77" s="178"/>
      <c r="O77" s="178"/>
      <c r="P77" s="178"/>
      <c r="Q77" s="221"/>
      <c r="R77" s="221"/>
      <c r="S77" s="221"/>
      <c r="T77" s="178"/>
      <c r="U77" s="178"/>
      <c r="V77" s="178"/>
      <c r="W77" s="178"/>
      <c r="X77" s="178"/>
      <c r="Y77" s="178"/>
      <c r="Z77" s="178"/>
      <c r="AA77" s="178"/>
      <c r="AB77" s="178"/>
      <c r="AC77" s="178"/>
      <c r="AD77" s="178"/>
      <c r="AE77" s="178"/>
      <c r="AF77" s="178"/>
      <c r="AG77" s="178"/>
      <c r="AH77" s="178"/>
      <c r="AI77" s="178"/>
      <c r="AJ77" s="178"/>
      <c r="AK77" s="178"/>
      <c r="AL77" s="178"/>
      <c r="AM77" s="175"/>
      <c r="AO77" s="1307"/>
      <c r="AP77" s="1307"/>
      <c r="AQ77" s="1307"/>
      <c r="AR77" s="1307"/>
      <c r="AS77" s="1307"/>
      <c r="AT77" s="1307"/>
      <c r="AU77" s="1307"/>
      <c r="AV77" s="1307"/>
      <c r="AW77" s="1307"/>
      <c r="AX77" s="1307"/>
      <c r="AY77" s="1307"/>
      <c r="AZ77" s="1307"/>
      <c r="BA77" s="1307"/>
      <c r="BB77" s="1307"/>
      <c r="BC77" s="1307"/>
    </row>
    <row r="78" spans="3:55" x14ac:dyDescent="0.3">
      <c r="C78" s="173"/>
      <c r="D78" s="226" t="s">
        <v>126</v>
      </c>
      <c r="E78" s="72"/>
      <c r="F78" s="72"/>
      <c r="G78" s="72"/>
      <c r="H78" s="72"/>
      <c r="I78" s="84"/>
      <c r="J78" s="72"/>
      <c r="K78" s="72"/>
      <c r="L78" s="178"/>
      <c r="M78" s="72"/>
      <c r="N78" s="72"/>
      <c r="O78" s="72"/>
      <c r="P78" s="72"/>
      <c r="Q78" s="84"/>
      <c r="R78" s="84"/>
      <c r="S78" s="84"/>
      <c r="T78" s="72"/>
      <c r="U78" s="72"/>
      <c r="V78" s="72"/>
      <c r="W78" s="72"/>
      <c r="X78" s="72"/>
      <c r="Y78" s="72"/>
      <c r="Z78" s="72"/>
      <c r="AA78" s="72"/>
      <c r="AB78" s="72"/>
      <c r="AC78" s="72"/>
      <c r="AD78" s="72"/>
      <c r="AE78" s="72"/>
      <c r="AF78" s="72"/>
      <c r="AG78" s="72"/>
      <c r="AH78" s="72"/>
      <c r="AI78" s="72"/>
      <c r="AJ78" s="72"/>
      <c r="AK78" s="72"/>
      <c r="AL78" s="72"/>
      <c r="AM78" s="175"/>
      <c r="AO78" s="1307"/>
      <c r="AP78" s="1307"/>
      <c r="AQ78" s="1307"/>
      <c r="AR78" s="1307"/>
      <c r="AS78" s="1307"/>
      <c r="AT78" s="1307"/>
      <c r="AU78" s="1307"/>
      <c r="AV78" s="1307"/>
      <c r="AW78" s="1307"/>
      <c r="AX78" s="1307"/>
      <c r="AY78" s="1307"/>
      <c r="AZ78" s="1307"/>
      <c r="BA78" s="1307"/>
      <c r="BB78" s="1307"/>
      <c r="BC78" s="1307"/>
    </row>
    <row r="79" spans="3:55" x14ac:dyDescent="0.3">
      <c r="C79" s="173"/>
      <c r="D79" s="72"/>
      <c r="E79" s="72"/>
      <c r="F79" s="1585" t="str">
        <f>F$68</f>
        <v>RP3</v>
      </c>
      <c r="G79" s="72"/>
      <c r="H79" s="1585" t="str">
        <f>H$68</f>
        <v>RP4</v>
      </c>
      <c r="J79" s="1585" t="str">
        <f>J$68</f>
        <v>RP5</v>
      </c>
      <c r="K79" s="72"/>
      <c r="L79" s="178"/>
      <c r="M79" s="462"/>
      <c r="N79" s="462"/>
      <c r="O79" s="462"/>
      <c r="P79" s="462"/>
      <c r="Q79" s="275"/>
      <c r="R79" s="84"/>
      <c r="S79" s="275"/>
      <c r="T79" s="462"/>
      <c r="U79" s="462"/>
      <c r="V79" s="462"/>
      <c r="W79" s="462"/>
      <c r="Y79" s="462"/>
      <c r="Z79" s="462"/>
      <c r="AA79" s="462"/>
      <c r="AB79" s="462"/>
      <c r="AC79" s="462"/>
      <c r="AD79" s="462"/>
      <c r="AE79" s="462"/>
      <c r="AF79" s="462"/>
      <c r="AG79" s="462"/>
      <c r="AH79" s="462"/>
      <c r="AI79" s="462"/>
      <c r="AJ79" s="462"/>
      <c r="AK79" s="462"/>
      <c r="AL79" s="462"/>
      <c r="AM79" s="175"/>
      <c r="AO79" s="1307"/>
      <c r="AP79" s="1307"/>
      <c r="AQ79" s="1307"/>
      <c r="AR79" s="1307"/>
      <c r="AS79" s="1307"/>
      <c r="AT79" s="1307"/>
      <c r="AU79" s="1307"/>
      <c r="AV79" s="1307"/>
      <c r="AW79" s="1307"/>
      <c r="AX79" s="1307"/>
      <c r="AY79" s="1307"/>
      <c r="AZ79" s="1307"/>
      <c r="BA79" s="1307"/>
      <c r="BB79" s="1307"/>
      <c r="BC79" s="1307"/>
    </row>
    <row r="80" spans="3:55" x14ac:dyDescent="0.3">
      <c r="C80" s="173"/>
      <c r="D80" s="72"/>
      <c r="E80" s="208" t="s">
        <v>271</v>
      </c>
      <c r="F80" s="1578">
        <f>F69</f>
        <v>0</v>
      </c>
      <c r="H80" s="1578">
        <f>H69</f>
        <v>0</v>
      </c>
      <c r="J80" s="1578">
        <f>J69</f>
        <v>0</v>
      </c>
      <c r="K80" s="462"/>
      <c r="L80" s="178"/>
      <c r="M80" s="462"/>
      <c r="N80" s="462"/>
      <c r="O80" s="462"/>
      <c r="P80" s="462"/>
      <c r="Q80" s="275"/>
      <c r="R80" s="84"/>
      <c r="S80" s="275"/>
      <c r="T80" s="462"/>
      <c r="U80" s="462"/>
      <c r="V80" s="462"/>
      <c r="W80" s="462"/>
      <c r="Y80" s="462"/>
      <c r="Z80" s="462"/>
      <c r="AA80" s="462"/>
      <c r="AB80" s="462"/>
      <c r="AC80" s="462"/>
      <c r="AD80" s="462"/>
      <c r="AE80" s="462"/>
      <c r="AF80" s="462"/>
      <c r="AG80" s="462"/>
      <c r="AH80" s="462"/>
      <c r="AI80" s="462"/>
      <c r="AJ80" s="462"/>
      <c r="AK80" s="462"/>
      <c r="AL80" s="462"/>
      <c r="AM80" s="175"/>
      <c r="AO80" s="1307"/>
      <c r="AP80" s="1307"/>
      <c r="AQ80" s="1307"/>
      <c r="AR80" s="1307"/>
      <c r="AS80" s="1307"/>
      <c r="AT80" s="1307"/>
      <c r="AU80" s="1307"/>
      <c r="AV80" s="1307"/>
      <c r="AW80" s="1307"/>
      <c r="AX80" s="1307"/>
      <c r="AY80" s="1307"/>
      <c r="AZ80" s="1307"/>
      <c r="BA80" s="1307"/>
      <c r="BB80" s="1307"/>
      <c r="BC80" s="1307"/>
    </row>
    <row r="81" spans="3:55" x14ac:dyDescent="0.3">
      <c r="C81" s="173"/>
      <c r="D81" s="72"/>
      <c r="E81" s="72"/>
      <c r="F81" s="72"/>
      <c r="G81" s="72"/>
      <c r="H81" s="72"/>
      <c r="I81" s="84"/>
      <c r="J81" s="462"/>
      <c r="K81" s="462"/>
      <c r="L81" s="462"/>
      <c r="M81" s="462"/>
      <c r="N81" s="462"/>
      <c r="O81" s="462"/>
      <c r="P81" s="462"/>
      <c r="Q81" s="275"/>
      <c r="R81" s="84"/>
      <c r="S81" s="84"/>
      <c r="T81" s="84"/>
      <c r="U81" s="84"/>
      <c r="V81" s="84"/>
      <c r="W81" s="462"/>
      <c r="X81" s="462"/>
      <c r="Y81" s="462"/>
      <c r="Z81" s="462"/>
      <c r="AA81" s="462"/>
      <c r="AB81" s="462"/>
      <c r="AC81" s="462"/>
      <c r="AD81" s="462"/>
      <c r="AE81" s="462"/>
      <c r="AF81" s="462"/>
      <c r="AG81" s="462"/>
      <c r="AH81" s="462"/>
      <c r="AI81" s="462"/>
      <c r="AJ81" s="462"/>
      <c r="AK81" s="462"/>
      <c r="AL81" s="462"/>
      <c r="AM81" s="175"/>
      <c r="AO81" s="1307"/>
      <c r="AP81" s="1307"/>
      <c r="AQ81" s="1307"/>
      <c r="AR81" s="1307"/>
      <c r="AS81" s="1307"/>
      <c r="AT81" s="1307"/>
      <c r="AU81" s="1307"/>
      <c r="AV81" s="1307"/>
      <c r="AW81" s="1307"/>
      <c r="AX81" s="1307"/>
      <c r="AY81" s="1307"/>
      <c r="AZ81" s="1307"/>
      <c r="BA81" s="1307"/>
      <c r="BB81" s="1307"/>
      <c r="BC81" s="1307"/>
    </row>
    <row r="82" spans="3:55" x14ac:dyDescent="0.3">
      <c r="C82" s="173"/>
      <c r="D82" s="72"/>
      <c r="E82" s="105" t="s">
        <v>127</v>
      </c>
      <c r="F82" s="72"/>
      <c r="G82" s="72"/>
      <c r="H82" s="72"/>
      <c r="I82" s="84"/>
      <c r="J82" s="462"/>
      <c r="K82" s="265"/>
      <c r="L82" s="265"/>
      <c r="M82" s="265"/>
      <c r="N82" s="265"/>
      <c r="O82" s="265"/>
      <c r="P82" s="265"/>
      <c r="Q82" s="77"/>
      <c r="R82" s="84"/>
      <c r="S82" s="84"/>
      <c r="T82" s="84"/>
      <c r="U82" s="84"/>
      <c r="V82" s="84"/>
      <c r="W82" s="265"/>
      <c r="X82" s="265"/>
      <c r="Y82" s="265"/>
      <c r="Z82" s="265"/>
      <c r="AA82" s="265"/>
      <c r="AB82" s="265"/>
      <c r="AC82" s="265"/>
      <c r="AD82" s="265"/>
      <c r="AE82" s="265"/>
      <c r="AF82" s="265"/>
      <c r="AG82" s="265"/>
      <c r="AH82" s="265"/>
      <c r="AI82" s="265"/>
      <c r="AJ82" s="265"/>
      <c r="AK82" s="265"/>
      <c r="AL82" s="265"/>
      <c r="AM82" s="660"/>
      <c r="AO82" s="1307"/>
      <c r="AP82" s="1307"/>
      <c r="AQ82" s="1307"/>
      <c r="AR82" s="1307"/>
      <c r="AS82" s="1307"/>
      <c r="AT82" s="1307"/>
      <c r="AU82" s="1307"/>
      <c r="AV82" s="1307"/>
      <c r="AW82" s="1307"/>
      <c r="AX82" s="1307"/>
      <c r="AY82" s="1307"/>
      <c r="AZ82" s="1307"/>
      <c r="BA82" s="1307"/>
      <c r="BB82" s="1307"/>
      <c r="BC82" s="1307"/>
    </row>
    <row r="83" spans="3:55" x14ac:dyDescent="0.3">
      <c r="C83" s="173"/>
      <c r="D83" s="72"/>
      <c r="E83" s="693" t="s">
        <v>218</v>
      </c>
      <c r="G83" s="72"/>
      <c r="H83" s="72"/>
      <c r="I83" s="84"/>
      <c r="J83" s="462"/>
      <c r="K83" s="265"/>
      <c r="L83" s="265"/>
      <c r="M83" s="265"/>
      <c r="N83" s="265"/>
      <c r="O83" s="265"/>
      <c r="P83" s="265"/>
      <c r="Q83" s="77"/>
      <c r="R83" s="84"/>
      <c r="S83" s="84"/>
      <c r="T83" s="84"/>
      <c r="U83" s="84"/>
      <c r="V83" s="84"/>
      <c r="W83" s="1527">
        <f>+IF(KeyAssumptionsPriceControl_FO!$I$48=1,(RevenuePriceCap_FO!W17+RevenuePriceCap_FO!W15)*'Rev&amp;RAV_FO'!W85,(RevenueTariffBasket_FO!W17+RevenueTariffBasket_FO!W15)*'Rev&amp;RAV_FO'!W85)</f>
        <v>82.169127114079743</v>
      </c>
      <c r="X83" s="1527">
        <f>+IF(KeyAssumptionsPriceControl_FO!$I$48=1,(RevenuePriceCap_FO!X17+RevenuePriceCap_FO!X15)*'Rev&amp;RAV_FO'!X85,(RevenueTariffBasket_FO!X17+RevenueTariffBasket_FO!X15)*'Rev&amp;RAV_FO'!X85)</f>
        <v>85.885608173134699</v>
      </c>
      <c r="Y83" s="1527">
        <f>+IF(KeyAssumptionsPriceControl_FO!$I$48=1,(RevenuePriceCap_FO!Y17+RevenuePriceCap_FO!Y15)*'Rev&amp;RAV_FO'!Y85,(RevenueTariffBasket_FO!Y17+RevenueTariffBasket_FO!Y15)*'Rev&amp;RAV_FO'!Y85)</f>
        <v>86.065441362532098</v>
      </c>
      <c r="Z83" s="1527">
        <f>+IF(KeyAssumptionsPriceControl_FO!$I$48=1,(RevenuePriceCap_FO!Z17+RevenuePriceCap_FO!Z15)*'Rev&amp;RAV_FO'!Z85,(RevenueTariffBasket_FO!Z17+RevenueTariffBasket_FO!Z15)*'Rev&amp;RAV_FO'!Z85)</f>
        <v>88.994747670894739</v>
      </c>
      <c r="AA83" s="1527">
        <f>+IF(KeyAssumptionsPriceControl_FO!$I$48=1,(RevenuePriceCap_FO!AA17+RevenuePriceCap_FO!AA15)*'Rev&amp;RAV_FO'!AA85,(RevenueTariffBasket_FO!AA17+RevenueTariffBasket_FO!AA15)*'Rev&amp;RAV_FO'!AA85)</f>
        <v>91.184265547170497</v>
      </c>
      <c r="AB83" s="1527">
        <f>+IF(KeyAssumptionsPriceControl_FO!$I$48=1,(RevenuePriceCap_FO!AB17+RevenuePriceCap_FO!AB15)*'Rev&amp;RAV_FO'!AB85,(RevenueTariffBasket_FO!AB17+RevenueTariffBasket_FO!AB15)*'Rev&amp;RAV_FO'!AB85)</f>
        <v>100.81581395191769</v>
      </c>
      <c r="AC83" s="1527">
        <f>+IF(KeyAssumptionsPriceControl_FO!$I$48=1,(RevenuePriceCap_FO!AC17+RevenuePriceCap_FO!AC15)*'Rev&amp;RAV_FO'!AC85,(RevenueTariffBasket_FO!AC17+RevenueTariffBasket_FO!AC15)*'Rev&amp;RAV_FO'!AC85)</f>
        <v>107.54155120184726</v>
      </c>
      <c r="AD83" s="1527">
        <f>+IF(KeyAssumptionsPriceControl_FO!$I$48=1,(RevenuePriceCap_FO!AD17+RevenuePriceCap_FO!AD15)*'Rev&amp;RAV_FO'!AD85,(RevenueTariffBasket_FO!AD17+RevenueTariffBasket_FO!AD15)*'Rev&amp;RAV_FO'!AD85)</f>
        <v>114.09105306104472</v>
      </c>
      <c r="AE83" s="1527">
        <f>+IF(KeyAssumptionsPriceControl_FO!$I$48=1,(RevenuePriceCap_FO!AE17+RevenuePriceCap_FO!AE15)*'Rev&amp;RAV_FO'!AE85,(RevenueTariffBasket_FO!AE17+RevenueTariffBasket_FO!AE15)*'Rev&amp;RAV_FO'!AE85)</f>
        <v>121.08887348822337</v>
      </c>
      <c r="AF83" s="1527">
        <f>+IF(KeyAssumptionsPriceControl_FO!$I$48=1,(RevenuePriceCap_FO!AF17+RevenuePriceCap_FO!AF15)*'Rev&amp;RAV_FO'!AF85,(RevenueTariffBasket_FO!AF17+RevenueTariffBasket_FO!AF15)*'Rev&amp;RAV_FO'!AF85)</f>
        <v>128.51884646180207</v>
      </c>
      <c r="AG83" s="1527">
        <f>+IF(KeyAssumptionsPriceControl_FO!$I$48=1,(RevenuePriceCap_FO!AG17+RevenuePriceCap_FO!AG15)*'Rev&amp;RAV_FO'!AG85,(RevenueTariffBasket_FO!AG17+RevenueTariffBasket_FO!AG15)*'Rev&amp;RAV_FO'!AG85)</f>
        <v>136.15831645085956</v>
      </c>
      <c r="AH83" s="1527">
        <f>+IF(KeyAssumptionsPriceControl_FO!$I$48=1,(RevenuePriceCap_FO!AH17+RevenuePriceCap_FO!AH15)*'Rev&amp;RAV_FO'!AH85,(RevenueTariffBasket_FO!AH17+RevenueTariffBasket_FO!AH15)*'Rev&amp;RAV_FO'!AH85)</f>
        <v>143.48118358954432</v>
      </c>
      <c r="AI83" s="1527">
        <f>+IF(KeyAssumptionsPriceControl_FO!$I$48=1,(RevenuePriceCap_FO!AI17+RevenuePriceCap_FO!AI15)*'Rev&amp;RAV_FO'!AI85,(RevenueTariffBasket_FO!AI17+RevenueTariffBasket_FO!AI15)*'Rev&amp;RAV_FO'!AI85)</f>
        <v>152.04432538014279</v>
      </c>
      <c r="AJ83" s="1527">
        <f>+IF(KeyAssumptionsPriceControl_FO!$I$48=1,(RevenuePriceCap_FO!AJ17+RevenuePriceCap_FO!AJ15)*'Rev&amp;RAV_FO'!AJ85,(RevenueTariffBasket_FO!AJ17+RevenueTariffBasket_FO!AJ15)*'Rev&amp;RAV_FO'!AJ85)</f>
        <v>161.12379204516751</v>
      </c>
      <c r="AK83" s="1527">
        <f>+IF(KeyAssumptionsPriceControl_FO!$I$48=1,(RevenuePriceCap_FO!AK17+RevenuePriceCap_FO!AK15)*'Rev&amp;RAV_FO'!AK85,(RevenueTariffBasket_FO!AK17+RevenueTariffBasket_FO!AK15)*'Rev&amp;RAV_FO'!AK85)</f>
        <v>170.75097135510975</v>
      </c>
      <c r="AL83" s="1527">
        <f>+IF(KeyAssumptionsPriceControl_FO!$I$48=1,(RevenuePriceCap_FO!AL17+RevenuePriceCap_FO!AL15)*'Rev&amp;RAV_FO'!AL85,(RevenueTariffBasket_FO!AL17+RevenueTariffBasket_FO!AL15)*'Rev&amp;RAV_FO'!AL85)</f>
        <v>180.9591717665574</v>
      </c>
      <c r="AM83" s="660"/>
      <c r="AO83" s="1307"/>
      <c r="AP83" s="1307"/>
      <c r="AQ83" s="1307"/>
      <c r="AR83" s="1307"/>
      <c r="AS83" s="1307"/>
      <c r="AT83" s="1307"/>
      <c r="AU83" s="1307"/>
      <c r="AV83" s="1307"/>
      <c r="AW83" s="1307"/>
      <c r="AX83" s="1307"/>
      <c r="AY83" s="1307"/>
      <c r="AZ83" s="1307"/>
      <c r="BA83" s="1307"/>
      <c r="BB83" s="1307"/>
      <c r="BC83" s="1307"/>
    </row>
    <row r="84" spans="3:55" x14ac:dyDescent="0.3">
      <c r="C84" s="173"/>
      <c r="D84" s="72"/>
      <c r="E84" s="693" t="s">
        <v>128</v>
      </c>
      <c r="G84" s="72"/>
      <c r="H84" s="72"/>
      <c r="I84" s="84"/>
      <c r="J84" s="462"/>
      <c r="K84" s="265"/>
      <c r="L84" s="265"/>
      <c r="M84" s="265"/>
      <c r="N84" s="265"/>
      <c r="O84" s="265"/>
      <c r="P84" s="265"/>
      <c r="Q84" s="77"/>
      <c r="R84" s="84"/>
      <c r="S84" s="84"/>
      <c r="T84" s="84"/>
      <c r="U84" s="84"/>
      <c r="V84" s="84"/>
      <c r="W84" s="1527">
        <f>+IF(KeyAssumptionsPriceControl_FO!$I$48=1,RevenuePriceCap_FO!W15,RevenueTariffBasket_FO!W15)*'Rev&amp;RAV_FO'!W85</f>
        <v>0</v>
      </c>
      <c r="X84" s="1527">
        <f>+IF(KeyAssumptionsPriceControl_FO!$I$48=1,RevenuePriceCap_FO!X15,RevenueTariffBasket_FO!X15)*'Rev&amp;RAV_FO'!X85</f>
        <v>0</v>
      </c>
      <c r="Y84" s="1527">
        <f>+IF(KeyAssumptionsPriceControl_FO!$I$48=1,RevenuePriceCap_FO!Y15,RevenueTariffBasket_FO!Y15)*'Rev&amp;RAV_FO'!Y85</f>
        <v>0</v>
      </c>
      <c r="Z84" s="1527">
        <f>+IF(KeyAssumptionsPriceControl_FO!$I$48=1,RevenuePriceCap_FO!Z15,RevenueTariffBasket_FO!Z15)*'Rev&amp;RAV_FO'!Z85</f>
        <v>0</v>
      </c>
      <c r="AA84" s="1527">
        <f>+IF(KeyAssumptionsPriceControl_FO!$I$48=1,RevenuePriceCap_FO!AA15,RevenueTariffBasket_FO!AA15)*'Rev&amp;RAV_FO'!AA85</f>
        <v>0</v>
      </c>
      <c r="AB84" s="1527">
        <f>+IF(KeyAssumptionsPriceControl_FO!$I$48=1,RevenuePriceCap_FO!AB15,RevenueTariffBasket_FO!AB15)*'Rev&amp;RAV_FO'!AB85</f>
        <v>0</v>
      </c>
      <c r="AC84" s="1527">
        <f>+IF(KeyAssumptionsPriceControl_FO!$I$48=1,RevenuePriceCap_FO!AC15,RevenueTariffBasket_FO!AC15)*'Rev&amp;RAV_FO'!AC85</f>
        <v>1.03</v>
      </c>
      <c r="AD84" s="1527">
        <f>+IF(KeyAssumptionsPriceControl_FO!$I$48=1,RevenuePriceCap_FO!AD15,RevenueTariffBasket_FO!AD15)*'Rev&amp;RAV_FO'!AD85</f>
        <v>1.0609</v>
      </c>
      <c r="AE84" s="1527">
        <f>+IF(KeyAssumptionsPriceControl_FO!$I$48=1,RevenuePriceCap_FO!AE15,RevenueTariffBasket_FO!AE15)*'Rev&amp;RAV_FO'!AE85</f>
        <v>1.092727</v>
      </c>
      <c r="AF84" s="1527">
        <f>+IF(KeyAssumptionsPriceControl_FO!$I$48=1,RevenuePriceCap_FO!AF15,RevenueTariffBasket_FO!AF15)*'Rev&amp;RAV_FO'!AF85</f>
        <v>1.1255088100000001</v>
      </c>
      <c r="AG84" s="1527">
        <f>+IF(KeyAssumptionsPriceControl_FO!$I$48=1,RevenuePriceCap_FO!AG15,RevenueTariffBasket_FO!AG15)*'Rev&amp;RAV_FO'!AG85</f>
        <v>1.1592740743000001</v>
      </c>
      <c r="AH84" s="1527">
        <f>+IF(KeyAssumptionsPriceControl_FO!$I$48=1,RevenuePriceCap_FO!AH15,RevenueTariffBasket_FO!AH15)*'Rev&amp;RAV_FO'!AH85</f>
        <v>0.59702614826450007</v>
      </c>
      <c r="AI84" s="1527">
        <f>+IF(KeyAssumptionsPriceControl_FO!$I$48=1,RevenuePriceCap_FO!AI15,RevenueTariffBasket_FO!AI15)*'Rev&amp;RAV_FO'!AI85</f>
        <v>0.6149369327124351</v>
      </c>
      <c r="AJ84" s="1527">
        <f>+IF(KeyAssumptionsPriceControl_FO!$I$48=1,RevenuePriceCap_FO!AJ15,RevenueTariffBasket_FO!AJ15)*'Rev&amp;RAV_FO'!AJ85</f>
        <v>0.63338504069380819</v>
      </c>
      <c r="AK84" s="1527">
        <f>+IF(KeyAssumptionsPriceControl_FO!$I$48=1,RevenuePriceCap_FO!AK15,RevenueTariffBasket_FO!AK15)*'Rev&amp;RAV_FO'!AK85</f>
        <v>0.65238659191462245</v>
      </c>
      <c r="AL84" s="1527">
        <f>+IF(KeyAssumptionsPriceControl_FO!$I$48=1,RevenuePriceCap_FO!AL15,RevenueTariffBasket_FO!AL15)*'Rev&amp;RAV_FO'!AL85</f>
        <v>0.67195818967206111</v>
      </c>
      <c r="AM84" s="660"/>
      <c r="AO84" s="1307"/>
      <c r="AP84" s="1307"/>
      <c r="AQ84" s="1307"/>
      <c r="AR84" s="1307"/>
      <c r="AS84" s="1307"/>
      <c r="AT84" s="1307"/>
      <c r="AU84" s="1307"/>
      <c r="AV84" s="1307"/>
      <c r="AW84" s="1307"/>
      <c r="AX84" s="1307"/>
      <c r="AY84" s="1307"/>
      <c r="AZ84" s="1307"/>
      <c r="BA84" s="1307"/>
      <c r="BB84" s="1307"/>
      <c r="BC84" s="1307"/>
    </row>
    <row r="85" spans="3:55" x14ac:dyDescent="0.3">
      <c r="C85" s="173"/>
      <c r="D85" s="72"/>
      <c r="E85" s="693" t="s">
        <v>129</v>
      </c>
      <c r="G85" s="72"/>
      <c r="H85" s="72"/>
      <c r="I85" s="84"/>
      <c r="J85" s="462"/>
      <c r="K85" s="265"/>
      <c r="L85" s="265"/>
      <c r="M85" s="265"/>
      <c r="N85" s="265"/>
      <c r="O85" s="265"/>
      <c r="P85" s="265"/>
      <c r="Q85" s="77"/>
      <c r="R85" s="84"/>
      <c r="S85" s="84"/>
      <c r="T85" s="84"/>
      <c r="U85" s="84"/>
      <c r="V85" s="84"/>
      <c r="W85" s="1527">
        <f ca="1">+(ExpSummary_FO!W24+NotPres_FO!W21)*'Rev&amp;RAV_FO'!W85</f>
        <v>9.9760000000000009</v>
      </c>
      <c r="X85" s="1527">
        <f ca="1">+(ExpSummary_FO!X24+NotPres_FO!X21)*'Rev&amp;RAV_FO'!X85</f>
        <v>15.003233460000001</v>
      </c>
      <c r="Y85" s="1527">
        <f ca="1">+(ExpSummary_FO!Y24+NotPres_FO!Y21)*'Rev&amp;RAV_FO'!Y85</f>
        <v>14.540203060000001</v>
      </c>
      <c r="Z85" s="1527">
        <f ca="1">+(ExpSummary_FO!Z24+NotPres_FO!Z21)*'Rev&amp;RAV_FO'!Z85</f>
        <v>21.887</v>
      </c>
      <c r="AA85" s="1527">
        <f ca="1">+(ExpSummary_FO!AA24+NotPres_FO!AA21)*'Rev&amp;RAV_FO'!AA85</f>
        <v>22.352333387650091</v>
      </c>
      <c r="AB85" s="1527">
        <f ca="1">+(ExpSummary_FO!AB24+NotPres_FO!AB21)*'Rev&amp;RAV_FO'!AB85</f>
        <v>23.724755282418528</v>
      </c>
      <c r="AC85" s="1527">
        <f ca="1">+(ExpSummary_FO!AC24+NotPres_FO!AC21)*'Rev&amp;RAV_FO'!AC85</f>
        <v>26.677</v>
      </c>
      <c r="AD85" s="1527">
        <f ca="1">+(ExpSummary_FO!AD24+NotPres_FO!AD21)*'Rev&amp;RAV_FO'!AD85</f>
        <v>27.752083099999997</v>
      </c>
      <c r="AE85" s="1527">
        <f ca="1">+(ExpSummary_FO!AE24+NotPres_FO!AE21)*'Rev&amp;RAV_FO'!AE85</f>
        <v>28.87049204893</v>
      </c>
      <c r="AF85" s="1527">
        <f ca="1">+(ExpSummary_FO!AF24+NotPres_FO!AF21)*'Rev&amp;RAV_FO'!AF85</f>
        <v>30.033972878501885</v>
      </c>
      <c r="AG85" s="1527">
        <f ca="1">+(ExpSummary_FO!AG24+NotPres_FO!AG21)*'Rev&amp;RAV_FO'!AG85</f>
        <v>31.244341985505507</v>
      </c>
      <c r="AH85" s="1527">
        <f ca="1">+(ExpSummary_FO!AH24+NotPres_FO!AH21)*'Rev&amp;RAV_FO'!AH85</f>
        <v>32.503488967521378</v>
      </c>
      <c r="AI85" s="1527">
        <f ca="1">+(ExpSummary_FO!AI24+NotPres_FO!AI21)*'Rev&amp;RAV_FO'!AI85</f>
        <v>33.813379572912496</v>
      </c>
      <c r="AJ85" s="1527">
        <f ca="1">+(ExpSummary_FO!AJ24+NotPres_FO!AJ21)*'Rev&amp;RAV_FO'!AJ85</f>
        <v>35.176058769700873</v>
      </c>
      <c r="AK85" s="1527">
        <f ca="1">+(ExpSummary_FO!AK24+NotPres_FO!AK21)*'Rev&amp;RAV_FO'!AK85</f>
        <v>36.593653938119814</v>
      </c>
      <c r="AL85" s="1527">
        <f ca="1">+(ExpSummary_FO!AL24+NotPres_FO!AL21)*'Rev&amp;RAV_FO'!AL85</f>
        <v>38.068378191826042</v>
      </c>
      <c r="AM85" s="660"/>
      <c r="AO85" s="1307"/>
      <c r="AP85" s="1307"/>
      <c r="AQ85" s="1307"/>
      <c r="AR85" s="1307"/>
      <c r="AS85" s="1307"/>
      <c r="AT85" s="1307"/>
      <c r="AU85" s="1307"/>
      <c r="AV85" s="1307"/>
      <c r="AW85" s="1307"/>
      <c r="AX85" s="1307"/>
      <c r="AY85" s="1307"/>
      <c r="AZ85" s="1307"/>
      <c r="BA85" s="1307"/>
      <c r="BB85" s="1307"/>
      <c r="BC85" s="1307"/>
    </row>
    <row r="86" spans="3:55" x14ac:dyDescent="0.3">
      <c r="C86" s="173"/>
      <c r="D86" s="72"/>
      <c r="E86" s="693" t="s">
        <v>130</v>
      </c>
      <c r="G86" s="72"/>
      <c r="H86" s="72"/>
      <c r="I86" s="84"/>
      <c r="J86" s="462"/>
      <c r="K86" s="265"/>
      <c r="L86" s="265"/>
      <c r="M86" s="265"/>
      <c r="N86" s="265"/>
      <c r="O86" s="265"/>
      <c r="P86" s="265"/>
      <c r="Q86" s="77"/>
      <c r="R86" s="84"/>
      <c r="S86" s="84"/>
      <c r="T86" s="84"/>
      <c r="U86" s="84"/>
      <c r="V86" s="84"/>
      <c r="W86" s="1527">
        <f ca="1">+(ExpSummary_FO!W21+NotPres_FO!W18)*'Rev&amp;RAV_FO'!W85</f>
        <v>1.6850000000000001</v>
      </c>
      <c r="X86" s="1527">
        <f ca="1">+(ExpSummary_FO!X21+NotPres_FO!X18)*'Rev&amp;RAV_FO'!X85</f>
        <v>1.8568371300000002</v>
      </c>
      <c r="Y86" s="1527">
        <f ca="1">+(ExpSummary_FO!Y21+NotPres_FO!Y18)*'Rev&amp;RAV_FO'!Y85</f>
        <v>3.0440700699999996</v>
      </c>
      <c r="Z86" s="1527">
        <f ca="1">+(ExpSummary_FO!Z21+NotPres_FO!Z18)*'Rev&amp;RAV_FO'!Z85</f>
        <v>3.4869999999999997</v>
      </c>
      <c r="AA86" s="1527">
        <f ca="1">+(ExpSummary_FO!AA21+NotPres_FO!AA18)*'Rev&amp;RAV_FO'!AA85</f>
        <v>3.9014527845036318</v>
      </c>
      <c r="AB86" s="1527">
        <f ca="1">+(ExpSummary_FO!AB21+NotPres_FO!AB18)*'Rev&amp;RAV_FO'!AB85</f>
        <v>4.141</v>
      </c>
      <c r="AC86" s="1527">
        <f ca="1">+(ExpSummary_FO!AC21+NotPres_FO!AC18)*'Rev&amp;RAV_FO'!AC85</f>
        <v>4.6452999999999998</v>
      </c>
      <c r="AD86" s="1527">
        <f ca="1">+(ExpSummary_FO!AD21+NotPres_FO!AD18)*'Rev&amp;RAV_FO'!AD85</f>
        <v>6.5245350000000002</v>
      </c>
      <c r="AE86" s="1527">
        <f ca="1">+(ExpSummary_FO!AE21+NotPres_FO!AE18)*'Rev&amp;RAV_FO'!AE85</f>
        <v>8.6434705699999999</v>
      </c>
      <c r="AF86" s="1527">
        <f ca="1">+(ExpSummary_FO!AF21+NotPres_FO!AF18)*'Rev&amp;RAV_FO'!AF85</f>
        <v>11.097516866600001</v>
      </c>
      <c r="AG86" s="1527">
        <f ca="1">+(ExpSummary_FO!AG21+NotPres_FO!AG18)*'Rev&amp;RAV_FO'!AG85</f>
        <v>14.096772743488001</v>
      </c>
      <c r="AH86" s="1527">
        <f ca="1">+(ExpSummary_FO!AH21+NotPres_FO!AH18)*'Rev&amp;RAV_FO'!AH85</f>
        <v>21.015320418910402</v>
      </c>
      <c r="AI86" s="1527">
        <f ca="1">+(ExpSummary_FO!AI21+NotPres_FO!AI18)*'Rev&amp;RAV_FO'!AI85</f>
        <v>21.645780031477717</v>
      </c>
      <c r="AJ86" s="1527">
        <f ca="1">+(ExpSummary_FO!AJ21+NotPres_FO!AJ18)*'Rev&amp;RAV_FO'!AJ85</f>
        <v>22.295153432422051</v>
      </c>
      <c r="AK86" s="1527">
        <f ca="1">+(ExpSummary_FO!AK21+NotPres_FO!AK18)*'Rev&amp;RAV_FO'!AK85</f>
        <v>22.964008035394713</v>
      </c>
      <c r="AL86" s="1527">
        <f ca="1">+(ExpSummary_FO!AL21+NotPres_FO!AL18)*'Rev&amp;RAV_FO'!AL85</f>
        <v>23.652928276456553</v>
      </c>
      <c r="AM86" s="660"/>
      <c r="AO86" s="1307"/>
      <c r="AP86" s="1307"/>
      <c r="AQ86" s="1307"/>
      <c r="AR86" s="1307"/>
      <c r="AS86" s="1307"/>
      <c r="AT86" s="1307"/>
      <c r="AU86" s="1307"/>
      <c r="AV86" s="1307"/>
      <c r="AW86" s="1307"/>
      <c r="AX86" s="1307"/>
      <c r="AY86" s="1307"/>
      <c r="AZ86" s="1307"/>
      <c r="BA86" s="1307"/>
      <c r="BB86" s="1307"/>
      <c r="BC86" s="1307"/>
    </row>
    <row r="87" spans="3:55" x14ac:dyDescent="0.3">
      <c r="C87" s="173"/>
      <c r="D87" s="72"/>
      <c r="E87" s="693" t="s">
        <v>131</v>
      </c>
      <c r="G87" s="72"/>
      <c r="H87" s="72"/>
      <c r="I87" s="84"/>
      <c r="J87" s="462"/>
      <c r="K87" s="265"/>
      <c r="L87" s="265"/>
      <c r="M87" s="265"/>
      <c r="N87" s="265"/>
      <c r="O87" s="265"/>
      <c r="P87" s="265"/>
      <c r="Q87" s="77"/>
      <c r="R87" s="84"/>
      <c r="S87" s="84"/>
      <c r="T87" s="84"/>
      <c r="U87" s="84"/>
      <c r="V87" s="84"/>
      <c r="W87" s="1527">
        <f ca="1">+(ExpSummary_FO!W20+NotPres_FO!W17)*'Rev&amp;RAV_FO'!W85</f>
        <v>0</v>
      </c>
      <c r="X87" s="1527">
        <f ca="1">+(ExpSummary_FO!X20+NotPres_FO!X17)*'Rev&amp;RAV_FO'!X85</f>
        <v>0</v>
      </c>
      <c r="Y87" s="1527">
        <f ca="1">+(ExpSummary_FO!Y20+NotPres_FO!Y17)*'Rev&amp;RAV_FO'!Y85</f>
        <v>0</v>
      </c>
      <c r="Z87" s="1527">
        <f ca="1">+(ExpSummary_FO!Z20+NotPres_FO!Z17)*'Rev&amp;RAV_FO'!Z85</f>
        <v>0.41147949999999994</v>
      </c>
      <c r="AA87" s="1527">
        <f ca="1">+(ExpSummary_FO!AA20+NotPres_FO!AA17)*'Rev&amp;RAV_FO'!AA85</f>
        <v>0.42022785060463125</v>
      </c>
      <c r="AB87" s="1527">
        <f ca="1">+(ExpSummary_FO!AB20+NotPres_FO!AB17)*'Rev&amp;RAV_FO'!AB85</f>
        <v>0.44602962677534302</v>
      </c>
      <c r="AC87" s="1527">
        <f ca="1">+(ExpSummary_FO!AC20+NotPres_FO!AC17)*'Rev&amp;RAV_FO'!AC85</f>
        <v>0</v>
      </c>
      <c r="AD87" s="1527">
        <f ca="1">+(ExpSummary_FO!AD20+NotPres_FO!AD17)*'Rev&amp;RAV_FO'!AD85</f>
        <v>0</v>
      </c>
      <c r="AE87" s="1527">
        <f ca="1">+(ExpSummary_FO!AE20+NotPres_FO!AE17)*'Rev&amp;RAV_FO'!AE85</f>
        <v>0</v>
      </c>
      <c r="AF87" s="1527">
        <f ca="1">+(ExpSummary_FO!AF20+NotPres_FO!AF17)*'Rev&amp;RAV_FO'!AF85</f>
        <v>0</v>
      </c>
      <c r="AG87" s="1527">
        <f ca="1">+(ExpSummary_FO!AG20+NotPres_FO!AG17)*'Rev&amp;RAV_FO'!AG85</f>
        <v>0</v>
      </c>
      <c r="AH87" s="1527">
        <f ca="1">+(ExpSummary_FO!AH20+NotPres_FO!AH17)*'Rev&amp;RAV_FO'!AH85</f>
        <v>0</v>
      </c>
      <c r="AI87" s="1527">
        <f ca="1">+(ExpSummary_FO!AI20+NotPres_FO!AI17)*'Rev&amp;RAV_FO'!AI85</f>
        <v>0</v>
      </c>
      <c r="AJ87" s="1527">
        <f ca="1">+(ExpSummary_FO!AJ20+NotPres_FO!AJ17)*'Rev&amp;RAV_FO'!AJ85</f>
        <v>0</v>
      </c>
      <c r="AK87" s="1527">
        <f ca="1">+(ExpSummary_FO!AK20+NotPres_FO!AK17)*'Rev&amp;RAV_FO'!AK85</f>
        <v>0</v>
      </c>
      <c r="AL87" s="1527">
        <f ca="1">+(ExpSummary_FO!AL20+NotPres_FO!AL17)*'Rev&amp;RAV_FO'!AL85</f>
        <v>0</v>
      </c>
      <c r="AM87" s="660"/>
      <c r="AO87" s="1307"/>
      <c r="AP87" s="1307"/>
      <c r="AQ87" s="1307"/>
      <c r="AR87" s="1307"/>
      <c r="AS87" s="1307"/>
      <c r="AT87" s="1307"/>
      <c r="AU87" s="1307"/>
      <c r="AV87" s="1307"/>
      <c r="AW87" s="1307"/>
      <c r="AX87" s="1307"/>
      <c r="AY87" s="1307"/>
      <c r="AZ87" s="1307"/>
      <c r="BA87" s="1307"/>
      <c r="BB87" s="1307"/>
      <c r="BC87" s="1307"/>
    </row>
    <row r="88" spans="3:55" x14ac:dyDescent="0.3">
      <c r="C88" s="173"/>
      <c r="D88" s="72"/>
      <c r="E88" s="693" t="s">
        <v>132</v>
      </c>
      <c r="G88" s="72"/>
      <c r="H88" s="72"/>
      <c r="I88" s="84"/>
      <c r="J88" s="462"/>
      <c r="K88" s="265"/>
      <c r="L88" s="265"/>
      <c r="M88" s="265"/>
      <c r="N88" s="265"/>
      <c r="O88" s="265"/>
      <c r="P88" s="265"/>
      <c r="Q88" s="77"/>
      <c r="R88" s="84"/>
      <c r="S88" s="84"/>
      <c r="T88" s="84"/>
      <c r="U88" s="84"/>
      <c r="V88" s="84"/>
      <c r="W88" s="1527">
        <f t="shared" ref="W88:AB88" si="12">+W189</f>
        <v>0.29852499999999998</v>
      </c>
      <c r="X88" s="1527">
        <f t="shared" ca="1" si="12"/>
        <v>0.53437999999999997</v>
      </c>
      <c r="Y88" s="1527">
        <f t="shared" ca="1" si="12"/>
        <v>0.25541000000000003</v>
      </c>
      <c r="Z88" s="1527">
        <f t="shared" ca="1" si="12"/>
        <v>0.61129500000000003</v>
      </c>
      <c r="AA88" s="1527">
        <f t="shared" ca="1" si="12"/>
        <v>0.62057094601200691</v>
      </c>
      <c r="AB88" s="1527">
        <f t="shared" ca="1" si="12"/>
        <v>0.64792877534348203</v>
      </c>
      <c r="AC88" s="1527">
        <f t="shared" ref="AC88:AL88" ca="1" si="13">+AC189</f>
        <v>0.66698780498982435</v>
      </c>
      <c r="AD88" s="1527">
        <f t="shared" ca="1" si="13"/>
        <v>0.68681491353091428</v>
      </c>
      <c r="AE88" s="1527">
        <f t="shared" ca="1" si="13"/>
        <v>0.70744105454621009</v>
      </c>
      <c r="AF88" s="1527">
        <f t="shared" ca="1" si="13"/>
        <v>0.72889842904442237</v>
      </c>
      <c r="AG88" s="1527">
        <f t="shared" ca="1" si="13"/>
        <v>0.75122053573491243</v>
      </c>
      <c r="AH88" s="1527">
        <f t="shared" ca="1" si="13"/>
        <v>0.77444222332502943</v>
      </c>
      <c r="AI88" s="1527">
        <f t="shared" ca="1" si="13"/>
        <v>0.79859974492502817</v>
      </c>
      <c r="AJ88" s="1527">
        <f t="shared" ca="1" si="13"/>
        <v>0.82373081464550679</v>
      </c>
      <c r="AK88" s="1527">
        <f t="shared" ca="1" si="13"/>
        <v>0.84987466647572074</v>
      </c>
      <c r="AL88" s="1527">
        <f t="shared" ca="1" si="13"/>
        <v>0.87707211553469222</v>
      </c>
      <c r="AM88" s="660"/>
      <c r="AO88" s="1307"/>
      <c r="AP88" s="1307"/>
      <c r="AQ88" s="1307"/>
      <c r="AR88" s="1307"/>
      <c r="AS88" s="1307"/>
      <c r="AT88" s="1307"/>
      <c r="AU88" s="1307"/>
      <c r="AV88" s="1307"/>
      <c r="AW88" s="1307"/>
      <c r="AX88" s="1307"/>
      <c r="AY88" s="1307"/>
      <c r="AZ88" s="1307"/>
      <c r="BA88" s="1307"/>
      <c r="BB88" s="1307"/>
      <c r="BC88" s="1307"/>
    </row>
    <row r="89" spans="3:55" x14ac:dyDescent="0.3">
      <c r="C89" s="173"/>
      <c r="D89" s="72"/>
      <c r="E89" s="693" t="s">
        <v>133</v>
      </c>
      <c r="G89" s="72"/>
      <c r="H89" s="72"/>
      <c r="I89" s="84"/>
      <c r="J89" s="462"/>
      <c r="K89" s="265"/>
      <c r="L89" s="265"/>
      <c r="M89" s="265"/>
      <c r="N89" s="265"/>
      <c r="O89" s="265"/>
      <c r="P89" s="265"/>
      <c r="Q89" s="77"/>
      <c r="R89" s="84"/>
      <c r="S89" s="84"/>
      <c r="T89" s="84"/>
      <c r="U89" s="84"/>
      <c r="V89" s="84"/>
      <c r="W89" s="1527">
        <f ca="1">+(ExpSummary_FO!W25+NotPres_FO!W22)*'Rev&amp;RAV_FO'!W85</f>
        <v>0.29199999999999998</v>
      </c>
      <c r="X89" s="1527">
        <f ca="1">+(ExpSummary_FO!X25+NotPres_FO!X22)*'Rev&amp;RAV_FO'!X85</f>
        <v>0.51800000000000002</v>
      </c>
      <c r="Y89" s="1527">
        <f ca="1">+(ExpSummary_FO!Y25+NotPres_FO!Y22)*'Rev&amp;RAV_FO'!Y85</f>
        <v>0.20233479000000001</v>
      </c>
      <c r="Z89" s="1527">
        <f ca="1">+(ExpSummary_FO!Z25+NotPres_FO!Z22)*'Rev&amp;RAV_FO'!Z85</f>
        <v>0.57500000000000007</v>
      </c>
      <c r="AA89" s="1527">
        <f ca="1">+(ExpSummary_FO!AA25+NotPres_FO!AA22)*'Rev&amp;RAV_FO'!AA85</f>
        <v>0.58722491423670675</v>
      </c>
      <c r="AB89" s="1527">
        <f ca="1">+(ExpSummary_FO!AB25+NotPres_FO!AB22)*'Rev&amp;RAV_FO'!AB85</f>
        <v>0.623280225128645</v>
      </c>
      <c r="AC89" s="1527">
        <f ca="1">+(ExpSummary_FO!AC25+NotPres_FO!AC22)*'Rev&amp;RAV_FO'!AC85</f>
        <v>0.41200000000000003</v>
      </c>
      <c r="AD89" s="1527">
        <f ca="1">+(ExpSummary_FO!AD25+NotPres_FO!AD22)*'Rev&amp;RAV_FO'!AD85</f>
        <v>0.42860360000000003</v>
      </c>
      <c r="AE89" s="1527">
        <f ca="1">+(ExpSummary_FO!AE25+NotPres_FO!AE22)*'Rev&amp;RAV_FO'!AE85</f>
        <v>0.44587632508000002</v>
      </c>
      <c r="AF89" s="1527">
        <f ca="1">+(ExpSummary_FO!AF25+NotPres_FO!AF22)*'Rev&amp;RAV_FO'!AF85</f>
        <v>0.46384514098072405</v>
      </c>
      <c r="AG89" s="1527">
        <f ca="1">+(ExpSummary_FO!AG25+NotPres_FO!AG22)*'Rev&amp;RAV_FO'!AG85</f>
        <v>0.48253810016224719</v>
      </c>
      <c r="AH89" s="1527">
        <f ca="1">+(ExpSummary_FO!AH25+NotPres_FO!AH22)*'Rev&amp;RAV_FO'!AH85</f>
        <v>0.50198438559878578</v>
      </c>
      <c r="AI89" s="1527">
        <f ca="1">+(ExpSummary_FO!AI25+NotPres_FO!AI22)*'Rev&amp;RAV_FO'!AI85</f>
        <v>0.52221435633841684</v>
      </c>
      <c r="AJ89" s="1527">
        <f ca="1">+(ExpSummary_FO!AJ25+NotPres_FO!AJ22)*'Rev&amp;RAV_FO'!AJ85</f>
        <v>0.54325959489885511</v>
      </c>
      <c r="AK89" s="1527">
        <f ca="1">+(ExpSummary_FO!AK25+NotPres_FO!AK22)*'Rev&amp;RAV_FO'!AK85</f>
        <v>0.56515295657327902</v>
      </c>
      <c r="AL89" s="1527">
        <f ca="1">+(ExpSummary_FO!AL25+NotPres_FO!AL22)*'Rev&amp;RAV_FO'!AL85</f>
        <v>0.58792862072318208</v>
      </c>
      <c r="AM89" s="660"/>
      <c r="AO89" s="1307"/>
      <c r="AP89" s="1307"/>
      <c r="AQ89" s="1307"/>
      <c r="AR89" s="1307"/>
      <c r="AS89" s="1307"/>
      <c r="AT89" s="1307"/>
      <c r="AU89" s="1307"/>
      <c r="AV89" s="1307"/>
      <c r="AW89" s="1307"/>
      <c r="AX89" s="1307"/>
      <c r="AY89" s="1307"/>
      <c r="AZ89" s="1307"/>
      <c r="BA89" s="1307"/>
      <c r="BB89" s="1307"/>
      <c r="BC89" s="1307"/>
    </row>
    <row r="90" spans="3:55" x14ac:dyDescent="0.3">
      <c r="C90" s="173"/>
      <c r="D90" s="72"/>
      <c r="E90" s="693" t="s">
        <v>230</v>
      </c>
      <c r="G90" s="72"/>
      <c r="H90" s="72"/>
      <c r="I90" s="84"/>
      <c r="J90" s="462"/>
      <c r="K90" s="265"/>
      <c r="L90" s="265"/>
      <c r="M90" s="265"/>
      <c r="N90" s="265"/>
      <c r="O90" s="265"/>
      <c r="P90" s="265"/>
      <c r="Q90" s="77"/>
      <c r="R90" s="84"/>
      <c r="S90" s="84"/>
      <c r="T90" s="84"/>
      <c r="U90" s="84"/>
      <c r="V90" s="84"/>
      <c r="W90" s="1527">
        <f ca="1">+NotPres_FO!W12*'Rev&amp;RAV_FO'!W85</f>
        <v>4.1135719176755456</v>
      </c>
      <c r="X90" s="1527">
        <f ca="1">+NotPres_FO!X12*'Rev&amp;RAV_FO'!X85</f>
        <v>5.5511330934400966</v>
      </c>
      <c r="Y90" s="1527">
        <f ca="1">+NotPres_FO!Y12*'Rev&amp;RAV_FO'!Y85</f>
        <v>8.0131438643281587</v>
      </c>
      <c r="Z90" s="1527">
        <f ca="1">+NotPres_FO!Z12*'Rev&amp;RAV_FO'!Z85</f>
        <v>3.5370648107338258</v>
      </c>
      <c r="AA90" s="1527">
        <f ca="1">+NotPres_FO!AA12*'Rev&amp;RAV_FO'!AA85</f>
        <v>3.6122653567527725</v>
      </c>
      <c r="AB90" s="1527">
        <f ca="1">+NotPres_FO!AB12*'Rev&amp;RAV_FO'!AB85</f>
        <v>3.8340566113544119</v>
      </c>
      <c r="AC90" s="1527">
        <f ca="1">+NotPres_FO!AC12*'Rev&amp;RAV_FO'!AC85</f>
        <v>3.988569092791995</v>
      </c>
      <c r="AD90" s="1527">
        <f ca="1">+NotPres_FO!AD12*'Rev&amp;RAV_FO'!AD85</f>
        <v>4.1493084272315119</v>
      </c>
      <c r="AE90" s="1527">
        <f ca="1">+NotPres_FO!AE12*'Rev&amp;RAV_FO'!AE85</f>
        <v>4.3165255568489425</v>
      </c>
      <c r="AF90" s="1527">
        <f ca="1">+NotPres_FO!AF12*'Rev&amp;RAV_FO'!AF85</f>
        <v>4.4904815367899555</v>
      </c>
      <c r="AG90" s="1527">
        <f ca="1">+NotPres_FO!AG12*'Rev&amp;RAV_FO'!AG85</f>
        <v>4.6714479427225903</v>
      </c>
      <c r="AH90" s="1527">
        <f ca="1">+NotPres_FO!AH12*'Rev&amp;RAV_FO'!AH85</f>
        <v>4.859707294814311</v>
      </c>
      <c r="AI90" s="1527">
        <f ca="1">+NotPres_FO!AI12*'Rev&amp;RAV_FO'!AI85</f>
        <v>5.0555534987953283</v>
      </c>
      <c r="AJ90" s="1527">
        <f ca="1">+NotPres_FO!AJ12*'Rev&amp;RAV_FO'!AJ85</f>
        <v>5.2592923047967801</v>
      </c>
      <c r="AK90" s="1527">
        <f ca="1">+NotPres_FO!AK12*'Rev&amp;RAV_FO'!AK85</f>
        <v>5.4712417846800907</v>
      </c>
      <c r="AL90" s="1527">
        <f ca="1">+NotPres_FO!AL12*'Rev&amp;RAV_FO'!AL85</f>
        <v>5.6917328286026976</v>
      </c>
      <c r="AM90" s="660"/>
      <c r="AO90" s="1307"/>
      <c r="AP90" s="1307"/>
      <c r="AQ90" s="1307"/>
      <c r="AR90" s="1307"/>
      <c r="AS90" s="1307"/>
      <c r="AT90" s="1307"/>
      <c r="AU90" s="1307"/>
      <c r="AV90" s="1307"/>
      <c r="AW90" s="1307"/>
      <c r="AX90" s="1307"/>
      <c r="AY90" s="1307"/>
      <c r="AZ90" s="1307"/>
      <c r="BA90" s="1307"/>
      <c r="BB90" s="1307"/>
      <c r="BC90" s="1307"/>
    </row>
    <row r="91" spans="3:55" ht="13.5" x14ac:dyDescent="0.3">
      <c r="C91" s="173"/>
      <c r="D91" s="72"/>
      <c r="E91" s="117" t="s">
        <v>590</v>
      </c>
      <c r="G91" s="72"/>
      <c r="H91" s="72"/>
      <c r="I91" s="84"/>
      <c r="J91" s="462"/>
      <c r="K91" s="265"/>
      <c r="L91" s="265"/>
      <c r="M91" s="265"/>
      <c r="N91" s="265"/>
      <c r="O91" s="265"/>
      <c r="P91" s="265"/>
      <c r="Q91" s="77"/>
      <c r="R91" s="84"/>
      <c r="S91" s="84"/>
      <c r="T91" s="84"/>
      <c r="U91" s="84"/>
      <c r="V91" s="84"/>
      <c r="W91" s="1527">
        <f t="shared" ref="W91:AG91" si="14">+W20</f>
        <v>0</v>
      </c>
      <c r="X91" s="1527">
        <f t="shared" si="14"/>
        <v>0</v>
      </c>
      <c r="Y91" s="1527">
        <f t="shared" si="14"/>
        <v>0</v>
      </c>
      <c r="Z91" s="1527">
        <f t="shared" si="14"/>
        <v>0</v>
      </c>
      <c r="AA91" s="1527">
        <f t="shared" si="14"/>
        <v>0</v>
      </c>
      <c r="AB91" s="1527">
        <f t="shared" si="14"/>
        <v>0</v>
      </c>
      <c r="AC91" s="1527">
        <f t="shared" si="14"/>
        <v>0</v>
      </c>
      <c r="AD91" s="1527">
        <f t="shared" si="14"/>
        <v>0</v>
      </c>
      <c r="AE91" s="1527">
        <f t="shared" si="14"/>
        <v>0</v>
      </c>
      <c r="AF91" s="1527">
        <f t="shared" si="14"/>
        <v>0</v>
      </c>
      <c r="AG91" s="1527">
        <f t="shared" si="14"/>
        <v>0</v>
      </c>
      <c r="AH91" s="1527">
        <f>+AH20</f>
        <v>0</v>
      </c>
      <c r="AI91" s="1527">
        <f>+AI20</f>
        <v>0</v>
      </c>
      <c r="AJ91" s="1527">
        <f>+AJ20</f>
        <v>0</v>
      </c>
      <c r="AK91" s="1527">
        <f>+AK20</f>
        <v>0</v>
      </c>
      <c r="AL91" s="1527">
        <f>+AL20</f>
        <v>0</v>
      </c>
      <c r="AM91" s="660"/>
      <c r="AO91" s="1307"/>
      <c r="AP91" s="1307"/>
      <c r="AQ91" s="1307"/>
      <c r="AR91" s="1307"/>
      <c r="AS91" s="1307"/>
      <c r="AT91" s="1307"/>
      <c r="AU91" s="1307"/>
      <c r="AV91" s="1307"/>
      <c r="AW91" s="1307"/>
      <c r="AX91" s="1307"/>
      <c r="AY91" s="1307"/>
      <c r="AZ91" s="1307"/>
      <c r="BA91" s="1307"/>
      <c r="BB91" s="1307"/>
      <c r="BC91" s="1307"/>
    </row>
    <row r="92" spans="3:55" x14ac:dyDescent="0.3">
      <c r="C92" s="173"/>
      <c r="D92" s="72"/>
      <c r="E92" s="105" t="s">
        <v>206</v>
      </c>
      <c r="F92" s="72"/>
      <c r="G92" s="72"/>
      <c r="H92" s="72"/>
      <c r="I92" s="84"/>
      <c r="J92" s="462"/>
      <c r="K92" s="265"/>
      <c r="L92" s="265"/>
      <c r="M92" s="265"/>
      <c r="N92" s="265"/>
      <c r="O92" s="265"/>
      <c r="P92" s="265"/>
      <c r="Q92" s="77"/>
      <c r="R92" s="84"/>
      <c r="S92" s="84"/>
      <c r="T92" s="84"/>
      <c r="U92" s="84"/>
      <c r="V92" s="84"/>
      <c r="W92" s="1586">
        <f t="shared" ref="W92:AG92" ca="1" si="15">+(W83-W84)+SUM(W85:W91)</f>
        <v>98.534224031755286</v>
      </c>
      <c r="X92" s="1586">
        <f t="shared" ca="1" si="15"/>
        <v>109.34919185657479</v>
      </c>
      <c r="Y92" s="1586">
        <f t="shared" ca="1" si="15"/>
        <v>112.12060314686025</v>
      </c>
      <c r="Z92" s="1586">
        <f t="shared" ca="1" si="15"/>
        <v>119.50358698162856</v>
      </c>
      <c r="AA92" s="1586">
        <f t="shared" ca="1" si="15"/>
        <v>122.67834078693033</v>
      </c>
      <c r="AB92" s="1586">
        <f t="shared" ca="1" si="15"/>
        <v>134.2328644729381</v>
      </c>
      <c r="AC92" s="1586">
        <f t="shared" ca="1" si="15"/>
        <v>142.90140809962907</v>
      </c>
      <c r="AD92" s="1586">
        <f t="shared" ca="1" si="15"/>
        <v>152.57149810180715</v>
      </c>
      <c r="AE92" s="1586">
        <f t="shared" ca="1" si="15"/>
        <v>162.97995204362854</v>
      </c>
      <c r="AF92" s="1586">
        <f t="shared" ca="1" si="15"/>
        <v>174.20805250371905</v>
      </c>
      <c r="AG92" s="1586">
        <f t="shared" ca="1" si="15"/>
        <v>186.24536368417284</v>
      </c>
      <c r="AH92" s="1586">
        <f ca="1">+(AH83-AH84)+SUM(AH85:AH91)</f>
        <v>202.53910073144974</v>
      </c>
      <c r="AI92" s="1586">
        <f ca="1">+(AI83-AI84)+SUM(AI85:AI91)</f>
        <v>213.26491565187933</v>
      </c>
      <c r="AJ92" s="1586">
        <f ca="1">+(AJ83-AJ84)+SUM(AJ85:AJ91)</f>
        <v>224.58790192093778</v>
      </c>
      <c r="AK92" s="1586">
        <f ca="1">+(AK83-AK84)+SUM(AK85:AK91)</f>
        <v>236.54251614443876</v>
      </c>
      <c r="AL92" s="1586">
        <f ca="1">+(AL83-AL84)+SUM(AL85:AL91)</f>
        <v>249.16525361002851</v>
      </c>
      <c r="AM92" s="660"/>
      <c r="AO92" s="1307"/>
      <c r="AP92" s="1307"/>
      <c r="AQ92" s="1307"/>
      <c r="AR92" s="1307"/>
      <c r="AS92" s="1307"/>
      <c r="AT92" s="1307"/>
      <c r="AU92" s="1307"/>
      <c r="AV92" s="1307"/>
      <c r="AW92" s="1307"/>
      <c r="AX92" s="1307"/>
      <c r="AY92" s="1307"/>
      <c r="AZ92" s="1307"/>
      <c r="BA92" s="1307"/>
      <c r="BB92" s="1307"/>
      <c r="BC92" s="1307"/>
    </row>
    <row r="93" spans="3:55" x14ac:dyDescent="0.3">
      <c r="C93" s="173"/>
      <c r="D93" s="72"/>
      <c r="E93" s="105"/>
      <c r="F93" s="72"/>
      <c r="G93" s="72"/>
      <c r="H93" s="72"/>
      <c r="I93" s="84"/>
      <c r="J93" s="462"/>
      <c r="K93" s="265"/>
      <c r="L93" s="265"/>
      <c r="M93" s="265"/>
      <c r="N93" s="265"/>
      <c r="O93" s="265"/>
      <c r="P93" s="265"/>
      <c r="Q93" s="77"/>
      <c r="R93" s="84"/>
      <c r="S93" s="84"/>
      <c r="T93" s="84"/>
      <c r="U93" s="84"/>
      <c r="V93" s="84"/>
      <c r="W93" s="315"/>
      <c r="X93" s="315"/>
      <c r="Y93" s="275"/>
      <c r="Z93" s="275"/>
      <c r="AA93" s="275"/>
      <c r="AB93" s="275"/>
      <c r="AC93" s="275"/>
      <c r="AD93" s="275"/>
      <c r="AE93" s="275"/>
      <c r="AF93" s="275"/>
      <c r="AG93" s="275"/>
      <c r="AH93" s="275"/>
      <c r="AI93" s="275"/>
      <c r="AJ93" s="275"/>
      <c r="AK93" s="275"/>
      <c r="AL93" s="275"/>
      <c r="AM93" s="660"/>
      <c r="AO93" s="1307"/>
      <c r="AP93" s="1307"/>
      <c r="AQ93" s="1307"/>
      <c r="AR93" s="1307"/>
      <c r="AS93" s="1307"/>
      <c r="AT93" s="1307"/>
      <c r="AU93" s="1307"/>
      <c r="AV93" s="1307"/>
      <c r="AW93" s="1307"/>
      <c r="AX93" s="1307"/>
      <c r="AY93" s="1307"/>
      <c r="AZ93" s="1307"/>
      <c r="BA93" s="1307"/>
      <c r="BB93" s="1307"/>
      <c r="BC93" s="1307"/>
    </row>
    <row r="94" spans="3:55" x14ac:dyDescent="0.3">
      <c r="C94" s="173"/>
      <c r="D94" s="72"/>
      <c r="E94" s="105" t="s">
        <v>134</v>
      </c>
      <c r="F94" s="72"/>
      <c r="G94" s="72"/>
      <c r="H94" s="72"/>
      <c r="I94" s="84"/>
      <c r="J94" s="462"/>
      <c r="K94" s="265"/>
      <c r="L94" s="265"/>
      <c r="M94" s="265"/>
      <c r="N94" s="265"/>
      <c r="O94" s="265"/>
      <c r="P94" s="265"/>
      <c r="Q94" s="77"/>
      <c r="R94" s="84"/>
      <c r="S94" s="84"/>
      <c r="T94" s="84"/>
      <c r="U94" s="84"/>
      <c r="V94" s="84"/>
      <c r="W94" s="315"/>
      <c r="X94" s="315"/>
      <c r="Y94" s="275"/>
      <c r="Z94" s="275"/>
      <c r="AA94" s="275"/>
      <c r="AB94" s="275"/>
      <c r="AC94" s="275"/>
      <c r="AD94" s="275"/>
      <c r="AE94" s="275"/>
      <c r="AF94" s="275"/>
      <c r="AG94" s="275"/>
      <c r="AH94" s="275"/>
      <c r="AI94" s="275"/>
      <c r="AJ94" s="275"/>
      <c r="AK94" s="275"/>
      <c r="AL94" s="275"/>
      <c r="AM94" s="660"/>
      <c r="AO94" s="1307"/>
      <c r="AP94" s="1307"/>
      <c r="AQ94" s="1307"/>
      <c r="AR94" s="1307"/>
      <c r="AS94" s="1307"/>
      <c r="AT94" s="1307"/>
      <c r="AU94" s="1307"/>
      <c r="AV94" s="1307"/>
      <c r="AW94" s="1307"/>
      <c r="AX94" s="1307"/>
      <c r="AY94" s="1307"/>
      <c r="AZ94" s="1307"/>
      <c r="BA94" s="1307"/>
      <c r="BB94" s="1307"/>
      <c r="BC94" s="1307"/>
    </row>
    <row r="95" spans="3:55" x14ac:dyDescent="0.3">
      <c r="C95" s="173"/>
      <c r="D95" s="72"/>
      <c r="E95" s="693" t="s">
        <v>231</v>
      </c>
      <c r="G95" s="72"/>
      <c r="H95" s="72"/>
      <c r="I95" s="84"/>
      <c r="J95" s="462"/>
      <c r="K95" s="265"/>
      <c r="L95" s="265"/>
      <c r="M95" s="265"/>
      <c r="N95" s="265"/>
      <c r="O95" s="265"/>
      <c r="P95" s="265"/>
      <c r="Q95" s="77"/>
      <c r="R95" s="84"/>
      <c r="S95" s="84"/>
      <c r="T95" s="84"/>
      <c r="U95" s="84"/>
      <c r="V95" s="84"/>
      <c r="W95" s="1527">
        <f>+ExpSummary_FO!W15*'Rev&amp;RAV_FO'!W85</f>
        <v>55.529999999999994</v>
      </c>
      <c r="X95" s="1527">
        <f>+ExpSummary_FO!X15*'Rev&amp;RAV_FO'!X85</f>
        <v>62.248051449198776</v>
      </c>
      <c r="Y95" s="1527">
        <f>+ExpSummary_FO!Y15*'Rev&amp;RAV_FO'!Y85</f>
        <v>61.157523430000005</v>
      </c>
      <c r="Z95" s="1527">
        <f>+ExpSummary_FO!Z15*'Rev&amp;RAV_FO'!Z85</f>
        <v>60.134</v>
      </c>
      <c r="AA95" s="1527">
        <f>+ExpSummary_FO!AA15*'Rev&amp;RAV_FO'!AA85</f>
        <v>67.163136289999969</v>
      </c>
      <c r="AB95" s="1527">
        <f>+ExpSummary_FO!AB15*'Rev&amp;RAV_FO'!AB85</f>
        <v>71.243257038247776</v>
      </c>
      <c r="AC95" s="1527">
        <f>+ExpSummary_FO!AC15*'Rev&amp;RAV_FO'!AC85</f>
        <v>74.334553933068662</v>
      </c>
      <c r="AD95" s="1527">
        <f>+ExpSummary_FO!AD15*'Rev&amp;RAV_FO'!AD85</f>
        <v>78.930375620606355</v>
      </c>
      <c r="AE95" s="1527">
        <f>+ExpSummary_FO!AE15*'Rev&amp;RAV_FO'!AE85</f>
        <v>82.709772882478703</v>
      </c>
      <c r="AF95" s="1527">
        <f>+ExpSummary_FO!AF15*'Rev&amp;RAV_FO'!AF85</f>
        <v>85.516319187751591</v>
      </c>
      <c r="AG95" s="1527">
        <f>+ExpSummary_FO!AG15*'Rev&amp;RAV_FO'!AG85</f>
        <v>89.277874705189149</v>
      </c>
      <c r="AH95" s="1527">
        <f>+ExpSummary_FO!AH15*'Rev&amp;RAV_FO'!AH85</f>
        <v>90.116499189094526</v>
      </c>
      <c r="AI95" s="1527">
        <f>+ExpSummary_FO!AI15*'Rev&amp;RAV_FO'!AI85</f>
        <v>93.718109820126813</v>
      </c>
      <c r="AJ95" s="1527">
        <f>+ExpSummary_FO!AJ15*'Rev&amp;RAV_FO'!AJ85</f>
        <v>97.469945692413077</v>
      </c>
      <c r="AK95" s="1527">
        <f>+ExpSummary_FO!AK15*'Rev&amp;RAV_FO'!AK85</f>
        <v>101.37834249694144</v>
      </c>
      <c r="AL95" s="1527">
        <f>+ExpSummary_FO!AL15*'Rev&amp;RAV_FO'!AL85</f>
        <v>105.44990393110508</v>
      </c>
      <c r="AM95" s="660"/>
      <c r="AO95" s="1307"/>
      <c r="AP95" s="1307"/>
      <c r="AQ95" s="1307"/>
      <c r="AR95" s="1307"/>
      <c r="AS95" s="1307"/>
      <c r="AT95" s="1307"/>
      <c r="AU95" s="1307"/>
      <c r="AV95" s="1307"/>
      <c r="AW95" s="1307"/>
      <c r="AX95" s="1307"/>
      <c r="AY95" s="1307"/>
      <c r="AZ95" s="1307"/>
      <c r="BA95" s="1307"/>
      <c r="BB95" s="1307"/>
      <c r="BC95" s="1307"/>
    </row>
    <row r="96" spans="3:55" x14ac:dyDescent="0.3">
      <c r="C96" s="173"/>
      <c r="D96" s="72"/>
      <c r="E96" s="693" t="s">
        <v>232</v>
      </c>
      <c r="G96" s="72"/>
      <c r="H96" s="72"/>
      <c r="I96" s="84"/>
      <c r="J96" s="462"/>
      <c r="K96" s="265"/>
      <c r="L96" s="265"/>
      <c r="M96" s="265"/>
      <c r="N96" s="265"/>
      <c r="O96" s="265"/>
      <c r="P96" s="265"/>
      <c r="Q96" s="77"/>
      <c r="R96" s="84"/>
      <c r="S96" s="84"/>
      <c r="T96" s="84"/>
      <c r="U96" s="84"/>
      <c r="V96" s="84"/>
      <c r="W96" s="1527">
        <f ca="1">+NotPres_FO!W14*'Rev&amp;RAV_FO'!W85</f>
        <v>0.97932935593220349</v>
      </c>
      <c r="X96" s="1527">
        <f ca="1">+NotPres_FO!X14*'Rev&amp;RAV_FO'!X85</f>
        <v>0.99980448041440673</v>
      </c>
      <c r="Y96" s="1527">
        <f ca="1">+NotPres_FO!Y14*'Rev&amp;RAV_FO'!Y85</f>
        <v>1.5922242417702421</v>
      </c>
      <c r="Z96" s="1527">
        <f ca="1">+NotPres_FO!Z14*'Rev&amp;RAV_FO'!Z85</f>
        <v>1.6169606925435829</v>
      </c>
      <c r="AA96" s="1527">
        <f ca="1">+NotPres_FO!AA14*'Rev&amp;RAV_FO'!AA85</f>
        <v>1.6513384417444026</v>
      </c>
      <c r="AB96" s="1527">
        <f ca="1">+NotPres_FO!AB14*'Rev&amp;RAV_FO'!AB85</f>
        <v>1.7527297816917116</v>
      </c>
      <c r="AC96" s="1527">
        <f ca="1">+NotPres_FO!AC14*'Rev&amp;RAV_FO'!AC85</f>
        <v>1.8233647918938878</v>
      </c>
      <c r="AD96" s="1527">
        <f ca="1">+NotPres_FO!AD14*'Rev&amp;RAV_FO'!AD85</f>
        <v>1.8968463930072113</v>
      </c>
      <c r="AE96" s="1527">
        <f ca="1">+NotPres_FO!AE14*'Rev&amp;RAV_FO'!AE85</f>
        <v>1.9732893026454021</v>
      </c>
      <c r="AF96" s="1527">
        <f ca="1">+NotPres_FO!AF14*'Rev&amp;RAV_FO'!AF85</f>
        <v>2.0528128615420118</v>
      </c>
      <c r="AG96" s="1527">
        <f ca="1">+NotPres_FO!AG14*'Rev&amp;RAV_FO'!AG85</f>
        <v>2.1355412198621551</v>
      </c>
      <c r="AH96" s="1527">
        <f ca="1">+NotPres_FO!AH14*'Rev&amp;RAV_FO'!AH85</f>
        <v>2.2216035310225997</v>
      </c>
      <c r="AI96" s="1527">
        <f ca="1">+NotPres_FO!AI14*'Rev&amp;RAV_FO'!AI85</f>
        <v>2.3111341533228109</v>
      </c>
      <c r="AJ96" s="1527">
        <f ca="1">+NotPres_FO!AJ14*'Rev&amp;RAV_FO'!AJ85</f>
        <v>2.4042728597017202</v>
      </c>
      <c r="AK96" s="1527">
        <f ca="1">+NotPres_FO!AK14*'Rev&amp;RAV_FO'!AK85</f>
        <v>2.5011650559476997</v>
      </c>
      <c r="AL96" s="1527">
        <f ca="1">+NotPres_FO!AL14*'Rev&amp;RAV_FO'!AL85</f>
        <v>2.6019620077023915</v>
      </c>
      <c r="AM96" s="660"/>
      <c r="AO96" s="1307"/>
      <c r="AP96" s="1307"/>
      <c r="AQ96" s="1307"/>
      <c r="AR96" s="1307"/>
      <c r="AS96" s="1307"/>
      <c r="AT96" s="1307"/>
      <c r="AU96" s="1307"/>
      <c r="AV96" s="1307"/>
      <c r="AW96" s="1307"/>
      <c r="AX96" s="1307"/>
      <c r="AY96" s="1307"/>
      <c r="AZ96" s="1307"/>
      <c r="BA96" s="1307"/>
      <c r="BB96" s="1307"/>
      <c r="BC96" s="1307"/>
    </row>
    <row r="97" spans="3:55" x14ac:dyDescent="0.3">
      <c r="C97" s="173"/>
      <c r="D97" s="72"/>
      <c r="E97" s="693" t="s">
        <v>118</v>
      </c>
      <c r="G97" s="72"/>
      <c r="H97" s="72"/>
      <c r="I97" s="84"/>
      <c r="J97" s="462"/>
      <c r="K97" s="265"/>
      <c r="L97" s="265"/>
      <c r="M97" s="265"/>
      <c r="N97" s="265"/>
      <c r="O97" s="265"/>
      <c r="P97" s="265"/>
      <c r="Q97" s="77"/>
      <c r="R97" s="84"/>
      <c r="S97" s="84"/>
      <c r="T97" s="84"/>
      <c r="U97" s="84"/>
      <c r="V97" s="84"/>
      <c r="W97" s="1527">
        <f>+'Finance&amp;Tax_FO'!W17</f>
        <v>0</v>
      </c>
      <c r="X97" s="1527">
        <f>+'Finance&amp;Tax_FO'!X17</f>
        <v>0</v>
      </c>
      <c r="Y97" s="1527">
        <f>+'Finance&amp;Tax_FO'!Y17</f>
        <v>0</v>
      </c>
      <c r="Z97" s="1527">
        <f>+'Finance&amp;Tax_FO'!Z17</f>
        <v>0</v>
      </c>
      <c r="AA97" s="1527">
        <f>+'Finance&amp;Tax_FO'!AA17</f>
        <v>0</v>
      </c>
      <c r="AB97" s="1527">
        <f>+'Finance&amp;Tax_FO'!AB17</f>
        <v>0</v>
      </c>
      <c r="AC97" s="1527">
        <f>+'Finance&amp;Tax_FO'!AC17</f>
        <v>0</v>
      </c>
      <c r="AD97" s="1527">
        <f>+'Finance&amp;Tax_FO'!AD17</f>
        <v>0</v>
      </c>
      <c r="AE97" s="1527">
        <f>+'Finance&amp;Tax_FO'!AE17</f>
        <v>0</v>
      </c>
      <c r="AF97" s="1527">
        <f>+'Finance&amp;Tax_FO'!AF17</f>
        <v>0</v>
      </c>
      <c r="AG97" s="1527">
        <f>+'Finance&amp;Tax_FO'!AG17</f>
        <v>0</v>
      </c>
      <c r="AH97" s="1527">
        <f>+'Finance&amp;Tax_FO'!AH17</f>
        <v>0</v>
      </c>
      <c r="AI97" s="1527">
        <f>+'Finance&amp;Tax_FO'!AI17</f>
        <v>0</v>
      </c>
      <c r="AJ97" s="1527">
        <f>+'Finance&amp;Tax_FO'!AJ17</f>
        <v>0</v>
      </c>
      <c r="AK97" s="1527">
        <f>+'Finance&amp;Tax_FO'!AK17</f>
        <v>0</v>
      </c>
      <c r="AL97" s="1527">
        <f>+'Finance&amp;Tax_FO'!AL17</f>
        <v>0</v>
      </c>
      <c r="AM97" s="660"/>
      <c r="AO97" s="1307"/>
      <c r="AP97" s="1307"/>
      <c r="AQ97" s="1307"/>
      <c r="AR97" s="1307"/>
      <c r="AS97" s="1307"/>
      <c r="AT97" s="1307"/>
      <c r="AU97" s="1307"/>
      <c r="AV97" s="1307"/>
      <c r="AW97" s="1307"/>
      <c r="AX97" s="1307"/>
      <c r="AY97" s="1307"/>
      <c r="AZ97" s="1307"/>
      <c r="BA97" s="1307"/>
      <c r="BB97" s="1307"/>
      <c r="BC97" s="1307"/>
    </row>
    <row r="98" spans="3:55" x14ac:dyDescent="0.3">
      <c r="C98" s="173"/>
      <c r="D98" s="72"/>
      <c r="E98" s="693" t="s">
        <v>135</v>
      </c>
      <c r="G98" s="72"/>
      <c r="H98" s="72"/>
      <c r="I98" s="84"/>
      <c r="J98" s="462"/>
      <c r="K98" s="265"/>
      <c r="L98" s="265"/>
      <c r="M98" s="265"/>
      <c r="N98" s="265"/>
      <c r="O98" s="265"/>
      <c r="P98" s="265"/>
      <c r="Q98" s="77"/>
      <c r="R98" s="84"/>
      <c r="S98" s="84"/>
      <c r="T98" s="84"/>
      <c r="U98" s="84"/>
      <c r="V98" s="84"/>
      <c r="W98" s="1527">
        <f t="shared" ref="W98:AG98" si="16">+W195</f>
        <v>7.7943500000000006</v>
      </c>
      <c r="X98" s="1527">
        <f t="shared" ca="1" si="16"/>
        <v>7.1133419038710795</v>
      </c>
      <c r="Y98" s="1527">
        <f t="shared" ca="1" si="16"/>
        <v>6.8022929420495881</v>
      </c>
      <c r="Z98" s="1527">
        <f t="shared" ca="1" si="16"/>
        <v>6.649081970621884</v>
      </c>
      <c r="AA98" s="1527">
        <f t="shared" ca="1" si="16"/>
        <v>6.8592150584396574</v>
      </c>
      <c r="AB98" s="1527">
        <f t="shared" ca="1" si="16"/>
        <v>7.3046937806493535</v>
      </c>
      <c r="AC98" s="1527">
        <f t="shared" ca="1" si="16"/>
        <v>8.0564996667040827</v>
      </c>
      <c r="AD98" s="1527">
        <f t="shared" ca="1" si="16"/>
        <v>9.2799722649916596</v>
      </c>
      <c r="AE98" s="1527">
        <f t="shared" ca="1" si="16"/>
        <v>10.586718137880542</v>
      </c>
      <c r="AF98" s="1527">
        <f t="shared" ca="1" si="16"/>
        <v>11.935404713662429</v>
      </c>
      <c r="AG98" s="1527">
        <f t="shared" ca="1" si="16"/>
        <v>13.386561517175803</v>
      </c>
      <c r="AH98" s="1527">
        <f ca="1">+AH195</f>
        <v>14.963880678056741</v>
      </c>
      <c r="AI98" s="1527">
        <f ca="1">+AI195</f>
        <v>18.618859785596641</v>
      </c>
      <c r="AJ98" s="1527">
        <f ca="1">+AJ195</f>
        <v>22.153367173328427</v>
      </c>
      <c r="AK98" s="1527">
        <f ca="1">+AK195</f>
        <v>24.049925766286293</v>
      </c>
      <c r="AL98" s="1527">
        <f ca="1">+AL195</f>
        <v>25.057297978175548</v>
      </c>
      <c r="AM98" s="660"/>
      <c r="AO98" s="1307"/>
      <c r="AP98" s="1307"/>
      <c r="AQ98" s="1307"/>
      <c r="AR98" s="1307"/>
      <c r="AS98" s="1307"/>
      <c r="AT98" s="1307"/>
      <c r="AU98" s="1307"/>
      <c r="AV98" s="1307"/>
      <c r="AW98" s="1307"/>
      <c r="AX98" s="1307"/>
      <c r="AY98" s="1307"/>
      <c r="AZ98" s="1307"/>
      <c r="BA98" s="1307"/>
      <c r="BB98" s="1307"/>
      <c r="BC98" s="1307"/>
    </row>
    <row r="99" spans="3:55" x14ac:dyDescent="0.3">
      <c r="C99" s="173"/>
      <c r="D99" s="72"/>
      <c r="E99" s="693" t="s">
        <v>136</v>
      </c>
      <c r="G99" s="72"/>
      <c r="H99" s="72"/>
      <c r="I99" s="84"/>
      <c r="J99" s="462"/>
      <c r="K99" s="265"/>
      <c r="L99" s="265"/>
      <c r="M99" s="265"/>
      <c r="N99" s="265"/>
      <c r="O99" s="265"/>
      <c r="P99" s="265"/>
      <c r="Q99" s="77"/>
      <c r="R99" s="84"/>
      <c r="S99" s="84"/>
      <c r="T99" s="84"/>
      <c r="U99" s="84"/>
      <c r="V99" s="84"/>
      <c r="W99" s="1527">
        <f>Capex_FO_AC!W25*'Rev&amp;RAV_FO'!W85</f>
        <v>0.72499999999999998</v>
      </c>
      <c r="X99" s="1527">
        <f>Capex_FO_AC!X25*'Rev&amp;RAV_FO'!X85</f>
        <v>0.93200000000000027</v>
      </c>
      <c r="Y99" s="1527">
        <f>Capex_FO_AC!Y25*'Rev&amp;RAV_FO'!Y85</f>
        <v>0.91346141000000025</v>
      </c>
      <c r="Z99" s="1527">
        <f>Capex_FO_AC!Z25*'Rev&amp;RAV_FO'!Z85</f>
        <v>0.74699999999999989</v>
      </c>
      <c r="AA99" s="1527">
        <f>Capex_FO_AC!AA25*'Rev&amp;RAV_FO'!AA85</f>
        <v>0.7628817581475128</v>
      </c>
      <c r="AB99" s="1527">
        <f>Capex_FO_AC!AB25*'Rev&amp;RAV_FO'!AB85</f>
        <v>0.8097223098627786</v>
      </c>
      <c r="AC99" s="1527">
        <f>Capex_FO_AC!AC25*'Rev&amp;RAV_FO'!AC85</f>
        <v>0.84235411895024859</v>
      </c>
      <c r="AD99" s="1527">
        <f>Capex_FO_AC!AD25*'Rev&amp;RAV_FO'!AD85</f>
        <v>0.87630098994394356</v>
      </c>
      <c r="AE99" s="1527">
        <f>Capex_FO_AC!AE25*'Rev&amp;RAV_FO'!AE85</f>
        <v>0.91161591983868451</v>
      </c>
      <c r="AF99" s="1527">
        <f>Capex_FO_AC!AF25*'Rev&amp;RAV_FO'!AF85</f>
        <v>0.94835404140818358</v>
      </c>
      <c r="AG99" s="1527">
        <f>Capex_FO_AC!AG25*'Rev&amp;RAV_FO'!AG85</f>
        <v>0.9865727092769333</v>
      </c>
      <c r="AH99" s="1527">
        <f>Capex_FO_AC!AH25*'Rev&amp;RAV_FO'!AH85</f>
        <v>1.0263315894607938</v>
      </c>
      <c r="AI99" s="1527">
        <f>Capex_FO_AC!AI25*'Rev&amp;RAV_FO'!AI85</f>
        <v>1.0676927525160638</v>
      </c>
      <c r="AJ99" s="1527">
        <f>Capex_FO_AC!AJ25*'Rev&amp;RAV_FO'!AJ85</f>
        <v>1.1107207704424613</v>
      </c>
      <c r="AK99" s="1527">
        <f>Capex_FO_AC!AK25*'Rev&amp;RAV_FO'!AK85</f>
        <v>1.1554828174912926</v>
      </c>
      <c r="AL99" s="1527">
        <f>Capex_FO_AC!AL25*'Rev&amp;RAV_FO'!AL85</f>
        <v>1.2020487750361915</v>
      </c>
      <c r="AM99" s="660"/>
      <c r="AO99" s="1307"/>
      <c r="AP99" s="1307"/>
      <c r="AQ99" s="1307"/>
      <c r="AR99" s="1307"/>
      <c r="AS99" s="1307"/>
      <c r="AT99" s="1307"/>
      <c r="AU99" s="1307"/>
      <c r="AV99" s="1307"/>
      <c r="AW99" s="1307"/>
      <c r="AX99" s="1307"/>
      <c r="AY99" s="1307"/>
      <c r="AZ99" s="1307"/>
      <c r="BA99" s="1307"/>
      <c r="BB99" s="1307"/>
      <c r="BC99" s="1307"/>
    </row>
    <row r="100" spans="3:55" ht="13.5" x14ac:dyDescent="0.3">
      <c r="C100" s="173"/>
      <c r="D100" s="72"/>
      <c r="E100" s="117" t="s">
        <v>591</v>
      </c>
      <c r="G100" s="72"/>
      <c r="H100" s="72"/>
      <c r="I100" s="84"/>
      <c r="J100" s="462"/>
      <c r="K100" s="265"/>
      <c r="L100" s="265"/>
      <c r="M100" s="265"/>
      <c r="N100" s="265"/>
      <c r="O100" s="265"/>
      <c r="P100" s="265"/>
      <c r="Q100" s="77"/>
      <c r="R100" s="84"/>
      <c r="S100" s="84"/>
      <c r="T100" s="84"/>
      <c r="U100" s="84"/>
      <c r="V100" s="84"/>
      <c r="W100" s="1527">
        <f t="shared" ref="W100:AG100" si="17">+W28</f>
        <v>0</v>
      </c>
      <c r="X100" s="1527">
        <f t="shared" si="17"/>
        <v>0</v>
      </c>
      <c r="Y100" s="1527">
        <f t="shared" si="17"/>
        <v>0</v>
      </c>
      <c r="Z100" s="1527">
        <f t="shared" si="17"/>
        <v>0</v>
      </c>
      <c r="AA100" s="1527">
        <f t="shared" si="17"/>
        <v>0</v>
      </c>
      <c r="AB100" s="1527">
        <f t="shared" si="17"/>
        <v>0</v>
      </c>
      <c r="AC100" s="1527">
        <f t="shared" si="17"/>
        <v>0</v>
      </c>
      <c r="AD100" s="1527">
        <f t="shared" si="17"/>
        <v>0</v>
      </c>
      <c r="AE100" s="1527">
        <f t="shared" si="17"/>
        <v>0</v>
      </c>
      <c r="AF100" s="1527">
        <f t="shared" si="17"/>
        <v>0</v>
      </c>
      <c r="AG100" s="1527">
        <f t="shared" si="17"/>
        <v>0</v>
      </c>
      <c r="AH100" s="1527">
        <f>+AH28</f>
        <v>0</v>
      </c>
      <c r="AI100" s="1527">
        <f>+AI28</f>
        <v>0</v>
      </c>
      <c r="AJ100" s="1527">
        <f>+AJ28</f>
        <v>0</v>
      </c>
      <c r="AK100" s="1527">
        <f>+AK28</f>
        <v>0</v>
      </c>
      <c r="AL100" s="1527">
        <f>+AL28</f>
        <v>0</v>
      </c>
      <c r="AM100" s="660"/>
      <c r="AO100" s="1307"/>
      <c r="AP100" s="1307"/>
      <c r="AQ100" s="1307"/>
      <c r="AR100" s="1307"/>
      <c r="AS100" s="1307"/>
      <c r="AT100" s="1307"/>
      <c r="AU100" s="1307"/>
      <c r="AV100" s="1307"/>
      <c r="AW100" s="1307"/>
      <c r="AX100" s="1307"/>
      <c r="AY100" s="1307"/>
      <c r="AZ100" s="1307"/>
      <c r="BA100" s="1307"/>
      <c r="BB100" s="1307"/>
      <c r="BC100" s="1307"/>
    </row>
    <row r="101" spans="3:55" x14ac:dyDescent="0.3">
      <c r="C101" s="173"/>
      <c r="D101" s="72"/>
      <c r="E101" s="105" t="s">
        <v>207</v>
      </c>
      <c r="F101" s="72"/>
      <c r="G101" s="72"/>
      <c r="H101" s="72"/>
      <c r="I101" s="84"/>
      <c r="J101" s="462"/>
      <c r="K101" s="265"/>
      <c r="L101" s="265"/>
      <c r="M101" s="265"/>
      <c r="N101" s="265"/>
      <c r="O101" s="265"/>
      <c r="P101" s="265"/>
      <c r="Q101" s="77"/>
      <c r="R101" s="84"/>
      <c r="S101" s="84"/>
      <c r="T101" s="84"/>
      <c r="U101" s="84"/>
      <c r="V101" s="84"/>
      <c r="W101" s="1587">
        <f t="shared" ref="W101:AG101" ca="1" si="18">+SUM(W95:W100)</f>
        <v>65.028679355932184</v>
      </c>
      <c r="X101" s="1587">
        <f t="shared" ca="1" si="18"/>
        <v>71.293197833484257</v>
      </c>
      <c r="Y101" s="1587">
        <f t="shared" ca="1" si="18"/>
        <v>70.465502023819823</v>
      </c>
      <c r="Z101" s="1587">
        <f t="shared" ca="1" si="18"/>
        <v>69.147042663165465</v>
      </c>
      <c r="AA101" s="1587">
        <f t="shared" ca="1" si="18"/>
        <v>76.436571548331543</v>
      </c>
      <c r="AB101" s="1587">
        <f t="shared" ca="1" si="18"/>
        <v>81.110402910451626</v>
      </c>
      <c r="AC101" s="1587">
        <f t="shared" ca="1" si="18"/>
        <v>85.056772510616895</v>
      </c>
      <c r="AD101" s="1587">
        <f t="shared" ca="1" si="18"/>
        <v>90.983495268549163</v>
      </c>
      <c r="AE101" s="1587">
        <f t="shared" ca="1" si="18"/>
        <v>96.18139624284332</v>
      </c>
      <c r="AF101" s="1587">
        <f t="shared" ca="1" si="18"/>
        <v>100.45289080436422</v>
      </c>
      <c r="AG101" s="1587">
        <f t="shared" ca="1" si="18"/>
        <v>105.78655015150404</v>
      </c>
      <c r="AH101" s="1587">
        <f ca="1">+SUM(AH95:AH100)</f>
        <v>108.32831498763466</v>
      </c>
      <c r="AI101" s="1587">
        <f ca="1">+SUM(AI95:AI100)</f>
        <v>115.71579651156233</v>
      </c>
      <c r="AJ101" s="1587">
        <f ca="1">+SUM(AJ95:AJ100)</f>
        <v>123.13830649588569</v>
      </c>
      <c r="AK101" s="1587">
        <f ca="1">+SUM(AK95:AK100)</f>
        <v>129.08491613666672</v>
      </c>
      <c r="AL101" s="1587">
        <f ca="1">+SUM(AL95:AL100)</f>
        <v>134.31121269201921</v>
      </c>
      <c r="AM101" s="660"/>
      <c r="AO101" s="1307"/>
      <c r="AP101" s="1307"/>
      <c r="AQ101" s="1307"/>
      <c r="AR101" s="1307"/>
      <c r="AS101" s="1307"/>
      <c r="AT101" s="1307"/>
      <c r="AU101" s="1307"/>
      <c r="AV101" s="1307"/>
      <c r="AW101" s="1307"/>
      <c r="AX101" s="1307"/>
      <c r="AY101" s="1307"/>
      <c r="AZ101" s="1307"/>
      <c r="BA101" s="1307"/>
      <c r="BB101" s="1307"/>
      <c r="BC101" s="1307"/>
    </row>
    <row r="102" spans="3:55" x14ac:dyDescent="0.3">
      <c r="C102" s="173"/>
      <c r="D102" s="72"/>
      <c r="E102" s="72"/>
      <c r="F102" s="72"/>
      <c r="G102" s="72"/>
      <c r="H102" s="72"/>
      <c r="I102" s="84"/>
      <c r="J102" s="462"/>
      <c r="K102" s="265"/>
      <c r="L102" s="265"/>
      <c r="M102" s="265"/>
      <c r="N102" s="265"/>
      <c r="O102" s="265"/>
      <c r="P102" s="265"/>
      <c r="Q102" s="77"/>
      <c r="R102" s="84"/>
      <c r="S102" s="84"/>
      <c r="T102" s="84"/>
      <c r="U102" s="84"/>
      <c r="V102" s="84"/>
      <c r="W102" s="315"/>
      <c r="X102" s="315"/>
      <c r="Y102" s="275"/>
      <c r="Z102" s="275"/>
      <c r="AA102" s="275"/>
      <c r="AB102" s="275"/>
      <c r="AC102" s="275"/>
      <c r="AD102" s="275"/>
      <c r="AE102" s="275"/>
      <c r="AF102" s="275"/>
      <c r="AG102" s="275"/>
      <c r="AH102" s="275"/>
      <c r="AI102" s="275"/>
      <c r="AJ102" s="275"/>
      <c r="AK102" s="275"/>
      <c r="AL102" s="275"/>
      <c r="AM102" s="660"/>
      <c r="AO102" s="1307"/>
      <c r="AP102" s="1307"/>
      <c r="AQ102" s="1307"/>
      <c r="AR102" s="1307"/>
      <c r="AS102" s="1307"/>
      <c r="AT102" s="1307"/>
      <c r="AU102" s="1307"/>
      <c r="AV102" s="1307"/>
      <c r="AW102" s="1307"/>
      <c r="AX102" s="1307"/>
      <c r="AY102" s="1307"/>
      <c r="AZ102" s="1307"/>
      <c r="BA102" s="1307"/>
      <c r="BB102" s="1307"/>
      <c r="BC102" s="1307"/>
    </row>
    <row r="103" spans="3:55" x14ac:dyDescent="0.3">
      <c r="C103" s="173"/>
      <c r="D103" s="72"/>
      <c r="E103" s="105" t="s">
        <v>137</v>
      </c>
      <c r="F103" s="72"/>
      <c r="G103" s="72"/>
      <c r="H103" s="72"/>
      <c r="I103" s="84"/>
      <c r="J103" s="462"/>
      <c r="K103" s="265"/>
      <c r="L103" s="265"/>
      <c r="M103" s="265"/>
      <c r="N103" s="265"/>
      <c r="O103" s="265"/>
      <c r="P103" s="265"/>
      <c r="Q103" s="77"/>
      <c r="R103" s="84"/>
      <c r="S103" s="84"/>
      <c r="T103" s="84"/>
      <c r="U103" s="84"/>
      <c r="V103" s="84"/>
      <c r="W103" s="1588">
        <f t="shared" ref="W103:AG103" ca="1" si="19">+W92-W101</f>
        <v>33.505544675823103</v>
      </c>
      <c r="X103" s="1589">
        <f t="shared" ca="1" si="19"/>
        <v>38.055994023090534</v>
      </c>
      <c r="Y103" s="1549">
        <f t="shared" ca="1" si="19"/>
        <v>41.655101123040424</v>
      </c>
      <c r="Z103" s="1549">
        <f t="shared" ca="1" si="19"/>
        <v>50.356544318463094</v>
      </c>
      <c r="AA103" s="1549">
        <f t="shared" ca="1" si="19"/>
        <v>46.241769238598792</v>
      </c>
      <c r="AB103" s="1588">
        <f t="shared" ca="1" si="19"/>
        <v>53.122461562486478</v>
      </c>
      <c r="AC103" s="1549">
        <f t="shared" ca="1" si="19"/>
        <v>57.844635589012171</v>
      </c>
      <c r="AD103" s="1549">
        <f t="shared" ca="1" si="19"/>
        <v>61.588002833257988</v>
      </c>
      <c r="AE103" s="1549">
        <f t="shared" ca="1" si="19"/>
        <v>66.798555800785223</v>
      </c>
      <c r="AF103" s="1549">
        <f t="shared" ca="1" si="19"/>
        <v>73.755161699354829</v>
      </c>
      <c r="AG103" s="1549">
        <f t="shared" ca="1" si="19"/>
        <v>80.458813532668799</v>
      </c>
      <c r="AH103" s="1549">
        <f ca="1">+AH92-AH101</f>
        <v>94.21078574381508</v>
      </c>
      <c r="AI103" s="1549">
        <f ca="1">+AI92-AI101</f>
        <v>97.549119140317003</v>
      </c>
      <c r="AJ103" s="1549">
        <f ca="1">+AJ92-AJ101</f>
        <v>101.4495954250521</v>
      </c>
      <c r="AK103" s="1549">
        <f ca="1">+AK92-AK101</f>
        <v>107.45760000777204</v>
      </c>
      <c r="AL103" s="1549">
        <f ca="1">+AL92-AL101</f>
        <v>114.8540409180093</v>
      </c>
      <c r="AM103" s="660"/>
      <c r="AO103" s="1307"/>
      <c r="AP103" s="1307"/>
      <c r="AQ103" s="1307"/>
      <c r="AR103" s="1307"/>
      <c r="AS103" s="1307"/>
      <c r="AT103" s="1307"/>
      <c r="AU103" s="1307"/>
      <c r="AV103" s="1307"/>
      <c r="AW103" s="1307"/>
      <c r="AX103" s="1307"/>
      <c r="AY103" s="1307"/>
      <c r="AZ103" s="1307"/>
      <c r="BA103" s="1307"/>
      <c r="BB103" s="1307"/>
      <c r="BC103" s="1307"/>
    </row>
    <row r="104" spans="3:55" x14ac:dyDescent="0.3">
      <c r="C104" s="173"/>
      <c r="D104" s="72"/>
      <c r="E104" s="72"/>
      <c r="F104" s="72"/>
      <c r="G104" s="72"/>
      <c r="H104" s="72"/>
      <c r="I104" s="84"/>
      <c r="J104" s="462"/>
      <c r="K104" s="265"/>
      <c r="L104" s="265"/>
      <c r="M104" s="265"/>
      <c r="N104" s="265"/>
      <c r="O104" s="265"/>
      <c r="P104" s="265"/>
      <c r="Q104" s="77"/>
      <c r="R104" s="84"/>
      <c r="S104" s="84"/>
      <c r="T104" s="84"/>
      <c r="U104" s="84"/>
      <c r="V104" s="84"/>
      <c r="W104" s="315"/>
      <c r="X104" s="315"/>
      <c r="Y104" s="275"/>
      <c r="Z104" s="275"/>
      <c r="AA104" s="275"/>
      <c r="AB104" s="275"/>
      <c r="AC104" s="275"/>
      <c r="AD104" s="275"/>
      <c r="AE104" s="275"/>
      <c r="AF104" s="275"/>
      <c r="AG104" s="275"/>
      <c r="AH104" s="275"/>
      <c r="AI104" s="275"/>
      <c r="AJ104" s="275"/>
      <c r="AK104" s="275"/>
      <c r="AL104" s="275"/>
      <c r="AM104" s="660"/>
      <c r="AO104" s="1307"/>
      <c r="AP104" s="1307"/>
      <c r="AQ104" s="1307"/>
      <c r="AR104" s="1307"/>
      <c r="AS104" s="1307"/>
      <c r="AT104" s="1307"/>
      <c r="AU104" s="1307"/>
      <c r="AV104" s="1307"/>
      <c r="AW104" s="1307"/>
      <c r="AX104" s="1307"/>
      <c r="AY104" s="1307"/>
      <c r="AZ104" s="1307"/>
      <c r="BA104" s="1307"/>
      <c r="BB104" s="1307"/>
      <c r="BC104" s="1307"/>
    </row>
    <row r="105" spans="3:55" x14ac:dyDescent="0.3">
      <c r="C105" s="173"/>
      <c r="D105" s="72"/>
      <c r="E105" s="72" t="s">
        <v>234</v>
      </c>
      <c r="F105" s="72"/>
      <c r="G105" s="72"/>
      <c r="H105" s="72"/>
      <c r="I105" s="84"/>
      <c r="J105" s="462"/>
      <c r="K105" s="265"/>
      <c r="L105" s="265"/>
      <c r="M105" s="265"/>
      <c r="N105" s="265"/>
      <c r="O105" s="265"/>
      <c r="P105" s="265"/>
      <c r="Q105" s="77"/>
      <c r="R105" s="84"/>
      <c r="S105" s="84"/>
      <c r="T105" s="84"/>
      <c r="U105" s="84"/>
      <c r="V105" s="84"/>
      <c r="W105" s="1527">
        <f ca="1">'Rev&amp;RAV_FO'!W87*W103</f>
        <v>10.05166340274693</v>
      </c>
      <c r="X105" s="1527">
        <f ca="1">'Rev&amp;RAV_FO'!X87*X103</f>
        <v>11.41679820692716</v>
      </c>
      <c r="Y105" s="1527">
        <f ca="1">'Rev&amp;RAV_FO'!Y87*Y103</f>
        <v>12.496530336912127</v>
      </c>
      <c r="Z105" s="1527">
        <f ca="1">'Rev&amp;RAV_FO'!Z87*Z103</f>
        <v>15.106963295538927</v>
      </c>
      <c r="AA105" s="1527">
        <f ca="1">'Rev&amp;RAV_FO'!AA87*AA103</f>
        <v>13.872530771579637</v>
      </c>
      <c r="AB105" s="1527">
        <f ca="1">'Rev&amp;RAV_FO'!AB87*AB103</f>
        <v>15.936738468745943</v>
      </c>
      <c r="AC105" s="1527">
        <f ca="1">'Rev&amp;RAV_FO'!AC87*AC103</f>
        <v>17.353390676703651</v>
      </c>
      <c r="AD105" s="1527">
        <f ca="1">'Rev&amp;RAV_FO'!AD87*AD103</f>
        <v>18.476400849977395</v>
      </c>
      <c r="AE105" s="1527">
        <f ca="1">'Rev&amp;RAV_FO'!AE87*AE103</f>
        <v>20.039566740235568</v>
      </c>
      <c r="AF105" s="1527">
        <f ca="1">'Rev&amp;RAV_FO'!AF87*AF103</f>
        <v>22.126548509806447</v>
      </c>
      <c r="AG105" s="1527">
        <f ca="1">'Rev&amp;RAV_FO'!AG87*AG103</f>
        <v>24.137644059800639</v>
      </c>
      <c r="AH105" s="1527">
        <f ca="1">'Rev&amp;RAV_FO'!AH87*AH103</f>
        <v>28.263235723144522</v>
      </c>
      <c r="AI105" s="1527">
        <f ca="1">'Rev&amp;RAV_FO'!AI87*AI103</f>
        <v>29.264735742095098</v>
      </c>
      <c r="AJ105" s="1527">
        <f ca="1">'Rev&amp;RAV_FO'!AJ87*AJ103</f>
        <v>30.434878627515626</v>
      </c>
      <c r="AK105" s="1527">
        <f ca="1">'Rev&amp;RAV_FO'!AK87*AK103</f>
        <v>32.237280002331609</v>
      </c>
      <c r="AL105" s="1527">
        <f ca="1">'Rev&amp;RAV_FO'!AL87*AL103</f>
        <v>34.456212275402791</v>
      </c>
      <c r="AM105" s="660"/>
      <c r="AO105" s="1307"/>
      <c r="AP105" s="1307"/>
      <c r="AQ105" s="1307"/>
      <c r="AR105" s="1307"/>
      <c r="AS105" s="1307"/>
      <c r="AT105" s="1307"/>
      <c r="AU105" s="1307"/>
      <c r="AV105" s="1307"/>
      <c r="AW105" s="1307"/>
      <c r="AX105" s="1307"/>
      <c r="AY105" s="1307"/>
      <c r="AZ105" s="1307"/>
      <c r="BA105" s="1307"/>
      <c r="BB105" s="1307"/>
      <c r="BC105" s="1307"/>
    </row>
    <row r="106" spans="3:55" x14ac:dyDescent="0.3">
      <c r="C106" s="173"/>
      <c r="D106" s="72"/>
      <c r="E106" s="72"/>
      <c r="F106" s="72"/>
      <c r="G106" s="72"/>
      <c r="H106" s="72"/>
      <c r="I106" s="84"/>
      <c r="J106" s="462"/>
      <c r="K106" s="265"/>
      <c r="L106" s="265"/>
      <c r="M106" s="265"/>
      <c r="N106" s="265"/>
      <c r="O106" s="265"/>
      <c r="P106" s="265"/>
      <c r="Q106" s="77"/>
      <c r="R106" s="84"/>
      <c r="S106" s="84"/>
      <c r="T106" s="84"/>
      <c r="U106" s="84"/>
      <c r="V106" s="84"/>
      <c r="W106" s="315"/>
      <c r="X106" s="315"/>
      <c r="Y106" s="275"/>
      <c r="Z106" s="275"/>
      <c r="AA106" s="275"/>
      <c r="AB106" s="275"/>
      <c r="AC106" s="275"/>
      <c r="AD106" s="275"/>
      <c r="AE106" s="275"/>
      <c r="AF106" s="275"/>
      <c r="AG106" s="275"/>
      <c r="AH106" s="275"/>
      <c r="AI106" s="275"/>
      <c r="AJ106" s="275"/>
      <c r="AK106" s="275"/>
      <c r="AL106" s="275"/>
      <c r="AM106" s="660"/>
      <c r="AO106" s="1307"/>
      <c r="AP106" s="1307"/>
      <c r="AQ106" s="1307"/>
      <c r="AR106" s="1307"/>
      <c r="AS106" s="1307"/>
      <c r="AT106" s="1307"/>
      <c r="AU106" s="1307"/>
      <c r="AV106" s="1307"/>
      <c r="AW106" s="1307"/>
      <c r="AX106" s="1307"/>
      <c r="AY106" s="1307"/>
      <c r="AZ106" s="1307"/>
      <c r="BA106" s="1307"/>
      <c r="BB106" s="1307"/>
      <c r="BC106" s="1307"/>
    </row>
    <row r="107" spans="3:55" s="103" customFormat="1" ht="12.5" thickBot="1" x14ac:dyDescent="0.35">
      <c r="C107" s="686"/>
      <c r="D107" s="105"/>
      <c r="E107" s="105" t="s">
        <v>138</v>
      </c>
      <c r="F107" s="105"/>
      <c r="G107" s="105"/>
      <c r="H107" s="105"/>
      <c r="I107" s="108"/>
      <c r="J107" s="229"/>
      <c r="K107" s="265"/>
      <c r="L107" s="265"/>
      <c r="M107" s="265"/>
      <c r="N107" s="265"/>
      <c r="O107" s="265"/>
      <c r="P107" s="265"/>
      <c r="Q107" s="77"/>
      <c r="R107" s="84"/>
      <c r="S107" s="84"/>
      <c r="T107" s="84"/>
      <c r="U107" s="84"/>
      <c r="V107" s="84"/>
      <c r="W107" s="1582">
        <f ca="1">IF(W103&lt;=0,0,W103*$F$80)</f>
        <v>0</v>
      </c>
      <c r="X107" s="1590">
        <f ca="1">IF(X103&lt;=0,0,X103*$H$80)</f>
        <v>0</v>
      </c>
      <c r="Y107" s="1546">
        <f ca="1">IF(Y103&lt;=0,0,Y103*$H$80)</f>
        <v>0</v>
      </c>
      <c r="Z107" s="1546">
        <f t="shared" ref="Z107:AB107" ca="1" si="20">IF(Z103&lt;=0,0,Z103*$H$80)</f>
        <v>0</v>
      </c>
      <c r="AA107" s="1546">
        <f t="shared" ca="1" si="20"/>
        <v>0</v>
      </c>
      <c r="AB107" s="1546">
        <f t="shared" ca="1" si="20"/>
        <v>0</v>
      </c>
      <c r="AC107" s="1590">
        <f ca="1">IF(AC103&lt;=0,0,AC103*$J$80)</f>
        <v>0</v>
      </c>
      <c r="AD107" s="1546">
        <f t="shared" ref="AD107:AL107" ca="1" si="21">IF(AD103&lt;=0,0,AD103*$J$80)</f>
        <v>0</v>
      </c>
      <c r="AE107" s="1546">
        <f t="shared" ca="1" si="21"/>
        <v>0</v>
      </c>
      <c r="AF107" s="1546">
        <f t="shared" ca="1" si="21"/>
        <v>0</v>
      </c>
      <c r="AG107" s="1546">
        <f t="shared" ca="1" si="21"/>
        <v>0</v>
      </c>
      <c r="AH107" s="1546">
        <f t="shared" ca="1" si="21"/>
        <v>0</v>
      </c>
      <c r="AI107" s="1546">
        <f t="shared" ca="1" si="21"/>
        <v>0</v>
      </c>
      <c r="AJ107" s="1546">
        <f t="shared" ca="1" si="21"/>
        <v>0</v>
      </c>
      <c r="AK107" s="1546">
        <f t="shared" ca="1" si="21"/>
        <v>0</v>
      </c>
      <c r="AL107" s="1546">
        <f t="shared" ca="1" si="21"/>
        <v>0</v>
      </c>
      <c r="AM107" s="694"/>
      <c r="AO107" s="1307"/>
      <c r="AP107" s="1307"/>
      <c r="AQ107" s="1307"/>
      <c r="AR107" s="1307"/>
      <c r="AS107" s="1307"/>
      <c r="AT107" s="1307"/>
      <c r="AU107" s="1307"/>
      <c r="AV107" s="1307"/>
      <c r="AW107" s="1307"/>
      <c r="AX107" s="1307"/>
      <c r="AY107" s="1307"/>
      <c r="AZ107" s="1307"/>
      <c r="BA107" s="1307"/>
      <c r="BB107" s="1307"/>
      <c r="BC107" s="1307"/>
    </row>
    <row r="108" spans="3:55" x14ac:dyDescent="0.3">
      <c r="C108" s="173"/>
      <c r="D108" s="72"/>
      <c r="E108" s="72"/>
      <c r="F108" s="72"/>
      <c r="G108" s="72"/>
      <c r="H108" s="72"/>
      <c r="I108" s="84"/>
      <c r="J108" s="462"/>
      <c r="K108" s="265"/>
      <c r="L108" s="265"/>
      <c r="M108" s="265"/>
      <c r="N108" s="265"/>
      <c r="O108" s="265"/>
      <c r="P108" s="265"/>
      <c r="Q108" s="77"/>
      <c r="R108" s="84"/>
      <c r="S108" s="84"/>
      <c r="T108" s="84"/>
      <c r="U108" s="84"/>
      <c r="V108" s="84"/>
      <c r="W108" s="315"/>
      <c r="X108" s="315"/>
      <c r="Y108" s="275"/>
      <c r="Z108" s="275"/>
      <c r="AA108" s="275"/>
      <c r="AB108" s="275"/>
      <c r="AC108" s="275"/>
      <c r="AD108" s="275"/>
      <c r="AE108" s="275"/>
      <c r="AF108" s="275"/>
      <c r="AG108" s="275"/>
      <c r="AH108" s="275"/>
      <c r="AI108" s="275"/>
      <c r="AJ108" s="275"/>
      <c r="AK108" s="275"/>
      <c r="AL108" s="275"/>
      <c r="AM108" s="660"/>
      <c r="AO108" s="1307"/>
      <c r="AP108" s="1307"/>
      <c r="AQ108" s="1307"/>
      <c r="AR108" s="1307"/>
      <c r="AS108" s="1307"/>
      <c r="AT108" s="1307"/>
      <c r="AU108" s="1307"/>
      <c r="AV108" s="1307"/>
      <c r="AW108" s="1307"/>
      <c r="AX108" s="1307"/>
      <c r="AY108" s="1307"/>
      <c r="AZ108" s="1307"/>
      <c r="BA108" s="1307"/>
      <c r="BB108" s="1307"/>
      <c r="BC108" s="1307"/>
    </row>
    <row r="109" spans="3:55" x14ac:dyDescent="0.3">
      <c r="C109" s="173"/>
      <c r="D109" s="72"/>
      <c r="E109" s="72" t="s">
        <v>139</v>
      </c>
      <c r="F109" s="72"/>
      <c r="G109" s="72"/>
      <c r="H109" s="72"/>
      <c r="I109" s="84"/>
      <c r="J109" s="462"/>
      <c r="K109" s="265"/>
      <c r="L109" s="265"/>
      <c r="M109" s="265"/>
      <c r="N109" s="265"/>
      <c r="O109" s="265"/>
      <c r="P109" s="265"/>
      <c r="Q109" s="77"/>
      <c r="R109" s="84"/>
      <c r="S109" s="84"/>
      <c r="T109" s="84"/>
      <c r="U109" s="84"/>
      <c r="V109" s="84"/>
      <c r="W109" s="1527">
        <f t="shared" ref="W109:AG109" ca="1" si="22">IF(W107&lt;=0,0,IF(W107-W174&lt;=0,0,W107-W174))</f>
        <v>0</v>
      </c>
      <c r="X109" s="1527">
        <f t="shared" ca="1" si="22"/>
        <v>0</v>
      </c>
      <c r="Y109" s="1527">
        <f t="shared" ca="1" si="22"/>
        <v>0</v>
      </c>
      <c r="Z109" s="1527">
        <f t="shared" ca="1" si="22"/>
        <v>0</v>
      </c>
      <c r="AA109" s="1527">
        <f t="shared" ca="1" si="22"/>
        <v>0</v>
      </c>
      <c r="AB109" s="1527">
        <f t="shared" ca="1" si="22"/>
        <v>0</v>
      </c>
      <c r="AC109" s="1527">
        <f t="shared" ca="1" si="22"/>
        <v>0</v>
      </c>
      <c r="AD109" s="1527">
        <f t="shared" ca="1" si="22"/>
        <v>0</v>
      </c>
      <c r="AE109" s="1527">
        <f t="shared" ca="1" si="22"/>
        <v>0</v>
      </c>
      <c r="AF109" s="1527">
        <f t="shared" ca="1" si="22"/>
        <v>0</v>
      </c>
      <c r="AG109" s="1527">
        <f t="shared" ca="1" si="22"/>
        <v>0</v>
      </c>
      <c r="AH109" s="1527">
        <f ca="1">IF(AH107&lt;=0,0,IF(AH107-AH174&lt;=0,0,AH107-AH174))</f>
        <v>0</v>
      </c>
      <c r="AI109" s="1527">
        <f ca="1">IF(AI107&lt;=0,0,IF(AI107-AI174&lt;=0,0,AI107-AI174))</f>
        <v>0</v>
      </c>
      <c r="AJ109" s="1527">
        <f ca="1">IF(AJ107&lt;=0,0,IF(AJ107-AJ174&lt;=0,0,AJ107-AJ174))</f>
        <v>0</v>
      </c>
      <c r="AK109" s="1527">
        <f ca="1">IF(AK107&lt;=0,0,IF(AK107-AK174&lt;=0,0,AK107-AK174))</f>
        <v>0</v>
      </c>
      <c r="AL109" s="1527">
        <f ca="1">IF(AL107&lt;=0,0,IF(AL107-AL174&lt;=0,0,AL107-AL174))</f>
        <v>0</v>
      </c>
      <c r="AM109" s="660"/>
      <c r="AO109" s="1307"/>
      <c r="AP109" s="1307"/>
      <c r="AQ109" s="1307"/>
      <c r="AR109" s="1307"/>
      <c r="AS109" s="1307"/>
      <c r="AT109" s="1307"/>
      <c r="AU109" s="1307"/>
      <c r="AV109" s="1307"/>
      <c r="AW109" s="1307"/>
      <c r="AX109" s="1307"/>
      <c r="AY109" s="1307"/>
      <c r="AZ109" s="1307"/>
      <c r="BA109" s="1307"/>
      <c r="BB109" s="1307"/>
      <c r="BC109" s="1307"/>
    </row>
    <row r="110" spans="3:55" x14ac:dyDescent="0.3">
      <c r="C110" s="173"/>
      <c r="D110" s="72"/>
      <c r="E110" s="72"/>
      <c r="F110" s="72"/>
      <c r="G110" s="72"/>
      <c r="H110" s="72"/>
      <c r="I110" s="84"/>
      <c r="J110" s="462"/>
      <c r="K110" s="265"/>
      <c r="L110" s="265"/>
      <c r="M110" s="265"/>
      <c r="N110" s="265"/>
      <c r="O110" s="265"/>
      <c r="P110" s="265"/>
      <c r="Q110" s="77"/>
      <c r="R110" s="84"/>
      <c r="S110" s="84"/>
      <c r="T110" s="84"/>
      <c r="U110" s="84"/>
      <c r="V110" s="84"/>
      <c r="W110" s="315"/>
      <c r="X110" s="315"/>
      <c r="Y110" s="275"/>
      <c r="Z110" s="275"/>
      <c r="AA110" s="275"/>
      <c r="AB110" s="275"/>
      <c r="AC110" s="275"/>
      <c r="AD110" s="275"/>
      <c r="AE110" s="275"/>
      <c r="AF110" s="275"/>
      <c r="AG110" s="275"/>
      <c r="AH110" s="275"/>
      <c r="AI110" s="275"/>
      <c r="AJ110" s="275"/>
      <c r="AK110" s="275"/>
      <c r="AL110" s="275"/>
      <c r="AM110" s="660"/>
      <c r="AO110" s="1307"/>
      <c r="AP110" s="1307"/>
      <c r="AQ110" s="1307"/>
      <c r="AR110" s="1307"/>
      <c r="AS110" s="1307"/>
      <c r="AT110" s="1307"/>
      <c r="AU110" s="1307"/>
      <c r="AV110" s="1307"/>
      <c r="AW110" s="1307"/>
      <c r="AX110" s="1307"/>
      <c r="AY110" s="1307"/>
      <c r="AZ110" s="1307"/>
      <c r="BA110" s="1307"/>
      <c r="BB110" s="1307"/>
      <c r="BC110" s="1307"/>
    </row>
    <row r="111" spans="3:55" x14ac:dyDescent="0.3">
      <c r="C111" s="173"/>
      <c r="D111" s="72"/>
      <c r="E111" s="72" t="s">
        <v>140</v>
      </c>
      <c r="F111" s="72"/>
      <c r="G111" s="72"/>
      <c r="H111" s="72"/>
      <c r="I111" s="84"/>
      <c r="J111" s="462"/>
      <c r="K111" s="265"/>
      <c r="L111" s="265"/>
      <c r="M111" s="265"/>
      <c r="N111" s="265"/>
      <c r="O111" s="265"/>
      <c r="P111" s="265"/>
      <c r="Q111" s="77"/>
      <c r="R111" s="275"/>
      <c r="S111" s="275"/>
      <c r="T111" s="275"/>
      <c r="U111" s="275"/>
      <c r="V111" s="275"/>
      <c r="W111" s="1527">
        <f t="shared" ref="W111:AG111" ca="1" si="23">W103-W105-W109</f>
        <v>23.453881273076171</v>
      </c>
      <c r="X111" s="1527">
        <f t="shared" ca="1" si="23"/>
        <v>26.639195816163372</v>
      </c>
      <c r="Y111" s="1527">
        <f t="shared" ca="1" si="23"/>
        <v>29.158570786128298</v>
      </c>
      <c r="Z111" s="1527">
        <f t="shared" ca="1" si="23"/>
        <v>35.249581022924168</v>
      </c>
      <c r="AA111" s="1527">
        <f t="shared" ca="1" si="23"/>
        <v>32.369238467019159</v>
      </c>
      <c r="AB111" s="1527">
        <f t="shared" ca="1" si="23"/>
        <v>37.185723093740535</v>
      </c>
      <c r="AC111" s="1527">
        <f t="shared" ca="1" si="23"/>
        <v>40.491244912308517</v>
      </c>
      <c r="AD111" s="1527">
        <f t="shared" ca="1" si="23"/>
        <v>43.111601983280593</v>
      </c>
      <c r="AE111" s="1527">
        <f t="shared" ca="1" si="23"/>
        <v>46.758989060549652</v>
      </c>
      <c r="AF111" s="1527">
        <f t="shared" ca="1" si="23"/>
        <v>51.628613189548382</v>
      </c>
      <c r="AG111" s="1527">
        <f t="shared" ca="1" si="23"/>
        <v>56.321169472868164</v>
      </c>
      <c r="AH111" s="1527">
        <f ca="1">AH103-AH105-AH109</f>
        <v>65.947550020670562</v>
      </c>
      <c r="AI111" s="1527">
        <f ca="1">AI103-AI105-AI109</f>
        <v>68.284383398221905</v>
      </c>
      <c r="AJ111" s="1527">
        <f ca="1">AJ103-AJ105-AJ109</f>
        <v>71.014716797536465</v>
      </c>
      <c r="AK111" s="1527">
        <f ca="1">AK103-AK105-AK109</f>
        <v>75.220320005440442</v>
      </c>
      <c r="AL111" s="1527">
        <f ca="1">AL103-AL105-AL109</f>
        <v>80.397828642606513</v>
      </c>
      <c r="AM111" s="660"/>
      <c r="AO111" s="1307"/>
      <c r="AP111" s="1307"/>
      <c r="AQ111" s="1307"/>
      <c r="AR111" s="1307"/>
      <c r="AS111" s="1307"/>
      <c r="AT111" s="1307"/>
      <c r="AU111" s="1307"/>
      <c r="AV111" s="1307"/>
      <c r="AW111" s="1307"/>
      <c r="AX111" s="1307"/>
      <c r="AY111" s="1307"/>
      <c r="AZ111" s="1307"/>
      <c r="BA111" s="1307"/>
      <c r="BB111" s="1307"/>
      <c r="BC111" s="1307"/>
    </row>
    <row r="112" spans="3:55" x14ac:dyDescent="0.3">
      <c r="C112" s="173"/>
      <c r="D112" s="72"/>
      <c r="E112" s="72"/>
      <c r="F112" s="72"/>
      <c r="G112" s="72"/>
      <c r="H112" s="72"/>
      <c r="I112" s="84"/>
      <c r="J112" s="462"/>
      <c r="K112" s="275"/>
      <c r="L112" s="275"/>
      <c r="M112" s="275"/>
      <c r="N112" s="275"/>
      <c r="O112" s="275"/>
      <c r="P112" s="275"/>
      <c r="Q112" s="275"/>
      <c r="R112" s="275"/>
      <c r="S112" s="275"/>
      <c r="T112" s="275"/>
      <c r="U112" s="275"/>
      <c r="V112" s="275"/>
      <c r="W112" s="315"/>
      <c r="X112" s="315"/>
      <c r="Y112" s="315"/>
      <c r="Z112" s="315"/>
      <c r="AA112" s="315"/>
      <c r="AB112" s="315"/>
      <c r="AC112" s="315"/>
      <c r="AD112" s="315"/>
      <c r="AE112" s="315"/>
      <c r="AF112" s="315"/>
      <c r="AG112" s="315"/>
      <c r="AH112" s="315"/>
      <c r="AI112" s="315"/>
      <c r="AJ112" s="315"/>
      <c r="AK112" s="315"/>
      <c r="AL112" s="315"/>
      <c r="AM112" s="660"/>
      <c r="AO112" s="1307"/>
      <c r="AP112" s="1307"/>
      <c r="AQ112" s="1307"/>
      <c r="AR112" s="1307"/>
      <c r="AS112" s="1307"/>
      <c r="AT112" s="1307"/>
      <c r="AU112" s="1307"/>
      <c r="AV112" s="1307"/>
      <c r="AW112" s="1307"/>
      <c r="AX112" s="1307"/>
      <c r="AY112" s="1307"/>
      <c r="AZ112" s="1307"/>
      <c r="BA112" s="1307"/>
      <c r="BB112" s="1307"/>
      <c r="BC112" s="1307"/>
    </row>
    <row r="113" spans="3:55" ht="12.5" thickBot="1" x14ac:dyDescent="0.35">
      <c r="C113" s="179"/>
      <c r="D113" s="180"/>
      <c r="E113" s="180"/>
      <c r="F113" s="180"/>
      <c r="G113" s="180"/>
      <c r="H113" s="180"/>
      <c r="I113" s="197"/>
      <c r="J113" s="180"/>
      <c r="K113" s="232"/>
      <c r="L113" s="232"/>
      <c r="M113" s="232"/>
      <c r="N113" s="232"/>
      <c r="O113" s="232"/>
      <c r="P113" s="232"/>
      <c r="Q113" s="232"/>
      <c r="R113" s="232"/>
      <c r="S113" s="232"/>
      <c r="T113" s="232"/>
      <c r="U113" s="232"/>
      <c r="V113" s="695"/>
      <c r="W113" s="695"/>
      <c r="X113" s="695"/>
      <c r="Y113" s="695"/>
      <c r="Z113" s="695"/>
      <c r="AA113" s="695"/>
      <c r="AB113" s="695"/>
      <c r="AC113" s="695"/>
      <c r="AD113" s="695"/>
      <c r="AE113" s="695"/>
      <c r="AF113" s="695"/>
      <c r="AG113" s="695"/>
      <c r="AH113" s="695"/>
      <c r="AI113" s="695"/>
      <c r="AJ113" s="695"/>
      <c r="AK113" s="695"/>
      <c r="AL113" s="695"/>
      <c r="AM113" s="556"/>
      <c r="AO113" s="1307"/>
      <c r="AP113" s="1307"/>
      <c r="AQ113" s="1307"/>
      <c r="AR113" s="1307"/>
      <c r="AS113" s="1307"/>
      <c r="AT113" s="1307"/>
      <c r="AU113" s="1307"/>
      <c r="AV113" s="1307"/>
      <c r="AW113" s="1307"/>
      <c r="AX113" s="1307"/>
      <c r="AY113" s="1307"/>
      <c r="AZ113" s="1307"/>
      <c r="BA113" s="1307"/>
      <c r="BB113" s="1307"/>
      <c r="BC113" s="1307"/>
    </row>
    <row r="114" spans="3:55" x14ac:dyDescent="0.3">
      <c r="K114" s="684"/>
      <c r="L114" s="684"/>
      <c r="M114" s="684"/>
      <c r="N114" s="684"/>
      <c r="O114" s="684"/>
      <c r="P114" s="684"/>
      <c r="Q114" s="684"/>
      <c r="R114" s="684"/>
      <c r="S114" s="77"/>
      <c r="T114" s="77"/>
      <c r="U114" s="77"/>
      <c r="AO114" s="1307"/>
      <c r="AP114" s="1307"/>
      <c r="AQ114" s="1307"/>
      <c r="AR114" s="1307"/>
      <c r="AS114" s="1307"/>
      <c r="AT114" s="1307"/>
      <c r="AU114" s="1307"/>
      <c r="AV114" s="1307"/>
      <c r="AW114" s="1307"/>
      <c r="AX114" s="1307"/>
      <c r="AY114" s="1307"/>
      <c r="AZ114" s="1307"/>
      <c r="BA114" s="1307"/>
      <c r="BB114" s="1307"/>
      <c r="BC114" s="1307"/>
    </row>
    <row r="115" spans="3:55" ht="12.5" thickBot="1" x14ac:dyDescent="0.35">
      <c r="C115" s="180"/>
      <c r="D115" s="180"/>
      <c r="E115" s="180"/>
      <c r="F115" s="180"/>
      <c r="G115" s="180"/>
      <c r="H115" s="180"/>
      <c r="I115" s="197"/>
      <c r="J115" s="180"/>
      <c r="K115" s="696"/>
      <c r="L115" s="696"/>
      <c r="M115" s="696"/>
      <c r="N115" s="696"/>
      <c r="O115" s="696"/>
      <c r="P115" s="696"/>
      <c r="Q115" s="696"/>
      <c r="R115" s="696"/>
      <c r="S115" s="197"/>
      <c r="T115" s="197"/>
      <c r="U115" s="197"/>
      <c r="V115" s="180"/>
      <c r="W115" s="180"/>
      <c r="X115" s="180"/>
      <c r="Y115" s="180"/>
      <c r="Z115" s="180"/>
      <c r="AA115" s="180"/>
      <c r="AB115" s="180"/>
      <c r="AC115" s="180"/>
      <c r="AD115" s="180"/>
      <c r="AE115" s="180"/>
      <c r="AF115" s="180"/>
      <c r="AG115" s="180"/>
      <c r="AH115" s="180"/>
      <c r="AI115" s="180"/>
      <c r="AJ115" s="180"/>
      <c r="AK115" s="180"/>
      <c r="AL115" s="180"/>
      <c r="AM115" s="180"/>
      <c r="AO115" s="1307"/>
      <c r="AP115" s="1307"/>
      <c r="AQ115" s="1307"/>
      <c r="AR115" s="1307"/>
      <c r="AS115" s="1307"/>
      <c r="AT115" s="1307"/>
      <c r="AU115" s="1307"/>
      <c r="AV115" s="1307"/>
      <c r="AW115" s="1307"/>
      <c r="AX115" s="1307"/>
      <c r="AY115" s="1307"/>
      <c r="AZ115" s="1307"/>
      <c r="BA115" s="1307"/>
      <c r="BB115" s="1307"/>
      <c r="BC115" s="1307"/>
    </row>
    <row r="116" spans="3:55" x14ac:dyDescent="0.3">
      <c r="C116" s="173"/>
      <c r="E116" s="72"/>
      <c r="F116" s="72"/>
      <c r="G116" s="72"/>
      <c r="H116" s="72"/>
      <c r="I116" s="84"/>
      <c r="J116" s="72"/>
      <c r="K116" s="221"/>
      <c r="L116" s="221"/>
      <c r="M116" s="221"/>
      <c r="N116" s="221"/>
      <c r="O116" s="221"/>
      <c r="P116" s="221"/>
      <c r="Q116" s="221"/>
      <c r="R116" s="221"/>
      <c r="S116" s="221"/>
      <c r="T116" s="221"/>
      <c r="U116" s="221"/>
      <c r="V116" s="178"/>
      <c r="W116" s="178"/>
      <c r="X116" s="178"/>
      <c r="Y116" s="178"/>
      <c r="Z116" s="178"/>
      <c r="AA116" s="178"/>
      <c r="AB116" s="178"/>
      <c r="AC116" s="178"/>
      <c r="AD116" s="178"/>
      <c r="AE116" s="178"/>
      <c r="AF116" s="178"/>
      <c r="AG116" s="178"/>
      <c r="AH116" s="178"/>
      <c r="AI116" s="178"/>
      <c r="AJ116" s="178"/>
      <c r="AK116" s="178"/>
      <c r="AL116" s="178"/>
      <c r="AM116" s="175"/>
      <c r="AO116" s="1307"/>
      <c r="AP116" s="1307"/>
      <c r="AQ116" s="1307"/>
      <c r="AR116" s="1307"/>
      <c r="AS116" s="1307"/>
      <c r="AT116" s="1307"/>
      <c r="AU116" s="1307"/>
      <c r="AV116" s="1307"/>
      <c r="AW116" s="1307"/>
      <c r="AX116" s="1307"/>
      <c r="AY116" s="1307"/>
      <c r="AZ116" s="1307"/>
      <c r="BA116" s="1307"/>
      <c r="BB116" s="1307"/>
      <c r="BC116" s="1307"/>
    </row>
    <row r="117" spans="3:55" x14ac:dyDescent="0.3">
      <c r="C117" s="173"/>
      <c r="D117" s="666" t="s">
        <v>141</v>
      </c>
      <c r="E117" s="72"/>
      <c r="F117" s="72"/>
      <c r="G117" s="72"/>
      <c r="H117" s="72"/>
      <c r="I117" s="84"/>
      <c r="J117" s="72"/>
      <c r="K117" s="221"/>
      <c r="L117" s="221"/>
      <c r="M117" s="221"/>
      <c r="N117" s="221"/>
      <c r="O117" s="221"/>
      <c r="P117" s="221"/>
      <c r="Q117" s="221"/>
      <c r="R117" s="221"/>
      <c r="S117" s="221"/>
      <c r="T117" s="221"/>
      <c r="U117" s="221"/>
      <c r="V117" s="178"/>
      <c r="W117" s="178"/>
      <c r="X117" s="178"/>
      <c r="Y117" s="178"/>
      <c r="Z117" s="178"/>
      <c r="AA117" s="178"/>
      <c r="AB117" s="178"/>
      <c r="AC117" s="178"/>
      <c r="AD117" s="178"/>
      <c r="AE117" s="178"/>
      <c r="AF117" s="178"/>
      <c r="AG117" s="178"/>
      <c r="AH117" s="178"/>
      <c r="AI117" s="178"/>
      <c r="AJ117" s="178"/>
      <c r="AK117" s="178"/>
      <c r="AL117" s="178"/>
      <c r="AM117" s="175"/>
      <c r="AO117" s="1307"/>
      <c r="AP117" s="1307"/>
      <c r="AQ117" s="1307"/>
      <c r="AR117" s="1307"/>
      <c r="AS117" s="1307"/>
      <c r="AT117" s="1307"/>
      <c r="AU117" s="1307"/>
      <c r="AV117" s="1307"/>
      <c r="AW117" s="1307"/>
      <c r="AX117" s="1307"/>
      <c r="AY117" s="1307"/>
      <c r="AZ117" s="1307"/>
      <c r="BA117" s="1307"/>
      <c r="BB117" s="1307"/>
      <c r="BC117" s="1307"/>
    </row>
    <row r="118" spans="3:55" x14ac:dyDescent="0.3">
      <c r="C118" s="173"/>
      <c r="D118" s="226" t="s">
        <v>126</v>
      </c>
      <c r="E118" s="72"/>
      <c r="F118" s="72"/>
      <c r="G118" s="72"/>
      <c r="H118" s="72"/>
      <c r="I118" s="84"/>
      <c r="J118" s="72"/>
      <c r="K118" s="221"/>
      <c r="L118" s="221"/>
      <c r="M118" s="221"/>
      <c r="N118" s="221"/>
      <c r="O118" s="221"/>
      <c r="P118" s="221"/>
      <c r="Q118" s="221"/>
      <c r="R118" s="221"/>
      <c r="S118" s="221"/>
      <c r="T118" s="221"/>
      <c r="U118" s="221"/>
      <c r="V118" s="178"/>
      <c r="W118" s="178"/>
      <c r="X118" s="178"/>
      <c r="Y118" s="178"/>
      <c r="Z118" s="178"/>
      <c r="AA118" s="178"/>
      <c r="AB118" s="178"/>
      <c r="AC118" s="178"/>
      <c r="AD118" s="178"/>
      <c r="AE118" s="178"/>
      <c r="AF118" s="178"/>
      <c r="AG118" s="178"/>
      <c r="AH118" s="178"/>
      <c r="AI118" s="178"/>
      <c r="AJ118" s="178"/>
      <c r="AK118" s="178"/>
      <c r="AL118" s="178"/>
      <c r="AM118" s="175"/>
      <c r="AO118" s="1307"/>
      <c r="AP118" s="1307"/>
      <c r="AQ118" s="1307"/>
      <c r="AR118" s="1307"/>
      <c r="AS118" s="1307"/>
      <c r="AT118" s="1307"/>
      <c r="AU118" s="1307"/>
      <c r="AV118" s="1307"/>
      <c r="AW118" s="1307"/>
      <c r="AX118" s="1307"/>
      <c r="AY118" s="1307"/>
      <c r="AZ118" s="1307"/>
      <c r="BA118" s="1307"/>
      <c r="BB118" s="1307"/>
      <c r="BC118" s="1307"/>
    </row>
    <row r="119" spans="3:55" x14ac:dyDescent="0.3">
      <c r="C119" s="173"/>
      <c r="D119" s="697"/>
      <c r="E119" s="72"/>
      <c r="F119" s="72"/>
      <c r="G119" s="72"/>
      <c r="H119" s="72"/>
      <c r="I119" s="84"/>
      <c r="J119" s="72"/>
      <c r="K119" s="221"/>
      <c r="L119" s="221"/>
      <c r="M119" s="221"/>
      <c r="N119" s="221"/>
      <c r="O119" s="221"/>
      <c r="P119" s="221"/>
      <c r="Q119" s="221"/>
      <c r="R119" s="221"/>
      <c r="S119" s="221"/>
      <c r="T119" s="221"/>
      <c r="U119" s="221"/>
      <c r="V119" s="178"/>
      <c r="W119" s="178"/>
      <c r="X119" s="178"/>
      <c r="Y119" s="178"/>
      <c r="Z119" s="178"/>
      <c r="AA119" s="178"/>
      <c r="AB119" s="178"/>
      <c r="AC119" s="178"/>
      <c r="AD119" s="178"/>
      <c r="AE119" s="178"/>
      <c r="AF119" s="178"/>
      <c r="AG119" s="178"/>
      <c r="AH119" s="178"/>
      <c r="AI119" s="178"/>
      <c r="AJ119" s="178"/>
      <c r="AK119" s="178"/>
      <c r="AL119" s="178"/>
      <c r="AM119" s="175"/>
      <c r="AO119" s="1307"/>
      <c r="AP119" s="1307"/>
      <c r="AQ119" s="1307"/>
      <c r="AR119" s="1307"/>
      <c r="AS119" s="1307"/>
      <c r="AT119" s="1307"/>
      <c r="AU119" s="1307"/>
      <c r="AV119" s="1307"/>
      <c r="AW119" s="1307"/>
      <c r="AX119" s="1307"/>
      <c r="AY119" s="1307"/>
      <c r="AZ119" s="1307"/>
      <c r="BA119" s="1307"/>
      <c r="BB119" s="1307"/>
      <c r="BC119" s="1307"/>
    </row>
    <row r="120" spans="3:55" x14ac:dyDescent="0.3">
      <c r="C120" s="173"/>
      <c r="D120" s="72"/>
      <c r="E120" s="72"/>
      <c r="F120" s="72"/>
      <c r="G120" s="72"/>
      <c r="H120" s="72"/>
      <c r="I120" s="84"/>
      <c r="J120" s="72"/>
      <c r="K120" s="221"/>
      <c r="L120" s="221"/>
      <c r="M120" s="221"/>
      <c r="N120" s="221"/>
      <c r="O120" s="221"/>
      <c r="P120" s="221"/>
      <c r="Q120" s="221"/>
      <c r="R120" s="221"/>
      <c r="S120" s="221"/>
      <c r="T120" s="221"/>
      <c r="U120" s="221"/>
      <c r="V120" s="178"/>
      <c r="W120" s="178"/>
      <c r="X120" s="178"/>
      <c r="Y120" s="178"/>
      <c r="Z120" s="178"/>
      <c r="AA120" s="178"/>
      <c r="AB120" s="178"/>
      <c r="AC120" s="178"/>
      <c r="AD120" s="178"/>
      <c r="AE120" s="178"/>
      <c r="AF120" s="178"/>
      <c r="AG120" s="178"/>
      <c r="AH120" s="178"/>
      <c r="AI120" s="178"/>
      <c r="AJ120" s="178"/>
      <c r="AK120" s="178"/>
      <c r="AL120" s="178"/>
      <c r="AM120" s="175"/>
      <c r="AO120" s="1307"/>
      <c r="AP120" s="1307"/>
      <c r="AQ120" s="1307"/>
      <c r="AR120" s="1307"/>
      <c r="AS120" s="1307"/>
      <c r="AT120" s="1307"/>
      <c r="AU120" s="1307"/>
      <c r="AV120" s="1307"/>
      <c r="AW120" s="1307"/>
      <c r="AX120" s="1307"/>
      <c r="AY120" s="1307"/>
      <c r="AZ120" s="1307"/>
      <c r="BA120" s="1307"/>
      <c r="BB120" s="1307"/>
      <c r="BC120" s="1307"/>
    </row>
    <row r="121" spans="3:55" x14ac:dyDescent="0.3">
      <c r="C121" s="173"/>
      <c r="D121" s="105" t="s">
        <v>142</v>
      </c>
      <c r="E121" s="72"/>
      <c r="F121" s="72"/>
      <c r="G121" s="72"/>
      <c r="H121" s="72"/>
      <c r="I121" s="84"/>
      <c r="J121" s="72"/>
      <c r="K121" s="221"/>
      <c r="L121" s="221"/>
      <c r="M121" s="221"/>
      <c r="N121" s="221"/>
      <c r="O121" s="221"/>
      <c r="P121" s="221"/>
      <c r="Q121" s="221"/>
      <c r="R121" s="221"/>
      <c r="S121" s="221"/>
      <c r="T121" s="221"/>
      <c r="U121" s="221"/>
      <c r="V121" s="178"/>
      <c r="W121" s="178"/>
      <c r="X121" s="178"/>
      <c r="Y121" s="178"/>
      <c r="Z121" s="178"/>
      <c r="AA121" s="221"/>
      <c r="AB121" s="221"/>
      <c r="AC121" s="221"/>
      <c r="AD121" s="221"/>
      <c r="AE121" s="221"/>
      <c r="AF121" s="221"/>
      <c r="AG121" s="221"/>
      <c r="AH121" s="221"/>
      <c r="AI121" s="221"/>
      <c r="AJ121" s="221"/>
      <c r="AK121" s="221"/>
      <c r="AL121" s="221"/>
      <c r="AM121" s="175"/>
      <c r="AO121" s="1307"/>
      <c r="AP121" s="1307"/>
      <c r="AQ121" s="1307"/>
      <c r="AR121" s="1307"/>
      <c r="AS121" s="1307"/>
      <c r="AT121" s="1307"/>
      <c r="AU121" s="1307"/>
      <c r="AV121" s="1307"/>
      <c r="AW121" s="1307"/>
      <c r="AX121" s="1307"/>
      <c r="AY121" s="1307"/>
      <c r="AZ121" s="1307"/>
      <c r="BA121" s="1307"/>
      <c r="BB121" s="1307"/>
      <c r="BC121" s="1307"/>
    </row>
    <row r="122" spans="3:55" x14ac:dyDescent="0.3">
      <c r="C122" s="173"/>
      <c r="E122" s="72" t="s">
        <v>71</v>
      </c>
      <c r="F122" s="72"/>
      <c r="G122" s="72"/>
      <c r="H122" s="72"/>
      <c r="I122" s="84"/>
      <c r="J122" s="72"/>
      <c r="K122" s="221"/>
      <c r="L122" s="221"/>
      <c r="M122" s="221"/>
      <c r="N122" s="221"/>
      <c r="O122" s="221"/>
      <c r="P122" s="221"/>
      <c r="Q122" s="221"/>
      <c r="R122" s="221"/>
      <c r="S122" s="221"/>
      <c r="T122" s="221"/>
      <c r="U122" s="221"/>
      <c r="V122" s="221"/>
      <c r="W122" s="297">
        <f t="shared" ref="W122:AB122" si="24">+W83</f>
        <v>82.169127114079743</v>
      </c>
      <c r="X122" s="297">
        <f t="shared" si="24"/>
        <v>85.885608173134699</v>
      </c>
      <c r="Y122" s="297">
        <f t="shared" si="24"/>
        <v>86.065441362532098</v>
      </c>
      <c r="Z122" s="297">
        <f t="shared" si="24"/>
        <v>88.994747670894739</v>
      </c>
      <c r="AA122" s="1527">
        <f t="shared" si="24"/>
        <v>91.184265547170497</v>
      </c>
      <c r="AB122" s="1527">
        <f t="shared" si="24"/>
        <v>100.81581395191769</v>
      </c>
      <c r="AC122" s="1527">
        <f t="shared" ref="AC122:AL122" si="25">+AC83</f>
        <v>107.54155120184726</v>
      </c>
      <c r="AD122" s="1527">
        <f t="shared" si="25"/>
        <v>114.09105306104472</v>
      </c>
      <c r="AE122" s="1527">
        <f t="shared" si="25"/>
        <v>121.08887348822337</v>
      </c>
      <c r="AF122" s="1527">
        <f t="shared" si="25"/>
        <v>128.51884646180207</v>
      </c>
      <c r="AG122" s="1527">
        <f t="shared" si="25"/>
        <v>136.15831645085956</v>
      </c>
      <c r="AH122" s="1527">
        <f t="shared" si="25"/>
        <v>143.48118358954432</v>
      </c>
      <c r="AI122" s="1527">
        <f t="shared" si="25"/>
        <v>152.04432538014279</v>
      </c>
      <c r="AJ122" s="1527">
        <f t="shared" si="25"/>
        <v>161.12379204516751</v>
      </c>
      <c r="AK122" s="1527">
        <f t="shared" si="25"/>
        <v>170.75097135510975</v>
      </c>
      <c r="AL122" s="1527">
        <f t="shared" si="25"/>
        <v>180.9591717665574</v>
      </c>
      <c r="AM122" s="175"/>
      <c r="AO122" s="1307"/>
      <c r="AP122" s="1307"/>
      <c r="AQ122" s="1307"/>
      <c r="AR122" s="1307"/>
      <c r="AS122" s="1307"/>
      <c r="AT122" s="1307"/>
      <c r="AU122" s="1307"/>
      <c r="AV122" s="1307"/>
      <c r="AW122" s="1307"/>
      <c r="AX122" s="1307"/>
      <c r="AY122" s="1307"/>
      <c r="AZ122" s="1307"/>
      <c r="BA122" s="1307"/>
      <c r="BB122" s="1307"/>
      <c r="BC122" s="1307"/>
    </row>
    <row r="123" spans="3:55" x14ac:dyDescent="0.3">
      <c r="C123" s="173"/>
      <c r="E123" s="72" t="s">
        <v>74</v>
      </c>
      <c r="F123" s="72"/>
      <c r="G123" s="72"/>
      <c r="H123" s="72"/>
      <c r="I123" s="84"/>
      <c r="J123" s="72"/>
      <c r="K123" s="221"/>
      <c r="L123" s="221"/>
      <c r="M123" s="221"/>
      <c r="N123" s="221"/>
      <c r="O123" s="221"/>
      <c r="P123" s="221"/>
      <c r="Q123" s="221"/>
      <c r="R123" s="221"/>
      <c r="S123" s="221"/>
      <c r="T123" s="221"/>
      <c r="U123" s="221"/>
      <c r="V123" s="221"/>
      <c r="W123" s="297">
        <f t="shared" ref="W123:AG123" ca="1" si="26">+W90</f>
        <v>4.1135719176755456</v>
      </c>
      <c r="X123" s="297">
        <f t="shared" ca="1" si="26"/>
        <v>5.5511330934400966</v>
      </c>
      <c r="Y123" s="297">
        <f t="shared" ca="1" si="26"/>
        <v>8.0131438643281587</v>
      </c>
      <c r="Z123" s="297">
        <f t="shared" ca="1" si="26"/>
        <v>3.5370648107338258</v>
      </c>
      <c r="AA123" s="1527">
        <f t="shared" ca="1" si="26"/>
        <v>3.6122653567527725</v>
      </c>
      <c r="AB123" s="1527">
        <f t="shared" ca="1" si="26"/>
        <v>3.8340566113544119</v>
      </c>
      <c r="AC123" s="1527">
        <f t="shared" ca="1" si="26"/>
        <v>3.988569092791995</v>
      </c>
      <c r="AD123" s="1527">
        <f t="shared" ca="1" si="26"/>
        <v>4.1493084272315119</v>
      </c>
      <c r="AE123" s="1527">
        <f t="shared" ca="1" si="26"/>
        <v>4.3165255568489425</v>
      </c>
      <c r="AF123" s="1527">
        <f t="shared" ca="1" si="26"/>
        <v>4.4904815367899555</v>
      </c>
      <c r="AG123" s="1527">
        <f t="shared" ca="1" si="26"/>
        <v>4.6714479427225903</v>
      </c>
      <c r="AH123" s="1527">
        <f ca="1">+AH90</f>
        <v>4.859707294814311</v>
      </c>
      <c r="AI123" s="1527">
        <f ca="1">+AI90</f>
        <v>5.0555534987953283</v>
      </c>
      <c r="AJ123" s="1527">
        <f ca="1">+AJ90</f>
        <v>5.2592923047967801</v>
      </c>
      <c r="AK123" s="1527">
        <f ca="1">+AK90</f>
        <v>5.4712417846800907</v>
      </c>
      <c r="AL123" s="1527">
        <f ca="1">+AL90</f>
        <v>5.6917328286026976</v>
      </c>
      <c r="AM123" s="175"/>
      <c r="AO123" s="1307"/>
      <c r="AP123" s="1307"/>
      <c r="AQ123" s="1307"/>
      <c r="AR123" s="1307"/>
      <c r="AS123" s="1307"/>
      <c r="AT123" s="1307"/>
      <c r="AU123" s="1307"/>
      <c r="AV123" s="1307"/>
      <c r="AW123" s="1307"/>
      <c r="AX123" s="1307"/>
      <c r="AY123" s="1307"/>
      <c r="AZ123" s="1307"/>
      <c r="BA123" s="1307"/>
      <c r="BB123" s="1307"/>
      <c r="BC123" s="1307"/>
    </row>
    <row r="124" spans="3:55" x14ac:dyDescent="0.3">
      <c r="C124" s="173"/>
      <c r="E124" s="72" t="s">
        <v>143</v>
      </c>
      <c r="F124" s="72"/>
      <c r="G124" s="72"/>
      <c r="H124" s="72"/>
      <c r="I124" s="84"/>
      <c r="J124" s="72"/>
      <c r="K124" s="221"/>
      <c r="L124" s="221"/>
      <c r="M124" s="221"/>
      <c r="N124" s="221"/>
      <c r="O124" s="221"/>
      <c r="P124" s="221"/>
      <c r="Q124" s="221"/>
      <c r="R124" s="221"/>
      <c r="S124" s="221"/>
      <c r="T124" s="221"/>
      <c r="U124" s="221"/>
      <c r="V124" s="221"/>
      <c r="W124" s="297">
        <f t="shared" ref="W124:W125" ca="1" si="27">+W86</f>
        <v>1.6850000000000001</v>
      </c>
      <c r="X124" s="297">
        <f t="shared" ref="X124:AB125" ca="1" si="28">+X86</f>
        <v>1.8568371300000002</v>
      </c>
      <c r="Y124" s="297">
        <f t="shared" ca="1" si="28"/>
        <v>3.0440700699999996</v>
      </c>
      <c r="Z124" s="297">
        <f t="shared" ca="1" si="28"/>
        <v>3.4869999999999997</v>
      </c>
      <c r="AA124" s="1527">
        <f t="shared" ca="1" si="28"/>
        <v>3.9014527845036318</v>
      </c>
      <c r="AB124" s="1527">
        <f t="shared" ca="1" si="28"/>
        <v>4.141</v>
      </c>
      <c r="AC124" s="1527">
        <f t="shared" ref="AC124:AG125" ca="1" si="29">+AC86</f>
        <v>4.6452999999999998</v>
      </c>
      <c r="AD124" s="1527">
        <f t="shared" ca="1" si="29"/>
        <v>6.5245350000000002</v>
      </c>
      <c r="AE124" s="1527">
        <f t="shared" ca="1" si="29"/>
        <v>8.6434705699999999</v>
      </c>
      <c r="AF124" s="1527">
        <f t="shared" ca="1" si="29"/>
        <v>11.097516866600001</v>
      </c>
      <c r="AG124" s="1527">
        <f t="shared" ca="1" si="29"/>
        <v>14.096772743488001</v>
      </c>
      <c r="AH124" s="1527">
        <f t="shared" ref="AH124:AL125" ca="1" si="30">+AH86</f>
        <v>21.015320418910402</v>
      </c>
      <c r="AI124" s="1527">
        <f t="shared" ca="1" si="30"/>
        <v>21.645780031477717</v>
      </c>
      <c r="AJ124" s="1527">
        <f t="shared" ca="1" si="30"/>
        <v>22.295153432422051</v>
      </c>
      <c r="AK124" s="1527">
        <f t="shared" ca="1" si="30"/>
        <v>22.964008035394713</v>
      </c>
      <c r="AL124" s="1527">
        <f t="shared" ca="1" si="30"/>
        <v>23.652928276456553</v>
      </c>
      <c r="AM124" s="175"/>
      <c r="AO124" s="1307"/>
      <c r="AP124" s="1307"/>
      <c r="AQ124" s="1307"/>
      <c r="AR124" s="1307"/>
      <c r="AS124" s="1307"/>
      <c r="AT124" s="1307"/>
      <c r="AU124" s="1307"/>
      <c r="AV124" s="1307"/>
      <c r="AW124" s="1307"/>
      <c r="AX124" s="1307"/>
      <c r="AY124" s="1307"/>
      <c r="AZ124" s="1307"/>
      <c r="BA124" s="1307"/>
      <c r="BB124" s="1307"/>
      <c r="BC124" s="1307"/>
    </row>
    <row r="125" spans="3:55" x14ac:dyDescent="0.3">
      <c r="C125" s="173"/>
      <c r="E125" s="72" t="s">
        <v>131</v>
      </c>
      <c r="F125" s="72"/>
      <c r="G125" s="72"/>
      <c r="H125" s="72"/>
      <c r="I125" s="84"/>
      <c r="J125" s="72"/>
      <c r="K125" s="221"/>
      <c r="L125" s="221"/>
      <c r="M125" s="221"/>
      <c r="N125" s="221"/>
      <c r="O125" s="221"/>
      <c r="P125" s="221"/>
      <c r="Q125" s="221"/>
      <c r="R125" s="221"/>
      <c r="S125" s="221"/>
      <c r="T125" s="221"/>
      <c r="U125" s="221"/>
      <c r="V125" s="221"/>
      <c r="W125" s="297">
        <f t="shared" ca="1" si="27"/>
        <v>0</v>
      </c>
      <c r="X125" s="297">
        <f t="shared" ca="1" si="28"/>
        <v>0</v>
      </c>
      <c r="Y125" s="297">
        <f t="shared" ca="1" si="28"/>
        <v>0</v>
      </c>
      <c r="Z125" s="297">
        <f t="shared" ca="1" si="28"/>
        <v>0.41147949999999994</v>
      </c>
      <c r="AA125" s="1527">
        <f t="shared" ca="1" si="28"/>
        <v>0.42022785060463125</v>
      </c>
      <c r="AB125" s="1527">
        <f t="shared" ca="1" si="28"/>
        <v>0.44602962677534302</v>
      </c>
      <c r="AC125" s="1527">
        <f t="shared" ca="1" si="29"/>
        <v>0</v>
      </c>
      <c r="AD125" s="1527">
        <f t="shared" ca="1" si="29"/>
        <v>0</v>
      </c>
      <c r="AE125" s="1527">
        <f t="shared" ca="1" si="29"/>
        <v>0</v>
      </c>
      <c r="AF125" s="1527">
        <f t="shared" ca="1" si="29"/>
        <v>0</v>
      </c>
      <c r="AG125" s="1527">
        <f t="shared" ca="1" si="29"/>
        <v>0</v>
      </c>
      <c r="AH125" s="1527">
        <f t="shared" ca="1" si="30"/>
        <v>0</v>
      </c>
      <c r="AI125" s="1527">
        <f t="shared" ca="1" si="30"/>
        <v>0</v>
      </c>
      <c r="AJ125" s="1527">
        <f t="shared" ca="1" si="30"/>
        <v>0</v>
      </c>
      <c r="AK125" s="1527">
        <f t="shared" ca="1" si="30"/>
        <v>0</v>
      </c>
      <c r="AL125" s="1527">
        <f t="shared" ca="1" si="30"/>
        <v>0</v>
      </c>
      <c r="AM125" s="175"/>
      <c r="AO125" s="1307"/>
      <c r="AP125" s="1307"/>
      <c r="AQ125" s="1307"/>
      <c r="AR125" s="1307"/>
      <c r="AS125" s="1307"/>
      <c r="AT125" s="1307"/>
      <c r="AU125" s="1307"/>
      <c r="AV125" s="1307"/>
      <c r="AW125" s="1307"/>
      <c r="AX125" s="1307"/>
      <c r="AY125" s="1307"/>
      <c r="AZ125" s="1307"/>
      <c r="BA125" s="1307"/>
      <c r="BB125" s="1307"/>
      <c r="BC125" s="1307"/>
    </row>
    <row r="126" spans="3:55" x14ac:dyDescent="0.3">
      <c r="C126" s="173"/>
      <c r="E126" s="72" t="s">
        <v>38</v>
      </c>
      <c r="F126" s="72"/>
      <c r="G126" s="72"/>
      <c r="H126" s="72"/>
      <c r="I126" s="84"/>
      <c r="J126" s="72"/>
      <c r="K126" s="221"/>
      <c r="L126" s="221"/>
      <c r="M126" s="221"/>
      <c r="N126" s="221"/>
      <c r="O126" s="221"/>
      <c r="P126" s="221"/>
      <c r="Q126" s="221"/>
      <c r="R126" s="221"/>
      <c r="S126" s="221"/>
      <c r="T126" s="221"/>
      <c r="U126" s="221"/>
      <c r="V126" s="221"/>
      <c r="W126" s="297">
        <f t="shared" ref="W126:AG126" si="31">-W84</f>
        <v>0</v>
      </c>
      <c r="X126" s="297">
        <f t="shared" si="31"/>
        <v>0</v>
      </c>
      <c r="Y126" s="297">
        <f t="shared" si="31"/>
        <v>0</v>
      </c>
      <c r="Z126" s="297">
        <f t="shared" si="31"/>
        <v>0</v>
      </c>
      <c r="AA126" s="1527">
        <f t="shared" si="31"/>
        <v>0</v>
      </c>
      <c r="AB126" s="1527">
        <f t="shared" si="31"/>
        <v>0</v>
      </c>
      <c r="AC126" s="1527">
        <f t="shared" si="31"/>
        <v>-1.03</v>
      </c>
      <c r="AD126" s="1527">
        <f t="shared" si="31"/>
        <v>-1.0609</v>
      </c>
      <c r="AE126" s="1527">
        <f t="shared" si="31"/>
        <v>-1.092727</v>
      </c>
      <c r="AF126" s="1527">
        <f t="shared" si="31"/>
        <v>-1.1255088100000001</v>
      </c>
      <c r="AG126" s="1527">
        <f t="shared" si="31"/>
        <v>-1.1592740743000001</v>
      </c>
      <c r="AH126" s="1527">
        <f>-AH84</f>
        <v>-0.59702614826450007</v>
      </c>
      <c r="AI126" s="1527">
        <f>-AI84</f>
        <v>-0.6149369327124351</v>
      </c>
      <c r="AJ126" s="1527">
        <f>-AJ84</f>
        <v>-0.63338504069380819</v>
      </c>
      <c r="AK126" s="1527">
        <f>-AK84</f>
        <v>-0.65238659191462245</v>
      </c>
      <c r="AL126" s="1527">
        <f>-AL84</f>
        <v>-0.67195818967206111</v>
      </c>
      <c r="AM126" s="175"/>
      <c r="AO126" s="1307"/>
      <c r="AP126" s="1307"/>
      <c r="AQ126" s="1307"/>
      <c r="AR126" s="1307"/>
      <c r="AS126" s="1307"/>
      <c r="AT126" s="1307"/>
      <c r="AU126" s="1307"/>
      <c r="AV126" s="1307"/>
      <c r="AW126" s="1307"/>
      <c r="AX126" s="1307"/>
      <c r="AY126" s="1307"/>
      <c r="AZ126" s="1307"/>
      <c r="BA126" s="1307"/>
      <c r="BB126" s="1307"/>
      <c r="BC126" s="1307"/>
    </row>
    <row r="127" spans="3:55" x14ac:dyDescent="0.3">
      <c r="C127" s="173"/>
      <c r="E127" s="72"/>
      <c r="F127" s="72"/>
      <c r="G127" s="72"/>
      <c r="H127" s="72"/>
      <c r="I127" s="84"/>
      <c r="J127" s="72"/>
      <c r="K127" s="221"/>
      <c r="L127" s="221"/>
      <c r="M127" s="221"/>
      <c r="N127" s="221"/>
      <c r="O127" s="221"/>
      <c r="P127" s="221"/>
      <c r="Q127" s="221"/>
      <c r="R127" s="221"/>
      <c r="S127" s="221"/>
      <c r="T127" s="221"/>
      <c r="U127" s="221"/>
      <c r="V127" s="221"/>
      <c r="W127" s="462"/>
      <c r="X127" s="462"/>
      <c r="Y127" s="462"/>
      <c r="Z127" s="462"/>
      <c r="AA127" s="275"/>
      <c r="AB127" s="275"/>
      <c r="AC127" s="275"/>
      <c r="AD127" s="275"/>
      <c r="AE127" s="275"/>
      <c r="AF127" s="275"/>
      <c r="AG127" s="275"/>
      <c r="AH127" s="275"/>
      <c r="AI127" s="275"/>
      <c r="AJ127" s="275"/>
      <c r="AK127" s="275"/>
      <c r="AL127" s="275"/>
      <c r="AM127" s="175"/>
      <c r="AO127" s="1307"/>
      <c r="AP127" s="1307"/>
      <c r="AQ127" s="1307"/>
      <c r="AR127" s="1307"/>
      <c r="AS127" s="1307"/>
      <c r="AT127" s="1307"/>
      <c r="AU127" s="1307"/>
      <c r="AV127" s="1307"/>
      <c r="AW127" s="1307"/>
      <c r="AX127" s="1307"/>
      <c r="AY127" s="1307"/>
      <c r="AZ127" s="1307"/>
      <c r="BA127" s="1307"/>
      <c r="BB127" s="1307"/>
      <c r="BC127" s="1307"/>
    </row>
    <row r="128" spans="3:55" x14ac:dyDescent="0.3">
      <c r="C128" s="173"/>
      <c r="E128" s="72" t="s">
        <v>144</v>
      </c>
      <c r="F128" s="72"/>
      <c r="G128" s="72"/>
      <c r="H128" s="72"/>
      <c r="I128" s="84"/>
      <c r="J128" s="72"/>
      <c r="K128" s="221"/>
      <c r="L128" s="221"/>
      <c r="M128" s="221"/>
      <c r="N128" s="221"/>
      <c r="O128" s="221"/>
      <c r="P128" s="221"/>
      <c r="Q128" s="221"/>
      <c r="R128" s="221"/>
      <c r="S128" s="221"/>
      <c r="T128" s="221"/>
      <c r="U128" s="221"/>
      <c r="V128" s="221"/>
      <c r="W128" s="297">
        <f t="shared" ref="W128:AG128" ca="1" si="32">-SUM(W95:W96)</f>
        <v>-56.509329355932195</v>
      </c>
      <c r="X128" s="297">
        <f t="shared" ca="1" si="32"/>
        <v>-63.247855929613181</v>
      </c>
      <c r="Y128" s="297">
        <f t="shared" ca="1" si="32"/>
        <v>-62.749747671770244</v>
      </c>
      <c r="Z128" s="297">
        <f t="shared" ca="1" si="32"/>
        <v>-61.750960692543586</v>
      </c>
      <c r="AA128" s="1527">
        <f t="shared" ca="1" si="32"/>
        <v>-68.814474731744369</v>
      </c>
      <c r="AB128" s="1527">
        <f t="shared" ca="1" si="32"/>
        <v>-72.995986819939489</v>
      </c>
      <c r="AC128" s="1527">
        <f t="shared" ca="1" si="32"/>
        <v>-76.157918724962556</v>
      </c>
      <c r="AD128" s="1527">
        <f t="shared" ca="1" si="32"/>
        <v>-80.827222013613564</v>
      </c>
      <c r="AE128" s="1527">
        <f t="shared" ca="1" si="32"/>
        <v>-84.683062185124101</v>
      </c>
      <c r="AF128" s="1527">
        <f t="shared" ca="1" si="32"/>
        <v>-87.5691320492936</v>
      </c>
      <c r="AG128" s="1527">
        <f t="shared" ca="1" si="32"/>
        <v>-91.413415925051311</v>
      </c>
      <c r="AH128" s="1527">
        <f ca="1">-SUM(AH95:AH96)</f>
        <v>-92.338102720117121</v>
      </c>
      <c r="AI128" s="1527">
        <f ca="1">-SUM(AI95:AI96)</f>
        <v>-96.029243973449624</v>
      </c>
      <c r="AJ128" s="1527">
        <f ca="1">-SUM(AJ95:AJ96)</f>
        <v>-99.874218552114797</v>
      </c>
      <c r="AK128" s="1527">
        <f ca="1">-SUM(AK95:AK96)</f>
        <v>-103.87950755288914</v>
      </c>
      <c r="AL128" s="1527">
        <f ca="1">-SUM(AL95:AL96)</f>
        <v>-108.05186593880748</v>
      </c>
      <c r="AM128" s="175"/>
      <c r="AO128" s="1307"/>
      <c r="AP128" s="1307"/>
      <c r="AQ128" s="1307"/>
      <c r="AR128" s="1307"/>
      <c r="AS128" s="1307"/>
      <c r="AT128" s="1307"/>
      <c r="AU128" s="1307"/>
      <c r="AV128" s="1307"/>
      <c r="AW128" s="1307"/>
      <c r="AX128" s="1307"/>
      <c r="AY128" s="1307"/>
      <c r="AZ128" s="1307"/>
      <c r="BA128" s="1307"/>
      <c r="BB128" s="1307"/>
      <c r="BC128" s="1307"/>
    </row>
    <row r="129" spans="3:55" x14ac:dyDescent="0.3">
      <c r="C129" s="173"/>
      <c r="E129" s="72" t="s">
        <v>145</v>
      </c>
      <c r="F129" s="72"/>
      <c r="G129" s="72"/>
      <c r="H129" s="72"/>
      <c r="I129" s="84"/>
      <c r="J129" s="72"/>
      <c r="K129" s="221"/>
      <c r="L129" s="221"/>
      <c r="M129" s="221"/>
      <c r="N129" s="221"/>
      <c r="O129" s="221"/>
      <c r="P129" s="221"/>
      <c r="Q129" s="221"/>
      <c r="R129" s="221"/>
      <c r="S129" s="221"/>
      <c r="T129" s="221"/>
      <c r="U129" s="221"/>
      <c r="V129" s="221"/>
      <c r="W129" s="297">
        <f t="shared" ref="W129:AG129" ca="1" si="33">-W174</f>
        <v>-2.5233827532446633</v>
      </c>
      <c r="X129" s="297">
        <f t="shared" ca="1" si="33"/>
        <v>-3.9238140066607325</v>
      </c>
      <c r="Y129" s="297">
        <f t="shared" ca="1" si="33"/>
        <v>-4.7794655644863457</v>
      </c>
      <c r="Z129" s="297">
        <f t="shared" ca="1" si="33"/>
        <v>-6.8923908952816362</v>
      </c>
      <c r="AA129" s="1527">
        <f t="shared" ca="1" si="33"/>
        <v>-5.5769461080826437</v>
      </c>
      <c r="AB129" s="1527">
        <f t="shared" ca="1" si="33"/>
        <v>-7.56348162955471</v>
      </c>
      <c r="AC129" s="1527">
        <f t="shared" ca="1" si="33"/>
        <v>-8.923759385580091</v>
      </c>
      <c r="AD129" s="1527">
        <f t="shared" ca="1" si="33"/>
        <v>-9.7306591949338568</v>
      </c>
      <c r="AE129" s="1527">
        <f t="shared" ca="1" si="33"/>
        <v>-10.961771216243305</v>
      </c>
      <c r="AF129" s="1527">
        <f t="shared" ca="1" si="33"/>
        <v>-12.687989942688551</v>
      </c>
      <c r="AG129" s="1527">
        <f t="shared" ca="1" si="33"/>
        <v>-14.301151893374334</v>
      </c>
      <c r="AH129" s="1527">
        <f ca="1">-AH174</f>
        <v>-17.875002347980086</v>
      </c>
      <c r="AI129" s="1527">
        <f ca="1">-AI174</f>
        <v>-18.175845994328014</v>
      </c>
      <c r="AJ129" s="1527">
        <f ca="1">-AJ174</f>
        <v>-18.716512935575249</v>
      </c>
      <c r="AK129" s="1527">
        <f ca="1">-AK174</f>
        <v>-20.001259097784672</v>
      </c>
      <c r="AL129" s="1527">
        <f ca="1">-AL174</f>
        <v>-21.692353713783639</v>
      </c>
      <c r="AM129" s="175"/>
      <c r="AO129" s="1307"/>
      <c r="AP129" s="1307"/>
      <c r="AQ129" s="1307"/>
      <c r="AR129" s="1307"/>
      <c r="AS129" s="1307"/>
      <c r="AT129" s="1307"/>
      <c r="AU129" s="1307"/>
      <c r="AV129" s="1307"/>
      <c r="AW129" s="1307"/>
      <c r="AX129" s="1307"/>
      <c r="AY129" s="1307"/>
      <c r="AZ129" s="1307"/>
      <c r="BA129" s="1307"/>
      <c r="BB129" s="1307"/>
      <c r="BC129" s="1307"/>
    </row>
    <row r="130" spans="3:55" x14ac:dyDescent="0.3">
      <c r="C130" s="173"/>
      <c r="E130" s="72" t="s">
        <v>146</v>
      </c>
      <c r="F130" s="72"/>
      <c r="G130" s="72"/>
      <c r="H130" s="72"/>
      <c r="I130" s="84"/>
      <c r="J130" s="72"/>
      <c r="K130" s="221"/>
      <c r="L130" s="221"/>
      <c r="M130" s="221"/>
      <c r="N130" s="221"/>
      <c r="O130" s="221"/>
      <c r="P130" s="221"/>
      <c r="Q130" s="221"/>
      <c r="R130" s="221"/>
      <c r="S130" s="221"/>
      <c r="T130" s="221"/>
      <c r="U130" s="221"/>
      <c r="V130" s="221"/>
      <c r="W130" s="297">
        <f t="shared" ref="W130:AG130" si="34">+W189</f>
        <v>0.29852499999999998</v>
      </c>
      <c r="X130" s="297">
        <f t="shared" ca="1" si="34"/>
        <v>0.53437999999999997</v>
      </c>
      <c r="Y130" s="297">
        <f t="shared" ca="1" si="34"/>
        <v>0.25541000000000003</v>
      </c>
      <c r="Z130" s="297">
        <f t="shared" ca="1" si="34"/>
        <v>0.61129500000000003</v>
      </c>
      <c r="AA130" s="1527">
        <f t="shared" ca="1" si="34"/>
        <v>0.62057094601200691</v>
      </c>
      <c r="AB130" s="1527">
        <f t="shared" ca="1" si="34"/>
        <v>0.64792877534348203</v>
      </c>
      <c r="AC130" s="1527">
        <f t="shared" ca="1" si="34"/>
        <v>0.66698780498982435</v>
      </c>
      <c r="AD130" s="1527">
        <f t="shared" ca="1" si="34"/>
        <v>0.68681491353091428</v>
      </c>
      <c r="AE130" s="1527">
        <f t="shared" ca="1" si="34"/>
        <v>0.70744105454621009</v>
      </c>
      <c r="AF130" s="1527">
        <f t="shared" ca="1" si="34"/>
        <v>0.72889842904442237</v>
      </c>
      <c r="AG130" s="1527">
        <f t="shared" ca="1" si="34"/>
        <v>0.75122053573491243</v>
      </c>
      <c r="AH130" s="1527">
        <f ca="1">+AH189</f>
        <v>0.77444222332502943</v>
      </c>
      <c r="AI130" s="1527">
        <f ca="1">+AI189</f>
        <v>0.79859974492502817</v>
      </c>
      <c r="AJ130" s="1527">
        <f ca="1">+AJ189</f>
        <v>0.82373081464550679</v>
      </c>
      <c r="AK130" s="1527">
        <f ca="1">+AK189</f>
        <v>0.84987466647572074</v>
      </c>
      <c r="AL130" s="1527">
        <f ca="1">+AL189</f>
        <v>0.87707211553469222</v>
      </c>
      <c r="AM130" s="175"/>
      <c r="AO130" s="1307"/>
      <c r="AP130" s="1307"/>
      <c r="AQ130" s="1307"/>
      <c r="AR130" s="1307"/>
      <c r="AS130" s="1307"/>
      <c r="AT130" s="1307"/>
      <c r="AU130" s="1307"/>
      <c r="AV130" s="1307"/>
      <c r="AW130" s="1307"/>
      <c r="AX130" s="1307"/>
      <c r="AY130" s="1307"/>
      <c r="AZ130" s="1307"/>
      <c r="BA130" s="1307"/>
      <c r="BB130" s="1307"/>
      <c r="BC130" s="1307"/>
    </row>
    <row r="131" spans="3:55" x14ac:dyDescent="0.3">
      <c r="C131" s="173"/>
      <c r="E131" s="72" t="s">
        <v>147</v>
      </c>
      <c r="F131" s="72"/>
      <c r="G131" s="72"/>
      <c r="H131" s="72"/>
      <c r="I131" s="84"/>
      <c r="J131" s="72"/>
      <c r="K131" s="221"/>
      <c r="L131" s="221"/>
      <c r="M131" s="221"/>
      <c r="N131" s="221"/>
      <c r="O131" s="221"/>
      <c r="P131" s="221"/>
      <c r="Q131" s="221"/>
      <c r="R131" s="221"/>
      <c r="S131" s="221"/>
      <c r="T131" s="221"/>
      <c r="U131" s="221"/>
      <c r="V131" s="221"/>
      <c r="W131" s="297">
        <f t="shared" ref="W131:AG131" si="35">-W195</f>
        <v>-7.7943500000000006</v>
      </c>
      <c r="X131" s="297">
        <f t="shared" ca="1" si="35"/>
        <v>-7.1133419038710795</v>
      </c>
      <c r="Y131" s="297">
        <f t="shared" ca="1" si="35"/>
        <v>-6.8022929420495881</v>
      </c>
      <c r="Z131" s="297">
        <f t="shared" ca="1" si="35"/>
        <v>-6.649081970621884</v>
      </c>
      <c r="AA131" s="1527">
        <f t="shared" ca="1" si="35"/>
        <v>-6.8592150584396574</v>
      </c>
      <c r="AB131" s="1527">
        <f t="shared" ca="1" si="35"/>
        <v>-7.3046937806493535</v>
      </c>
      <c r="AC131" s="1527">
        <f t="shared" ca="1" si="35"/>
        <v>-8.0564996667040827</v>
      </c>
      <c r="AD131" s="1527">
        <f t="shared" ca="1" si="35"/>
        <v>-9.2799722649916596</v>
      </c>
      <c r="AE131" s="1527">
        <f t="shared" ca="1" si="35"/>
        <v>-10.586718137880542</v>
      </c>
      <c r="AF131" s="1527">
        <f t="shared" ca="1" si="35"/>
        <v>-11.935404713662429</v>
      </c>
      <c r="AG131" s="1527">
        <f t="shared" ca="1" si="35"/>
        <v>-13.386561517175803</v>
      </c>
      <c r="AH131" s="1527">
        <f ca="1">-AH195</f>
        <v>-14.963880678056741</v>
      </c>
      <c r="AI131" s="1527">
        <f ca="1">-AI195</f>
        <v>-18.618859785596641</v>
      </c>
      <c r="AJ131" s="1527">
        <f ca="1">-AJ195</f>
        <v>-22.153367173328427</v>
      </c>
      <c r="AK131" s="1527">
        <f ca="1">-AK195</f>
        <v>-24.049925766286293</v>
      </c>
      <c r="AL131" s="1527">
        <f ca="1">-AL195</f>
        <v>-25.057297978175548</v>
      </c>
      <c r="AM131" s="175"/>
      <c r="AO131" s="1307"/>
      <c r="AP131" s="1307"/>
      <c r="AQ131" s="1307"/>
      <c r="AR131" s="1307"/>
      <c r="AS131" s="1307"/>
      <c r="AT131" s="1307"/>
      <c r="AU131" s="1307"/>
      <c r="AV131" s="1307"/>
      <c r="AW131" s="1307"/>
      <c r="AX131" s="1307"/>
      <c r="AY131" s="1307"/>
      <c r="AZ131" s="1307"/>
      <c r="BA131" s="1307"/>
      <c r="BB131" s="1307"/>
      <c r="BC131" s="1307"/>
    </row>
    <row r="132" spans="3:55" ht="13.5" x14ac:dyDescent="0.3">
      <c r="C132" s="173"/>
      <c r="E132" s="72" t="s">
        <v>592</v>
      </c>
      <c r="F132" s="72"/>
      <c r="G132" s="72"/>
      <c r="H132" s="72"/>
      <c r="I132" s="84"/>
      <c r="J132" s="72"/>
      <c r="K132" s="221"/>
      <c r="L132" s="221"/>
      <c r="M132" s="221"/>
      <c r="N132" s="221"/>
      <c r="O132" s="221"/>
      <c r="P132" s="221"/>
      <c r="Q132" s="221"/>
      <c r="R132" s="221"/>
      <c r="S132" s="221"/>
      <c r="T132" s="221"/>
      <c r="U132" s="221"/>
      <c r="V132" s="221"/>
      <c r="W132" s="297">
        <f t="shared" ref="W132:AG132" si="36">+W41</f>
        <v>0</v>
      </c>
      <c r="X132" s="297">
        <f t="shared" si="36"/>
        <v>0</v>
      </c>
      <c r="Y132" s="297">
        <f t="shared" si="36"/>
        <v>0</v>
      </c>
      <c r="Z132" s="297">
        <f t="shared" si="36"/>
        <v>0</v>
      </c>
      <c r="AA132" s="1527">
        <f t="shared" si="36"/>
        <v>0</v>
      </c>
      <c r="AB132" s="1527">
        <f t="shared" si="36"/>
        <v>0</v>
      </c>
      <c r="AC132" s="1527">
        <f t="shared" si="36"/>
        <v>0</v>
      </c>
      <c r="AD132" s="1527">
        <f t="shared" si="36"/>
        <v>0</v>
      </c>
      <c r="AE132" s="1527">
        <f t="shared" si="36"/>
        <v>0</v>
      </c>
      <c r="AF132" s="1527">
        <f t="shared" si="36"/>
        <v>0</v>
      </c>
      <c r="AG132" s="1527">
        <f t="shared" si="36"/>
        <v>0</v>
      </c>
      <c r="AH132" s="1527">
        <f>+AH41</f>
        <v>0</v>
      </c>
      <c r="AI132" s="1527">
        <f>+AI41</f>
        <v>0</v>
      </c>
      <c r="AJ132" s="1527">
        <f>+AJ41</f>
        <v>0</v>
      </c>
      <c r="AK132" s="1527">
        <f>+AK41</f>
        <v>0</v>
      </c>
      <c r="AL132" s="1527">
        <f>+AL41</f>
        <v>0</v>
      </c>
      <c r="AM132" s="175"/>
      <c r="AO132" s="1307"/>
      <c r="AP132" s="1307"/>
      <c r="AQ132" s="1307"/>
      <c r="AR132" s="1307"/>
      <c r="AS132" s="1307"/>
      <c r="AT132" s="1307"/>
      <c r="AU132" s="1307"/>
      <c r="AV132" s="1307"/>
      <c r="AW132" s="1307"/>
      <c r="AX132" s="1307"/>
      <c r="AY132" s="1307"/>
      <c r="AZ132" s="1307"/>
      <c r="BA132" s="1307"/>
      <c r="BB132" s="1307"/>
      <c r="BC132" s="1307"/>
    </row>
    <row r="133" spans="3:55" x14ac:dyDescent="0.3">
      <c r="C133" s="173"/>
      <c r="D133" s="105" t="s">
        <v>148</v>
      </c>
      <c r="E133" s="72"/>
      <c r="F133" s="72"/>
      <c r="G133" s="72"/>
      <c r="H133" s="72"/>
      <c r="I133" s="84"/>
      <c r="J133" s="72"/>
      <c r="K133" s="221"/>
      <c r="L133" s="221"/>
      <c r="M133" s="221"/>
      <c r="N133" s="221"/>
      <c r="O133" s="221"/>
      <c r="P133" s="221"/>
      <c r="Q133" s="221"/>
      <c r="R133" s="221"/>
      <c r="S133" s="221"/>
      <c r="T133" s="221"/>
      <c r="U133" s="221"/>
      <c r="V133" s="221"/>
      <c r="W133" s="1591">
        <f t="shared" ref="W133:AG133" ca="1" si="37">+SUM(W122:W132)</f>
        <v>21.439161922578428</v>
      </c>
      <c r="X133" s="1592">
        <f t="shared" ca="1" si="37"/>
        <v>19.542946556429804</v>
      </c>
      <c r="Y133" s="1260">
        <f t="shared" ca="1" si="37"/>
        <v>23.046559118554086</v>
      </c>
      <c r="Z133" s="1260">
        <f t="shared" ca="1" si="37"/>
        <v>21.749153423181447</v>
      </c>
      <c r="AA133" s="1593">
        <f t="shared" ca="1" si="37"/>
        <v>18.488146586776871</v>
      </c>
      <c r="AB133" s="1594">
        <f t="shared" ca="1" si="37"/>
        <v>22.020666735247381</v>
      </c>
      <c r="AC133" s="1593">
        <f t="shared" ca="1" si="37"/>
        <v>22.674230322382343</v>
      </c>
      <c r="AD133" s="1593">
        <f t="shared" ca="1" si="37"/>
        <v>24.552957928268068</v>
      </c>
      <c r="AE133" s="1593">
        <f t="shared" ca="1" si="37"/>
        <v>27.432032130370569</v>
      </c>
      <c r="AF133" s="1593">
        <f t="shared" ca="1" si="37"/>
        <v>31.517707778591841</v>
      </c>
      <c r="AG133" s="1593">
        <f t="shared" ca="1" si="37"/>
        <v>35.417354262903615</v>
      </c>
      <c r="AH133" s="1593">
        <f ca="1">+SUM(AH122:AH132)</f>
        <v>44.356641632175617</v>
      </c>
      <c r="AI133" s="1593">
        <f ca="1">+SUM(AI122:AI132)</f>
        <v>46.105371969254165</v>
      </c>
      <c r="AJ133" s="1593">
        <f ca="1">+SUM(AJ122:AJ132)</f>
        <v>48.124484895319547</v>
      </c>
      <c r="AK133" s="1593">
        <f ca="1">+SUM(AK122:AK132)</f>
        <v>51.453016832785593</v>
      </c>
      <c r="AL133" s="1593">
        <f ca="1">+SUM(AL122:AL132)</f>
        <v>55.707429166712622</v>
      </c>
      <c r="AM133" s="175"/>
      <c r="AO133" s="1307"/>
      <c r="AP133" s="1307"/>
      <c r="AQ133" s="1307"/>
      <c r="AR133" s="1307"/>
      <c r="AS133" s="1307"/>
      <c r="AT133" s="1307"/>
      <c r="AU133" s="1307"/>
      <c r="AV133" s="1307"/>
      <c r="AW133" s="1307"/>
      <c r="AX133" s="1307"/>
      <c r="AY133" s="1307"/>
      <c r="AZ133" s="1307"/>
      <c r="BA133" s="1307"/>
      <c r="BB133" s="1307"/>
      <c r="BC133" s="1307"/>
    </row>
    <row r="134" spans="3:55" x14ac:dyDescent="0.3">
      <c r="C134" s="173"/>
      <c r="D134" s="72"/>
      <c r="E134" s="72"/>
      <c r="F134" s="72"/>
      <c r="G134" s="72"/>
      <c r="H134" s="72"/>
      <c r="I134" s="84"/>
      <c r="J134" s="72"/>
      <c r="K134" s="221"/>
      <c r="L134" s="221"/>
      <c r="M134" s="221"/>
      <c r="N134" s="221"/>
      <c r="O134" s="221"/>
      <c r="P134" s="221"/>
      <c r="Q134" s="221"/>
      <c r="R134" s="221"/>
      <c r="S134" s="221"/>
      <c r="T134" s="221"/>
      <c r="U134" s="221"/>
      <c r="V134" s="221"/>
      <c r="W134" s="462"/>
      <c r="X134" s="462"/>
      <c r="Y134" s="462"/>
      <c r="Z134" s="462"/>
      <c r="AA134" s="275"/>
      <c r="AB134" s="275"/>
      <c r="AC134" s="275"/>
      <c r="AD134" s="275"/>
      <c r="AE134" s="275"/>
      <c r="AF134" s="275"/>
      <c r="AG134" s="275"/>
      <c r="AH134" s="275"/>
      <c r="AI134" s="275"/>
      <c r="AJ134" s="275"/>
      <c r="AK134" s="275"/>
      <c r="AL134" s="275"/>
      <c r="AM134" s="175"/>
      <c r="AO134" s="1307"/>
      <c r="AP134" s="1307"/>
      <c r="AQ134" s="1307"/>
      <c r="AR134" s="1307"/>
      <c r="AS134" s="1307"/>
      <c r="AT134" s="1307"/>
      <c r="AU134" s="1307"/>
      <c r="AV134" s="1307"/>
      <c r="AW134" s="1307"/>
      <c r="AX134" s="1307"/>
      <c r="AY134" s="1307"/>
      <c r="AZ134" s="1307"/>
      <c r="BA134" s="1307"/>
      <c r="BB134" s="1307"/>
      <c r="BC134" s="1307"/>
    </row>
    <row r="135" spans="3:55" x14ac:dyDescent="0.3">
      <c r="C135" s="173"/>
      <c r="D135" s="105" t="s">
        <v>149</v>
      </c>
      <c r="E135" s="72"/>
      <c r="F135" s="72"/>
      <c r="G135" s="72"/>
      <c r="H135" s="72"/>
      <c r="I135" s="84"/>
      <c r="J135" s="72"/>
      <c r="K135" s="221"/>
      <c r="L135" s="221"/>
      <c r="M135" s="221"/>
      <c r="N135" s="221"/>
      <c r="O135" s="221"/>
      <c r="P135" s="221"/>
      <c r="Q135" s="221"/>
      <c r="R135" s="221"/>
      <c r="S135" s="221"/>
      <c r="T135" s="221"/>
      <c r="U135" s="221"/>
      <c r="V135" s="221"/>
      <c r="W135" s="462"/>
      <c r="X135" s="462"/>
      <c r="Y135" s="462"/>
      <c r="Z135" s="462"/>
      <c r="AA135" s="275"/>
      <c r="AB135" s="275"/>
      <c r="AC135" s="275"/>
      <c r="AD135" s="275"/>
      <c r="AE135" s="275"/>
      <c r="AF135" s="275"/>
      <c r="AG135" s="275"/>
      <c r="AH135" s="275"/>
      <c r="AI135" s="275"/>
      <c r="AJ135" s="275"/>
      <c r="AK135" s="275"/>
      <c r="AL135" s="275"/>
      <c r="AM135" s="175"/>
      <c r="AO135" s="1307"/>
      <c r="AP135" s="1307"/>
      <c r="AQ135" s="1307"/>
      <c r="AR135" s="1307"/>
      <c r="AS135" s="1307"/>
      <c r="AT135" s="1307"/>
      <c r="AU135" s="1307"/>
      <c r="AV135" s="1307"/>
      <c r="AW135" s="1307"/>
      <c r="AX135" s="1307"/>
      <c r="AY135" s="1307"/>
      <c r="AZ135" s="1307"/>
      <c r="BA135" s="1307"/>
      <c r="BB135" s="1307"/>
      <c r="BC135" s="1307"/>
    </row>
    <row r="136" spans="3:55" x14ac:dyDescent="0.3">
      <c r="C136" s="173"/>
      <c r="E136" s="72" t="s">
        <v>150</v>
      </c>
      <c r="F136" s="72"/>
      <c r="G136" s="72"/>
      <c r="H136" s="72"/>
      <c r="I136" s="84"/>
      <c r="J136" s="72"/>
      <c r="K136" s="221"/>
      <c r="L136" s="221"/>
      <c r="M136" s="221"/>
      <c r="N136" s="221"/>
      <c r="O136" s="221"/>
      <c r="P136" s="221"/>
      <c r="Q136" s="221"/>
      <c r="R136" s="221"/>
      <c r="S136" s="221"/>
      <c r="T136" s="221"/>
      <c r="U136" s="221"/>
      <c r="V136" s="221"/>
      <c r="W136" s="1527">
        <f ca="1">-('Rev&amp;RAV_FO'!W72+NotPres_FO!W16)*'Rev&amp;RAV_FO'!W85</f>
        <v>-22.468</v>
      </c>
      <c r="X136" s="1527">
        <f ca="1">-('Rev&amp;RAV_FO'!X72+NotPres_FO!X16)*'Rev&amp;RAV_FO'!X85</f>
        <v>-27.670485320000001</v>
      </c>
      <c r="Y136" s="1527">
        <f ca="1">-('Rev&amp;RAV_FO'!Y72+NotPres_FO!Y16)*'Rev&amp;RAV_FO'!Y85</f>
        <v>-30.262156480000002</v>
      </c>
      <c r="Z136" s="297">
        <f ca="1">-('Rev&amp;RAV_FO'!Z72+NotPres_FO!Z16)*'Rev&amp;RAV_FO'!Z85</f>
        <v>-26.43917849</v>
      </c>
      <c r="AA136" s="1527">
        <f ca="1">-('Rev&amp;RAV_FO'!AA72+NotPres_FO!AA16)*'Rev&amp;RAV_FO'!AA85</f>
        <v>-27.726476394778697</v>
      </c>
      <c r="AB136" s="1527">
        <f ca="1">-('Rev&amp;RAV_FO'!AB72+NotPres_FO!AB16)*'Rev&amp;RAV_FO'!AB85</f>
        <v>-37.5</v>
      </c>
      <c r="AC136" s="1527">
        <f ca="1">-('Rev&amp;RAV_FO'!AC72+NotPres_FO!AC16)*'Rev&amp;RAV_FO'!AC85</f>
        <v>-47.368361</v>
      </c>
      <c r="AD136" s="1527">
        <f ca="1">-('Rev&amp;RAV_FO'!AD72+NotPres_FO!AD16)*'Rev&amp;RAV_FO'!AD85</f>
        <v>-50.921608649999996</v>
      </c>
      <c r="AE136" s="1527">
        <f ca="1">-('Rev&amp;RAV_FO'!AE72+NotPres_FO!AE16)*'Rev&amp;RAV_FO'!AE85</f>
        <v>-54.648916360500003</v>
      </c>
      <c r="AF136" s="1527">
        <f ca="1">-('Rev&amp;RAV_FO'!AF72+NotPres_FO!AF16)*'Rev&amp;RAV_FO'!AF85</f>
        <v>-60.793795617745019</v>
      </c>
      <c r="AG136" s="1527">
        <f ca="1">-('Rev&amp;RAV_FO'!AG72+NotPres_FO!AG16)*'Rev&amp;RAV_FO'!AG85</f>
        <v>-67.226883205694151</v>
      </c>
      <c r="AH136" s="1527">
        <f ca="1">-('Rev&amp;RAV_FO'!AH72+NotPres_FO!AH16)*'Rev&amp;RAV_FO'!AH85</f>
        <v>-117.72997428086984</v>
      </c>
      <c r="AI136" s="1527">
        <f ca="1">-('Rev&amp;RAV_FO'!AI72+NotPres_FO!AI16)*'Rev&amp;RAV_FO'!AI85</f>
        <v>-117.08030236685137</v>
      </c>
      <c r="AJ136" s="1527">
        <f ca="1">-('Rev&amp;RAV_FO'!AJ72+NotPres_FO!AJ16)*'Rev&amp;RAV_FO'!AJ85</f>
        <v>-86.351916137949644</v>
      </c>
      <c r="AK136" s="1527">
        <f ca="1">-('Rev&amp;RAV_FO'!AK72+NotPres_FO!AK16)*'Rev&amp;RAV_FO'!AK85</f>
        <v>-71.908659707197344</v>
      </c>
      <c r="AL136" s="1527">
        <f ca="1">-('Rev&amp;RAV_FO'!AL72+NotPres_FO!AL16)*'Rev&amp;RAV_FO'!AL85</f>
        <v>-89.937571938467343</v>
      </c>
      <c r="AM136" s="175"/>
      <c r="AO136" s="1307"/>
      <c r="AP136" s="1307"/>
      <c r="AQ136" s="1307"/>
      <c r="AR136" s="1307"/>
      <c r="AS136" s="1307"/>
      <c r="AT136" s="1307"/>
      <c r="AU136" s="1307"/>
      <c r="AV136" s="1307"/>
      <c r="AW136" s="1307"/>
      <c r="AX136" s="1307"/>
      <c r="AY136" s="1307"/>
      <c r="AZ136" s="1307"/>
      <c r="BA136" s="1307"/>
      <c r="BB136" s="1307"/>
      <c r="BC136" s="1307"/>
    </row>
    <row r="137" spans="3:55" x14ac:dyDescent="0.3">
      <c r="C137" s="173"/>
      <c r="E137" s="72" t="s">
        <v>151</v>
      </c>
      <c r="F137" s="72"/>
      <c r="G137" s="72"/>
      <c r="H137" s="72"/>
      <c r="I137" s="84"/>
      <c r="J137" s="72"/>
      <c r="K137" s="221"/>
      <c r="L137" s="221"/>
      <c r="M137" s="221"/>
      <c r="N137" s="221"/>
      <c r="O137" s="221"/>
      <c r="P137" s="221"/>
      <c r="Q137" s="221"/>
      <c r="R137" s="221"/>
      <c r="S137" s="221"/>
      <c r="T137" s="221"/>
      <c r="U137" s="221"/>
      <c r="V137" s="221"/>
      <c r="W137" s="1527">
        <f t="shared" ref="W137:AG137" ca="1" si="38">+W89</f>
        <v>0.29199999999999998</v>
      </c>
      <c r="X137" s="1527">
        <f t="shared" ca="1" si="38"/>
        <v>0.51800000000000002</v>
      </c>
      <c r="Y137" s="297">
        <f t="shared" ca="1" si="38"/>
        <v>0.20233479000000001</v>
      </c>
      <c r="Z137" s="297">
        <f t="shared" ca="1" si="38"/>
        <v>0.57500000000000007</v>
      </c>
      <c r="AA137" s="1527">
        <f t="shared" ca="1" si="38"/>
        <v>0.58722491423670675</v>
      </c>
      <c r="AB137" s="1527">
        <f t="shared" ca="1" si="38"/>
        <v>0.623280225128645</v>
      </c>
      <c r="AC137" s="1527">
        <f t="shared" ca="1" si="38"/>
        <v>0.41200000000000003</v>
      </c>
      <c r="AD137" s="1527">
        <f t="shared" ca="1" si="38"/>
        <v>0.42860360000000003</v>
      </c>
      <c r="AE137" s="1527">
        <f t="shared" ca="1" si="38"/>
        <v>0.44587632508000002</v>
      </c>
      <c r="AF137" s="1527">
        <f t="shared" ca="1" si="38"/>
        <v>0.46384514098072405</v>
      </c>
      <c r="AG137" s="1527">
        <f t="shared" ca="1" si="38"/>
        <v>0.48253810016224719</v>
      </c>
      <c r="AH137" s="1527">
        <f ca="1">+AH89</f>
        <v>0.50198438559878578</v>
      </c>
      <c r="AI137" s="1527">
        <f ca="1">+AI89</f>
        <v>0.52221435633841684</v>
      </c>
      <c r="AJ137" s="1527">
        <f ca="1">+AJ89</f>
        <v>0.54325959489885511</v>
      </c>
      <c r="AK137" s="1527">
        <f ca="1">+AK89</f>
        <v>0.56515295657327902</v>
      </c>
      <c r="AL137" s="1527">
        <f ca="1">+AL89</f>
        <v>0.58792862072318208</v>
      </c>
      <c r="AM137" s="175"/>
      <c r="AO137" s="1307"/>
      <c r="AP137" s="1307"/>
      <c r="AQ137" s="1307"/>
      <c r="AR137" s="1307"/>
      <c r="AS137" s="1307"/>
      <c r="AT137" s="1307"/>
      <c r="AU137" s="1307"/>
      <c r="AV137" s="1307"/>
      <c r="AW137" s="1307"/>
      <c r="AX137" s="1307"/>
      <c r="AY137" s="1307"/>
      <c r="AZ137" s="1307"/>
      <c r="BA137" s="1307"/>
      <c r="BB137" s="1307"/>
      <c r="BC137" s="1307"/>
    </row>
    <row r="138" spans="3:55" ht="13.5" x14ac:dyDescent="0.3">
      <c r="C138" s="173"/>
      <c r="E138" s="72" t="s">
        <v>593</v>
      </c>
      <c r="F138" s="72"/>
      <c r="G138" s="72"/>
      <c r="H138" s="72"/>
      <c r="I138" s="84"/>
      <c r="J138" s="72"/>
      <c r="K138" s="221"/>
      <c r="L138" s="221"/>
      <c r="M138" s="221"/>
      <c r="N138" s="221"/>
      <c r="O138" s="221"/>
      <c r="P138" s="221"/>
      <c r="Q138" s="221"/>
      <c r="R138" s="221"/>
      <c r="S138" s="221"/>
      <c r="T138" s="221"/>
      <c r="U138" s="221"/>
      <c r="V138" s="221"/>
      <c r="W138" s="297">
        <f t="shared" ref="W138:AG138" si="39">+W51</f>
        <v>0</v>
      </c>
      <c r="X138" s="297">
        <f t="shared" si="39"/>
        <v>0</v>
      </c>
      <c r="Y138" s="297">
        <f t="shared" si="39"/>
        <v>0</v>
      </c>
      <c r="Z138" s="297">
        <f t="shared" si="39"/>
        <v>0</v>
      </c>
      <c r="AA138" s="1527">
        <f t="shared" si="39"/>
        <v>0</v>
      </c>
      <c r="AB138" s="1527">
        <f t="shared" si="39"/>
        <v>0</v>
      </c>
      <c r="AC138" s="1527">
        <f t="shared" si="39"/>
        <v>0</v>
      </c>
      <c r="AD138" s="1527">
        <f t="shared" si="39"/>
        <v>0</v>
      </c>
      <c r="AE138" s="1527">
        <f t="shared" si="39"/>
        <v>0</v>
      </c>
      <c r="AF138" s="1527">
        <f t="shared" si="39"/>
        <v>0</v>
      </c>
      <c r="AG138" s="1527">
        <f t="shared" si="39"/>
        <v>0</v>
      </c>
      <c r="AH138" s="1527">
        <f>+AH51</f>
        <v>0</v>
      </c>
      <c r="AI138" s="1527">
        <f>+AI51</f>
        <v>0</v>
      </c>
      <c r="AJ138" s="1527">
        <f>+AJ51</f>
        <v>0</v>
      </c>
      <c r="AK138" s="1527">
        <f>+AK51</f>
        <v>0</v>
      </c>
      <c r="AL138" s="1527">
        <f>+AL51</f>
        <v>0</v>
      </c>
      <c r="AM138" s="175"/>
      <c r="AO138" s="1307"/>
      <c r="AP138" s="1307"/>
      <c r="AQ138" s="1307"/>
      <c r="AR138" s="1307"/>
      <c r="AS138" s="1307"/>
      <c r="AT138" s="1307"/>
      <c r="AU138" s="1307"/>
      <c r="AV138" s="1307"/>
      <c r="AW138" s="1307"/>
      <c r="AX138" s="1307"/>
      <c r="AY138" s="1307"/>
      <c r="AZ138" s="1307"/>
      <c r="BA138" s="1307"/>
      <c r="BB138" s="1307"/>
      <c r="BC138" s="1307"/>
    </row>
    <row r="139" spans="3:55" x14ac:dyDescent="0.3">
      <c r="C139" s="173"/>
      <c r="D139" s="105" t="s">
        <v>152</v>
      </c>
      <c r="E139" s="72"/>
      <c r="F139" s="72"/>
      <c r="G139" s="72"/>
      <c r="H139" s="72"/>
      <c r="I139" s="84"/>
      <c r="J139" s="72"/>
      <c r="K139" s="221"/>
      <c r="L139" s="221"/>
      <c r="M139" s="221"/>
      <c r="N139" s="221"/>
      <c r="O139" s="221"/>
      <c r="P139" s="221"/>
      <c r="Q139" s="221"/>
      <c r="R139" s="221"/>
      <c r="S139" s="221"/>
      <c r="T139" s="221"/>
      <c r="U139" s="221"/>
      <c r="V139" s="221"/>
      <c r="W139" s="1591">
        <f t="shared" ref="W139:AG139" ca="1" si="40">+SUM(W136:W138)</f>
        <v>-22.175999999999998</v>
      </c>
      <c r="X139" s="1592">
        <f t="shared" ca="1" si="40"/>
        <v>-27.15248532</v>
      </c>
      <c r="Y139" s="1260">
        <f t="shared" ca="1" si="40"/>
        <v>-30.059821690000003</v>
      </c>
      <c r="Z139" s="1260">
        <f t="shared" ca="1" si="40"/>
        <v>-25.86417849</v>
      </c>
      <c r="AA139" s="1593">
        <f t="shared" ca="1" si="40"/>
        <v>-27.13925148054199</v>
      </c>
      <c r="AB139" s="1594">
        <f t="shared" ca="1" si="40"/>
        <v>-36.876719774871354</v>
      </c>
      <c r="AC139" s="1593">
        <f t="shared" ca="1" si="40"/>
        <v>-46.956361000000001</v>
      </c>
      <c r="AD139" s="1593">
        <f t="shared" ca="1" si="40"/>
        <v>-50.493005049999994</v>
      </c>
      <c r="AE139" s="1593">
        <f t="shared" ca="1" si="40"/>
        <v>-54.203040035420003</v>
      </c>
      <c r="AF139" s="1593">
        <f t="shared" ca="1" si="40"/>
        <v>-60.329950476764296</v>
      </c>
      <c r="AG139" s="1593">
        <f t="shared" ca="1" si="40"/>
        <v>-66.744345105531906</v>
      </c>
      <c r="AH139" s="1593">
        <f ca="1">+SUM(AH136:AH138)</f>
        <v>-117.22798989527105</v>
      </c>
      <c r="AI139" s="1593">
        <f ca="1">+SUM(AI136:AI138)</f>
        <v>-116.55808801051295</v>
      </c>
      <c r="AJ139" s="1593">
        <f ca="1">+SUM(AJ136:AJ138)</f>
        <v>-85.808656543050787</v>
      </c>
      <c r="AK139" s="1593">
        <f ca="1">+SUM(AK136:AK138)</f>
        <v>-71.343506750624059</v>
      </c>
      <c r="AL139" s="1593">
        <f ca="1">+SUM(AL136:AL138)</f>
        <v>-89.349643317744167</v>
      </c>
      <c r="AM139" s="175"/>
      <c r="AO139" s="1307"/>
      <c r="AP139" s="1307"/>
      <c r="AQ139" s="1307"/>
      <c r="AR139" s="1307"/>
      <c r="AS139" s="1307"/>
      <c r="AT139" s="1307"/>
      <c r="AU139" s="1307"/>
      <c r="AV139" s="1307"/>
      <c r="AW139" s="1307"/>
      <c r="AX139" s="1307"/>
      <c r="AY139" s="1307"/>
      <c r="AZ139" s="1307"/>
      <c r="BA139" s="1307"/>
      <c r="BB139" s="1307"/>
      <c r="BC139" s="1307"/>
    </row>
    <row r="140" spans="3:55" x14ac:dyDescent="0.3">
      <c r="C140" s="173"/>
      <c r="D140" s="72"/>
      <c r="E140" s="72"/>
      <c r="F140" s="72"/>
      <c r="G140" s="72"/>
      <c r="H140" s="72"/>
      <c r="I140" s="84"/>
      <c r="J140" s="72"/>
      <c r="K140" s="221"/>
      <c r="L140" s="221"/>
      <c r="M140" s="221"/>
      <c r="N140" s="221"/>
      <c r="O140" s="221"/>
      <c r="P140" s="221"/>
      <c r="Q140" s="221"/>
      <c r="R140" s="221"/>
      <c r="S140" s="221"/>
      <c r="T140" s="221"/>
      <c r="U140" s="221"/>
      <c r="V140" s="221"/>
      <c r="W140" s="462"/>
      <c r="X140" s="462"/>
      <c r="Y140" s="462"/>
      <c r="Z140" s="462"/>
      <c r="AA140" s="275"/>
      <c r="AB140" s="275"/>
      <c r="AC140" s="275"/>
      <c r="AD140" s="275"/>
      <c r="AE140" s="275"/>
      <c r="AF140" s="275"/>
      <c r="AG140" s="275"/>
      <c r="AH140" s="275"/>
      <c r="AI140" s="275"/>
      <c r="AJ140" s="275"/>
      <c r="AK140" s="275"/>
      <c r="AL140" s="275"/>
      <c r="AM140" s="175"/>
      <c r="AO140" s="1307"/>
      <c r="AP140" s="1307"/>
      <c r="AQ140" s="1307"/>
      <c r="AR140" s="1307"/>
      <c r="AS140" s="1307"/>
      <c r="AT140" s="1307"/>
      <c r="AU140" s="1307"/>
      <c r="AV140" s="1307"/>
      <c r="AW140" s="1307"/>
      <c r="AX140" s="1307"/>
      <c r="AY140" s="1307"/>
      <c r="AZ140" s="1307"/>
      <c r="BA140" s="1307"/>
      <c r="BB140" s="1307"/>
      <c r="BC140" s="1307"/>
    </row>
    <row r="141" spans="3:55" x14ac:dyDescent="0.3">
      <c r="C141" s="173"/>
      <c r="D141" s="72" t="s">
        <v>153</v>
      </c>
      <c r="E141" s="72"/>
      <c r="F141" s="72"/>
      <c r="G141" s="72"/>
      <c r="H141" s="72"/>
      <c r="I141" s="84"/>
      <c r="J141" s="72"/>
      <c r="K141" s="221"/>
      <c r="L141" s="221"/>
      <c r="M141" s="221"/>
      <c r="N141" s="221"/>
      <c r="O141" s="221"/>
      <c r="P141" s="221"/>
      <c r="Q141" s="221"/>
      <c r="R141" s="221"/>
      <c r="S141" s="221"/>
      <c r="T141" s="221"/>
      <c r="U141" s="221"/>
      <c r="V141" s="221"/>
      <c r="W141" s="297">
        <f t="shared" ref="W141:AG141" ca="1" si="41">-W109</f>
        <v>0</v>
      </c>
      <c r="X141" s="297">
        <f t="shared" ca="1" si="41"/>
        <v>0</v>
      </c>
      <c r="Y141" s="297">
        <f t="shared" ca="1" si="41"/>
        <v>0</v>
      </c>
      <c r="Z141" s="297">
        <f t="shared" ca="1" si="41"/>
        <v>0</v>
      </c>
      <c r="AA141" s="1527">
        <f t="shared" ca="1" si="41"/>
        <v>0</v>
      </c>
      <c r="AB141" s="1527">
        <f t="shared" ca="1" si="41"/>
        <v>0</v>
      </c>
      <c r="AC141" s="1527">
        <f t="shared" ca="1" si="41"/>
        <v>0</v>
      </c>
      <c r="AD141" s="1527">
        <f t="shared" ca="1" si="41"/>
        <v>0</v>
      </c>
      <c r="AE141" s="1527">
        <f t="shared" ca="1" si="41"/>
        <v>0</v>
      </c>
      <c r="AF141" s="1527">
        <f t="shared" ca="1" si="41"/>
        <v>0</v>
      </c>
      <c r="AG141" s="1527">
        <f t="shared" ca="1" si="41"/>
        <v>0</v>
      </c>
      <c r="AH141" s="1527">
        <f ca="1">-AH109</f>
        <v>0</v>
      </c>
      <c r="AI141" s="1527">
        <f ca="1">-AI109</f>
        <v>0</v>
      </c>
      <c r="AJ141" s="1527">
        <f ca="1">-AJ109</f>
        <v>0</v>
      </c>
      <c r="AK141" s="1527">
        <f ca="1">-AK109</f>
        <v>0</v>
      </c>
      <c r="AL141" s="1527">
        <f ca="1">-AL109</f>
        <v>0</v>
      </c>
      <c r="AM141" s="175"/>
      <c r="AO141" s="1307"/>
      <c r="AP141" s="1307"/>
      <c r="AQ141" s="1307"/>
      <c r="AR141" s="1307"/>
      <c r="AS141" s="1307"/>
      <c r="AT141" s="1307"/>
      <c r="AU141" s="1307"/>
      <c r="AV141" s="1307"/>
      <c r="AW141" s="1307"/>
      <c r="AX141" s="1307"/>
      <c r="AY141" s="1307"/>
      <c r="AZ141" s="1307"/>
      <c r="BA141" s="1307"/>
      <c r="BB141" s="1307"/>
      <c r="BC141" s="1307"/>
    </row>
    <row r="142" spans="3:55" x14ac:dyDescent="0.3">
      <c r="C142" s="173"/>
      <c r="D142" s="72"/>
      <c r="E142" s="72"/>
      <c r="F142" s="72"/>
      <c r="G142" s="72"/>
      <c r="H142" s="72"/>
      <c r="I142" s="84"/>
      <c r="J142" s="72"/>
      <c r="K142" s="221"/>
      <c r="L142" s="221"/>
      <c r="M142" s="221"/>
      <c r="N142" s="221"/>
      <c r="O142" s="221"/>
      <c r="P142" s="221"/>
      <c r="Q142" s="221"/>
      <c r="R142" s="221"/>
      <c r="S142" s="221"/>
      <c r="T142" s="221"/>
      <c r="U142" s="221"/>
      <c r="V142" s="221"/>
      <c r="W142" s="462"/>
      <c r="X142" s="462"/>
      <c r="Y142" s="462"/>
      <c r="Z142" s="462"/>
      <c r="AA142" s="275"/>
      <c r="AB142" s="275"/>
      <c r="AC142" s="275"/>
      <c r="AD142" s="275"/>
      <c r="AE142" s="275"/>
      <c r="AF142" s="275"/>
      <c r="AG142" s="275"/>
      <c r="AH142" s="275"/>
      <c r="AI142" s="275"/>
      <c r="AJ142" s="275"/>
      <c r="AK142" s="275"/>
      <c r="AL142" s="275"/>
      <c r="AM142" s="175"/>
      <c r="AO142" s="1307"/>
      <c r="AP142" s="1307"/>
      <c r="AQ142" s="1307"/>
      <c r="AR142" s="1307"/>
      <c r="AS142" s="1307"/>
      <c r="AT142" s="1307"/>
      <c r="AU142" s="1307"/>
      <c r="AV142" s="1307"/>
      <c r="AW142" s="1307"/>
      <c r="AX142" s="1307"/>
      <c r="AY142" s="1307"/>
      <c r="AZ142" s="1307"/>
      <c r="BA142" s="1307"/>
      <c r="BB142" s="1307"/>
      <c r="BC142" s="1307"/>
    </row>
    <row r="143" spans="3:55" ht="12.5" thickBot="1" x14ac:dyDescent="0.35">
      <c r="C143" s="173"/>
      <c r="D143" s="105" t="s">
        <v>154</v>
      </c>
      <c r="E143" s="105"/>
      <c r="F143" s="105"/>
      <c r="G143" s="105"/>
      <c r="H143" s="105"/>
      <c r="I143" s="108"/>
      <c r="J143" s="105"/>
      <c r="K143" s="221"/>
      <c r="L143" s="221"/>
      <c r="M143" s="221"/>
      <c r="N143" s="221"/>
      <c r="O143" s="221"/>
      <c r="P143" s="221"/>
      <c r="Q143" s="221"/>
      <c r="R143" s="221"/>
      <c r="S143" s="221"/>
      <c r="T143" s="221"/>
      <c r="U143" s="221"/>
      <c r="V143" s="221"/>
      <c r="W143" s="1595">
        <f t="shared" ref="W143:AG143" ca="1" si="42">W133+W139+W141</f>
        <v>-0.73683807742157015</v>
      </c>
      <c r="X143" s="1595">
        <f t="shared" ca="1" si="42"/>
        <v>-7.6095387635701961</v>
      </c>
      <c r="Y143" s="1547">
        <f t="shared" ca="1" si="42"/>
        <v>-7.0132625714459174</v>
      </c>
      <c r="Z143" s="1547">
        <f t="shared" ca="1" si="42"/>
        <v>-4.1150250668185535</v>
      </c>
      <c r="AA143" s="1546">
        <f t="shared" ca="1" si="42"/>
        <v>-8.6511048937651189</v>
      </c>
      <c r="AB143" s="1582">
        <f t="shared" ca="1" si="42"/>
        <v>-14.856053039623973</v>
      </c>
      <c r="AC143" s="1546">
        <f t="shared" ca="1" si="42"/>
        <v>-24.282130677617658</v>
      </c>
      <c r="AD143" s="1546">
        <f t="shared" ca="1" si="42"/>
        <v>-25.940047121731926</v>
      </c>
      <c r="AE143" s="1546">
        <f t="shared" ca="1" si="42"/>
        <v>-26.771007905049434</v>
      </c>
      <c r="AF143" s="1546">
        <f t="shared" ca="1" si="42"/>
        <v>-28.812242698172454</v>
      </c>
      <c r="AG143" s="1546">
        <f t="shared" ca="1" si="42"/>
        <v>-31.326990842628291</v>
      </c>
      <c r="AH143" s="1546">
        <f ca="1">AH133+AH139+AH141</f>
        <v>-72.871348263095427</v>
      </c>
      <c r="AI143" s="1546">
        <f ca="1">AI133+AI139+AI141</f>
        <v>-70.452716041258782</v>
      </c>
      <c r="AJ143" s="1546">
        <f ca="1">AJ133+AJ139+AJ141</f>
        <v>-37.68417164773124</v>
      </c>
      <c r="AK143" s="1546">
        <f ca="1">AK133+AK139+AK141</f>
        <v>-19.890489917838465</v>
      </c>
      <c r="AL143" s="1546">
        <f ca="1">AL133+AL139+AL141</f>
        <v>-33.642214151031546</v>
      </c>
      <c r="AM143" s="175"/>
      <c r="AO143" s="1307"/>
      <c r="AP143" s="1307"/>
      <c r="AQ143" s="1307"/>
      <c r="AR143" s="1307"/>
      <c r="AS143" s="1307"/>
      <c r="AT143" s="1307"/>
      <c r="AU143" s="1307"/>
      <c r="AV143" s="1307"/>
      <c r="AW143" s="1307"/>
      <c r="AX143" s="1307"/>
      <c r="AY143" s="1307"/>
      <c r="AZ143" s="1307"/>
      <c r="BA143" s="1307"/>
      <c r="BB143" s="1307"/>
      <c r="BC143" s="1307"/>
    </row>
    <row r="144" spans="3:55" x14ac:dyDescent="0.3">
      <c r="C144" s="173"/>
      <c r="D144" s="72"/>
      <c r="E144" s="72"/>
      <c r="F144" s="72"/>
      <c r="G144" s="72"/>
      <c r="H144" s="72"/>
      <c r="I144" s="84"/>
      <c r="J144" s="72"/>
      <c r="K144" s="221"/>
      <c r="L144" s="221"/>
      <c r="M144" s="221"/>
      <c r="N144" s="221"/>
      <c r="O144" s="221"/>
      <c r="P144" s="221"/>
      <c r="Q144" s="221"/>
      <c r="R144" s="221"/>
      <c r="S144" s="221"/>
      <c r="T144" s="178"/>
      <c r="U144" s="178"/>
      <c r="V144" s="178"/>
      <c r="W144" s="178"/>
      <c r="X144" s="178"/>
      <c r="Y144" s="178"/>
      <c r="Z144" s="178"/>
      <c r="AA144" s="221"/>
      <c r="AB144" s="221"/>
      <c r="AC144" s="221"/>
      <c r="AD144" s="221"/>
      <c r="AE144" s="221"/>
      <c r="AF144" s="221"/>
      <c r="AG144" s="221"/>
      <c r="AH144" s="221"/>
      <c r="AI144" s="221"/>
      <c r="AJ144" s="221"/>
      <c r="AK144" s="221"/>
      <c r="AL144" s="221"/>
      <c r="AM144" s="175"/>
      <c r="AO144" s="1307"/>
      <c r="AP144" s="1307"/>
      <c r="AQ144" s="1307"/>
      <c r="AR144" s="1307"/>
      <c r="AS144" s="1307"/>
      <c r="AT144" s="1307"/>
      <c r="AU144" s="1307"/>
      <c r="AV144" s="1307"/>
      <c r="AW144" s="1307"/>
      <c r="AX144" s="1307"/>
      <c r="AY144" s="1307"/>
      <c r="AZ144" s="1307"/>
      <c r="BA144" s="1307"/>
      <c r="BB144" s="1307"/>
      <c r="BC144" s="1307"/>
    </row>
    <row r="145" spans="3:55" ht="12.5" thickBot="1" x14ac:dyDescent="0.35">
      <c r="C145" s="179"/>
      <c r="D145" s="180"/>
      <c r="E145" s="180"/>
      <c r="F145" s="180"/>
      <c r="G145" s="180"/>
      <c r="H145" s="180"/>
      <c r="I145" s="197"/>
      <c r="J145" s="180"/>
      <c r="K145" s="197"/>
      <c r="L145" s="197"/>
      <c r="M145" s="197"/>
      <c r="N145" s="197"/>
      <c r="O145" s="197"/>
      <c r="P145" s="197"/>
      <c r="Q145" s="197"/>
      <c r="R145" s="197"/>
      <c r="S145" s="197"/>
      <c r="T145" s="180"/>
      <c r="U145" s="180"/>
      <c r="V145" s="180"/>
      <c r="W145" s="180"/>
      <c r="X145" s="180"/>
      <c r="Y145" s="180"/>
      <c r="Z145" s="180"/>
      <c r="AA145" s="180"/>
      <c r="AB145" s="180"/>
      <c r="AC145" s="180"/>
      <c r="AD145" s="180"/>
      <c r="AE145" s="180"/>
      <c r="AF145" s="180"/>
      <c r="AG145" s="180"/>
      <c r="AH145" s="180"/>
      <c r="AI145" s="180"/>
      <c r="AJ145" s="180"/>
      <c r="AK145" s="180"/>
      <c r="AL145" s="180"/>
      <c r="AM145" s="182"/>
      <c r="AO145" s="1307"/>
      <c r="AP145" s="1307"/>
      <c r="AQ145" s="1307"/>
      <c r="AR145" s="1307"/>
      <c r="AS145" s="1307"/>
      <c r="AT145" s="1307"/>
      <c r="AU145" s="1307"/>
      <c r="AV145" s="1307"/>
      <c r="AW145" s="1307"/>
      <c r="AX145" s="1307"/>
      <c r="AY145" s="1307"/>
      <c r="AZ145" s="1307"/>
      <c r="BA145" s="1307"/>
      <c r="BB145" s="1307"/>
      <c r="BC145" s="1307"/>
    </row>
    <row r="146" spans="3:55" x14ac:dyDescent="0.3">
      <c r="K146" s="684"/>
      <c r="L146" s="684"/>
      <c r="M146" s="684"/>
      <c r="N146" s="684"/>
      <c r="O146" s="684"/>
      <c r="P146" s="684"/>
      <c r="Q146" s="684"/>
      <c r="R146" s="684"/>
      <c r="S146" s="77"/>
      <c r="AO146" s="1307"/>
      <c r="AP146" s="1307"/>
      <c r="AQ146" s="1307"/>
      <c r="AR146" s="1307"/>
      <c r="AS146" s="1307"/>
      <c r="AT146" s="1307"/>
      <c r="AU146" s="1307"/>
      <c r="AV146" s="1307"/>
      <c r="AW146" s="1307"/>
      <c r="AX146" s="1307"/>
      <c r="AY146" s="1307"/>
      <c r="AZ146" s="1307"/>
      <c r="BA146" s="1307"/>
      <c r="BB146" s="1307"/>
      <c r="BC146" s="1307"/>
    </row>
    <row r="147" spans="3:55" ht="12.5" thickBot="1" x14ac:dyDescent="0.35">
      <c r="C147" s="180"/>
      <c r="D147" s="180"/>
      <c r="E147" s="180"/>
      <c r="F147" s="180"/>
      <c r="G147" s="180"/>
      <c r="H147" s="180"/>
      <c r="I147" s="197"/>
      <c r="J147" s="180"/>
      <c r="K147" s="696"/>
      <c r="L147" s="696"/>
      <c r="M147" s="696"/>
      <c r="N147" s="696"/>
      <c r="O147" s="696"/>
      <c r="P147" s="696"/>
      <c r="Q147" s="696"/>
      <c r="R147" s="696"/>
      <c r="S147" s="197"/>
      <c r="T147" s="180"/>
      <c r="U147" s="180"/>
      <c r="V147" s="180"/>
      <c r="W147" s="180"/>
      <c r="X147" s="180"/>
      <c r="Y147" s="180"/>
      <c r="Z147" s="180"/>
      <c r="AA147" s="180"/>
      <c r="AB147" s="180"/>
      <c r="AC147" s="180"/>
      <c r="AD147" s="180"/>
      <c r="AE147" s="180"/>
      <c r="AF147" s="180"/>
      <c r="AG147" s="180"/>
      <c r="AH147" s="180"/>
      <c r="AI147" s="180"/>
      <c r="AJ147" s="180"/>
      <c r="AK147" s="180"/>
      <c r="AL147" s="180"/>
      <c r="AM147" s="180"/>
      <c r="AO147" s="1307"/>
      <c r="AP147" s="1307"/>
      <c r="AQ147" s="1307"/>
      <c r="AR147" s="1307"/>
      <c r="AS147" s="1307"/>
      <c r="AT147" s="1307"/>
      <c r="AU147" s="1307"/>
      <c r="AV147" s="1307"/>
      <c r="AW147" s="1307"/>
      <c r="AX147" s="1307"/>
      <c r="AY147" s="1307"/>
      <c r="AZ147" s="1307"/>
      <c r="BA147" s="1307"/>
      <c r="BB147" s="1307"/>
      <c r="BC147" s="1307"/>
    </row>
    <row r="148" spans="3:55" x14ac:dyDescent="0.3">
      <c r="C148" s="173"/>
      <c r="E148" s="72"/>
      <c r="F148" s="72"/>
      <c r="G148" s="72"/>
      <c r="H148" s="72"/>
      <c r="I148" s="84"/>
      <c r="J148" s="72"/>
      <c r="K148" s="221"/>
      <c r="L148" s="221"/>
      <c r="M148" s="221"/>
      <c r="N148" s="221"/>
      <c r="O148" s="221"/>
      <c r="P148" s="221"/>
      <c r="Q148" s="221"/>
      <c r="R148" s="221"/>
      <c r="S148" s="221"/>
      <c r="T148" s="178"/>
      <c r="U148" s="178"/>
      <c r="V148" s="178"/>
      <c r="W148" s="178"/>
      <c r="X148" s="178"/>
      <c r="Y148" s="178"/>
      <c r="Z148" s="178"/>
      <c r="AA148" s="178"/>
      <c r="AB148" s="178"/>
      <c r="AC148" s="178"/>
      <c r="AD148" s="178"/>
      <c r="AE148" s="178"/>
      <c r="AF148" s="178"/>
      <c r="AG148" s="178"/>
      <c r="AH148" s="178"/>
      <c r="AI148" s="178"/>
      <c r="AJ148" s="178"/>
      <c r="AK148" s="178"/>
      <c r="AL148" s="178"/>
      <c r="AM148" s="175"/>
      <c r="AO148" s="1307"/>
      <c r="AP148" s="1307"/>
      <c r="AQ148" s="1307"/>
      <c r="AR148" s="1307"/>
      <c r="AS148" s="1307"/>
      <c r="AT148" s="1307"/>
      <c r="AU148" s="1307"/>
      <c r="AV148" s="1307"/>
      <c r="AW148" s="1307"/>
      <c r="AX148" s="1307"/>
      <c r="AY148" s="1307"/>
      <c r="AZ148" s="1307"/>
      <c r="BA148" s="1307"/>
      <c r="BB148" s="1307"/>
      <c r="BC148" s="1307"/>
    </row>
    <row r="149" spans="3:55" x14ac:dyDescent="0.3">
      <c r="C149" s="173"/>
      <c r="D149" s="666" t="s">
        <v>155</v>
      </c>
      <c r="E149" s="72"/>
      <c r="F149" s="72"/>
      <c r="G149" s="72"/>
      <c r="H149" s="72"/>
      <c r="I149" s="84"/>
      <c r="J149" s="72"/>
      <c r="K149" s="221"/>
      <c r="L149" s="221"/>
      <c r="M149" s="221"/>
      <c r="N149" s="221"/>
      <c r="O149" s="221"/>
      <c r="P149" s="221"/>
      <c r="Q149" s="221"/>
      <c r="R149" s="221"/>
      <c r="S149" s="221"/>
      <c r="T149" s="178"/>
      <c r="U149" s="178"/>
      <c r="V149" s="178"/>
      <c r="W149" s="178"/>
      <c r="X149" s="178"/>
      <c r="Y149" s="178"/>
      <c r="Z149" s="178"/>
      <c r="AA149" s="178"/>
      <c r="AB149" s="178"/>
      <c r="AC149" s="178"/>
      <c r="AD149" s="178"/>
      <c r="AE149" s="178"/>
      <c r="AF149" s="178"/>
      <c r="AG149" s="178"/>
      <c r="AH149" s="178"/>
      <c r="AI149" s="178"/>
      <c r="AJ149" s="178"/>
      <c r="AK149" s="178"/>
      <c r="AL149" s="178"/>
      <c r="AM149" s="175"/>
      <c r="AO149" s="1307"/>
      <c r="AP149" s="1307"/>
      <c r="AQ149" s="1307"/>
      <c r="AR149" s="1307"/>
      <c r="AS149" s="1307"/>
      <c r="AT149" s="1307"/>
      <c r="AU149" s="1307"/>
      <c r="AV149" s="1307"/>
      <c r="AW149" s="1307"/>
      <c r="AX149" s="1307"/>
      <c r="AY149" s="1307"/>
      <c r="AZ149" s="1307"/>
      <c r="BA149" s="1307"/>
      <c r="BB149" s="1307"/>
      <c r="BC149" s="1307"/>
    </row>
    <row r="150" spans="3:55" x14ac:dyDescent="0.3">
      <c r="C150" s="173"/>
      <c r="D150" s="697"/>
      <c r="E150" s="72"/>
      <c r="F150" s="72"/>
      <c r="G150" s="72"/>
      <c r="H150" s="72"/>
      <c r="I150" s="84"/>
      <c r="J150" s="72"/>
      <c r="K150" s="221"/>
      <c r="L150" s="221"/>
      <c r="M150" s="221"/>
      <c r="N150" s="221"/>
      <c r="O150" s="221"/>
      <c r="P150" s="221"/>
      <c r="Q150" s="221"/>
      <c r="R150" s="221"/>
      <c r="S150" s="221"/>
      <c r="T150" s="583"/>
      <c r="U150" s="583"/>
      <c r="V150" s="583"/>
      <c r="W150" s="583"/>
      <c r="X150" s="583"/>
      <c r="Y150" s="583"/>
      <c r="Z150" s="583"/>
      <c r="AA150" s="583"/>
      <c r="AB150" s="583"/>
      <c r="AC150" s="583"/>
      <c r="AD150" s="583"/>
      <c r="AE150" s="583"/>
      <c r="AF150" s="583"/>
      <c r="AG150" s="583"/>
      <c r="AH150" s="583"/>
      <c r="AI150" s="583"/>
      <c r="AJ150" s="583"/>
      <c r="AK150" s="583"/>
      <c r="AL150" s="583"/>
      <c r="AM150" s="660"/>
      <c r="AO150" s="1307"/>
      <c r="AP150" s="1307"/>
      <c r="AQ150" s="1307"/>
      <c r="AR150" s="1307"/>
      <c r="AS150" s="1307"/>
      <c r="AT150" s="1307"/>
      <c r="AU150" s="1307"/>
      <c r="AV150" s="1307"/>
      <c r="AW150" s="1307"/>
      <c r="AX150" s="1307"/>
      <c r="AY150" s="1307"/>
      <c r="AZ150" s="1307"/>
      <c r="BA150" s="1307"/>
      <c r="BB150" s="1307"/>
      <c r="BC150" s="1307"/>
    </row>
    <row r="151" spans="3:55" x14ac:dyDescent="0.3">
      <c r="C151" s="173"/>
      <c r="D151" s="697"/>
      <c r="E151" s="72"/>
      <c r="F151" s="72"/>
      <c r="G151" s="72"/>
      <c r="H151" s="72"/>
      <c r="I151" s="84"/>
      <c r="J151" s="72"/>
      <c r="K151" s="77"/>
      <c r="L151" s="77"/>
      <c r="M151" s="221"/>
      <c r="N151" s="221"/>
      <c r="O151" s="221"/>
      <c r="P151" s="221"/>
      <c r="Q151" s="221"/>
      <c r="R151" s="221"/>
      <c r="S151" s="221"/>
      <c r="T151" s="583"/>
      <c r="U151" s="583"/>
      <c r="V151" s="583"/>
      <c r="W151" s="583"/>
      <c r="X151" s="583"/>
      <c r="Y151" s="583"/>
      <c r="Z151" s="583"/>
      <c r="AA151" s="583"/>
      <c r="AB151" s="583"/>
      <c r="AC151" s="583"/>
      <c r="AD151" s="583"/>
      <c r="AE151" s="583"/>
      <c r="AF151" s="583"/>
      <c r="AG151" s="583"/>
      <c r="AH151" s="583"/>
      <c r="AI151" s="583"/>
      <c r="AJ151" s="583"/>
      <c r="AK151" s="583"/>
      <c r="AL151" s="583"/>
      <c r="AM151" s="660"/>
      <c r="AO151" s="1307"/>
      <c r="AP151" s="1307"/>
      <c r="AQ151" s="1307"/>
      <c r="AR151" s="1307"/>
      <c r="AS151" s="1307"/>
      <c r="AT151" s="1307"/>
      <c r="AU151" s="1307"/>
      <c r="AV151" s="1307"/>
      <c r="AW151" s="1307"/>
      <c r="AX151" s="1307"/>
      <c r="AY151" s="1307"/>
      <c r="AZ151" s="1307"/>
      <c r="BA151" s="1307"/>
      <c r="BB151" s="1307"/>
      <c r="BC151" s="1307"/>
    </row>
    <row r="152" spans="3:55" x14ac:dyDescent="0.3">
      <c r="C152" s="173"/>
      <c r="D152" s="208" t="s">
        <v>156</v>
      </c>
      <c r="E152" s="72"/>
      <c r="F152" s="72"/>
      <c r="G152" s="72"/>
      <c r="H152" s="72"/>
      <c r="I152" s="84"/>
      <c r="J152" s="72"/>
      <c r="K152" s="77"/>
      <c r="L152" s="77"/>
      <c r="M152" s="221"/>
      <c r="N152" s="221"/>
      <c r="O152" s="221"/>
      <c r="P152" s="221"/>
      <c r="Q152" s="221"/>
      <c r="R152" s="221"/>
      <c r="S152" s="221"/>
      <c r="T152" s="583"/>
      <c r="U152" s="583"/>
      <c r="V152" s="583"/>
      <c r="W152" s="583"/>
      <c r="X152" s="583"/>
      <c r="Y152" s="583"/>
      <c r="Z152" s="583"/>
      <c r="AA152" s="583"/>
      <c r="AB152" s="583"/>
      <c r="AC152" s="583"/>
      <c r="AD152" s="583"/>
      <c r="AE152" s="583"/>
      <c r="AF152" s="583"/>
      <c r="AG152" s="583"/>
      <c r="AH152" s="583"/>
      <c r="AI152" s="583"/>
      <c r="AJ152" s="583"/>
      <c r="AK152" s="583"/>
      <c r="AL152" s="583"/>
      <c r="AM152" s="660"/>
      <c r="AO152" s="1307"/>
      <c r="AP152" s="1307"/>
      <c r="AQ152" s="1307"/>
      <c r="AR152" s="1307"/>
      <c r="AS152" s="1307"/>
      <c r="AT152" s="1307"/>
      <c r="AU152" s="1307"/>
      <c r="AV152" s="1307"/>
      <c r="AW152" s="1307"/>
      <c r="AX152" s="1307"/>
      <c r="AY152" s="1307"/>
      <c r="AZ152" s="1307"/>
      <c r="BA152" s="1307"/>
      <c r="BB152" s="1307"/>
      <c r="BC152" s="1307"/>
    </row>
    <row r="153" spans="3:55" x14ac:dyDescent="0.3">
      <c r="C153" s="173"/>
      <c r="D153" s="72"/>
      <c r="E153" s="72"/>
      <c r="F153" s="72"/>
      <c r="G153" s="72"/>
      <c r="H153" s="72"/>
      <c r="I153" s="84"/>
      <c r="J153" s="72"/>
      <c r="K153" s="77"/>
      <c r="L153" s="77"/>
      <c r="M153" s="221"/>
      <c r="N153" s="221"/>
      <c r="O153" s="221"/>
      <c r="P153" s="221"/>
      <c r="Q153" s="221"/>
      <c r="R153" s="221"/>
      <c r="S153" s="221"/>
      <c r="T153" s="583"/>
      <c r="U153" s="583"/>
      <c r="V153" s="583"/>
      <c r="W153" s="583"/>
      <c r="X153" s="583"/>
      <c r="Y153" s="583"/>
      <c r="Z153" s="583"/>
      <c r="AA153" s="583"/>
      <c r="AB153" s="583"/>
      <c r="AC153" s="583"/>
      <c r="AD153" s="583"/>
      <c r="AE153" s="583"/>
      <c r="AF153" s="583"/>
      <c r="AG153" s="583"/>
      <c r="AH153" s="583"/>
      <c r="AI153" s="583"/>
      <c r="AJ153" s="583"/>
      <c r="AK153" s="583"/>
      <c r="AL153" s="583"/>
      <c r="AM153" s="660"/>
      <c r="AO153" s="1307"/>
      <c r="AP153" s="1307"/>
      <c r="AQ153" s="1307"/>
      <c r="AR153" s="1307"/>
      <c r="AS153" s="1307"/>
      <c r="AT153" s="1307"/>
      <c r="AU153" s="1307"/>
      <c r="AV153" s="1307"/>
      <c r="AW153" s="1307"/>
      <c r="AX153" s="1307"/>
      <c r="AY153" s="1307"/>
      <c r="AZ153" s="1307"/>
      <c r="BA153" s="1307"/>
      <c r="BB153" s="1307"/>
      <c r="BC153" s="1307"/>
    </row>
    <row r="154" spans="3:55" x14ac:dyDescent="0.3">
      <c r="C154" s="173"/>
      <c r="D154" s="105" t="s">
        <v>157</v>
      </c>
      <c r="E154" s="72"/>
      <c r="F154" s="72"/>
      <c r="G154" s="72"/>
      <c r="H154" s="72"/>
      <c r="I154" s="84"/>
      <c r="J154" s="72"/>
      <c r="K154" s="77"/>
      <c r="L154" s="77"/>
      <c r="M154" s="221"/>
      <c r="N154" s="221"/>
      <c r="O154" s="221"/>
      <c r="P154" s="221"/>
      <c r="Q154" s="221"/>
      <c r="R154" s="221"/>
      <c r="S154" s="221"/>
      <c r="T154" s="221"/>
      <c r="U154" s="221"/>
      <c r="V154" s="221"/>
      <c r="W154" s="1601">
        <v>5</v>
      </c>
      <c r="X154" s="1548">
        <v>5</v>
      </c>
      <c r="Y154" s="1557">
        <v>5</v>
      </c>
      <c r="Z154" s="1557">
        <v>5</v>
      </c>
      <c r="AA154" s="1557">
        <v>5</v>
      </c>
      <c r="AB154" s="1558">
        <v>5</v>
      </c>
      <c r="AC154" s="1557">
        <v>5</v>
      </c>
      <c r="AD154" s="1557">
        <v>5</v>
      </c>
      <c r="AE154" s="1557">
        <v>5</v>
      </c>
      <c r="AF154" s="1557">
        <v>5</v>
      </c>
      <c r="AG154" s="1558">
        <v>5</v>
      </c>
      <c r="AH154" s="1557">
        <v>5</v>
      </c>
      <c r="AI154" s="1557">
        <v>5</v>
      </c>
      <c r="AJ154" s="1557">
        <v>5</v>
      </c>
      <c r="AK154" s="1557">
        <v>5</v>
      </c>
      <c r="AL154" s="1558">
        <v>5</v>
      </c>
      <c r="AM154" s="175"/>
      <c r="AO154" s="1307"/>
      <c r="AP154" s="1307"/>
      <c r="AQ154" s="1307"/>
      <c r="AR154" s="1307"/>
      <c r="AS154" s="1307"/>
      <c r="AT154" s="1307"/>
      <c r="AU154" s="1307"/>
      <c r="AV154" s="1307"/>
      <c r="AW154" s="1307"/>
      <c r="AX154" s="1307"/>
      <c r="AY154" s="1307"/>
      <c r="AZ154" s="1307"/>
      <c r="BA154" s="1307"/>
      <c r="BB154" s="1307"/>
      <c r="BC154" s="1307"/>
    </row>
    <row r="155" spans="3:55" x14ac:dyDescent="0.3">
      <c r="C155" s="173"/>
      <c r="D155" s="72" t="s">
        <v>158</v>
      </c>
      <c r="E155" s="72"/>
      <c r="F155" s="72"/>
      <c r="G155" s="72"/>
      <c r="H155" s="72"/>
      <c r="I155" s="84"/>
      <c r="J155" s="72"/>
      <c r="K155" s="77"/>
      <c r="L155" s="77"/>
      <c r="M155" s="221"/>
      <c r="N155" s="221"/>
      <c r="O155" s="221"/>
      <c r="P155" s="221"/>
      <c r="Q155" s="221"/>
      <c r="R155" s="221"/>
      <c r="S155" s="221"/>
      <c r="T155" s="221"/>
      <c r="U155" s="221"/>
      <c r="V155" s="221"/>
      <c r="W155" s="297">
        <f>+J157</f>
        <v>4.5</v>
      </c>
      <c r="X155" s="1564">
        <f ca="1">+W157</f>
        <v>5</v>
      </c>
      <c r="Y155" s="297">
        <f t="shared" ref="Y155:AG155" ca="1" si="43">+X157</f>
        <v>5</v>
      </c>
      <c r="Z155" s="297">
        <f t="shared" ca="1" si="43"/>
        <v>5</v>
      </c>
      <c r="AA155" s="297">
        <f t="shared" ca="1" si="43"/>
        <v>5</v>
      </c>
      <c r="AB155" s="297">
        <f t="shared" ca="1" si="43"/>
        <v>5</v>
      </c>
      <c r="AC155" s="297">
        <f t="shared" ca="1" si="43"/>
        <v>5</v>
      </c>
      <c r="AD155" s="297">
        <f t="shared" ca="1" si="43"/>
        <v>5</v>
      </c>
      <c r="AE155" s="297">
        <f t="shared" ca="1" si="43"/>
        <v>5</v>
      </c>
      <c r="AF155" s="297">
        <f t="shared" ca="1" si="43"/>
        <v>5</v>
      </c>
      <c r="AG155" s="297">
        <f t="shared" ca="1" si="43"/>
        <v>5</v>
      </c>
      <c r="AH155" s="297">
        <f ca="1">+AG157</f>
        <v>5</v>
      </c>
      <c r="AI155" s="297">
        <f ca="1">+AH157</f>
        <v>5</v>
      </c>
      <c r="AJ155" s="297">
        <f ca="1">+AI157</f>
        <v>5</v>
      </c>
      <c r="AK155" s="297">
        <f ca="1">+AJ157</f>
        <v>5</v>
      </c>
      <c r="AL155" s="297">
        <f ca="1">+AK157</f>
        <v>5</v>
      </c>
      <c r="AM155" s="175"/>
      <c r="AO155" s="1307"/>
      <c r="AP155" s="1307"/>
      <c r="AQ155" s="1307"/>
      <c r="AR155" s="1307"/>
      <c r="AS155" s="1307"/>
      <c r="AT155" s="1307"/>
      <c r="AU155" s="1307"/>
      <c r="AV155" s="1307"/>
      <c r="AW155" s="1307"/>
      <c r="AX155" s="1307"/>
      <c r="AY155" s="1307"/>
      <c r="AZ155" s="1307"/>
      <c r="BA155" s="1307"/>
      <c r="BB155" s="1307"/>
      <c r="BC155" s="1307"/>
    </row>
    <row r="156" spans="3:55" x14ac:dyDescent="0.3">
      <c r="C156" s="173"/>
      <c r="D156" s="72" t="s">
        <v>159</v>
      </c>
      <c r="E156" s="72"/>
      <c r="F156" s="72"/>
      <c r="G156" s="72"/>
      <c r="H156" s="72"/>
      <c r="I156" s="84"/>
      <c r="J156" s="72"/>
      <c r="K156" s="77"/>
      <c r="L156" s="77"/>
      <c r="M156" s="221"/>
      <c r="N156" s="221"/>
      <c r="O156" s="221"/>
      <c r="P156" s="221"/>
      <c r="Q156" s="221"/>
      <c r="R156" s="221"/>
      <c r="S156" s="221"/>
      <c r="T156" s="221"/>
      <c r="U156" s="221"/>
      <c r="V156" s="221"/>
      <c r="W156" s="297">
        <f t="shared" ref="W156:AG156" ca="1" si="44">IF(W159-W143+(W154-W155)&gt;=0,W154-W155,W143-W159)</f>
        <v>0.5</v>
      </c>
      <c r="X156" s="297">
        <f t="shared" ca="1" si="44"/>
        <v>0</v>
      </c>
      <c r="Y156" s="297">
        <f t="shared" ca="1" si="44"/>
        <v>0</v>
      </c>
      <c r="Z156" s="297">
        <f t="shared" ca="1" si="44"/>
        <v>0</v>
      </c>
      <c r="AA156" s="297">
        <f t="shared" ca="1" si="44"/>
        <v>0</v>
      </c>
      <c r="AB156" s="297">
        <f t="shared" ca="1" si="44"/>
        <v>0</v>
      </c>
      <c r="AC156" s="297">
        <f t="shared" ca="1" si="44"/>
        <v>0</v>
      </c>
      <c r="AD156" s="297">
        <f t="shared" ca="1" si="44"/>
        <v>0</v>
      </c>
      <c r="AE156" s="297">
        <f t="shared" ca="1" si="44"/>
        <v>0</v>
      </c>
      <c r="AF156" s="297">
        <f t="shared" ca="1" si="44"/>
        <v>0</v>
      </c>
      <c r="AG156" s="297">
        <f t="shared" ca="1" si="44"/>
        <v>0</v>
      </c>
      <c r="AH156" s="297">
        <f ca="1">IF(AH159-AH143+(AH154-AH155)&gt;=0,AH154-AH155,AH143-AH159)</f>
        <v>0</v>
      </c>
      <c r="AI156" s="297">
        <f ca="1">IF(AI159-AI143+(AI154-AI155)&gt;=0,AI154-AI155,AI143-AI159)</f>
        <v>0</v>
      </c>
      <c r="AJ156" s="297">
        <f ca="1">IF(AJ159-AJ143+(AJ154-AJ155)&gt;=0,AJ154-AJ155,AJ143-AJ159)</f>
        <v>0</v>
      </c>
      <c r="AK156" s="297">
        <f ca="1">IF(AK159-AK143+(AK154-AK155)&gt;=0,AK154-AK155,AK143-AK159)</f>
        <v>0</v>
      </c>
      <c r="AL156" s="297">
        <f ca="1">IF(AL159-AL143+(AL154-AL155)&gt;=0,AL154-AL155,AL143-AL159)</f>
        <v>0</v>
      </c>
      <c r="AM156" s="175"/>
      <c r="AO156" s="1307"/>
      <c r="AP156" s="1307"/>
      <c r="AQ156" s="1307"/>
      <c r="AR156" s="1307"/>
      <c r="AS156" s="1307"/>
      <c r="AT156" s="1307"/>
      <c r="AU156" s="1307"/>
      <c r="AV156" s="1307"/>
      <c r="AW156" s="1307"/>
      <c r="AX156" s="1307"/>
      <c r="AY156" s="1307"/>
      <c r="AZ156" s="1307"/>
      <c r="BA156" s="1307"/>
      <c r="BB156" s="1307"/>
      <c r="BC156" s="1307"/>
    </row>
    <row r="157" spans="3:55" x14ac:dyDescent="0.3">
      <c r="C157" s="173"/>
      <c r="D157" s="105" t="s">
        <v>160</v>
      </c>
      <c r="E157" s="105"/>
      <c r="F157" s="1576"/>
      <c r="G157" s="1576"/>
      <c r="H157" s="1576"/>
      <c r="I157" s="1600" t="s">
        <v>926</v>
      </c>
      <c r="J157" s="1541">
        <v>4.5</v>
      </c>
      <c r="K157" s="77"/>
      <c r="L157" s="77"/>
      <c r="M157" s="221"/>
      <c r="N157" s="221"/>
      <c r="O157" s="221"/>
      <c r="P157" s="221"/>
      <c r="R157" s="221"/>
      <c r="S157" s="221"/>
      <c r="T157" s="221"/>
      <c r="U157" s="221"/>
      <c r="V157" s="221"/>
      <c r="W157" s="1591">
        <f t="shared" ref="W157:AG157" ca="1" si="45">+W155+W156</f>
        <v>5</v>
      </c>
      <c r="X157" s="1592">
        <f t="shared" ca="1" si="45"/>
        <v>5</v>
      </c>
      <c r="Y157" s="1260">
        <f t="shared" ca="1" si="45"/>
        <v>5</v>
      </c>
      <c r="Z157" s="1260">
        <f t="shared" ca="1" si="45"/>
        <v>5</v>
      </c>
      <c r="AA157" s="1260">
        <f t="shared" ca="1" si="45"/>
        <v>5</v>
      </c>
      <c r="AB157" s="1597">
        <f t="shared" ca="1" si="45"/>
        <v>5</v>
      </c>
      <c r="AC157" s="1260">
        <f t="shared" ca="1" si="45"/>
        <v>5</v>
      </c>
      <c r="AD157" s="1260">
        <f t="shared" ca="1" si="45"/>
        <v>5</v>
      </c>
      <c r="AE157" s="1260">
        <f t="shared" ca="1" si="45"/>
        <v>5</v>
      </c>
      <c r="AF157" s="1260">
        <f t="shared" ca="1" si="45"/>
        <v>5</v>
      </c>
      <c r="AG157" s="1260">
        <f t="shared" ca="1" si="45"/>
        <v>5</v>
      </c>
      <c r="AH157" s="1260">
        <f ca="1">+AH155+AH156</f>
        <v>5</v>
      </c>
      <c r="AI157" s="1260">
        <f ca="1">+AI155+AI156</f>
        <v>5</v>
      </c>
      <c r="AJ157" s="1260">
        <f ca="1">+AJ155+AJ156</f>
        <v>5</v>
      </c>
      <c r="AK157" s="1260">
        <f ca="1">+AK155+AK156</f>
        <v>5</v>
      </c>
      <c r="AL157" s="1260">
        <f ca="1">+AL155+AL156</f>
        <v>5</v>
      </c>
      <c r="AM157" s="175"/>
      <c r="AO157" s="1307"/>
      <c r="AP157" s="1307"/>
      <c r="AQ157" s="1307"/>
      <c r="AR157" s="1307"/>
      <c r="AS157" s="1307"/>
      <c r="AT157" s="1307"/>
      <c r="AU157" s="1307"/>
      <c r="AV157" s="1307"/>
      <c r="AW157" s="1307"/>
      <c r="AX157" s="1307"/>
      <c r="AY157" s="1307"/>
      <c r="AZ157" s="1307"/>
      <c r="BA157" s="1307"/>
      <c r="BB157" s="1307"/>
      <c r="BC157" s="1307"/>
    </row>
    <row r="158" spans="3:55" x14ac:dyDescent="0.3">
      <c r="C158" s="173"/>
      <c r="D158" s="72"/>
      <c r="E158" s="72"/>
      <c r="F158" s="72"/>
      <c r="G158" s="72"/>
      <c r="H158" s="72"/>
      <c r="I158" s="84"/>
      <c r="J158" s="102"/>
      <c r="K158" s="77"/>
      <c r="L158" s="77"/>
      <c r="M158" s="221"/>
      <c r="N158" s="221"/>
      <c r="O158" s="221"/>
      <c r="P158" s="221"/>
      <c r="Q158" s="221"/>
      <c r="R158" s="221"/>
      <c r="S158" s="221"/>
      <c r="T158" s="221"/>
      <c r="U158" s="221"/>
      <c r="V158" s="221"/>
      <c r="W158" s="462"/>
      <c r="X158" s="462"/>
      <c r="Y158" s="462"/>
      <c r="Z158" s="462"/>
      <c r="AA158" s="462"/>
      <c r="AB158" s="462"/>
      <c r="AC158" s="462"/>
      <c r="AD158" s="462"/>
      <c r="AE158" s="462"/>
      <c r="AF158" s="462"/>
      <c r="AG158" s="462"/>
      <c r="AH158" s="462"/>
      <c r="AI158" s="462"/>
      <c r="AJ158" s="462"/>
      <c r="AK158" s="462"/>
      <c r="AL158" s="462"/>
      <c r="AM158" s="175"/>
      <c r="AO158" s="1307"/>
      <c r="AP158" s="1307"/>
      <c r="AQ158" s="1307"/>
      <c r="AR158" s="1307"/>
      <c r="AS158" s="1307"/>
      <c r="AT158" s="1307"/>
      <c r="AU158" s="1307"/>
      <c r="AV158" s="1307"/>
      <c r="AW158" s="1307"/>
      <c r="AX158" s="1307"/>
      <c r="AY158" s="1307"/>
      <c r="AZ158" s="1307"/>
      <c r="BA158" s="1307"/>
      <c r="BB158" s="1307"/>
      <c r="BC158" s="1307"/>
    </row>
    <row r="159" spans="3:55" x14ac:dyDescent="0.3">
      <c r="C159" s="173"/>
      <c r="D159" s="72" t="s">
        <v>161</v>
      </c>
      <c r="E159" s="72"/>
      <c r="F159" s="72"/>
      <c r="G159" s="72"/>
      <c r="H159" s="72"/>
      <c r="I159" s="84"/>
      <c r="J159" s="102"/>
      <c r="K159" s="77"/>
      <c r="L159" s="77"/>
      <c r="M159" s="221"/>
      <c r="N159" s="221"/>
      <c r="O159" s="221"/>
      <c r="P159" s="221"/>
      <c r="Q159" s="221"/>
      <c r="R159" s="221"/>
      <c r="S159" s="221"/>
      <c r="T159" s="221"/>
      <c r="U159" s="221"/>
      <c r="V159" s="221"/>
      <c r="W159" s="297">
        <f>J161</f>
        <v>113</v>
      </c>
      <c r="X159" s="1564">
        <f t="shared" ref="X159:AG159" ca="1" si="46">+W161</f>
        <v>114.23683807742157</v>
      </c>
      <c r="Y159" s="297">
        <f t="shared" ca="1" si="46"/>
        <v>121.84637684099177</v>
      </c>
      <c r="Z159" s="297">
        <f t="shared" ca="1" si="46"/>
        <v>128.85963941243767</v>
      </c>
      <c r="AA159" s="297">
        <f t="shared" ca="1" si="46"/>
        <v>132.97466447925623</v>
      </c>
      <c r="AB159" s="297">
        <f t="shared" ca="1" si="46"/>
        <v>141.62576937302134</v>
      </c>
      <c r="AC159" s="297">
        <f t="shared" ca="1" si="46"/>
        <v>156.48182241264533</v>
      </c>
      <c r="AD159" s="297">
        <f t="shared" ca="1" si="46"/>
        <v>180.76395309026299</v>
      </c>
      <c r="AE159" s="297">
        <f t="shared" ca="1" si="46"/>
        <v>206.70400021199492</v>
      </c>
      <c r="AF159" s="297">
        <f t="shared" ca="1" si="46"/>
        <v>233.47500811704435</v>
      </c>
      <c r="AG159" s="297">
        <f t="shared" ca="1" si="46"/>
        <v>262.28725081521679</v>
      </c>
      <c r="AH159" s="297">
        <f ca="1">+AG161</f>
        <v>293.61424165784507</v>
      </c>
      <c r="AI159" s="297">
        <f ca="1">+AH161</f>
        <v>366.48558992094047</v>
      </c>
      <c r="AJ159" s="297">
        <f ca="1">+AI161</f>
        <v>436.93830596219925</v>
      </c>
      <c r="AK159" s="297">
        <f ca="1">+AJ161</f>
        <v>474.62247760993051</v>
      </c>
      <c r="AL159" s="297">
        <f ca="1">+AK161</f>
        <v>494.51296752776898</v>
      </c>
      <c r="AM159" s="175"/>
      <c r="AO159" s="1307"/>
      <c r="AP159" s="1307"/>
      <c r="AQ159" s="1307"/>
      <c r="AR159" s="1307"/>
      <c r="AS159" s="1307"/>
      <c r="AT159" s="1307"/>
      <c r="AU159" s="1307"/>
      <c r="AV159" s="1307"/>
      <c r="AW159" s="1307"/>
      <c r="AX159" s="1307"/>
      <c r="AY159" s="1307"/>
      <c r="AZ159" s="1307"/>
      <c r="BA159" s="1307"/>
      <c r="BB159" s="1307"/>
      <c r="BC159" s="1307"/>
    </row>
    <row r="160" spans="3:55" x14ac:dyDescent="0.3">
      <c r="C160" s="173"/>
      <c r="D160" s="72" t="s">
        <v>162</v>
      </c>
      <c r="E160" s="72"/>
      <c r="F160" s="72"/>
      <c r="G160" s="72"/>
      <c r="H160" s="72"/>
      <c r="I160" s="84"/>
      <c r="J160" s="102"/>
      <c r="K160" s="77"/>
      <c r="L160" s="77"/>
      <c r="M160" s="221"/>
      <c r="N160" s="221"/>
      <c r="O160" s="221"/>
      <c r="P160" s="221"/>
      <c r="Q160" s="221"/>
      <c r="R160" s="221"/>
      <c r="S160" s="221"/>
      <c r="T160" s="221"/>
      <c r="U160" s="221"/>
      <c r="V160" s="221"/>
      <c r="W160" s="297">
        <f t="shared" ref="W160:AG160" ca="1" si="47">-(W143-W156)</f>
        <v>1.2368380774215701</v>
      </c>
      <c r="X160" s="297">
        <f t="shared" ca="1" si="47"/>
        <v>7.6095387635701961</v>
      </c>
      <c r="Y160" s="297">
        <f t="shared" ca="1" si="47"/>
        <v>7.0132625714459174</v>
      </c>
      <c r="Z160" s="297">
        <f t="shared" ca="1" si="47"/>
        <v>4.1150250668185535</v>
      </c>
      <c r="AA160" s="297">
        <f t="shared" ca="1" si="47"/>
        <v>8.6511048937651189</v>
      </c>
      <c r="AB160" s="297">
        <f t="shared" ca="1" si="47"/>
        <v>14.856053039623973</v>
      </c>
      <c r="AC160" s="297">
        <f t="shared" ca="1" si="47"/>
        <v>24.282130677617658</v>
      </c>
      <c r="AD160" s="297">
        <f t="shared" ca="1" si="47"/>
        <v>25.940047121731926</v>
      </c>
      <c r="AE160" s="297">
        <f t="shared" ca="1" si="47"/>
        <v>26.771007905049434</v>
      </c>
      <c r="AF160" s="297">
        <f t="shared" ca="1" si="47"/>
        <v>28.812242698172454</v>
      </c>
      <c r="AG160" s="297">
        <f t="shared" ca="1" si="47"/>
        <v>31.326990842628291</v>
      </c>
      <c r="AH160" s="297">
        <f ca="1">-(AH143-AH156)</f>
        <v>72.871348263095427</v>
      </c>
      <c r="AI160" s="297">
        <f ca="1">-(AI143-AI156)</f>
        <v>70.452716041258782</v>
      </c>
      <c r="AJ160" s="297">
        <f ca="1">-(AJ143-AJ156)</f>
        <v>37.68417164773124</v>
      </c>
      <c r="AK160" s="297">
        <f ca="1">-(AK143-AK156)</f>
        <v>19.890489917838465</v>
      </c>
      <c r="AL160" s="297">
        <f ca="1">-(AL143-AL156)</f>
        <v>33.642214151031546</v>
      </c>
      <c r="AM160" s="175"/>
      <c r="AO160" s="1307"/>
      <c r="AP160" s="1307"/>
      <c r="AQ160" s="1307"/>
      <c r="AR160" s="1307"/>
      <c r="AS160" s="1307"/>
      <c r="AT160" s="1307"/>
      <c r="AU160" s="1307"/>
      <c r="AV160" s="1307"/>
      <c r="AW160" s="1307"/>
      <c r="AX160" s="1307"/>
      <c r="AY160" s="1307"/>
      <c r="AZ160" s="1307"/>
      <c r="BA160" s="1307"/>
      <c r="BB160" s="1307"/>
      <c r="BC160" s="1307"/>
    </row>
    <row r="161" spans="3:55" x14ac:dyDescent="0.3">
      <c r="C161" s="173"/>
      <c r="D161" s="105" t="s">
        <v>163</v>
      </c>
      <c r="E161" s="105"/>
      <c r="F161" s="1576"/>
      <c r="G161" s="1576"/>
      <c r="H161" s="1576"/>
      <c r="I161" s="1600" t="s">
        <v>926</v>
      </c>
      <c r="J161" s="1541">
        <v>113</v>
      </c>
      <c r="K161" s="77"/>
      <c r="L161" s="77"/>
      <c r="M161" s="221"/>
      <c r="N161" s="221"/>
      <c r="O161" s="221"/>
      <c r="P161" s="221"/>
      <c r="R161" s="221"/>
      <c r="S161" s="221"/>
      <c r="T161" s="221"/>
      <c r="U161" s="221"/>
      <c r="V161" s="221"/>
      <c r="W161" s="1591">
        <f t="shared" ref="W161:AG161" ca="1" si="48">+W159+W160</f>
        <v>114.23683807742157</v>
      </c>
      <c r="X161" s="1592">
        <f t="shared" ca="1" si="48"/>
        <v>121.84637684099177</v>
      </c>
      <c r="Y161" s="1260">
        <f t="shared" ca="1" si="48"/>
        <v>128.85963941243767</v>
      </c>
      <c r="Z161" s="1260">
        <f t="shared" ca="1" si="48"/>
        <v>132.97466447925623</v>
      </c>
      <c r="AA161" s="1260">
        <f t="shared" ca="1" si="48"/>
        <v>141.62576937302134</v>
      </c>
      <c r="AB161" s="1597">
        <f t="shared" ca="1" si="48"/>
        <v>156.48182241264533</v>
      </c>
      <c r="AC161" s="1260">
        <f t="shared" ca="1" si="48"/>
        <v>180.76395309026299</v>
      </c>
      <c r="AD161" s="1260">
        <f t="shared" ca="1" si="48"/>
        <v>206.70400021199492</v>
      </c>
      <c r="AE161" s="1260">
        <f t="shared" ca="1" si="48"/>
        <v>233.47500811704435</v>
      </c>
      <c r="AF161" s="1260">
        <f t="shared" ca="1" si="48"/>
        <v>262.28725081521679</v>
      </c>
      <c r="AG161" s="1260">
        <f t="shared" ca="1" si="48"/>
        <v>293.61424165784507</v>
      </c>
      <c r="AH161" s="1260">
        <f ca="1">+AH159+AH160</f>
        <v>366.48558992094047</v>
      </c>
      <c r="AI161" s="1260">
        <f ca="1">+AI159+AI160</f>
        <v>436.93830596219925</v>
      </c>
      <c r="AJ161" s="1260">
        <f ca="1">+AJ159+AJ160</f>
        <v>474.62247760993051</v>
      </c>
      <c r="AK161" s="1260">
        <f ca="1">+AK159+AK160</f>
        <v>494.51296752776898</v>
      </c>
      <c r="AL161" s="1260">
        <f ca="1">+AL159+AL160</f>
        <v>528.15518167880055</v>
      </c>
      <c r="AM161" s="175"/>
      <c r="AO161" s="1307"/>
      <c r="AP161" s="1307"/>
      <c r="AQ161" s="1307"/>
      <c r="AR161" s="1307"/>
      <c r="AS161" s="1307"/>
      <c r="AT161" s="1307"/>
      <c r="AU161" s="1307"/>
      <c r="AV161" s="1307"/>
      <c r="AW161" s="1307"/>
      <c r="AX161" s="1307"/>
      <c r="AY161" s="1307"/>
      <c r="AZ161" s="1307"/>
      <c r="BA161" s="1307"/>
      <c r="BB161" s="1307"/>
      <c r="BC161" s="1307"/>
    </row>
    <row r="162" spans="3:55" x14ac:dyDescent="0.3">
      <c r="C162" s="173"/>
      <c r="D162" s="72"/>
      <c r="E162" s="72"/>
      <c r="F162" s="72"/>
      <c r="G162" s="72"/>
      <c r="H162" s="72"/>
      <c r="I162" s="84"/>
      <c r="J162" s="72"/>
      <c r="K162" s="77"/>
      <c r="L162" s="77"/>
      <c r="M162" s="221"/>
      <c r="N162" s="221"/>
      <c r="O162" s="221"/>
      <c r="P162" s="221"/>
      <c r="Q162" s="221"/>
      <c r="R162" s="221"/>
      <c r="S162" s="275"/>
      <c r="T162" s="462"/>
      <c r="U162" s="462"/>
      <c r="V162" s="462"/>
      <c r="W162" s="462"/>
      <c r="X162" s="462"/>
      <c r="Y162" s="462"/>
      <c r="Z162" s="462"/>
      <c r="AA162" s="462"/>
      <c r="AB162" s="462"/>
      <c r="AC162" s="462"/>
      <c r="AD162" s="462"/>
      <c r="AE162" s="462"/>
      <c r="AF162" s="462"/>
      <c r="AG162" s="462"/>
      <c r="AH162" s="462"/>
      <c r="AI162" s="462"/>
      <c r="AJ162" s="462"/>
      <c r="AK162" s="462"/>
      <c r="AL162" s="462"/>
      <c r="AM162" s="175"/>
      <c r="AO162" s="1307"/>
      <c r="AP162" s="1307"/>
      <c r="AQ162" s="1307"/>
      <c r="AR162" s="1307"/>
      <c r="AS162" s="1307"/>
      <c r="AT162" s="1307"/>
      <c r="AU162" s="1307"/>
      <c r="AV162" s="1307"/>
      <c r="AW162" s="1307"/>
      <c r="AX162" s="1307"/>
      <c r="AY162" s="1307"/>
      <c r="AZ162" s="1307"/>
      <c r="BA162" s="1307"/>
      <c r="BB162" s="1307"/>
      <c r="BC162" s="1307"/>
    </row>
    <row r="163" spans="3:55" x14ac:dyDescent="0.3">
      <c r="C163" s="173"/>
      <c r="D163" s="72"/>
      <c r="E163" s="72"/>
      <c r="F163" s="72"/>
      <c r="G163" s="72"/>
      <c r="H163" s="72"/>
      <c r="I163" s="84"/>
      <c r="J163" s="72"/>
      <c r="K163" s="77"/>
      <c r="L163" s="77"/>
      <c r="M163" s="221"/>
      <c r="N163" s="221"/>
      <c r="O163" s="221"/>
      <c r="P163" s="221"/>
      <c r="Q163" s="221"/>
      <c r="R163" s="221"/>
      <c r="S163" s="275"/>
      <c r="T163" s="462"/>
      <c r="U163" s="462"/>
      <c r="V163" s="462"/>
      <c r="W163" s="462"/>
      <c r="X163" s="462"/>
      <c r="Y163" s="462"/>
      <c r="Z163" s="462"/>
      <c r="AA163" s="462"/>
      <c r="AB163" s="462"/>
      <c r="AC163" s="462"/>
      <c r="AD163" s="462"/>
      <c r="AE163" s="462"/>
      <c r="AF163" s="462"/>
      <c r="AG163" s="462"/>
      <c r="AH163" s="462"/>
      <c r="AI163" s="462"/>
      <c r="AJ163" s="462"/>
      <c r="AK163" s="462"/>
      <c r="AL163" s="462"/>
      <c r="AM163" s="175"/>
      <c r="AO163" s="1307"/>
      <c r="AP163" s="1307"/>
      <c r="AQ163" s="1307"/>
      <c r="AR163" s="1307"/>
      <c r="AS163" s="1307"/>
      <c r="AT163" s="1307"/>
      <c r="AU163" s="1307"/>
      <c r="AV163" s="1307"/>
      <c r="AW163" s="1307"/>
      <c r="AX163" s="1307"/>
      <c r="AY163" s="1307"/>
      <c r="AZ163" s="1307"/>
      <c r="BA163" s="1307"/>
      <c r="BB163" s="1307"/>
      <c r="BC163" s="1307"/>
    </row>
    <row r="164" spans="3:55" x14ac:dyDescent="0.3">
      <c r="C164" s="173"/>
      <c r="D164" s="525" t="s">
        <v>164</v>
      </c>
      <c r="E164" s="206"/>
      <c r="F164" s="206"/>
      <c r="G164" s="206"/>
      <c r="H164" s="206"/>
      <c r="I164" s="84"/>
      <c r="J164" s="72"/>
      <c r="K164" s="77"/>
      <c r="L164" s="77"/>
      <c r="M164" s="221"/>
      <c r="N164" s="221"/>
      <c r="O164" s="221"/>
      <c r="P164" s="221"/>
      <c r="Q164" s="221"/>
      <c r="R164" s="221"/>
      <c r="S164" s="275"/>
      <c r="T164" s="462"/>
      <c r="U164" s="462"/>
      <c r="V164" s="462"/>
      <c r="W164" s="462"/>
      <c r="X164" s="462"/>
      <c r="Y164" s="462"/>
      <c r="Z164" s="462"/>
      <c r="AA164" s="462"/>
      <c r="AB164" s="462"/>
      <c r="AC164" s="462"/>
      <c r="AD164" s="462"/>
      <c r="AE164" s="462"/>
      <c r="AF164" s="462"/>
      <c r="AG164" s="462"/>
      <c r="AH164" s="462"/>
      <c r="AI164" s="462"/>
      <c r="AJ164" s="462"/>
      <c r="AK164" s="462"/>
      <c r="AL164" s="462"/>
      <c r="AM164" s="175"/>
      <c r="AO164" s="1307"/>
      <c r="AP164" s="1307"/>
      <c r="AQ164" s="1307"/>
      <c r="AR164" s="1307"/>
      <c r="AS164" s="1307"/>
      <c r="AT164" s="1307"/>
      <c r="AU164" s="1307"/>
      <c r="AV164" s="1307"/>
      <c r="AW164" s="1307"/>
      <c r="AX164" s="1307"/>
      <c r="AY164" s="1307"/>
      <c r="AZ164" s="1307"/>
      <c r="BA164" s="1307"/>
      <c r="BB164" s="1307"/>
      <c r="BC164" s="1307"/>
    </row>
    <row r="165" spans="3:55" x14ac:dyDescent="0.3">
      <c r="C165" s="173"/>
      <c r="D165" s="265"/>
      <c r="E165" s="206" t="s">
        <v>127</v>
      </c>
      <c r="F165" s="206"/>
      <c r="G165" s="206"/>
      <c r="H165" s="206"/>
      <c r="I165" s="84"/>
      <c r="J165" s="72"/>
      <c r="K165" s="77"/>
      <c r="L165" s="77"/>
      <c r="M165" s="221"/>
      <c r="N165" s="221"/>
      <c r="O165" s="221"/>
      <c r="P165" s="221"/>
      <c r="Q165" s="221"/>
      <c r="R165" s="221"/>
      <c r="S165" s="221"/>
      <c r="T165" s="221"/>
      <c r="U165" s="221"/>
      <c r="V165" s="221"/>
      <c r="W165" s="297">
        <f t="shared" ref="W165:AG165" ca="1" si="49">+SUM(W83,W85:W86,W88:W90)-W84</f>
        <v>98.534224031755286</v>
      </c>
      <c r="X165" s="297">
        <f t="shared" ca="1" si="49"/>
        <v>109.34919185657481</v>
      </c>
      <c r="Y165" s="1527">
        <f t="shared" ca="1" si="49"/>
        <v>112.12060314686025</v>
      </c>
      <c r="Z165" s="1527">
        <f t="shared" ca="1" si="49"/>
        <v>119.09210748162856</v>
      </c>
      <c r="AA165" s="1527">
        <f t="shared" ca="1" si="49"/>
        <v>122.25811293632572</v>
      </c>
      <c r="AB165" s="1527">
        <f t="shared" ca="1" si="49"/>
        <v>133.78683484616275</v>
      </c>
      <c r="AC165" s="1527">
        <f t="shared" ca="1" si="49"/>
        <v>142.90140809962907</v>
      </c>
      <c r="AD165" s="1527">
        <f t="shared" ca="1" si="49"/>
        <v>152.57149810180715</v>
      </c>
      <c r="AE165" s="1527">
        <f t="shared" ca="1" si="49"/>
        <v>162.97995204362854</v>
      </c>
      <c r="AF165" s="1527">
        <f t="shared" ca="1" si="49"/>
        <v>174.20805250371905</v>
      </c>
      <c r="AG165" s="1527">
        <f t="shared" ca="1" si="49"/>
        <v>186.24536368417284</v>
      </c>
      <c r="AH165" s="1527">
        <f ca="1">+SUM(AH83,AH85:AH86,AH88:AH90)-AH84</f>
        <v>202.53910073144971</v>
      </c>
      <c r="AI165" s="1527">
        <f ca="1">+SUM(AI83,AI85:AI86,AI88:AI90)-AI84</f>
        <v>213.26491565187939</v>
      </c>
      <c r="AJ165" s="1527">
        <f ca="1">+SUM(AJ83,AJ85:AJ86,AJ88:AJ90)-AJ84</f>
        <v>224.58790192093772</v>
      </c>
      <c r="AK165" s="1527">
        <f ca="1">+SUM(AK83,AK85:AK86,AK88:AK90)-AK84</f>
        <v>236.54251614443879</v>
      </c>
      <c r="AL165" s="1527">
        <f ca="1">+SUM(AL83,AL85:AL86,AL88:AL90)-AL84</f>
        <v>249.16525361002851</v>
      </c>
      <c r="AM165" s="175"/>
      <c r="AO165" s="1307"/>
      <c r="AP165" s="1307"/>
      <c r="AQ165" s="1307"/>
      <c r="AR165" s="1307"/>
      <c r="AS165" s="1307"/>
      <c r="AT165" s="1307"/>
      <c r="AU165" s="1307"/>
      <c r="AV165" s="1307"/>
      <c r="AW165" s="1307"/>
      <c r="AX165" s="1307"/>
      <c r="AY165" s="1307"/>
      <c r="AZ165" s="1307"/>
      <c r="BA165" s="1307"/>
      <c r="BB165" s="1307"/>
      <c r="BC165" s="1307"/>
    </row>
    <row r="166" spans="3:55" x14ac:dyDescent="0.3">
      <c r="C166" s="173"/>
      <c r="D166" s="265"/>
      <c r="E166" s="206" t="s">
        <v>165</v>
      </c>
      <c r="F166" s="206"/>
      <c r="G166" s="206"/>
      <c r="H166" s="206"/>
      <c r="I166" s="84"/>
      <c r="J166" s="72"/>
      <c r="K166" s="77"/>
      <c r="L166" s="77"/>
      <c r="M166" s="221"/>
      <c r="N166" s="221"/>
      <c r="O166" s="221"/>
      <c r="P166" s="221"/>
      <c r="Q166" s="221"/>
      <c r="R166" s="221"/>
      <c r="S166" s="221"/>
      <c r="T166" s="221"/>
      <c r="U166" s="221"/>
      <c r="V166" s="221"/>
      <c r="W166" s="297">
        <f t="shared" ref="W166:AG166" ca="1" si="50">+W128</f>
        <v>-56.509329355932195</v>
      </c>
      <c r="X166" s="297">
        <f t="shared" ca="1" si="50"/>
        <v>-63.247855929613181</v>
      </c>
      <c r="Y166" s="1527">
        <f t="shared" ca="1" si="50"/>
        <v>-62.749747671770244</v>
      </c>
      <c r="Z166" s="1527">
        <f t="shared" ca="1" si="50"/>
        <v>-61.750960692543586</v>
      </c>
      <c r="AA166" s="1527">
        <f t="shared" ca="1" si="50"/>
        <v>-68.814474731744369</v>
      </c>
      <c r="AB166" s="1527">
        <f t="shared" ca="1" si="50"/>
        <v>-72.995986819939489</v>
      </c>
      <c r="AC166" s="1527">
        <f t="shared" ca="1" si="50"/>
        <v>-76.157918724962556</v>
      </c>
      <c r="AD166" s="1527">
        <f t="shared" ca="1" si="50"/>
        <v>-80.827222013613564</v>
      </c>
      <c r="AE166" s="1527">
        <f t="shared" ca="1" si="50"/>
        <v>-84.683062185124101</v>
      </c>
      <c r="AF166" s="1527">
        <f t="shared" ca="1" si="50"/>
        <v>-87.5691320492936</v>
      </c>
      <c r="AG166" s="1527">
        <f t="shared" ca="1" si="50"/>
        <v>-91.413415925051311</v>
      </c>
      <c r="AH166" s="1527">
        <f ca="1">+AH128</f>
        <v>-92.338102720117121</v>
      </c>
      <c r="AI166" s="1527">
        <f ca="1">+AI128</f>
        <v>-96.029243973449624</v>
      </c>
      <c r="AJ166" s="1527">
        <f ca="1">+AJ128</f>
        <v>-99.874218552114797</v>
      </c>
      <c r="AK166" s="1527">
        <f ca="1">+AK128</f>
        <v>-103.87950755288914</v>
      </c>
      <c r="AL166" s="1527">
        <f ca="1">+AL128</f>
        <v>-108.05186593880748</v>
      </c>
      <c r="AM166" s="175"/>
      <c r="AO166" s="1307"/>
      <c r="AP166" s="1307"/>
      <c r="AQ166" s="1307"/>
      <c r="AR166" s="1307"/>
      <c r="AS166" s="1307"/>
      <c r="AT166" s="1307"/>
      <c r="AU166" s="1307"/>
      <c r="AV166" s="1307"/>
      <c r="AW166" s="1307"/>
      <c r="AX166" s="1307"/>
      <c r="AY166" s="1307"/>
      <c r="AZ166" s="1307"/>
      <c r="BA166" s="1307"/>
      <c r="BB166" s="1307"/>
      <c r="BC166" s="1307"/>
    </row>
    <row r="167" spans="3:55" x14ac:dyDescent="0.3">
      <c r="C167" s="173"/>
      <c r="D167" s="265"/>
      <c r="E167" s="206" t="s">
        <v>166</v>
      </c>
      <c r="F167" s="206"/>
      <c r="G167" s="206"/>
      <c r="H167" s="206"/>
      <c r="I167" s="84"/>
      <c r="J167" s="72"/>
      <c r="K167" s="77"/>
      <c r="L167" s="77"/>
      <c r="M167" s="221"/>
      <c r="N167" s="221"/>
      <c r="O167" s="221"/>
      <c r="P167" s="221"/>
      <c r="Q167" s="221"/>
      <c r="R167" s="221"/>
      <c r="S167" s="221"/>
      <c r="T167" s="221"/>
      <c r="U167" s="221"/>
      <c r="V167" s="221"/>
      <c r="W167" s="1527">
        <f t="shared" ref="W167:AG167" si="51">-W195</f>
        <v>-7.7943500000000006</v>
      </c>
      <c r="X167" s="297">
        <f t="shared" ca="1" si="51"/>
        <v>-7.1133419038710795</v>
      </c>
      <c r="Y167" s="1527">
        <f t="shared" ca="1" si="51"/>
        <v>-6.8022929420495881</v>
      </c>
      <c r="Z167" s="1527">
        <f t="shared" ca="1" si="51"/>
        <v>-6.649081970621884</v>
      </c>
      <c r="AA167" s="1527">
        <f t="shared" ca="1" si="51"/>
        <v>-6.8592150584396574</v>
      </c>
      <c r="AB167" s="1527">
        <f t="shared" ca="1" si="51"/>
        <v>-7.3046937806493535</v>
      </c>
      <c r="AC167" s="1527">
        <f t="shared" ca="1" si="51"/>
        <v>-8.0564996667040827</v>
      </c>
      <c r="AD167" s="1527">
        <f t="shared" ca="1" si="51"/>
        <v>-9.2799722649916596</v>
      </c>
      <c r="AE167" s="1527">
        <f t="shared" ca="1" si="51"/>
        <v>-10.586718137880542</v>
      </c>
      <c r="AF167" s="1527">
        <f t="shared" ca="1" si="51"/>
        <v>-11.935404713662429</v>
      </c>
      <c r="AG167" s="1527">
        <f t="shared" ca="1" si="51"/>
        <v>-13.386561517175803</v>
      </c>
      <c r="AH167" s="1527">
        <f ca="1">-AH195</f>
        <v>-14.963880678056741</v>
      </c>
      <c r="AI167" s="1527">
        <f ca="1">-AI195</f>
        <v>-18.618859785596641</v>
      </c>
      <c r="AJ167" s="1527">
        <f ca="1">-AJ195</f>
        <v>-22.153367173328427</v>
      </c>
      <c r="AK167" s="1527">
        <f ca="1">-AK195</f>
        <v>-24.049925766286293</v>
      </c>
      <c r="AL167" s="1527">
        <f ca="1">-AL195</f>
        <v>-25.057297978175548</v>
      </c>
      <c r="AM167" s="175"/>
      <c r="AO167" s="1307"/>
      <c r="AP167" s="1307"/>
      <c r="AQ167" s="1307"/>
      <c r="AR167" s="1307"/>
      <c r="AS167" s="1307"/>
      <c r="AT167" s="1307"/>
      <c r="AU167" s="1307"/>
      <c r="AV167" s="1307"/>
      <c r="AW167" s="1307"/>
      <c r="AX167" s="1307"/>
      <c r="AY167" s="1307"/>
      <c r="AZ167" s="1307"/>
      <c r="BA167" s="1307"/>
      <c r="BB167" s="1307"/>
      <c r="BC167" s="1307"/>
    </row>
    <row r="168" spans="3:55" x14ac:dyDescent="0.3">
      <c r="C168" s="173"/>
      <c r="D168" s="265"/>
      <c r="E168" s="206" t="s">
        <v>167</v>
      </c>
      <c r="F168" s="206"/>
      <c r="G168" s="206"/>
      <c r="H168" s="206"/>
      <c r="I168" s="84"/>
      <c r="J168" s="72"/>
      <c r="K168" s="77"/>
      <c r="L168" s="77"/>
      <c r="M168" s="221"/>
      <c r="N168" s="221"/>
      <c r="O168" s="221"/>
      <c r="P168" s="221"/>
      <c r="Q168" s="221"/>
      <c r="R168" s="221"/>
      <c r="S168" s="221"/>
      <c r="T168" s="221"/>
      <c r="U168" s="221"/>
      <c r="V168" s="221"/>
      <c r="W168" s="297">
        <f>-SUM('Finance&amp;Tax_FO'!W18:W19)</f>
        <v>-25.819268831674211</v>
      </c>
      <c r="X168" s="297">
        <f>-SUM('Finance&amp;Tax_FO'!X18:X19)</f>
        <v>-25.9086140008881</v>
      </c>
      <c r="Y168" s="297">
        <f>-SUM('Finance&amp;Tax_FO'!Y18:Y19)</f>
        <v>-26.63701065141926</v>
      </c>
      <c r="Z168" s="297">
        <f>-SUM('Finance&amp;Tax_FO'!Z18:Z19)</f>
        <v>-27.717428500857633</v>
      </c>
      <c r="AA168" s="297">
        <f>-SUM('Finance&amp;Tax_FO'!AA18:AA19)</f>
        <v>-27.99460278586621</v>
      </c>
      <c r="AB168" s="297">
        <f>-SUM('Finance&amp;Tax_FO'!AB18:AB19)</f>
        <v>-28.274548813724873</v>
      </c>
      <c r="AC168" s="297">
        <f ca="1">-SUM('Finance&amp;Tax_FO'!AC18:AC19)</f>
        <v>-28.941125089362121</v>
      </c>
      <c r="AD168" s="297">
        <f ca="1">-SUM('Finance&amp;Tax_FO'!AD18:AD19)</f>
        <v>-30.028773173422408</v>
      </c>
      <c r="AE168" s="297">
        <f ca="1">-SUM('Finance&amp;Tax_FO'!AE18:AE19)</f>
        <v>-31.170934333146221</v>
      </c>
      <c r="AF168" s="297">
        <f ca="1">-SUM('Finance&amp;Tax_FO'!AF18:AF19)</f>
        <v>-32.410215931801169</v>
      </c>
      <c r="AG168" s="297">
        <f ca="1">-SUM('Finance&amp;Tax_FO'!AG18:AG19)</f>
        <v>-33.774879930697949</v>
      </c>
      <c r="AH168" s="297">
        <f ca="1">-SUM('Finance&amp;Tax_FO'!AH18:AH19)</f>
        <v>-35.653776173342223</v>
      </c>
      <c r="AI168" s="297">
        <f ca="1">-SUM('Finance&amp;Tax_FO'!AI18:AI19)</f>
        <v>-38.03065857840641</v>
      </c>
      <c r="AJ168" s="297">
        <f ca="1">-SUM('Finance&amp;Tax_FO'!AJ18:AJ19)</f>
        <v>-40.171939743576999</v>
      </c>
      <c r="AK168" s="297">
        <f ca="1">-SUM('Finance&amp;Tax_FO'!AK18:AK19)</f>
        <v>-41.942219165981122</v>
      </c>
      <c r="AL168" s="297">
        <f ca="1">-SUM('Finance&amp;Tax_FO'!AL18:AL19)</f>
        <v>-43.748243980433351</v>
      </c>
      <c r="AM168" s="175"/>
      <c r="AO168" s="1307"/>
      <c r="AP168" s="1307"/>
      <c r="AQ168" s="1307"/>
      <c r="AR168" s="1307"/>
      <c r="AS168" s="1307"/>
      <c r="AT168" s="1307"/>
      <c r="AU168" s="1307"/>
      <c r="AV168" s="1307"/>
      <c r="AW168" s="1307"/>
      <c r="AX168" s="1307"/>
      <c r="AY168" s="1307"/>
      <c r="AZ168" s="1307"/>
      <c r="BA168" s="1307"/>
      <c r="BB168" s="1307"/>
      <c r="BC168" s="1307"/>
    </row>
    <row r="169" spans="3:55" x14ac:dyDescent="0.3">
      <c r="C169" s="173"/>
      <c r="D169" s="265"/>
      <c r="E169" s="206" t="s">
        <v>168</v>
      </c>
      <c r="F169" s="206"/>
      <c r="G169" s="206"/>
      <c r="H169" s="206"/>
      <c r="I169" s="84"/>
      <c r="J169" s="72"/>
      <c r="K169" s="77"/>
      <c r="L169" s="77"/>
      <c r="M169" s="221"/>
      <c r="N169" s="221"/>
      <c r="O169" s="221"/>
      <c r="P169" s="221"/>
      <c r="Q169" s="221"/>
      <c r="R169" s="221"/>
      <c r="S169" s="221"/>
      <c r="T169" s="221"/>
      <c r="U169" s="221"/>
      <c r="V169" s="221"/>
      <c r="W169" s="1527">
        <f>IF(V172&lt;0,V172,0)</f>
        <v>0</v>
      </c>
      <c r="X169" s="1564">
        <f>-'Finance&amp;Tax_FO'!X20</f>
        <v>0</v>
      </c>
      <c r="Y169" s="1564">
        <f ca="1">IF(X172&lt;0,X172,0)</f>
        <v>0</v>
      </c>
      <c r="Z169" s="297">
        <f t="shared" ref="Z169:AG169" ca="1" si="52">IF(Y172&lt;0,Y172,0)</f>
        <v>0</v>
      </c>
      <c r="AA169" s="297">
        <f t="shared" ca="1" si="52"/>
        <v>0</v>
      </c>
      <c r="AB169" s="1527">
        <f t="shared" ca="1" si="52"/>
        <v>0</v>
      </c>
      <c r="AC169" s="1564">
        <f>-'Finance&amp;Tax_FO'!AC20</f>
        <v>0</v>
      </c>
      <c r="AD169" s="1564">
        <f t="shared" ca="1" si="52"/>
        <v>0</v>
      </c>
      <c r="AE169" s="1527">
        <f t="shared" ca="1" si="52"/>
        <v>0</v>
      </c>
      <c r="AF169" s="1527">
        <f t="shared" ca="1" si="52"/>
        <v>0</v>
      </c>
      <c r="AG169" s="1527">
        <f t="shared" ca="1" si="52"/>
        <v>0</v>
      </c>
      <c r="AH169" s="1527">
        <f ca="1">IF(AG172&lt;0,AG172,0)</f>
        <v>0</v>
      </c>
      <c r="AI169" s="1527">
        <f ca="1">IF(AH172&lt;0,AH172,0)</f>
        <v>0</v>
      </c>
      <c r="AJ169" s="1527">
        <f ca="1">IF(AI172&lt;0,AI172,0)</f>
        <v>0</v>
      </c>
      <c r="AK169" s="1527">
        <f ca="1">IF(AJ172&lt;0,AJ172,0)</f>
        <v>0</v>
      </c>
      <c r="AL169" s="1527">
        <f ca="1">IF(AK172&lt;0,AK172,0)</f>
        <v>0</v>
      </c>
      <c r="AM169" s="175"/>
      <c r="AO169" s="1307"/>
      <c r="AP169" s="1307"/>
      <c r="AQ169" s="1307"/>
      <c r="AR169" s="1307"/>
      <c r="AS169" s="1307"/>
      <c r="AT169" s="1307"/>
      <c r="AU169" s="1307"/>
      <c r="AV169" s="1307"/>
      <c r="AW169" s="1307"/>
      <c r="AX169" s="1307"/>
      <c r="AY169" s="1307"/>
      <c r="AZ169" s="1307"/>
      <c r="BA169" s="1307"/>
      <c r="BB169" s="1307"/>
      <c r="BC169" s="1307"/>
    </row>
    <row r="170" spans="3:55" x14ac:dyDescent="0.3">
      <c r="C170" s="173"/>
      <c r="D170" s="265"/>
      <c r="E170" s="206" t="s">
        <v>397</v>
      </c>
      <c r="F170" s="206"/>
      <c r="G170" s="206"/>
      <c r="H170" s="206"/>
      <c r="I170" s="84"/>
      <c r="J170" s="72"/>
      <c r="K170" s="77"/>
      <c r="L170" s="77"/>
      <c r="M170" s="221"/>
      <c r="N170" s="221"/>
      <c r="O170" s="221"/>
      <c r="P170" s="221"/>
      <c r="Q170" s="221"/>
      <c r="R170" s="221"/>
      <c r="S170" s="275"/>
      <c r="T170" s="275"/>
      <c r="U170" s="275"/>
      <c r="V170" s="275"/>
      <c r="W170" s="275"/>
      <c r="X170" s="275"/>
      <c r="Y170" s="275"/>
      <c r="Z170" s="275"/>
      <c r="AA170" s="275"/>
      <c r="AB170" s="275"/>
      <c r="AC170" s="275"/>
      <c r="AD170" s="275"/>
      <c r="AE170" s="275"/>
      <c r="AF170" s="275"/>
      <c r="AG170" s="275"/>
      <c r="AH170" s="275"/>
      <c r="AI170" s="275"/>
      <c r="AJ170" s="275"/>
      <c r="AK170" s="275"/>
      <c r="AL170" s="275"/>
      <c r="AM170" s="175"/>
      <c r="AO170" s="1307"/>
      <c r="AP170" s="1307"/>
      <c r="AQ170" s="1307"/>
      <c r="AR170" s="1307"/>
      <c r="AS170" s="1307"/>
      <c r="AT170" s="1307"/>
      <c r="AU170" s="1307"/>
      <c r="AV170" s="1307"/>
      <c r="AW170" s="1307"/>
      <c r="AX170" s="1307"/>
      <c r="AY170" s="1307"/>
      <c r="AZ170" s="1307"/>
      <c r="BA170" s="1307"/>
      <c r="BB170" s="1307"/>
      <c r="BC170" s="1307"/>
    </row>
    <row r="171" spans="3:55" x14ac:dyDescent="0.3">
      <c r="C171" s="173"/>
      <c r="D171" s="265"/>
      <c r="E171" s="206"/>
      <c r="F171" s="206"/>
      <c r="G171" s="206"/>
      <c r="H171" s="206"/>
      <c r="I171" s="84"/>
      <c r="J171" s="72"/>
      <c r="K171" s="77"/>
      <c r="L171" s="77"/>
      <c r="M171" s="221"/>
      <c r="N171" s="221"/>
      <c r="O171" s="221"/>
      <c r="P171" s="221"/>
      <c r="Q171" s="221"/>
      <c r="R171" s="221"/>
      <c r="S171" s="275"/>
      <c r="T171" s="275"/>
      <c r="U171" s="275"/>
      <c r="V171" s="275"/>
      <c r="W171" s="275"/>
      <c r="X171" s="275"/>
      <c r="Y171" s="275"/>
      <c r="Z171" s="275"/>
      <c r="AA171" s="275"/>
      <c r="AB171" s="275"/>
      <c r="AC171" s="275"/>
      <c r="AD171" s="275"/>
      <c r="AE171" s="275"/>
      <c r="AF171" s="275"/>
      <c r="AG171" s="275"/>
      <c r="AH171" s="275"/>
      <c r="AI171" s="275"/>
      <c r="AJ171" s="275"/>
      <c r="AK171" s="275"/>
      <c r="AL171" s="275"/>
      <c r="AM171" s="175"/>
      <c r="AO171" s="1307"/>
      <c r="AP171" s="1307"/>
      <c r="AQ171" s="1307"/>
      <c r="AR171" s="1307"/>
      <c r="AS171" s="1307"/>
      <c r="AT171" s="1307"/>
      <c r="AU171" s="1307"/>
      <c r="AV171" s="1307"/>
      <c r="AW171" s="1307"/>
      <c r="AX171" s="1307"/>
      <c r="AY171" s="1307"/>
      <c r="AZ171" s="1307"/>
      <c r="BA171" s="1307"/>
      <c r="BB171" s="1307"/>
      <c r="BC171" s="1307"/>
    </row>
    <row r="172" spans="3:55" x14ac:dyDescent="0.3">
      <c r="C172" s="173"/>
      <c r="D172" s="265"/>
      <c r="E172" s="206" t="s">
        <v>169</v>
      </c>
      <c r="F172" s="206"/>
      <c r="G172" s="206"/>
      <c r="H172" s="206"/>
      <c r="I172" s="84"/>
      <c r="J172" s="72"/>
      <c r="K172" s="77"/>
      <c r="L172" s="77"/>
      <c r="M172" s="221"/>
      <c r="N172" s="221"/>
      <c r="O172" s="221"/>
      <c r="P172" s="221"/>
      <c r="R172" s="221"/>
      <c r="S172" s="221"/>
      <c r="T172" s="221"/>
      <c r="U172" s="221"/>
      <c r="V172" s="221"/>
      <c r="W172" s="1563">
        <f t="shared" ref="W172:AG172" ca="1" si="53">+SUM(W165:W171)</f>
        <v>8.4112758441488786</v>
      </c>
      <c r="X172" s="1589">
        <f t="shared" ca="1" si="53"/>
        <v>13.079380022202443</v>
      </c>
      <c r="Y172" s="1549">
        <f t="shared" ca="1" si="53"/>
        <v>15.931551881621154</v>
      </c>
      <c r="Z172" s="1549">
        <f t="shared" ref="Z172" ca="1" si="54">+SUM(Z165:Z171)</f>
        <v>22.974636317605455</v>
      </c>
      <c r="AA172" s="1549">
        <f t="shared" ca="1" si="53"/>
        <v>18.589820360275478</v>
      </c>
      <c r="AB172" s="1588">
        <f t="shared" ca="1" si="53"/>
        <v>25.211605431849033</v>
      </c>
      <c r="AC172" s="1549">
        <f t="shared" ca="1" si="53"/>
        <v>29.745864618600304</v>
      </c>
      <c r="AD172" s="1549">
        <f t="shared" ca="1" si="53"/>
        <v>32.435530649779523</v>
      </c>
      <c r="AE172" s="1549">
        <f t="shared" ca="1" si="53"/>
        <v>36.539237387477684</v>
      </c>
      <c r="AF172" s="1549">
        <f t="shared" ca="1" si="53"/>
        <v>42.293299808961841</v>
      </c>
      <c r="AG172" s="1549">
        <f t="shared" ca="1" si="53"/>
        <v>47.670506311247777</v>
      </c>
      <c r="AH172" s="1549">
        <f ca="1">+SUM(AH165:AH171)</f>
        <v>59.583341159933624</v>
      </c>
      <c r="AI172" s="1549">
        <f ca="1">+SUM(AI165:AI171)</f>
        <v>60.586153314426717</v>
      </c>
      <c r="AJ172" s="1549">
        <f ca="1">+SUM(AJ165:AJ171)</f>
        <v>62.388376451917495</v>
      </c>
      <c r="AK172" s="1549">
        <f ca="1">+SUM(AK165:AK171)</f>
        <v>66.670863659282247</v>
      </c>
      <c r="AL172" s="1549">
        <f ca="1">+SUM(AL165:AL171)</f>
        <v>72.307845712612135</v>
      </c>
      <c r="AM172" s="175"/>
      <c r="AO172" s="1307"/>
      <c r="AP172" s="1307"/>
      <c r="AQ172" s="1307"/>
      <c r="AR172" s="1307"/>
      <c r="AS172" s="1307"/>
      <c r="AT172" s="1307"/>
      <c r="AU172" s="1307"/>
      <c r="AV172" s="1307"/>
      <c r="AW172" s="1307"/>
      <c r="AX172" s="1307"/>
      <c r="AY172" s="1307"/>
      <c r="AZ172" s="1307"/>
      <c r="BA172" s="1307"/>
      <c r="BB172" s="1307"/>
      <c r="BC172" s="1307"/>
    </row>
    <row r="173" spans="3:55" x14ac:dyDescent="0.3">
      <c r="C173" s="173"/>
      <c r="D173" s="206"/>
      <c r="E173" s="206"/>
      <c r="F173" s="206"/>
      <c r="G173" s="206"/>
      <c r="H173" s="206"/>
      <c r="I173" s="84"/>
      <c r="J173" s="72"/>
      <c r="K173" s="77"/>
      <c r="L173" s="77"/>
      <c r="M173" s="221"/>
      <c r="N173" s="221"/>
      <c r="O173" s="221"/>
      <c r="P173" s="221"/>
      <c r="Q173" s="221"/>
      <c r="R173" s="221"/>
      <c r="S173" s="221"/>
      <c r="T173" s="221"/>
      <c r="U173" s="221"/>
      <c r="V173" s="221"/>
      <c r="W173" s="275"/>
      <c r="X173" s="275"/>
      <c r="Y173" s="275"/>
      <c r="Z173" s="275"/>
      <c r="AA173" s="275"/>
      <c r="AB173" s="275"/>
      <c r="AC173" s="275"/>
      <c r="AD173" s="275"/>
      <c r="AE173" s="275"/>
      <c r="AF173" s="275"/>
      <c r="AG173" s="275"/>
      <c r="AH173" s="275"/>
      <c r="AI173" s="275"/>
      <c r="AJ173" s="275"/>
      <c r="AK173" s="275"/>
      <c r="AL173" s="275"/>
      <c r="AM173" s="175"/>
      <c r="AO173" s="1307"/>
      <c r="AP173" s="1307"/>
      <c r="AQ173" s="1307"/>
      <c r="AR173" s="1307"/>
      <c r="AS173" s="1307"/>
      <c r="AT173" s="1307"/>
      <c r="AU173" s="1307"/>
      <c r="AV173" s="1307"/>
      <c r="AW173" s="1307"/>
      <c r="AX173" s="1307"/>
      <c r="AY173" s="1307"/>
      <c r="AZ173" s="1307"/>
      <c r="BA173" s="1307"/>
      <c r="BB173" s="1307"/>
      <c r="BC173" s="1307"/>
    </row>
    <row r="174" spans="3:55" ht="12.5" thickBot="1" x14ac:dyDescent="0.35">
      <c r="C174" s="173"/>
      <c r="D174" s="105" t="s">
        <v>170</v>
      </c>
      <c r="E174" s="72"/>
      <c r="F174" s="72"/>
      <c r="G174" s="72"/>
      <c r="H174" s="72"/>
      <c r="I174" s="84"/>
      <c r="J174" s="72"/>
      <c r="K174" s="77"/>
      <c r="L174" s="77"/>
      <c r="M174" s="221"/>
      <c r="N174" s="221"/>
      <c r="O174" s="221"/>
      <c r="P174" s="221"/>
      <c r="Q174" s="221"/>
      <c r="R174" s="221"/>
      <c r="S174" s="221"/>
      <c r="T174" s="221"/>
      <c r="U174" s="221"/>
      <c r="V174" s="221"/>
      <c r="W174" s="1602">
        <f ca="1">MAX('Rev&amp;RAV_FO'!W87*W172,0)</f>
        <v>2.5233827532446633</v>
      </c>
      <c r="X174" s="1598">
        <f ca="1">MAX('Rev&amp;RAV_FO'!X87*X172,0)</f>
        <v>3.9238140066607325</v>
      </c>
      <c r="Y174" s="1546">
        <f ca="1">MAX('Rev&amp;RAV_FO'!Y87*Y172,0)</f>
        <v>4.7794655644863457</v>
      </c>
      <c r="Z174" s="1546">
        <f ca="1">MAX('Rev&amp;RAV_FO'!Z87*Z172,0)</f>
        <v>6.8923908952816362</v>
      </c>
      <c r="AA174" s="1546">
        <f ca="1">MAX('Rev&amp;RAV_FO'!AA87*AA172,0)</f>
        <v>5.5769461080826437</v>
      </c>
      <c r="AB174" s="1546">
        <f ca="1">MAX('Rev&amp;RAV_FO'!AB87*AB172,0)</f>
        <v>7.56348162955471</v>
      </c>
      <c r="AC174" s="1598">
        <f ca="1">MAX('Rev&amp;RAV_FO'!AC87*AC172,0)</f>
        <v>8.923759385580091</v>
      </c>
      <c r="AD174" s="1546">
        <f ca="1">MAX('Rev&amp;RAV_FO'!AD87*AD172,0)</f>
        <v>9.7306591949338568</v>
      </c>
      <c r="AE174" s="1546">
        <f ca="1">MAX('Rev&amp;RAV_FO'!AE87*AE172,0)</f>
        <v>10.961771216243305</v>
      </c>
      <c r="AF174" s="1546">
        <f ca="1">MAX('Rev&amp;RAV_FO'!AF87*AF172,0)</f>
        <v>12.687989942688551</v>
      </c>
      <c r="AG174" s="1546">
        <f ca="1">MAX('Rev&amp;RAV_FO'!AG87*AG172,0)</f>
        <v>14.301151893374334</v>
      </c>
      <c r="AH174" s="1598">
        <f ca="1">MAX('Rev&amp;RAV_FO'!AH87*AH172,0)</f>
        <v>17.875002347980086</v>
      </c>
      <c r="AI174" s="1546">
        <f ca="1">MAX('Rev&amp;RAV_FO'!AI87*AI172,0)</f>
        <v>18.175845994328014</v>
      </c>
      <c r="AJ174" s="1546">
        <f ca="1">MAX('Rev&amp;RAV_FO'!AJ87*AJ172,0)</f>
        <v>18.716512935575249</v>
      </c>
      <c r="AK174" s="1546">
        <f ca="1">MAX('Rev&amp;RAV_FO'!AK87*AK172,0)</f>
        <v>20.001259097784672</v>
      </c>
      <c r="AL174" s="1546">
        <f ca="1">MAX('Rev&amp;RAV_FO'!AL87*AL172,0)</f>
        <v>21.692353713783639</v>
      </c>
      <c r="AM174" s="175"/>
      <c r="AO174" s="1307"/>
      <c r="AP174" s="1307"/>
      <c r="AQ174" s="1307"/>
      <c r="AR174" s="1307"/>
      <c r="AS174" s="1307"/>
      <c r="AT174" s="1307"/>
      <c r="AU174" s="1307"/>
      <c r="AV174" s="1307"/>
      <c r="AW174" s="1307"/>
      <c r="AX174" s="1307"/>
      <c r="AY174" s="1307"/>
      <c r="AZ174" s="1307"/>
      <c r="BA174" s="1307"/>
      <c r="BB174" s="1307"/>
      <c r="BC174" s="1307"/>
    </row>
    <row r="175" spans="3:55" x14ac:dyDescent="0.3">
      <c r="C175" s="173"/>
      <c r="D175" s="72"/>
      <c r="E175" s="72"/>
      <c r="F175" s="72"/>
      <c r="G175" s="72"/>
      <c r="H175" s="72"/>
      <c r="I175" s="84"/>
      <c r="J175" s="72"/>
      <c r="K175" s="221"/>
      <c r="L175" s="221"/>
      <c r="M175" s="221"/>
      <c r="N175" s="221"/>
      <c r="O175" s="221"/>
      <c r="P175" s="221"/>
      <c r="Q175" s="221"/>
      <c r="R175" s="221"/>
      <c r="S175" s="221"/>
      <c r="T175" s="221"/>
      <c r="U175" s="221"/>
      <c r="V175" s="221"/>
      <c r="W175" s="221"/>
      <c r="X175" s="221"/>
      <c r="Y175" s="221"/>
      <c r="Z175" s="221"/>
      <c r="AA175" s="221"/>
      <c r="AB175" s="221"/>
      <c r="AC175" s="221"/>
      <c r="AD175" s="221"/>
      <c r="AE175" s="221"/>
      <c r="AF175" s="221"/>
      <c r="AG175" s="221"/>
      <c r="AH175" s="221"/>
      <c r="AI175" s="221"/>
      <c r="AJ175" s="221"/>
      <c r="AK175" s="221"/>
      <c r="AL175" s="221"/>
      <c r="AM175" s="175"/>
      <c r="AO175" s="1307"/>
      <c r="AP175" s="1307"/>
      <c r="AQ175" s="1307"/>
      <c r="AR175" s="1307"/>
      <c r="AS175" s="1307"/>
      <c r="AT175" s="1307"/>
      <c r="AU175" s="1307"/>
      <c r="AV175" s="1307"/>
      <c r="AW175" s="1307"/>
      <c r="AX175" s="1307"/>
      <c r="AY175" s="1307"/>
      <c r="AZ175" s="1307"/>
      <c r="BA175" s="1307"/>
      <c r="BB175" s="1307"/>
      <c r="BC175" s="1307"/>
    </row>
    <row r="176" spans="3:55" ht="12.5" thickBot="1" x14ac:dyDescent="0.35">
      <c r="C176" s="179"/>
      <c r="D176" s="180"/>
      <c r="E176" s="180"/>
      <c r="F176" s="180"/>
      <c r="G176" s="180"/>
      <c r="H176" s="180"/>
      <c r="I176" s="197"/>
      <c r="J176" s="180"/>
      <c r="K176" s="197"/>
      <c r="L176" s="197"/>
      <c r="M176" s="197"/>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82"/>
      <c r="AO176" s="1307"/>
      <c r="AP176" s="1307"/>
      <c r="AQ176" s="1307"/>
      <c r="AR176" s="1307"/>
      <c r="AS176" s="1307"/>
      <c r="AT176" s="1307"/>
      <c r="AU176" s="1307"/>
      <c r="AV176" s="1307"/>
      <c r="AW176" s="1307"/>
      <c r="AX176" s="1307"/>
      <c r="AY176" s="1307"/>
      <c r="AZ176" s="1307"/>
      <c r="BA176" s="1307"/>
      <c r="BB176" s="1307"/>
      <c r="BC176" s="1307"/>
    </row>
    <row r="177" spans="3:55" x14ac:dyDescent="0.3">
      <c r="K177" s="684"/>
      <c r="L177" s="684"/>
      <c r="M177" s="684"/>
      <c r="N177" s="684"/>
      <c r="O177" s="684"/>
      <c r="P177" s="684"/>
      <c r="Q177" s="684"/>
      <c r="R177" s="684"/>
      <c r="S177" s="77"/>
      <c r="T177" s="77"/>
      <c r="U177" s="77"/>
      <c r="V177" s="77"/>
      <c r="W177" s="77"/>
      <c r="X177" s="77"/>
      <c r="AO177" s="1307"/>
      <c r="AP177" s="1307"/>
      <c r="AQ177" s="1307"/>
      <c r="AR177" s="1307"/>
      <c r="AS177" s="1307"/>
      <c r="AT177" s="1307"/>
      <c r="AU177" s="1307"/>
      <c r="AV177" s="1307"/>
      <c r="AW177" s="1307"/>
      <c r="AX177" s="1307"/>
      <c r="AY177" s="1307"/>
      <c r="AZ177" s="1307"/>
      <c r="BA177" s="1307"/>
      <c r="BB177" s="1307"/>
      <c r="BC177" s="1307"/>
    </row>
    <row r="178" spans="3:55" ht="12.5" thickBot="1" x14ac:dyDescent="0.35">
      <c r="C178" s="180"/>
      <c r="D178" s="180"/>
      <c r="E178" s="180"/>
      <c r="F178" s="180"/>
      <c r="G178" s="180"/>
      <c r="H178" s="180"/>
      <c r="I178" s="197"/>
      <c r="J178" s="180"/>
      <c r="K178" s="696"/>
      <c r="L178" s="696"/>
      <c r="M178" s="696"/>
      <c r="N178" s="696"/>
      <c r="O178" s="696"/>
      <c r="P178" s="696"/>
      <c r="Q178" s="696"/>
      <c r="R178" s="696"/>
      <c r="S178" s="197"/>
      <c r="T178" s="197"/>
      <c r="U178" s="197"/>
      <c r="V178" s="197"/>
      <c r="W178" s="197"/>
      <c r="X178" s="197"/>
      <c r="Y178" s="180"/>
      <c r="Z178" s="180"/>
      <c r="AA178" s="180"/>
      <c r="AB178" s="180"/>
      <c r="AC178" s="180"/>
      <c r="AD178" s="180"/>
      <c r="AE178" s="180"/>
      <c r="AF178" s="180"/>
      <c r="AG178" s="180"/>
      <c r="AH178" s="180"/>
      <c r="AI178" s="180"/>
      <c r="AJ178" s="180"/>
      <c r="AK178" s="180"/>
      <c r="AL178" s="180"/>
      <c r="AM178" s="180"/>
      <c r="AO178" s="1307"/>
      <c r="AP178" s="1307"/>
      <c r="AQ178" s="1307"/>
      <c r="AR178" s="1307"/>
      <c r="AS178" s="1307"/>
      <c r="AT178" s="1307"/>
      <c r="AU178" s="1307"/>
      <c r="AV178" s="1307"/>
      <c r="AW178" s="1307"/>
      <c r="AX178" s="1307"/>
      <c r="AY178" s="1307"/>
      <c r="AZ178" s="1307"/>
      <c r="BA178" s="1307"/>
      <c r="BB178" s="1307"/>
      <c r="BC178" s="1307"/>
    </row>
    <row r="179" spans="3:55" x14ac:dyDescent="0.3">
      <c r="C179" s="173"/>
      <c r="E179" s="72"/>
      <c r="F179" s="72"/>
      <c r="G179" s="72"/>
      <c r="H179" s="72"/>
      <c r="I179" s="84"/>
      <c r="J179" s="72"/>
      <c r="K179" s="221"/>
      <c r="L179" s="221"/>
      <c r="M179" s="221"/>
      <c r="N179" s="221"/>
      <c r="O179" s="221"/>
      <c r="P179" s="221"/>
      <c r="Q179" s="221"/>
      <c r="R179" s="221"/>
      <c r="S179" s="221"/>
      <c r="T179" s="221"/>
      <c r="U179" s="221"/>
      <c r="V179" s="221"/>
      <c r="W179" s="221"/>
      <c r="X179" s="221"/>
      <c r="Y179" s="178"/>
      <c r="Z179" s="178"/>
      <c r="AA179" s="178"/>
      <c r="AB179" s="178"/>
      <c r="AC179" s="178"/>
      <c r="AD179" s="178"/>
      <c r="AE179" s="178"/>
      <c r="AF179" s="178"/>
      <c r="AG179" s="178"/>
      <c r="AH179" s="178"/>
      <c r="AI179" s="178"/>
      <c r="AJ179" s="178"/>
      <c r="AK179" s="178"/>
      <c r="AL179" s="178"/>
      <c r="AM179" s="175"/>
      <c r="AO179" s="1307"/>
      <c r="AP179" s="1307"/>
      <c r="AQ179" s="1307"/>
      <c r="AR179" s="1307"/>
      <c r="AS179" s="1307"/>
      <c r="AT179" s="1307"/>
      <c r="AU179" s="1307"/>
      <c r="AV179" s="1307"/>
      <c r="AW179" s="1307"/>
      <c r="AX179" s="1307"/>
      <c r="AY179" s="1307"/>
      <c r="AZ179" s="1307"/>
      <c r="BA179" s="1307"/>
      <c r="BB179" s="1307"/>
      <c r="BC179" s="1307"/>
    </row>
    <row r="180" spans="3:55" x14ac:dyDescent="0.3">
      <c r="C180" s="173"/>
      <c r="D180" s="666" t="s">
        <v>171</v>
      </c>
      <c r="E180" s="72"/>
      <c r="F180" s="72"/>
      <c r="G180" s="72"/>
      <c r="H180" s="72"/>
      <c r="I180" s="84"/>
      <c r="J180" s="72"/>
      <c r="K180" s="221"/>
      <c r="L180" s="221"/>
      <c r="M180" s="221"/>
      <c r="N180" s="221"/>
      <c r="O180" s="221"/>
      <c r="P180" s="221"/>
      <c r="Q180" s="221"/>
      <c r="R180" s="221"/>
      <c r="S180" s="221"/>
      <c r="T180" s="221"/>
      <c r="U180" s="221"/>
      <c r="V180" s="221"/>
      <c r="W180" s="221"/>
      <c r="X180" s="221"/>
      <c r="Y180" s="178"/>
      <c r="Z180" s="178"/>
      <c r="AA180" s="178"/>
      <c r="AB180" s="178"/>
      <c r="AC180" s="178"/>
      <c r="AD180" s="178"/>
      <c r="AE180" s="178"/>
      <c r="AF180" s="178"/>
      <c r="AG180" s="178"/>
      <c r="AH180" s="178"/>
      <c r="AI180" s="178"/>
      <c r="AJ180" s="178"/>
      <c r="AK180" s="178"/>
      <c r="AL180" s="178"/>
      <c r="AM180" s="175"/>
      <c r="AO180" s="1307"/>
      <c r="AP180" s="1307"/>
      <c r="AQ180" s="1307"/>
      <c r="AR180" s="1307"/>
      <c r="AS180" s="1307"/>
      <c r="AT180" s="1307"/>
      <c r="AU180" s="1307"/>
      <c r="AV180" s="1307"/>
      <c r="AW180" s="1307"/>
      <c r="AX180" s="1307"/>
      <c r="AY180" s="1307"/>
      <c r="AZ180" s="1307"/>
      <c r="BA180" s="1307"/>
      <c r="BB180" s="1307"/>
      <c r="BC180" s="1307"/>
    </row>
    <row r="181" spans="3:55" x14ac:dyDescent="0.3">
      <c r="C181" s="173"/>
      <c r="D181" s="697"/>
      <c r="E181" s="72"/>
      <c r="F181" s="72"/>
      <c r="G181" s="72"/>
      <c r="H181" s="72"/>
      <c r="I181" s="84"/>
      <c r="J181" s="72"/>
      <c r="K181" s="221"/>
      <c r="L181" s="221"/>
      <c r="M181" s="221"/>
      <c r="N181" s="221"/>
      <c r="O181" s="221"/>
      <c r="P181" s="221"/>
      <c r="Q181" s="221"/>
      <c r="R181" s="221"/>
      <c r="S181" s="221"/>
      <c r="T181" s="221"/>
      <c r="U181" s="221"/>
      <c r="V181" s="221"/>
      <c r="W181" s="221"/>
      <c r="X181" s="221"/>
      <c r="Y181" s="178"/>
      <c r="Z181" s="178"/>
      <c r="AA181" s="178"/>
      <c r="AB181" s="178"/>
      <c r="AC181" s="178"/>
      <c r="AD181" s="178"/>
      <c r="AE181" s="178"/>
      <c r="AF181" s="178"/>
      <c r="AG181" s="178"/>
      <c r="AH181" s="178"/>
      <c r="AI181" s="178"/>
      <c r="AJ181" s="178"/>
      <c r="AK181" s="178"/>
      <c r="AL181" s="178"/>
      <c r="AM181" s="175"/>
      <c r="AO181" s="1307"/>
      <c r="AP181" s="1307"/>
      <c r="AQ181" s="1307"/>
      <c r="AR181" s="1307"/>
      <c r="AS181" s="1307"/>
      <c r="AT181" s="1307"/>
      <c r="AU181" s="1307"/>
      <c r="AV181" s="1307"/>
      <c r="AW181" s="1307"/>
      <c r="AX181" s="1307"/>
      <c r="AY181" s="1307"/>
      <c r="AZ181" s="1307"/>
      <c r="BA181" s="1307"/>
      <c r="BB181" s="1307"/>
      <c r="BC181" s="1307"/>
    </row>
    <row r="182" spans="3:55" x14ac:dyDescent="0.3">
      <c r="C182" s="173"/>
      <c r="D182" s="697"/>
      <c r="E182" s="72"/>
      <c r="F182" s="1585" t="str">
        <f>F$68</f>
        <v>RP3</v>
      </c>
      <c r="G182" s="72"/>
      <c r="H182" s="1585" t="str">
        <f>H$68</f>
        <v>RP4</v>
      </c>
      <c r="I182" s="84"/>
      <c r="J182" s="1585" t="str">
        <f>J$68</f>
        <v>RP5</v>
      </c>
      <c r="K182" s="77"/>
      <c r="M182" s="221"/>
      <c r="N182" s="221"/>
      <c r="O182" s="221"/>
      <c r="P182" s="221"/>
      <c r="Q182" s="221"/>
      <c r="R182" s="221"/>
      <c r="S182" s="221"/>
      <c r="T182" s="221"/>
      <c r="U182" s="221"/>
      <c r="V182" s="221"/>
      <c r="Y182" s="178"/>
      <c r="Z182" s="178"/>
      <c r="AA182" s="178"/>
      <c r="AB182" s="178"/>
      <c r="AC182" s="178"/>
      <c r="AD182" s="178"/>
      <c r="AE182" s="178"/>
      <c r="AF182" s="178"/>
      <c r="AG182" s="178"/>
      <c r="AH182" s="178"/>
      <c r="AI182" s="178"/>
      <c r="AJ182" s="178"/>
      <c r="AK182" s="178"/>
      <c r="AL182" s="178"/>
      <c r="AM182" s="175"/>
      <c r="AO182" s="1307"/>
      <c r="AP182" s="1307"/>
      <c r="AQ182" s="1307"/>
      <c r="AR182" s="1307"/>
      <c r="AS182" s="1307"/>
      <c r="AT182" s="1307"/>
      <c r="AU182" s="1307"/>
      <c r="AV182" s="1307"/>
      <c r="AW182" s="1307"/>
      <c r="AX182" s="1307"/>
      <c r="AY182" s="1307"/>
      <c r="AZ182" s="1307"/>
      <c r="BA182" s="1307"/>
      <c r="BB182" s="1307"/>
      <c r="BC182" s="1307"/>
    </row>
    <row r="183" spans="3:55" x14ac:dyDescent="0.3">
      <c r="C183" s="173"/>
      <c r="D183" s="208" t="s">
        <v>611</v>
      </c>
      <c r="E183" s="72"/>
      <c r="F183" s="1579">
        <f>F70</f>
        <v>6.5000000000000002E-2</v>
      </c>
      <c r="G183" s="178"/>
      <c r="H183" s="1579">
        <f>H70</f>
        <v>0.05</v>
      </c>
      <c r="I183" s="532"/>
      <c r="J183" s="1579">
        <f>J70</f>
        <v>0.05</v>
      </c>
      <c r="K183" s="77"/>
      <c r="M183" s="221"/>
      <c r="N183" s="221"/>
      <c r="O183" s="221"/>
      <c r="P183" s="221"/>
      <c r="Q183" s="221"/>
      <c r="R183" s="221"/>
      <c r="S183" s="221"/>
      <c r="T183" s="221"/>
      <c r="U183" s="221"/>
      <c r="V183" s="221"/>
      <c r="Y183" s="178"/>
      <c r="Z183" s="178"/>
      <c r="AA183" s="178"/>
      <c r="AB183" s="178"/>
      <c r="AC183" s="178"/>
      <c r="AD183" s="178"/>
      <c r="AE183" s="178"/>
      <c r="AF183" s="178"/>
      <c r="AG183" s="178"/>
      <c r="AH183" s="178"/>
      <c r="AI183" s="178"/>
      <c r="AJ183" s="178"/>
      <c r="AK183" s="178"/>
      <c r="AL183" s="178"/>
      <c r="AM183" s="175"/>
      <c r="AO183" s="1307"/>
      <c r="AP183" s="1307"/>
      <c r="AQ183" s="1307"/>
      <c r="AR183" s="1307"/>
      <c r="AS183" s="1307"/>
      <c r="AT183" s="1307"/>
      <c r="AU183" s="1307"/>
      <c r="AV183" s="1307"/>
      <c r="AW183" s="1307"/>
      <c r="AX183" s="1307"/>
      <c r="AY183" s="1307"/>
      <c r="AZ183" s="1307"/>
      <c r="BA183" s="1307"/>
      <c r="BB183" s="1307"/>
      <c r="BC183" s="1307"/>
    </row>
    <row r="184" spans="3:55" x14ac:dyDescent="0.3">
      <c r="C184" s="173"/>
      <c r="D184" s="208" t="s">
        <v>612</v>
      </c>
      <c r="E184" s="72"/>
      <c r="F184" s="1579">
        <f>F71</f>
        <v>4.4999999999999998E-2</v>
      </c>
      <c r="G184" s="178"/>
      <c r="H184" s="1579">
        <f>H71</f>
        <v>3.5000000000000003E-2</v>
      </c>
      <c r="I184" s="532"/>
      <c r="J184" s="1579">
        <f>J71</f>
        <v>3.5000000000000003E-2</v>
      </c>
      <c r="K184" s="77"/>
      <c r="M184" s="221"/>
      <c r="N184" s="221"/>
      <c r="O184" s="221"/>
      <c r="P184" s="221"/>
      <c r="Q184" s="221"/>
      <c r="R184" s="221"/>
      <c r="S184" s="221"/>
      <c r="T184" s="221"/>
      <c r="U184" s="221"/>
      <c r="V184" s="221"/>
      <c r="Y184" s="178"/>
      <c r="Z184" s="178"/>
      <c r="AA184" s="178"/>
      <c r="AB184" s="178"/>
      <c r="AC184" s="178"/>
      <c r="AD184" s="178"/>
      <c r="AE184" s="178"/>
      <c r="AF184" s="178"/>
      <c r="AG184" s="178"/>
      <c r="AH184" s="178"/>
      <c r="AI184" s="178"/>
      <c r="AJ184" s="178"/>
      <c r="AK184" s="178"/>
      <c r="AL184" s="178"/>
      <c r="AM184" s="175"/>
      <c r="AO184" s="1307"/>
      <c r="AP184" s="1307"/>
      <c r="AQ184" s="1307"/>
      <c r="AR184" s="1307"/>
      <c r="AS184" s="1307"/>
      <c r="AT184" s="1307"/>
      <c r="AU184" s="1307"/>
      <c r="AV184" s="1307"/>
      <c r="AW184" s="1307"/>
      <c r="AX184" s="1307"/>
      <c r="AY184" s="1307"/>
      <c r="AZ184" s="1307"/>
      <c r="BA184" s="1307"/>
      <c r="BB184" s="1307"/>
      <c r="BC184" s="1307"/>
    </row>
    <row r="185" spans="3:55" x14ac:dyDescent="0.3">
      <c r="C185" s="173"/>
      <c r="D185" s="72"/>
      <c r="E185" s="72"/>
      <c r="F185" s="72"/>
      <c r="G185" s="72"/>
      <c r="H185" s="72"/>
      <c r="I185" s="84"/>
      <c r="J185" s="72"/>
      <c r="K185" s="77"/>
      <c r="L185" s="77"/>
      <c r="M185" s="221"/>
      <c r="N185" s="221"/>
      <c r="O185" s="221"/>
      <c r="P185" s="221"/>
      <c r="Q185" s="221"/>
      <c r="R185" s="221"/>
      <c r="S185" s="221"/>
      <c r="T185" s="221"/>
      <c r="U185" s="221"/>
      <c r="V185" s="221"/>
      <c r="W185" s="221"/>
      <c r="X185" s="221"/>
      <c r="Y185" s="221"/>
      <c r="Z185" s="221"/>
      <c r="AA185" s="221"/>
      <c r="AB185" s="221"/>
      <c r="AC185" s="221"/>
      <c r="AD185" s="221"/>
      <c r="AE185" s="221"/>
      <c r="AF185" s="221"/>
      <c r="AG185" s="221"/>
      <c r="AH185" s="221"/>
      <c r="AI185" s="221"/>
      <c r="AJ185" s="221"/>
      <c r="AK185" s="221"/>
      <c r="AL185" s="221"/>
      <c r="AM185" s="192"/>
      <c r="AO185" s="1307"/>
      <c r="AP185" s="1307"/>
      <c r="AQ185" s="1307"/>
      <c r="AR185" s="1307"/>
      <c r="AS185" s="1307"/>
      <c r="AT185" s="1307"/>
      <c r="AU185" s="1307"/>
      <c r="AV185" s="1307"/>
      <c r="AW185" s="1307"/>
      <c r="AX185" s="1307"/>
      <c r="AY185" s="1307"/>
      <c r="AZ185" s="1307"/>
      <c r="BA185" s="1307"/>
      <c r="BB185" s="1307"/>
      <c r="BC185" s="1307"/>
    </row>
    <row r="186" spans="3:55" x14ac:dyDescent="0.3">
      <c r="C186" s="658"/>
      <c r="D186" s="206" t="s">
        <v>174</v>
      </c>
      <c r="E186" s="265"/>
      <c r="F186" s="206"/>
      <c r="G186" s="206"/>
      <c r="H186" s="206"/>
      <c r="I186" s="84"/>
      <c r="J186" s="206"/>
      <c r="K186" s="77"/>
      <c r="L186" s="77"/>
      <c r="M186" s="221"/>
      <c r="N186" s="221"/>
      <c r="O186" s="221"/>
      <c r="P186" s="221"/>
      <c r="Q186" s="221"/>
      <c r="R186" s="221"/>
      <c r="S186" s="221"/>
      <c r="T186" s="221"/>
      <c r="U186" s="221"/>
      <c r="V186" s="221"/>
      <c r="W186" s="1527">
        <f>'Finance&amp;Tax_FO'!W12*'Rev&amp;RAV_FO'!W85</f>
        <v>4.3550000000000004</v>
      </c>
      <c r="X186" s="1527">
        <f>'Finance&amp;Tax_FO'!X12*'Rev&amp;RAV_FO'!X85</f>
        <v>4.532</v>
      </c>
      <c r="Y186" s="1527">
        <f>'Finance&amp;Tax_FO'!Y12*'Rev&amp;RAV_FO'!Y85</f>
        <v>3.4740000000000002</v>
      </c>
      <c r="Z186" s="1527">
        <f>'Finance&amp;Tax_FO'!Z12*'Rev&amp;RAV_FO'!Z85</f>
        <v>3.9630000000000001</v>
      </c>
      <c r="AA186" s="1527">
        <f>'Finance&amp;Tax_FO'!AA12*'Rev&amp;RAV_FO'!AA85</f>
        <v>4.0472562349914245</v>
      </c>
      <c r="AB186" s="1527">
        <f>'Finance&amp;Tax_FO'!AB12*'Rev&amp;RAV_FO'!AB85</f>
        <v>4.2957557081475137</v>
      </c>
      <c r="AC186" s="1527">
        <f>'Finance&amp;Tax_FO'!AC12*'Rev&amp;RAV_FO'!AC85</f>
        <v>4.4688746631858587</v>
      </c>
      <c r="AD186" s="1527">
        <f>'Finance&amp;Tax_FO'!AD12*'Rev&amp;RAV_FO'!AD85</f>
        <v>4.6489703121122492</v>
      </c>
      <c r="AE186" s="1527">
        <f>'Finance&amp;Tax_FO'!AE12*'Rev&amp;RAV_FO'!AE85</f>
        <v>4.8363238156903732</v>
      </c>
      <c r="AF186" s="1527">
        <f>'Finance&amp;Tax_FO'!AF12*'Rev&amp;RAV_FO'!AF85</f>
        <v>5.0312276654626968</v>
      </c>
      <c r="AG186" s="1527">
        <f>'Finance&amp;Tax_FO'!AG12*'Rev&amp;RAV_FO'!AG85</f>
        <v>5.2339861403808428</v>
      </c>
      <c r="AH186" s="1527">
        <f>'Finance&amp;Tax_FO'!AH12*'Rev&amp;RAV_FO'!AH85</f>
        <v>5.4449157818381906</v>
      </c>
      <c r="AI186" s="1527">
        <f>'Finance&amp;Tax_FO'!AI12*'Rev&amp;RAV_FO'!AI85</f>
        <v>5.6643458878462702</v>
      </c>
      <c r="AJ186" s="1527">
        <f>'Finance&amp;Tax_FO'!AJ12*'Rev&amp;RAV_FO'!AJ85</f>
        <v>5.892619027126476</v>
      </c>
      <c r="AK186" s="1527">
        <f>'Finance&amp;Tax_FO'!AK12*'Rev&amp;RAV_FO'!AK85</f>
        <v>6.130091573919672</v>
      </c>
      <c r="AL186" s="1527">
        <f>'Finance&amp;Tax_FO'!AL12*'Rev&amp;RAV_FO'!AL85</f>
        <v>6.3771342643486353</v>
      </c>
      <c r="AM186" s="192"/>
      <c r="AO186" s="1307"/>
      <c r="AP186" s="1307"/>
      <c r="AQ186" s="1307"/>
      <c r="AR186" s="1307"/>
      <c r="AS186" s="1307"/>
      <c r="AT186" s="1307"/>
      <c r="AU186" s="1307"/>
      <c r="AV186" s="1307"/>
      <c r="AW186" s="1307"/>
      <c r="AX186" s="1307"/>
      <c r="AY186" s="1307"/>
      <c r="AZ186" s="1307"/>
      <c r="BA186" s="1307"/>
      <c r="BB186" s="1307"/>
      <c r="BC186" s="1307"/>
    </row>
    <row r="187" spans="3:55" x14ac:dyDescent="0.3">
      <c r="C187" s="658"/>
      <c r="D187" s="206" t="s">
        <v>175</v>
      </c>
      <c r="E187" s="265"/>
      <c r="F187" s="206"/>
      <c r="G187" s="206"/>
      <c r="H187" s="206"/>
      <c r="I187" s="84"/>
      <c r="J187" s="206"/>
      <c r="K187" s="77"/>
      <c r="L187" s="77"/>
      <c r="M187" s="221"/>
      <c r="N187" s="221"/>
      <c r="O187" s="221"/>
      <c r="P187" s="221"/>
      <c r="Q187" s="221"/>
      <c r="R187" s="221"/>
      <c r="S187" s="221"/>
      <c r="T187" s="221"/>
      <c r="U187" s="221"/>
      <c r="V187" s="221"/>
      <c r="W187" s="1527">
        <f t="shared" ref="W187:AG187" si="55">+W155</f>
        <v>4.5</v>
      </c>
      <c r="X187" s="1527">
        <f t="shared" ca="1" si="55"/>
        <v>5</v>
      </c>
      <c r="Y187" s="1527">
        <f t="shared" ca="1" si="55"/>
        <v>5</v>
      </c>
      <c r="Z187" s="1527">
        <f t="shared" ca="1" si="55"/>
        <v>5</v>
      </c>
      <c r="AA187" s="1527">
        <f t="shared" ca="1" si="55"/>
        <v>5</v>
      </c>
      <c r="AB187" s="1527">
        <f t="shared" ca="1" si="55"/>
        <v>5</v>
      </c>
      <c r="AC187" s="1527">
        <f t="shared" ca="1" si="55"/>
        <v>5</v>
      </c>
      <c r="AD187" s="1527">
        <f t="shared" ca="1" si="55"/>
        <v>5</v>
      </c>
      <c r="AE187" s="1527">
        <f t="shared" ca="1" si="55"/>
        <v>5</v>
      </c>
      <c r="AF187" s="1527">
        <f t="shared" ca="1" si="55"/>
        <v>5</v>
      </c>
      <c r="AG187" s="1527">
        <f t="shared" ca="1" si="55"/>
        <v>5</v>
      </c>
      <c r="AH187" s="1527">
        <f ca="1">+AH155</f>
        <v>5</v>
      </c>
      <c r="AI187" s="1527">
        <f ca="1">+AI155</f>
        <v>5</v>
      </c>
      <c r="AJ187" s="1527">
        <f ca="1">+AJ155</f>
        <v>5</v>
      </c>
      <c r="AK187" s="1527">
        <f ca="1">+AK155</f>
        <v>5</v>
      </c>
      <c r="AL187" s="1527">
        <f ca="1">+AL155</f>
        <v>5</v>
      </c>
      <c r="AM187" s="192"/>
      <c r="AO187" s="1307"/>
      <c r="AP187" s="1307"/>
      <c r="AQ187" s="1307"/>
      <c r="AR187" s="1307"/>
      <c r="AS187" s="1307"/>
      <c r="AT187" s="1307"/>
      <c r="AU187" s="1307"/>
      <c r="AV187" s="1307"/>
      <c r="AW187" s="1307"/>
      <c r="AX187" s="1307"/>
      <c r="AY187" s="1307"/>
      <c r="AZ187" s="1307"/>
      <c r="BA187" s="1307"/>
      <c r="BB187" s="1307"/>
      <c r="BC187" s="1307"/>
    </row>
    <row r="188" spans="3:55" x14ac:dyDescent="0.3">
      <c r="C188" s="658"/>
      <c r="D188" s="206" t="s">
        <v>176</v>
      </c>
      <c r="E188" s="265"/>
      <c r="F188" s="206"/>
      <c r="G188" s="206"/>
      <c r="H188" s="206"/>
      <c r="I188" s="84"/>
      <c r="J188" s="206"/>
      <c r="K188" s="77"/>
      <c r="L188" s="77"/>
      <c r="M188" s="221"/>
      <c r="N188" s="221"/>
      <c r="O188" s="221"/>
      <c r="P188" s="221"/>
      <c r="Q188" s="221"/>
      <c r="R188" s="221"/>
      <c r="S188" s="221"/>
      <c r="T188" s="221"/>
      <c r="U188" s="221"/>
      <c r="V188" s="221"/>
      <c r="W188" s="1527">
        <f>'Finance&amp;Tax_FO'!W13*'Rev&amp;RAV_FO'!W85</f>
        <v>0.29199999999999998</v>
      </c>
      <c r="X188" s="1527">
        <f>'Finance&amp;Tax_FO'!X13*'Rev&amp;RAV_FO'!X85</f>
        <v>0.51800000000000002</v>
      </c>
      <c r="Y188" s="1527">
        <f>'Finance&amp;Tax_FO'!Y13*'Rev&amp;RAV_FO'!Y85</f>
        <v>0.20200000000000001</v>
      </c>
      <c r="Z188" s="1527">
        <f>'Finance&amp;Tax_FO'!Z13*'Rev&amp;RAV_FO'!Z85</f>
        <v>0.57500000000000007</v>
      </c>
      <c r="AA188" s="1527">
        <f>'Finance&amp;Tax_FO'!AA13*'Rev&amp;RAV_FO'!AA85</f>
        <v>0.58722491423670675</v>
      </c>
      <c r="AB188" s="1527">
        <f>'Finance&amp;Tax_FO'!AB13*'Rev&amp;RAV_FO'!AB85</f>
        <v>0.623280225128645</v>
      </c>
      <c r="AC188" s="1527">
        <f>'Finance&amp;Tax_FO'!AC13*'Rev&amp;RAV_FO'!AC85</f>
        <v>0.64839841820132937</v>
      </c>
      <c r="AD188" s="1527">
        <f>'Finance&amp;Tax_FO'!AD13*'Rev&amp;RAV_FO'!AD85</f>
        <v>0.674528874454843</v>
      </c>
      <c r="AE188" s="1527">
        <f>'Finance&amp;Tax_FO'!AE13*'Rev&amp;RAV_FO'!AE85</f>
        <v>0.70171238809537317</v>
      </c>
      <c r="AF188" s="1527">
        <f>'Finance&amp;Tax_FO'!AF13*'Rev&amp;RAV_FO'!AF85</f>
        <v>0.7299913973356168</v>
      </c>
      <c r="AG188" s="1527">
        <f>'Finance&amp;Tax_FO'!AG13*'Rev&amp;RAV_FO'!AG85</f>
        <v>0.75941005064824196</v>
      </c>
      <c r="AH188" s="1527">
        <f>'Finance&amp;Tax_FO'!AH13*'Rev&amp;RAV_FO'!AH85</f>
        <v>0.79001427568936611</v>
      </c>
      <c r="AI188" s="1527">
        <f>'Finance&amp;Tax_FO'!AI13*'Rev&amp;RAV_FO'!AI85</f>
        <v>0.82185185099964764</v>
      </c>
      <c r="AJ188" s="1527">
        <f>'Finance&amp;Tax_FO'!AJ13*'Rev&amp;RAV_FO'!AJ85</f>
        <v>0.85497248059493347</v>
      </c>
      <c r="AK188" s="1527">
        <f>'Finance&amp;Tax_FO'!AK13*'Rev&amp;RAV_FO'!AK85</f>
        <v>0.88942787156290926</v>
      </c>
      <c r="AL188" s="1527">
        <f>'Finance&amp;Tax_FO'!AL13*'Rev&amp;RAV_FO'!AL85</f>
        <v>0.92527181478689446</v>
      </c>
      <c r="AM188" s="192"/>
      <c r="AO188" s="1307"/>
      <c r="AP188" s="1307"/>
      <c r="AQ188" s="1307"/>
      <c r="AR188" s="1307"/>
      <c r="AS188" s="1307"/>
      <c r="AT188" s="1307"/>
      <c r="AU188" s="1307"/>
      <c r="AV188" s="1307"/>
      <c r="AW188" s="1307"/>
      <c r="AX188" s="1307"/>
      <c r="AY188" s="1307"/>
      <c r="AZ188" s="1307"/>
      <c r="BA188" s="1307"/>
      <c r="BB188" s="1307"/>
      <c r="BC188" s="1307"/>
    </row>
    <row r="189" spans="3:55" x14ac:dyDescent="0.3">
      <c r="C189" s="658"/>
      <c r="D189" s="525" t="s">
        <v>177</v>
      </c>
      <c r="E189" s="127"/>
      <c r="F189" s="525"/>
      <c r="G189" s="525"/>
      <c r="H189" s="525"/>
      <c r="I189" s="108"/>
      <c r="J189" s="525"/>
      <c r="K189" s="77"/>
      <c r="L189" s="77"/>
      <c r="M189" s="221"/>
      <c r="N189" s="221"/>
      <c r="O189" s="221"/>
      <c r="P189" s="221"/>
      <c r="Q189" s="221"/>
      <c r="R189" s="221"/>
      <c r="S189" s="221"/>
      <c r="T189" s="221"/>
      <c r="U189" s="221"/>
      <c r="V189" s="221"/>
      <c r="W189" s="1603">
        <f>W188+(W187-W186)*$F$184</f>
        <v>0.29852499999999998</v>
      </c>
      <c r="X189" s="1599">
        <f ca="1">X188+(X187-X186)*$H$184</f>
        <v>0.53437999999999997</v>
      </c>
      <c r="Y189" s="1593">
        <f ca="1">Y188+(Y187-Y186)*$H$184</f>
        <v>0.25541000000000003</v>
      </c>
      <c r="Z189" s="1593">
        <f t="shared" ref="Z189:AB189" ca="1" si="56">Z188+(Z187-Z186)*$H$184</f>
        <v>0.61129500000000003</v>
      </c>
      <c r="AA189" s="1593">
        <f t="shared" ca="1" si="56"/>
        <v>0.62057094601200691</v>
      </c>
      <c r="AB189" s="1593">
        <f t="shared" ca="1" si="56"/>
        <v>0.64792877534348203</v>
      </c>
      <c r="AC189" s="1599">
        <f t="shared" ref="AC189:AL189" ca="1" si="57">AC188+(AC187-AC186)*$J$184</f>
        <v>0.66698780498982435</v>
      </c>
      <c r="AD189" s="1593">
        <f t="shared" ca="1" si="57"/>
        <v>0.68681491353091428</v>
      </c>
      <c r="AE189" s="1593">
        <f t="shared" ca="1" si="57"/>
        <v>0.70744105454621009</v>
      </c>
      <c r="AF189" s="1593">
        <f t="shared" ca="1" si="57"/>
        <v>0.72889842904442237</v>
      </c>
      <c r="AG189" s="1594">
        <f t="shared" ca="1" si="57"/>
        <v>0.75122053573491243</v>
      </c>
      <c r="AH189" s="1593">
        <f t="shared" ca="1" si="57"/>
        <v>0.77444222332502943</v>
      </c>
      <c r="AI189" s="1593">
        <f t="shared" ca="1" si="57"/>
        <v>0.79859974492502817</v>
      </c>
      <c r="AJ189" s="1593">
        <f t="shared" ca="1" si="57"/>
        <v>0.82373081464550679</v>
      </c>
      <c r="AK189" s="1593">
        <f t="shared" ca="1" si="57"/>
        <v>0.84987466647572074</v>
      </c>
      <c r="AL189" s="1594">
        <f t="shared" ca="1" si="57"/>
        <v>0.87707211553469222</v>
      </c>
      <c r="AM189" s="192"/>
      <c r="AO189" s="1307"/>
      <c r="AP189" s="1307"/>
      <c r="AQ189" s="1307"/>
      <c r="AR189" s="1307"/>
      <c r="AS189" s="1307"/>
      <c r="AT189" s="1307"/>
      <c r="AU189" s="1307"/>
      <c r="AV189" s="1307"/>
      <c r="AW189" s="1307"/>
      <c r="AX189" s="1307"/>
      <c r="AY189" s="1307"/>
      <c r="AZ189" s="1307"/>
      <c r="BA189" s="1307"/>
      <c r="BB189" s="1307"/>
      <c r="BC189" s="1307"/>
    </row>
    <row r="190" spans="3:55" x14ac:dyDescent="0.3">
      <c r="C190" s="658"/>
      <c r="D190" s="206"/>
      <c r="E190" s="265"/>
      <c r="F190" s="206"/>
      <c r="G190" s="206"/>
      <c r="H190" s="206"/>
      <c r="I190" s="84"/>
      <c r="J190" s="206"/>
      <c r="K190" s="77"/>
      <c r="L190" s="77"/>
      <c r="M190" s="221"/>
      <c r="N190" s="221"/>
      <c r="O190" s="221"/>
      <c r="P190" s="221"/>
      <c r="Q190" s="221"/>
      <c r="R190" s="221"/>
      <c r="S190" s="221"/>
      <c r="T190" s="221"/>
      <c r="U190" s="221"/>
      <c r="V190" s="221"/>
      <c r="W190" s="275"/>
      <c r="X190" s="315"/>
      <c r="Y190" s="275"/>
      <c r="Z190" s="275"/>
      <c r="AA190" s="275"/>
      <c r="AB190" s="275"/>
      <c r="AC190" s="275"/>
      <c r="AD190" s="275"/>
      <c r="AE190" s="275"/>
      <c r="AF190" s="275"/>
      <c r="AG190" s="275"/>
      <c r="AH190" s="275"/>
      <c r="AI190" s="275"/>
      <c r="AJ190" s="275"/>
      <c r="AK190" s="275"/>
      <c r="AL190" s="275"/>
      <c r="AM190" s="192"/>
      <c r="AO190" s="1307"/>
      <c r="AP190" s="1307"/>
      <c r="AQ190" s="1307"/>
      <c r="AR190" s="1307"/>
      <c r="AS190" s="1307"/>
      <c r="AT190" s="1307"/>
      <c r="AU190" s="1307"/>
      <c r="AV190" s="1307"/>
      <c r="AW190" s="1307"/>
      <c r="AX190" s="1307"/>
      <c r="AY190" s="1307"/>
      <c r="AZ190" s="1307"/>
      <c r="BA190" s="1307"/>
      <c r="BB190" s="1307"/>
      <c r="BC190" s="1307"/>
    </row>
    <row r="191" spans="3:55" x14ac:dyDescent="0.3">
      <c r="C191" s="658"/>
      <c r="D191" s="206" t="s">
        <v>178</v>
      </c>
      <c r="E191" s="265"/>
      <c r="F191" s="206"/>
      <c r="G191" s="206"/>
      <c r="H191" s="206"/>
      <c r="I191" s="84"/>
      <c r="J191" s="206"/>
      <c r="K191" s="77"/>
      <c r="L191" s="77"/>
      <c r="M191" s="221"/>
      <c r="N191" s="221"/>
      <c r="O191" s="221"/>
      <c r="P191" s="221"/>
      <c r="Q191" s="221"/>
      <c r="R191" s="221"/>
      <c r="S191" s="221"/>
      <c r="T191" s="221"/>
      <c r="U191" s="221"/>
      <c r="V191" s="221"/>
      <c r="W191" s="1527">
        <f>'Finance&amp;Tax_FO'!W14*'Rev&amp;RAV_FO'!W85</f>
        <v>131.01000000000002</v>
      </c>
      <c r="X191" s="1527">
        <f>'Finance&amp;Tax_FO'!X14*'Rev&amp;RAV_FO'!X85</f>
        <v>137.01000000000002</v>
      </c>
      <c r="Y191" s="1527">
        <f>'Finance&amp;Tax_FO'!Y14*'Rev&amp;RAV_FO'!Y85</f>
        <v>133.65200000000002</v>
      </c>
      <c r="Z191" s="1527">
        <f>'Finance&amp;Tax_FO'!Z14*'Rev&amp;RAV_FO'!Z85</f>
        <v>128.03799999999998</v>
      </c>
      <c r="AA191" s="1527">
        <f>'Finance&amp;Tax_FO'!AA14*'Rev&amp;RAV_FO'!AA85</f>
        <v>130.76018012006858</v>
      </c>
      <c r="AB191" s="1527">
        <f>'Finance&amp;Tax_FO'!AB14*'Rev&amp;RAV_FO'!AB85</f>
        <v>138.78878863481987</v>
      </c>
      <c r="AC191" s="1527">
        <f>'Finance&amp;Tax_FO'!AC14*'Rev&amp;RAV_FO'!AC85</f>
        <v>144.38197681680313</v>
      </c>
      <c r="AD191" s="1527">
        <f>'Finance&amp;Tax_FO'!AD14*'Rev&amp;RAV_FO'!AD85</f>
        <v>150.20057048252028</v>
      </c>
      <c r="AE191" s="1527">
        <f>'Finance&amp;Tax_FO'!AE14*'Rev&amp;RAV_FO'!AE85</f>
        <v>156.25365347296585</v>
      </c>
      <c r="AF191" s="1527">
        <f>'Finance&amp;Tax_FO'!AF14*'Rev&amp;RAV_FO'!AF85</f>
        <v>162.55067570792639</v>
      </c>
      <c r="AG191" s="1527">
        <f>'Finance&amp;Tax_FO'!AG14*'Rev&amp;RAV_FO'!AG85</f>
        <v>169.10146793895581</v>
      </c>
      <c r="AH191" s="1527">
        <f>'Finance&amp;Tax_FO'!AH14*'Rev&amp;RAV_FO'!AH85</f>
        <v>175.91625709689572</v>
      </c>
      <c r="AI191" s="1527">
        <f>'Finance&amp;Tax_FO'!AI14*'Rev&amp;RAV_FO'!AI85</f>
        <v>183.00568225790065</v>
      </c>
      <c r="AJ191" s="1527">
        <f>'Finance&amp;Tax_FO'!AJ14*'Rev&amp;RAV_FO'!AJ85</f>
        <v>190.38081125289406</v>
      </c>
      <c r="AK191" s="1527">
        <f>'Finance&amp;Tax_FO'!AK14*'Rev&amp;RAV_FO'!AK85</f>
        <v>198.05315794638568</v>
      </c>
      <c r="AL191" s="1527">
        <f>'Finance&amp;Tax_FO'!AL14*'Rev&amp;RAV_FO'!AL85</f>
        <v>206.03470021162505</v>
      </c>
      <c r="AM191" s="192"/>
      <c r="AO191" s="1307"/>
      <c r="AP191" s="1307"/>
      <c r="AQ191" s="1307"/>
      <c r="AR191" s="1307"/>
      <c r="AS191" s="1307"/>
      <c r="AT191" s="1307"/>
      <c r="AU191" s="1307"/>
      <c r="AV191" s="1307"/>
      <c r="AW191" s="1307"/>
      <c r="AX191" s="1307"/>
      <c r="AY191" s="1307"/>
      <c r="AZ191" s="1307"/>
      <c r="BA191" s="1307"/>
      <c r="BB191" s="1307"/>
      <c r="BC191" s="1307"/>
    </row>
    <row r="192" spans="3:55" x14ac:dyDescent="0.3">
      <c r="C192" s="658"/>
      <c r="D192" s="206" t="s">
        <v>179</v>
      </c>
      <c r="E192" s="265"/>
      <c r="F192" s="206"/>
      <c r="G192" s="206"/>
      <c r="H192" s="206"/>
      <c r="I192" s="84"/>
      <c r="J192" s="206"/>
      <c r="K192" s="77"/>
      <c r="L192" s="77"/>
      <c r="M192" s="221"/>
      <c r="N192" s="221"/>
      <c r="O192" s="221"/>
      <c r="P192" s="221"/>
      <c r="Q192" s="221"/>
      <c r="R192" s="221"/>
      <c r="S192" s="221"/>
      <c r="T192" s="221"/>
      <c r="U192" s="221"/>
      <c r="V192" s="221"/>
      <c r="W192" s="1527">
        <f t="shared" ref="W192:AG192" si="58">+W159</f>
        <v>113</v>
      </c>
      <c r="X192" s="1527">
        <f t="shared" ca="1" si="58"/>
        <v>114.23683807742157</v>
      </c>
      <c r="Y192" s="1527">
        <f t="shared" ca="1" si="58"/>
        <v>121.84637684099177</v>
      </c>
      <c r="Z192" s="1527">
        <f t="shared" ca="1" si="58"/>
        <v>128.85963941243767</v>
      </c>
      <c r="AA192" s="1527">
        <f t="shared" ca="1" si="58"/>
        <v>132.97466447925623</v>
      </c>
      <c r="AB192" s="1527">
        <f t="shared" ca="1" si="58"/>
        <v>141.62576937302134</v>
      </c>
      <c r="AC192" s="1527">
        <f t="shared" ca="1" si="58"/>
        <v>156.48182241264533</v>
      </c>
      <c r="AD192" s="1527">
        <f t="shared" ca="1" si="58"/>
        <v>180.76395309026299</v>
      </c>
      <c r="AE192" s="1527">
        <f t="shared" ca="1" si="58"/>
        <v>206.70400021199492</v>
      </c>
      <c r="AF192" s="1527">
        <f t="shared" ca="1" si="58"/>
        <v>233.47500811704435</v>
      </c>
      <c r="AG192" s="1527">
        <f t="shared" ca="1" si="58"/>
        <v>262.28725081521679</v>
      </c>
      <c r="AH192" s="1527">
        <f ca="1">+AH159</f>
        <v>293.61424165784507</v>
      </c>
      <c r="AI192" s="1527">
        <f ca="1">+AI159</f>
        <v>366.48558992094047</v>
      </c>
      <c r="AJ192" s="1527">
        <f ca="1">+AJ159</f>
        <v>436.93830596219925</v>
      </c>
      <c r="AK192" s="1527">
        <f ca="1">+AK159</f>
        <v>474.62247760993051</v>
      </c>
      <c r="AL192" s="1527">
        <f ca="1">+AL159</f>
        <v>494.51296752776898</v>
      </c>
      <c r="AM192" s="192"/>
      <c r="AO192" s="1307"/>
      <c r="AP192" s="1307"/>
      <c r="AQ192" s="1307"/>
      <c r="AR192" s="1307"/>
      <c r="AS192" s="1307"/>
      <c r="AT192" s="1307"/>
      <c r="AU192" s="1307"/>
      <c r="AV192" s="1307"/>
      <c r="AW192" s="1307"/>
      <c r="AX192" s="1307"/>
      <c r="AY192" s="1307"/>
      <c r="AZ192" s="1307"/>
      <c r="BA192" s="1307"/>
      <c r="BB192" s="1307"/>
      <c r="BC192" s="1307"/>
    </row>
    <row r="193" spans="3:55" x14ac:dyDescent="0.3">
      <c r="C193" s="658"/>
      <c r="D193" s="206" t="s">
        <v>180</v>
      </c>
      <c r="E193" s="265"/>
      <c r="F193" s="206"/>
      <c r="G193" s="206"/>
      <c r="H193" s="206"/>
      <c r="I193" s="84"/>
      <c r="J193" s="206"/>
      <c r="K193" s="77"/>
      <c r="L193" s="77"/>
      <c r="M193" s="221"/>
      <c r="N193" s="221"/>
      <c r="O193" s="221"/>
      <c r="P193" s="221"/>
      <c r="Q193" s="221"/>
      <c r="R193" s="221"/>
      <c r="S193" s="221"/>
      <c r="T193" s="221"/>
      <c r="U193" s="221"/>
      <c r="V193" s="221"/>
      <c r="W193" s="1527">
        <f>'Finance&amp;Tax_FO'!W15*'Rev&amp;RAV_FO'!W85</f>
        <v>8.9650000000000016</v>
      </c>
      <c r="X193" s="1527">
        <f>'Finance&amp;Tax_FO'!X15*'Rev&amp;RAV_FO'!X85</f>
        <v>8.2520000000000024</v>
      </c>
      <c r="Y193" s="1527">
        <f>'Finance&amp;Tax_FO'!Y15*'Rev&amp;RAV_FO'!Y85</f>
        <v>7.3925741000000009</v>
      </c>
      <c r="Z193" s="1527">
        <f>'Finance&amp;Tax_FO'!Z15*'Rev&amp;RAV_FO'!Z85</f>
        <v>6.6079999999999997</v>
      </c>
      <c r="AA193" s="1527">
        <f>'Finance&amp;Tax_FO'!AA15*'Rev&amp;RAV_FO'!AA85</f>
        <v>6.748490840480275</v>
      </c>
      <c r="AB193" s="1527">
        <f>'Finance&amp;Tax_FO'!AB15*'Rev&amp;RAV_FO'!AB85</f>
        <v>7.1628447437392797</v>
      </c>
      <c r="AC193" s="1527">
        <f>'Finance&amp;Tax_FO'!AC15*'Rev&amp;RAV_FO'!AC85</f>
        <v>7.4515073869119721</v>
      </c>
      <c r="AD193" s="1527">
        <f>'Finance&amp;Tax_FO'!AD15*'Rev&amp;RAV_FO'!AD85</f>
        <v>7.7518031346045246</v>
      </c>
      <c r="AE193" s="1527">
        <f>'Finance&amp;Tax_FO'!AE15*'Rev&amp;RAV_FO'!AE85</f>
        <v>8.064200800929088</v>
      </c>
      <c r="AF193" s="1527">
        <f>'Finance&amp;Tax_FO'!AF15*'Rev&amp;RAV_FO'!AF85</f>
        <v>8.3891880932065312</v>
      </c>
      <c r="AG193" s="1527">
        <f>'Finance&amp;Tax_FO'!AG15*'Rev&amp;RAV_FO'!AG85</f>
        <v>8.7272723733627533</v>
      </c>
      <c r="AH193" s="1527">
        <f>'Finance&amp;Tax_FO'!AH15*'Rev&amp;RAV_FO'!AH85</f>
        <v>9.0789814500092731</v>
      </c>
      <c r="AI193" s="1527">
        <f>'Finance&amp;Tax_FO'!AI15*'Rev&amp;RAV_FO'!AI85</f>
        <v>9.4448644024446473</v>
      </c>
      <c r="AJ193" s="1527">
        <f>'Finance&amp;Tax_FO'!AJ15*'Rev&amp;RAV_FO'!AJ85</f>
        <v>9.8254924378631667</v>
      </c>
      <c r="AK193" s="1527">
        <f>'Finance&amp;Tax_FO'!AK15*'Rev&amp;RAV_FO'!AK85</f>
        <v>10.221459783109053</v>
      </c>
      <c r="AL193" s="1527">
        <f>'Finance&amp;Tax_FO'!AL15*'Rev&amp;RAV_FO'!AL85</f>
        <v>10.633384612368348</v>
      </c>
      <c r="AM193" s="192"/>
      <c r="AO193" s="1307"/>
      <c r="AP193" s="1307"/>
      <c r="AQ193" s="1307"/>
      <c r="AR193" s="1307"/>
      <c r="AS193" s="1307"/>
      <c r="AT193" s="1307"/>
      <c r="AU193" s="1307"/>
      <c r="AV193" s="1307"/>
      <c r="AW193" s="1307"/>
      <c r="AX193" s="1307"/>
      <c r="AY193" s="1307"/>
      <c r="AZ193" s="1307"/>
      <c r="BA193" s="1307"/>
      <c r="BB193" s="1307"/>
      <c r="BC193" s="1307"/>
    </row>
    <row r="194" spans="3:55" x14ac:dyDescent="0.3">
      <c r="C194" s="658"/>
      <c r="D194" s="206" t="s">
        <v>398</v>
      </c>
      <c r="E194" s="265"/>
      <c r="F194" s="206"/>
      <c r="G194" s="206"/>
      <c r="H194" s="206"/>
      <c r="I194" s="84"/>
      <c r="J194" s="206"/>
      <c r="K194" s="77"/>
      <c r="L194" s="77"/>
      <c r="M194" s="221"/>
      <c r="N194" s="221"/>
      <c r="O194" s="221"/>
      <c r="P194" s="221"/>
      <c r="Q194" s="221"/>
      <c r="R194" s="221"/>
      <c r="S194" s="221"/>
      <c r="T194" s="221"/>
      <c r="U194" s="221"/>
      <c r="V194" s="221"/>
      <c r="W194" s="1527">
        <f t="shared" ref="W194:AG194" si="59">W61</f>
        <v>0</v>
      </c>
      <c r="X194" s="1527">
        <f t="shared" si="59"/>
        <v>0</v>
      </c>
      <c r="Y194" s="1527">
        <f t="shared" si="59"/>
        <v>0</v>
      </c>
      <c r="Z194" s="1527">
        <f t="shared" si="59"/>
        <v>0</v>
      </c>
      <c r="AA194" s="1527">
        <f t="shared" si="59"/>
        <v>0</v>
      </c>
      <c r="AB194" s="1527">
        <f t="shared" si="59"/>
        <v>0</v>
      </c>
      <c r="AC194" s="1527">
        <f t="shared" si="59"/>
        <v>0</v>
      </c>
      <c r="AD194" s="1527">
        <f t="shared" si="59"/>
        <v>0</v>
      </c>
      <c r="AE194" s="1527">
        <f t="shared" si="59"/>
        <v>0</v>
      </c>
      <c r="AF194" s="1527">
        <f t="shared" si="59"/>
        <v>0</v>
      </c>
      <c r="AG194" s="1527">
        <f t="shared" si="59"/>
        <v>0</v>
      </c>
      <c r="AH194" s="1527">
        <f>AH61</f>
        <v>0</v>
      </c>
      <c r="AI194" s="1527">
        <f>AI61</f>
        <v>0</v>
      </c>
      <c r="AJ194" s="1527">
        <f>AJ61</f>
        <v>0</v>
      </c>
      <c r="AK194" s="1527">
        <f>AK61</f>
        <v>0</v>
      </c>
      <c r="AL194" s="1527">
        <f>AL61</f>
        <v>0</v>
      </c>
      <c r="AM194" s="192"/>
      <c r="AO194" s="1307"/>
      <c r="AP194" s="1307"/>
      <c r="AQ194" s="1307"/>
      <c r="AR194" s="1307"/>
      <c r="AS194" s="1307"/>
      <c r="AT194" s="1307"/>
      <c r="AU194" s="1307"/>
      <c r="AV194" s="1307"/>
      <c r="AW194" s="1307"/>
      <c r="AX194" s="1307"/>
      <c r="AY194" s="1307"/>
      <c r="AZ194" s="1307"/>
      <c r="BA194" s="1307"/>
      <c r="BB194" s="1307"/>
      <c r="BC194" s="1307"/>
    </row>
    <row r="195" spans="3:55" x14ac:dyDescent="0.3">
      <c r="C195" s="658"/>
      <c r="D195" s="525" t="s">
        <v>181</v>
      </c>
      <c r="E195" s="127"/>
      <c r="F195" s="525"/>
      <c r="G195" s="525"/>
      <c r="H195" s="525"/>
      <c r="I195" s="108"/>
      <c r="J195" s="525"/>
      <c r="K195" s="77"/>
      <c r="L195" s="77"/>
      <c r="M195" s="221"/>
      <c r="N195" s="221"/>
      <c r="O195" s="221"/>
      <c r="P195" s="221"/>
      <c r="Q195" s="221"/>
      <c r="R195" s="221"/>
      <c r="S195" s="221"/>
      <c r="T195" s="221"/>
      <c r="U195" s="221"/>
      <c r="V195" s="221"/>
      <c r="W195" s="1603">
        <f>W194+W193+(W192-W191)*$F$183</f>
        <v>7.7943500000000006</v>
      </c>
      <c r="X195" s="1599">
        <f ca="1">X194+X193+(X192-X191)*$H$183</f>
        <v>7.1133419038710795</v>
      </c>
      <c r="Y195" s="1593">
        <f ca="1">Y194+Y193+(Y192-Y191)*$H$183</f>
        <v>6.8022929420495881</v>
      </c>
      <c r="Z195" s="1593">
        <f t="shared" ref="Z195:AB195" ca="1" si="60">Z194+Z193+(Z192-Z191)*$H$183</f>
        <v>6.649081970621884</v>
      </c>
      <c r="AA195" s="1593">
        <f t="shared" ca="1" si="60"/>
        <v>6.8592150584396574</v>
      </c>
      <c r="AB195" s="1593">
        <f t="shared" ca="1" si="60"/>
        <v>7.3046937806493535</v>
      </c>
      <c r="AC195" s="1599">
        <f t="shared" ref="AC195:AL195" ca="1" si="61">AC194+AC193+(AC192-AC191)*$J$183</f>
        <v>8.0564996667040827</v>
      </c>
      <c r="AD195" s="1593">
        <f t="shared" ca="1" si="61"/>
        <v>9.2799722649916596</v>
      </c>
      <c r="AE195" s="1593">
        <f t="shared" ca="1" si="61"/>
        <v>10.586718137880542</v>
      </c>
      <c r="AF195" s="1593">
        <f t="shared" ca="1" si="61"/>
        <v>11.935404713662429</v>
      </c>
      <c r="AG195" s="1594">
        <f t="shared" ca="1" si="61"/>
        <v>13.386561517175803</v>
      </c>
      <c r="AH195" s="1593">
        <f t="shared" ca="1" si="61"/>
        <v>14.963880678056741</v>
      </c>
      <c r="AI195" s="1593">
        <f t="shared" ca="1" si="61"/>
        <v>18.618859785596641</v>
      </c>
      <c r="AJ195" s="1593">
        <f t="shared" ca="1" si="61"/>
        <v>22.153367173328427</v>
      </c>
      <c r="AK195" s="1593">
        <f t="shared" ca="1" si="61"/>
        <v>24.049925766286293</v>
      </c>
      <c r="AL195" s="1594">
        <f t="shared" ca="1" si="61"/>
        <v>25.057297978175548</v>
      </c>
      <c r="AM195" s="192"/>
      <c r="AO195" s="1307"/>
      <c r="AP195" s="1307"/>
      <c r="AQ195" s="1307"/>
      <c r="AR195" s="1307"/>
      <c r="AS195" s="1307"/>
      <c r="AT195" s="1307"/>
      <c r="AU195" s="1307"/>
      <c r="AV195" s="1307"/>
      <c r="AW195" s="1307"/>
      <c r="AX195" s="1307"/>
      <c r="AY195" s="1307"/>
      <c r="AZ195" s="1307"/>
      <c r="BA195" s="1307"/>
      <c r="BB195" s="1307"/>
      <c r="BC195" s="1307"/>
    </row>
    <row r="196" spans="3:55" x14ac:dyDescent="0.3">
      <c r="C196" s="658"/>
      <c r="D196" s="206"/>
      <c r="E196" s="206"/>
      <c r="F196" s="206"/>
      <c r="G196" s="206"/>
      <c r="H196" s="206"/>
      <c r="I196" s="84"/>
      <c r="J196" s="206"/>
      <c r="K196" s="77"/>
      <c r="L196" s="77"/>
      <c r="M196" s="221"/>
      <c r="N196" s="221"/>
      <c r="O196" s="221"/>
      <c r="P196" s="221"/>
      <c r="Q196" s="221"/>
      <c r="R196" s="221"/>
      <c r="S196" s="221"/>
      <c r="T196" s="221"/>
      <c r="U196" s="221"/>
      <c r="V196" s="221"/>
      <c r="W196" s="221"/>
      <c r="X196" s="583"/>
      <c r="Y196" s="583"/>
      <c r="Z196" s="583"/>
      <c r="AA196" s="583"/>
      <c r="AB196" s="583"/>
      <c r="AC196" s="583"/>
      <c r="AD196" s="583"/>
      <c r="AE196" s="583"/>
      <c r="AF196" s="583"/>
      <c r="AG196" s="583"/>
      <c r="AH196" s="583"/>
      <c r="AI196" s="583"/>
      <c r="AJ196" s="583"/>
      <c r="AK196" s="583"/>
      <c r="AL196" s="583"/>
      <c r="AM196" s="175"/>
      <c r="AO196" s="1307"/>
      <c r="AP196" s="1307"/>
      <c r="AQ196" s="1307"/>
      <c r="AR196" s="1307"/>
      <c r="AS196" s="1307"/>
      <c r="AT196" s="1307"/>
      <c r="AU196" s="1307"/>
      <c r="AV196" s="1307"/>
      <c r="AW196" s="1307"/>
      <c r="AX196" s="1307"/>
      <c r="AY196" s="1307"/>
      <c r="AZ196" s="1307"/>
      <c r="BA196" s="1307"/>
      <c r="BB196" s="1307"/>
      <c r="BC196" s="1307"/>
    </row>
    <row r="197" spans="3:55" ht="12.5" thickBot="1" x14ac:dyDescent="0.35">
      <c r="C197" s="179"/>
      <c r="D197" s="180"/>
      <c r="E197" s="180"/>
      <c r="F197" s="180"/>
      <c r="G197" s="180"/>
      <c r="H197" s="180"/>
      <c r="I197" s="197"/>
      <c r="J197" s="180"/>
      <c r="K197" s="197"/>
      <c r="L197" s="197"/>
      <c r="M197" s="197"/>
      <c r="N197" s="197"/>
      <c r="O197" s="197"/>
      <c r="P197" s="197"/>
      <c r="Q197" s="197"/>
      <c r="R197" s="197"/>
      <c r="S197" s="197"/>
      <c r="T197" s="197"/>
      <c r="U197" s="197"/>
      <c r="V197" s="197"/>
      <c r="W197" s="197"/>
      <c r="X197" s="180"/>
      <c r="Y197" s="180"/>
      <c r="Z197" s="180"/>
      <c r="AA197" s="180"/>
      <c r="AB197" s="180"/>
      <c r="AC197" s="180"/>
      <c r="AD197" s="180"/>
      <c r="AE197" s="180"/>
      <c r="AF197" s="180"/>
      <c r="AG197" s="180"/>
      <c r="AH197" s="180"/>
      <c r="AI197" s="180"/>
      <c r="AJ197" s="180"/>
      <c r="AK197" s="180"/>
      <c r="AL197" s="180"/>
      <c r="AM197" s="182"/>
      <c r="AO197" s="1307"/>
      <c r="AP197" s="1307"/>
      <c r="AQ197" s="1307"/>
      <c r="AR197" s="1307"/>
      <c r="AS197" s="1307"/>
      <c r="AT197" s="1307"/>
      <c r="AU197" s="1307"/>
      <c r="AV197" s="1307"/>
      <c r="AW197" s="1307"/>
      <c r="AX197" s="1307"/>
      <c r="AY197" s="1307"/>
      <c r="AZ197" s="1307"/>
      <c r="BA197" s="1307"/>
      <c r="BB197" s="1307"/>
      <c r="BC197" s="1307"/>
    </row>
    <row r="198" spans="3:55" x14ac:dyDescent="0.3">
      <c r="K198" s="684"/>
      <c r="L198" s="684"/>
      <c r="M198" s="684"/>
      <c r="N198" s="684"/>
      <c r="O198" s="684"/>
      <c r="P198" s="684"/>
      <c r="Q198" s="684"/>
      <c r="R198" s="684"/>
      <c r="S198" s="77"/>
      <c r="T198" s="77"/>
      <c r="U198" s="77"/>
      <c r="V198" s="77"/>
      <c r="W198" s="77"/>
      <c r="AO198" s="1307"/>
      <c r="AP198" s="1307"/>
      <c r="AQ198" s="1307"/>
      <c r="AR198" s="1307"/>
      <c r="AS198" s="1307"/>
      <c r="AT198" s="1307"/>
      <c r="AU198" s="1307"/>
      <c r="AV198" s="1307"/>
      <c r="AW198" s="1307"/>
      <c r="AX198" s="1307"/>
      <c r="AY198" s="1307"/>
      <c r="AZ198" s="1307"/>
      <c r="BA198" s="1307"/>
      <c r="BB198" s="1307"/>
      <c r="BC198" s="1307"/>
    </row>
    <row r="199" spans="3:55" ht="12.5" thickBot="1" x14ac:dyDescent="0.35">
      <c r="K199" s="684"/>
      <c r="L199" s="684"/>
      <c r="M199" s="684"/>
      <c r="N199" s="684"/>
      <c r="O199" s="684"/>
      <c r="P199" s="684"/>
      <c r="Q199" s="684"/>
      <c r="R199" s="684"/>
      <c r="S199" s="77"/>
      <c r="T199" s="77"/>
      <c r="U199" s="77"/>
      <c r="V199" s="77"/>
      <c r="W199" s="77"/>
      <c r="AO199" s="1307"/>
      <c r="AP199" s="1307"/>
      <c r="AQ199" s="1307"/>
      <c r="AR199" s="1307"/>
      <c r="AS199" s="1307"/>
      <c r="AT199" s="1307"/>
      <c r="AU199" s="1307"/>
      <c r="AV199" s="1307"/>
      <c r="AW199" s="1307"/>
      <c r="AX199" s="1307"/>
      <c r="AY199" s="1307"/>
      <c r="AZ199" s="1307"/>
      <c r="BA199" s="1307"/>
      <c r="BB199" s="1307"/>
      <c r="BC199" s="1307"/>
    </row>
    <row r="200" spans="3:55" x14ac:dyDescent="0.3">
      <c r="C200" s="170"/>
      <c r="D200" s="171"/>
      <c r="E200" s="171"/>
      <c r="F200" s="171"/>
      <c r="G200" s="171"/>
      <c r="H200" s="171"/>
      <c r="I200" s="231"/>
      <c r="J200" s="171"/>
      <c r="K200" s="655"/>
      <c r="L200" s="655"/>
      <c r="M200" s="655"/>
      <c r="N200" s="655"/>
      <c r="O200" s="655"/>
      <c r="P200" s="655"/>
      <c r="Q200" s="655"/>
      <c r="R200" s="655"/>
      <c r="S200" s="655"/>
      <c r="T200" s="655"/>
      <c r="U200" s="655"/>
      <c r="V200" s="655"/>
      <c r="W200" s="655"/>
      <c r="X200" s="622"/>
      <c r="Y200" s="622"/>
      <c r="Z200" s="622"/>
      <c r="AA200" s="622"/>
      <c r="AB200" s="622"/>
      <c r="AC200" s="622"/>
      <c r="AD200" s="622"/>
      <c r="AE200" s="622"/>
      <c r="AF200" s="622"/>
      <c r="AG200" s="622"/>
      <c r="AH200" s="622"/>
      <c r="AI200" s="622"/>
      <c r="AJ200" s="622"/>
      <c r="AK200" s="622"/>
      <c r="AL200" s="622"/>
      <c r="AM200" s="172"/>
      <c r="AO200" s="1307"/>
      <c r="AP200" s="1307"/>
      <c r="AQ200" s="1307"/>
      <c r="AR200" s="1307"/>
      <c r="AS200" s="1307"/>
      <c r="AT200" s="1307"/>
      <c r="AU200" s="1307"/>
      <c r="AV200" s="1307"/>
      <c r="AW200" s="1307"/>
      <c r="AX200" s="1307"/>
      <c r="AY200" s="1307"/>
      <c r="AZ200" s="1307"/>
      <c r="BA200" s="1307"/>
      <c r="BB200" s="1307"/>
      <c r="BC200" s="1307"/>
    </row>
    <row r="201" spans="3:55" x14ac:dyDescent="0.3">
      <c r="C201" s="173"/>
      <c r="D201" s="666" t="s">
        <v>122</v>
      </c>
      <c r="E201" s="72"/>
      <c r="F201" s="72"/>
      <c r="G201" s="72"/>
      <c r="H201" s="72"/>
      <c r="I201" s="84"/>
      <c r="J201" s="72"/>
      <c r="K201" s="221"/>
      <c r="L201" s="221"/>
      <c r="M201" s="221"/>
      <c r="N201" s="221"/>
      <c r="O201" s="221"/>
      <c r="P201" s="221"/>
      <c r="Q201" s="221"/>
      <c r="R201" s="221"/>
      <c r="S201" s="221"/>
      <c r="T201" s="221"/>
      <c r="U201" s="221"/>
      <c r="V201" s="221"/>
      <c r="W201" s="221"/>
      <c r="X201" s="178"/>
      <c r="Y201" s="178"/>
      <c r="Z201" s="178"/>
      <c r="AA201" s="178"/>
      <c r="AB201" s="178"/>
      <c r="AC201" s="178"/>
      <c r="AD201" s="178"/>
      <c r="AE201" s="178"/>
      <c r="AF201" s="178"/>
      <c r="AG201" s="178"/>
      <c r="AH201" s="178"/>
      <c r="AI201" s="178"/>
      <c r="AJ201" s="178"/>
      <c r="AK201" s="178"/>
      <c r="AL201" s="178"/>
      <c r="AM201" s="175"/>
      <c r="AO201" s="1307"/>
      <c r="AP201" s="1307"/>
      <c r="AQ201" s="1307"/>
      <c r="AR201" s="1307"/>
      <c r="AS201" s="1307"/>
      <c r="AT201" s="1307"/>
      <c r="AU201" s="1307"/>
      <c r="AV201" s="1307"/>
      <c r="AW201" s="1307"/>
      <c r="AX201" s="1307"/>
      <c r="AY201" s="1307"/>
      <c r="AZ201" s="1307"/>
      <c r="BA201" s="1307"/>
      <c r="BB201" s="1307"/>
      <c r="BC201" s="1307"/>
    </row>
    <row r="202" spans="3:55" x14ac:dyDescent="0.3">
      <c r="C202" s="173"/>
      <c r="D202" s="697"/>
      <c r="E202" s="72"/>
      <c r="F202" s="72"/>
      <c r="G202" s="72"/>
      <c r="H202" s="72"/>
      <c r="I202" s="84"/>
      <c r="J202" s="72"/>
      <c r="K202" s="84"/>
      <c r="L202" s="84"/>
      <c r="M202" s="84"/>
      <c r="N202" s="84"/>
      <c r="O202" s="84"/>
      <c r="P202" s="84"/>
      <c r="Q202" s="84"/>
      <c r="R202" s="84"/>
      <c r="S202" s="84"/>
      <c r="T202" s="84"/>
      <c r="U202" s="84"/>
      <c r="V202" s="84"/>
      <c r="W202" s="84"/>
      <c r="X202" s="72"/>
      <c r="Y202" s="72"/>
      <c r="Z202" s="72"/>
      <c r="AA202" s="72"/>
      <c r="AB202" s="72"/>
      <c r="AC202" s="72"/>
      <c r="AD202" s="72"/>
      <c r="AE202" s="72"/>
      <c r="AF202" s="72"/>
      <c r="AG202" s="72"/>
      <c r="AH202" s="72"/>
      <c r="AI202" s="72"/>
      <c r="AJ202" s="72"/>
      <c r="AK202" s="72"/>
      <c r="AL202" s="72"/>
      <c r="AM202" s="175"/>
      <c r="AO202" s="1307"/>
      <c r="AP202" s="1307"/>
      <c r="AQ202" s="1307"/>
      <c r="AR202" s="1307"/>
      <c r="AS202" s="1307"/>
      <c r="AT202" s="1307"/>
      <c r="AU202" s="1307"/>
      <c r="AV202" s="1307"/>
      <c r="AW202" s="1307"/>
      <c r="AX202" s="1307"/>
      <c r="AY202" s="1307"/>
      <c r="AZ202" s="1307"/>
      <c r="BA202" s="1307"/>
      <c r="BB202" s="1307"/>
      <c r="BC202" s="1307"/>
    </row>
    <row r="203" spans="3:55" x14ac:dyDescent="0.3">
      <c r="C203" s="173"/>
      <c r="D203" s="206"/>
      <c r="E203" s="206"/>
      <c r="F203" s="206"/>
      <c r="G203" s="206"/>
      <c r="H203" s="206"/>
      <c r="I203" s="84"/>
      <c r="J203" s="315"/>
      <c r="K203" s="275"/>
      <c r="L203" s="275"/>
      <c r="M203" s="275"/>
      <c r="N203" s="275"/>
      <c r="O203" s="275"/>
      <c r="P203" s="275"/>
      <c r="Q203" s="275"/>
      <c r="R203" s="275"/>
      <c r="S203" s="275"/>
      <c r="T203" s="275"/>
      <c r="U203" s="275"/>
      <c r="V203" s="275"/>
      <c r="W203" s="275"/>
      <c r="X203" s="315"/>
      <c r="Y203" s="315"/>
      <c r="Z203" s="315"/>
      <c r="AA203" s="315"/>
      <c r="AB203" s="315"/>
      <c r="AC203" s="315"/>
      <c r="AD203" s="315"/>
      <c r="AE203" s="315"/>
      <c r="AF203" s="315"/>
      <c r="AG203" s="315"/>
      <c r="AH203" s="315"/>
      <c r="AI203" s="315"/>
      <c r="AJ203" s="315"/>
      <c r="AK203" s="315"/>
      <c r="AL203" s="315"/>
      <c r="AM203" s="175"/>
      <c r="AO203" s="1307"/>
      <c r="AP203" s="1307"/>
      <c r="AQ203" s="1307"/>
      <c r="AR203" s="1307"/>
      <c r="AS203" s="1307"/>
      <c r="AT203" s="1307"/>
      <c r="AU203" s="1307"/>
      <c r="AV203" s="1307"/>
      <c r="AW203" s="1307"/>
      <c r="AX203" s="1307"/>
      <c r="AY203" s="1307"/>
      <c r="AZ203" s="1307"/>
      <c r="BA203" s="1307"/>
      <c r="BB203" s="1307"/>
      <c r="BC203" s="1307"/>
    </row>
    <row r="204" spans="3:55" x14ac:dyDescent="0.3">
      <c r="C204" s="173"/>
      <c r="D204" s="525" t="s">
        <v>182</v>
      </c>
      <c r="E204" s="265"/>
      <c r="F204" s="265"/>
      <c r="G204" s="265"/>
      <c r="H204" s="698"/>
      <c r="I204" s="532"/>
      <c r="J204" s="699"/>
      <c r="K204" s="275"/>
      <c r="L204" s="275"/>
      <c r="M204" s="275"/>
      <c r="N204" s="275"/>
      <c r="O204" s="275"/>
      <c r="P204" s="275"/>
      <c r="Q204" s="275"/>
      <c r="R204" s="275"/>
      <c r="S204" s="275"/>
      <c r="T204" s="275"/>
      <c r="U204" s="275"/>
      <c r="V204" s="275"/>
      <c r="W204" s="275"/>
      <c r="X204" s="315"/>
      <c r="Y204" s="315"/>
      <c r="Z204" s="315"/>
      <c r="AA204" s="315"/>
      <c r="AB204" s="315"/>
      <c r="AC204" s="315"/>
      <c r="AD204" s="315"/>
      <c r="AE204" s="315"/>
      <c r="AF204" s="315"/>
      <c r="AG204" s="315"/>
      <c r="AH204" s="315"/>
      <c r="AI204" s="315"/>
      <c r="AJ204" s="315"/>
      <c r="AK204" s="315"/>
      <c r="AL204" s="315"/>
      <c r="AM204" s="175"/>
      <c r="AO204" s="1307"/>
      <c r="AP204" s="1307"/>
      <c r="AQ204" s="1307"/>
      <c r="AR204" s="1307"/>
      <c r="AS204" s="1307"/>
      <c r="AT204" s="1307"/>
      <c r="AU204" s="1307"/>
      <c r="AV204" s="1307"/>
      <c r="AW204" s="1307"/>
      <c r="AX204" s="1307"/>
      <c r="AY204" s="1307"/>
      <c r="AZ204" s="1307"/>
      <c r="BA204" s="1307"/>
      <c r="BB204" s="1307"/>
      <c r="BC204" s="1307"/>
    </row>
    <row r="205" spans="3:55" x14ac:dyDescent="0.3">
      <c r="C205" s="173"/>
      <c r="D205" s="265"/>
      <c r="E205" s="206" t="s">
        <v>71</v>
      </c>
      <c r="F205" s="206"/>
      <c r="G205" s="206"/>
      <c r="H205" s="206"/>
      <c r="I205" s="84"/>
      <c r="J205" s="315"/>
      <c r="K205" s="275"/>
      <c r="L205" s="275"/>
      <c r="M205" s="275"/>
      <c r="N205" s="275"/>
      <c r="O205" s="275"/>
      <c r="P205" s="275"/>
      <c r="Q205" s="275"/>
      <c r="R205" s="275"/>
      <c r="S205" s="275"/>
      <c r="T205" s="275"/>
      <c r="U205" s="275"/>
      <c r="V205" s="275"/>
      <c r="W205" s="1527">
        <f t="shared" ref="W205:AB205" si="62">+W83</f>
        <v>82.169127114079743</v>
      </c>
      <c r="X205" s="1527">
        <f t="shared" si="62"/>
        <v>85.885608173134699</v>
      </c>
      <c r="Y205" s="1527">
        <f t="shared" si="62"/>
        <v>86.065441362532098</v>
      </c>
      <c r="Z205" s="1527">
        <f t="shared" si="62"/>
        <v>88.994747670894739</v>
      </c>
      <c r="AA205" s="1527">
        <f t="shared" si="62"/>
        <v>91.184265547170497</v>
      </c>
      <c r="AB205" s="1527">
        <f t="shared" si="62"/>
        <v>100.81581395191769</v>
      </c>
      <c r="AC205" s="1527">
        <f t="shared" ref="AC205:AL205" si="63">+AC83</f>
        <v>107.54155120184726</v>
      </c>
      <c r="AD205" s="1527">
        <f t="shared" si="63"/>
        <v>114.09105306104472</v>
      </c>
      <c r="AE205" s="1527">
        <f t="shared" si="63"/>
        <v>121.08887348822337</v>
      </c>
      <c r="AF205" s="1527">
        <f t="shared" si="63"/>
        <v>128.51884646180207</v>
      </c>
      <c r="AG205" s="1527">
        <f t="shared" si="63"/>
        <v>136.15831645085956</v>
      </c>
      <c r="AH205" s="1527">
        <f t="shared" si="63"/>
        <v>143.48118358954432</v>
      </c>
      <c r="AI205" s="1527">
        <f t="shared" si="63"/>
        <v>152.04432538014279</v>
      </c>
      <c r="AJ205" s="1527">
        <f t="shared" si="63"/>
        <v>161.12379204516751</v>
      </c>
      <c r="AK205" s="1527">
        <f t="shared" si="63"/>
        <v>170.75097135510975</v>
      </c>
      <c r="AL205" s="1527">
        <f t="shared" si="63"/>
        <v>180.9591717665574</v>
      </c>
      <c r="AM205" s="175"/>
      <c r="AO205" s="1307"/>
      <c r="AP205" s="1307"/>
      <c r="AQ205" s="1307"/>
      <c r="AR205" s="1307"/>
      <c r="AS205" s="1307"/>
      <c r="AT205" s="1307"/>
      <c r="AU205" s="1307"/>
      <c r="AV205" s="1307"/>
      <c r="AW205" s="1307"/>
      <c r="AX205" s="1307"/>
      <c r="AY205" s="1307"/>
      <c r="AZ205" s="1307"/>
      <c r="BA205" s="1307"/>
      <c r="BB205" s="1307"/>
      <c r="BC205" s="1307"/>
    </row>
    <row r="206" spans="3:55" x14ac:dyDescent="0.3">
      <c r="C206" s="173"/>
      <c r="D206" s="265"/>
      <c r="E206" s="206" t="s">
        <v>399</v>
      </c>
      <c r="F206" s="206"/>
      <c r="G206" s="206"/>
      <c r="H206" s="206"/>
      <c r="I206" s="84"/>
      <c r="J206" s="315"/>
      <c r="K206" s="275"/>
      <c r="L206" s="275"/>
      <c r="M206" s="275"/>
      <c r="N206" s="275"/>
      <c r="O206" s="275"/>
      <c r="P206" s="275"/>
      <c r="Q206" s="275"/>
      <c r="R206" s="275"/>
      <c r="S206" s="275"/>
      <c r="T206" s="275"/>
      <c r="U206" s="275"/>
      <c r="V206" s="275"/>
      <c r="W206" s="1527">
        <f t="shared" ref="W206:AB206" ca="1" si="64">+W86</f>
        <v>1.6850000000000001</v>
      </c>
      <c r="X206" s="1527">
        <f t="shared" ca="1" si="64"/>
        <v>1.8568371300000002</v>
      </c>
      <c r="Y206" s="1527">
        <f t="shared" ca="1" si="64"/>
        <v>3.0440700699999996</v>
      </c>
      <c r="Z206" s="1527">
        <f t="shared" ca="1" si="64"/>
        <v>3.4869999999999997</v>
      </c>
      <c r="AA206" s="1527">
        <f t="shared" ca="1" si="64"/>
        <v>3.9014527845036318</v>
      </c>
      <c r="AB206" s="1527">
        <f t="shared" ca="1" si="64"/>
        <v>4.141</v>
      </c>
      <c r="AC206" s="1527">
        <f t="shared" ref="AC206:AL206" ca="1" si="65">+AC86</f>
        <v>4.6452999999999998</v>
      </c>
      <c r="AD206" s="1527">
        <f t="shared" ca="1" si="65"/>
        <v>6.5245350000000002</v>
      </c>
      <c r="AE206" s="1527">
        <f t="shared" ca="1" si="65"/>
        <v>8.6434705699999999</v>
      </c>
      <c r="AF206" s="1527">
        <f t="shared" ca="1" si="65"/>
        <v>11.097516866600001</v>
      </c>
      <c r="AG206" s="1527">
        <f t="shared" ca="1" si="65"/>
        <v>14.096772743488001</v>
      </c>
      <c r="AH206" s="1527">
        <f t="shared" ca="1" si="65"/>
        <v>21.015320418910402</v>
      </c>
      <c r="AI206" s="1527">
        <f t="shared" ca="1" si="65"/>
        <v>21.645780031477717</v>
      </c>
      <c r="AJ206" s="1527">
        <f t="shared" ca="1" si="65"/>
        <v>22.295153432422051</v>
      </c>
      <c r="AK206" s="1527">
        <f t="shared" ca="1" si="65"/>
        <v>22.964008035394713</v>
      </c>
      <c r="AL206" s="1527">
        <f t="shared" ca="1" si="65"/>
        <v>23.652928276456553</v>
      </c>
      <c r="AM206" s="175"/>
      <c r="AO206" s="1307"/>
      <c r="AP206" s="1307"/>
      <c r="AQ206" s="1307"/>
      <c r="AR206" s="1307"/>
      <c r="AS206" s="1307"/>
      <c r="AT206" s="1307"/>
      <c r="AU206" s="1307"/>
      <c r="AV206" s="1307"/>
      <c r="AW206" s="1307"/>
      <c r="AX206" s="1307"/>
      <c r="AY206" s="1307"/>
      <c r="AZ206" s="1307"/>
      <c r="BA206" s="1307"/>
      <c r="BB206" s="1307"/>
      <c r="BC206" s="1307"/>
    </row>
    <row r="207" spans="3:55" x14ac:dyDescent="0.3">
      <c r="C207" s="173"/>
      <c r="D207" s="265"/>
      <c r="E207" s="206" t="s">
        <v>233</v>
      </c>
      <c r="F207" s="206"/>
      <c r="G207" s="206"/>
      <c r="H207" s="206"/>
      <c r="I207" s="84"/>
      <c r="J207" s="315"/>
      <c r="K207" s="275"/>
      <c r="L207" s="275"/>
      <c r="M207" s="275"/>
      <c r="N207" s="275"/>
      <c r="O207" s="275"/>
      <c r="P207" s="275"/>
      <c r="Q207" s="275"/>
      <c r="R207" s="275"/>
      <c r="S207" s="275"/>
      <c r="T207" s="275"/>
      <c r="U207" s="275"/>
      <c r="V207" s="275"/>
      <c r="W207" s="1527">
        <f t="shared" ref="W207:AG207" ca="1" si="66">+W90</f>
        <v>4.1135719176755456</v>
      </c>
      <c r="X207" s="1527">
        <f t="shared" ca="1" si="66"/>
        <v>5.5511330934400966</v>
      </c>
      <c r="Y207" s="1527">
        <f t="shared" ca="1" si="66"/>
        <v>8.0131438643281587</v>
      </c>
      <c r="Z207" s="1527">
        <f t="shared" ca="1" si="66"/>
        <v>3.5370648107338258</v>
      </c>
      <c r="AA207" s="1527">
        <f t="shared" ca="1" si="66"/>
        <v>3.6122653567527725</v>
      </c>
      <c r="AB207" s="1527">
        <f t="shared" ca="1" si="66"/>
        <v>3.8340566113544119</v>
      </c>
      <c r="AC207" s="1527">
        <f t="shared" ca="1" si="66"/>
        <v>3.988569092791995</v>
      </c>
      <c r="AD207" s="1527">
        <f t="shared" ca="1" si="66"/>
        <v>4.1493084272315119</v>
      </c>
      <c r="AE207" s="1527">
        <f t="shared" ca="1" si="66"/>
        <v>4.3165255568489425</v>
      </c>
      <c r="AF207" s="1527">
        <f t="shared" ca="1" si="66"/>
        <v>4.4904815367899555</v>
      </c>
      <c r="AG207" s="1527">
        <f t="shared" ca="1" si="66"/>
        <v>4.6714479427225903</v>
      </c>
      <c r="AH207" s="1527">
        <f ca="1">+AH90</f>
        <v>4.859707294814311</v>
      </c>
      <c r="AI207" s="1527">
        <f ca="1">+AI90</f>
        <v>5.0555534987953283</v>
      </c>
      <c r="AJ207" s="1527">
        <f ca="1">+AJ90</f>
        <v>5.2592923047967801</v>
      </c>
      <c r="AK207" s="1527">
        <f ca="1">+AK90</f>
        <v>5.4712417846800907</v>
      </c>
      <c r="AL207" s="1527">
        <f ca="1">+AL90</f>
        <v>5.6917328286026976</v>
      </c>
      <c r="AM207" s="175"/>
      <c r="AO207" s="1307"/>
      <c r="AP207" s="1307"/>
      <c r="AQ207" s="1307"/>
      <c r="AR207" s="1307"/>
      <c r="AS207" s="1307"/>
      <c r="AT207" s="1307"/>
      <c r="AU207" s="1307"/>
      <c r="AV207" s="1307"/>
      <c r="AW207" s="1307"/>
      <c r="AX207" s="1307"/>
      <c r="AY207" s="1307"/>
      <c r="AZ207" s="1307"/>
      <c r="BA207" s="1307"/>
      <c r="BB207" s="1307"/>
      <c r="BC207" s="1307"/>
    </row>
    <row r="208" spans="3:55" x14ac:dyDescent="0.3">
      <c r="C208" s="173"/>
      <c r="D208" s="265"/>
      <c r="E208" s="206" t="s">
        <v>400</v>
      </c>
      <c r="F208" s="206"/>
      <c r="G208" s="206"/>
      <c r="H208" s="206"/>
      <c r="I208" s="84"/>
      <c r="J208" s="315"/>
      <c r="K208" s="275"/>
      <c r="L208" s="275"/>
      <c r="M208" s="275"/>
      <c r="N208" s="275"/>
      <c r="O208" s="275"/>
      <c r="P208" s="275"/>
      <c r="Q208" s="275"/>
      <c r="R208" s="275"/>
      <c r="S208" s="275"/>
      <c r="T208" s="275"/>
      <c r="U208" s="275"/>
      <c r="V208" s="275"/>
      <c r="W208" s="1527">
        <f t="shared" ref="W208:AB208" si="67">W132</f>
        <v>0</v>
      </c>
      <c r="X208" s="1527">
        <f t="shared" si="67"/>
        <v>0</v>
      </c>
      <c r="Y208" s="1527">
        <f t="shared" si="67"/>
        <v>0</v>
      </c>
      <c r="Z208" s="1527">
        <f t="shared" si="67"/>
        <v>0</v>
      </c>
      <c r="AA208" s="1527">
        <f t="shared" si="67"/>
        <v>0</v>
      </c>
      <c r="AB208" s="1527">
        <f t="shared" si="67"/>
        <v>0</v>
      </c>
      <c r="AC208" s="1527">
        <f t="shared" ref="AC208:AL208" si="68">AC132</f>
        <v>0</v>
      </c>
      <c r="AD208" s="1527">
        <f t="shared" si="68"/>
        <v>0</v>
      </c>
      <c r="AE208" s="1527">
        <f t="shared" si="68"/>
        <v>0</v>
      </c>
      <c r="AF208" s="1527">
        <f t="shared" si="68"/>
        <v>0</v>
      </c>
      <c r="AG208" s="1527">
        <f t="shared" si="68"/>
        <v>0</v>
      </c>
      <c r="AH208" s="1527">
        <f t="shared" si="68"/>
        <v>0</v>
      </c>
      <c r="AI208" s="1527">
        <f t="shared" si="68"/>
        <v>0</v>
      </c>
      <c r="AJ208" s="1527">
        <f t="shared" si="68"/>
        <v>0</v>
      </c>
      <c r="AK208" s="1527">
        <f t="shared" si="68"/>
        <v>0</v>
      </c>
      <c r="AL208" s="1527">
        <f t="shared" si="68"/>
        <v>0</v>
      </c>
      <c r="AM208" s="175"/>
      <c r="AO208" s="1307"/>
      <c r="AP208" s="1307"/>
      <c r="AQ208" s="1307"/>
      <c r="AR208" s="1307"/>
      <c r="AS208" s="1307"/>
      <c r="AT208" s="1307"/>
      <c r="AU208" s="1307"/>
      <c r="AV208" s="1307"/>
      <c r="AW208" s="1307"/>
      <c r="AX208" s="1307"/>
      <c r="AY208" s="1307"/>
      <c r="AZ208" s="1307"/>
      <c r="BA208" s="1307"/>
      <c r="BB208" s="1307"/>
      <c r="BC208" s="1307"/>
    </row>
    <row r="209" spans="3:55" x14ac:dyDescent="0.3">
      <c r="C209" s="173"/>
      <c r="D209" s="265"/>
      <c r="E209" s="206" t="s">
        <v>183</v>
      </c>
      <c r="F209" s="206"/>
      <c r="G209" s="206"/>
      <c r="H209" s="206"/>
      <c r="I209" s="84"/>
      <c r="J209" s="315"/>
      <c r="K209" s="275"/>
      <c r="L209" s="275"/>
      <c r="M209" s="275"/>
      <c r="N209" s="275"/>
      <c r="O209" s="275"/>
      <c r="P209" s="275"/>
      <c r="Q209" s="275"/>
      <c r="R209" s="275"/>
      <c r="S209" s="275"/>
      <c r="T209" s="275"/>
      <c r="U209" s="275"/>
      <c r="V209" s="275"/>
      <c r="W209" s="1527">
        <f t="shared" ref="W209:AG209" si="69">-W84</f>
        <v>0</v>
      </c>
      <c r="X209" s="1527">
        <f t="shared" si="69"/>
        <v>0</v>
      </c>
      <c r="Y209" s="1527">
        <f t="shared" si="69"/>
        <v>0</v>
      </c>
      <c r="Z209" s="1527">
        <f t="shared" si="69"/>
        <v>0</v>
      </c>
      <c r="AA209" s="1527">
        <f t="shared" si="69"/>
        <v>0</v>
      </c>
      <c r="AB209" s="1527">
        <f t="shared" si="69"/>
        <v>0</v>
      </c>
      <c r="AC209" s="1527">
        <f t="shared" si="69"/>
        <v>-1.03</v>
      </c>
      <c r="AD209" s="1527">
        <f t="shared" si="69"/>
        <v>-1.0609</v>
      </c>
      <c r="AE209" s="1527">
        <f t="shared" si="69"/>
        <v>-1.092727</v>
      </c>
      <c r="AF209" s="1527">
        <f t="shared" si="69"/>
        <v>-1.1255088100000001</v>
      </c>
      <c r="AG209" s="1527">
        <f t="shared" si="69"/>
        <v>-1.1592740743000001</v>
      </c>
      <c r="AH209" s="1527">
        <f>-AH84</f>
        <v>-0.59702614826450007</v>
      </c>
      <c r="AI209" s="1527">
        <f>-AI84</f>
        <v>-0.6149369327124351</v>
      </c>
      <c r="AJ209" s="1527">
        <f>-AJ84</f>
        <v>-0.63338504069380819</v>
      </c>
      <c r="AK209" s="1527">
        <f>-AK84</f>
        <v>-0.65238659191462245</v>
      </c>
      <c r="AL209" s="1527">
        <f>-AL84</f>
        <v>-0.67195818967206111</v>
      </c>
      <c r="AM209" s="175"/>
      <c r="AO209" s="1307"/>
      <c r="AP209" s="1307"/>
      <c r="AQ209" s="1307"/>
      <c r="AR209" s="1307"/>
      <c r="AS209" s="1307"/>
      <c r="AT209" s="1307"/>
      <c r="AU209" s="1307"/>
      <c r="AV209" s="1307"/>
      <c r="AW209" s="1307"/>
      <c r="AX209" s="1307"/>
      <c r="AY209" s="1307"/>
      <c r="AZ209" s="1307"/>
      <c r="BA209" s="1307"/>
      <c r="BB209" s="1307"/>
      <c r="BC209" s="1307"/>
    </row>
    <row r="210" spans="3:55" x14ac:dyDescent="0.3">
      <c r="C210" s="173"/>
      <c r="D210" s="265"/>
      <c r="E210" s="206" t="s">
        <v>184</v>
      </c>
      <c r="F210" s="206"/>
      <c r="G210" s="206"/>
      <c r="H210" s="206"/>
      <c r="I210" s="84"/>
      <c r="J210" s="315"/>
      <c r="K210" s="275"/>
      <c r="L210" s="275"/>
      <c r="M210" s="275"/>
      <c r="N210" s="275"/>
      <c r="O210" s="275"/>
      <c r="P210" s="275"/>
      <c r="Q210" s="275"/>
      <c r="R210" s="275"/>
      <c r="S210" s="275"/>
      <c r="T210" s="275"/>
      <c r="U210" s="275"/>
      <c r="V210" s="275"/>
      <c r="W210" s="1527">
        <f t="shared" ref="W210:AG210" ca="1" si="70">+W128</f>
        <v>-56.509329355932195</v>
      </c>
      <c r="X210" s="1527">
        <f t="shared" ca="1" si="70"/>
        <v>-63.247855929613181</v>
      </c>
      <c r="Y210" s="1527">
        <f t="shared" ca="1" si="70"/>
        <v>-62.749747671770244</v>
      </c>
      <c r="Z210" s="1527">
        <f t="shared" ca="1" si="70"/>
        <v>-61.750960692543586</v>
      </c>
      <c r="AA210" s="1527">
        <f t="shared" ca="1" si="70"/>
        <v>-68.814474731744369</v>
      </c>
      <c r="AB210" s="1527">
        <f t="shared" ca="1" si="70"/>
        <v>-72.995986819939489</v>
      </c>
      <c r="AC210" s="1527">
        <f t="shared" ca="1" si="70"/>
        <v>-76.157918724962556</v>
      </c>
      <c r="AD210" s="1527">
        <f t="shared" ca="1" si="70"/>
        <v>-80.827222013613564</v>
      </c>
      <c r="AE210" s="1527">
        <f t="shared" ca="1" si="70"/>
        <v>-84.683062185124101</v>
      </c>
      <c r="AF210" s="1527">
        <f t="shared" ca="1" si="70"/>
        <v>-87.5691320492936</v>
      </c>
      <c r="AG210" s="1527">
        <f t="shared" ca="1" si="70"/>
        <v>-91.413415925051311</v>
      </c>
      <c r="AH210" s="1527">
        <f ca="1">+AH128</f>
        <v>-92.338102720117121</v>
      </c>
      <c r="AI210" s="1527">
        <f ca="1">+AI128</f>
        <v>-96.029243973449624</v>
      </c>
      <c r="AJ210" s="1527">
        <f ca="1">+AJ128</f>
        <v>-99.874218552114797</v>
      </c>
      <c r="AK210" s="1527">
        <f ca="1">+AK128</f>
        <v>-103.87950755288914</v>
      </c>
      <c r="AL210" s="1527">
        <f ca="1">+AL128</f>
        <v>-108.05186593880748</v>
      </c>
      <c r="AM210" s="175"/>
      <c r="AO210" s="1307"/>
      <c r="AP210" s="1307"/>
      <c r="AQ210" s="1307"/>
      <c r="AR210" s="1307"/>
      <c r="AS210" s="1307"/>
      <c r="AT210" s="1307"/>
      <c r="AU210" s="1307"/>
      <c r="AV210" s="1307"/>
      <c r="AW210" s="1307"/>
      <c r="AX210" s="1307"/>
      <c r="AY210" s="1307"/>
      <c r="AZ210" s="1307"/>
      <c r="BA210" s="1307"/>
      <c r="BB210" s="1307"/>
      <c r="BC210" s="1307"/>
    </row>
    <row r="211" spans="3:55" x14ac:dyDescent="0.3">
      <c r="C211" s="173"/>
      <c r="D211" s="265"/>
      <c r="E211" s="206" t="s">
        <v>185</v>
      </c>
      <c r="F211" s="206"/>
      <c r="G211" s="206"/>
      <c r="H211" s="206"/>
      <c r="I211" s="84"/>
      <c r="J211" s="315"/>
      <c r="K211" s="275"/>
      <c r="L211" s="275"/>
      <c r="M211" s="275"/>
      <c r="N211" s="275"/>
      <c r="O211" s="275"/>
      <c r="P211" s="275"/>
      <c r="Q211" s="275"/>
      <c r="R211" s="275"/>
      <c r="S211" s="275"/>
      <c r="T211" s="275"/>
      <c r="U211" s="275"/>
      <c r="V211" s="275"/>
      <c r="W211" s="1527">
        <f t="shared" ref="W211:AG211" ca="1" si="71">-W174</f>
        <v>-2.5233827532446633</v>
      </c>
      <c r="X211" s="1527">
        <f t="shared" ca="1" si="71"/>
        <v>-3.9238140066607325</v>
      </c>
      <c r="Y211" s="1527">
        <f t="shared" ca="1" si="71"/>
        <v>-4.7794655644863457</v>
      </c>
      <c r="Z211" s="1527">
        <f t="shared" ca="1" si="71"/>
        <v>-6.8923908952816362</v>
      </c>
      <c r="AA211" s="1527">
        <f t="shared" ca="1" si="71"/>
        <v>-5.5769461080826437</v>
      </c>
      <c r="AB211" s="1527">
        <f t="shared" ca="1" si="71"/>
        <v>-7.56348162955471</v>
      </c>
      <c r="AC211" s="1527">
        <f t="shared" ca="1" si="71"/>
        <v>-8.923759385580091</v>
      </c>
      <c r="AD211" s="1527">
        <f t="shared" ca="1" si="71"/>
        <v>-9.7306591949338568</v>
      </c>
      <c r="AE211" s="1527">
        <f t="shared" ca="1" si="71"/>
        <v>-10.961771216243305</v>
      </c>
      <c r="AF211" s="1527">
        <f t="shared" ca="1" si="71"/>
        <v>-12.687989942688551</v>
      </c>
      <c r="AG211" s="1527">
        <f t="shared" ca="1" si="71"/>
        <v>-14.301151893374334</v>
      </c>
      <c r="AH211" s="1527">
        <f ca="1">-AH174</f>
        <v>-17.875002347980086</v>
      </c>
      <c r="AI211" s="1527">
        <f ca="1">-AI174</f>
        <v>-18.175845994328014</v>
      </c>
      <c r="AJ211" s="1527">
        <f ca="1">-AJ174</f>
        <v>-18.716512935575249</v>
      </c>
      <c r="AK211" s="1527">
        <f ca="1">-AK174</f>
        <v>-20.001259097784672</v>
      </c>
      <c r="AL211" s="1527">
        <f ca="1">-AL174</f>
        <v>-21.692353713783639</v>
      </c>
      <c r="AM211" s="175"/>
      <c r="AO211" s="1307"/>
      <c r="AP211" s="1307"/>
      <c r="AQ211" s="1307"/>
      <c r="AR211" s="1307"/>
      <c r="AS211" s="1307"/>
      <c r="AT211" s="1307"/>
      <c r="AU211" s="1307"/>
      <c r="AV211" s="1307"/>
      <c r="AW211" s="1307"/>
      <c r="AX211" s="1307"/>
      <c r="AY211" s="1307"/>
      <c r="AZ211" s="1307"/>
      <c r="BA211" s="1307"/>
      <c r="BB211" s="1307"/>
      <c r="BC211" s="1307"/>
    </row>
    <row r="212" spans="3:55" x14ac:dyDescent="0.3">
      <c r="C212" s="173"/>
      <c r="D212" s="265"/>
      <c r="E212" s="206" t="s">
        <v>186</v>
      </c>
      <c r="F212" s="206"/>
      <c r="G212" s="206"/>
      <c r="H212" s="206"/>
      <c r="I212" s="84"/>
      <c r="J212" s="315"/>
      <c r="K212" s="275"/>
      <c r="L212" s="275"/>
      <c r="M212" s="275"/>
      <c r="N212" s="275"/>
      <c r="O212" s="275"/>
      <c r="P212" s="275"/>
      <c r="Q212" s="275"/>
      <c r="R212" s="275"/>
      <c r="S212" s="275"/>
      <c r="T212" s="275"/>
      <c r="U212" s="275"/>
      <c r="V212" s="275"/>
      <c r="W212" s="1527">
        <f t="shared" ref="W212:AG212" si="72">+W189</f>
        <v>0.29852499999999998</v>
      </c>
      <c r="X212" s="1527">
        <f t="shared" ca="1" si="72"/>
        <v>0.53437999999999997</v>
      </c>
      <c r="Y212" s="1527">
        <f t="shared" ca="1" si="72"/>
        <v>0.25541000000000003</v>
      </c>
      <c r="Z212" s="1527">
        <f t="shared" ca="1" si="72"/>
        <v>0.61129500000000003</v>
      </c>
      <c r="AA212" s="1527">
        <f t="shared" ca="1" si="72"/>
        <v>0.62057094601200691</v>
      </c>
      <c r="AB212" s="1527">
        <f t="shared" ca="1" si="72"/>
        <v>0.64792877534348203</v>
      </c>
      <c r="AC212" s="1527">
        <f t="shared" ca="1" si="72"/>
        <v>0.66698780498982435</v>
      </c>
      <c r="AD212" s="1527">
        <f t="shared" ca="1" si="72"/>
        <v>0.68681491353091428</v>
      </c>
      <c r="AE212" s="1527">
        <f t="shared" ca="1" si="72"/>
        <v>0.70744105454621009</v>
      </c>
      <c r="AF212" s="1527">
        <f t="shared" ca="1" si="72"/>
        <v>0.72889842904442237</v>
      </c>
      <c r="AG212" s="1527">
        <f t="shared" ca="1" si="72"/>
        <v>0.75122053573491243</v>
      </c>
      <c r="AH212" s="1527">
        <f ca="1">+AH189</f>
        <v>0.77444222332502943</v>
      </c>
      <c r="AI212" s="1527">
        <f ca="1">+AI189</f>
        <v>0.79859974492502817</v>
      </c>
      <c r="AJ212" s="1527">
        <f ca="1">+AJ189</f>
        <v>0.82373081464550679</v>
      </c>
      <c r="AK212" s="1527">
        <f ca="1">+AK189</f>
        <v>0.84987466647572074</v>
      </c>
      <c r="AL212" s="1527">
        <f ca="1">+AL189</f>
        <v>0.87707211553469222</v>
      </c>
      <c r="AM212" s="175"/>
      <c r="AO212" s="1307"/>
      <c r="AP212" s="1307"/>
      <c r="AQ212" s="1307"/>
      <c r="AR212" s="1307"/>
      <c r="AS212" s="1307"/>
      <c r="AT212" s="1307"/>
      <c r="AU212" s="1307"/>
      <c r="AV212" s="1307"/>
      <c r="AW212" s="1307"/>
      <c r="AX212" s="1307"/>
      <c r="AY212" s="1307"/>
      <c r="AZ212" s="1307"/>
      <c r="BA212" s="1307"/>
      <c r="BB212" s="1307"/>
      <c r="BC212" s="1307"/>
    </row>
    <row r="213" spans="3:55" x14ac:dyDescent="0.3">
      <c r="C213" s="173"/>
      <c r="D213" s="265"/>
      <c r="E213" s="206" t="s">
        <v>187</v>
      </c>
      <c r="F213" s="206"/>
      <c r="G213" s="206"/>
      <c r="H213" s="206"/>
      <c r="I213" s="84"/>
      <c r="J213" s="315"/>
      <c r="K213" s="275"/>
      <c r="L213" s="275"/>
      <c r="M213" s="275"/>
      <c r="N213" s="275"/>
      <c r="O213" s="275"/>
      <c r="P213" s="275"/>
      <c r="Q213" s="275"/>
      <c r="R213" s="275"/>
      <c r="S213" s="275"/>
      <c r="T213" s="275"/>
      <c r="U213" s="275"/>
      <c r="V213" s="275"/>
      <c r="W213" s="1527">
        <f t="shared" ref="W213:AG213" si="73">-W195</f>
        <v>-7.7943500000000006</v>
      </c>
      <c r="X213" s="1527">
        <f t="shared" ca="1" si="73"/>
        <v>-7.1133419038710795</v>
      </c>
      <c r="Y213" s="1527">
        <f t="shared" ca="1" si="73"/>
        <v>-6.8022929420495881</v>
      </c>
      <c r="Z213" s="1527">
        <f t="shared" ca="1" si="73"/>
        <v>-6.649081970621884</v>
      </c>
      <c r="AA213" s="1527">
        <f t="shared" ca="1" si="73"/>
        <v>-6.8592150584396574</v>
      </c>
      <c r="AB213" s="1527">
        <f t="shared" ca="1" si="73"/>
        <v>-7.3046937806493535</v>
      </c>
      <c r="AC213" s="1527">
        <f t="shared" ca="1" si="73"/>
        <v>-8.0564996667040827</v>
      </c>
      <c r="AD213" s="1527">
        <f t="shared" ca="1" si="73"/>
        <v>-9.2799722649916596</v>
      </c>
      <c r="AE213" s="1527">
        <f t="shared" ca="1" si="73"/>
        <v>-10.586718137880542</v>
      </c>
      <c r="AF213" s="1527">
        <f t="shared" ca="1" si="73"/>
        <v>-11.935404713662429</v>
      </c>
      <c r="AG213" s="1527">
        <f t="shared" ca="1" si="73"/>
        <v>-13.386561517175803</v>
      </c>
      <c r="AH213" s="1527">
        <f ca="1">-AH195</f>
        <v>-14.963880678056741</v>
      </c>
      <c r="AI213" s="1527">
        <f ca="1">-AI195</f>
        <v>-18.618859785596641</v>
      </c>
      <c r="AJ213" s="1527">
        <f ca="1">-AJ195</f>
        <v>-22.153367173328427</v>
      </c>
      <c r="AK213" s="1527">
        <f ca="1">-AK195</f>
        <v>-24.049925766286293</v>
      </c>
      <c r="AL213" s="1527">
        <f ca="1">-AL195</f>
        <v>-25.057297978175548</v>
      </c>
      <c r="AM213" s="175"/>
      <c r="AO213" s="1307"/>
      <c r="AP213" s="1307"/>
      <c r="AQ213" s="1307"/>
      <c r="AR213" s="1307"/>
      <c r="AS213" s="1307"/>
      <c r="AT213" s="1307"/>
      <c r="AU213" s="1307"/>
      <c r="AV213" s="1307"/>
      <c r="AW213" s="1307"/>
      <c r="AX213" s="1307"/>
      <c r="AY213" s="1307"/>
      <c r="AZ213" s="1307"/>
      <c r="BA213" s="1307"/>
      <c r="BB213" s="1307"/>
      <c r="BC213" s="1307"/>
    </row>
    <row r="214" spans="3:55" x14ac:dyDescent="0.3">
      <c r="C214" s="173"/>
      <c r="D214" s="206"/>
      <c r="E214" s="206"/>
      <c r="F214" s="206"/>
      <c r="G214" s="206"/>
      <c r="H214" s="206"/>
      <c r="I214" s="84"/>
      <c r="J214" s="315"/>
      <c r="K214" s="275"/>
      <c r="L214" s="275"/>
      <c r="M214" s="275"/>
      <c r="N214" s="275"/>
      <c r="O214" s="275"/>
      <c r="P214" s="275"/>
      <c r="Q214" s="275"/>
      <c r="R214" s="275"/>
      <c r="S214" s="275"/>
      <c r="T214" s="275"/>
      <c r="U214" s="275"/>
      <c r="V214" s="275"/>
      <c r="W214" s="315"/>
      <c r="X214" s="315"/>
      <c r="Y214" s="315"/>
      <c r="Z214" s="315"/>
      <c r="AA214" s="315"/>
      <c r="AB214" s="315"/>
      <c r="AC214" s="315"/>
      <c r="AD214" s="315"/>
      <c r="AE214" s="315"/>
      <c r="AF214" s="315"/>
      <c r="AG214" s="315"/>
      <c r="AH214" s="315"/>
      <c r="AI214" s="315"/>
      <c r="AJ214" s="315"/>
      <c r="AK214" s="315"/>
      <c r="AL214" s="315"/>
      <c r="AM214" s="175"/>
      <c r="AO214" s="1307"/>
      <c r="AP214" s="1307"/>
      <c r="AQ214" s="1307"/>
      <c r="AR214" s="1307"/>
      <c r="AS214" s="1307"/>
      <c r="AT214" s="1307"/>
      <c r="AU214" s="1307"/>
      <c r="AV214" s="1307"/>
      <c r="AW214" s="1307"/>
      <c r="AX214" s="1307"/>
      <c r="AY214" s="1307"/>
      <c r="AZ214" s="1307"/>
      <c r="BA214" s="1307"/>
      <c r="BB214" s="1307"/>
      <c r="BC214" s="1307"/>
    </row>
    <row r="215" spans="3:55" x14ac:dyDescent="0.3">
      <c r="C215" s="173"/>
      <c r="D215" s="700" t="s">
        <v>205</v>
      </c>
      <c r="E215" s="511"/>
      <c r="F215" s="511"/>
      <c r="G215" s="511"/>
      <c r="H215" s="511"/>
      <c r="I215" s="381"/>
      <c r="J215" s="606"/>
      <c r="K215" s="317"/>
      <c r="L215" s="317"/>
      <c r="M215" s="317"/>
      <c r="N215" s="317"/>
      <c r="O215" s="317"/>
      <c r="P215" s="317"/>
      <c r="Q215" s="317"/>
      <c r="R215" s="317"/>
      <c r="S215" s="317"/>
      <c r="T215" s="317"/>
      <c r="U215" s="317"/>
      <c r="V215" s="317"/>
      <c r="W215" s="1593">
        <f t="shared" ref="W215:AB215" ca="1" si="74">+SUM(W205:W214)</f>
        <v>21.439161922578428</v>
      </c>
      <c r="X215" s="1596">
        <f t="shared" ca="1" si="74"/>
        <v>19.542946556429804</v>
      </c>
      <c r="Y215" s="1593">
        <f t="shared" ca="1" si="74"/>
        <v>23.046559118554086</v>
      </c>
      <c r="Z215" s="1593">
        <f t="shared" ca="1" si="74"/>
        <v>21.337673923181448</v>
      </c>
      <c r="AA215" s="1593">
        <f t="shared" ca="1" si="74"/>
        <v>18.067918736172238</v>
      </c>
      <c r="AB215" s="1594">
        <f t="shared" ca="1" si="74"/>
        <v>21.574637108472039</v>
      </c>
      <c r="AC215" s="1593">
        <f t="shared" ref="AC215:AL215" ca="1" si="75">+SUM(AC205:AC214)</f>
        <v>22.674230322382343</v>
      </c>
      <c r="AD215" s="1593">
        <f t="shared" ca="1" si="75"/>
        <v>24.552957928268068</v>
      </c>
      <c r="AE215" s="1593">
        <f t="shared" ca="1" si="75"/>
        <v>27.432032130370569</v>
      </c>
      <c r="AF215" s="1593">
        <f t="shared" ca="1" si="75"/>
        <v>31.517707778591841</v>
      </c>
      <c r="AG215" s="1593">
        <f t="shared" ca="1" si="75"/>
        <v>35.417354262903615</v>
      </c>
      <c r="AH215" s="1593">
        <f t="shared" ca="1" si="75"/>
        <v>44.356641632175617</v>
      </c>
      <c r="AI215" s="1593">
        <f t="shared" ca="1" si="75"/>
        <v>46.105371969254165</v>
      </c>
      <c r="AJ215" s="1593">
        <f t="shared" ca="1" si="75"/>
        <v>48.124484895319547</v>
      </c>
      <c r="AK215" s="1593">
        <f t="shared" ca="1" si="75"/>
        <v>51.453016832785593</v>
      </c>
      <c r="AL215" s="1593">
        <f t="shared" ca="1" si="75"/>
        <v>55.707429166712622</v>
      </c>
      <c r="AM215" s="701"/>
      <c r="AO215" s="1307"/>
      <c r="AP215" s="1307"/>
      <c r="AQ215" s="1307"/>
      <c r="AR215" s="1307"/>
      <c r="AS215" s="1307"/>
      <c r="AT215" s="1307"/>
      <c r="AU215" s="1307"/>
      <c r="AV215" s="1307"/>
      <c r="AW215" s="1307"/>
      <c r="AX215" s="1307"/>
      <c r="AY215" s="1307"/>
      <c r="AZ215" s="1307"/>
      <c r="BA215" s="1307"/>
      <c r="BB215" s="1307"/>
      <c r="BC215" s="1307"/>
    </row>
    <row r="216" spans="3:55" x14ac:dyDescent="0.3">
      <c r="C216" s="173"/>
      <c r="D216" s="206"/>
      <c r="E216" s="206"/>
      <c r="F216" s="206"/>
      <c r="G216" s="206"/>
      <c r="H216" s="206"/>
      <c r="I216" s="84"/>
      <c r="J216" s="315"/>
      <c r="K216" s="275"/>
      <c r="L216" s="275"/>
      <c r="M216" s="275"/>
      <c r="N216" s="275"/>
      <c r="O216" s="275"/>
      <c r="P216" s="275"/>
      <c r="Q216" s="275"/>
      <c r="R216" s="275"/>
      <c r="S216" s="275"/>
      <c r="T216" s="275"/>
      <c r="U216" s="275"/>
      <c r="V216" s="275"/>
      <c r="W216" s="315"/>
      <c r="X216" s="315"/>
      <c r="Y216" s="315"/>
      <c r="Z216" s="315"/>
      <c r="AA216" s="315"/>
      <c r="AB216" s="315"/>
      <c r="AC216" s="315"/>
      <c r="AD216" s="315"/>
      <c r="AE216" s="315"/>
      <c r="AF216" s="315"/>
      <c r="AG216" s="315"/>
      <c r="AH216" s="315"/>
      <c r="AI216" s="315"/>
      <c r="AJ216" s="315"/>
      <c r="AK216" s="315"/>
      <c r="AL216" s="315"/>
      <c r="AM216" s="175"/>
      <c r="AO216" s="1307"/>
      <c r="AP216" s="1307"/>
      <c r="AQ216" s="1307"/>
      <c r="AR216" s="1307"/>
      <c r="AS216" s="1307"/>
      <c r="AT216" s="1307"/>
      <c r="AU216" s="1307"/>
      <c r="AV216" s="1307"/>
      <c r="AW216" s="1307"/>
      <c r="AX216" s="1307"/>
      <c r="AY216" s="1307"/>
      <c r="AZ216" s="1307"/>
      <c r="BA216" s="1307"/>
      <c r="BB216" s="1307"/>
      <c r="BC216" s="1307"/>
    </row>
    <row r="217" spans="3:55" x14ac:dyDescent="0.3">
      <c r="C217" s="173"/>
      <c r="D217" s="666" t="s">
        <v>604</v>
      </c>
      <c r="E217" s="206"/>
      <c r="F217" s="206"/>
      <c r="G217" s="206"/>
      <c r="H217" s="206"/>
      <c r="I217" s="84"/>
      <c r="J217" s="315"/>
      <c r="K217" s="275"/>
      <c r="L217" s="275"/>
      <c r="M217" s="275"/>
      <c r="N217" s="275"/>
      <c r="O217" s="275"/>
      <c r="P217" s="275"/>
      <c r="Q217" s="275"/>
      <c r="R217" s="275"/>
      <c r="S217" s="275"/>
      <c r="T217" s="275"/>
      <c r="U217" s="275"/>
      <c r="V217" s="275"/>
      <c r="W217" s="315"/>
      <c r="X217" s="315"/>
      <c r="Y217" s="315"/>
      <c r="Z217" s="315"/>
      <c r="AA217" s="315"/>
      <c r="AB217" s="315"/>
      <c r="AC217" s="315"/>
      <c r="AD217" s="315"/>
      <c r="AE217" s="315"/>
      <c r="AF217" s="315"/>
      <c r="AG217" s="315"/>
      <c r="AH217" s="315"/>
      <c r="AI217" s="315"/>
      <c r="AJ217" s="315"/>
      <c r="AK217" s="315"/>
      <c r="AL217" s="315"/>
      <c r="AM217" s="175"/>
      <c r="AO217" s="1307"/>
      <c r="AP217" s="1307"/>
      <c r="AQ217" s="1307"/>
      <c r="AR217" s="1307"/>
      <c r="AS217" s="1307"/>
      <c r="AT217" s="1307"/>
      <c r="AU217" s="1307"/>
      <c r="AV217" s="1307"/>
      <c r="AW217" s="1307"/>
      <c r="AX217" s="1307"/>
      <c r="AY217" s="1307"/>
      <c r="AZ217" s="1307"/>
      <c r="BA217" s="1307"/>
      <c r="BB217" s="1307"/>
      <c r="BC217" s="1307"/>
    </row>
    <row r="218" spans="3:55" x14ac:dyDescent="0.3">
      <c r="C218" s="173"/>
      <c r="D218" s="206"/>
      <c r="E218" s="206"/>
      <c r="F218" s="206"/>
      <c r="G218" s="206"/>
      <c r="H218" s="206"/>
      <c r="I218" s="84"/>
      <c r="J218" s="315"/>
      <c r="K218" s="275"/>
      <c r="L218" s="275"/>
      <c r="M218" s="275"/>
      <c r="N218" s="275"/>
      <c r="O218" s="275"/>
      <c r="P218" s="275"/>
      <c r="Q218" s="275"/>
      <c r="R218" s="275"/>
      <c r="S218" s="275"/>
      <c r="T218" s="275"/>
      <c r="U218" s="275"/>
      <c r="V218" s="275"/>
      <c r="W218" s="315"/>
      <c r="X218" s="315"/>
      <c r="Y218" s="315"/>
      <c r="Z218" s="315"/>
      <c r="AA218" s="315"/>
      <c r="AB218" s="315"/>
      <c r="AC218" s="315"/>
      <c r="AD218" s="315"/>
      <c r="AE218" s="315"/>
      <c r="AF218" s="315"/>
      <c r="AG218" s="315"/>
      <c r="AH218" s="315"/>
      <c r="AI218" s="315"/>
      <c r="AJ218" s="315"/>
      <c r="AK218" s="315"/>
      <c r="AL218" s="315"/>
      <c r="AM218" s="175"/>
      <c r="AO218" s="1307"/>
      <c r="AP218" s="1307"/>
      <c r="AQ218" s="1307"/>
      <c r="AR218" s="1307"/>
      <c r="AS218" s="1307"/>
      <c r="AT218" s="1307"/>
      <c r="AU218" s="1307"/>
      <c r="AV218" s="1307"/>
      <c r="AW218" s="1307"/>
      <c r="AX218" s="1307"/>
      <c r="AY218" s="1307"/>
      <c r="AZ218" s="1307"/>
      <c r="BA218" s="1307"/>
      <c r="BB218" s="1307"/>
      <c r="BC218" s="1307"/>
    </row>
    <row r="219" spans="3:55" x14ac:dyDescent="0.3">
      <c r="C219" s="173"/>
      <c r="D219" s="525" t="s">
        <v>188</v>
      </c>
      <c r="E219" s="206"/>
      <c r="F219" s="206"/>
      <c r="G219" s="206"/>
      <c r="H219" s="206"/>
      <c r="I219" s="84"/>
      <c r="J219" s="315"/>
      <c r="K219" s="275"/>
      <c r="L219" s="275"/>
      <c r="M219" s="275"/>
      <c r="N219" s="275"/>
      <c r="O219" s="275"/>
      <c r="P219" s="275"/>
      <c r="Q219" s="275"/>
      <c r="R219" s="275"/>
      <c r="S219" s="275"/>
      <c r="T219" s="275"/>
      <c r="U219" s="275"/>
      <c r="V219" s="275"/>
      <c r="W219" s="315"/>
      <c r="X219" s="315"/>
      <c r="Y219" s="315"/>
      <c r="Z219" s="315"/>
      <c r="AA219" s="315"/>
      <c r="AB219" s="315"/>
      <c r="AC219" s="315"/>
      <c r="AD219" s="315"/>
      <c r="AE219" s="315"/>
      <c r="AF219" s="315"/>
      <c r="AG219" s="315"/>
      <c r="AH219" s="315"/>
      <c r="AI219" s="315"/>
      <c r="AJ219" s="315"/>
      <c r="AK219" s="315"/>
      <c r="AL219" s="315"/>
      <c r="AM219" s="175"/>
      <c r="AO219" s="1307"/>
      <c r="AP219" s="1307"/>
      <c r="AQ219" s="1307"/>
      <c r="AR219" s="1307"/>
      <c r="AS219" s="1307"/>
      <c r="AT219" s="1307"/>
      <c r="AU219" s="1307"/>
      <c r="AV219" s="1307"/>
      <c r="AW219" s="1307"/>
      <c r="AX219" s="1307"/>
      <c r="AY219" s="1307"/>
      <c r="AZ219" s="1307"/>
      <c r="BA219" s="1307"/>
      <c r="BB219" s="1307"/>
      <c r="BC219" s="1307"/>
    </row>
    <row r="220" spans="3:55" x14ac:dyDescent="0.3">
      <c r="C220" s="173"/>
      <c r="D220" s="265"/>
      <c r="E220" s="206" t="s">
        <v>189</v>
      </c>
      <c r="F220" s="206"/>
      <c r="G220" s="206"/>
      <c r="H220" s="206"/>
      <c r="I220" s="84"/>
      <c r="J220" s="315"/>
      <c r="K220" s="275"/>
      <c r="L220" s="275"/>
      <c r="M220" s="275"/>
      <c r="N220" s="275"/>
      <c r="O220" s="275"/>
      <c r="P220" s="275"/>
      <c r="Q220" s="275"/>
      <c r="R220" s="275"/>
      <c r="S220" s="275"/>
      <c r="T220" s="275"/>
      <c r="U220" s="275"/>
      <c r="V220" s="275"/>
      <c r="W220" s="1527">
        <f t="shared" ref="W220:AG220" ca="1" si="76">+W215</f>
        <v>21.439161922578428</v>
      </c>
      <c r="X220" s="1527">
        <f t="shared" ca="1" si="76"/>
        <v>19.542946556429804</v>
      </c>
      <c r="Y220" s="1527">
        <f t="shared" ca="1" si="76"/>
        <v>23.046559118554086</v>
      </c>
      <c r="Z220" s="1527">
        <f t="shared" ca="1" si="76"/>
        <v>21.337673923181448</v>
      </c>
      <c r="AA220" s="1527">
        <f t="shared" ca="1" si="76"/>
        <v>18.067918736172238</v>
      </c>
      <c r="AB220" s="1527">
        <f t="shared" ca="1" si="76"/>
        <v>21.574637108472039</v>
      </c>
      <c r="AC220" s="1527">
        <f t="shared" ca="1" si="76"/>
        <v>22.674230322382343</v>
      </c>
      <c r="AD220" s="1527">
        <f t="shared" ca="1" si="76"/>
        <v>24.552957928268068</v>
      </c>
      <c r="AE220" s="1527">
        <f t="shared" ca="1" si="76"/>
        <v>27.432032130370569</v>
      </c>
      <c r="AF220" s="1527">
        <f t="shared" ca="1" si="76"/>
        <v>31.517707778591841</v>
      </c>
      <c r="AG220" s="1527">
        <f t="shared" ca="1" si="76"/>
        <v>35.417354262903615</v>
      </c>
      <c r="AH220" s="1527">
        <f ca="1">+AH215</f>
        <v>44.356641632175617</v>
      </c>
      <c r="AI220" s="1527">
        <f ca="1">+AI215</f>
        <v>46.105371969254165</v>
      </c>
      <c r="AJ220" s="1527">
        <f ca="1">+AJ215</f>
        <v>48.124484895319547</v>
      </c>
      <c r="AK220" s="1527">
        <f ca="1">+AK215</f>
        <v>51.453016832785593</v>
      </c>
      <c r="AL220" s="1527">
        <f ca="1">+AL215</f>
        <v>55.707429166712622</v>
      </c>
      <c r="AM220" s="175"/>
      <c r="AO220" s="1307"/>
      <c r="AP220" s="1307"/>
      <c r="AQ220" s="1307"/>
      <c r="AR220" s="1307"/>
      <c r="AS220" s="1307"/>
      <c r="AT220" s="1307"/>
      <c r="AU220" s="1307"/>
      <c r="AV220" s="1307"/>
      <c r="AW220" s="1307"/>
      <c r="AX220" s="1307"/>
      <c r="AY220" s="1307"/>
      <c r="AZ220" s="1307"/>
      <c r="BA220" s="1307"/>
      <c r="BB220" s="1307"/>
      <c r="BC220" s="1307"/>
    </row>
    <row r="221" spans="3:55" x14ac:dyDescent="0.3">
      <c r="C221" s="173"/>
      <c r="D221" s="265"/>
      <c r="E221" s="206" t="s">
        <v>190</v>
      </c>
      <c r="F221" s="206"/>
      <c r="G221" s="206"/>
      <c r="H221" s="206"/>
      <c r="I221" s="84"/>
      <c r="J221" s="315"/>
      <c r="K221" s="275"/>
      <c r="L221" s="275"/>
      <c r="M221" s="275"/>
      <c r="N221" s="275"/>
      <c r="O221" s="275"/>
      <c r="P221" s="275"/>
      <c r="Q221" s="275"/>
      <c r="R221" s="275"/>
      <c r="S221" s="275"/>
      <c r="T221" s="275"/>
      <c r="U221" s="275"/>
      <c r="V221" s="275"/>
      <c r="W221" s="1527">
        <f t="shared" ref="W221:AG221" si="77">-W213</f>
        <v>7.7943500000000006</v>
      </c>
      <c r="X221" s="1527">
        <f t="shared" ca="1" si="77"/>
        <v>7.1133419038710795</v>
      </c>
      <c r="Y221" s="1527">
        <f t="shared" ca="1" si="77"/>
        <v>6.8022929420495881</v>
      </c>
      <c r="Z221" s="1527">
        <f t="shared" ca="1" si="77"/>
        <v>6.649081970621884</v>
      </c>
      <c r="AA221" s="1527">
        <f t="shared" ca="1" si="77"/>
        <v>6.8592150584396574</v>
      </c>
      <c r="AB221" s="1527">
        <f t="shared" ca="1" si="77"/>
        <v>7.3046937806493535</v>
      </c>
      <c r="AC221" s="1527">
        <f t="shared" ca="1" si="77"/>
        <v>8.0564996667040827</v>
      </c>
      <c r="AD221" s="1527">
        <f t="shared" ca="1" si="77"/>
        <v>9.2799722649916596</v>
      </c>
      <c r="AE221" s="1527">
        <f t="shared" ca="1" si="77"/>
        <v>10.586718137880542</v>
      </c>
      <c r="AF221" s="1527">
        <f t="shared" ca="1" si="77"/>
        <v>11.935404713662429</v>
      </c>
      <c r="AG221" s="1527">
        <f t="shared" ca="1" si="77"/>
        <v>13.386561517175803</v>
      </c>
      <c r="AH221" s="1527">
        <f ca="1">-AH213</f>
        <v>14.963880678056741</v>
      </c>
      <c r="AI221" s="1527">
        <f ca="1">-AI213</f>
        <v>18.618859785596641</v>
      </c>
      <c r="AJ221" s="1527">
        <f ca="1">-AJ213</f>
        <v>22.153367173328427</v>
      </c>
      <c r="AK221" s="1527">
        <f ca="1">-AK213</f>
        <v>24.049925766286293</v>
      </c>
      <c r="AL221" s="1527">
        <f ca="1">-AL213</f>
        <v>25.057297978175548</v>
      </c>
      <c r="AM221" s="175"/>
      <c r="AO221" s="1307"/>
      <c r="AP221" s="1307"/>
      <c r="AQ221" s="1307"/>
      <c r="AR221" s="1307"/>
      <c r="AS221" s="1307"/>
      <c r="AT221" s="1307"/>
      <c r="AU221" s="1307"/>
      <c r="AV221" s="1307"/>
      <c r="AW221" s="1307"/>
      <c r="AX221" s="1307"/>
      <c r="AY221" s="1307"/>
      <c r="AZ221" s="1307"/>
      <c r="BA221" s="1307"/>
      <c r="BB221" s="1307"/>
      <c r="BC221" s="1307"/>
    </row>
    <row r="222" spans="3:55" x14ac:dyDescent="0.3">
      <c r="C222" s="173"/>
      <c r="D222" s="265"/>
      <c r="E222" s="206" t="s">
        <v>191</v>
      </c>
      <c r="F222" s="206"/>
      <c r="G222" s="206"/>
      <c r="H222" s="206"/>
      <c r="I222" s="84"/>
      <c r="J222" s="315"/>
      <c r="K222" s="275"/>
      <c r="L222" s="275"/>
      <c r="M222" s="275"/>
      <c r="N222" s="275"/>
      <c r="O222" s="275"/>
      <c r="P222" s="275"/>
      <c r="Q222" s="275"/>
      <c r="R222" s="275"/>
      <c r="S222" s="275"/>
      <c r="T222" s="275"/>
      <c r="U222" s="275"/>
      <c r="V222" s="275"/>
      <c r="W222" s="1527">
        <f t="shared" ref="W222:AG222" si="78">-W212</f>
        <v>-0.29852499999999998</v>
      </c>
      <c r="X222" s="1527">
        <f t="shared" ca="1" si="78"/>
        <v>-0.53437999999999997</v>
      </c>
      <c r="Y222" s="1527">
        <f t="shared" ca="1" si="78"/>
        <v>-0.25541000000000003</v>
      </c>
      <c r="Z222" s="1527">
        <f t="shared" ca="1" si="78"/>
        <v>-0.61129500000000003</v>
      </c>
      <c r="AA222" s="1527">
        <f t="shared" ca="1" si="78"/>
        <v>-0.62057094601200691</v>
      </c>
      <c r="AB222" s="1527">
        <f t="shared" ca="1" si="78"/>
        <v>-0.64792877534348203</v>
      </c>
      <c r="AC222" s="1527">
        <f t="shared" ca="1" si="78"/>
        <v>-0.66698780498982435</v>
      </c>
      <c r="AD222" s="1527">
        <f t="shared" ca="1" si="78"/>
        <v>-0.68681491353091428</v>
      </c>
      <c r="AE222" s="1527">
        <f t="shared" ca="1" si="78"/>
        <v>-0.70744105454621009</v>
      </c>
      <c r="AF222" s="1527">
        <f t="shared" ca="1" si="78"/>
        <v>-0.72889842904442237</v>
      </c>
      <c r="AG222" s="1527">
        <f t="shared" ca="1" si="78"/>
        <v>-0.75122053573491243</v>
      </c>
      <c r="AH222" s="1527">
        <f ca="1">-AH212</f>
        <v>-0.77444222332502943</v>
      </c>
      <c r="AI222" s="1527">
        <f ca="1">-AI212</f>
        <v>-0.79859974492502817</v>
      </c>
      <c r="AJ222" s="1527">
        <f ca="1">-AJ212</f>
        <v>-0.82373081464550679</v>
      </c>
      <c r="AK222" s="1527">
        <f ca="1">-AK212</f>
        <v>-0.84987466647572074</v>
      </c>
      <c r="AL222" s="1527">
        <f ca="1">-AL212</f>
        <v>-0.87707211553469222</v>
      </c>
      <c r="AM222" s="175"/>
      <c r="AO222" s="1307"/>
      <c r="AP222" s="1307"/>
      <c r="AQ222" s="1307"/>
      <c r="AR222" s="1307"/>
      <c r="AS222" s="1307"/>
      <c r="AT222" s="1307"/>
      <c r="AU222" s="1307"/>
      <c r="AV222" s="1307"/>
      <c r="AW222" s="1307"/>
      <c r="AX222" s="1307"/>
      <c r="AY222" s="1307"/>
      <c r="AZ222" s="1307"/>
      <c r="BA222" s="1307"/>
      <c r="BB222" s="1307"/>
      <c r="BC222" s="1307"/>
    </row>
    <row r="223" spans="3:55" x14ac:dyDescent="0.3">
      <c r="C223" s="173"/>
      <c r="D223" s="265"/>
      <c r="E223" s="206" t="s">
        <v>192</v>
      </c>
      <c r="F223" s="206"/>
      <c r="G223" s="206"/>
      <c r="H223" s="206"/>
      <c r="I223" s="84"/>
      <c r="J223" s="315"/>
      <c r="K223" s="275"/>
      <c r="L223" s="275"/>
      <c r="M223" s="275"/>
      <c r="N223" s="275"/>
      <c r="O223" s="275"/>
      <c r="P223" s="275"/>
      <c r="Q223" s="275"/>
      <c r="R223" s="275"/>
      <c r="S223" s="275"/>
      <c r="T223" s="275"/>
      <c r="U223" s="275"/>
      <c r="V223" s="275"/>
      <c r="W223" s="1527">
        <f t="shared" ref="W223:AG223" si="79">+W221+W222</f>
        <v>7.4958250000000008</v>
      </c>
      <c r="X223" s="1527">
        <f t="shared" ca="1" si="79"/>
        <v>6.5789619038710798</v>
      </c>
      <c r="Y223" s="1527">
        <f t="shared" ca="1" si="79"/>
        <v>6.5468829420495878</v>
      </c>
      <c r="Z223" s="1527">
        <f t="shared" ca="1" si="79"/>
        <v>6.0377869706218839</v>
      </c>
      <c r="AA223" s="1527">
        <f t="shared" ca="1" si="79"/>
        <v>6.2386441124276502</v>
      </c>
      <c r="AB223" s="1527">
        <f t="shared" ca="1" si="79"/>
        <v>6.6567650053058713</v>
      </c>
      <c r="AC223" s="1527">
        <f t="shared" ca="1" si="79"/>
        <v>7.3895118617142579</v>
      </c>
      <c r="AD223" s="1527">
        <f t="shared" ca="1" si="79"/>
        <v>8.5931573514607447</v>
      </c>
      <c r="AE223" s="1527">
        <f t="shared" ca="1" si="79"/>
        <v>9.8792770833343315</v>
      </c>
      <c r="AF223" s="1527">
        <f t="shared" ca="1" si="79"/>
        <v>11.206506284618007</v>
      </c>
      <c r="AG223" s="1527">
        <f t="shared" ca="1" si="79"/>
        <v>12.635340981440891</v>
      </c>
      <c r="AH223" s="1527">
        <f ca="1">+AH221+AH222</f>
        <v>14.189438454731711</v>
      </c>
      <c r="AI223" s="1527">
        <f ca="1">+AI221+AI222</f>
        <v>17.820260040671613</v>
      </c>
      <c r="AJ223" s="1527">
        <f ca="1">+AJ221+AJ222</f>
        <v>21.329636358682919</v>
      </c>
      <c r="AK223" s="1527">
        <f ca="1">+AK221+AK222</f>
        <v>23.200051099810572</v>
      </c>
      <c r="AL223" s="1527">
        <f ca="1">+AL221+AL222</f>
        <v>24.180225862640857</v>
      </c>
      <c r="AM223" s="175"/>
      <c r="AO223" s="1307"/>
      <c r="AP223" s="1307"/>
      <c r="AQ223" s="1307"/>
      <c r="AR223" s="1307"/>
      <c r="AS223" s="1307"/>
      <c r="AT223" s="1307"/>
      <c r="AU223" s="1307"/>
      <c r="AV223" s="1307"/>
      <c r="AW223" s="1307"/>
      <c r="AX223" s="1307"/>
      <c r="AY223" s="1307"/>
      <c r="AZ223" s="1307"/>
      <c r="BA223" s="1307"/>
      <c r="BB223" s="1307"/>
      <c r="BC223" s="1307"/>
    </row>
    <row r="224" spans="3:55" x14ac:dyDescent="0.3">
      <c r="C224" s="173"/>
      <c r="D224" s="206"/>
      <c r="E224" s="206"/>
      <c r="F224" s="206"/>
      <c r="G224" s="206"/>
      <c r="H224" s="206"/>
      <c r="I224" s="84"/>
      <c r="J224" s="315"/>
      <c r="K224" s="275"/>
      <c r="L224" s="275"/>
      <c r="M224" s="275"/>
      <c r="N224" s="275"/>
      <c r="O224" s="275"/>
      <c r="P224" s="275"/>
      <c r="Q224" s="275"/>
      <c r="R224" s="275"/>
      <c r="S224" s="275"/>
      <c r="T224" s="275"/>
      <c r="U224" s="275"/>
      <c r="V224" s="275"/>
      <c r="W224" s="315"/>
      <c r="X224" s="315"/>
      <c r="Y224" s="315"/>
      <c r="Z224" s="315"/>
      <c r="AA224" s="315"/>
      <c r="AB224" s="315"/>
      <c r="AC224" s="315"/>
      <c r="AD224" s="315"/>
      <c r="AE224" s="315"/>
      <c r="AF224" s="315"/>
      <c r="AG224" s="315"/>
      <c r="AH224" s="315"/>
      <c r="AI224" s="315"/>
      <c r="AJ224" s="315"/>
      <c r="AK224" s="315"/>
      <c r="AL224" s="315"/>
      <c r="AM224" s="175"/>
      <c r="AO224" s="1307"/>
      <c r="AP224" s="1307"/>
      <c r="AQ224" s="1307"/>
      <c r="AR224" s="1307"/>
      <c r="AS224" s="1307"/>
      <c r="AT224" s="1307"/>
      <c r="AU224" s="1307"/>
      <c r="AV224" s="1307"/>
      <c r="AW224" s="1307"/>
      <c r="AX224" s="1307"/>
      <c r="AY224" s="1307"/>
      <c r="AZ224" s="1307"/>
      <c r="BA224" s="1307"/>
      <c r="BB224" s="1307"/>
      <c r="BC224" s="1307"/>
    </row>
    <row r="225" spans="3:55" x14ac:dyDescent="0.3">
      <c r="C225" s="173"/>
      <c r="D225" s="700"/>
      <c r="E225" s="702"/>
      <c r="F225" s="702"/>
      <c r="G225" s="702"/>
      <c r="H225" s="703" t="s">
        <v>608</v>
      </c>
      <c r="I225" s="704"/>
      <c r="J225" s="606"/>
      <c r="K225" s="317"/>
      <c r="L225" s="317"/>
      <c r="M225" s="317"/>
      <c r="N225" s="317"/>
      <c r="O225" s="317"/>
      <c r="P225" s="317"/>
      <c r="Q225" s="317"/>
      <c r="R225" s="317"/>
      <c r="S225" s="317"/>
      <c r="T225" s="317"/>
      <c r="U225" s="317"/>
      <c r="V225" s="317"/>
      <c r="W225" s="1593">
        <f t="shared" ref="W225:AG225" ca="1" si="80">+IF(ISERROR(SUM(W220:W222)/W223),0,SUM(W220:W222)/W223)</f>
        <v>3.860147071546951</v>
      </c>
      <c r="X225" s="1596">
        <f t="shared" ca="1" si="80"/>
        <v>3.9705213135419863</v>
      </c>
      <c r="Y225" s="1593">
        <f t="shared" ca="1" si="80"/>
        <v>4.5202338765719645</v>
      </c>
      <c r="Z225" s="1593">
        <f t="shared" ca="1" si="80"/>
        <v>4.5340223209272486</v>
      </c>
      <c r="AA225" s="1593">
        <f t="shared" ca="1" si="80"/>
        <v>3.8961290964137807</v>
      </c>
      <c r="AB225" s="1594">
        <f t="shared" ca="1" si="80"/>
        <v>4.2410092727136472</v>
      </c>
      <c r="AC225" s="1593">
        <f t="shared" ca="1" si="80"/>
        <v>4.0684341194253468</v>
      </c>
      <c r="AD225" s="1593">
        <f t="shared" ca="1" si="80"/>
        <v>3.857268513079692</v>
      </c>
      <c r="AE225" s="1593">
        <f t="shared" ca="1" si="80"/>
        <v>3.7767246428027152</v>
      </c>
      <c r="AF225" s="1593">
        <f t="shared" ca="1" si="80"/>
        <v>3.812447249670746</v>
      </c>
      <c r="AG225" s="1593">
        <f t="shared" ca="1" si="80"/>
        <v>3.8030390564786121</v>
      </c>
      <c r="AH225" s="1593">
        <f ca="1">+IF(ISERROR(SUM(AH220:AH222)/AH223),0,SUM(AH220:AH222)/AH223)</f>
        <v>4.1260322086519308</v>
      </c>
      <c r="AI225" s="1593">
        <f ca="1">+IF(ISERROR(SUM(AI220:AI222)/AI223),0,SUM(AI220:AI222)/AI223)</f>
        <v>3.587244622919461</v>
      </c>
      <c r="AJ225" s="1593">
        <f ca="1">+IF(ISERROR(SUM(AJ220:AJ222)/AJ223),0,SUM(AJ220:AJ222)/AJ223)</f>
        <v>3.2562262237409838</v>
      </c>
      <c r="AK225" s="1593">
        <f ca="1">+IF(ISERROR(SUM(AK220:AK222)/AK223),0,SUM(AK220:AK222)/AK223)</f>
        <v>3.217797564816816</v>
      </c>
      <c r="AL225" s="1593">
        <f ca="1">+IF(ISERROR(SUM(AL220:AL222)/AL223),0,SUM(AL220:AL222)/AL223)</f>
        <v>3.3038423827455725</v>
      </c>
      <c r="AM225" s="701"/>
      <c r="AO225" s="1307"/>
      <c r="AP225" s="1307"/>
      <c r="AQ225" s="1307"/>
      <c r="AR225" s="1307"/>
      <c r="AS225" s="1307"/>
      <c r="AT225" s="1307"/>
      <c r="AU225" s="1307"/>
      <c r="AV225" s="1307"/>
      <c r="AW225" s="1307"/>
      <c r="AX225" s="1307"/>
      <c r="AY225" s="1307"/>
      <c r="AZ225" s="1307"/>
      <c r="BA225" s="1307"/>
      <c r="BB225" s="1307"/>
      <c r="BC225" s="1307"/>
    </row>
    <row r="226" spans="3:55" x14ac:dyDescent="0.3">
      <c r="C226" s="173"/>
      <c r="D226" s="206"/>
      <c r="E226" s="206"/>
      <c r="F226" s="206"/>
      <c r="G226" s="206"/>
      <c r="H226" s="705"/>
      <c r="I226" s="84"/>
      <c r="J226" s="315"/>
      <c r="K226" s="275"/>
      <c r="L226" s="275"/>
      <c r="M226" s="275"/>
      <c r="N226" s="275"/>
      <c r="O226" s="275"/>
      <c r="P226" s="275"/>
      <c r="Q226" s="275"/>
      <c r="R226" s="275"/>
      <c r="S226" s="275"/>
      <c r="T226" s="275"/>
      <c r="U226" s="275"/>
      <c r="V226" s="275"/>
      <c r="W226" s="1962">
        <f ca="1">IF(W225&gt;=1.5,0,1)</f>
        <v>0</v>
      </c>
      <c r="X226" s="1962">
        <f ca="1">IF(X225&gt;=1.5,0,1)</f>
        <v>0</v>
      </c>
      <c r="Y226" s="1962">
        <f t="shared" ref="Y226:AL226" ca="1" si="81">IF(Y225&gt;=1.5,0,1)</f>
        <v>0</v>
      </c>
      <c r="Z226" s="1962">
        <f ca="1">IF(Z225&gt;=1.5,0,1)</f>
        <v>0</v>
      </c>
      <c r="AA226" s="1962">
        <f t="shared" ca="1" si="81"/>
        <v>0</v>
      </c>
      <c r="AB226" s="1962">
        <f t="shared" ca="1" si="81"/>
        <v>0</v>
      </c>
      <c r="AC226" s="1962">
        <f t="shared" ca="1" si="81"/>
        <v>0</v>
      </c>
      <c r="AD226" s="1962">
        <f t="shared" ca="1" si="81"/>
        <v>0</v>
      </c>
      <c r="AE226" s="1962">
        <f t="shared" ca="1" si="81"/>
        <v>0</v>
      </c>
      <c r="AF226" s="1962">
        <f t="shared" ca="1" si="81"/>
        <v>0</v>
      </c>
      <c r="AG226" s="1962">
        <f t="shared" ca="1" si="81"/>
        <v>0</v>
      </c>
      <c r="AH226" s="1962">
        <f t="shared" ca="1" si="81"/>
        <v>0</v>
      </c>
      <c r="AI226" s="1962">
        <f t="shared" ca="1" si="81"/>
        <v>0</v>
      </c>
      <c r="AJ226" s="1962">
        <f t="shared" ca="1" si="81"/>
        <v>0</v>
      </c>
      <c r="AK226" s="1962">
        <f t="shared" ca="1" si="81"/>
        <v>0</v>
      </c>
      <c r="AL226" s="1962">
        <f t="shared" ca="1" si="81"/>
        <v>0</v>
      </c>
      <c r="AM226" s="175"/>
      <c r="AO226" s="1307"/>
      <c r="AP226" s="1307"/>
      <c r="AQ226" s="1307"/>
      <c r="AR226" s="1307"/>
      <c r="AS226" s="1307"/>
      <c r="AT226" s="1307"/>
      <c r="AU226" s="1307"/>
      <c r="AV226" s="1307"/>
      <c r="AW226" s="1307"/>
      <c r="AX226" s="1307"/>
      <c r="AY226" s="1307"/>
      <c r="AZ226" s="1307"/>
      <c r="BA226" s="1307"/>
      <c r="BB226" s="1307"/>
      <c r="BC226" s="1307"/>
    </row>
    <row r="227" spans="3:55" x14ac:dyDescent="0.3">
      <c r="C227" s="173"/>
      <c r="D227" s="666" t="s">
        <v>603</v>
      </c>
      <c r="E227" s="72"/>
      <c r="F227" s="72"/>
      <c r="G227" s="72"/>
      <c r="H227" s="706"/>
      <c r="I227" s="84"/>
      <c r="J227" s="462"/>
      <c r="K227" s="275"/>
      <c r="L227" s="275"/>
      <c r="M227" s="275"/>
      <c r="N227" s="275"/>
      <c r="O227" s="275"/>
      <c r="P227" s="275"/>
      <c r="Q227" s="275"/>
      <c r="R227" s="275"/>
      <c r="S227" s="275"/>
      <c r="T227" s="275"/>
      <c r="U227" s="275"/>
      <c r="V227" s="275"/>
      <c r="W227" s="462"/>
      <c r="X227" s="462"/>
      <c r="Y227" s="462"/>
      <c r="Z227" s="462"/>
      <c r="AA227" s="462"/>
      <c r="AB227" s="462"/>
      <c r="AC227" s="462"/>
      <c r="AD227" s="462"/>
      <c r="AE227" s="462"/>
      <c r="AF227" s="462"/>
      <c r="AG227" s="462"/>
      <c r="AH227" s="462"/>
      <c r="AI227" s="462"/>
      <c r="AJ227" s="462"/>
      <c r="AK227" s="462"/>
      <c r="AL227" s="462"/>
      <c r="AM227" s="175"/>
      <c r="AO227" s="1307"/>
      <c r="AP227" s="1307"/>
      <c r="AQ227" s="1307"/>
      <c r="AR227" s="1307"/>
      <c r="AS227" s="1307"/>
      <c r="AT227" s="1307"/>
      <c r="AU227" s="1307"/>
      <c r="AV227" s="1307"/>
      <c r="AW227" s="1307"/>
      <c r="AX227" s="1307"/>
      <c r="AY227" s="1307"/>
      <c r="AZ227" s="1307"/>
      <c r="BA227" s="1307"/>
      <c r="BB227" s="1307"/>
      <c r="BC227" s="1307"/>
    </row>
    <row r="228" spans="3:55" x14ac:dyDescent="0.3">
      <c r="C228" s="173"/>
      <c r="D228" s="72"/>
      <c r="E228" s="72"/>
      <c r="F228" s="72"/>
      <c r="G228" s="72"/>
      <c r="H228" s="706"/>
      <c r="I228" s="84"/>
      <c r="J228" s="462"/>
      <c r="K228" s="275"/>
      <c r="L228" s="275"/>
      <c r="M228" s="275"/>
      <c r="N228" s="275"/>
      <c r="O228" s="275"/>
      <c r="P228" s="275"/>
      <c r="Q228" s="275"/>
      <c r="R228" s="275"/>
      <c r="S228" s="275"/>
      <c r="T228" s="275"/>
      <c r="U228" s="275"/>
      <c r="V228" s="275"/>
      <c r="W228" s="462"/>
      <c r="X228" s="462"/>
      <c r="Y228" s="462"/>
      <c r="Z228" s="462"/>
      <c r="AA228" s="462"/>
      <c r="AB228" s="462"/>
      <c r="AC228" s="462"/>
      <c r="AD228" s="462"/>
      <c r="AE228" s="462"/>
      <c r="AF228" s="462"/>
      <c r="AG228" s="462"/>
      <c r="AH228" s="462"/>
      <c r="AI228" s="462"/>
      <c r="AJ228" s="462"/>
      <c r="AK228" s="462"/>
      <c r="AL228" s="462"/>
      <c r="AM228" s="175"/>
      <c r="AO228" s="1307"/>
      <c r="AP228" s="1307"/>
      <c r="AQ228" s="1307"/>
      <c r="AR228" s="1307"/>
      <c r="AS228" s="1307"/>
      <c r="AT228" s="1307"/>
      <c r="AU228" s="1307"/>
      <c r="AV228" s="1307"/>
      <c r="AW228" s="1307"/>
      <c r="AX228" s="1307"/>
      <c r="AY228" s="1307"/>
      <c r="AZ228" s="1307"/>
      <c r="BA228" s="1307"/>
      <c r="BB228" s="1307"/>
      <c r="BC228" s="1307"/>
    </row>
    <row r="229" spans="3:55" x14ac:dyDescent="0.3">
      <c r="C229" s="188"/>
      <c r="D229" s="105" t="s">
        <v>610</v>
      </c>
      <c r="E229" s="72"/>
      <c r="F229" s="72"/>
      <c r="G229" s="72"/>
      <c r="H229" s="705"/>
      <c r="I229" s="84"/>
      <c r="J229" s="315"/>
      <c r="K229" s="275"/>
      <c r="L229" s="275"/>
      <c r="M229" s="275"/>
      <c r="N229" s="275"/>
      <c r="O229" s="275"/>
      <c r="P229" s="275"/>
      <c r="Q229" s="275"/>
      <c r="R229" s="275"/>
      <c r="S229" s="275"/>
      <c r="T229" s="275"/>
      <c r="U229" s="275"/>
      <c r="V229" s="275"/>
      <c r="W229" s="462"/>
      <c r="X229" s="462"/>
      <c r="Y229" s="462"/>
      <c r="Z229" s="462"/>
      <c r="AA229" s="462"/>
      <c r="AB229" s="462"/>
      <c r="AC229" s="462"/>
      <c r="AD229" s="462"/>
      <c r="AE229" s="462"/>
      <c r="AF229" s="462"/>
      <c r="AG229" s="462"/>
      <c r="AH229" s="462"/>
      <c r="AI229" s="462"/>
      <c r="AJ229" s="462"/>
      <c r="AK229" s="462"/>
      <c r="AL229" s="462"/>
      <c r="AM229" s="175"/>
      <c r="AO229" s="1307"/>
      <c r="AP229" s="1307"/>
      <c r="AQ229" s="1307"/>
      <c r="AR229" s="1307"/>
      <c r="AS229" s="1307"/>
      <c r="AT229" s="1307"/>
      <c r="AU229" s="1307"/>
      <c r="AV229" s="1307"/>
      <c r="AW229" s="1307"/>
      <c r="AX229" s="1307"/>
      <c r="AY229" s="1307"/>
      <c r="AZ229" s="1307"/>
      <c r="BA229" s="1307"/>
      <c r="BB229" s="1307"/>
      <c r="BC229" s="1307"/>
    </row>
    <row r="230" spans="3:55" x14ac:dyDescent="0.3">
      <c r="C230" s="173"/>
      <c r="E230" s="72" t="s">
        <v>197</v>
      </c>
      <c r="F230" s="72"/>
      <c r="G230" s="72"/>
      <c r="H230" s="705"/>
      <c r="I230" s="84"/>
      <c r="J230" s="315"/>
      <c r="K230" s="275"/>
      <c r="L230" s="275"/>
      <c r="M230" s="275"/>
      <c r="N230" s="275"/>
      <c r="O230" s="275"/>
      <c r="P230" s="275"/>
      <c r="Q230" s="275"/>
      <c r="R230" s="275"/>
      <c r="S230" s="275"/>
      <c r="T230" s="275"/>
      <c r="U230" s="275"/>
      <c r="V230" s="275"/>
      <c r="W230" s="297">
        <f t="shared" ref="W230:AG230" si="82">+W192</f>
        <v>113</v>
      </c>
      <c r="X230" s="297">
        <f t="shared" ca="1" si="82"/>
        <v>114.23683807742157</v>
      </c>
      <c r="Y230" s="297">
        <f t="shared" ca="1" si="82"/>
        <v>121.84637684099177</v>
      </c>
      <c r="Z230" s="297">
        <f t="shared" ca="1" si="82"/>
        <v>128.85963941243767</v>
      </c>
      <c r="AA230" s="297">
        <f t="shared" ca="1" si="82"/>
        <v>132.97466447925623</v>
      </c>
      <c r="AB230" s="297">
        <f t="shared" ca="1" si="82"/>
        <v>141.62576937302134</v>
      </c>
      <c r="AC230" s="297">
        <f t="shared" ca="1" si="82"/>
        <v>156.48182241264533</v>
      </c>
      <c r="AD230" s="297">
        <f t="shared" ca="1" si="82"/>
        <v>180.76395309026299</v>
      </c>
      <c r="AE230" s="297">
        <f t="shared" ca="1" si="82"/>
        <v>206.70400021199492</v>
      </c>
      <c r="AF230" s="297">
        <f t="shared" ca="1" si="82"/>
        <v>233.47500811704435</v>
      </c>
      <c r="AG230" s="297">
        <f t="shared" ca="1" si="82"/>
        <v>262.28725081521679</v>
      </c>
      <c r="AH230" s="297">
        <f ca="1">+AH192</f>
        <v>293.61424165784507</v>
      </c>
      <c r="AI230" s="297">
        <f ca="1">+AI192</f>
        <v>366.48558992094047</v>
      </c>
      <c r="AJ230" s="297">
        <f ca="1">+AJ192</f>
        <v>436.93830596219925</v>
      </c>
      <c r="AK230" s="297">
        <f ca="1">+AK192</f>
        <v>474.62247760993051</v>
      </c>
      <c r="AL230" s="297">
        <f ca="1">+AL192</f>
        <v>494.51296752776898</v>
      </c>
      <c r="AM230" s="175"/>
      <c r="AO230" s="1307"/>
      <c r="AP230" s="1307"/>
      <c r="AQ230" s="1307"/>
      <c r="AR230" s="1307"/>
      <c r="AS230" s="1307"/>
      <c r="AT230" s="1307"/>
      <c r="AU230" s="1307"/>
      <c r="AV230" s="1307"/>
      <c r="AW230" s="1307"/>
      <c r="AX230" s="1307"/>
      <c r="AY230" s="1307"/>
      <c r="AZ230" s="1307"/>
      <c r="BA230" s="1307"/>
      <c r="BB230" s="1307"/>
      <c r="BC230" s="1307"/>
    </row>
    <row r="231" spans="3:55" x14ac:dyDescent="0.3">
      <c r="C231" s="173"/>
      <c r="E231" s="72" t="s">
        <v>198</v>
      </c>
      <c r="F231" s="72"/>
      <c r="G231" s="72"/>
      <c r="H231" s="705"/>
      <c r="I231" s="84"/>
      <c r="J231" s="315"/>
      <c r="K231" s="275"/>
      <c r="L231" s="275"/>
      <c r="M231" s="275"/>
      <c r="N231" s="275"/>
      <c r="O231" s="275"/>
      <c r="P231" s="275"/>
      <c r="Q231" s="275"/>
      <c r="R231" s="275"/>
      <c r="S231" s="275"/>
      <c r="T231" s="275"/>
      <c r="U231" s="275"/>
      <c r="V231" s="275"/>
      <c r="W231" s="297">
        <f t="shared" ref="W231:AG231" si="83">-W187</f>
        <v>-4.5</v>
      </c>
      <c r="X231" s="297">
        <f t="shared" ca="1" si="83"/>
        <v>-5</v>
      </c>
      <c r="Y231" s="297">
        <f t="shared" ca="1" si="83"/>
        <v>-5</v>
      </c>
      <c r="Z231" s="297">
        <f t="shared" ca="1" si="83"/>
        <v>-5</v>
      </c>
      <c r="AA231" s="297">
        <f t="shared" ca="1" si="83"/>
        <v>-5</v>
      </c>
      <c r="AB231" s="297">
        <f t="shared" ca="1" si="83"/>
        <v>-5</v>
      </c>
      <c r="AC231" s="297">
        <f t="shared" ca="1" si="83"/>
        <v>-5</v>
      </c>
      <c r="AD231" s="297">
        <f t="shared" ca="1" si="83"/>
        <v>-5</v>
      </c>
      <c r="AE231" s="297">
        <f t="shared" ca="1" si="83"/>
        <v>-5</v>
      </c>
      <c r="AF231" s="297">
        <f t="shared" ca="1" si="83"/>
        <v>-5</v>
      </c>
      <c r="AG231" s="297">
        <f t="shared" ca="1" si="83"/>
        <v>-5</v>
      </c>
      <c r="AH231" s="297">
        <f ca="1">-AH187</f>
        <v>-5</v>
      </c>
      <c r="AI231" s="297">
        <f ca="1">-AI187</f>
        <v>-5</v>
      </c>
      <c r="AJ231" s="297">
        <f ca="1">-AJ187</f>
        <v>-5</v>
      </c>
      <c r="AK231" s="297">
        <f ca="1">-AK187</f>
        <v>-5</v>
      </c>
      <c r="AL231" s="297">
        <f ca="1">-AL187</f>
        <v>-5</v>
      </c>
      <c r="AM231" s="175"/>
      <c r="AO231" s="1307"/>
      <c r="AP231" s="1307"/>
      <c r="AQ231" s="1307"/>
      <c r="AR231" s="1307"/>
      <c r="AS231" s="1307"/>
      <c r="AT231" s="1307"/>
      <c r="AU231" s="1307"/>
      <c r="AV231" s="1307"/>
      <c r="AW231" s="1307"/>
      <c r="AX231" s="1307"/>
      <c r="AY231" s="1307"/>
      <c r="AZ231" s="1307"/>
      <c r="BA231" s="1307"/>
      <c r="BB231" s="1307"/>
      <c r="BC231" s="1307"/>
    </row>
    <row r="232" spans="3:55" x14ac:dyDescent="0.3">
      <c r="C232" s="173"/>
      <c r="E232" s="72" t="s">
        <v>199</v>
      </c>
      <c r="F232" s="72"/>
      <c r="G232" s="72"/>
      <c r="H232" s="705"/>
      <c r="I232" s="84"/>
      <c r="J232" s="315"/>
      <c r="K232" s="275"/>
      <c r="L232" s="275"/>
      <c r="M232" s="275"/>
      <c r="N232" s="275"/>
      <c r="O232" s="275"/>
      <c r="P232" s="275"/>
      <c r="Q232" s="275"/>
      <c r="R232" s="275"/>
      <c r="S232" s="275"/>
      <c r="T232" s="275"/>
      <c r="U232" s="275"/>
      <c r="V232" s="275"/>
      <c r="W232" s="297">
        <f>+SUM('Rev&amp;RAV_FO'!W45,'Rev&amp;RAV_FO'!W62)*'Rev&amp;RAV_FO'!W85</f>
        <v>337.74373622084175</v>
      </c>
      <c r="X232" s="297">
        <f>+SUM('Rev&amp;RAV_FO'!X45,'Rev&amp;RAV_FO'!X62)*'Rev&amp;RAV_FO'!X85</f>
        <v>351.34849314212056</v>
      </c>
      <c r="Y232" s="297">
        <f>+SUM('Rev&amp;RAV_FO'!Y45,'Rev&amp;RAV_FO'!Y62)*'Rev&amp;RAV_FO'!Y85</f>
        <v>365.22714926204168</v>
      </c>
      <c r="Z232" s="297">
        <f>+SUM('Rev&amp;RAV_FO'!Z45,'Rev&amp;RAV_FO'!Z62)*'Rev&amp;RAV_FO'!Z85</f>
        <v>379.88483996937504</v>
      </c>
      <c r="AA232" s="297">
        <f>+SUM('Rev&amp;RAV_FO'!AA45,'Rev&amp;RAV_FO'!AA62)*'Rev&amp;RAV_FO'!AA85</f>
        <v>387.74755989474113</v>
      </c>
      <c r="AB232" s="297">
        <f>+SUM('Rev&amp;RAV_FO'!AB45,'Rev&amp;RAV_FO'!AB62)*'Rev&amp;RAV_FO'!AB85</f>
        <v>415.26036140379318</v>
      </c>
      <c r="AC232" s="297">
        <f>+SUM('Rev&amp;RAV_FO'!AC45,'Rev&amp;RAV_FO'!AC62)*'Rev&amp;RAV_FO'!AC85</f>
        <v>444.1773256969289</v>
      </c>
      <c r="AD232" s="297">
        <f>+SUM('Rev&amp;RAV_FO'!AD45,'Rev&amp;RAV_FO'!AD62)*'Rev&amp;RAV_FO'!AD85</f>
        <v>478.57792032508843</v>
      </c>
      <c r="AE232" s="297">
        <f>+SUM('Rev&amp;RAV_FO'!AE45,'Rev&amp;RAV_FO'!AE62)*'Rev&amp;RAV_FO'!AE85</f>
        <v>513.90566954112364</v>
      </c>
      <c r="AF232" s="297">
        <f>+SUM('Rev&amp;RAV_FO'!AF45,'Rev&amp;RAV_FO'!AF62)*'Rev&amp;RAV_FO'!AF85</f>
        <v>551.11907509101627</v>
      </c>
      <c r="AG232" s="297">
        <f>+SUM('Rev&amp;RAV_FO'!AG45,'Rev&amp;RAV_FO'!AG62)*'Rev&amp;RAV_FO'!AG85</f>
        <v>591.09332849654356</v>
      </c>
      <c r="AH232" s="297">
        <f>+SUM('Rev&amp;RAV_FO'!AH45,'Rev&amp;RAV_FO'!AH62)*'Rev&amp;RAV_FO'!AH85</f>
        <v>653.18745085576245</v>
      </c>
      <c r="AI232" s="297">
        <f>+SUM('Rev&amp;RAV_FO'!AI45,'Rev&amp;RAV_FO'!AI62)*'Rev&amp;RAV_FO'!AI85</f>
        <v>735.30784254483751</v>
      </c>
      <c r="AJ232" s="297">
        <f>+SUM('Rev&amp;RAV_FO'!AJ45,'Rev&amp;RAV_FO'!AJ62)*'Rev&amp;RAV_FO'!AJ85</f>
        <v>799.92407979719485</v>
      </c>
      <c r="AK232" s="297">
        <f>+SUM('Rev&amp;RAV_FO'!AK45,'Rev&amp;RAV_FO'!AK62)*'Rev&amp;RAV_FO'!AK85</f>
        <v>840.16646734776566</v>
      </c>
      <c r="AL232" s="297">
        <f>+SUM('Rev&amp;RAV_FO'!AL45,'Rev&amp;RAV_FO'!AL62)*'Rev&amp;RAV_FO'!AL85</f>
        <v>880.49476014563743</v>
      </c>
      <c r="AM232" s="175"/>
      <c r="AO232" s="1307"/>
      <c r="AP232" s="1307"/>
      <c r="AQ232" s="1307"/>
      <c r="AR232" s="1307"/>
      <c r="AS232" s="1307"/>
      <c r="AT232" s="1307"/>
      <c r="AU232" s="1307"/>
      <c r="AV232" s="1307"/>
      <c r="AW232" s="1307"/>
      <c r="AX232" s="1307"/>
      <c r="AY232" s="1307"/>
      <c r="AZ232" s="1307"/>
      <c r="BA232" s="1307"/>
      <c r="BB232" s="1307"/>
      <c r="BC232" s="1307"/>
    </row>
    <row r="233" spans="3:55" x14ac:dyDescent="0.3">
      <c r="C233" s="173"/>
      <c r="D233" s="72"/>
      <c r="E233" s="72"/>
      <c r="F233" s="72"/>
      <c r="G233" s="72"/>
      <c r="H233" s="705"/>
      <c r="I233" s="84"/>
      <c r="J233" s="315"/>
      <c r="K233" s="275"/>
      <c r="L233" s="275"/>
      <c r="M233" s="275"/>
      <c r="N233" s="275"/>
      <c r="O233" s="275"/>
      <c r="P233" s="275"/>
      <c r="Q233" s="275"/>
      <c r="R233" s="275"/>
      <c r="S233" s="275"/>
      <c r="T233" s="275"/>
      <c r="U233" s="275"/>
      <c r="V233" s="275"/>
      <c r="W233" s="462"/>
      <c r="X233" s="462"/>
      <c r="Y233" s="462"/>
      <c r="Z233" s="462"/>
      <c r="AA233" s="462"/>
      <c r="AB233" s="462"/>
      <c r="AC233" s="462"/>
      <c r="AD233" s="462"/>
      <c r="AE233" s="462"/>
      <c r="AF233" s="462"/>
      <c r="AG233" s="462"/>
      <c r="AH233" s="462"/>
      <c r="AI233" s="462"/>
      <c r="AJ233" s="462"/>
      <c r="AK233" s="462"/>
      <c r="AL233" s="462"/>
      <c r="AM233" s="175"/>
      <c r="AO233" s="1307"/>
      <c r="AP233" s="1307"/>
      <c r="AQ233" s="1307"/>
      <c r="AR233" s="1307"/>
      <c r="AS233" s="1307"/>
      <c r="AT233" s="1307"/>
      <c r="AU233" s="1307"/>
      <c r="AV233" s="1307"/>
      <c r="AW233" s="1307"/>
      <c r="AX233" s="1307"/>
      <c r="AY233" s="1307"/>
      <c r="AZ233" s="1307"/>
      <c r="BA233" s="1307"/>
      <c r="BB233" s="1307"/>
      <c r="BC233" s="1307"/>
    </row>
    <row r="234" spans="3:55" x14ac:dyDescent="0.3">
      <c r="C234" s="173"/>
      <c r="D234" s="707"/>
      <c r="E234" s="708"/>
      <c r="F234" s="708"/>
      <c r="G234" s="708"/>
      <c r="H234" s="703" t="s">
        <v>607</v>
      </c>
      <c r="I234" s="704"/>
      <c r="J234" s="606"/>
      <c r="K234" s="317"/>
      <c r="L234" s="317"/>
      <c r="M234" s="317"/>
      <c r="N234" s="317"/>
      <c r="O234" s="317"/>
      <c r="P234" s="317"/>
      <c r="Q234" s="317"/>
      <c r="R234" s="317"/>
      <c r="S234" s="317"/>
      <c r="T234" s="317"/>
      <c r="U234" s="317"/>
      <c r="V234" s="317"/>
      <c r="W234" s="1148">
        <f t="shared" ref="W234:AG234" si="84">SUM(W230:W231)/W232</f>
        <v>0.32124948108306206</v>
      </c>
      <c r="X234" s="1261">
        <f t="shared" ca="1" si="84"/>
        <v>0.31090737603714508</v>
      </c>
      <c r="Y234" s="1148">
        <f t="shared" ca="1" si="84"/>
        <v>0.31992796011218022</v>
      </c>
      <c r="Z234" s="1148">
        <f t="shared" ca="1" si="84"/>
        <v>0.32604522839717109</v>
      </c>
      <c r="AA234" s="1148">
        <f t="shared" ca="1" si="84"/>
        <v>0.33004634384803488</v>
      </c>
      <c r="AB234" s="1262">
        <f t="shared" ca="1" si="84"/>
        <v>0.32901230666745102</v>
      </c>
      <c r="AC234" s="1148">
        <f t="shared" ca="1" si="84"/>
        <v>0.3410390707696872</v>
      </c>
      <c r="AD234" s="1148">
        <f t="shared" ca="1" si="84"/>
        <v>0.36726297981083217</v>
      </c>
      <c r="AE234" s="1148">
        <f t="shared" ca="1" si="84"/>
        <v>0.39249226495613554</v>
      </c>
      <c r="AF234" s="1148">
        <f t="shared" ca="1" si="84"/>
        <v>0.41456559651707237</v>
      </c>
      <c r="AG234" s="1148">
        <f t="shared" ca="1" si="84"/>
        <v>0.43527348121088005</v>
      </c>
      <c r="AH234" s="1148">
        <f ca="1">SUM(AH230:AH231)/AH232</f>
        <v>0.44185515395270075</v>
      </c>
      <c r="AI234" s="1148">
        <f ca="1">SUM(AI230:AI231)/AI232</f>
        <v>0.4916112259456798</v>
      </c>
      <c r="AJ234" s="1148">
        <f ca="1">SUM(AJ230:AJ231)/AJ232</f>
        <v>0.53997412613420614</v>
      </c>
      <c r="AK234" s="1148">
        <f ca="1">SUM(AK230:AK231)/AK232</f>
        <v>0.55896360526317246</v>
      </c>
      <c r="AL234" s="1148">
        <f ca="1">SUM(AL230:AL231)/AL232</f>
        <v>0.55595216426591965</v>
      </c>
      <c r="AM234" s="175"/>
      <c r="AO234" s="1307"/>
      <c r="AP234" s="1307"/>
      <c r="AQ234" s="1307"/>
      <c r="AR234" s="1307"/>
      <c r="AS234" s="1307"/>
      <c r="AT234" s="1307"/>
      <c r="AU234" s="1307"/>
      <c r="AV234" s="1307"/>
      <c r="AW234" s="1307"/>
      <c r="AX234" s="1307"/>
      <c r="AY234" s="1307"/>
      <c r="AZ234" s="1307"/>
      <c r="BA234" s="1307"/>
      <c r="BB234" s="1307"/>
      <c r="BC234" s="1307"/>
    </row>
    <row r="235" spans="3:55" x14ac:dyDescent="0.3">
      <c r="C235" s="173"/>
      <c r="D235" s="72"/>
      <c r="E235" s="72"/>
      <c r="F235" s="72"/>
      <c r="G235" s="72"/>
      <c r="H235" s="705"/>
      <c r="I235" s="84"/>
      <c r="J235" s="315"/>
      <c r="K235" s="315"/>
      <c r="L235" s="315"/>
      <c r="M235" s="315"/>
      <c r="N235" s="315"/>
      <c r="O235" s="315"/>
      <c r="P235" s="315"/>
      <c r="Q235" s="315"/>
      <c r="R235" s="315"/>
      <c r="S235" s="315"/>
      <c r="T235" s="315"/>
      <c r="U235" s="315"/>
      <c r="V235" s="315"/>
      <c r="W235" s="1962">
        <f>IF(W234&lt;=0.7,0,1)</f>
        <v>0</v>
      </c>
      <c r="X235" s="1962">
        <f t="shared" ref="X235:AL235" ca="1" si="85">IF(X234&lt;=0.7,0,1)</f>
        <v>0</v>
      </c>
      <c r="Y235" s="1962">
        <f t="shared" ca="1" si="85"/>
        <v>0</v>
      </c>
      <c r="Z235" s="1962">
        <f t="shared" ca="1" si="85"/>
        <v>0</v>
      </c>
      <c r="AA235" s="1962">
        <f t="shared" ca="1" si="85"/>
        <v>0</v>
      </c>
      <c r="AB235" s="1962">
        <f t="shared" ca="1" si="85"/>
        <v>0</v>
      </c>
      <c r="AC235" s="1962">
        <f t="shared" ca="1" si="85"/>
        <v>0</v>
      </c>
      <c r="AD235" s="1962">
        <f t="shared" ca="1" si="85"/>
        <v>0</v>
      </c>
      <c r="AE235" s="1962">
        <f t="shared" ca="1" si="85"/>
        <v>0</v>
      </c>
      <c r="AF235" s="1962">
        <f t="shared" ca="1" si="85"/>
        <v>0</v>
      </c>
      <c r="AG235" s="1962">
        <f t="shared" ca="1" si="85"/>
        <v>0</v>
      </c>
      <c r="AH235" s="1962">
        <f t="shared" ca="1" si="85"/>
        <v>0</v>
      </c>
      <c r="AI235" s="1962">
        <f t="shared" ca="1" si="85"/>
        <v>0</v>
      </c>
      <c r="AJ235" s="1962">
        <f t="shared" ca="1" si="85"/>
        <v>0</v>
      </c>
      <c r="AK235" s="1962">
        <f t="shared" ca="1" si="85"/>
        <v>0</v>
      </c>
      <c r="AL235" s="1962">
        <f t="shared" ca="1" si="85"/>
        <v>0</v>
      </c>
      <c r="AM235" s="175"/>
      <c r="AO235" s="1307"/>
      <c r="AP235" s="1307"/>
      <c r="AQ235" s="1307"/>
      <c r="AR235" s="1307"/>
      <c r="AS235" s="1307"/>
      <c r="AT235" s="1307"/>
      <c r="AU235" s="1307"/>
      <c r="AV235" s="1307"/>
      <c r="AW235" s="1307"/>
      <c r="AX235" s="1307"/>
      <c r="AY235" s="1307"/>
      <c r="AZ235" s="1307"/>
      <c r="BA235" s="1307"/>
      <c r="BB235" s="1307"/>
      <c r="BC235" s="1307"/>
    </row>
    <row r="236" spans="3:55" x14ac:dyDescent="0.3">
      <c r="C236" s="173"/>
      <c r="D236" s="105" t="s">
        <v>609</v>
      </c>
      <c r="E236" s="72"/>
      <c r="F236" s="72"/>
      <c r="G236" s="72"/>
      <c r="H236" s="705"/>
      <c r="I236" s="84"/>
      <c r="J236" s="315"/>
      <c r="K236" s="275"/>
      <c r="L236" s="275"/>
      <c r="M236" s="275"/>
      <c r="N236" s="275"/>
      <c r="O236" s="275"/>
      <c r="P236" s="275"/>
      <c r="Q236" s="275"/>
      <c r="R236" s="275"/>
      <c r="S236" s="275"/>
      <c r="T236" s="275"/>
      <c r="U236" s="275"/>
      <c r="V236" s="275"/>
      <c r="W236" s="462"/>
      <c r="X236" s="462"/>
      <c r="Y236" s="462"/>
      <c r="Z236" s="462"/>
      <c r="AA236" s="462"/>
      <c r="AB236" s="462"/>
      <c r="AC236" s="462"/>
      <c r="AD236" s="462"/>
      <c r="AE236" s="462"/>
      <c r="AF236" s="462"/>
      <c r="AG236" s="462"/>
      <c r="AH236" s="462"/>
      <c r="AI236" s="462"/>
      <c r="AJ236" s="462"/>
      <c r="AK236" s="462"/>
      <c r="AL236" s="462"/>
      <c r="AM236" s="175"/>
      <c r="AO236" s="1307"/>
      <c r="AP236" s="1307"/>
      <c r="AQ236" s="1307"/>
      <c r="AR236" s="1307"/>
      <c r="AS236" s="1307"/>
      <c r="AT236" s="1307"/>
      <c r="AU236" s="1307"/>
      <c r="AV236" s="1307"/>
      <c r="AW236" s="1307"/>
      <c r="AX236" s="1307"/>
      <c r="AY236" s="1307"/>
      <c r="AZ236" s="1307"/>
      <c r="BA236" s="1307"/>
      <c r="BB236" s="1307"/>
      <c r="BC236" s="1307"/>
    </row>
    <row r="237" spans="3:55" x14ac:dyDescent="0.3">
      <c r="C237" s="173"/>
      <c r="E237" s="72" t="s">
        <v>193</v>
      </c>
      <c r="F237" s="72"/>
      <c r="G237" s="72"/>
      <c r="H237" s="705"/>
      <c r="I237" s="84"/>
      <c r="J237" s="315"/>
      <c r="K237" s="275"/>
      <c r="L237" s="275"/>
      <c r="M237" s="275"/>
      <c r="N237" s="275"/>
      <c r="O237" s="275"/>
      <c r="P237" s="275"/>
      <c r="Q237" s="275"/>
      <c r="R237" s="275"/>
      <c r="S237" s="275"/>
      <c r="T237" s="275"/>
      <c r="U237" s="275"/>
      <c r="V237" s="275"/>
      <c r="W237" s="297">
        <f t="shared" ref="W237:AG237" ca="1" si="86">+W215</f>
        <v>21.439161922578428</v>
      </c>
      <c r="X237" s="297">
        <f t="shared" ca="1" si="86"/>
        <v>19.542946556429804</v>
      </c>
      <c r="Y237" s="297">
        <f t="shared" ca="1" si="86"/>
        <v>23.046559118554086</v>
      </c>
      <c r="Z237" s="297">
        <f t="shared" ca="1" si="86"/>
        <v>21.337673923181448</v>
      </c>
      <c r="AA237" s="297">
        <f t="shared" ca="1" si="86"/>
        <v>18.067918736172238</v>
      </c>
      <c r="AB237" s="297">
        <f t="shared" ca="1" si="86"/>
        <v>21.574637108472039</v>
      </c>
      <c r="AC237" s="297">
        <f t="shared" ca="1" si="86"/>
        <v>22.674230322382343</v>
      </c>
      <c r="AD237" s="297">
        <f t="shared" ca="1" si="86"/>
        <v>24.552957928268068</v>
      </c>
      <c r="AE237" s="297">
        <f t="shared" ca="1" si="86"/>
        <v>27.432032130370569</v>
      </c>
      <c r="AF237" s="297">
        <f t="shared" ca="1" si="86"/>
        <v>31.517707778591841</v>
      </c>
      <c r="AG237" s="297">
        <f t="shared" ca="1" si="86"/>
        <v>35.417354262903615</v>
      </c>
      <c r="AH237" s="297">
        <f ca="1">+AH215</f>
        <v>44.356641632175617</v>
      </c>
      <c r="AI237" s="297">
        <f ca="1">+AI215</f>
        <v>46.105371969254165</v>
      </c>
      <c r="AJ237" s="297">
        <f ca="1">+AJ215</f>
        <v>48.124484895319547</v>
      </c>
      <c r="AK237" s="297">
        <f ca="1">+AK215</f>
        <v>51.453016832785593</v>
      </c>
      <c r="AL237" s="297">
        <f ca="1">+AL215</f>
        <v>55.707429166712622</v>
      </c>
      <c r="AM237" s="175"/>
      <c r="AO237" s="1307"/>
      <c r="AP237" s="1307"/>
      <c r="AQ237" s="1307"/>
      <c r="AR237" s="1307"/>
      <c r="AS237" s="1307"/>
      <c r="AT237" s="1307"/>
      <c r="AU237" s="1307"/>
      <c r="AV237" s="1307"/>
      <c r="AW237" s="1307"/>
      <c r="AX237" s="1307"/>
      <c r="AY237" s="1307"/>
      <c r="AZ237" s="1307"/>
      <c r="BA237" s="1307"/>
      <c r="BB237" s="1307"/>
      <c r="BC237" s="1307"/>
    </row>
    <row r="238" spans="3:55" x14ac:dyDescent="0.3">
      <c r="C238" s="173"/>
      <c r="E238" s="102" t="s">
        <v>194</v>
      </c>
      <c r="F238" s="102"/>
      <c r="G238" s="102"/>
      <c r="H238" s="705"/>
      <c r="I238" s="84"/>
      <c r="J238" s="315"/>
      <c r="K238" s="275"/>
      <c r="L238" s="275"/>
      <c r="M238" s="275"/>
      <c r="N238" s="275"/>
      <c r="O238" s="275"/>
      <c r="P238" s="275"/>
      <c r="Q238" s="275"/>
      <c r="R238" s="275"/>
      <c r="S238" s="275"/>
      <c r="T238" s="275"/>
      <c r="U238" s="275"/>
      <c r="V238" s="275"/>
      <c r="W238" s="297">
        <f t="shared" ref="W238:AG238" si="87">+W192</f>
        <v>113</v>
      </c>
      <c r="X238" s="297">
        <f t="shared" ca="1" si="87"/>
        <v>114.23683807742157</v>
      </c>
      <c r="Y238" s="297">
        <f t="shared" ca="1" si="87"/>
        <v>121.84637684099177</v>
      </c>
      <c r="Z238" s="297">
        <f t="shared" ca="1" si="87"/>
        <v>128.85963941243767</v>
      </c>
      <c r="AA238" s="297">
        <f t="shared" ca="1" si="87"/>
        <v>132.97466447925623</v>
      </c>
      <c r="AB238" s="297">
        <f t="shared" ca="1" si="87"/>
        <v>141.62576937302134</v>
      </c>
      <c r="AC238" s="297">
        <f t="shared" ca="1" si="87"/>
        <v>156.48182241264533</v>
      </c>
      <c r="AD238" s="297">
        <f t="shared" ca="1" si="87"/>
        <v>180.76395309026299</v>
      </c>
      <c r="AE238" s="297">
        <f t="shared" ca="1" si="87"/>
        <v>206.70400021199492</v>
      </c>
      <c r="AF238" s="297">
        <f t="shared" ca="1" si="87"/>
        <v>233.47500811704435</v>
      </c>
      <c r="AG238" s="297">
        <f t="shared" ca="1" si="87"/>
        <v>262.28725081521679</v>
      </c>
      <c r="AH238" s="297">
        <f ca="1">+AH192</f>
        <v>293.61424165784507</v>
      </c>
      <c r="AI238" s="297">
        <f ca="1">+AI192</f>
        <v>366.48558992094047</v>
      </c>
      <c r="AJ238" s="297">
        <f ca="1">+AJ192</f>
        <v>436.93830596219925</v>
      </c>
      <c r="AK238" s="297">
        <f ca="1">+AK192</f>
        <v>474.62247760993051</v>
      </c>
      <c r="AL238" s="297">
        <f ca="1">+AL192</f>
        <v>494.51296752776898</v>
      </c>
      <c r="AM238" s="175"/>
      <c r="AO238" s="1307"/>
      <c r="AP238" s="1307"/>
      <c r="AQ238" s="1307"/>
      <c r="AR238" s="1307"/>
      <c r="AS238" s="1307"/>
      <c r="AT238" s="1307"/>
      <c r="AU238" s="1307"/>
      <c r="AV238" s="1307"/>
      <c r="AW238" s="1307"/>
      <c r="AX238" s="1307"/>
      <c r="AY238" s="1307"/>
      <c r="AZ238" s="1307"/>
      <c r="BA238" s="1307"/>
      <c r="BB238" s="1307"/>
      <c r="BC238" s="1307"/>
    </row>
    <row r="239" spans="3:55" x14ac:dyDescent="0.3">
      <c r="C239" s="173"/>
      <c r="E239" s="102" t="s">
        <v>195</v>
      </c>
      <c r="F239" s="102"/>
      <c r="G239" s="102"/>
      <c r="H239" s="705"/>
      <c r="I239" s="84"/>
      <c r="J239" s="315"/>
      <c r="K239" s="275"/>
      <c r="L239" s="275"/>
      <c r="M239" s="275"/>
      <c r="N239" s="275"/>
      <c r="O239" s="275"/>
      <c r="P239" s="275"/>
      <c r="Q239" s="275"/>
      <c r="R239" s="275"/>
      <c r="S239" s="275"/>
      <c r="T239" s="275"/>
      <c r="U239" s="275"/>
      <c r="V239" s="275"/>
      <c r="W239" s="1604"/>
      <c r="X239" s="1263"/>
      <c r="Y239" s="1264"/>
      <c r="Z239" s="1264"/>
      <c r="AA239" s="1264"/>
      <c r="AB239" s="1265"/>
      <c r="AC239" s="1264"/>
      <c r="AD239" s="1264"/>
      <c r="AE239" s="1264"/>
      <c r="AF239" s="1264"/>
      <c r="AG239" s="1265"/>
      <c r="AH239" s="1264"/>
      <c r="AI239" s="1264"/>
      <c r="AJ239" s="1264"/>
      <c r="AK239" s="1264"/>
      <c r="AL239" s="1265"/>
      <c r="AM239" s="175"/>
      <c r="AO239" s="1307"/>
      <c r="AP239" s="1307"/>
      <c r="AQ239" s="1307"/>
      <c r="AR239" s="1307"/>
      <c r="AS239" s="1307"/>
      <c r="AT239" s="1307"/>
      <c r="AU239" s="1307"/>
      <c r="AV239" s="1307"/>
      <c r="AW239" s="1307"/>
      <c r="AX239" s="1307"/>
      <c r="AY239" s="1307"/>
      <c r="AZ239" s="1307"/>
      <c r="BA239" s="1307"/>
      <c r="BB239" s="1307"/>
      <c r="BC239" s="1307"/>
    </row>
    <row r="240" spans="3:55" x14ac:dyDescent="0.3">
      <c r="C240" s="173"/>
      <c r="E240" s="72" t="s">
        <v>196</v>
      </c>
      <c r="F240" s="72"/>
      <c r="G240" s="72"/>
      <c r="H240" s="705"/>
      <c r="I240" s="84"/>
      <c r="J240" s="315"/>
      <c r="K240" s="275"/>
      <c r="L240" s="275"/>
      <c r="M240" s="275"/>
      <c r="N240" s="275"/>
      <c r="O240" s="275"/>
      <c r="P240" s="275"/>
      <c r="Q240" s="275"/>
      <c r="R240" s="275"/>
      <c r="S240" s="275"/>
      <c r="T240" s="275"/>
      <c r="U240" s="275"/>
      <c r="V240" s="275"/>
      <c r="W240" s="297">
        <f t="shared" ref="W240:AG240" si="88">-W187</f>
        <v>-4.5</v>
      </c>
      <c r="X240" s="297">
        <f t="shared" ca="1" si="88"/>
        <v>-5</v>
      </c>
      <c r="Y240" s="297">
        <f t="shared" ca="1" si="88"/>
        <v>-5</v>
      </c>
      <c r="Z240" s="297">
        <f t="shared" ca="1" si="88"/>
        <v>-5</v>
      </c>
      <c r="AA240" s="297">
        <f t="shared" ca="1" si="88"/>
        <v>-5</v>
      </c>
      <c r="AB240" s="297">
        <f t="shared" ca="1" si="88"/>
        <v>-5</v>
      </c>
      <c r="AC240" s="297">
        <f t="shared" ca="1" si="88"/>
        <v>-5</v>
      </c>
      <c r="AD240" s="297">
        <f t="shared" ca="1" si="88"/>
        <v>-5</v>
      </c>
      <c r="AE240" s="297">
        <f t="shared" ca="1" si="88"/>
        <v>-5</v>
      </c>
      <c r="AF240" s="297">
        <f t="shared" ca="1" si="88"/>
        <v>-5</v>
      </c>
      <c r="AG240" s="297">
        <f t="shared" ca="1" si="88"/>
        <v>-5</v>
      </c>
      <c r="AH240" s="297">
        <f ca="1">-AH187</f>
        <v>-5</v>
      </c>
      <c r="AI240" s="297">
        <f ca="1">-AI187</f>
        <v>-5</v>
      </c>
      <c r="AJ240" s="297">
        <f ca="1">-AJ187</f>
        <v>-5</v>
      </c>
      <c r="AK240" s="297">
        <f ca="1">-AK187</f>
        <v>-5</v>
      </c>
      <c r="AL240" s="297">
        <f ca="1">-AL187</f>
        <v>-5</v>
      </c>
      <c r="AM240" s="175"/>
      <c r="AO240" s="1307"/>
      <c r="AP240" s="1307"/>
      <c r="AQ240" s="1307"/>
      <c r="AR240" s="1307"/>
      <c r="AS240" s="1307"/>
      <c r="AT240" s="1307"/>
      <c r="AU240" s="1307"/>
      <c r="AV240" s="1307"/>
      <c r="AW240" s="1307"/>
      <c r="AX240" s="1307"/>
      <c r="AY240" s="1307"/>
      <c r="AZ240" s="1307"/>
      <c r="BA240" s="1307"/>
      <c r="BB240" s="1307"/>
      <c r="BC240" s="1307"/>
    </row>
    <row r="241" spans="3:55" x14ac:dyDescent="0.3">
      <c r="C241" s="173"/>
      <c r="D241" s="72"/>
      <c r="E241" s="72"/>
      <c r="F241" s="72"/>
      <c r="G241" s="72"/>
      <c r="H241" s="705"/>
      <c r="I241" s="84"/>
      <c r="J241" s="315"/>
      <c r="K241" s="275"/>
      <c r="L241" s="275"/>
      <c r="M241" s="275"/>
      <c r="N241" s="275"/>
      <c r="O241" s="275"/>
      <c r="P241" s="275"/>
      <c r="Q241" s="275"/>
      <c r="R241" s="275"/>
      <c r="S241" s="275"/>
      <c r="T241" s="275"/>
      <c r="U241" s="275"/>
      <c r="V241" s="275"/>
      <c r="W241" s="462"/>
      <c r="X241" s="462"/>
      <c r="Y241" s="462"/>
      <c r="Z241" s="462"/>
      <c r="AA241" s="462"/>
      <c r="AB241" s="462"/>
      <c r="AC241" s="462"/>
      <c r="AD241" s="462"/>
      <c r="AE241" s="462"/>
      <c r="AF241" s="462"/>
      <c r="AG241" s="462"/>
      <c r="AH241" s="462"/>
      <c r="AI241" s="462"/>
      <c r="AJ241" s="462"/>
      <c r="AK241" s="462"/>
      <c r="AL241" s="462"/>
      <c r="AM241" s="175"/>
      <c r="AO241" s="1307"/>
      <c r="AP241" s="1307"/>
      <c r="AQ241" s="1307"/>
      <c r="AR241" s="1307"/>
      <c r="AS241" s="1307"/>
      <c r="AT241" s="1307"/>
      <c r="AU241" s="1307"/>
      <c r="AV241" s="1307"/>
      <c r="AW241" s="1307"/>
      <c r="AX241" s="1307"/>
      <c r="AY241" s="1307"/>
      <c r="AZ241" s="1307"/>
      <c r="BA241" s="1307"/>
      <c r="BB241" s="1307"/>
      <c r="BC241" s="1307"/>
    </row>
    <row r="242" spans="3:55" x14ac:dyDescent="0.3">
      <c r="C242" s="173"/>
      <c r="D242" s="707"/>
      <c r="E242" s="708"/>
      <c r="F242" s="708"/>
      <c r="G242" s="708"/>
      <c r="H242" s="703" t="s">
        <v>605</v>
      </c>
      <c r="I242" s="704"/>
      <c r="J242" s="606"/>
      <c r="K242" s="317"/>
      <c r="L242" s="317"/>
      <c r="M242" s="317"/>
      <c r="N242" s="317"/>
      <c r="O242" s="317"/>
      <c r="P242" s="317"/>
      <c r="Q242" s="317"/>
      <c r="R242" s="317"/>
      <c r="S242" s="317"/>
      <c r="T242" s="317"/>
      <c r="U242" s="317"/>
      <c r="V242" s="317"/>
      <c r="W242" s="1148">
        <f t="shared" ref="W242:AG242" ca="1" si="89">+IF(ISERROR(W237/SUM(W238:W240)),0,W237/SUM(W238:W240))</f>
        <v>0.19759596242007768</v>
      </c>
      <c r="X242" s="1261">
        <f t="shared" ca="1" si="89"/>
        <v>0.17890435955843714</v>
      </c>
      <c r="Y242" s="1148">
        <f t="shared" ca="1" si="89"/>
        <v>0.19723811505012748</v>
      </c>
      <c r="Z242" s="1148">
        <f t="shared" ca="1" si="89"/>
        <v>0.17227301826811853</v>
      </c>
      <c r="AA242" s="1148">
        <f t="shared" ca="1" si="89"/>
        <v>0.14118356011865862</v>
      </c>
      <c r="AB242" s="1262">
        <f t="shared" ca="1" si="89"/>
        <v>0.1579104528192487</v>
      </c>
      <c r="AC242" s="1148">
        <f t="shared" ca="1" si="89"/>
        <v>0.14968284617421895</v>
      </c>
      <c r="AD242" s="1148">
        <f t="shared" ca="1" si="89"/>
        <v>0.13969279534614801</v>
      </c>
      <c r="AE242" s="1148">
        <f t="shared" ca="1" si="89"/>
        <v>0.13600142833825288</v>
      </c>
      <c r="AF242" s="1148">
        <f t="shared" ca="1" si="89"/>
        <v>0.13794816351399708</v>
      </c>
      <c r="AG242" s="1148">
        <f t="shared" ca="1" si="89"/>
        <v>0.13765685688149504</v>
      </c>
      <c r="AH242" s="1148">
        <f ca="1">+IF(ISERROR(AH237/SUM(AH238:AH240)),0,AH237/SUM(AH238:AH240))</f>
        <v>0.15368833283272568</v>
      </c>
      <c r="AI242" s="1148">
        <f ca="1">+IF(ISERROR(AI237/SUM(AI238:AI240)),0,AI237/SUM(AI238:AI240))</f>
        <v>0.12754414907476047</v>
      </c>
      <c r="AJ242" s="1148">
        <f ca="1">+IF(ISERROR(AJ237/SUM(AJ238:AJ240)),0,AJ237/SUM(AJ238:AJ240))</f>
        <v>0.11141518182351515</v>
      </c>
      <c r="AK242" s="1148">
        <f ca="1">+IF(ISERROR(AK237/SUM(AK238:AK240)),0,AK237/SUM(AK238:AK240))</f>
        <v>0.10956250879354754</v>
      </c>
      <c r="AL242" s="1148">
        <f ca="1">+IF(ISERROR(AL237/SUM(AL238:AL240)),0,AL237/SUM(AL238:AL240))</f>
        <v>0.11380174349222416</v>
      </c>
      <c r="AM242" s="701"/>
      <c r="AO242" s="1307"/>
      <c r="AP242" s="1307"/>
      <c r="AQ242" s="1307"/>
      <c r="AR242" s="1307"/>
      <c r="AS242" s="1307"/>
      <c r="AT242" s="1307"/>
      <c r="AU242" s="1307"/>
      <c r="AV242" s="1307"/>
      <c r="AW242" s="1307"/>
      <c r="AX242" s="1307"/>
      <c r="AY242" s="1307"/>
      <c r="AZ242" s="1307"/>
      <c r="BA242" s="1307"/>
      <c r="BB242" s="1307"/>
      <c r="BC242" s="1307"/>
    </row>
    <row r="243" spans="3:55" x14ac:dyDescent="0.3">
      <c r="C243" s="173"/>
      <c r="W243" s="1962">
        <f ca="1">IF(W242&gt;=0.1,0,1)</f>
        <v>0</v>
      </c>
      <c r="X243" s="1962">
        <f t="shared" ref="X243:AL243" ca="1" si="90">IF(X242&gt;=0.1,0,1)</f>
        <v>0</v>
      </c>
      <c r="Y243" s="1962">
        <f t="shared" ca="1" si="90"/>
        <v>0</v>
      </c>
      <c r="Z243" s="1962">
        <f t="shared" ca="1" si="90"/>
        <v>0</v>
      </c>
      <c r="AA243" s="1962">
        <f t="shared" ca="1" si="90"/>
        <v>0</v>
      </c>
      <c r="AB243" s="1962">
        <f t="shared" ca="1" si="90"/>
        <v>0</v>
      </c>
      <c r="AC243" s="1962">
        <f t="shared" ca="1" si="90"/>
        <v>0</v>
      </c>
      <c r="AD243" s="1962">
        <f t="shared" ca="1" si="90"/>
        <v>0</v>
      </c>
      <c r="AE243" s="1962">
        <f t="shared" ca="1" si="90"/>
        <v>0</v>
      </c>
      <c r="AF243" s="1962">
        <f t="shared" ca="1" si="90"/>
        <v>0</v>
      </c>
      <c r="AG243" s="1962">
        <f t="shared" ca="1" si="90"/>
        <v>0</v>
      </c>
      <c r="AH243" s="1962">
        <f t="shared" ca="1" si="90"/>
        <v>0</v>
      </c>
      <c r="AI243" s="1962">
        <f t="shared" ca="1" si="90"/>
        <v>0</v>
      </c>
      <c r="AJ243" s="1962">
        <f t="shared" ca="1" si="90"/>
        <v>0</v>
      </c>
      <c r="AK243" s="1962">
        <f t="shared" ca="1" si="90"/>
        <v>0</v>
      </c>
      <c r="AL243" s="1962">
        <f t="shared" ca="1" si="90"/>
        <v>0</v>
      </c>
      <c r="AM243" s="175"/>
      <c r="AO243" s="1307"/>
      <c r="AP243" s="1307"/>
      <c r="AQ243" s="1307"/>
      <c r="AR243" s="1307"/>
      <c r="AS243" s="1307"/>
      <c r="AT243" s="1307"/>
      <c r="AU243" s="1307"/>
      <c r="AV243" s="1307"/>
      <c r="AW243" s="1307"/>
      <c r="AX243" s="1307"/>
      <c r="AY243" s="1307"/>
      <c r="AZ243" s="1307"/>
      <c r="BA243" s="1307"/>
      <c r="BB243" s="1307"/>
      <c r="BC243" s="1307"/>
    </row>
    <row r="244" spans="3:55" x14ac:dyDescent="0.3">
      <c r="C244" s="173"/>
      <c r="D244" s="105" t="s">
        <v>200</v>
      </c>
      <c r="E244" s="72"/>
      <c r="F244" s="72"/>
      <c r="G244" s="72"/>
      <c r="H244" s="705"/>
      <c r="I244" s="84"/>
      <c r="J244" s="315"/>
      <c r="K244" s="275"/>
      <c r="L244" s="275"/>
      <c r="M244" s="275"/>
      <c r="N244" s="275"/>
      <c r="O244" s="275"/>
      <c r="P244" s="275"/>
      <c r="Q244" s="275"/>
      <c r="R244" s="275"/>
      <c r="S244" s="275"/>
      <c r="T244" s="275"/>
      <c r="U244" s="275"/>
      <c r="V244" s="275"/>
      <c r="W244" s="462"/>
      <c r="X244" s="462"/>
      <c r="Y244" s="462"/>
      <c r="Z244" s="462"/>
      <c r="AA244" s="462"/>
      <c r="AB244" s="462"/>
      <c r="AC244" s="462"/>
      <c r="AD244" s="462"/>
      <c r="AE244" s="462"/>
      <c r="AF244" s="462"/>
      <c r="AG244" s="462"/>
      <c r="AH244" s="462"/>
      <c r="AI244" s="462"/>
      <c r="AJ244" s="462"/>
      <c r="AK244" s="462"/>
      <c r="AL244" s="462"/>
      <c r="AM244" s="175"/>
      <c r="AO244" s="1307"/>
      <c r="AP244" s="1307"/>
      <c r="AQ244" s="1307"/>
      <c r="AR244" s="1307"/>
      <c r="AS244" s="1307"/>
      <c r="AT244" s="1307"/>
      <c r="AU244" s="1307"/>
      <c r="AV244" s="1307"/>
      <c r="AW244" s="1307"/>
      <c r="AX244" s="1307"/>
      <c r="AY244" s="1307"/>
      <c r="AZ244" s="1307"/>
      <c r="BA244" s="1307"/>
      <c r="BB244" s="1307"/>
      <c r="BC244" s="1307"/>
    </row>
    <row r="245" spans="3:55" x14ac:dyDescent="0.3">
      <c r="C245" s="173"/>
      <c r="E245" s="72" t="s">
        <v>189</v>
      </c>
      <c r="F245" s="72"/>
      <c r="G245" s="72"/>
      <c r="H245" s="705"/>
      <c r="I245" s="84"/>
      <c r="J245" s="315"/>
      <c r="K245" s="275"/>
      <c r="L245" s="275"/>
      <c r="M245" s="275"/>
      <c r="N245" s="275"/>
      <c r="O245" s="275"/>
      <c r="P245" s="275"/>
      <c r="Q245" s="275"/>
      <c r="R245" s="275"/>
      <c r="S245" s="275"/>
      <c r="T245" s="275"/>
      <c r="U245" s="275"/>
      <c r="V245" s="275"/>
      <c r="W245" s="297">
        <f t="shared" ref="W245:AG245" ca="1" si="91">+W215</f>
        <v>21.439161922578428</v>
      </c>
      <c r="X245" s="297">
        <f t="shared" ca="1" si="91"/>
        <v>19.542946556429804</v>
      </c>
      <c r="Y245" s="297">
        <f t="shared" ca="1" si="91"/>
        <v>23.046559118554086</v>
      </c>
      <c r="Z245" s="297">
        <f t="shared" ca="1" si="91"/>
        <v>21.337673923181448</v>
      </c>
      <c r="AA245" s="297">
        <f t="shared" ca="1" si="91"/>
        <v>18.067918736172238</v>
      </c>
      <c r="AB245" s="297">
        <f t="shared" ca="1" si="91"/>
        <v>21.574637108472039</v>
      </c>
      <c r="AC245" s="297">
        <f t="shared" ca="1" si="91"/>
        <v>22.674230322382343</v>
      </c>
      <c r="AD245" s="297">
        <f t="shared" ca="1" si="91"/>
        <v>24.552957928268068</v>
      </c>
      <c r="AE245" s="297">
        <f t="shared" ca="1" si="91"/>
        <v>27.432032130370569</v>
      </c>
      <c r="AF245" s="297">
        <f t="shared" ca="1" si="91"/>
        <v>31.517707778591841</v>
      </c>
      <c r="AG245" s="297">
        <f t="shared" ca="1" si="91"/>
        <v>35.417354262903615</v>
      </c>
      <c r="AH245" s="297">
        <f ca="1">+AH215</f>
        <v>44.356641632175617</v>
      </c>
      <c r="AI245" s="297">
        <f ca="1">+AI215</f>
        <v>46.105371969254165</v>
      </c>
      <c r="AJ245" s="297">
        <f ca="1">+AJ215</f>
        <v>48.124484895319547</v>
      </c>
      <c r="AK245" s="297">
        <f ca="1">+AK215</f>
        <v>51.453016832785593</v>
      </c>
      <c r="AL245" s="297">
        <f ca="1">+AL215</f>
        <v>55.707429166712622</v>
      </c>
      <c r="AM245" s="175"/>
      <c r="AO245" s="1307"/>
      <c r="AP245" s="1307"/>
      <c r="AQ245" s="1307"/>
      <c r="AR245" s="1307"/>
      <c r="AS245" s="1307"/>
      <c r="AT245" s="1307"/>
      <c r="AU245" s="1307"/>
      <c r="AV245" s="1307"/>
      <c r="AW245" s="1307"/>
      <c r="AX245" s="1307"/>
      <c r="AY245" s="1307"/>
      <c r="AZ245" s="1307"/>
      <c r="BA245" s="1307"/>
      <c r="BB245" s="1307"/>
      <c r="BC245" s="1307"/>
    </row>
    <row r="246" spans="3:55" x14ac:dyDescent="0.3">
      <c r="C246" s="173"/>
      <c r="E246" s="72" t="s">
        <v>201</v>
      </c>
      <c r="F246" s="72"/>
      <c r="G246" s="72"/>
      <c r="H246" s="705"/>
      <c r="I246" s="84"/>
      <c r="J246" s="315"/>
      <c r="K246" s="275"/>
      <c r="L246" s="275"/>
      <c r="M246" s="275"/>
      <c r="N246" s="275"/>
      <c r="O246" s="275"/>
      <c r="P246" s="275"/>
      <c r="Q246" s="275"/>
      <c r="R246" s="275"/>
      <c r="S246" s="275"/>
      <c r="T246" s="275"/>
      <c r="U246" s="275"/>
      <c r="V246" s="275"/>
      <c r="W246" s="297">
        <f t="shared" ref="W246:AG246" ca="1" si="92">-W109</f>
        <v>0</v>
      </c>
      <c r="X246" s="297">
        <f t="shared" ca="1" si="92"/>
        <v>0</v>
      </c>
      <c r="Y246" s="297">
        <f t="shared" ca="1" si="92"/>
        <v>0</v>
      </c>
      <c r="Z246" s="297">
        <f t="shared" ca="1" si="92"/>
        <v>0</v>
      </c>
      <c r="AA246" s="297">
        <f t="shared" ca="1" si="92"/>
        <v>0</v>
      </c>
      <c r="AB246" s="297">
        <f t="shared" ca="1" si="92"/>
        <v>0</v>
      </c>
      <c r="AC246" s="297">
        <f t="shared" ca="1" si="92"/>
        <v>0</v>
      </c>
      <c r="AD246" s="297">
        <f t="shared" ca="1" si="92"/>
        <v>0</v>
      </c>
      <c r="AE246" s="297">
        <f t="shared" ca="1" si="92"/>
        <v>0</v>
      </c>
      <c r="AF246" s="297">
        <f t="shared" ca="1" si="92"/>
        <v>0</v>
      </c>
      <c r="AG246" s="297">
        <f t="shared" ca="1" si="92"/>
        <v>0</v>
      </c>
      <c r="AH246" s="297">
        <f ca="1">-AH109</f>
        <v>0</v>
      </c>
      <c r="AI246" s="297">
        <f ca="1">-AI109</f>
        <v>0</v>
      </c>
      <c r="AJ246" s="297">
        <f ca="1">-AJ109</f>
        <v>0</v>
      </c>
      <c r="AK246" s="297">
        <f ca="1">-AK109</f>
        <v>0</v>
      </c>
      <c r="AL246" s="297">
        <f ca="1">-AL109</f>
        <v>0</v>
      </c>
      <c r="AM246" s="175"/>
      <c r="AO246" s="1307"/>
      <c r="AP246" s="1307"/>
      <c r="AQ246" s="1307"/>
      <c r="AR246" s="1307"/>
      <c r="AS246" s="1307"/>
      <c r="AT246" s="1307"/>
      <c r="AU246" s="1307"/>
      <c r="AV246" s="1307"/>
      <c r="AW246" s="1307"/>
      <c r="AX246" s="1307"/>
      <c r="AY246" s="1307"/>
      <c r="AZ246" s="1307"/>
      <c r="BA246" s="1307"/>
      <c r="BB246" s="1307"/>
      <c r="BC246" s="1307"/>
    </row>
    <row r="247" spans="3:55" x14ac:dyDescent="0.3">
      <c r="C247" s="173"/>
      <c r="E247" s="72" t="s">
        <v>202</v>
      </c>
      <c r="F247" s="72"/>
      <c r="G247" s="72"/>
      <c r="H247" s="705"/>
      <c r="I247" s="84"/>
      <c r="J247" s="315"/>
      <c r="K247" s="275"/>
      <c r="L247" s="275"/>
      <c r="M247" s="275"/>
      <c r="N247" s="275"/>
      <c r="O247" s="275"/>
      <c r="P247" s="275"/>
      <c r="Q247" s="275"/>
      <c r="R247" s="275"/>
      <c r="S247" s="275"/>
      <c r="T247" s="275"/>
      <c r="U247" s="275"/>
      <c r="V247" s="275"/>
      <c r="W247" s="297">
        <f t="shared" ref="W247:AG247" ca="1" si="93">-W136</f>
        <v>22.468</v>
      </c>
      <c r="X247" s="297">
        <f t="shared" ca="1" si="93"/>
        <v>27.670485320000001</v>
      </c>
      <c r="Y247" s="297">
        <f t="shared" ca="1" si="93"/>
        <v>30.262156480000002</v>
      </c>
      <c r="Z247" s="297">
        <f t="shared" ca="1" si="93"/>
        <v>26.43917849</v>
      </c>
      <c r="AA247" s="297">
        <f t="shared" ca="1" si="93"/>
        <v>27.726476394778697</v>
      </c>
      <c r="AB247" s="297">
        <f t="shared" ca="1" si="93"/>
        <v>37.5</v>
      </c>
      <c r="AC247" s="297">
        <f t="shared" ca="1" si="93"/>
        <v>47.368361</v>
      </c>
      <c r="AD247" s="297">
        <f t="shared" ca="1" si="93"/>
        <v>50.921608649999996</v>
      </c>
      <c r="AE247" s="297">
        <f t="shared" ca="1" si="93"/>
        <v>54.648916360500003</v>
      </c>
      <c r="AF247" s="297">
        <f t="shared" ca="1" si="93"/>
        <v>60.793795617745019</v>
      </c>
      <c r="AG247" s="297">
        <f t="shared" ca="1" si="93"/>
        <v>67.226883205694151</v>
      </c>
      <c r="AH247" s="297">
        <f ca="1">-AH136</f>
        <v>117.72997428086984</v>
      </c>
      <c r="AI247" s="297">
        <f ca="1">-AI136</f>
        <v>117.08030236685137</v>
      </c>
      <c r="AJ247" s="297">
        <f ca="1">-AJ136</f>
        <v>86.351916137949644</v>
      </c>
      <c r="AK247" s="297">
        <f ca="1">-AK136</f>
        <v>71.908659707197344</v>
      </c>
      <c r="AL247" s="297">
        <f ca="1">-AL136</f>
        <v>89.937571938467343</v>
      </c>
      <c r="AM247" s="175"/>
      <c r="AO247" s="1307"/>
      <c r="AP247" s="1307"/>
      <c r="AQ247" s="1307"/>
      <c r="AR247" s="1307"/>
      <c r="AS247" s="1307"/>
      <c r="AT247" s="1307"/>
      <c r="AU247" s="1307"/>
      <c r="AV247" s="1307"/>
      <c r="AW247" s="1307"/>
      <c r="AX247" s="1307"/>
      <c r="AY247" s="1307"/>
      <c r="AZ247" s="1307"/>
      <c r="BA247" s="1307"/>
      <c r="BB247" s="1307"/>
      <c r="BC247" s="1307"/>
    </row>
    <row r="248" spans="3:55" x14ac:dyDescent="0.3">
      <c r="C248" s="173"/>
      <c r="E248" s="72" t="s">
        <v>203</v>
      </c>
      <c r="F248" s="72"/>
      <c r="G248" s="72"/>
      <c r="H248" s="705"/>
      <c r="I248" s="84"/>
      <c r="J248" s="315"/>
      <c r="K248" s="275"/>
      <c r="L248" s="275"/>
      <c r="M248" s="275"/>
      <c r="N248" s="275"/>
      <c r="O248" s="275"/>
      <c r="P248" s="275"/>
      <c r="Q248" s="275"/>
      <c r="R248" s="275"/>
      <c r="S248" s="275"/>
      <c r="T248" s="275"/>
      <c r="U248" s="275"/>
      <c r="V248" s="275"/>
      <c r="W248" s="297">
        <f t="shared" ref="W248:AG248" ca="1" si="94">-W86</f>
        <v>-1.6850000000000001</v>
      </c>
      <c r="X248" s="297">
        <f t="shared" ca="1" si="94"/>
        <v>-1.8568371300000002</v>
      </c>
      <c r="Y248" s="297">
        <f t="shared" ca="1" si="94"/>
        <v>-3.0440700699999996</v>
      </c>
      <c r="Z248" s="297">
        <f t="shared" ca="1" si="94"/>
        <v>-3.4869999999999997</v>
      </c>
      <c r="AA248" s="297">
        <f t="shared" ca="1" si="94"/>
        <v>-3.9014527845036318</v>
      </c>
      <c r="AB248" s="297">
        <f t="shared" ca="1" si="94"/>
        <v>-4.141</v>
      </c>
      <c r="AC248" s="297">
        <f t="shared" ca="1" si="94"/>
        <v>-4.6452999999999998</v>
      </c>
      <c r="AD248" s="297">
        <f t="shared" ca="1" si="94"/>
        <v>-6.5245350000000002</v>
      </c>
      <c r="AE248" s="297">
        <f t="shared" ca="1" si="94"/>
        <v>-8.6434705699999999</v>
      </c>
      <c r="AF248" s="297">
        <f t="shared" ca="1" si="94"/>
        <v>-11.097516866600001</v>
      </c>
      <c r="AG248" s="297">
        <f t="shared" ca="1" si="94"/>
        <v>-14.096772743488001</v>
      </c>
      <c r="AH248" s="297">
        <f t="shared" ref="AH248:AL249" ca="1" si="95">-AH86</f>
        <v>-21.015320418910402</v>
      </c>
      <c r="AI248" s="297">
        <f t="shared" ca="1" si="95"/>
        <v>-21.645780031477717</v>
      </c>
      <c r="AJ248" s="297">
        <f t="shared" ca="1" si="95"/>
        <v>-22.295153432422051</v>
      </c>
      <c r="AK248" s="297">
        <f t="shared" ca="1" si="95"/>
        <v>-22.964008035394713</v>
      </c>
      <c r="AL248" s="297">
        <f t="shared" ca="1" si="95"/>
        <v>-23.652928276456553</v>
      </c>
      <c r="AM248" s="175"/>
      <c r="AO248" s="1307"/>
      <c r="AP248" s="1307"/>
      <c r="AQ248" s="1307"/>
      <c r="AR248" s="1307"/>
      <c r="AS248" s="1307"/>
      <c r="AT248" s="1307"/>
      <c r="AU248" s="1307"/>
      <c r="AV248" s="1307"/>
      <c r="AW248" s="1307"/>
      <c r="AX248" s="1307"/>
      <c r="AY248" s="1307"/>
      <c r="AZ248" s="1307"/>
      <c r="BA248" s="1307"/>
      <c r="BB248" s="1307"/>
      <c r="BC248" s="1307"/>
    </row>
    <row r="249" spans="3:55" x14ac:dyDescent="0.3">
      <c r="C249" s="173"/>
      <c r="E249" s="72" t="s">
        <v>204</v>
      </c>
      <c r="F249" s="72"/>
      <c r="G249" s="72"/>
      <c r="H249" s="705"/>
      <c r="I249" s="84"/>
      <c r="J249" s="315"/>
      <c r="K249" s="275"/>
      <c r="L249" s="275"/>
      <c r="M249" s="275"/>
      <c r="N249" s="275"/>
      <c r="O249" s="275"/>
      <c r="P249" s="275"/>
      <c r="Q249" s="275"/>
      <c r="R249" s="275"/>
      <c r="S249" s="275"/>
      <c r="T249" s="275"/>
      <c r="U249" s="275"/>
      <c r="V249" s="275"/>
      <c r="W249" s="297">
        <f t="shared" ref="W249:AG249" ca="1" si="96">-W87</f>
        <v>0</v>
      </c>
      <c r="X249" s="297">
        <f t="shared" ca="1" si="96"/>
        <v>0</v>
      </c>
      <c r="Y249" s="297">
        <f t="shared" ca="1" si="96"/>
        <v>0</v>
      </c>
      <c r="Z249" s="297">
        <f t="shared" ca="1" si="96"/>
        <v>-0.41147949999999994</v>
      </c>
      <c r="AA249" s="297">
        <f t="shared" ca="1" si="96"/>
        <v>-0.42022785060463125</v>
      </c>
      <c r="AB249" s="297">
        <f t="shared" ca="1" si="96"/>
        <v>-0.44602962677534302</v>
      </c>
      <c r="AC249" s="297">
        <f t="shared" ca="1" si="96"/>
        <v>0</v>
      </c>
      <c r="AD249" s="297">
        <f t="shared" ca="1" si="96"/>
        <v>0</v>
      </c>
      <c r="AE249" s="297">
        <f t="shared" ca="1" si="96"/>
        <v>0</v>
      </c>
      <c r="AF249" s="297">
        <f t="shared" ca="1" si="96"/>
        <v>0</v>
      </c>
      <c r="AG249" s="297">
        <f t="shared" ca="1" si="96"/>
        <v>0</v>
      </c>
      <c r="AH249" s="297">
        <f t="shared" ca="1" si="95"/>
        <v>0</v>
      </c>
      <c r="AI249" s="297">
        <f t="shared" ca="1" si="95"/>
        <v>0</v>
      </c>
      <c r="AJ249" s="297">
        <f t="shared" ca="1" si="95"/>
        <v>0</v>
      </c>
      <c r="AK249" s="297">
        <f t="shared" ca="1" si="95"/>
        <v>0</v>
      </c>
      <c r="AL249" s="297">
        <f t="shared" ca="1" si="95"/>
        <v>0</v>
      </c>
      <c r="AM249" s="175"/>
      <c r="AO249" s="1307"/>
      <c r="AP249" s="1307"/>
      <c r="AQ249" s="1307"/>
      <c r="AR249" s="1307"/>
      <c r="AS249" s="1307"/>
      <c r="AT249" s="1307"/>
      <c r="AU249" s="1307"/>
      <c r="AV249" s="1307"/>
      <c r="AW249" s="1307"/>
      <c r="AX249" s="1307"/>
      <c r="AY249" s="1307"/>
      <c r="AZ249" s="1307"/>
      <c r="BA249" s="1307"/>
      <c r="BB249" s="1307"/>
      <c r="BC249" s="1307"/>
    </row>
    <row r="250" spans="3:55" x14ac:dyDescent="0.3">
      <c r="C250" s="173"/>
      <c r="D250" s="72"/>
      <c r="E250" s="72"/>
      <c r="F250" s="72"/>
      <c r="G250" s="72"/>
      <c r="H250" s="705"/>
      <c r="I250" s="84"/>
      <c r="J250" s="315"/>
      <c r="K250" s="275"/>
      <c r="L250" s="275"/>
      <c r="M250" s="275"/>
      <c r="N250" s="275"/>
      <c r="O250" s="275"/>
      <c r="P250" s="275"/>
      <c r="Q250" s="275"/>
      <c r="R250" s="275"/>
      <c r="S250" s="275"/>
      <c r="T250" s="275"/>
      <c r="U250" s="275"/>
      <c r="V250" s="275"/>
      <c r="W250" s="462"/>
      <c r="X250" s="462"/>
      <c r="Y250" s="462"/>
      <c r="Z250" s="462"/>
      <c r="AA250" s="462"/>
      <c r="AB250" s="462"/>
      <c r="AC250" s="462"/>
      <c r="AD250" s="462"/>
      <c r="AE250" s="462"/>
      <c r="AF250" s="462"/>
      <c r="AG250" s="462"/>
      <c r="AH250" s="462"/>
      <c r="AI250" s="462"/>
      <c r="AJ250" s="462"/>
      <c r="AK250" s="462"/>
      <c r="AL250" s="462"/>
      <c r="AM250" s="175"/>
      <c r="AO250" s="1307"/>
      <c r="AP250" s="1307"/>
      <c r="AQ250" s="1307"/>
      <c r="AR250" s="1307"/>
      <c r="AS250" s="1307"/>
      <c r="AT250" s="1307"/>
      <c r="AU250" s="1307"/>
      <c r="AV250" s="1307"/>
      <c r="AW250" s="1307"/>
      <c r="AX250" s="1307"/>
      <c r="AY250" s="1307"/>
      <c r="AZ250" s="1307"/>
      <c r="BA250" s="1307"/>
      <c r="BB250" s="1307"/>
      <c r="BC250" s="1307"/>
    </row>
    <row r="251" spans="3:55" x14ac:dyDescent="0.3">
      <c r="C251" s="173"/>
      <c r="D251" s="707"/>
      <c r="E251" s="708"/>
      <c r="F251" s="708"/>
      <c r="G251" s="708"/>
      <c r="H251" s="703" t="s">
        <v>606</v>
      </c>
      <c r="I251" s="704"/>
      <c r="J251" s="606"/>
      <c r="K251" s="317"/>
      <c r="L251" s="317"/>
      <c r="M251" s="317"/>
      <c r="N251" s="317"/>
      <c r="O251" s="317"/>
      <c r="P251" s="317"/>
      <c r="Q251" s="317"/>
      <c r="R251" s="317"/>
      <c r="S251" s="317"/>
      <c r="T251" s="317"/>
      <c r="U251" s="317"/>
      <c r="V251" s="317"/>
      <c r="W251" s="1148">
        <f t="shared" ref="W251:AG251" ca="1" si="97">+IF(ISERROR(SUM(W245:W246)/SUM(W247:W249)),0,SUM(W245:W246)/SUM(W247:W249))</f>
        <v>1.0315720503574279</v>
      </c>
      <c r="X251" s="1261">
        <f t="shared" ca="1" si="97"/>
        <v>0.7570780547013336</v>
      </c>
      <c r="Y251" s="1148">
        <f t="shared" ca="1" si="97"/>
        <v>0.84673693702753161</v>
      </c>
      <c r="Z251" s="1148">
        <f t="shared" ca="1" si="97"/>
        <v>0.9466287595006585</v>
      </c>
      <c r="AA251" s="1148">
        <f t="shared" ca="1" si="97"/>
        <v>0.77197506535415528</v>
      </c>
      <c r="AB251" s="1262">
        <f t="shared" ca="1" si="97"/>
        <v>0.65550562176008964</v>
      </c>
      <c r="AC251" s="1148">
        <f t="shared" ca="1" si="97"/>
        <v>0.53072579051352009</v>
      </c>
      <c r="AD251" s="1148">
        <f t="shared" ca="1" si="97"/>
        <v>0.55303099753440776</v>
      </c>
      <c r="AE251" s="1148">
        <f t="shared" ca="1" si="97"/>
        <v>0.59627793316666888</v>
      </c>
      <c r="AF251" s="1148">
        <f t="shared" ca="1" si="97"/>
        <v>0.63420659595897133</v>
      </c>
      <c r="AG251" s="1148">
        <f t="shared" ca="1" si="97"/>
        <v>0.66661548328791043</v>
      </c>
      <c r="AH251" s="1148">
        <f ca="1">+IF(ISERROR(SUM(AH245:AH246)/SUM(AH247:AH249)),0,SUM(AH245:AH246)/SUM(AH247:AH249))</f>
        <v>0.4586341351692757</v>
      </c>
      <c r="AI251" s="1148">
        <f ca="1">+IF(ISERROR(SUM(AI245:AI246)/SUM(AI247:AI249)),0,SUM(AI245:AI246)/SUM(AI247:AI249))</f>
        <v>0.48310999878253486</v>
      </c>
      <c r="AJ251" s="1148">
        <f ca="1">+IF(ISERROR(SUM(AJ245:AJ246)/SUM(AJ247:AJ249)),0,SUM(AJ245:AJ246)/SUM(AJ247:AJ249))</f>
        <v>0.75127875438461378</v>
      </c>
      <c r="AK251" s="1148">
        <f ca="1">+IF(ISERROR(SUM(AK245:AK246)/SUM(AK247:AK249)),0,SUM(AK245:AK246)/SUM(AK247:AK249))</f>
        <v>1.0512490144541788</v>
      </c>
      <c r="AL251" s="1148">
        <f ca="1">+IF(ISERROR(SUM(AL245:AL246)/SUM(AL247:AL249)),0,SUM(AL245:AL246)/SUM(AL247:AL249))</f>
        <v>0.84042737637344789</v>
      </c>
      <c r="AM251" s="701"/>
      <c r="AO251" s="1307"/>
      <c r="AP251" s="1307"/>
      <c r="AQ251" s="1307"/>
      <c r="AR251" s="1307"/>
      <c r="AS251" s="1307"/>
      <c r="AT251" s="1307"/>
      <c r="AU251" s="1307"/>
      <c r="AV251" s="1307"/>
      <c r="AW251" s="1307"/>
      <c r="AX251" s="1307"/>
      <c r="AY251" s="1307"/>
      <c r="AZ251" s="1307"/>
      <c r="BA251" s="1307"/>
      <c r="BB251" s="1307"/>
      <c r="BC251" s="1307"/>
    </row>
    <row r="252" spans="3:55" x14ac:dyDescent="0.3">
      <c r="C252" s="173"/>
      <c r="D252" s="72"/>
      <c r="E252" s="72"/>
      <c r="F252" s="72"/>
      <c r="G252" s="72"/>
      <c r="H252" s="72"/>
      <c r="I252" s="84"/>
      <c r="J252" s="315"/>
      <c r="K252" s="275"/>
      <c r="L252" s="275"/>
      <c r="M252" s="275"/>
      <c r="N252" s="275"/>
      <c r="O252" s="275"/>
      <c r="P252" s="275"/>
      <c r="Q252" s="275"/>
      <c r="R252" s="275"/>
      <c r="S252" s="275"/>
      <c r="T252" s="462"/>
      <c r="U252" s="462"/>
      <c r="V252" s="462"/>
      <c r="W252" s="1962">
        <f ca="1">IF(W251&gt;=0.35,0,1)</f>
        <v>0</v>
      </c>
      <c r="X252" s="1962">
        <f t="shared" ref="X252:AL252" ca="1" si="98">IF(X251&gt;=0.35,0,1)</f>
        <v>0</v>
      </c>
      <c r="Y252" s="1962">
        <f t="shared" ca="1" si="98"/>
        <v>0</v>
      </c>
      <c r="Z252" s="1962">
        <f t="shared" ca="1" si="98"/>
        <v>0</v>
      </c>
      <c r="AA252" s="1962">
        <f t="shared" ca="1" si="98"/>
        <v>0</v>
      </c>
      <c r="AB252" s="1962">
        <f t="shared" ca="1" si="98"/>
        <v>0</v>
      </c>
      <c r="AC252" s="1962">
        <f t="shared" ca="1" si="98"/>
        <v>0</v>
      </c>
      <c r="AD252" s="1962">
        <f t="shared" ca="1" si="98"/>
        <v>0</v>
      </c>
      <c r="AE252" s="1962">
        <f t="shared" ca="1" si="98"/>
        <v>0</v>
      </c>
      <c r="AF252" s="1962">
        <f t="shared" ca="1" si="98"/>
        <v>0</v>
      </c>
      <c r="AG252" s="1962">
        <f t="shared" ca="1" si="98"/>
        <v>0</v>
      </c>
      <c r="AH252" s="1962">
        <f t="shared" ca="1" si="98"/>
        <v>0</v>
      </c>
      <c r="AI252" s="1962">
        <f t="shared" ca="1" si="98"/>
        <v>0</v>
      </c>
      <c r="AJ252" s="1962">
        <f t="shared" ca="1" si="98"/>
        <v>0</v>
      </c>
      <c r="AK252" s="1962">
        <f t="shared" ca="1" si="98"/>
        <v>0</v>
      </c>
      <c r="AL252" s="1962">
        <f t="shared" ca="1" si="98"/>
        <v>0</v>
      </c>
      <c r="AM252" s="175"/>
    </row>
    <row r="253" spans="3:55" ht="12.5" thickBot="1" x14ac:dyDescent="0.35">
      <c r="C253" s="179"/>
      <c r="D253" s="180"/>
      <c r="E253" s="180"/>
      <c r="F253" s="180"/>
      <c r="G253" s="180"/>
      <c r="H253" s="180"/>
      <c r="I253" s="197"/>
      <c r="J253" s="624"/>
      <c r="K253" s="232"/>
      <c r="L253" s="232"/>
      <c r="M253" s="232"/>
      <c r="N253" s="232"/>
      <c r="O253" s="232"/>
      <c r="P253" s="232"/>
      <c r="Q253" s="232"/>
      <c r="R253" s="232"/>
      <c r="S253" s="232"/>
      <c r="T253" s="181"/>
      <c r="U253" s="181"/>
      <c r="V253" s="181"/>
      <c r="W253" s="181"/>
      <c r="X253" s="181"/>
      <c r="Y253" s="181"/>
      <c r="Z253" s="181"/>
      <c r="AA253" s="181"/>
      <c r="AB253" s="181"/>
      <c r="AC253" s="181"/>
      <c r="AD253" s="181"/>
      <c r="AE253" s="181"/>
      <c r="AF253" s="181"/>
      <c r="AG253" s="181"/>
      <c r="AH253" s="181"/>
      <c r="AI253" s="181"/>
      <c r="AJ253" s="181"/>
      <c r="AK253" s="181"/>
      <c r="AL253" s="181"/>
      <c r="AM253" s="182"/>
    </row>
    <row r="254" spans="3:55" x14ac:dyDescent="0.3">
      <c r="J254" s="265"/>
      <c r="K254" s="709"/>
      <c r="L254" s="709"/>
      <c r="M254" s="709"/>
      <c r="N254" s="709"/>
      <c r="O254" s="709"/>
      <c r="P254" s="709"/>
      <c r="Q254" s="709"/>
      <c r="R254" s="709"/>
      <c r="S254" s="77"/>
    </row>
    <row r="255" spans="3:55" x14ac:dyDescent="0.3">
      <c r="D255" s="102"/>
      <c r="J255" s="265"/>
      <c r="K255" s="709"/>
      <c r="L255" s="709"/>
      <c r="M255" s="709"/>
      <c r="N255" s="709"/>
      <c r="O255" s="709"/>
      <c r="P255" s="709"/>
      <c r="Q255" s="709"/>
      <c r="R255" s="709"/>
      <c r="S255" s="77"/>
    </row>
    <row r="263" spans="11:19" x14ac:dyDescent="0.3">
      <c r="K263" s="709"/>
      <c r="L263" s="709"/>
      <c r="M263" s="709"/>
      <c r="N263" s="709"/>
      <c r="O263" s="709"/>
      <c r="P263" s="709"/>
      <c r="Q263" s="709"/>
      <c r="R263" s="709"/>
      <c r="S263" s="77"/>
    </row>
    <row r="264" spans="11:19" x14ac:dyDescent="0.3">
      <c r="K264" s="709"/>
      <c r="L264" s="709"/>
      <c r="M264" s="709"/>
      <c r="N264" s="709"/>
      <c r="O264" s="709"/>
      <c r="P264" s="709"/>
      <c r="Q264" s="709"/>
      <c r="R264" s="709"/>
      <c r="S264" s="77"/>
    </row>
    <row r="265" spans="11:19" x14ac:dyDescent="0.3">
      <c r="K265" s="709"/>
      <c r="L265" s="709"/>
      <c r="M265" s="709"/>
      <c r="N265" s="709"/>
      <c r="O265" s="709"/>
      <c r="P265" s="709"/>
      <c r="Q265" s="709"/>
      <c r="R265" s="709"/>
      <c r="S265" s="77"/>
    </row>
    <row r="266" spans="11:19" x14ac:dyDescent="0.3">
      <c r="K266" s="709"/>
      <c r="L266" s="709"/>
      <c r="M266" s="709"/>
      <c r="N266" s="709"/>
      <c r="O266" s="709"/>
      <c r="P266" s="709"/>
      <c r="Q266" s="709"/>
      <c r="R266" s="709"/>
      <c r="S266" s="77"/>
    </row>
    <row r="267" spans="11:19" x14ac:dyDescent="0.3">
      <c r="K267" s="709"/>
      <c r="L267" s="709"/>
      <c r="M267" s="709"/>
      <c r="N267" s="709"/>
      <c r="O267" s="709"/>
      <c r="P267" s="709"/>
      <c r="Q267" s="709"/>
      <c r="R267" s="709"/>
      <c r="S267" s="77"/>
    </row>
    <row r="268" spans="11:19" x14ac:dyDescent="0.3">
      <c r="K268" s="77"/>
      <c r="L268" s="77"/>
      <c r="M268" s="77"/>
      <c r="N268" s="77"/>
      <c r="O268" s="77"/>
      <c r="P268" s="77"/>
      <c r="Q268" s="77"/>
      <c r="R268" s="77"/>
      <c r="S268" s="77"/>
    </row>
    <row r="269" spans="11:19" x14ac:dyDescent="0.3">
      <c r="K269" s="77"/>
      <c r="L269" s="77"/>
      <c r="M269" s="77"/>
      <c r="N269" s="77"/>
      <c r="O269" s="77"/>
      <c r="P269" s="77"/>
      <c r="Q269" s="77"/>
      <c r="R269" s="77"/>
      <c r="S269" s="77"/>
    </row>
    <row r="270" spans="11:19" x14ac:dyDescent="0.3">
      <c r="K270" s="77"/>
      <c r="L270" s="77"/>
      <c r="M270" s="77"/>
      <c r="N270" s="77"/>
      <c r="O270" s="77"/>
      <c r="P270" s="77"/>
      <c r="Q270" s="77"/>
      <c r="R270" s="77"/>
      <c r="S270" s="77"/>
    </row>
    <row r="271" spans="11:19" x14ac:dyDescent="0.3">
      <c r="K271" s="77"/>
      <c r="L271" s="77"/>
      <c r="M271" s="77"/>
      <c r="N271" s="77"/>
      <c r="O271" s="77"/>
      <c r="P271" s="77"/>
      <c r="Q271" s="77"/>
      <c r="R271" s="77"/>
      <c r="S271" s="77"/>
    </row>
    <row r="272" spans="11:19" x14ac:dyDescent="0.3">
      <c r="K272" s="77"/>
      <c r="L272" s="77"/>
      <c r="M272" s="77"/>
      <c r="N272" s="77"/>
      <c r="O272" s="77"/>
      <c r="P272" s="77"/>
      <c r="Q272" s="77"/>
      <c r="R272" s="77"/>
      <c r="S272" s="77"/>
    </row>
  </sheetData>
  <sheetProtection algorithmName="SHA-512" hashValue="Q3iwAt6MmTg708gQ+Hosr4UEaE3YbE1aiuNtbq6tJw1GusqprADXS4fWmQCkarzzQQTvK70PEy78kPrtUow9LQ==" saltValue="esI9C97dI683rUKSYMm/Xw==" spinCount="100000" sheet="1" objects="1" scenarios="1"/>
  <mergeCells count="30">
    <mergeCell ref="E58:I58"/>
    <mergeCell ref="E59:I59"/>
    <mergeCell ref="E60:I60"/>
    <mergeCell ref="E48:I48"/>
    <mergeCell ref="E49:I49"/>
    <mergeCell ref="E50:I50"/>
    <mergeCell ref="E55:I55"/>
    <mergeCell ref="E56:I56"/>
    <mergeCell ref="E57:I57"/>
    <mergeCell ref="E45:I45"/>
    <mergeCell ref="E26:I26"/>
    <mergeCell ref="E27:I27"/>
    <mergeCell ref="E32:I32"/>
    <mergeCell ref="E33:I33"/>
    <mergeCell ref="B3:F3"/>
    <mergeCell ref="E24:I24"/>
    <mergeCell ref="E25:I25"/>
    <mergeCell ref="E46:I46"/>
    <mergeCell ref="E47:I47"/>
    <mergeCell ref="E16:I16"/>
    <mergeCell ref="E17:I17"/>
    <mergeCell ref="E18:I18"/>
    <mergeCell ref="E19:I19"/>
    <mergeCell ref="E39:I39"/>
    <mergeCell ref="E40:I40"/>
    <mergeCell ref="E34:I34"/>
    <mergeCell ref="E35:I35"/>
    <mergeCell ref="E36:I36"/>
    <mergeCell ref="E37:I37"/>
    <mergeCell ref="E38:I38"/>
  </mergeCells>
  <phoneticPr fontId="0" type="noConversion"/>
  <hyperlinks>
    <hyperlink ref="B3" location="HL_Home" tooltip="Go to Table of Contents" display="HL_Home" xr:uid="{00000000-0004-0000-1000-000000000000}"/>
  </hyperlinks>
  <pageMargins left="0.39370078740157499" right="0.39370078740157499" top="0.59055118110236249" bottom="0.98425196850393748" header="0" footer="0.31496062992125973"/>
  <pageSetup paperSize="9" scale="74" orientation="landscape" r:id="rId1"/>
  <headerFooter alignWithMargins="0">
    <oddHeader>&amp;C&amp;B&amp;"Arial"&amp;12&amp;Kff0000​‌OFFICIAL‌​</oddHeader>
    <oddFooter>&amp;C&amp;"Arial,Bold"&amp;8Sheet p.
Page &amp;P of &amp;N&amp;L&amp;"Arial,Bold"&amp;7&amp;F
&amp;A
Printed: &amp;T on &amp;D</oddFooter>
  </headerFooter>
  <rowBreaks count="4" manualBreakCount="4">
    <brk id="64" min="1" max="23" man="1"/>
    <brk id="114" min="1" max="23" man="1"/>
    <brk id="146" min="1" max="23" man="1"/>
    <brk id="198" min="1" max="2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theme="0" tint="-4.9989318521683403E-2"/>
  </sheetPr>
  <dimension ref="A1:AL183"/>
  <sheetViews>
    <sheetView showGridLines="0" zoomScaleNormal="100" workbookViewId="0">
      <pane xSplit="9" ySplit="7" topLeftCell="J8" activePane="bottomRight" state="frozen"/>
      <selection pane="topRight"/>
      <selection pane="bottomLeft"/>
      <selection pane="bottomRight" activeCell="B52" sqref="B52:B55"/>
    </sheetView>
  </sheetViews>
  <sheetFormatPr defaultColWidth="9.33203125" defaultRowHeight="12" outlineLevelCol="1" x14ac:dyDescent="0.3"/>
  <cols>
    <col min="1" max="1" width="2.6640625" style="73" customWidth="1"/>
    <col min="2" max="2" width="13.33203125" style="73" customWidth="1"/>
    <col min="3" max="3" width="20" style="73" customWidth="1"/>
    <col min="4" max="7" width="13.33203125" style="73" customWidth="1"/>
    <col min="8" max="8" width="2.109375" style="73" customWidth="1"/>
    <col min="9" max="9" width="21.33203125" style="73" bestFit="1" customWidth="1"/>
    <col min="10" max="10" width="2.77734375" style="73" customWidth="1"/>
    <col min="11" max="22" width="10.77734375" style="73" hidden="1" customWidth="1" outlineLevel="1"/>
    <col min="23" max="23" width="10.77734375" style="73" customWidth="1" collapsed="1"/>
    <col min="24" max="38" width="10.77734375" style="73" customWidth="1"/>
    <col min="39" max="16384" width="9.33203125" style="73"/>
  </cols>
  <sheetData>
    <row r="1" spans="2:38" ht="14.5" x14ac:dyDescent="0.3">
      <c r="B1" s="158" t="s">
        <v>472</v>
      </c>
    </row>
    <row r="2" spans="2:38" ht="13" x14ac:dyDescent="0.3">
      <c r="B2" s="160" t="str">
        <f>+Contents!H7</f>
        <v>Central Highlands Water</v>
      </c>
    </row>
    <row r="3" spans="2:38" x14ac:dyDescent="0.3">
      <c r="B3" s="2357" t="s">
        <v>0</v>
      </c>
      <c r="C3" s="2357"/>
      <c r="D3" s="2357"/>
      <c r="E3" s="2357"/>
      <c r="F3" s="2357"/>
    </row>
    <row r="4" spans="2:38" x14ac:dyDescent="0.3">
      <c r="K4" s="66"/>
      <c r="L4" s="1186" t="s">
        <v>60</v>
      </c>
      <c r="M4" s="65"/>
      <c r="N4" s="66"/>
      <c r="O4" s="67"/>
      <c r="P4" s="1186" t="s">
        <v>61</v>
      </c>
      <c r="Q4" s="67"/>
      <c r="R4" s="65"/>
      <c r="S4" s="1202"/>
      <c r="T4" s="1203"/>
      <c r="U4" s="1572" t="s">
        <v>274</v>
      </c>
      <c r="V4" s="1203"/>
      <c r="W4" s="1204"/>
      <c r="X4" s="1944"/>
      <c r="Y4" s="1575"/>
      <c r="Z4" s="1575" t="s">
        <v>1072</v>
      </c>
      <c r="AA4" s="1575"/>
      <c r="AB4" s="1574"/>
      <c r="AC4" s="1573"/>
      <c r="AD4" s="1575"/>
      <c r="AE4" s="1575" t="s">
        <v>457</v>
      </c>
      <c r="AF4" s="1575"/>
      <c r="AG4" s="1574"/>
      <c r="AH4" s="1573"/>
      <c r="AI4" s="1575"/>
      <c r="AJ4" s="1575" t="s">
        <v>903</v>
      </c>
      <c r="AK4" s="1575"/>
      <c r="AL4" s="1574"/>
    </row>
    <row r="6" spans="2:38" x14ac:dyDescent="0.3">
      <c r="K6" s="68">
        <v>2006</v>
      </c>
      <c r="L6" s="68">
        <v>2007</v>
      </c>
      <c r="M6" s="68">
        <v>2008</v>
      </c>
      <c r="N6" s="68">
        <v>2009</v>
      </c>
      <c r="O6" s="68">
        <v>2010</v>
      </c>
      <c r="P6" s="68">
        <v>2011</v>
      </c>
      <c r="Q6" s="68">
        <v>2012</v>
      </c>
      <c r="R6" s="68">
        <v>2013</v>
      </c>
      <c r="S6" s="68">
        <v>2014</v>
      </c>
      <c r="T6" s="68">
        <v>2015</v>
      </c>
      <c r="U6" s="68">
        <v>2016</v>
      </c>
      <c r="V6" s="68">
        <v>2017</v>
      </c>
      <c r="W6" s="68">
        <v>2018</v>
      </c>
      <c r="X6" s="68">
        <v>2019</v>
      </c>
      <c r="Y6" s="68">
        <v>2020</v>
      </c>
      <c r="Z6" s="68">
        <v>2021</v>
      </c>
      <c r="AA6" s="68">
        <v>2022</v>
      </c>
      <c r="AB6" s="68">
        <v>2023</v>
      </c>
      <c r="AC6" s="69">
        <v>2024</v>
      </c>
      <c r="AD6" s="69">
        <v>2025</v>
      </c>
      <c r="AE6" s="69">
        <v>2026</v>
      </c>
      <c r="AF6" s="69">
        <v>2027</v>
      </c>
      <c r="AG6" s="69">
        <v>2028</v>
      </c>
      <c r="AH6" s="69">
        <v>2029</v>
      </c>
      <c r="AI6" s="69">
        <v>2030</v>
      </c>
      <c r="AJ6" s="69">
        <v>2031</v>
      </c>
      <c r="AK6" s="69">
        <v>2032</v>
      </c>
      <c r="AL6" s="69">
        <v>2033</v>
      </c>
    </row>
    <row r="7" spans="2:38" s="78" customFormat="1" x14ac:dyDescent="0.3">
      <c r="K7" s="70" t="str">
        <f t="shared" ref="K7:W7" si="0">+CONCATENATE(K6-1,"-",RIGHT(K6,2))</f>
        <v>2005-06</v>
      </c>
      <c r="L7" s="70" t="str">
        <f t="shared" si="0"/>
        <v>2006-07</v>
      </c>
      <c r="M7" s="70" t="str">
        <f t="shared" si="0"/>
        <v>2007-08</v>
      </c>
      <c r="N7" s="70" t="str">
        <f t="shared" si="0"/>
        <v>2008-09</v>
      </c>
      <c r="O7" s="70" t="str">
        <f t="shared" si="0"/>
        <v>2009-10</v>
      </c>
      <c r="P7" s="70" t="str">
        <f t="shared" si="0"/>
        <v>2010-11</v>
      </c>
      <c r="Q7" s="70" t="str">
        <f t="shared" si="0"/>
        <v>2011-12</v>
      </c>
      <c r="R7" s="70" t="str">
        <f t="shared" si="0"/>
        <v>2012-13</v>
      </c>
      <c r="S7" s="70" t="str">
        <f t="shared" si="0"/>
        <v>2013-14</v>
      </c>
      <c r="T7" s="70" t="str">
        <f t="shared" si="0"/>
        <v>2014-15</v>
      </c>
      <c r="U7" s="70" t="str">
        <f t="shared" si="0"/>
        <v>2015-16</v>
      </c>
      <c r="V7" s="70" t="str">
        <f t="shared" si="0"/>
        <v>2016-17</v>
      </c>
      <c r="W7" s="70" t="str">
        <f t="shared" si="0"/>
        <v>2017-18</v>
      </c>
      <c r="X7" s="70" t="str">
        <f t="shared" ref="X7:AG7" si="1">+CONCATENATE(X6-1,"-",RIGHT(X6,2))</f>
        <v>2018-19</v>
      </c>
      <c r="Y7" s="70" t="str">
        <f t="shared" si="1"/>
        <v>2019-20</v>
      </c>
      <c r="Z7" s="70" t="str">
        <f t="shared" si="1"/>
        <v>2020-21</v>
      </c>
      <c r="AA7" s="70" t="str">
        <f t="shared" si="1"/>
        <v>2021-22</v>
      </c>
      <c r="AB7" s="70" t="str">
        <f t="shared" si="1"/>
        <v>2022-23</v>
      </c>
      <c r="AC7" s="70" t="str">
        <f t="shared" si="1"/>
        <v>2023-24</v>
      </c>
      <c r="AD7" s="70" t="str">
        <f t="shared" si="1"/>
        <v>2024-25</v>
      </c>
      <c r="AE7" s="70" t="str">
        <f t="shared" si="1"/>
        <v>2025-26</v>
      </c>
      <c r="AF7" s="70" t="str">
        <f t="shared" si="1"/>
        <v>2026-27</v>
      </c>
      <c r="AG7" s="70" t="str">
        <f t="shared" si="1"/>
        <v>2027-28</v>
      </c>
      <c r="AH7" s="70" t="str">
        <f>+CONCATENATE(AH6-1,"-",RIGHT(AH6,2))</f>
        <v>2028-29</v>
      </c>
      <c r="AI7" s="70" t="str">
        <f>+CONCATENATE(AI6-1,"-",RIGHT(AI6,2))</f>
        <v>2029-30</v>
      </c>
      <c r="AJ7" s="70" t="str">
        <f>+CONCATENATE(AJ6-1,"-",RIGHT(AJ6,2))</f>
        <v>2030-31</v>
      </c>
      <c r="AK7" s="70" t="str">
        <f>+CONCATENATE(AK6-1,"-",RIGHT(AK6,2))</f>
        <v>2031-32</v>
      </c>
      <c r="AL7" s="70" t="str">
        <f>+CONCATENATE(AL6-1,"-",RIGHT(AL6,2))</f>
        <v>2032-33</v>
      </c>
    </row>
    <row r="9" spans="2:38" ht="13" x14ac:dyDescent="0.3">
      <c r="B9" s="714" t="s">
        <v>667</v>
      </c>
      <c r="K9" s="715"/>
    </row>
    <row r="10" spans="2:38" x14ac:dyDescent="0.3">
      <c r="K10" s="715"/>
    </row>
    <row r="11" spans="2:38" x14ac:dyDescent="0.3">
      <c r="B11" s="84" t="s">
        <v>668</v>
      </c>
      <c r="C11" s="720"/>
      <c r="K11" s="715"/>
    </row>
    <row r="12" spans="2:38" x14ac:dyDescent="0.3">
      <c r="B12" s="84" t="s">
        <v>669</v>
      </c>
      <c r="C12" s="720"/>
      <c r="K12" s="715"/>
    </row>
    <row r="13" spans="2:38" x14ac:dyDescent="0.3">
      <c r="B13" s="84" t="s">
        <v>670</v>
      </c>
      <c r="C13" s="720"/>
      <c r="K13" s="715"/>
    </row>
    <row r="14" spans="2:38" x14ac:dyDescent="0.3">
      <c r="B14" s="84" t="s">
        <v>671</v>
      </c>
      <c r="C14" s="720"/>
      <c r="K14" s="715"/>
    </row>
    <row r="15" spans="2:38" x14ac:dyDescent="0.3">
      <c r="B15" s="84" t="s">
        <v>672</v>
      </c>
      <c r="C15" s="720"/>
      <c r="K15" s="715"/>
    </row>
    <row r="16" spans="2:38" x14ac:dyDescent="0.3">
      <c r="K16" s="715"/>
    </row>
    <row r="17" spans="2:38" x14ac:dyDescent="0.3">
      <c r="K17" s="715"/>
    </row>
    <row r="18" spans="2:38" ht="13" x14ac:dyDescent="0.3">
      <c r="B18" s="714" t="s">
        <v>673</v>
      </c>
      <c r="K18" s="2421" t="s">
        <v>625</v>
      </c>
      <c r="L18" s="2422"/>
      <c r="M18" s="2422"/>
      <c r="N18" s="2422"/>
      <c r="O18" s="2422"/>
      <c r="P18" s="2422"/>
      <c r="Q18" s="2422"/>
      <c r="R18" s="2422"/>
      <c r="S18" s="2422"/>
      <c r="T18" s="2422"/>
      <c r="U18" s="2422"/>
      <c r="V18" s="2422"/>
      <c r="W18" s="2422"/>
      <c r="X18" s="2422"/>
      <c r="Y18" s="2422"/>
      <c r="Z18" s="2422"/>
      <c r="AA18" s="2423"/>
      <c r="AB18" s="2421" t="s">
        <v>626</v>
      </c>
      <c r="AC18" s="2422"/>
      <c r="AD18" s="2422"/>
      <c r="AE18" s="2422"/>
      <c r="AF18" s="2422"/>
      <c r="AG18" s="2422"/>
      <c r="AH18" s="2422"/>
      <c r="AI18" s="2422"/>
      <c r="AJ18" s="2422"/>
      <c r="AK18" s="2422"/>
      <c r="AL18" s="2423"/>
    </row>
    <row r="19" spans="2:38" x14ac:dyDescent="0.3">
      <c r="K19" s="715"/>
    </row>
    <row r="20" spans="2:38" x14ac:dyDescent="0.3">
      <c r="K20" s="715"/>
    </row>
    <row r="21" spans="2:38" ht="13" x14ac:dyDescent="0.3">
      <c r="B21" s="716" t="s">
        <v>651</v>
      </c>
      <c r="C21" s="721" t="s">
        <v>1215</v>
      </c>
      <c r="D21" s="252"/>
      <c r="E21" s="252"/>
      <c r="F21" s="252"/>
      <c r="G21" s="252"/>
      <c r="H21" s="252"/>
      <c r="I21" s="253"/>
      <c r="K21" s="718"/>
      <c r="L21" s="718"/>
      <c r="M21" s="718"/>
      <c r="N21" s="718"/>
      <c r="O21" s="718"/>
      <c r="P21" s="718"/>
      <c r="Q21" s="718"/>
      <c r="R21" s="718"/>
      <c r="S21" s="718"/>
      <c r="T21" s="718"/>
      <c r="U21" s="718"/>
      <c r="V21" s="718"/>
      <c r="W21" s="718"/>
      <c r="X21" s="718"/>
      <c r="Y21" s="718"/>
      <c r="Z21" s="718"/>
      <c r="AA21" s="718"/>
      <c r="AB21" s="718"/>
      <c r="AC21" s="718"/>
      <c r="AD21" s="718"/>
      <c r="AE21" s="718"/>
      <c r="AF21" s="718"/>
      <c r="AG21" s="718"/>
      <c r="AH21" s="718"/>
      <c r="AI21" s="718"/>
      <c r="AJ21" s="718"/>
      <c r="AK21" s="718"/>
      <c r="AL21" s="718"/>
    </row>
    <row r="22" spans="2:38" x14ac:dyDescent="0.3">
      <c r="K22" s="718"/>
      <c r="L22" s="718"/>
      <c r="M22" s="718"/>
      <c r="N22" s="718"/>
      <c r="O22" s="718"/>
      <c r="P22" s="718"/>
      <c r="Q22" s="718"/>
      <c r="R22" s="718"/>
      <c r="S22" s="718"/>
      <c r="T22" s="718"/>
      <c r="U22" s="718"/>
      <c r="V22" s="718"/>
      <c r="W22" s="718"/>
      <c r="X22" s="718"/>
      <c r="Y22" s="718"/>
      <c r="Z22" s="718"/>
      <c r="AA22" s="718"/>
      <c r="AB22" s="718"/>
      <c r="AC22" s="718"/>
      <c r="AD22" s="718"/>
      <c r="AE22" s="718"/>
      <c r="AF22" s="718"/>
      <c r="AG22" s="718"/>
      <c r="AH22" s="718"/>
      <c r="AI22" s="718"/>
      <c r="AJ22" s="718"/>
      <c r="AK22" s="718"/>
      <c r="AL22" s="718"/>
    </row>
    <row r="23" spans="2:38" x14ac:dyDescent="0.3">
      <c r="B23" s="1304" t="s">
        <v>1057</v>
      </c>
      <c r="C23" s="1304"/>
      <c r="D23" s="1304"/>
      <c r="E23" s="1304"/>
      <c r="F23" s="1304"/>
      <c r="G23" s="1304"/>
      <c r="H23" s="1304"/>
      <c r="I23" s="1339" t="s">
        <v>1058</v>
      </c>
      <c r="K23" s="718"/>
      <c r="L23" s="718"/>
      <c r="M23" s="718"/>
      <c r="N23" s="718"/>
      <c r="O23" s="718"/>
      <c r="P23" s="718"/>
      <c r="Q23" s="718"/>
      <c r="R23" s="718"/>
      <c r="S23" s="718"/>
      <c r="T23" s="718"/>
      <c r="U23" s="718"/>
      <c r="V23" s="718"/>
      <c r="W23" s="718"/>
      <c r="X23" s="718"/>
      <c r="Y23" s="718"/>
      <c r="Z23" s="718"/>
      <c r="AA23" s="718"/>
      <c r="AB23" s="718"/>
      <c r="AC23" s="718"/>
      <c r="AD23" s="718"/>
      <c r="AE23" s="718"/>
      <c r="AF23" s="718"/>
      <c r="AG23" s="718"/>
      <c r="AH23" s="718"/>
      <c r="AI23" s="718"/>
      <c r="AJ23" s="718"/>
      <c r="AK23" s="718"/>
      <c r="AL23" s="718"/>
    </row>
    <row r="24" spans="2:38" x14ac:dyDescent="0.3">
      <c r="B24" s="721" t="s">
        <v>1218</v>
      </c>
      <c r="C24" s="722"/>
      <c r="D24" s="722"/>
      <c r="E24" s="722"/>
      <c r="F24" s="722"/>
      <c r="G24" s="723"/>
      <c r="H24" s="4"/>
      <c r="I24" s="727"/>
      <c r="J24" s="4"/>
      <c r="K24" s="724"/>
      <c r="L24" s="725"/>
      <c r="M24" s="725"/>
      <c r="N24" s="724"/>
      <c r="O24" s="725"/>
      <c r="P24" s="725"/>
      <c r="Q24" s="725"/>
      <c r="R24" s="726"/>
      <c r="S24" s="724"/>
      <c r="T24" s="725"/>
      <c r="U24" s="725"/>
      <c r="V24" s="725"/>
      <c r="W24" s="726"/>
      <c r="X24" s="1286"/>
      <c r="Y24" s="1287"/>
      <c r="Z24" s="1287"/>
      <c r="AA24" s="1287"/>
      <c r="AB24" s="1288"/>
      <c r="AC24" s="724"/>
      <c r="AD24" s="725"/>
      <c r="AE24" s="725"/>
      <c r="AF24" s="725"/>
      <c r="AG24" s="726"/>
      <c r="AH24" s="724"/>
      <c r="AI24" s="725"/>
      <c r="AJ24" s="725"/>
      <c r="AK24" s="725"/>
      <c r="AL24" s="726"/>
    </row>
    <row r="25" spans="2:38" x14ac:dyDescent="0.3">
      <c r="B25" s="721" t="s">
        <v>1219</v>
      </c>
      <c r="C25" s="252"/>
      <c r="D25" s="252"/>
      <c r="E25" s="252"/>
      <c r="F25" s="252"/>
      <c r="G25" s="253"/>
      <c r="H25" s="4"/>
      <c r="I25" s="727"/>
      <c r="J25" s="4"/>
      <c r="K25" s="728"/>
      <c r="L25" s="729"/>
      <c r="M25" s="729"/>
      <c r="N25" s="728"/>
      <c r="O25" s="729"/>
      <c r="P25" s="729"/>
      <c r="Q25" s="729"/>
      <c r="R25" s="730"/>
      <c r="S25" s="728"/>
      <c r="T25" s="729"/>
      <c r="U25" s="729"/>
      <c r="V25" s="729"/>
      <c r="W25" s="730"/>
      <c r="X25" s="1289"/>
      <c r="Y25" s="1290"/>
      <c r="Z25" s="1290"/>
      <c r="AA25" s="1290"/>
      <c r="AB25" s="1291"/>
      <c r="AC25" s="728"/>
      <c r="AD25" s="729"/>
      <c r="AE25" s="729"/>
      <c r="AF25" s="729"/>
      <c r="AG25" s="730"/>
      <c r="AH25" s="728"/>
      <c r="AI25" s="729"/>
      <c r="AJ25" s="729"/>
      <c r="AK25" s="729"/>
      <c r="AL25" s="730"/>
    </row>
    <row r="26" spans="2:38" x14ac:dyDescent="0.3">
      <c r="B26" s="721" t="s">
        <v>1220</v>
      </c>
      <c r="C26" s="252"/>
      <c r="D26" s="252"/>
      <c r="E26" s="252"/>
      <c r="F26" s="252"/>
      <c r="G26" s="253"/>
      <c r="H26" s="4"/>
      <c r="I26" s="727"/>
      <c r="J26" s="4"/>
      <c r="K26" s="728"/>
      <c r="L26" s="729"/>
      <c r="M26" s="729"/>
      <c r="N26" s="728"/>
      <c r="O26" s="729"/>
      <c r="P26" s="729"/>
      <c r="Q26" s="729"/>
      <c r="R26" s="730"/>
      <c r="S26" s="728"/>
      <c r="T26" s="729"/>
      <c r="U26" s="729"/>
      <c r="V26" s="729"/>
      <c r="W26" s="730"/>
      <c r="X26" s="1289"/>
      <c r="Y26" s="1290"/>
      <c r="Z26" s="1290"/>
      <c r="AA26" s="1290"/>
      <c r="AB26" s="1291"/>
      <c r="AC26" s="728"/>
      <c r="AD26" s="729"/>
      <c r="AE26" s="729"/>
      <c r="AF26" s="729"/>
      <c r="AG26" s="730"/>
      <c r="AH26" s="728"/>
      <c r="AI26" s="729"/>
      <c r="AJ26" s="729"/>
      <c r="AK26" s="729"/>
      <c r="AL26" s="730"/>
    </row>
    <row r="27" spans="2:38" x14ac:dyDescent="0.3">
      <c r="B27" s="721" t="s">
        <v>1221</v>
      </c>
      <c r="C27" s="252"/>
      <c r="D27" s="252"/>
      <c r="E27" s="252"/>
      <c r="F27" s="252"/>
      <c r="G27" s="253"/>
      <c r="H27" s="4"/>
      <c r="I27" s="727"/>
      <c r="J27" s="4"/>
      <c r="K27" s="728"/>
      <c r="L27" s="729"/>
      <c r="M27" s="729"/>
      <c r="N27" s="728"/>
      <c r="O27" s="729"/>
      <c r="P27" s="729"/>
      <c r="Q27" s="729"/>
      <c r="R27" s="730"/>
      <c r="S27" s="728"/>
      <c r="T27" s="729"/>
      <c r="U27" s="729"/>
      <c r="V27" s="729"/>
      <c r="W27" s="730"/>
      <c r="X27" s="1289"/>
      <c r="Y27" s="1290"/>
      <c r="Z27" s="1290"/>
      <c r="AA27" s="1290"/>
      <c r="AB27" s="1291"/>
      <c r="AC27" s="728"/>
      <c r="AD27" s="729"/>
      <c r="AE27" s="729"/>
      <c r="AF27" s="729"/>
      <c r="AG27" s="730"/>
      <c r="AH27" s="728"/>
      <c r="AI27" s="729"/>
      <c r="AJ27" s="729"/>
      <c r="AK27" s="729"/>
      <c r="AL27" s="730"/>
    </row>
    <row r="28" spans="2:38" x14ac:dyDescent="0.3">
      <c r="B28" s="721" t="s">
        <v>656</v>
      </c>
      <c r="C28" s="252"/>
      <c r="D28" s="252"/>
      <c r="E28" s="252"/>
      <c r="F28" s="252"/>
      <c r="G28" s="253"/>
      <c r="H28" s="4"/>
      <c r="I28" s="727"/>
      <c r="J28" s="4"/>
      <c r="K28" s="728"/>
      <c r="L28" s="729"/>
      <c r="M28" s="729"/>
      <c r="N28" s="728"/>
      <c r="O28" s="729"/>
      <c r="P28" s="729"/>
      <c r="Q28" s="729"/>
      <c r="R28" s="730"/>
      <c r="S28" s="728"/>
      <c r="T28" s="729"/>
      <c r="U28" s="729"/>
      <c r="V28" s="729"/>
      <c r="W28" s="730"/>
      <c r="X28" s="1289"/>
      <c r="Y28" s="1290"/>
      <c r="Z28" s="1290"/>
      <c r="AA28" s="1290"/>
      <c r="AB28" s="1291"/>
      <c r="AC28" s="728"/>
      <c r="AD28" s="729"/>
      <c r="AE28" s="729"/>
      <c r="AF28" s="729"/>
      <c r="AG28" s="730"/>
      <c r="AH28" s="728"/>
      <c r="AI28" s="729"/>
      <c r="AJ28" s="729"/>
      <c r="AK28" s="729"/>
      <c r="AL28" s="730"/>
    </row>
    <row r="29" spans="2:38" x14ac:dyDescent="0.3">
      <c r="B29" s="721" t="s">
        <v>657</v>
      </c>
      <c r="C29" s="252"/>
      <c r="D29" s="252"/>
      <c r="E29" s="252"/>
      <c r="F29" s="252"/>
      <c r="G29" s="253"/>
      <c r="H29" s="4"/>
      <c r="I29" s="727"/>
      <c r="J29" s="4"/>
      <c r="K29" s="728"/>
      <c r="L29" s="729"/>
      <c r="M29" s="729"/>
      <c r="N29" s="728"/>
      <c r="O29" s="729"/>
      <c r="P29" s="729"/>
      <c r="Q29" s="729"/>
      <c r="R29" s="730"/>
      <c r="S29" s="728"/>
      <c r="T29" s="729"/>
      <c r="U29" s="729"/>
      <c r="V29" s="729"/>
      <c r="W29" s="730"/>
      <c r="X29" s="1289"/>
      <c r="Y29" s="1290"/>
      <c r="Z29" s="1290"/>
      <c r="AA29" s="1290"/>
      <c r="AB29" s="1291"/>
      <c r="AC29" s="728"/>
      <c r="AD29" s="729"/>
      <c r="AE29" s="729"/>
      <c r="AF29" s="729"/>
      <c r="AG29" s="730"/>
      <c r="AH29" s="728"/>
      <c r="AI29" s="729"/>
      <c r="AJ29" s="729"/>
      <c r="AK29" s="729"/>
      <c r="AL29" s="730"/>
    </row>
    <row r="30" spans="2:38" x14ac:dyDescent="0.3">
      <c r="B30" s="721" t="s">
        <v>658</v>
      </c>
      <c r="C30" s="252"/>
      <c r="D30" s="252"/>
      <c r="E30" s="252"/>
      <c r="F30" s="252"/>
      <c r="G30" s="253"/>
      <c r="H30" s="4"/>
      <c r="I30" s="727"/>
      <c r="J30" s="4"/>
      <c r="K30" s="728"/>
      <c r="L30" s="729"/>
      <c r="M30" s="729"/>
      <c r="N30" s="728"/>
      <c r="O30" s="729"/>
      <c r="P30" s="729"/>
      <c r="Q30" s="729"/>
      <c r="R30" s="730"/>
      <c r="S30" s="728"/>
      <c r="T30" s="729"/>
      <c r="U30" s="729"/>
      <c r="V30" s="729"/>
      <c r="W30" s="730"/>
      <c r="X30" s="1289"/>
      <c r="Y30" s="1290"/>
      <c r="Z30" s="1290"/>
      <c r="AA30" s="1290"/>
      <c r="AB30" s="1291"/>
      <c r="AC30" s="728"/>
      <c r="AD30" s="729"/>
      <c r="AE30" s="729"/>
      <c r="AF30" s="729"/>
      <c r="AG30" s="730"/>
      <c r="AH30" s="728"/>
      <c r="AI30" s="729"/>
      <c r="AJ30" s="729"/>
      <c r="AK30" s="729"/>
      <c r="AL30" s="730"/>
    </row>
    <row r="31" spans="2:38" x14ac:dyDescent="0.3">
      <c r="B31" s="721" t="s">
        <v>659</v>
      </c>
      <c r="C31" s="252"/>
      <c r="D31" s="252"/>
      <c r="E31" s="252"/>
      <c r="F31" s="252"/>
      <c r="G31" s="253"/>
      <c r="H31" s="4"/>
      <c r="I31" s="727"/>
      <c r="J31" s="4"/>
      <c r="K31" s="728"/>
      <c r="L31" s="729"/>
      <c r="M31" s="729"/>
      <c r="N31" s="728"/>
      <c r="O31" s="729"/>
      <c r="P31" s="729"/>
      <c r="Q31" s="729"/>
      <c r="R31" s="730"/>
      <c r="S31" s="728"/>
      <c r="T31" s="729"/>
      <c r="U31" s="729"/>
      <c r="V31" s="729"/>
      <c r="W31" s="730"/>
      <c r="X31" s="1289"/>
      <c r="Y31" s="1290"/>
      <c r="Z31" s="1290"/>
      <c r="AA31" s="1290"/>
      <c r="AB31" s="1291"/>
      <c r="AC31" s="728"/>
      <c r="AD31" s="729"/>
      <c r="AE31" s="729"/>
      <c r="AF31" s="729"/>
      <c r="AG31" s="730"/>
      <c r="AH31" s="728"/>
      <c r="AI31" s="729"/>
      <c r="AJ31" s="729"/>
      <c r="AK31" s="729"/>
      <c r="AL31" s="730"/>
    </row>
    <row r="32" spans="2:38" x14ac:dyDescent="0.3">
      <c r="B32" s="721" t="s">
        <v>660</v>
      </c>
      <c r="C32" s="252"/>
      <c r="D32" s="252"/>
      <c r="E32" s="252"/>
      <c r="F32" s="252"/>
      <c r="G32" s="253"/>
      <c r="H32" s="4"/>
      <c r="I32" s="727"/>
      <c r="J32" s="4"/>
      <c r="K32" s="728"/>
      <c r="L32" s="729"/>
      <c r="M32" s="729"/>
      <c r="N32" s="728"/>
      <c r="O32" s="729"/>
      <c r="P32" s="729"/>
      <c r="Q32" s="729"/>
      <c r="R32" s="730"/>
      <c r="S32" s="728"/>
      <c r="T32" s="729"/>
      <c r="U32" s="729"/>
      <c r="V32" s="729"/>
      <c r="W32" s="730"/>
      <c r="X32" s="1289"/>
      <c r="Y32" s="1290"/>
      <c r="Z32" s="1290"/>
      <c r="AA32" s="1290"/>
      <c r="AB32" s="1291"/>
      <c r="AC32" s="728"/>
      <c r="AD32" s="729"/>
      <c r="AE32" s="729"/>
      <c r="AF32" s="729"/>
      <c r="AG32" s="730"/>
      <c r="AH32" s="728"/>
      <c r="AI32" s="729"/>
      <c r="AJ32" s="729"/>
      <c r="AK32" s="729"/>
      <c r="AL32" s="730"/>
    </row>
    <row r="33" spans="2:38" x14ac:dyDescent="0.3">
      <c r="B33" s="721" t="s">
        <v>661</v>
      </c>
      <c r="C33" s="252"/>
      <c r="D33" s="252"/>
      <c r="E33" s="252"/>
      <c r="F33" s="252"/>
      <c r="G33" s="253"/>
      <c r="H33" s="4"/>
      <c r="I33" s="727"/>
      <c r="J33" s="4"/>
      <c r="K33" s="731"/>
      <c r="L33" s="732"/>
      <c r="M33" s="732"/>
      <c r="N33" s="731"/>
      <c r="O33" s="732"/>
      <c r="P33" s="732"/>
      <c r="Q33" s="732"/>
      <c r="R33" s="733"/>
      <c r="S33" s="731"/>
      <c r="T33" s="732"/>
      <c r="U33" s="732"/>
      <c r="V33" s="732"/>
      <c r="W33" s="733"/>
      <c r="X33" s="2146"/>
      <c r="Y33" s="2147"/>
      <c r="Z33" s="2147"/>
      <c r="AA33" s="2147"/>
      <c r="AB33" s="2148"/>
      <c r="AC33" s="731"/>
      <c r="AD33" s="732"/>
      <c r="AE33" s="732"/>
      <c r="AF33" s="732"/>
      <c r="AG33" s="733"/>
      <c r="AH33" s="731"/>
      <c r="AI33" s="732"/>
      <c r="AJ33" s="732"/>
      <c r="AK33" s="732"/>
      <c r="AL33" s="733"/>
    </row>
    <row r="34" spans="2:38" s="84" customFormat="1" x14ac:dyDescent="0.3">
      <c r="K34" s="717"/>
      <c r="L34" s="717"/>
      <c r="M34" s="717"/>
      <c r="N34" s="717"/>
      <c r="O34" s="717"/>
      <c r="P34" s="717"/>
      <c r="Q34" s="717"/>
      <c r="R34" s="717"/>
      <c r="S34" s="717"/>
      <c r="T34" s="717"/>
      <c r="U34" s="717"/>
      <c r="V34" s="717"/>
      <c r="W34" s="717"/>
      <c r="X34" s="2017"/>
      <c r="Y34" s="2017"/>
      <c r="Z34" s="2017"/>
      <c r="AA34" s="2017"/>
      <c r="AB34" s="2017"/>
      <c r="AC34" s="717"/>
      <c r="AD34" s="717"/>
      <c r="AE34" s="717"/>
      <c r="AF34" s="717"/>
      <c r="AG34" s="717"/>
      <c r="AH34" s="717"/>
      <c r="AI34" s="717"/>
      <c r="AJ34" s="717"/>
      <c r="AK34" s="717"/>
      <c r="AL34" s="717"/>
    </row>
    <row r="35" spans="2:38" s="84" customFormat="1" x14ac:dyDescent="0.3">
      <c r="K35" s="717"/>
      <c r="L35" s="717"/>
      <c r="M35" s="717"/>
      <c r="N35" s="717"/>
      <c r="O35" s="717"/>
      <c r="P35" s="717"/>
      <c r="Q35" s="717"/>
      <c r="R35" s="717"/>
      <c r="S35" s="717"/>
      <c r="T35" s="717"/>
      <c r="U35" s="717"/>
      <c r="V35" s="717"/>
      <c r="W35" s="717"/>
      <c r="X35" s="2017"/>
      <c r="Y35" s="2017"/>
      <c r="Z35" s="2017"/>
      <c r="AA35" s="2017"/>
      <c r="AB35" s="2017"/>
      <c r="AC35" s="717"/>
      <c r="AD35" s="717"/>
      <c r="AE35" s="717"/>
      <c r="AF35" s="717"/>
      <c r="AG35" s="717"/>
      <c r="AH35" s="717"/>
      <c r="AI35" s="717"/>
      <c r="AJ35" s="717"/>
      <c r="AK35" s="717"/>
      <c r="AL35" s="717"/>
    </row>
    <row r="36" spans="2:38" ht="13" x14ac:dyDescent="0.3">
      <c r="B36" s="716" t="s">
        <v>662</v>
      </c>
      <c r="C36" s="721" t="s">
        <v>1216</v>
      </c>
      <c r="D36" s="252"/>
      <c r="E36" s="252"/>
      <c r="F36" s="252"/>
      <c r="G36" s="252"/>
      <c r="H36" s="252"/>
      <c r="I36" s="253"/>
      <c r="K36" s="718"/>
      <c r="L36" s="718"/>
      <c r="M36" s="718"/>
      <c r="N36" s="718"/>
      <c r="O36" s="718"/>
      <c r="P36" s="718"/>
      <c r="Q36" s="718"/>
      <c r="R36" s="718"/>
      <c r="S36" s="718"/>
      <c r="T36" s="718"/>
      <c r="U36" s="718"/>
      <c r="V36" s="718"/>
      <c r="W36" s="718"/>
      <c r="X36" s="1304"/>
      <c r="Y36" s="1304"/>
      <c r="Z36" s="1304"/>
      <c r="AA36" s="1304"/>
      <c r="AB36" s="1304"/>
      <c r="AC36" s="718"/>
      <c r="AD36" s="718"/>
      <c r="AE36" s="718"/>
      <c r="AF36" s="718"/>
      <c r="AG36" s="718"/>
      <c r="AH36" s="718"/>
      <c r="AI36" s="718"/>
      <c r="AJ36" s="718"/>
      <c r="AK36" s="718"/>
      <c r="AL36" s="718"/>
    </row>
    <row r="37" spans="2:38" x14ac:dyDescent="0.3">
      <c r="K37" s="718"/>
      <c r="L37" s="718"/>
      <c r="M37" s="718"/>
      <c r="N37" s="718"/>
      <c r="O37" s="718"/>
      <c r="P37" s="718"/>
      <c r="Q37" s="718"/>
      <c r="R37" s="718"/>
      <c r="S37" s="718"/>
      <c r="T37" s="718"/>
      <c r="U37" s="718"/>
      <c r="V37" s="718"/>
      <c r="W37" s="718"/>
      <c r="X37" s="1304"/>
      <c r="Y37" s="1304"/>
      <c r="Z37" s="1304"/>
      <c r="AA37" s="1304"/>
      <c r="AB37" s="1304"/>
      <c r="AC37" s="718"/>
      <c r="AD37" s="718"/>
      <c r="AE37" s="718"/>
      <c r="AF37" s="718"/>
      <c r="AG37" s="718"/>
      <c r="AH37" s="718"/>
      <c r="AI37" s="718"/>
      <c r="AJ37" s="718"/>
      <c r="AK37" s="718"/>
      <c r="AL37" s="718"/>
    </row>
    <row r="38" spans="2:38" x14ac:dyDescent="0.3">
      <c r="B38" s="721" t="s">
        <v>1222</v>
      </c>
      <c r="C38" s="722"/>
      <c r="D38" s="722"/>
      <c r="E38" s="722"/>
      <c r="F38" s="722"/>
      <c r="G38" s="723"/>
      <c r="H38" s="4"/>
      <c r="I38" s="727"/>
      <c r="J38" s="4"/>
      <c r="K38" s="724"/>
      <c r="L38" s="725"/>
      <c r="M38" s="725"/>
      <c r="N38" s="724"/>
      <c r="O38" s="725"/>
      <c r="P38" s="725"/>
      <c r="Q38" s="725"/>
      <c r="R38" s="726"/>
      <c r="S38" s="724"/>
      <c r="T38" s="725"/>
      <c r="U38" s="725"/>
      <c r="V38" s="725"/>
      <c r="W38" s="726"/>
      <c r="X38" s="1286"/>
      <c r="Y38" s="1287"/>
      <c r="Z38" s="1287"/>
      <c r="AA38" s="1287"/>
      <c r="AB38" s="1288"/>
      <c r="AC38" s="724"/>
      <c r="AD38" s="725"/>
      <c r="AE38" s="725"/>
      <c r="AF38" s="725"/>
      <c r="AG38" s="726"/>
      <c r="AH38" s="724"/>
      <c r="AI38" s="725"/>
      <c r="AJ38" s="725"/>
      <c r="AK38" s="725"/>
      <c r="AL38" s="726"/>
    </row>
    <row r="39" spans="2:38" x14ac:dyDescent="0.3">
      <c r="B39" s="721" t="s">
        <v>1223</v>
      </c>
      <c r="C39" s="252"/>
      <c r="D39" s="252"/>
      <c r="E39" s="252"/>
      <c r="F39" s="252"/>
      <c r="G39" s="253"/>
      <c r="H39" s="4"/>
      <c r="I39" s="727"/>
      <c r="J39" s="4"/>
      <c r="K39" s="728"/>
      <c r="L39" s="729"/>
      <c r="M39" s="729"/>
      <c r="N39" s="728"/>
      <c r="O39" s="729"/>
      <c r="P39" s="729"/>
      <c r="Q39" s="729"/>
      <c r="R39" s="730"/>
      <c r="S39" s="728"/>
      <c r="T39" s="729"/>
      <c r="U39" s="729"/>
      <c r="V39" s="729"/>
      <c r="W39" s="730"/>
      <c r="X39" s="1289"/>
      <c r="Y39" s="1290"/>
      <c r="Z39" s="1290"/>
      <c r="AA39" s="1290"/>
      <c r="AB39" s="1291"/>
      <c r="AC39" s="728"/>
      <c r="AD39" s="729"/>
      <c r="AE39" s="729"/>
      <c r="AF39" s="729"/>
      <c r="AG39" s="730"/>
      <c r="AH39" s="728"/>
      <c r="AI39" s="729"/>
      <c r="AJ39" s="729"/>
      <c r="AK39" s="729"/>
      <c r="AL39" s="730"/>
    </row>
    <row r="40" spans="2:38" x14ac:dyDescent="0.3">
      <c r="B40" s="721" t="s">
        <v>1083</v>
      </c>
      <c r="C40" s="252"/>
      <c r="D40" s="252"/>
      <c r="E40" s="252"/>
      <c r="F40" s="252"/>
      <c r="G40" s="253"/>
      <c r="H40" s="4"/>
      <c r="I40" s="727"/>
      <c r="J40" s="4"/>
      <c r="K40" s="728"/>
      <c r="L40" s="729"/>
      <c r="M40" s="729"/>
      <c r="N40" s="728"/>
      <c r="O40" s="729"/>
      <c r="P40" s="729"/>
      <c r="Q40" s="729"/>
      <c r="R40" s="730"/>
      <c r="S40" s="728"/>
      <c r="T40" s="729"/>
      <c r="U40" s="729"/>
      <c r="V40" s="729"/>
      <c r="W40" s="730"/>
      <c r="X40" s="1289"/>
      <c r="Y40" s="1290"/>
      <c r="Z40" s="1290"/>
      <c r="AA40" s="1290"/>
      <c r="AB40" s="1291"/>
      <c r="AC40" s="728"/>
      <c r="AD40" s="729"/>
      <c r="AE40" s="729"/>
      <c r="AF40" s="729"/>
      <c r="AG40" s="730"/>
      <c r="AH40" s="728"/>
      <c r="AI40" s="729"/>
      <c r="AJ40" s="729"/>
      <c r="AK40" s="729"/>
      <c r="AL40" s="730"/>
    </row>
    <row r="41" spans="2:38" x14ac:dyDescent="0.3">
      <c r="B41" s="721" t="s">
        <v>1224</v>
      </c>
      <c r="C41" s="252"/>
      <c r="D41" s="252"/>
      <c r="E41" s="252"/>
      <c r="F41" s="252"/>
      <c r="G41" s="253"/>
      <c r="H41" s="4"/>
      <c r="I41" s="727"/>
      <c r="J41" s="4"/>
      <c r="K41" s="728"/>
      <c r="L41" s="729"/>
      <c r="M41" s="729"/>
      <c r="N41" s="728"/>
      <c r="O41" s="729"/>
      <c r="P41" s="729"/>
      <c r="Q41" s="729"/>
      <c r="R41" s="730"/>
      <c r="S41" s="728"/>
      <c r="T41" s="729"/>
      <c r="U41" s="729"/>
      <c r="V41" s="729"/>
      <c r="W41" s="730"/>
      <c r="X41" s="1289"/>
      <c r="Y41" s="1290"/>
      <c r="Z41" s="1290"/>
      <c r="AA41" s="1290"/>
      <c r="AB41" s="1291"/>
      <c r="AC41" s="728"/>
      <c r="AD41" s="729"/>
      <c r="AE41" s="729"/>
      <c r="AF41" s="729"/>
      <c r="AG41" s="730"/>
      <c r="AH41" s="728"/>
      <c r="AI41" s="729"/>
      <c r="AJ41" s="729"/>
      <c r="AK41" s="729"/>
      <c r="AL41" s="730"/>
    </row>
    <row r="42" spans="2:38" x14ac:dyDescent="0.3">
      <c r="B42" s="721" t="s">
        <v>1225</v>
      </c>
      <c r="C42" s="252"/>
      <c r="D42" s="252"/>
      <c r="E42" s="252"/>
      <c r="F42" s="252"/>
      <c r="G42" s="253"/>
      <c r="H42" s="4"/>
      <c r="I42" s="727"/>
      <c r="J42" s="4"/>
      <c r="K42" s="728"/>
      <c r="L42" s="729"/>
      <c r="M42" s="729"/>
      <c r="N42" s="728"/>
      <c r="O42" s="729"/>
      <c r="P42" s="729"/>
      <c r="Q42" s="729"/>
      <c r="R42" s="730"/>
      <c r="S42" s="728"/>
      <c r="T42" s="729"/>
      <c r="U42" s="729"/>
      <c r="V42" s="729"/>
      <c r="W42" s="730"/>
      <c r="X42" s="1289"/>
      <c r="Y42" s="1290"/>
      <c r="Z42" s="1290"/>
      <c r="AA42" s="1290"/>
      <c r="AB42" s="1291"/>
      <c r="AC42" s="728"/>
      <c r="AD42" s="729"/>
      <c r="AE42" s="729"/>
      <c r="AF42" s="729"/>
      <c r="AG42" s="730"/>
      <c r="AH42" s="728"/>
      <c r="AI42" s="729"/>
      <c r="AJ42" s="729"/>
      <c r="AK42" s="729"/>
      <c r="AL42" s="730"/>
    </row>
    <row r="43" spans="2:38" x14ac:dyDescent="0.3">
      <c r="B43" s="721" t="s">
        <v>657</v>
      </c>
      <c r="C43" s="252"/>
      <c r="D43" s="252"/>
      <c r="E43" s="252"/>
      <c r="F43" s="252"/>
      <c r="G43" s="253"/>
      <c r="H43" s="4"/>
      <c r="I43" s="727"/>
      <c r="J43" s="4"/>
      <c r="K43" s="728"/>
      <c r="L43" s="729"/>
      <c r="M43" s="729"/>
      <c r="N43" s="728"/>
      <c r="O43" s="729"/>
      <c r="P43" s="729"/>
      <c r="Q43" s="729"/>
      <c r="R43" s="730"/>
      <c r="S43" s="728"/>
      <c r="T43" s="729"/>
      <c r="U43" s="729"/>
      <c r="V43" s="729"/>
      <c r="W43" s="730"/>
      <c r="X43" s="1289"/>
      <c r="Y43" s="1290"/>
      <c r="Z43" s="1290"/>
      <c r="AA43" s="1290"/>
      <c r="AB43" s="1291"/>
      <c r="AC43" s="728"/>
      <c r="AD43" s="729"/>
      <c r="AE43" s="729"/>
      <c r="AF43" s="729"/>
      <c r="AG43" s="730"/>
      <c r="AH43" s="728"/>
      <c r="AI43" s="729"/>
      <c r="AJ43" s="729"/>
      <c r="AK43" s="729"/>
      <c r="AL43" s="730"/>
    </row>
    <row r="44" spans="2:38" x14ac:dyDescent="0.3">
      <c r="B44" s="721" t="s">
        <v>658</v>
      </c>
      <c r="C44" s="252"/>
      <c r="D44" s="252"/>
      <c r="E44" s="252"/>
      <c r="F44" s="252"/>
      <c r="G44" s="253"/>
      <c r="H44" s="4"/>
      <c r="I44" s="727"/>
      <c r="J44" s="4"/>
      <c r="K44" s="728"/>
      <c r="L44" s="729"/>
      <c r="M44" s="729"/>
      <c r="N44" s="728"/>
      <c r="O44" s="729"/>
      <c r="P44" s="729"/>
      <c r="Q44" s="729"/>
      <c r="R44" s="730"/>
      <c r="S44" s="728"/>
      <c r="T44" s="729"/>
      <c r="U44" s="729"/>
      <c r="V44" s="729"/>
      <c r="W44" s="730"/>
      <c r="X44" s="1289"/>
      <c r="Y44" s="1290"/>
      <c r="Z44" s="1290"/>
      <c r="AA44" s="1290"/>
      <c r="AB44" s="1291"/>
      <c r="AC44" s="728"/>
      <c r="AD44" s="729"/>
      <c r="AE44" s="729"/>
      <c r="AF44" s="729"/>
      <c r="AG44" s="730"/>
      <c r="AH44" s="728"/>
      <c r="AI44" s="729"/>
      <c r="AJ44" s="729"/>
      <c r="AK44" s="729"/>
      <c r="AL44" s="730"/>
    </row>
    <row r="45" spans="2:38" x14ac:dyDescent="0.3">
      <c r="B45" s="721" t="s">
        <v>659</v>
      </c>
      <c r="C45" s="252"/>
      <c r="D45" s="252"/>
      <c r="E45" s="252"/>
      <c r="F45" s="252"/>
      <c r="G45" s="253"/>
      <c r="H45" s="4"/>
      <c r="I45" s="727"/>
      <c r="J45" s="4"/>
      <c r="K45" s="728"/>
      <c r="L45" s="729"/>
      <c r="M45" s="729"/>
      <c r="N45" s="728"/>
      <c r="O45" s="729"/>
      <c r="P45" s="729"/>
      <c r="Q45" s="729"/>
      <c r="R45" s="730"/>
      <c r="S45" s="728"/>
      <c r="T45" s="729"/>
      <c r="U45" s="729"/>
      <c r="V45" s="729"/>
      <c r="W45" s="730"/>
      <c r="X45" s="1289"/>
      <c r="Y45" s="1290"/>
      <c r="Z45" s="1290"/>
      <c r="AA45" s="1290"/>
      <c r="AB45" s="1291"/>
      <c r="AC45" s="728"/>
      <c r="AD45" s="729"/>
      <c r="AE45" s="729"/>
      <c r="AF45" s="729"/>
      <c r="AG45" s="730"/>
      <c r="AH45" s="728"/>
      <c r="AI45" s="729"/>
      <c r="AJ45" s="729"/>
      <c r="AK45" s="729"/>
      <c r="AL45" s="730"/>
    </row>
    <row r="46" spans="2:38" x14ac:dyDescent="0.3">
      <c r="B46" s="721" t="s">
        <v>660</v>
      </c>
      <c r="C46" s="252"/>
      <c r="D46" s="252"/>
      <c r="E46" s="252"/>
      <c r="F46" s="252"/>
      <c r="G46" s="253"/>
      <c r="H46" s="4"/>
      <c r="I46" s="727"/>
      <c r="J46" s="4"/>
      <c r="K46" s="728"/>
      <c r="L46" s="729"/>
      <c r="M46" s="729"/>
      <c r="N46" s="728"/>
      <c r="O46" s="729"/>
      <c r="P46" s="729"/>
      <c r="Q46" s="729"/>
      <c r="R46" s="730"/>
      <c r="S46" s="728"/>
      <c r="T46" s="729"/>
      <c r="U46" s="729"/>
      <c r="V46" s="729"/>
      <c r="W46" s="730"/>
      <c r="X46" s="1289"/>
      <c r="Y46" s="1290"/>
      <c r="Z46" s="1290"/>
      <c r="AA46" s="1290"/>
      <c r="AB46" s="1291"/>
      <c r="AC46" s="728"/>
      <c r="AD46" s="729"/>
      <c r="AE46" s="729"/>
      <c r="AF46" s="729"/>
      <c r="AG46" s="730"/>
      <c r="AH46" s="728"/>
      <c r="AI46" s="729"/>
      <c r="AJ46" s="729"/>
      <c r="AK46" s="729"/>
      <c r="AL46" s="730"/>
    </row>
    <row r="47" spans="2:38" x14ac:dyDescent="0.3">
      <c r="B47" s="721" t="s">
        <v>661</v>
      </c>
      <c r="C47" s="252"/>
      <c r="D47" s="252"/>
      <c r="E47" s="252"/>
      <c r="F47" s="252"/>
      <c r="G47" s="253"/>
      <c r="H47" s="4"/>
      <c r="I47" s="727"/>
      <c r="J47" s="4"/>
      <c r="K47" s="731"/>
      <c r="L47" s="732"/>
      <c r="M47" s="732"/>
      <c r="N47" s="731"/>
      <c r="O47" s="732"/>
      <c r="P47" s="732"/>
      <c r="Q47" s="732"/>
      <c r="R47" s="733"/>
      <c r="S47" s="731"/>
      <c r="T47" s="732"/>
      <c r="U47" s="732"/>
      <c r="V47" s="732"/>
      <c r="W47" s="733"/>
      <c r="X47" s="2146"/>
      <c r="Y47" s="2147"/>
      <c r="Z47" s="2147"/>
      <c r="AA47" s="2147"/>
      <c r="AB47" s="2148"/>
      <c r="AC47" s="731"/>
      <c r="AD47" s="732"/>
      <c r="AE47" s="732"/>
      <c r="AF47" s="732"/>
      <c r="AG47" s="733"/>
      <c r="AH47" s="731"/>
      <c r="AI47" s="732"/>
      <c r="AJ47" s="732"/>
      <c r="AK47" s="732"/>
      <c r="AL47" s="733"/>
    </row>
    <row r="48" spans="2:38" x14ac:dyDescent="0.3">
      <c r="K48" s="718"/>
      <c r="L48" s="718"/>
      <c r="M48" s="718"/>
      <c r="N48" s="718"/>
      <c r="O48" s="718"/>
      <c r="P48" s="718"/>
      <c r="Q48" s="718"/>
      <c r="R48" s="718"/>
      <c r="S48" s="718"/>
      <c r="T48" s="718"/>
      <c r="U48" s="718"/>
      <c r="V48" s="718"/>
      <c r="W48" s="718"/>
      <c r="X48" s="1304"/>
      <c r="Y48" s="1304"/>
      <c r="Z48" s="1304"/>
      <c r="AA48" s="1304"/>
      <c r="AB48" s="1304"/>
      <c r="AC48" s="718"/>
      <c r="AD48" s="718"/>
      <c r="AE48" s="718"/>
      <c r="AF48" s="718"/>
      <c r="AG48" s="718"/>
      <c r="AH48" s="718"/>
      <c r="AI48" s="718"/>
      <c r="AJ48" s="718"/>
      <c r="AK48" s="718"/>
      <c r="AL48" s="718"/>
    </row>
    <row r="49" spans="1:38" x14ac:dyDescent="0.3">
      <c r="K49" s="718"/>
      <c r="L49" s="718"/>
      <c r="M49" s="718"/>
      <c r="N49" s="718"/>
      <c r="O49" s="718"/>
      <c r="P49" s="718"/>
      <c r="Q49" s="718"/>
      <c r="R49" s="718"/>
      <c r="S49" s="718"/>
      <c r="T49" s="718"/>
      <c r="U49" s="718"/>
      <c r="V49" s="718"/>
      <c r="W49" s="718"/>
      <c r="X49" s="1304"/>
      <c r="Y49" s="1304"/>
      <c r="Z49" s="1304"/>
      <c r="AA49" s="1304"/>
      <c r="AB49" s="1304"/>
      <c r="AC49" s="718"/>
      <c r="AD49" s="718"/>
      <c r="AE49" s="718"/>
      <c r="AF49" s="718"/>
      <c r="AG49" s="718"/>
      <c r="AH49" s="718"/>
      <c r="AI49" s="718"/>
      <c r="AJ49" s="718"/>
      <c r="AK49" s="718"/>
      <c r="AL49" s="718"/>
    </row>
    <row r="50" spans="1:38" ht="13" x14ac:dyDescent="0.3">
      <c r="B50" s="716" t="s">
        <v>663</v>
      </c>
      <c r="C50" s="721" t="s">
        <v>1217</v>
      </c>
      <c r="D50" s="252"/>
      <c r="E50" s="252"/>
      <c r="F50" s="252"/>
      <c r="G50" s="252"/>
      <c r="H50" s="252"/>
      <c r="I50" s="253"/>
      <c r="K50" s="718"/>
      <c r="L50" s="718"/>
      <c r="M50" s="718"/>
      <c r="N50" s="718"/>
      <c r="O50" s="718"/>
      <c r="P50" s="718"/>
      <c r="Q50" s="718"/>
      <c r="R50" s="718"/>
      <c r="S50" s="718"/>
      <c r="T50" s="718"/>
      <c r="U50" s="718"/>
      <c r="V50" s="718"/>
      <c r="W50" s="718"/>
      <c r="X50" s="1304"/>
      <c r="Y50" s="1304"/>
      <c r="Z50" s="1304"/>
      <c r="AA50" s="1304"/>
      <c r="AB50" s="1304"/>
      <c r="AC50" s="718"/>
      <c r="AD50" s="718"/>
      <c r="AE50" s="718"/>
      <c r="AF50" s="718"/>
      <c r="AG50" s="718"/>
      <c r="AH50" s="718"/>
      <c r="AI50" s="718"/>
      <c r="AJ50" s="718"/>
      <c r="AK50" s="718"/>
      <c r="AL50" s="718"/>
    </row>
    <row r="51" spans="1:38" x14ac:dyDescent="0.3">
      <c r="K51" s="718"/>
      <c r="L51" s="718"/>
      <c r="M51" s="718"/>
      <c r="N51" s="718"/>
      <c r="O51" s="718"/>
      <c r="P51" s="718"/>
      <c r="Q51" s="718"/>
      <c r="R51" s="718"/>
      <c r="S51" s="718"/>
      <c r="T51" s="718"/>
      <c r="U51" s="718"/>
      <c r="V51" s="718"/>
      <c r="W51" s="718"/>
      <c r="X51" s="1304"/>
      <c r="Y51" s="1304"/>
      <c r="Z51" s="1304"/>
      <c r="AA51" s="1304"/>
      <c r="AB51" s="1304"/>
      <c r="AC51" s="718"/>
      <c r="AD51" s="718"/>
      <c r="AE51" s="718"/>
      <c r="AF51" s="718"/>
      <c r="AG51" s="718"/>
      <c r="AH51" s="718"/>
      <c r="AI51" s="718"/>
      <c r="AJ51" s="718"/>
      <c r="AK51" s="718"/>
      <c r="AL51" s="718"/>
    </row>
    <row r="52" spans="1:38" x14ac:dyDescent="0.3">
      <c r="B52" s="721" t="s">
        <v>1226</v>
      </c>
      <c r="C52" s="722"/>
      <c r="D52" s="722"/>
      <c r="E52" s="722"/>
      <c r="F52" s="722"/>
      <c r="G52" s="723"/>
      <c r="H52" s="4"/>
      <c r="I52" s="727"/>
      <c r="J52" s="4"/>
      <c r="K52" s="724"/>
      <c r="L52" s="725"/>
      <c r="M52" s="725"/>
      <c r="N52" s="724"/>
      <c r="O52" s="725"/>
      <c r="P52" s="725"/>
      <c r="Q52" s="725"/>
      <c r="R52" s="726"/>
      <c r="S52" s="724"/>
      <c r="T52" s="725"/>
      <c r="U52" s="725"/>
      <c r="V52" s="725"/>
      <c r="W52" s="726"/>
      <c r="X52" s="1286"/>
      <c r="Y52" s="1287"/>
      <c r="Z52" s="1287"/>
      <c r="AA52" s="1287"/>
      <c r="AB52" s="1288"/>
      <c r="AC52" s="724"/>
      <c r="AD52" s="725"/>
      <c r="AE52" s="725"/>
      <c r="AF52" s="725"/>
      <c r="AG52" s="726"/>
      <c r="AH52" s="724"/>
      <c r="AI52" s="725"/>
      <c r="AJ52" s="725"/>
      <c r="AK52" s="725"/>
      <c r="AL52" s="726"/>
    </row>
    <row r="53" spans="1:38" x14ac:dyDescent="0.3">
      <c r="B53" s="721" t="s">
        <v>1227</v>
      </c>
      <c r="C53" s="252"/>
      <c r="D53" s="252"/>
      <c r="E53" s="252"/>
      <c r="F53" s="252"/>
      <c r="G53" s="253"/>
      <c r="H53" s="4"/>
      <c r="I53" s="727"/>
      <c r="J53" s="4"/>
      <c r="K53" s="728"/>
      <c r="L53" s="729"/>
      <c r="M53" s="729"/>
      <c r="N53" s="728"/>
      <c r="O53" s="729"/>
      <c r="P53" s="729"/>
      <c r="Q53" s="729"/>
      <c r="R53" s="730"/>
      <c r="S53" s="728"/>
      <c r="T53" s="729"/>
      <c r="U53" s="729"/>
      <c r="V53" s="729"/>
      <c r="W53" s="730"/>
      <c r="X53" s="1289"/>
      <c r="Y53" s="1290"/>
      <c r="Z53" s="1290"/>
      <c r="AA53" s="1290"/>
      <c r="AB53" s="1291"/>
      <c r="AC53" s="728"/>
      <c r="AD53" s="729"/>
      <c r="AE53" s="729"/>
      <c r="AF53" s="729"/>
      <c r="AG53" s="730"/>
      <c r="AH53" s="728"/>
      <c r="AI53" s="729"/>
      <c r="AJ53" s="729"/>
      <c r="AK53" s="729"/>
      <c r="AL53" s="730"/>
    </row>
    <row r="54" spans="1:38" x14ac:dyDescent="0.3">
      <c r="B54" s="721" t="s">
        <v>1228</v>
      </c>
      <c r="C54" s="252"/>
      <c r="D54" s="252"/>
      <c r="E54" s="252"/>
      <c r="F54" s="252"/>
      <c r="G54" s="253"/>
      <c r="H54" s="4"/>
      <c r="I54" s="727"/>
      <c r="J54" s="4"/>
      <c r="K54" s="728"/>
      <c r="L54" s="729"/>
      <c r="M54" s="729"/>
      <c r="N54" s="728"/>
      <c r="O54" s="729"/>
      <c r="P54" s="729"/>
      <c r="Q54" s="729"/>
      <c r="R54" s="730"/>
      <c r="S54" s="728"/>
      <c r="T54" s="729"/>
      <c r="U54" s="729"/>
      <c r="V54" s="729"/>
      <c r="W54" s="730"/>
      <c r="X54" s="1289"/>
      <c r="Y54" s="1290"/>
      <c r="Z54" s="1290"/>
      <c r="AA54" s="1290"/>
      <c r="AB54" s="1291"/>
      <c r="AC54" s="728"/>
      <c r="AD54" s="729"/>
      <c r="AE54" s="729"/>
      <c r="AF54" s="729"/>
      <c r="AG54" s="730"/>
      <c r="AH54" s="728"/>
      <c r="AI54" s="729"/>
      <c r="AJ54" s="729"/>
      <c r="AK54" s="729"/>
      <c r="AL54" s="730"/>
    </row>
    <row r="55" spans="1:38" x14ac:dyDescent="0.3">
      <c r="B55" s="721" t="s">
        <v>1229</v>
      </c>
      <c r="C55" s="252"/>
      <c r="D55" s="252"/>
      <c r="E55" s="252"/>
      <c r="F55" s="252"/>
      <c r="G55" s="253"/>
      <c r="H55" s="4"/>
      <c r="I55" s="727"/>
      <c r="J55" s="4"/>
      <c r="K55" s="728"/>
      <c r="L55" s="729"/>
      <c r="M55" s="729"/>
      <c r="N55" s="728"/>
      <c r="O55" s="729"/>
      <c r="P55" s="729"/>
      <c r="Q55" s="729"/>
      <c r="R55" s="730"/>
      <c r="S55" s="728"/>
      <c r="T55" s="729"/>
      <c r="U55" s="729"/>
      <c r="V55" s="729"/>
      <c r="W55" s="730"/>
      <c r="X55" s="1289"/>
      <c r="Y55" s="1290"/>
      <c r="Z55" s="1290"/>
      <c r="AA55" s="1290"/>
      <c r="AB55" s="1291"/>
      <c r="AC55" s="728"/>
      <c r="AD55" s="729"/>
      <c r="AE55" s="729"/>
      <c r="AF55" s="729"/>
      <c r="AG55" s="730"/>
      <c r="AH55" s="728"/>
      <c r="AI55" s="729"/>
      <c r="AJ55" s="729"/>
      <c r="AK55" s="729"/>
      <c r="AL55" s="730"/>
    </row>
    <row r="56" spans="1:38" x14ac:dyDescent="0.3">
      <c r="B56" s="721" t="s">
        <v>656</v>
      </c>
      <c r="C56" s="252"/>
      <c r="D56" s="252"/>
      <c r="E56" s="252"/>
      <c r="F56" s="252"/>
      <c r="G56" s="253"/>
      <c r="H56" s="4"/>
      <c r="I56" s="727"/>
      <c r="J56" s="4"/>
      <c r="K56" s="728"/>
      <c r="L56" s="729"/>
      <c r="M56" s="729"/>
      <c r="N56" s="728"/>
      <c r="O56" s="729"/>
      <c r="P56" s="729"/>
      <c r="Q56" s="729"/>
      <c r="R56" s="730"/>
      <c r="S56" s="728"/>
      <c r="T56" s="729"/>
      <c r="U56" s="729"/>
      <c r="V56" s="729"/>
      <c r="W56" s="730"/>
      <c r="X56" s="1289"/>
      <c r="Y56" s="1290"/>
      <c r="Z56" s="1290"/>
      <c r="AA56" s="1290"/>
      <c r="AB56" s="1291"/>
      <c r="AC56" s="728"/>
      <c r="AD56" s="729"/>
      <c r="AE56" s="729"/>
      <c r="AF56" s="729"/>
      <c r="AG56" s="730"/>
      <c r="AH56" s="728"/>
      <c r="AI56" s="729"/>
      <c r="AJ56" s="729"/>
      <c r="AK56" s="729"/>
      <c r="AL56" s="730"/>
    </row>
    <row r="57" spans="1:38" x14ac:dyDescent="0.3">
      <c r="B57" s="721" t="s">
        <v>657</v>
      </c>
      <c r="C57" s="252"/>
      <c r="D57" s="252"/>
      <c r="E57" s="252"/>
      <c r="F57" s="252"/>
      <c r="G57" s="253"/>
      <c r="H57" s="4"/>
      <c r="I57" s="727"/>
      <c r="J57" s="4"/>
      <c r="K57" s="728"/>
      <c r="L57" s="729"/>
      <c r="M57" s="729"/>
      <c r="N57" s="728"/>
      <c r="O57" s="729"/>
      <c r="P57" s="729"/>
      <c r="Q57" s="729"/>
      <c r="R57" s="730"/>
      <c r="S57" s="728"/>
      <c r="T57" s="729"/>
      <c r="U57" s="729"/>
      <c r="V57" s="729"/>
      <c r="W57" s="730"/>
      <c r="X57" s="1289"/>
      <c r="Y57" s="1290"/>
      <c r="Z57" s="1290"/>
      <c r="AA57" s="1290"/>
      <c r="AB57" s="1291"/>
      <c r="AC57" s="728"/>
      <c r="AD57" s="729"/>
      <c r="AE57" s="729"/>
      <c r="AF57" s="729"/>
      <c r="AG57" s="730"/>
      <c r="AH57" s="728"/>
      <c r="AI57" s="729"/>
      <c r="AJ57" s="729"/>
      <c r="AK57" s="729"/>
      <c r="AL57" s="730"/>
    </row>
    <row r="58" spans="1:38" x14ac:dyDescent="0.3">
      <c r="B58" s="721" t="s">
        <v>658</v>
      </c>
      <c r="C58" s="252"/>
      <c r="D58" s="252"/>
      <c r="E58" s="252"/>
      <c r="F58" s="252"/>
      <c r="G58" s="253"/>
      <c r="H58" s="4"/>
      <c r="I58" s="727"/>
      <c r="J58" s="4"/>
      <c r="K58" s="728"/>
      <c r="L58" s="729"/>
      <c r="M58" s="729"/>
      <c r="N58" s="728"/>
      <c r="O58" s="729"/>
      <c r="P58" s="729"/>
      <c r="Q58" s="729"/>
      <c r="R58" s="730"/>
      <c r="S58" s="728"/>
      <c r="T58" s="729"/>
      <c r="U58" s="729"/>
      <c r="V58" s="729"/>
      <c r="W58" s="730"/>
      <c r="X58" s="1289"/>
      <c r="Y58" s="1290"/>
      <c r="Z58" s="1290"/>
      <c r="AA58" s="1290"/>
      <c r="AB58" s="1291"/>
      <c r="AC58" s="728"/>
      <c r="AD58" s="729"/>
      <c r="AE58" s="729"/>
      <c r="AF58" s="729"/>
      <c r="AG58" s="730"/>
      <c r="AH58" s="728"/>
      <c r="AI58" s="729"/>
      <c r="AJ58" s="729"/>
      <c r="AK58" s="729"/>
      <c r="AL58" s="730"/>
    </row>
    <row r="59" spans="1:38" x14ac:dyDescent="0.3">
      <c r="B59" s="721" t="s">
        <v>659</v>
      </c>
      <c r="C59" s="252"/>
      <c r="D59" s="252"/>
      <c r="E59" s="252"/>
      <c r="F59" s="252"/>
      <c r="G59" s="253"/>
      <c r="H59" s="4"/>
      <c r="I59" s="727"/>
      <c r="J59" s="4"/>
      <c r="K59" s="728"/>
      <c r="L59" s="729"/>
      <c r="M59" s="729"/>
      <c r="N59" s="728"/>
      <c r="O59" s="729"/>
      <c r="P59" s="729"/>
      <c r="Q59" s="729"/>
      <c r="R59" s="730"/>
      <c r="S59" s="728"/>
      <c r="T59" s="729"/>
      <c r="U59" s="729"/>
      <c r="V59" s="729"/>
      <c r="W59" s="730"/>
      <c r="X59" s="1289"/>
      <c r="Y59" s="1290"/>
      <c r="Z59" s="1290"/>
      <c r="AA59" s="1290"/>
      <c r="AB59" s="1291"/>
      <c r="AC59" s="728"/>
      <c r="AD59" s="729"/>
      <c r="AE59" s="729"/>
      <c r="AF59" s="729"/>
      <c r="AG59" s="730"/>
      <c r="AH59" s="728"/>
      <c r="AI59" s="729"/>
      <c r="AJ59" s="729"/>
      <c r="AK59" s="729"/>
      <c r="AL59" s="730"/>
    </row>
    <row r="60" spans="1:38" x14ac:dyDescent="0.3">
      <c r="B60" s="721" t="s">
        <v>660</v>
      </c>
      <c r="C60" s="252"/>
      <c r="D60" s="252"/>
      <c r="E60" s="252"/>
      <c r="F60" s="252"/>
      <c r="G60" s="253"/>
      <c r="H60" s="4"/>
      <c r="I60" s="727"/>
      <c r="J60" s="4"/>
      <c r="K60" s="728"/>
      <c r="L60" s="729"/>
      <c r="M60" s="729"/>
      <c r="N60" s="728"/>
      <c r="O60" s="729"/>
      <c r="P60" s="729"/>
      <c r="Q60" s="729"/>
      <c r="R60" s="730"/>
      <c r="S60" s="728"/>
      <c r="T60" s="729"/>
      <c r="U60" s="729"/>
      <c r="V60" s="729"/>
      <c r="W60" s="730"/>
      <c r="X60" s="1289"/>
      <c r="Y60" s="1290"/>
      <c r="Z60" s="1290"/>
      <c r="AA60" s="1290"/>
      <c r="AB60" s="1291"/>
      <c r="AC60" s="728"/>
      <c r="AD60" s="729"/>
      <c r="AE60" s="729"/>
      <c r="AF60" s="729"/>
      <c r="AG60" s="730"/>
      <c r="AH60" s="728"/>
      <c r="AI60" s="729"/>
      <c r="AJ60" s="729"/>
      <c r="AK60" s="729"/>
      <c r="AL60" s="730"/>
    </row>
    <row r="61" spans="1:38" x14ac:dyDescent="0.3">
      <c r="B61" s="721" t="s">
        <v>661</v>
      </c>
      <c r="C61" s="252"/>
      <c r="D61" s="252"/>
      <c r="E61" s="252"/>
      <c r="F61" s="252"/>
      <c r="G61" s="253"/>
      <c r="H61" s="4"/>
      <c r="I61" s="727"/>
      <c r="J61" s="4"/>
      <c r="K61" s="731"/>
      <c r="L61" s="732"/>
      <c r="M61" s="732"/>
      <c r="N61" s="731"/>
      <c r="O61" s="732"/>
      <c r="P61" s="732"/>
      <c r="Q61" s="732"/>
      <c r="R61" s="733"/>
      <c r="S61" s="731"/>
      <c r="T61" s="732"/>
      <c r="U61" s="732"/>
      <c r="V61" s="732"/>
      <c r="W61" s="733"/>
      <c r="X61" s="2146"/>
      <c r="Y61" s="2147"/>
      <c r="Z61" s="2147"/>
      <c r="AA61" s="2147"/>
      <c r="AB61" s="2148"/>
      <c r="AC61" s="731"/>
      <c r="AD61" s="732"/>
      <c r="AE61" s="732"/>
      <c r="AF61" s="732"/>
      <c r="AG61" s="733"/>
      <c r="AH61" s="731"/>
      <c r="AI61" s="732"/>
      <c r="AJ61" s="732"/>
      <c r="AK61" s="732"/>
      <c r="AL61" s="733"/>
    </row>
    <row r="62" spans="1:38" x14ac:dyDescent="0.3">
      <c r="A62" s="84"/>
      <c r="B62" s="84"/>
      <c r="C62" s="84"/>
      <c r="D62" s="84"/>
      <c r="E62" s="84"/>
      <c r="F62" s="84"/>
      <c r="G62" s="84"/>
      <c r="H62" s="84"/>
      <c r="I62" s="84"/>
      <c r="J62" s="84"/>
      <c r="K62" s="717"/>
      <c r="L62" s="717"/>
      <c r="M62" s="717"/>
      <c r="N62" s="717"/>
      <c r="O62" s="717"/>
      <c r="P62" s="717"/>
      <c r="Q62" s="717"/>
      <c r="R62" s="717"/>
      <c r="S62" s="717"/>
      <c r="T62" s="717"/>
      <c r="U62" s="717"/>
      <c r="V62" s="717"/>
      <c r="W62" s="717"/>
      <c r="X62" s="2017"/>
      <c r="Y62" s="2017"/>
      <c r="Z62" s="2017"/>
      <c r="AA62" s="2017"/>
      <c r="AB62" s="2017"/>
      <c r="AC62" s="717"/>
      <c r="AD62" s="717"/>
      <c r="AE62" s="717"/>
      <c r="AF62" s="717"/>
      <c r="AG62" s="717"/>
      <c r="AH62" s="717"/>
      <c r="AI62" s="717"/>
      <c r="AJ62" s="717"/>
      <c r="AK62" s="717"/>
      <c r="AL62" s="717"/>
    </row>
    <row r="63" spans="1:38" x14ac:dyDescent="0.3">
      <c r="A63" s="84"/>
      <c r="B63" s="84"/>
      <c r="C63" s="84"/>
      <c r="D63" s="84"/>
      <c r="E63" s="84"/>
      <c r="F63" s="84"/>
      <c r="G63" s="84"/>
      <c r="H63" s="84"/>
      <c r="I63" s="84"/>
      <c r="J63" s="84"/>
      <c r="K63" s="717"/>
      <c r="L63" s="717"/>
      <c r="M63" s="717"/>
      <c r="N63" s="717"/>
      <c r="O63" s="717"/>
      <c r="P63" s="717"/>
      <c r="Q63" s="717"/>
      <c r="R63" s="717"/>
      <c r="S63" s="717"/>
      <c r="T63" s="717"/>
      <c r="U63" s="717"/>
      <c r="V63" s="717"/>
      <c r="W63" s="717"/>
      <c r="X63" s="2017"/>
      <c r="Y63" s="2017"/>
      <c r="Z63" s="2017"/>
      <c r="AA63" s="2017"/>
      <c r="AB63" s="2017"/>
      <c r="AC63" s="717"/>
      <c r="AD63" s="717"/>
      <c r="AE63" s="717"/>
      <c r="AF63" s="717"/>
      <c r="AG63" s="717"/>
      <c r="AH63" s="717"/>
      <c r="AI63" s="717"/>
      <c r="AJ63" s="717"/>
      <c r="AK63" s="717"/>
      <c r="AL63" s="717"/>
    </row>
    <row r="64" spans="1:38" ht="13" x14ac:dyDescent="0.3">
      <c r="B64" s="716" t="s">
        <v>664</v>
      </c>
      <c r="C64" s="721"/>
      <c r="D64" s="252"/>
      <c r="E64" s="252"/>
      <c r="F64" s="252"/>
      <c r="G64" s="252"/>
      <c r="H64" s="252"/>
      <c r="I64" s="253"/>
      <c r="K64" s="718"/>
      <c r="L64" s="718"/>
      <c r="M64" s="718"/>
      <c r="N64" s="718"/>
      <c r="O64" s="718"/>
      <c r="P64" s="718"/>
      <c r="Q64" s="718"/>
      <c r="R64" s="718"/>
      <c r="S64" s="718"/>
      <c r="T64" s="718"/>
      <c r="U64" s="718"/>
      <c r="V64" s="718"/>
      <c r="W64" s="718"/>
      <c r="X64" s="1304"/>
      <c r="Y64" s="1304"/>
      <c r="Z64" s="1304"/>
      <c r="AA64" s="1304"/>
      <c r="AB64" s="1304"/>
      <c r="AC64" s="718"/>
      <c r="AD64" s="718"/>
      <c r="AE64" s="718"/>
      <c r="AF64" s="718"/>
      <c r="AG64" s="718"/>
      <c r="AH64" s="718"/>
      <c r="AI64" s="718"/>
      <c r="AJ64" s="718"/>
      <c r="AK64" s="718"/>
      <c r="AL64" s="718"/>
    </row>
    <row r="65" spans="2:38" x14ac:dyDescent="0.3">
      <c r="K65" s="718"/>
      <c r="L65" s="718"/>
      <c r="M65" s="718"/>
      <c r="N65" s="718"/>
      <c r="O65" s="718"/>
      <c r="P65" s="718"/>
      <c r="Q65" s="718"/>
      <c r="R65" s="718"/>
      <c r="S65" s="718"/>
      <c r="T65" s="718"/>
      <c r="U65" s="718"/>
      <c r="V65" s="718"/>
      <c r="W65" s="718"/>
      <c r="X65" s="1304"/>
      <c r="Y65" s="1304"/>
      <c r="Z65" s="1304"/>
      <c r="AA65" s="1304"/>
      <c r="AB65" s="1304"/>
      <c r="AC65" s="718"/>
      <c r="AD65" s="718"/>
      <c r="AE65" s="718"/>
      <c r="AF65" s="718"/>
      <c r="AG65" s="718"/>
      <c r="AH65" s="718"/>
      <c r="AI65" s="718"/>
      <c r="AJ65" s="718"/>
      <c r="AK65" s="718"/>
      <c r="AL65" s="718"/>
    </row>
    <row r="66" spans="2:38" x14ac:dyDescent="0.3">
      <c r="B66" s="721" t="s">
        <v>652</v>
      </c>
      <c r="C66" s="722"/>
      <c r="D66" s="722"/>
      <c r="E66" s="722"/>
      <c r="F66" s="722"/>
      <c r="G66" s="723"/>
      <c r="H66" s="4"/>
      <c r="I66" s="727"/>
      <c r="J66" s="4"/>
      <c r="K66" s="724"/>
      <c r="L66" s="725"/>
      <c r="M66" s="725"/>
      <c r="N66" s="724"/>
      <c r="O66" s="725"/>
      <c r="P66" s="725"/>
      <c r="Q66" s="725"/>
      <c r="R66" s="726"/>
      <c r="S66" s="724"/>
      <c r="T66" s="725"/>
      <c r="U66" s="725"/>
      <c r="V66" s="725"/>
      <c r="W66" s="726"/>
      <c r="X66" s="1286"/>
      <c r="Y66" s="1287"/>
      <c r="Z66" s="1287"/>
      <c r="AA66" s="1287"/>
      <c r="AB66" s="1288"/>
      <c r="AC66" s="724"/>
      <c r="AD66" s="725"/>
      <c r="AE66" s="725"/>
      <c r="AF66" s="725"/>
      <c r="AG66" s="726"/>
      <c r="AH66" s="724"/>
      <c r="AI66" s="725"/>
      <c r="AJ66" s="725"/>
      <c r="AK66" s="725"/>
      <c r="AL66" s="726"/>
    </row>
    <row r="67" spans="2:38" x14ac:dyDescent="0.3">
      <c r="B67" s="721" t="s">
        <v>653</v>
      </c>
      <c r="C67" s="252"/>
      <c r="D67" s="252"/>
      <c r="E67" s="252"/>
      <c r="F67" s="252"/>
      <c r="G67" s="253"/>
      <c r="H67" s="4"/>
      <c r="I67" s="727"/>
      <c r="J67" s="4"/>
      <c r="K67" s="728"/>
      <c r="L67" s="729"/>
      <c r="M67" s="729"/>
      <c r="N67" s="728"/>
      <c r="O67" s="729"/>
      <c r="P67" s="729"/>
      <c r="Q67" s="729"/>
      <c r="R67" s="730"/>
      <c r="S67" s="728"/>
      <c r="T67" s="729"/>
      <c r="U67" s="729"/>
      <c r="V67" s="729"/>
      <c r="W67" s="730"/>
      <c r="X67" s="1289"/>
      <c r="Y67" s="1290"/>
      <c r="Z67" s="1290"/>
      <c r="AA67" s="1290"/>
      <c r="AB67" s="1291"/>
      <c r="AC67" s="728"/>
      <c r="AD67" s="729"/>
      <c r="AE67" s="729"/>
      <c r="AF67" s="729"/>
      <c r="AG67" s="730"/>
      <c r="AH67" s="728"/>
      <c r="AI67" s="729"/>
      <c r="AJ67" s="729"/>
      <c r="AK67" s="729"/>
      <c r="AL67" s="730"/>
    </row>
    <row r="68" spans="2:38" x14ac:dyDescent="0.3">
      <c r="B68" s="721" t="s">
        <v>654</v>
      </c>
      <c r="C68" s="252"/>
      <c r="D68" s="252"/>
      <c r="E68" s="252"/>
      <c r="F68" s="252"/>
      <c r="G68" s="253"/>
      <c r="H68" s="4"/>
      <c r="I68" s="727"/>
      <c r="J68" s="4"/>
      <c r="K68" s="728"/>
      <c r="L68" s="729"/>
      <c r="M68" s="729"/>
      <c r="N68" s="728"/>
      <c r="O68" s="729"/>
      <c r="P68" s="729"/>
      <c r="Q68" s="729"/>
      <c r="R68" s="730"/>
      <c r="S68" s="728"/>
      <c r="T68" s="729"/>
      <c r="U68" s="729"/>
      <c r="V68" s="729"/>
      <c r="W68" s="730"/>
      <c r="X68" s="1289"/>
      <c r="Y68" s="1290"/>
      <c r="Z68" s="1290"/>
      <c r="AA68" s="1290"/>
      <c r="AB68" s="1291"/>
      <c r="AC68" s="728"/>
      <c r="AD68" s="729"/>
      <c r="AE68" s="729"/>
      <c r="AF68" s="729"/>
      <c r="AG68" s="730"/>
      <c r="AH68" s="728"/>
      <c r="AI68" s="729"/>
      <c r="AJ68" s="729"/>
      <c r="AK68" s="729"/>
      <c r="AL68" s="730"/>
    </row>
    <row r="69" spans="2:38" x14ac:dyDescent="0.3">
      <c r="B69" s="721" t="s">
        <v>655</v>
      </c>
      <c r="C69" s="252"/>
      <c r="D69" s="252"/>
      <c r="E69" s="252"/>
      <c r="F69" s="252"/>
      <c r="G69" s="253"/>
      <c r="H69" s="4"/>
      <c r="I69" s="727"/>
      <c r="J69" s="4"/>
      <c r="K69" s="728"/>
      <c r="L69" s="729"/>
      <c r="M69" s="729"/>
      <c r="N69" s="728"/>
      <c r="O69" s="729"/>
      <c r="P69" s="729"/>
      <c r="Q69" s="729"/>
      <c r="R69" s="730"/>
      <c r="S69" s="728"/>
      <c r="T69" s="729"/>
      <c r="U69" s="729"/>
      <c r="V69" s="729"/>
      <c r="W69" s="730"/>
      <c r="X69" s="1289"/>
      <c r="Y69" s="1290"/>
      <c r="Z69" s="1290"/>
      <c r="AA69" s="1290"/>
      <c r="AB69" s="1291"/>
      <c r="AC69" s="728"/>
      <c r="AD69" s="729"/>
      <c r="AE69" s="729"/>
      <c r="AF69" s="729"/>
      <c r="AG69" s="730"/>
      <c r="AH69" s="728"/>
      <c r="AI69" s="729"/>
      <c r="AJ69" s="729"/>
      <c r="AK69" s="729"/>
      <c r="AL69" s="730"/>
    </row>
    <row r="70" spans="2:38" x14ac:dyDescent="0.3">
      <c r="B70" s="721" t="s">
        <v>656</v>
      </c>
      <c r="C70" s="252"/>
      <c r="D70" s="252"/>
      <c r="E70" s="252"/>
      <c r="F70" s="252"/>
      <c r="G70" s="253"/>
      <c r="H70" s="4"/>
      <c r="I70" s="727"/>
      <c r="J70" s="4"/>
      <c r="K70" s="728"/>
      <c r="L70" s="729"/>
      <c r="M70" s="729"/>
      <c r="N70" s="728"/>
      <c r="O70" s="729"/>
      <c r="P70" s="729"/>
      <c r="Q70" s="729"/>
      <c r="R70" s="730"/>
      <c r="S70" s="728"/>
      <c r="T70" s="729"/>
      <c r="U70" s="729"/>
      <c r="V70" s="729"/>
      <c r="W70" s="730"/>
      <c r="X70" s="1289"/>
      <c r="Y70" s="1290"/>
      <c r="Z70" s="1290"/>
      <c r="AA70" s="1290"/>
      <c r="AB70" s="1291"/>
      <c r="AC70" s="728"/>
      <c r="AD70" s="729"/>
      <c r="AE70" s="729"/>
      <c r="AF70" s="729"/>
      <c r="AG70" s="730"/>
      <c r="AH70" s="728"/>
      <c r="AI70" s="729"/>
      <c r="AJ70" s="729"/>
      <c r="AK70" s="729"/>
      <c r="AL70" s="730"/>
    </row>
    <row r="71" spans="2:38" x14ac:dyDescent="0.3">
      <c r="B71" s="721" t="s">
        <v>657</v>
      </c>
      <c r="C71" s="252"/>
      <c r="D71" s="252"/>
      <c r="E71" s="252"/>
      <c r="F71" s="252"/>
      <c r="G71" s="253"/>
      <c r="H71" s="4"/>
      <c r="I71" s="727"/>
      <c r="J71" s="4"/>
      <c r="K71" s="728"/>
      <c r="L71" s="729"/>
      <c r="M71" s="729"/>
      <c r="N71" s="728"/>
      <c r="O71" s="729"/>
      <c r="P71" s="729"/>
      <c r="Q71" s="729"/>
      <c r="R71" s="730"/>
      <c r="S71" s="728"/>
      <c r="T71" s="729"/>
      <c r="U71" s="729"/>
      <c r="V71" s="729"/>
      <c r="W71" s="730"/>
      <c r="X71" s="1289"/>
      <c r="Y71" s="1290"/>
      <c r="Z71" s="1290"/>
      <c r="AA71" s="1290"/>
      <c r="AB71" s="1291"/>
      <c r="AC71" s="728"/>
      <c r="AD71" s="729"/>
      <c r="AE71" s="729"/>
      <c r="AF71" s="729"/>
      <c r="AG71" s="730"/>
      <c r="AH71" s="728"/>
      <c r="AI71" s="729"/>
      <c r="AJ71" s="729"/>
      <c r="AK71" s="729"/>
      <c r="AL71" s="730"/>
    </row>
    <row r="72" spans="2:38" x14ac:dyDescent="0.3">
      <c r="B72" s="721" t="s">
        <v>658</v>
      </c>
      <c r="C72" s="252"/>
      <c r="D72" s="252"/>
      <c r="E72" s="252"/>
      <c r="F72" s="252"/>
      <c r="G72" s="253"/>
      <c r="H72" s="4"/>
      <c r="I72" s="727"/>
      <c r="J72" s="4"/>
      <c r="K72" s="728"/>
      <c r="L72" s="729"/>
      <c r="M72" s="729"/>
      <c r="N72" s="728"/>
      <c r="O72" s="729"/>
      <c r="P72" s="729"/>
      <c r="Q72" s="729"/>
      <c r="R72" s="730"/>
      <c r="S72" s="728"/>
      <c r="T72" s="729"/>
      <c r="U72" s="729"/>
      <c r="V72" s="729"/>
      <c r="W72" s="730"/>
      <c r="X72" s="1289"/>
      <c r="Y72" s="1290"/>
      <c r="Z72" s="1290"/>
      <c r="AA72" s="1290"/>
      <c r="AB72" s="1291"/>
      <c r="AC72" s="728"/>
      <c r="AD72" s="729"/>
      <c r="AE72" s="729"/>
      <c r="AF72" s="729"/>
      <c r="AG72" s="730"/>
      <c r="AH72" s="728"/>
      <c r="AI72" s="729"/>
      <c r="AJ72" s="729"/>
      <c r="AK72" s="729"/>
      <c r="AL72" s="730"/>
    </row>
    <row r="73" spans="2:38" x14ac:dyDescent="0.3">
      <c r="B73" s="721" t="s">
        <v>659</v>
      </c>
      <c r="C73" s="252"/>
      <c r="D73" s="252"/>
      <c r="E73" s="252"/>
      <c r="F73" s="252"/>
      <c r="G73" s="253"/>
      <c r="H73" s="4"/>
      <c r="I73" s="727"/>
      <c r="J73" s="4"/>
      <c r="K73" s="728"/>
      <c r="L73" s="729"/>
      <c r="M73" s="729"/>
      <c r="N73" s="728"/>
      <c r="O73" s="729"/>
      <c r="P73" s="729"/>
      <c r="Q73" s="729"/>
      <c r="R73" s="730"/>
      <c r="S73" s="728"/>
      <c r="T73" s="729"/>
      <c r="U73" s="729"/>
      <c r="V73" s="729"/>
      <c r="W73" s="730"/>
      <c r="X73" s="1289"/>
      <c r="Y73" s="1290"/>
      <c r="Z73" s="1290"/>
      <c r="AA73" s="1290"/>
      <c r="AB73" s="1291"/>
      <c r="AC73" s="728"/>
      <c r="AD73" s="729"/>
      <c r="AE73" s="729"/>
      <c r="AF73" s="729"/>
      <c r="AG73" s="730"/>
      <c r="AH73" s="728"/>
      <c r="AI73" s="729"/>
      <c r="AJ73" s="729"/>
      <c r="AK73" s="729"/>
      <c r="AL73" s="730"/>
    </row>
    <row r="74" spans="2:38" x14ac:dyDescent="0.3">
      <c r="B74" s="721" t="s">
        <v>660</v>
      </c>
      <c r="C74" s="252"/>
      <c r="D74" s="252"/>
      <c r="E74" s="252"/>
      <c r="F74" s="252"/>
      <c r="G74" s="253"/>
      <c r="H74" s="4"/>
      <c r="I74" s="727"/>
      <c r="J74" s="4"/>
      <c r="K74" s="728"/>
      <c r="L74" s="729"/>
      <c r="M74" s="729"/>
      <c r="N74" s="728"/>
      <c r="O74" s="729"/>
      <c r="P74" s="729"/>
      <c r="Q74" s="729"/>
      <c r="R74" s="730"/>
      <c r="S74" s="728"/>
      <c r="T74" s="729"/>
      <c r="U74" s="729"/>
      <c r="V74" s="729"/>
      <c r="W74" s="730"/>
      <c r="X74" s="1289"/>
      <c r="Y74" s="1290"/>
      <c r="Z74" s="1290"/>
      <c r="AA74" s="1290"/>
      <c r="AB74" s="1291"/>
      <c r="AC74" s="728"/>
      <c r="AD74" s="729"/>
      <c r="AE74" s="729"/>
      <c r="AF74" s="729"/>
      <c r="AG74" s="730"/>
      <c r="AH74" s="728"/>
      <c r="AI74" s="729"/>
      <c r="AJ74" s="729"/>
      <c r="AK74" s="729"/>
      <c r="AL74" s="730"/>
    </row>
    <row r="75" spans="2:38" x14ac:dyDescent="0.3">
      <c r="B75" s="721" t="s">
        <v>661</v>
      </c>
      <c r="C75" s="252"/>
      <c r="D75" s="252"/>
      <c r="E75" s="252"/>
      <c r="F75" s="252"/>
      <c r="G75" s="253"/>
      <c r="H75" s="4"/>
      <c r="I75" s="727"/>
      <c r="J75" s="4"/>
      <c r="K75" s="731"/>
      <c r="L75" s="732"/>
      <c r="M75" s="732"/>
      <c r="N75" s="731"/>
      <c r="O75" s="732"/>
      <c r="P75" s="732"/>
      <c r="Q75" s="732"/>
      <c r="R75" s="733"/>
      <c r="S75" s="731"/>
      <c r="T75" s="732"/>
      <c r="U75" s="732"/>
      <c r="V75" s="732"/>
      <c r="W75" s="733"/>
      <c r="X75" s="2146"/>
      <c r="Y75" s="2147"/>
      <c r="Z75" s="2147"/>
      <c r="AA75" s="2147"/>
      <c r="AB75" s="2148"/>
      <c r="AC75" s="731"/>
      <c r="AD75" s="732"/>
      <c r="AE75" s="732"/>
      <c r="AF75" s="732"/>
      <c r="AG75" s="733"/>
      <c r="AH75" s="731"/>
      <c r="AI75" s="732"/>
      <c r="AJ75" s="732"/>
      <c r="AK75" s="732"/>
      <c r="AL75" s="733"/>
    </row>
    <row r="76" spans="2:38" x14ac:dyDescent="0.3">
      <c r="K76" s="718"/>
      <c r="L76" s="718"/>
      <c r="M76" s="718"/>
      <c r="N76" s="718"/>
      <c r="O76" s="718"/>
      <c r="P76" s="718"/>
      <c r="Q76" s="718"/>
      <c r="R76" s="718"/>
      <c r="S76" s="718"/>
      <c r="T76" s="718"/>
      <c r="U76" s="718"/>
      <c r="V76" s="718"/>
      <c r="W76" s="718"/>
      <c r="X76" s="1304"/>
      <c r="Y76" s="1304"/>
      <c r="Z76" s="1304"/>
      <c r="AA76" s="1304"/>
      <c r="AB76" s="1304"/>
      <c r="AC76" s="718"/>
      <c r="AD76" s="718"/>
      <c r="AE76" s="718"/>
      <c r="AF76" s="718"/>
      <c r="AG76" s="718"/>
      <c r="AH76" s="718"/>
      <c r="AI76" s="718"/>
      <c r="AJ76" s="718"/>
      <c r="AK76" s="718"/>
      <c r="AL76" s="718"/>
    </row>
    <row r="77" spans="2:38" x14ac:dyDescent="0.3">
      <c r="K77" s="718"/>
      <c r="L77" s="718"/>
      <c r="M77" s="718"/>
      <c r="N77" s="718"/>
      <c r="O77" s="718"/>
      <c r="P77" s="718"/>
      <c r="Q77" s="718"/>
      <c r="R77" s="718"/>
      <c r="S77" s="718"/>
      <c r="T77" s="718"/>
      <c r="U77" s="718"/>
      <c r="V77" s="718"/>
      <c r="W77" s="718"/>
      <c r="X77" s="1304"/>
      <c r="Y77" s="1304"/>
      <c r="Z77" s="1304"/>
      <c r="AA77" s="1304"/>
      <c r="AB77" s="1304"/>
      <c r="AC77" s="718"/>
      <c r="AD77" s="718"/>
      <c r="AE77" s="718"/>
      <c r="AF77" s="718"/>
      <c r="AG77" s="718"/>
      <c r="AH77" s="718"/>
      <c r="AI77" s="718"/>
      <c r="AJ77" s="718"/>
      <c r="AK77" s="718"/>
      <c r="AL77" s="718"/>
    </row>
    <row r="78" spans="2:38" ht="13" x14ac:dyDescent="0.3">
      <c r="B78" s="716" t="s">
        <v>665</v>
      </c>
      <c r="C78" s="721"/>
      <c r="D78" s="252"/>
      <c r="E78" s="252"/>
      <c r="F78" s="252"/>
      <c r="G78" s="252"/>
      <c r="H78" s="252"/>
      <c r="I78" s="253"/>
      <c r="K78" s="718"/>
      <c r="L78" s="718"/>
      <c r="M78" s="718"/>
      <c r="N78" s="718"/>
      <c r="O78" s="718"/>
      <c r="P78" s="718"/>
      <c r="Q78" s="718"/>
      <c r="R78" s="718"/>
      <c r="S78" s="718"/>
      <c r="T78" s="718"/>
      <c r="U78" s="718"/>
      <c r="V78" s="718"/>
      <c r="W78" s="718"/>
      <c r="X78" s="1304"/>
      <c r="Y78" s="1304"/>
      <c r="Z78" s="1304"/>
      <c r="AA78" s="1304"/>
      <c r="AB78" s="1304"/>
      <c r="AC78" s="718"/>
      <c r="AD78" s="718"/>
      <c r="AE78" s="718"/>
      <c r="AF78" s="718"/>
      <c r="AG78" s="718"/>
      <c r="AH78" s="718"/>
      <c r="AI78" s="718"/>
      <c r="AJ78" s="718"/>
      <c r="AK78" s="718"/>
      <c r="AL78" s="718"/>
    </row>
    <row r="79" spans="2:38" x14ac:dyDescent="0.3">
      <c r="K79" s="718"/>
      <c r="L79" s="718"/>
      <c r="M79" s="718"/>
      <c r="N79" s="718"/>
      <c r="O79" s="718"/>
      <c r="P79" s="718"/>
      <c r="Q79" s="718"/>
      <c r="R79" s="718"/>
      <c r="S79" s="718"/>
      <c r="T79" s="718"/>
      <c r="U79" s="718"/>
      <c r="V79" s="718"/>
      <c r="W79" s="718"/>
      <c r="X79" s="1304"/>
      <c r="Y79" s="1304"/>
      <c r="Z79" s="1304"/>
      <c r="AA79" s="1304"/>
      <c r="AB79" s="1304"/>
      <c r="AC79" s="718"/>
      <c r="AD79" s="718"/>
      <c r="AE79" s="718"/>
      <c r="AF79" s="718"/>
      <c r="AG79" s="718"/>
      <c r="AH79" s="718"/>
      <c r="AI79" s="718"/>
      <c r="AJ79" s="718"/>
      <c r="AK79" s="718"/>
      <c r="AL79" s="718"/>
    </row>
    <row r="80" spans="2:38" x14ac:dyDescent="0.3">
      <c r="B80" s="721" t="s">
        <v>652</v>
      </c>
      <c r="C80" s="722"/>
      <c r="D80" s="722"/>
      <c r="E80" s="722"/>
      <c r="F80" s="722"/>
      <c r="G80" s="723"/>
      <c r="H80" s="4"/>
      <c r="I80" s="727"/>
      <c r="J80" s="4"/>
      <c r="K80" s="724"/>
      <c r="L80" s="725"/>
      <c r="M80" s="725"/>
      <c r="N80" s="724"/>
      <c r="O80" s="725"/>
      <c r="P80" s="725"/>
      <c r="Q80" s="725"/>
      <c r="R80" s="726"/>
      <c r="S80" s="724"/>
      <c r="T80" s="725"/>
      <c r="U80" s="725"/>
      <c r="V80" s="725"/>
      <c r="W80" s="726"/>
      <c r="X80" s="1286"/>
      <c r="Y80" s="1287"/>
      <c r="Z80" s="1287"/>
      <c r="AA80" s="1287"/>
      <c r="AB80" s="1288"/>
      <c r="AC80" s="724"/>
      <c r="AD80" s="725"/>
      <c r="AE80" s="725"/>
      <c r="AF80" s="725"/>
      <c r="AG80" s="726"/>
      <c r="AH80" s="724"/>
      <c r="AI80" s="725"/>
      <c r="AJ80" s="725"/>
      <c r="AK80" s="725"/>
      <c r="AL80" s="726"/>
    </row>
    <row r="81" spans="1:38" x14ac:dyDescent="0.3">
      <c r="B81" s="721" t="s">
        <v>653</v>
      </c>
      <c r="C81" s="252"/>
      <c r="D81" s="252"/>
      <c r="E81" s="252"/>
      <c r="F81" s="252"/>
      <c r="G81" s="253"/>
      <c r="H81" s="4"/>
      <c r="I81" s="727"/>
      <c r="J81" s="4"/>
      <c r="K81" s="728"/>
      <c r="L81" s="729"/>
      <c r="M81" s="729"/>
      <c r="N81" s="728"/>
      <c r="O81" s="729"/>
      <c r="P81" s="729"/>
      <c r="Q81" s="729"/>
      <c r="R81" s="730"/>
      <c r="S81" s="728"/>
      <c r="T81" s="729"/>
      <c r="U81" s="729"/>
      <c r="V81" s="729"/>
      <c r="W81" s="730"/>
      <c r="X81" s="1289"/>
      <c r="Y81" s="1290"/>
      <c r="Z81" s="1290"/>
      <c r="AA81" s="1290"/>
      <c r="AB81" s="1291"/>
      <c r="AC81" s="728"/>
      <c r="AD81" s="729"/>
      <c r="AE81" s="729"/>
      <c r="AF81" s="729"/>
      <c r="AG81" s="730"/>
      <c r="AH81" s="728"/>
      <c r="AI81" s="729"/>
      <c r="AJ81" s="729"/>
      <c r="AK81" s="729"/>
      <c r="AL81" s="730"/>
    </row>
    <row r="82" spans="1:38" x14ac:dyDescent="0.3">
      <c r="B82" s="721" t="s">
        <v>654</v>
      </c>
      <c r="C82" s="252"/>
      <c r="D82" s="252"/>
      <c r="E82" s="252"/>
      <c r="F82" s="252"/>
      <c r="G82" s="253"/>
      <c r="H82" s="4"/>
      <c r="I82" s="727"/>
      <c r="J82" s="4"/>
      <c r="K82" s="728"/>
      <c r="L82" s="729"/>
      <c r="M82" s="729"/>
      <c r="N82" s="728"/>
      <c r="O82" s="729"/>
      <c r="P82" s="729"/>
      <c r="Q82" s="729"/>
      <c r="R82" s="730"/>
      <c r="S82" s="728"/>
      <c r="T82" s="729"/>
      <c r="U82" s="729"/>
      <c r="V82" s="729"/>
      <c r="W82" s="730"/>
      <c r="X82" s="1289"/>
      <c r="Y82" s="1290"/>
      <c r="Z82" s="1290"/>
      <c r="AA82" s="1290"/>
      <c r="AB82" s="1291"/>
      <c r="AC82" s="728"/>
      <c r="AD82" s="729"/>
      <c r="AE82" s="729"/>
      <c r="AF82" s="729"/>
      <c r="AG82" s="730"/>
      <c r="AH82" s="728"/>
      <c r="AI82" s="729"/>
      <c r="AJ82" s="729"/>
      <c r="AK82" s="729"/>
      <c r="AL82" s="730"/>
    </row>
    <row r="83" spans="1:38" x14ac:dyDescent="0.3">
      <c r="B83" s="721" t="s">
        <v>655</v>
      </c>
      <c r="C83" s="252"/>
      <c r="D83" s="252"/>
      <c r="E83" s="252"/>
      <c r="F83" s="252"/>
      <c r="G83" s="253"/>
      <c r="H83" s="4"/>
      <c r="I83" s="727"/>
      <c r="J83" s="4"/>
      <c r="K83" s="728"/>
      <c r="L83" s="729"/>
      <c r="M83" s="729"/>
      <c r="N83" s="728"/>
      <c r="O83" s="729"/>
      <c r="P83" s="729"/>
      <c r="Q83" s="729"/>
      <c r="R83" s="730"/>
      <c r="S83" s="728"/>
      <c r="T83" s="729"/>
      <c r="U83" s="729"/>
      <c r="V83" s="729"/>
      <c r="W83" s="730"/>
      <c r="X83" s="1289"/>
      <c r="Y83" s="1290"/>
      <c r="Z83" s="1290"/>
      <c r="AA83" s="1290"/>
      <c r="AB83" s="1291"/>
      <c r="AC83" s="728"/>
      <c r="AD83" s="729"/>
      <c r="AE83" s="729"/>
      <c r="AF83" s="729"/>
      <c r="AG83" s="730"/>
      <c r="AH83" s="728"/>
      <c r="AI83" s="729"/>
      <c r="AJ83" s="729"/>
      <c r="AK83" s="729"/>
      <c r="AL83" s="730"/>
    </row>
    <row r="84" spans="1:38" x14ac:dyDescent="0.3">
      <c r="B84" s="721" t="s">
        <v>656</v>
      </c>
      <c r="C84" s="252"/>
      <c r="D84" s="252"/>
      <c r="E84" s="252"/>
      <c r="F84" s="252"/>
      <c r="G84" s="253"/>
      <c r="H84" s="4"/>
      <c r="I84" s="727"/>
      <c r="J84" s="4"/>
      <c r="K84" s="728"/>
      <c r="L84" s="729"/>
      <c r="M84" s="729"/>
      <c r="N84" s="728"/>
      <c r="O84" s="729"/>
      <c r="P84" s="729"/>
      <c r="Q84" s="729"/>
      <c r="R84" s="730"/>
      <c r="S84" s="728"/>
      <c r="T84" s="729"/>
      <c r="U84" s="729"/>
      <c r="V84" s="729"/>
      <c r="W84" s="730"/>
      <c r="X84" s="1289"/>
      <c r="Y84" s="1290"/>
      <c r="Z84" s="1290"/>
      <c r="AA84" s="1290"/>
      <c r="AB84" s="1291"/>
      <c r="AC84" s="728"/>
      <c r="AD84" s="729"/>
      <c r="AE84" s="729"/>
      <c r="AF84" s="729"/>
      <c r="AG84" s="730"/>
      <c r="AH84" s="728"/>
      <c r="AI84" s="729"/>
      <c r="AJ84" s="729"/>
      <c r="AK84" s="729"/>
      <c r="AL84" s="730"/>
    </row>
    <row r="85" spans="1:38" x14ac:dyDescent="0.3">
      <c r="B85" s="721" t="s">
        <v>657</v>
      </c>
      <c r="C85" s="252"/>
      <c r="D85" s="252"/>
      <c r="E85" s="252"/>
      <c r="F85" s="252"/>
      <c r="G85" s="253"/>
      <c r="H85" s="4"/>
      <c r="I85" s="727"/>
      <c r="J85" s="4"/>
      <c r="K85" s="728"/>
      <c r="L85" s="729"/>
      <c r="M85" s="729"/>
      <c r="N85" s="728"/>
      <c r="O85" s="729"/>
      <c r="P85" s="729"/>
      <c r="Q85" s="729"/>
      <c r="R85" s="730"/>
      <c r="S85" s="728"/>
      <c r="T85" s="729"/>
      <c r="U85" s="729"/>
      <c r="V85" s="729"/>
      <c r="W85" s="730"/>
      <c r="X85" s="1289"/>
      <c r="Y85" s="1290"/>
      <c r="Z85" s="1290"/>
      <c r="AA85" s="1290"/>
      <c r="AB85" s="1291"/>
      <c r="AC85" s="728"/>
      <c r="AD85" s="729"/>
      <c r="AE85" s="729"/>
      <c r="AF85" s="729"/>
      <c r="AG85" s="730"/>
      <c r="AH85" s="728"/>
      <c r="AI85" s="729"/>
      <c r="AJ85" s="729"/>
      <c r="AK85" s="729"/>
      <c r="AL85" s="730"/>
    </row>
    <row r="86" spans="1:38" x14ac:dyDescent="0.3">
      <c r="B86" s="721" t="s">
        <v>658</v>
      </c>
      <c r="C86" s="252"/>
      <c r="D86" s="252"/>
      <c r="E86" s="252"/>
      <c r="F86" s="252"/>
      <c r="G86" s="253"/>
      <c r="H86" s="4"/>
      <c r="I86" s="727"/>
      <c r="J86" s="4"/>
      <c r="K86" s="728"/>
      <c r="L86" s="729"/>
      <c r="M86" s="729"/>
      <c r="N86" s="728"/>
      <c r="O86" s="729"/>
      <c r="P86" s="729"/>
      <c r="Q86" s="729"/>
      <c r="R86" s="730"/>
      <c r="S86" s="728"/>
      <c r="T86" s="729"/>
      <c r="U86" s="729"/>
      <c r="V86" s="729"/>
      <c r="W86" s="730"/>
      <c r="X86" s="1289"/>
      <c r="Y86" s="1290"/>
      <c r="Z86" s="1290"/>
      <c r="AA86" s="1290"/>
      <c r="AB86" s="1291"/>
      <c r="AC86" s="728"/>
      <c r="AD86" s="729"/>
      <c r="AE86" s="729"/>
      <c r="AF86" s="729"/>
      <c r="AG86" s="730"/>
      <c r="AH86" s="728"/>
      <c r="AI86" s="729"/>
      <c r="AJ86" s="729"/>
      <c r="AK86" s="729"/>
      <c r="AL86" s="730"/>
    </row>
    <row r="87" spans="1:38" x14ac:dyDescent="0.3">
      <c r="B87" s="721" t="s">
        <v>659</v>
      </c>
      <c r="C87" s="252"/>
      <c r="D87" s="252"/>
      <c r="E87" s="252"/>
      <c r="F87" s="252"/>
      <c r="G87" s="253"/>
      <c r="H87" s="4"/>
      <c r="I87" s="727"/>
      <c r="J87" s="4"/>
      <c r="K87" s="728"/>
      <c r="L87" s="729"/>
      <c r="M87" s="729"/>
      <c r="N87" s="728"/>
      <c r="O87" s="729"/>
      <c r="P87" s="729"/>
      <c r="Q87" s="729"/>
      <c r="R87" s="730"/>
      <c r="S87" s="728"/>
      <c r="T87" s="729"/>
      <c r="U87" s="729"/>
      <c r="V87" s="729"/>
      <c r="W87" s="730"/>
      <c r="X87" s="1289"/>
      <c r="Y87" s="1290"/>
      <c r="Z87" s="1290"/>
      <c r="AA87" s="1290"/>
      <c r="AB87" s="1291"/>
      <c r="AC87" s="728"/>
      <c r="AD87" s="729"/>
      <c r="AE87" s="729"/>
      <c r="AF87" s="729"/>
      <c r="AG87" s="730"/>
      <c r="AH87" s="728"/>
      <c r="AI87" s="729"/>
      <c r="AJ87" s="729"/>
      <c r="AK87" s="729"/>
      <c r="AL87" s="730"/>
    </row>
    <row r="88" spans="1:38" x14ac:dyDescent="0.3">
      <c r="B88" s="721" t="s">
        <v>660</v>
      </c>
      <c r="C88" s="252"/>
      <c r="D88" s="252"/>
      <c r="E88" s="252"/>
      <c r="F88" s="252"/>
      <c r="G88" s="253"/>
      <c r="H88" s="4"/>
      <c r="I88" s="727"/>
      <c r="J88" s="4"/>
      <c r="K88" s="728"/>
      <c r="L88" s="729"/>
      <c r="M88" s="729"/>
      <c r="N88" s="728"/>
      <c r="O88" s="729"/>
      <c r="P88" s="729"/>
      <c r="Q88" s="729"/>
      <c r="R88" s="730"/>
      <c r="S88" s="728"/>
      <c r="T88" s="729"/>
      <c r="U88" s="729"/>
      <c r="V88" s="729"/>
      <c r="W88" s="730"/>
      <c r="X88" s="1289"/>
      <c r="Y88" s="1290"/>
      <c r="Z88" s="1290"/>
      <c r="AA88" s="1290"/>
      <c r="AB88" s="1291"/>
      <c r="AC88" s="728"/>
      <c r="AD88" s="729"/>
      <c r="AE88" s="729"/>
      <c r="AF88" s="729"/>
      <c r="AG88" s="730"/>
      <c r="AH88" s="728"/>
      <c r="AI88" s="729"/>
      <c r="AJ88" s="729"/>
      <c r="AK88" s="729"/>
      <c r="AL88" s="730"/>
    </row>
    <row r="89" spans="1:38" x14ac:dyDescent="0.3">
      <c r="B89" s="721" t="s">
        <v>661</v>
      </c>
      <c r="C89" s="252"/>
      <c r="D89" s="252"/>
      <c r="E89" s="252"/>
      <c r="F89" s="252"/>
      <c r="G89" s="253"/>
      <c r="H89" s="4"/>
      <c r="I89" s="727"/>
      <c r="J89" s="4"/>
      <c r="K89" s="731"/>
      <c r="L89" s="732"/>
      <c r="M89" s="732"/>
      <c r="N89" s="731"/>
      <c r="O89" s="732"/>
      <c r="P89" s="732"/>
      <c r="Q89" s="732"/>
      <c r="R89" s="733"/>
      <c r="S89" s="731"/>
      <c r="T89" s="732"/>
      <c r="U89" s="732"/>
      <c r="V89" s="732"/>
      <c r="W89" s="733"/>
      <c r="X89" s="2146"/>
      <c r="Y89" s="2147"/>
      <c r="Z89" s="2147"/>
      <c r="AA89" s="2147"/>
      <c r="AB89" s="2148"/>
      <c r="AC89" s="731"/>
      <c r="AD89" s="732"/>
      <c r="AE89" s="732"/>
      <c r="AF89" s="732"/>
      <c r="AG89" s="733"/>
      <c r="AH89" s="731"/>
      <c r="AI89" s="732"/>
      <c r="AJ89" s="732"/>
      <c r="AK89" s="732"/>
      <c r="AL89" s="733"/>
    </row>
    <row r="90" spans="1:38" x14ac:dyDescent="0.3">
      <c r="A90" s="84"/>
      <c r="B90" s="84"/>
      <c r="C90" s="84"/>
      <c r="D90" s="84"/>
      <c r="E90" s="84"/>
      <c r="F90" s="84"/>
      <c r="G90" s="84"/>
      <c r="H90" s="84"/>
      <c r="I90" s="84"/>
      <c r="J90" s="84"/>
      <c r="K90" s="717"/>
      <c r="L90" s="717"/>
      <c r="M90" s="717"/>
      <c r="N90" s="717"/>
      <c r="O90" s="717"/>
      <c r="P90" s="717"/>
      <c r="Q90" s="717"/>
      <c r="R90" s="717"/>
      <c r="S90" s="717"/>
      <c r="T90" s="717"/>
      <c r="U90" s="717"/>
      <c r="V90" s="717"/>
      <c r="W90" s="717"/>
      <c r="X90" s="2017"/>
      <c r="Y90" s="2017"/>
      <c r="Z90" s="2017"/>
      <c r="AA90" s="2017"/>
      <c r="AB90" s="2017"/>
      <c r="AC90" s="717"/>
      <c r="AD90" s="717"/>
      <c r="AE90" s="717"/>
      <c r="AF90" s="717"/>
      <c r="AG90" s="717"/>
      <c r="AH90" s="717"/>
      <c r="AI90" s="717"/>
      <c r="AJ90" s="717"/>
      <c r="AK90" s="717"/>
      <c r="AL90" s="717"/>
    </row>
    <row r="91" spans="1:38" x14ac:dyDescent="0.3">
      <c r="A91" s="84"/>
      <c r="B91" s="84"/>
      <c r="C91" s="84"/>
      <c r="D91" s="84"/>
      <c r="E91" s="84"/>
      <c r="F91" s="84"/>
      <c r="G91" s="84"/>
      <c r="H91" s="84"/>
      <c r="I91" s="84"/>
      <c r="J91" s="84"/>
      <c r="K91" s="717"/>
      <c r="L91" s="717"/>
      <c r="M91" s="717"/>
      <c r="N91" s="717"/>
      <c r="O91" s="717"/>
      <c r="P91" s="717"/>
      <c r="Q91" s="717"/>
      <c r="R91" s="717"/>
      <c r="S91" s="717"/>
      <c r="T91" s="717"/>
      <c r="U91" s="717"/>
      <c r="V91" s="717"/>
      <c r="W91" s="717"/>
      <c r="X91" s="2017"/>
      <c r="Y91" s="2017"/>
      <c r="Z91" s="2017"/>
      <c r="AA91" s="2017"/>
      <c r="AB91" s="2017"/>
      <c r="AC91" s="717"/>
      <c r="AD91" s="717"/>
      <c r="AE91" s="717"/>
      <c r="AF91" s="717"/>
      <c r="AG91" s="717"/>
      <c r="AH91" s="717"/>
      <c r="AI91" s="717"/>
      <c r="AJ91" s="717"/>
      <c r="AK91" s="717"/>
      <c r="AL91" s="717"/>
    </row>
    <row r="92" spans="1:38" ht="13" x14ac:dyDescent="0.3">
      <c r="B92" s="716" t="s">
        <v>666</v>
      </c>
      <c r="C92" s="721"/>
      <c r="D92" s="252"/>
      <c r="E92" s="252"/>
      <c r="F92" s="252"/>
      <c r="G92" s="252"/>
      <c r="H92" s="252"/>
      <c r="I92" s="253"/>
      <c r="K92" s="718"/>
      <c r="L92" s="718"/>
      <c r="M92" s="718"/>
      <c r="N92" s="718"/>
      <c r="O92" s="718"/>
      <c r="P92" s="718"/>
      <c r="Q92" s="718"/>
      <c r="R92" s="718"/>
      <c r="S92" s="718"/>
      <c r="T92" s="718"/>
      <c r="U92" s="718"/>
      <c r="V92" s="718"/>
      <c r="W92" s="718"/>
      <c r="X92" s="1304"/>
      <c r="Y92" s="1304"/>
      <c r="Z92" s="1304"/>
      <c r="AA92" s="1304"/>
      <c r="AB92" s="1304"/>
      <c r="AC92" s="718"/>
      <c r="AD92" s="718"/>
      <c r="AE92" s="718"/>
      <c r="AF92" s="718"/>
      <c r="AG92" s="718"/>
      <c r="AH92" s="718"/>
      <c r="AI92" s="718"/>
      <c r="AJ92" s="718"/>
      <c r="AK92" s="718"/>
      <c r="AL92" s="718"/>
    </row>
    <row r="93" spans="1:38" x14ac:dyDescent="0.3">
      <c r="K93" s="718"/>
      <c r="L93" s="718"/>
      <c r="M93" s="718"/>
      <c r="N93" s="718"/>
      <c r="O93" s="718"/>
      <c r="P93" s="718"/>
      <c r="Q93" s="718"/>
      <c r="R93" s="718"/>
      <c r="S93" s="718"/>
      <c r="T93" s="718"/>
      <c r="U93" s="718"/>
      <c r="V93" s="718"/>
      <c r="W93" s="718"/>
      <c r="X93" s="1304"/>
      <c r="Y93" s="1304"/>
      <c r="Z93" s="1304"/>
      <c r="AA93" s="1304"/>
      <c r="AB93" s="1304"/>
      <c r="AC93" s="718"/>
      <c r="AD93" s="718"/>
      <c r="AE93" s="718"/>
      <c r="AF93" s="718"/>
      <c r="AG93" s="718"/>
      <c r="AH93" s="718"/>
      <c r="AI93" s="718"/>
      <c r="AJ93" s="718"/>
      <c r="AK93" s="718"/>
      <c r="AL93" s="718"/>
    </row>
    <row r="94" spans="1:38" x14ac:dyDescent="0.3">
      <c r="B94" s="721" t="s">
        <v>652</v>
      </c>
      <c r="C94" s="722"/>
      <c r="D94" s="722"/>
      <c r="E94" s="722"/>
      <c r="F94" s="722"/>
      <c r="G94" s="723"/>
      <c r="H94" s="4"/>
      <c r="I94" s="727"/>
      <c r="J94" s="4"/>
      <c r="K94" s="724"/>
      <c r="L94" s="725"/>
      <c r="M94" s="725"/>
      <c r="N94" s="724"/>
      <c r="O94" s="725"/>
      <c r="P94" s="725"/>
      <c r="Q94" s="725"/>
      <c r="R94" s="726"/>
      <c r="S94" s="724"/>
      <c r="T94" s="725"/>
      <c r="U94" s="725"/>
      <c r="V94" s="725"/>
      <c r="W94" s="726"/>
      <c r="X94" s="1286"/>
      <c r="Y94" s="1287"/>
      <c r="Z94" s="1287"/>
      <c r="AA94" s="1287"/>
      <c r="AB94" s="1288"/>
      <c r="AC94" s="724"/>
      <c r="AD94" s="725"/>
      <c r="AE94" s="725"/>
      <c r="AF94" s="725"/>
      <c r="AG94" s="726"/>
      <c r="AH94" s="724"/>
      <c r="AI94" s="725"/>
      <c r="AJ94" s="725"/>
      <c r="AK94" s="725"/>
      <c r="AL94" s="726"/>
    </row>
    <row r="95" spans="1:38" x14ac:dyDescent="0.3">
      <c r="B95" s="721" t="s">
        <v>653</v>
      </c>
      <c r="C95" s="252"/>
      <c r="D95" s="252"/>
      <c r="E95" s="252"/>
      <c r="F95" s="252"/>
      <c r="G95" s="253"/>
      <c r="H95" s="4"/>
      <c r="I95" s="727"/>
      <c r="J95" s="4"/>
      <c r="K95" s="728"/>
      <c r="L95" s="729"/>
      <c r="M95" s="729"/>
      <c r="N95" s="728"/>
      <c r="O95" s="729"/>
      <c r="P95" s="729"/>
      <c r="Q95" s="729"/>
      <c r="R95" s="730"/>
      <c r="S95" s="728"/>
      <c r="T95" s="729"/>
      <c r="U95" s="729"/>
      <c r="V95" s="729"/>
      <c r="W95" s="730"/>
      <c r="X95" s="1289"/>
      <c r="Y95" s="1290"/>
      <c r="Z95" s="1290"/>
      <c r="AA95" s="1290"/>
      <c r="AB95" s="1291"/>
      <c r="AC95" s="728"/>
      <c r="AD95" s="729"/>
      <c r="AE95" s="729"/>
      <c r="AF95" s="729"/>
      <c r="AG95" s="730"/>
      <c r="AH95" s="728"/>
      <c r="AI95" s="729"/>
      <c r="AJ95" s="729"/>
      <c r="AK95" s="729"/>
      <c r="AL95" s="730"/>
    </row>
    <row r="96" spans="1:38" x14ac:dyDescent="0.3">
      <c r="B96" s="721" t="s">
        <v>654</v>
      </c>
      <c r="C96" s="252"/>
      <c r="D96" s="252"/>
      <c r="E96" s="252"/>
      <c r="F96" s="252"/>
      <c r="G96" s="253"/>
      <c r="H96" s="4"/>
      <c r="I96" s="727"/>
      <c r="J96" s="4"/>
      <c r="K96" s="728"/>
      <c r="L96" s="729"/>
      <c r="M96" s="729"/>
      <c r="N96" s="728"/>
      <c r="O96" s="729"/>
      <c r="P96" s="729"/>
      <c r="Q96" s="729"/>
      <c r="R96" s="730"/>
      <c r="S96" s="728"/>
      <c r="T96" s="729"/>
      <c r="U96" s="729"/>
      <c r="V96" s="729"/>
      <c r="W96" s="730"/>
      <c r="X96" s="1289"/>
      <c r="Y96" s="1290"/>
      <c r="Z96" s="1290"/>
      <c r="AA96" s="1290"/>
      <c r="AB96" s="1291"/>
      <c r="AC96" s="728"/>
      <c r="AD96" s="729"/>
      <c r="AE96" s="729"/>
      <c r="AF96" s="729"/>
      <c r="AG96" s="730"/>
      <c r="AH96" s="728"/>
      <c r="AI96" s="729"/>
      <c r="AJ96" s="729"/>
      <c r="AK96" s="729"/>
      <c r="AL96" s="730"/>
    </row>
    <row r="97" spans="2:38" x14ac:dyDescent="0.3">
      <c r="B97" s="721" t="s">
        <v>655</v>
      </c>
      <c r="C97" s="252"/>
      <c r="D97" s="252"/>
      <c r="E97" s="252"/>
      <c r="F97" s="252"/>
      <c r="G97" s="253"/>
      <c r="H97" s="4"/>
      <c r="I97" s="727"/>
      <c r="J97" s="4"/>
      <c r="K97" s="728"/>
      <c r="L97" s="729"/>
      <c r="M97" s="729"/>
      <c r="N97" s="728"/>
      <c r="O97" s="729"/>
      <c r="P97" s="729"/>
      <c r="Q97" s="729"/>
      <c r="R97" s="730"/>
      <c r="S97" s="728"/>
      <c r="T97" s="729"/>
      <c r="U97" s="729"/>
      <c r="V97" s="729"/>
      <c r="W97" s="730"/>
      <c r="X97" s="1289"/>
      <c r="Y97" s="1290"/>
      <c r="Z97" s="1290"/>
      <c r="AA97" s="1290"/>
      <c r="AB97" s="1291"/>
      <c r="AC97" s="728"/>
      <c r="AD97" s="729"/>
      <c r="AE97" s="729"/>
      <c r="AF97" s="729"/>
      <c r="AG97" s="730"/>
      <c r="AH97" s="728"/>
      <c r="AI97" s="729"/>
      <c r="AJ97" s="729"/>
      <c r="AK97" s="729"/>
      <c r="AL97" s="730"/>
    </row>
    <row r="98" spans="2:38" x14ac:dyDescent="0.3">
      <c r="B98" s="721" t="s">
        <v>656</v>
      </c>
      <c r="C98" s="252"/>
      <c r="D98" s="252"/>
      <c r="E98" s="252"/>
      <c r="F98" s="252"/>
      <c r="G98" s="253"/>
      <c r="H98" s="4"/>
      <c r="I98" s="727"/>
      <c r="J98" s="4"/>
      <c r="K98" s="728"/>
      <c r="L98" s="729"/>
      <c r="M98" s="729"/>
      <c r="N98" s="728"/>
      <c r="O98" s="729"/>
      <c r="P98" s="729"/>
      <c r="Q98" s="729"/>
      <c r="R98" s="730"/>
      <c r="S98" s="728"/>
      <c r="T98" s="729"/>
      <c r="U98" s="729"/>
      <c r="V98" s="729"/>
      <c r="W98" s="730"/>
      <c r="X98" s="1289"/>
      <c r="Y98" s="1290"/>
      <c r="Z98" s="1290"/>
      <c r="AA98" s="1290"/>
      <c r="AB98" s="1291"/>
      <c r="AC98" s="728"/>
      <c r="AD98" s="729"/>
      <c r="AE98" s="729"/>
      <c r="AF98" s="729"/>
      <c r="AG98" s="730"/>
      <c r="AH98" s="728"/>
      <c r="AI98" s="729"/>
      <c r="AJ98" s="729"/>
      <c r="AK98" s="729"/>
      <c r="AL98" s="730"/>
    </row>
    <row r="99" spans="2:38" x14ac:dyDescent="0.3">
      <c r="B99" s="721" t="s">
        <v>657</v>
      </c>
      <c r="C99" s="252"/>
      <c r="D99" s="252"/>
      <c r="E99" s="252"/>
      <c r="F99" s="252"/>
      <c r="G99" s="253"/>
      <c r="H99" s="4"/>
      <c r="I99" s="727"/>
      <c r="J99" s="4"/>
      <c r="K99" s="728"/>
      <c r="L99" s="729"/>
      <c r="M99" s="729"/>
      <c r="N99" s="728"/>
      <c r="O99" s="729"/>
      <c r="P99" s="729"/>
      <c r="Q99" s="729"/>
      <c r="R99" s="730"/>
      <c r="S99" s="728"/>
      <c r="T99" s="729"/>
      <c r="U99" s="729"/>
      <c r="V99" s="729"/>
      <c r="W99" s="730"/>
      <c r="X99" s="1289"/>
      <c r="Y99" s="1290"/>
      <c r="Z99" s="1290"/>
      <c r="AA99" s="1290"/>
      <c r="AB99" s="1291"/>
      <c r="AC99" s="728"/>
      <c r="AD99" s="729"/>
      <c r="AE99" s="729"/>
      <c r="AF99" s="729"/>
      <c r="AG99" s="730"/>
      <c r="AH99" s="728"/>
      <c r="AI99" s="729"/>
      <c r="AJ99" s="729"/>
      <c r="AK99" s="729"/>
      <c r="AL99" s="730"/>
    </row>
    <row r="100" spans="2:38" x14ac:dyDescent="0.3">
      <c r="B100" s="721" t="s">
        <v>658</v>
      </c>
      <c r="C100" s="252"/>
      <c r="D100" s="252"/>
      <c r="E100" s="252"/>
      <c r="F100" s="252"/>
      <c r="G100" s="253"/>
      <c r="H100" s="4"/>
      <c r="I100" s="727"/>
      <c r="J100" s="4"/>
      <c r="K100" s="728"/>
      <c r="L100" s="729"/>
      <c r="M100" s="729"/>
      <c r="N100" s="728"/>
      <c r="O100" s="729"/>
      <c r="P100" s="729"/>
      <c r="Q100" s="729"/>
      <c r="R100" s="730"/>
      <c r="S100" s="728"/>
      <c r="T100" s="729"/>
      <c r="U100" s="729"/>
      <c r="V100" s="729"/>
      <c r="W100" s="730"/>
      <c r="X100" s="1289"/>
      <c r="Y100" s="1290"/>
      <c r="Z100" s="1290"/>
      <c r="AA100" s="1290"/>
      <c r="AB100" s="1291"/>
      <c r="AC100" s="728"/>
      <c r="AD100" s="729"/>
      <c r="AE100" s="729"/>
      <c r="AF100" s="729"/>
      <c r="AG100" s="730"/>
      <c r="AH100" s="728"/>
      <c r="AI100" s="729"/>
      <c r="AJ100" s="729"/>
      <c r="AK100" s="729"/>
      <c r="AL100" s="730"/>
    </row>
    <row r="101" spans="2:38" x14ac:dyDescent="0.3">
      <c r="B101" s="721" t="s">
        <v>659</v>
      </c>
      <c r="C101" s="252"/>
      <c r="D101" s="252"/>
      <c r="E101" s="252"/>
      <c r="F101" s="252"/>
      <c r="G101" s="253"/>
      <c r="H101" s="4"/>
      <c r="I101" s="727"/>
      <c r="J101" s="4"/>
      <c r="K101" s="728"/>
      <c r="L101" s="729"/>
      <c r="M101" s="729"/>
      <c r="N101" s="728"/>
      <c r="O101" s="729"/>
      <c r="P101" s="729"/>
      <c r="Q101" s="729"/>
      <c r="R101" s="730"/>
      <c r="S101" s="728"/>
      <c r="T101" s="729"/>
      <c r="U101" s="729"/>
      <c r="V101" s="729"/>
      <c r="W101" s="730"/>
      <c r="X101" s="1289"/>
      <c r="Y101" s="1290"/>
      <c r="Z101" s="1290"/>
      <c r="AA101" s="1290"/>
      <c r="AB101" s="1291"/>
      <c r="AC101" s="728"/>
      <c r="AD101" s="729"/>
      <c r="AE101" s="729"/>
      <c r="AF101" s="729"/>
      <c r="AG101" s="730"/>
      <c r="AH101" s="728"/>
      <c r="AI101" s="729"/>
      <c r="AJ101" s="729"/>
      <c r="AK101" s="729"/>
      <c r="AL101" s="730"/>
    </row>
    <row r="102" spans="2:38" x14ac:dyDescent="0.3">
      <c r="B102" s="721" t="s">
        <v>660</v>
      </c>
      <c r="C102" s="252"/>
      <c r="D102" s="252"/>
      <c r="E102" s="252"/>
      <c r="F102" s="252"/>
      <c r="G102" s="253"/>
      <c r="H102" s="4"/>
      <c r="I102" s="727"/>
      <c r="J102" s="4"/>
      <c r="K102" s="728"/>
      <c r="L102" s="729"/>
      <c r="M102" s="729"/>
      <c r="N102" s="728"/>
      <c r="O102" s="729"/>
      <c r="P102" s="729"/>
      <c r="Q102" s="729"/>
      <c r="R102" s="730"/>
      <c r="S102" s="728"/>
      <c r="T102" s="729"/>
      <c r="U102" s="729"/>
      <c r="V102" s="729"/>
      <c r="W102" s="730"/>
      <c r="X102" s="1289"/>
      <c r="Y102" s="1290"/>
      <c r="Z102" s="1290"/>
      <c r="AA102" s="1290"/>
      <c r="AB102" s="1291"/>
      <c r="AC102" s="728"/>
      <c r="AD102" s="729"/>
      <c r="AE102" s="729"/>
      <c r="AF102" s="729"/>
      <c r="AG102" s="730"/>
      <c r="AH102" s="728"/>
      <c r="AI102" s="729"/>
      <c r="AJ102" s="729"/>
      <c r="AK102" s="729"/>
      <c r="AL102" s="730"/>
    </row>
    <row r="103" spans="2:38" x14ac:dyDescent="0.3">
      <c r="B103" s="721" t="s">
        <v>661</v>
      </c>
      <c r="C103" s="252"/>
      <c r="D103" s="252"/>
      <c r="E103" s="252"/>
      <c r="F103" s="252"/>
      <c r="G103" s="253"/>
      <c r="H103" s="4"/>
      <c r="I103" s="727"/>
      <c r="J103" s="4"/>
      <c r="K103" s="731"/>
      <c r="L103" s="732"/>
      <c r="M103" s="732"/>
      <c r="N103" s="731"/>
      <c r="O103" s="732"/>
      <c r="P103" s="732"/>
      <c r="Q103" s="732"/>
      <c r="R103" s="733"/>
      <c r="S103" s="731"/>
      <c r="T103" s="732"/>
      <c r="U103" s="732"/>
      <c r="V103" s="732"/>
      <c r="W103" s="733"/>
      <c r="X103" s="2146"/>
      <c r="Y103" s="2147"/>
      <c r="Z103" s="2147"/>
      <c r="AA103" s="2147"/>
      <c r="AB103" s="2148"/>
      <c r="AC103" s="731"/>
      <c r="AD103" s="732"/>
      <c r="AE103" s="732"/>
      <c r="AF103" s="732"/>
      <c r="AG103" s="733"/>
      <c r="AH103" s="731"/>
      <c r="AI103" s="732"/>
      <c r="AJ103" s="732"/>
      <c r="AK103" s="732"/>
      <c r="AL103" s="733"/>
    </row>
    <row r="104" spans="2:38" x14ac:dyDescent="0.3">
      <c r="K104" s="718"/>
      <c r="L104" s="718"/>
      <c r="M104" s="718"/>
      <c r="N104" s="718"/>
      <c r="O104" s="718"/>
      <c r="P104" s="718"/>
      <c r="Q104" s="718"/>
      <c r="R104" s="718"/>
      <c r="S104" s="718"/>
      <c r="T104" s="718"/>
      <c r="U104" s="718"/>
      <c r="V104" s="718"/>
      <c r="W104" s="718"/>
      <c r="X104" s="1304"/>
      <c r="Y104" s="1304"/>
      <c r="Z104" s="1304"/>
      <c r="AA104" s="1304"/>
      <c r="AB104" s="1304"/>
      <c r="AC104" s="718"/>
      <c r="AD104" s="718"/>
      <c r="AE104" s="718"/>
      <c r="AF104" s="718"/>
      <c r="AG104" s="718"/>
      <c r="AH104" s="718"/>
      <c r="AI104" s="718"/>
      <c r="AJ104" s="718"/>
      <c r="AK104" s="718"/>
      <c r="AL104" s="718"/>
    </row>
    <row r="105" spans="2:38" x14ac:dyDescent="0.3">
      <c r="K105" s="718"/>
      <c r="L105" s="718"/>
      <c r="M105" s="718"/>
      <c r="N105" s="718"/>
      <c r="O105" s="718"/>
      <c r="P105" s="718"/>
      <c r="Q105" s="718"/>
      <c r="R105" s="718"/>
      <c r="S105" s="718"/>
      <c r="T105" s="718"/>
      <c r="U105" s="718"/>
      <c r="V105" s="718"/>
      <c r="W105" s="718"/>
      <c r="X105" s="1304"/>
      <c r="Y105" s="1304"/>
      <c r="Z105" s="1304"/>
      <c r="AA105" s="1304"/>
      <c r="AB105" s="1304"/>
      <c r="AC105" s="718"/>
      <c r="AD105" s="718"/>
      <c r="AE105" s="718"/>
      <c r="AF105" s="718"/>
      <c r="AG105" s="718"/>
      <c r="AH105" s="718"/>
      <c r="AI105" s="718"/>
      <c r="AJ105" s="718"/>
      <c r="AK105" s="718"/>
      <c r="AL105" s="718"/>
    </row>
    <row r="106" spans="2:38" ht="13" x14ac:dyDescent="0.3">
      <c r="B106" s="716" t="s">
        <v>681</v>
      </c>
      <c r="C106" s="721"/>
      <c r="D106" s="252"/>
      <c r="E106" s="252"/>
      <c r="F106" s="252"/>
      <c r="G106" s="252"/>
      <c r="H106" s="252"/>
      <c r="I106" s="253"/>
      <c r="K106" s="718"/>
      <c r="L106" s="718"/>
      <c r="M106" s="718"/>
      <c r="N106" s="718"/>
      <c r="O106" s="718"/>
      <c r="P106" s="718"/>
      <c r="Q106" s="718"/>
      <c r="R106" s="718"/>
      <c r="S106" s="718"/>
      <c r="T106" s="718"/>
      <c r="U106" s="718"/>
      <c r="V106" s="718"/>
      <c r="W106" s="718"/>
      <c r="X106" s="1304"/>
      <c r="Y106" s="1304"/>
      <c r="Z106" s="1304"/>
      <c r="AA106" s="1304"/>
      <c r="AB106" s="1304"/>
      <c r="AC106" s="718"/>
      <c r="AD106" s="718"/>
      <c r="AE106" s="718"/>
      <c r="AF106" s="718"/>
      <c r="AG106" s="718"/>
      <c r="AH106" s="718"/>
      <c r="AI106" s="718"/>
      <c r="AJ106" s="718"/>
      <c r="AK106" s="718"/>
      <c r="AL106" s="718"/>
    </row>
    <row r="107" spans="2:38" x14ac:dyDescent="0.3">
      <c r="K107" s="718"/>
      <c r="L107" s="718"/>
      <c r="M107" s="718"/>
      <c r="N107" s="718"/>
      <c r="O107" s="718"/>
      <c r="P107" s="718"/>
      <c r="Q107" s="718"/>
      <c r="R107" s="718"/>
      <c r="S107" s="718"/>
      <c r="T107" s="718"/>
      <c r="U107" s="718"/>
      <c r="V107" s="718"/>
      <c r="W107" s="718"/>
      <c r="X107" s="1304"/>
      <c r="Y107" s="1304"/>
      <c r="Z107" s="1304"/>
      <c r="AA107" s="1304"/>
      <c r="AB107" s="1304"/>
      <c r="AC107" s="718"/>
      <c r="AD107" s="718"/>
      <c r="AE107" s="718"/>
      <c r="AF107" s="718"/>
      <c r="AG107" s="718"/>
      <c r="AH107" s="718"/>
      <c r="AI107" s="718"/>
      <c r="AJ107" s="718"/>
      <c r="AK107" s="718"/>
      <c r="AL107" s="718"/>
    </row>
    <row r="108" spans="2:38" x14ac:dyDescent="0.3">
      <c r="B108" s="721" t="s">
        <v>652</v>
      </c>
      <c r="C108" s="722"/>
      <c r="D108" s="722"/>
      <c r="E108" s="722"/>
      <c r="F108" s="722"/>
      <c r="G108" s="723"/>
      <c r="H108" s="4"/>
      <c r="I108" s="727"/>
      <c r="J108" s="4"/>
      <c r="K108" s="724"/>
      <c r="L108" s="725"/>
      <c r="M108" s="725"/>
      <c r="N108" s="724"/>
      <c r="O108" s="725"/>
      <c r="P108" s="725"/>
      <c r="Q108" s="725"/>
      <c r="R108" s="726"/>
      <c r="S108" s="724"/>
      <c r="T108" s="725"/>
      <c r="U108" s="725"/>
      <c r="V108" s="725"/>
      <c r="W108" s="726"/>
      <c r="X108" s="1286"/>
      <c r="Y108" s="1287"/>
      <c r="Z108" s="1287"/>
      <c r="AA108" s="1287"/>
      <c r="AB108" s="1288"/>
      <c r="AC108" s="724"/>
      <c r="AD108" s="725"/>
      <c r="AE108" s="725"/>
      <c r="AF108" s="725"/>
      <c r="AG108" s="726"/>
      <c r="AH108" s="724"/>
      <c r="AI108" s="725"/>
      <c r="AJ108" s="725"/>
      <c r="AK108" s="725"/>
      <c r="AL108" s="726"/>
    </row>
    <row r="109" spans="2:38" x14ac:dyDescent="0.3">
      <c r="B109" s="721" t="s">
        <v>653</v>
      </c>
      <c r="C109" s="252"/>
      <c r="D109" s="252"/>
      <c r="E109" s="252"/>
      <c r="F109" s="252"/>
      <c r="G109" s="253"/>
      <c r="H109" s="4"/>
      <c r="I109" s="727"/>
      <c r="J109" s="4"/>
      <c r="K109" s="728"/>
      <c r="L109" s="729"/>
      <c r="M109" s="729"/>
      <c r="N109" s="728"/>
      <c r="O109" s="729"/>
      <c r="P109" s="729"/>
      <c r="Q109" s="729"/>
      <c r="R109" s="730"/>
      <c r="S109" s="728"/>
      <c r="T109" s="729"/>
      <c r="U109" s="729"/>
      <c r="V109" s="729"/>
      <c r="W109" s="730"/>
      <c r="X109" s="1289"/>
      <c r="Y109" s="1290"/>
      <c r="Z109" s="1290"/>
      <c r="AA109" s="1290"/>
      <c r="AB109" s="1291"/>
      <c r="AC109" s="728"/>
      <c r="AD109" s="729"/>
      <c r="AE109" s="729"/>
      <c r="AF109" s="729"/>
      <c r="AG109" s="730"/>
      <c r="AH109" s="728"/>
      <c r="AI109" s="729"/>
      <c r="AJ109" s="729"/>
      <c r="AK109" s="729"/>
      <c r="AL109" s="730"/>
    </row>
    <row r="110" spans="2:38" x14ac:dyDescent="0.3">
      <c r="B110" s="721" t="s">
        <v>654</v>
      </c>
      <c r="C110" s="252"/>
      <c r="D110" s="252"/>
      <c r="E110" s="252"/>
      <c r="F110" s="252"/>
      <c r="G110" s="253"/>
      <c r="H110" s="4"/>
      <c r="I110" s="727"/>
      <c r="J110" s="4"/>
      <c r="K110" s="728"/>
      <c r="L110" s="729"/>
      <c r="M110" s="729"/>
      <c r="N110" s="728"/>
      <c r="O110" s="729"/>
      <c r="P110" s="729"/>
      <c r="Q110" s="729"/>
      <c r="R110" s="730"/>
      <c r="S110" s="728"/>
      <c r="T110" s="729"/>
      <c r="U110" s="729"/>
      <c r="V110" s="729"/>
      <c r="W110" s="730"/>
      <c r="X110" s="1289"/>
      <c r="Y110" s="1290"/>
      <c r="Z110" s="1290"/>
      <c r="AA110" s="1290"/>
      <c r="AB110" s="1291"/>
      <c r="AC110" s="728"/>
      <c r="AD110" s="729"/>
      <c r="AE110" s="729"/>
      <c r="AF110" s="729"/>
      <c r="AG110" s="730"/>
      <c r="AH110" s="728"/>
      <c r="AI110" s="729"/>
      <c r="AJ110" s="729"/>
      <c r="AK110" s="729"/>
      <c r="AL110" s="730"/>
    </row>
    <row r="111" spans="2:38" x14ac:dyDescent="0.3">
      <c r="B111" s="721" t="s">
        <v>655</v>
      </c>
      <c r="C111" s="252"/>
      <c r="D111" s="252"/>
      <c r="E111" s="252"/>
      <c r="F111" s="252"/>
      <c r="G111" s="253"/>
      <c r="H111" s="4"/>
      <c r="I111" s="727"/>
      <c r="J111" s="4"/>
      <c r="K111" s="728"/>
      <c r="L111" s="729"/>
      <c r="M111" s="729"/>
      <c r="N111" s="728"/>
      <c r="O111" s="729"/>
      <c r="P111" s="729"/>
      <c r="Q111" s="729"/>
      <c r="R111" s="730"/>
      <c r="S111" s="728"/>
      <c r="T111" s="729"/>
      <c r="U111" s="729"/>
      <c r="V111" s="729"/>
      <c r="W111" s="730"/>
      <c r="X111" s="1289"/>
      <c r="Y111" s="1290"/>
      <c r="Z111" s="1290"/>
      <c r="AA111" s="1290"/>
      <c r="AB111" s="1291"/>
      <c r="AC111" s="728"/>
      <c r="AD111" s="729"/>
      <c r="AE111" s="729"/>
      <c r="AF111" s="729"/>
      <c r="AG111" s="730"/>
      <c r="AH111" s="728"/>
      <c r="AI111" s="729"/>
      <c r="AJ111" s="729"/>
      <c r="AK111" s="729"/>
      <c r="AL111" s="730"/>
    </row>
    <row r="112" spans="2:38" x14ac:dyDescent="0.3">
      <c r="B112" s="721" t="s">
        <v>656</v>
      </c>
      <c r="C112" s="252"/>
      <c r="D112" s="252"/>
      <c r="E112" s="252"/>
      <c r="F112" s="252"/>
      <c r="G112" s="253"/>
      <c r="H112" s="4"/>
      <c r="I112" s="727"/>
      <c r="J112" s="4"/>
      <c r="K112" s="728"/>
      <c r="L112" s="729"/>
      <c r="M112" s="729"/>
      <c r="N112" s="728"/>
      <c r="O112" s="729"/>
      <c r="P112" s="729"/>
      <c r="Q112" s="729"/>
      <c r="R112" s="730"/>
      <c r="S112" s="728"/>
      <c r="T112" s="729"/>
      <c r="U112" s="729"/>
      <c r="V112" s="729"/>
      <c r="W112" s="730"/>
      <c r="X112" s="1289"/>
      <c r="Y112" s="1290"/>
      <c r="Z112" s="1290"/>
      <c r="AA112" s="1290"/>
      <c r="AB112" s="1291"/>
      <c r="AC112" s="728"/>
      <c r="AD112" s="729"/>
      <c r="AE112" s="729"/>
      <c r="AF112" s="729"/>
      <c r="AG112" s="730"/>
      <c r="AH112" s="728"/>
      <c r="AI112" s="729"/>
      <c r="AJ112" s="729"/>
      <c r="AK112" s="729"/>
      <c r="AL112" s="730"/>
    </row>
    <row r="113" spans="2:38" x14ac:dyDescent="0.3">
      <c r="B113" s="721" t="s">
        <v>657</v>
      </c>
      <c r="C113" s="252"/>
      <c r="D113" s="252"/>
      <c r="E113" s="252"/>
      <c r="F113" s="252"/>
      <c r="G113" s="253"/>
      <c r="H113" s="4"/>
      <c r="I113" s="727"/>
      <c r="J113" s="4"/>
      <c r="K113" s="728"/>
      <c r="L113" s="729"/>
      <c r="M113" s="729"/>
      <c r="N113" s="728"/>
      <c r="O113" s="729"/>
      <c r="P113" s="729"/>
      <c r="Q113" s="729"/>
      <c r="R113" s="730"/>
      <c r="S113" s="728"/>
      <c r="T113" s="729"/>
      <c r="U113" s="729"/>
      <c r="V113" s="729"/>
      <c r="W113" s="730"/>
      <c r="X113" s="1289"/>
      <c r="Y113" s="1290"/>
      <c r="Z113" s="1290"/>
      <c r="AA113" s="1290"/>
      <c r="AB113" s="1291"/>
      <c r="AC113" s="728"/>
      <c r="AD113" s="729"/>
      <c r="AE113" s="729"/>
      <c r="AF113" s="729"/>
      <c r="AG113" s="730"/>
      <c r="AH113" s="728"/>
      <c r="AI113" s="729"/>
      <c r="AJ113" s="729"/>
      <c r="AK113" s="729"/>
      <c r="AL113" s="730"/>
    </row>
    <row r="114" spans="2:38" x14ac:dyDescent="0.3">
      <c r="B114" s="721" t="s">
        <v>658</v>
      </c>
      <c r="C114" s="252"/>
      <c r="D114" s="252"/>
      <c r="E114" s="252"/>
      <c r="F114" s="252"/>
      <c r="G114" s="253"/>
      <c r="H114" s="4"/>
      <c r="I114" s="727"/>
      <c r="J114" s="4"/>
      <c r="K114" s="728"/>
      <c r="L114" s="729"/>
      <c r="M114" s="729"/>
      <c r="N114" s="728"/>
      <c r="O114" s="729"/>
      <c r="P114" s="729"/>
      <c r="Q114" s="729"/>
      <c r="R114" s="730"/>
      <c r="S114" s="728"/>
      <c r="T114" s="729"/>
      <c r="U114" s="729"/>
      <c r="V114" s="729"/>
      <c r="W114" s="730"/>
      <c r="X114" s="1289"/>
      <c r="Y114" s="1290"/>
      <c r="Z114" s="1290"/>
      <c r="AA114" s="1290"/>
      <c r="AB114" s="1291"/>
      <c r="AC114" s="728"/>
      <c r="AD114" s="729"/>
      <c r="AE114" s="729"/>
      <c r="AF114" s="729"/>
      <c r="AG114" s="730"/>
      <c r="AH114" s="728"/>
      <c r="AI114" s="729"/>
      <c r="AJ114" s="729"/>
      <c r="AK114" s="729"/>
      <c r="AL114" s="730"/>
    </row>
    <row r="115" spans="2:38" x14ac:dyDescent="0.3">
      <c r="B115" s="721" t="s">
        <v>659</v>
      </c>
      <c r="C115" s="252"/>
      <c r="D115" s="252"/>
      <c r="E115" s="252"/>
      <c r="F115" s="252"/>
      <c r="G115" s="253"/>
      <c r="H115" s="4"/>
      <c r="I115" s="727"/>
      <c r="J115" s="4"/>
      <c r="K115" s="728"/>
      <c r="L115" s="729"/>
      <c r="M115" s="729"/>
      <c r="N115" s="728"/>
      <c r="O115" s="729"/>
      <c r="P115" s="729"/>
      <c r="Q115" s="729"/>
      <c r="R115" s="730"/>
      <c r="S115" s="728"/>
      <c r="T115" s="729"/>
      <c r="U115" s="729"/>
      <c r="V115" s="729"/>
      <c r="W115" s="730"/>
      <c r="X115" s="1289"/>
      <c r="Y115" s="1290"/>
      <c r="Z115" s="1290"/>
      <c r="AA115" s="1290"/>
      <c r="AB115" s="1291"/>
      <c r="AC115" s="728"/>
      <c r="AD115" s="729"/>
      <c r="AE115" s="729"/>
      <c r="AF115" s="729"/>
      <c r="AG115" s="730"/>
      <c r="AH115" s="728"/>
      <c r="AI115" s="729"/>
      <c r="AJ115" s="729"/>
      <c r="AK115" s="729"/>
      <c r="AL115" s="730"/>
    </row>
    <row r="116" spans="2:38" x14ac:dyDescent="0.3">
      <c r="B116" s="721" t="s">
        <v>660</v>
      </c>
      <c r="C116" s="252"/>
      <c r="D116" s="252"/>
      <c r="E116" s="252"/>
      <c r="F116" s="252"/>
      <c r="G116" s="253"/>
      <c r="H116" s="4"/>
      <c r="I116" s="727"/>
      <c r="J116" s="4"/>
      <c r="K116" s="728"/>
      <c r="L116" s="729"/>
      <c r="M116" s="729"/>
      <c r="N116" s="728"/>
      <c r="O116" s="729"/>
      <c r="P116" s="729"/>
      <c r="Q116" s="729"/>
      <c r="R116" s="730"/>
      <c r="S116" s="728"/>
      <c r="T116" s="729"/>
      <c r="U116" s="729"/>
      <c r="V116" s="729"/>
      <c r="W116" s="730"/>
      <c r="X116" s="1289"/>
      <c r="Y116" s="1290"/>
      <c r="Z116" s="1290"/>
      <c r="AA116" s="1290"/>
      <c r="AB116" s="1291"/>
      <c r="AC116" s="728"/>
      <c r="AD116" s="729"/>
      <c r="AE116" s="729"/>
      <c r="AF116" s="729"/>
      <c r="AG116" s="730"/>
      <c r="AH116" s="728"/>
      <c r="AI116" s="729"/>
      <c r="AJ116" s="729"/>
      <c r="AK116" s="729"/>
      <c r="AL116" s="730"/>
    </row>
    <row r="117" spans="2:38" x14ac:dyDescent="0.3">
      <c r="B117" s="721" t="s">
        <v>661</v>
      </c>
      <c r="C117" s="252"/>
      <c r="D117" s="252"/>
      <c r="E117" s="252"/>
      <c r="F117" s="252"/>
      <c r="G117" s="253"/>
      <c r="H117" s="4"/>
      <c r="I117" s="727"/>
      <c r="J117" s="4"/>
      <c r="K117" s="731"/>
      <c r="L117" s="732"/>
      <c r="M117" s="732"/>
      <c r="N117" s="731"/>
      <c r="O117" s="732"/>
      <c r="P117" s="732"/>
      <c r="Q117" s="732"/>
      <c r="R117" s="733"/>
      <c r="S117" s="731"/>
      <c r="T117" s="732"/>
      <c r="U117" s="732"/>
      <c r="V117" s="732"/>
      <c r="W117" s="733"/>
      <c r="X117" s="2146"/>
      <c r="Y117" s="2147"/>
      <c r="Z117" s="2147"/>
      <c r="AA117" s="2147"/>
      <c r="AB117" s="2148"/>
      <c r="AC117" s="731"/>
      <c r="AD117" s="732"/>
      <c r="AE117" s="732"/>
      <c r="AF117" s="732"/>
      <c r="AG117" s="733"/>
      <c r="AH117" s="731"/>
      <c r="AI117" s="732"/>
      <c r="AJ117" s="732"/>
      <c r="AK117" s="732"/>
      <c r="AL117" s="733"/>
    </row>
    <row r="118" spans="2:38" x14ac:dyDescent="0.3">
      <c r="K118" s="718"/>
      <c r="L118" s="718"/>
      <c r="M118" s="718"/>
      <c r="N118" s="718"/>
      <c r="O118" s="718"/>
      <c r="P118" s="718"/>
      <c r="Q118" s="718"/>
      <c r="R118" s="718"/>
      <c r="S118" s="718"/>
      <c r="T118" s="718"/>
      <c r="U118" s="718"/>
      <c r="V118" s="718"/>
      <c r="W118" s="718"/>
      <c r="X118" s="1304"/>
      <c r="Y118" s="1304"/>
      <c r="Z118" s="1304"/>
      <c r="AA118" s="1304"/>
      <c r="AB118" s="1304"/>
      <c r="AC118" s="718"/>
      <c r="AD118" s="718"/>
      <c r="AE118" s="718"/>
      <c r="AF118" s="718"/>
      <c r="AG118" s="718"/>
      <c r="AH118" s="718"/>
      <c r="AI118" s="718"/>
      <c r="AJ118" s="718"/>
      <c r="AK118" s="718"/>
      <c r="AL118" s="718"/>
    </row>
    <row r="119" spans="2:38" x14ac:dyDescent="0.3">
      <c r="K119" s="718"/>
      <c r="L119" s="718"/>
      <c r="M119" s="718"/>
      <c r="N119" s="718"/>
      <c r="O119" s="718"/>
      <c r="P119" s="718"/>
      <c r="Q119" s="718"/>
      <c r="R119" s="718"/>
      <c r="S119" s="718"/>
      <c r="T119" s="718"/>
      <c r="U119" s="718"/>
      <c r="V119" s="718"/>
      <c r="W119" s="718"/>
      <c r="X119" s="1304"/>
      <c r="Y119" s="1304"/>
      <c r="Z119" s="1304"/>
      <c r="AA119" s="1304"/>
      <c r="AB119" s="1304"/>
      <c r="AC119" s="718"/>
      <c r="AD119" s="718"/>
      <c r="AE119" s="718"/>
      <c r="AF119" s="718"/>
      <c r="AG119" s="718"/>
      <c r="AH119" s="718"/>
      <c r="AI119" s="718"/>
      <c r="AJ119" s="718"/>
      <c r="AK119" s="718"/>
      <c r="AL119" s="718"/>
    </row>
    <row r="120" spans="2:38" ht="13" x14ac:dyDescent="0.3">
      <c r="B120" s="716" t="s">
        <v>684</v>
      </c>
      <c r="C120" s="721"/>
      <c r="D120" s="252"/>
      <c r="E120" s="252"/>
      <c r="F120" s="252"/>
      <c r="G120" s="252"/>
      <c r="H120" s="252"/>
      <c r="I120" s="253"/>
      <c r="K120" s="718"/>
      <c r="L120" s="718"/>
      <c r="M120" s="718"/>
      <c r="N120" s="718"/>
      <c r="O120" s="718"/>
      <c r="P120" s="718"/>
      <c r="Q120" s="718"/>
      <c r="R120" s="718"/>
      <c r="S120" s="718"/>
      <c r="T120" s="718"/>
      <c r="U120" s="718"/>
      <c r="V120" s="718"/>
      <c r="W120" s="718"/>
      <c r="X120" s="1304"/>
      <c r="Y120" s="1304"/>
      <c r="Z120" s="1304"/>
      <c r="AA120" s="1304"/>
      <c r="AB120" s="1304"/>
      <c r="AC120" s="718"/>
      <c r="AD120" s="718"/>
      <c r="AE120" s="718"/>
      <c r="AF120" s="718"/>
      <c r="AG120" s="718"/>
      <c r="AH120" s="718"/>
      <c r="AI120" s="718"/>
      <c r="AJ120" s="718"/>
      <c r="AK120" s="718"/>
      <c r="AL120" s="718"/>
    </row>
    <row r="121" spans="2:38" x14ac:dyDescent="0.3">
      <c r="K121" s="718"/>
      <c r="L121" s="718"/>
      <c r="M121" s="718"/>
      <c r="N121" s="718"/>
      <c r="O121" s="718"/>
      <c r="P121" s="718"/>
      <c r="Q121" s="718"/>
      <c r="R121" s="718"/>
      <c r="S121" s="718"/>
      <c r="T121" s="718"/>
      <c r="U121" s="718"/>
      <c r="V121" s="718"/>
      <c r="W121" s="718"/>
      <c r="X121" s="1304"/>
      <c r="Y121" s="1304"/>
      <c r="Z121" s="1304"/>
      <c r="AA121" s="1304"/>
      <c r="AB121" s="1304"/>
      <c r="AC121" s="718"/>
      <c r="AD121" s="718"/>
      <c r="AE121" s="718"/>
      <c r="AF121" s="718"/>
      <c r="AG121" s="718"/>
      <c r="AH121" s="718"/>
      <c r="AI121" s="718"/>
      <c r="AJ121" s="718"/>
      <c r="AK121" s="718"/>
      <c r="AL121" s="718"/>
    </row>
    <row r="122" spans="2:38" x14ac:dyDescent="0.3">
      <c r="B122" s="721" t="s">
        <v>652</v>
      </c>
      <c r="C122" s="722"/>
      <c r="D122" s="722"/>
      <c r="E122" s="722"/>
      <c r="F122" s="722"/>
      <c r="G122" s="723"/>
      <c r="H122" s="4"/>
      <c r="I122" s="727"/>
      <c r="J122" s="4"/>
      <c r="K122" s="724"/>
      <c r="L122" s="725"/>
      <c r="M122" s="725"/>
      <c r="N122" s="724"/>
      <c r="O122" s="725"/>
      <c r="P122" s="725"/>
      <c r="Q122" s="725"/>
      <c r="R122" s="726"/>
      <c r="S122" s="724"/>
      <c r="T122" s="725"/>
      <c r="U122" s="725"/>
      <c r="V122" s="725"/>
      <c r="W122" s="726"/>
      <c r="X122" s="1286"/>
      <c r="Y122" s="1287"/>
      <c r="Z122" s="1287"/>
      <c r="AA122" s="1287"/>
      <c r="AB122" s="1288"/>
      <c r="AC122" s="724"/>
      <c r="AD122" s="725"/>
      <c r="AE122" s="725"/>
      <c r="AF122" s="725"/>
      <c r="AG122" s="726"/>
      <c r="AH122" s="724"/>
      <c r="AI122" s="725"/>
      <c r="AJ122" s="725"/>
      <c r="AK122" s="725"/>
      <c r="AL122" s="726"/>
    </row>
    <row r="123" spans="2:38" x14ac:dyDescent="0.3">
      <c r="B123" s="721" t="s">
        <v>653</v>
      </c>
      <c r="C123" s="252"/>
      <c r="D123" s="252"/>
      <c r="E123" s="252"/>
      <c r="F123" s="252"/>
      <c r="G123" s="253"/>
      <c r="H123" s="4"/>
      <c r="I123" s="727"/>
      <c r="J123" s="4"/>
      <c r="K123" s="728"/>
      <c r="L123" s="729"/>
      <c r="M123" s="729"/>
      <c r="N123" s="728"/>
      <c r="O123" s="729"/>
      <c r="P123" s="729"/>
      <c r="Q123" s="729"/>
      <c r="R123" s="730"/>
      <c r="S123" s="728"/>
      <c r="T123" s="729"/>
      <c r="U123" s="729"/>
      <c r="V123" s="729"/>
      <c r="W123" s="730"/>
      <c r="X123" s="1289"/>
      <c r="Y123" s="1290"/>
      <c r="Z123" s="1290"/>
      <c r="AA123" s="1290"/>
      <c r="AB123" s="1291"/>
      <c r="AC123" s="728"/>
      <c r="AD123" s="729"/>
      <c r="AE123" s="729"/>
      <c r="AF123" s="729"/>
      <c r="AG123" s="730"/>
      <c r="AH123" s="728"/>
      <c r="AI123" s="729"/>
      <c r="AJ123" s="729"/>
      <c r="AK123" s="729"/>
      <c r="AL123" s="730"/>
    </row>
    <row r="124" spans="2:38" x14ac:dyDescent="0.3">
      <c r="B124" s="721" t="s">
        <v>654</v>
      </c>
      <c r="C124" s="252"/>
      <c r="D124" s="252"/>
      <c r="E124" s="252"/>
      <c r="F124" s="252"/>
      <c r="G124" s="253"/>
      <c r="H124" s="4"/>
      <c r="I124" s="727"/>
      <c r="J124" s="4"/>
      <c r="K124" s="728"/>
      <c r="L124" s="729"/>
      <c r="M124" s="729"/>
      <c r="N124" s="728"/>
      <c r="O124" s="729"/>
      <c r="P124" s="729"/>
      <c r="Q124" s="729"/>
      <c r="R124" s="730"/>
      <c r="S124" s="728"/>
      <c r="T124" s="729"/>
      <c r="U124" s="729"/>
      <c r="V124" s="729"/>
      <c r="W124" s="730"/>
      <c r="X124" s="1289"/>
      <c r="Y124" s="1290"/>
      <c r="Z124" s="1290"/>
      <c r="AA124" s="1290"/>
      <c r="AB124" s="1291"/>
      <c r="AC124" s="728"/>
      <c r="AD124" s="729"/>
      <c r="AE124" s="729"/>
      <c r="AF124" s="729"/>
      <c r="AG124" s="730"/>
      <c r="AH124" s="728"/>
      <c r="AI124" s="729"/>
      <c r="AJ124" s="729"/>
      <c r="AK124" s="729"/>
      <c r="AL124" s="730"/>
    </row>
    <row r="125" spans="2:38" x14ac:dyDescent="0.3">
      <c r="B125" s="721" t="s">
        <v>655</v>
      </c>
      <c r="C125" s="252"/>
      <c r="D125" s="252"/>
      <c r="E125" s="252"/>
      <c r="F125" s="252"/>
      <c r="G125" s="253"/>
      <c r="H125" s="4"/>
      <c r="I125" s="727"/>
      <c r="J125" s="4"/>
      <c r="K125" s="728"/>
      <c r="L125" s="729"/>
      <c r="M125" s="729"/>
      <c r="N125" s="728"/>
      <c r="O125" s="729"/>
      <c r="P125" s="729"/>
      <c r="Q125" s="729"/>
      <c r="R125" s="730"/>
      <c r="S125" s="728"/>
      <c r="T125" s="729"/>
      <c r="U125" s="729"/>
      <c r="V125" s="729"/>
      <c r="W125" s="730"/>
      <c r="X125" s="1289"/>
      <c r="Y125" s="1290"/>
      <c r="Z125" s="1290"/>
      <c r="AA125" s="1290"/>
      <c r="AB125" s="1291"/>
      <c r="AC125" s="728"/>
      <c r="AD125" s="729"/>
      <c r="AE125" s="729"/>
      <c r="AF125" s="729"/>
      <c r="AG125" s="730"/>
      <c r="AH125" s="728"/>
      <c r="AI125" s="729"/>
      <c r="AJ125" s="729"/>
      <c r="AK125" s="729"/>
      <c r="AL125" s="730"/>
    </row>
    <row r="126" spans="2:38" x14ac:dyDescent="0.3">
      <c r="B126" s="721" t="s">
        <v>656</v>
      </c>
      <c r="C126" s="252"/>
      <c r="D126" s="252"/>
      <c r="E126" s="252"/>
      <c r="F126" s="252"/>
      <c r="G126" s="253"/>
      <c r="H126" s="4"/>
      <c r="I126" s="727"/>
      <c r="J126" s="4"/>
      <c r="K126" s="728"/>
      <c r="L126" s="729"/>
      <c r="M126" s="729"/>
      <c r="N126" s="728"/>
      <c r="O126" s="729"/>
      <c r="P126" s="729"/>
      <c r="Q126" s="729"/>
      <c r="R126" s="730"/>
      <c r="S126" s="728"/>
      <c r="T126" s="729"/>
      <c r="U126" s="729"/>
      <c r="V126" s="729"/>
      <c r="W126" s="730"/>
      <c r="X126" s="1289"/>
      <c r="Y126" s="1290"/>
      <c r="Z126" s="1290"/>
      <c r="AA126" s="1290"/>
      <c r="AB126" s="1291"/>
      <c r="AC126" s="728"/>
      <c r="AD126" s="729"/>
      <c r="AE126" s="729"/>
      <c r="AF126" s="729"/>
      <c r="AG126" s="730"/>
      <c r="AH126" s="728"/>
      <c r="AI126" s="729"/>
      <c r="AJ126" s="729"/>
      <c r="AK126" s="729"/>
      <c r="AL126" s="730"/>
    </row>
    <row r="127" spans="2:38" x14ac:dyDescent="0.3">
      <c r="B127" s="721" t="s">
        <v>657</v>
      </c>
      <c r="C127" s="252"/>
      <c r="D127" s="252"/>
      <c r="E127" s="252"/>
      <c r="F127" s="252"/>
      <c r="G127" s="253"/>
      <c r="H127" s="4"/>
      <c r="I127" s="727"/>
      <c r="J127" s="4"/>
      <c r="K127" s="728"/>
      <c r="L127" s="729"/>
      <c r="M127" s="729"/>
      <c r="N127" s="728"/>
      <c r="O127" s="729"/>
      <c r="P127" s="729"/>
      <c r="Q127" s="729"/>
      <c r="R127" s="730"/>
      <c r="S127" s="728"/>
      <c r="T127" s="729"/>
      <c r="U127" s="729"/>
      <c r="V127" s="729"/>
      <c r="W127" s="730"/>
      <c r="X127" s="1289"/>
      <c r="Y127" s="1290"/>
      <c r="Z127" s="1290"/>
      <c r="AA127" s="1290"/>
      <c r="AB127" s="1291"/>
      <c r="AC127" s="728"/>
      <c r="AD127" s="729"/>
      <c r="AE127" s="729"/>
      <c r="AF127" s="729"/>
      <c r="AG127" s="730"/>
      <c r="AH127" s="728"/>
      <c r="AI127" s="729"/>
      <c r="AJ127" s="729"/>
      <c r="AK127" s="729"/>
      <c r="AL127" s="730"/>
    </row>
    <row r="128" spans="2:38" x14ac:dyDescent="0.3">
      <c r="B128" s="721" t="s">
        <v>658</v>
      </c>
      <c r="C128" s="252"/>
      <c r="D128" s="252"/>
      <c r="E128" s="252"/>
      <c r="F128" s="252"/>
      <c r="G128" s="253"/>
      <c r="H128" s="4"/>
      <c r="I128" s="727"/>
      <c r="J128" s="4"/>
      <c r="K128" s="728"/>
      <c r="L128" s="729"/>
      <c r="M128" s="729"/>
      <c r="N128" s="728"/>
      <c r="O128" s="729"/>
      <c r="P128" s="729"/>
      <c r="Q128" s="729"/>
      <c r="R128" s="730"/>
      <c r="S128" s="728"/>
      <c r="T128" s="729"/>
      <c r="U128" s="729"/>
      <c r="V128" s="729"/>
      <c r="W128" s="730"/>
      <c r="X128" s="1289"/>
      <c r="Y128" s="1290"/>
      <c r="Z128" s="1290"/>
      <c r="AA128" s="1290"/>
      <c r="AB128" s="1291"/>
      <c r="AC128" s="728"/>
      <c r="AD128" s="729"/>
      <c r="AE128" s="729"/>
      <c r="AF128" s="729"/>
      <c r="AG128" s="730"/>
      <c r="AH128" s="728"/>
      <c r="AI128" s="729"/>
      <c r="AJ128" s="729"/>
      <c r="AK128" s="729"/>
      <c r="AL128" s="730"/>
    </row>
    <row r="129" spans="2:38" x14ac:dyDescent="0.3">
      <c r="B129" s="721" t="s">
        <v>659</v>
      </c>
      <c r="C129" s="252"/>
      <c r="D129" s="252"/>
      <c r="E129" s="252"/>
      <c r="F129" s="252"/>
      <c r="G129" s="253"/>
      <c r="H129" s="4"/>
      <c r="I129" s="727"/>
      <c r="J129" s="4"/>
      <c r="K129" s="728"/>
      <c r="L129" s="729"/>
      <c r="M129" s="729"/>
      <c r="N129" s="728"/>
      <c r="O129" s="729"/>
      <c r="P129" s="729"/>
      <c r="Q129" s="729"/>
      <c r="R129" s="730"/>
      <c r="S129" s="728"/>
      <c r="T129" s="729"/>
      <c r="U129" s="729"/>
      <c r="V129" s="729"/>
      <c r="W129" s="730"/>
      <c r="X129" s="1289"/>
      <c r="Y129" s="1290"/>
      <c r="Z129" s="1290"/>
      <c r="AA129" s="1290"/>
      <c r="AB129" s="1291"/>
      <c r="AC129" s="728"/>
      <c r="AD129" s="729"/>
      <c r="AE129" s="729"/>
      <c r="AF129" s="729"/>
      <c r="AG129" s="730"/>
      <c r="AH129" s="728"/>
      <c r="AI129" s="729"/>
      <c r="AJ129" s="729"/>
      <c r="AK129" s="729"/>
      <c r="AL129" s="730"/>
    </row>
    <row r="130" spans="2:38" x14ac:dyDescent="0.3">
      <c r="B130" s="721" t="s">
        <v>660</v>
      </c>
      <c r="C130" s="252"/>
      <c r="D130" s="252"/>
      <c r="E130" s="252"/>
      <c r="F130" s="252"/>
      <c r="G130" s="253"/>
      <c r="H130" s="4"/>
      <c r="I130" s="727"/>
      <c r="J130" s="4"/>
      <c r="K130" s="728"/>
      <c r="L130" s="729"/>
      <c r="M130" s="729"/>
      <c r="N130" s="728"/>
      <c r="O130" s="729"/>
      <c r="P130" s="729"/>
      <c r="Q130" s="729"/>
      <c r="R130" s="730"/>
      <c r="S130" s="728"/>
      <c r="T130" s="729"/>
      <c r="U130" s="729"/>
      <c r="V130" s="729"/>
      <c r="W130" s="730"/>
      <c r="X130" s="1289"/>
      <c r="Y130" s="1290"/>
      <c r="Z130" s="1290"/>
      <c r="AA130" s="1290"/>
      <c r="AB130" s="1291"/>
      <c r="AC130" s="728"/>
      <c r="AD130" s="729"/>
      <c r="AE130" s="729"/>
      <c r="AF130" s="729"/>
      <c r="AG130" s="730"/>
      <c r="AH130" s="728"/>
      <c r="AI130" s="729"/>
      <c r="AJ130" s="729"/>
      <c r="AK130" s="729"/>
      <c r="AL130" s="730"/>
    </row>
    <row r="131" spans="2:38" x14ac:dyDescent="0.3">
      <c r="B131" s="721" t="s">
        <v>661</v>
      </c>
      <c r="C131" s="252"/>
      <c r="D131" s="252"/>
      <c r="E131" s="252"/>
      <c r="F131" s="252"/>
      <c r="G131" s="253"/>
      <c r="H131" s="4"/>
      <c r="I131" s="727"/>
      <c r="J131" s="4"/>
      <c r="K131" s="731"/>
      <c r="L131" s="732"/>
      <c r="M131" s="732"/>
      <c r="N131" s="731"/>
      <c r="O131" s="732"/>
      <c r="P131" s="732"/>
      <c r="Q131" s="732"/>
      <c r="R131" s="733"/>
      <c r="S131" s="731"/>
      <c r="T131" s="732"/>
      <c r="U131" s="732"/>
      <c r="V131" s="732"/>
      <c r="W131" s="733"/>
      <c r="X131" s="2146"/>
      <c r="Y131" s="2147"/>
      <c r="Z131" s="2147"/>
      <c r="AA131" s="2147"/>
      <c r="AB131" s="2148"/>
      <c r="AC131" s="731"/>
      <c r="AD131" s="732"/>
      <c r="AE131" s="732"/>
      <c r="AF131" s="732"/>
      <c r="AG131" s="733"/>
      <c r="AH131" s="731"/>
      <c r="AI131" s="732"/>
      <c r="AJ131" s="732"/>
      <c r="AK131" s="732"/>
      <c r="AL131" s="733"/>
    </row>
    <row r="132" spans="2:38" x14ac:dyDescent="0.3">
      <c r="K132" s="718"/>
      <c r="L132" s="718"/>
      <c r="M132" s="718"/>
      <c r="N132" s="718"/>
      <c r="O132" s="718"/>
      <c r="P132" s="718"/>
      <c r="Q132" s="718"/>
      <c r="R132" s="718"/>
      <c r="S132" s="718"/>
      <c r="T132" s="718"/>
      <c r="U132" s="718"/>
      <c r="V132" s="718"/>
      <c r="W132" s="718"/>
      <c r="X132" s="1304"/>
      <c r="Y132" s="1304"/>
      <c r="Z132" s="1304"/>
      <c r="AA132" s="1304"/>
      <c r="AB132" s="1304"/>
      <c r="AC132" s="718"/>
      <c r="AD132" s="718"/>
      <c r="AE132" s="718"/>
      <c r="AF132" s="718"/>
      <c r="AG132" s="718"/>
      <c r="AH132" s="718"/>
      <c r="AI132" s="718"/>
      <c r="AJ132" s="718"/>
      <c r="AK132" s="718"/>
      <c r="AL132" s="718"/>
    </row>
    <row r="133" spans="2:38" x14ac:dyDescent="0.3">
      <c r="K133" s="718"/>
      <c r="L133" s="718"/>
      <c r="M133" s="718"/>
      <c r="N133" s="718"/>
      <c r="O133" s="718"/>
      <c r="P133" s="718"/>
      <c r="Q133" s="718"/>
      <c r="R133" s="718"/>
      <c r="S133" s="718"/>
      <c r="T133" s="718"/>
      <c r="U133" s="718"/>
      <c r="V133" s="718"/>
      <c r="W133" s="718"/>
      <c r="X133" s="1304"/>
      <c r="Y133" s="1304"/>
      <c r="Z133" s="1304"/>
      <c r="AA133" s="1304"/>
      <c r="AB133" s="1304"/>
      <c r="AC133" s="718"/>
      <c r="AD133" s="718"/>
      <c r="AE133" s="718"/>
      <c r="AF133" s="718"/>
      <c r="AG133" s="718"/>
      <c r="AH133" s="718"/>
      <c r="AI133" s="718"/>
      <c r="AJ133" s="718"/>
      <c r="AK133" s="718"/>
      <c r="AL133" s="718"/>
    </row>
    <row r="134" spans="2:38" ht="13" x14ac:dyDescent="0.3">
      <c r="B134" s="716" t="s">
        <v>683</v>
      </c>
      <c r="C134" s="721"/>
      <c r="D134" s="252"/>
      <c r="E134" s="252"/>
      <c r="F134" s="252"/>
      <c r="G134" s="252"/>
      <c r="H134" s="252"/>
      <c r="I134" s="253"/>
      <c r="K134" s="718"/>
      <c r="L134" s="718"/>
      <c r="M134" s="718"/>
      <c r="N134" s="718"/>
      <c r="O134" s="718"/>
      <c r="P134" s="718"/>
      <c r="Q134" s="718"/>
      <c r="R134" s="718"/>
      <c r="S134" s="718"/>
      <c r="T134" s="718"/>
      <c r="U134" s="718"/>
      <c r="V134" s="718"/>
      <c r="W134" s="718"/>
      <c r="X134" s="1304"/>
      <c r="Y134" s="1304"/>
      <c r="Z134" s="1304"/>
      <c r="AA134" s="1304"/>
      <c r="AB134" s="1304"/>
      <c r="AC134" s="718"/>
      <c r="AD134" s="718"/>
      <c r="AE134" s="718"/>
      <c r="AF134" s="718"/>
      <c r="AG134" s="718"/>
      <c r="AH134" s="718"/>
      <c r="AI134" s="718"/>
      <c r="AJ134" s="718"/>
      <c r="AK134" s="718"/>
      <c r="AL134" s="718"/>
    </row>
    <row r="135" spans="2:38" x14ac:dyDescent="0.3">
      <c r="K135" s="718"/>
      <c r="L135" s="718"/>
      <c r="M135" s="718"/>
      <c r="N135" s="718"/>
      <c r="O135" s="718"/>
      <c r="P135" s="718"/>
      <c r="Q135" s="718"/>
      <c r="R135" s="718"/>
      <c r="S135" s="718"/>
      <c r="T135" s="718"/>
      <c r="U135" s="718"/>
      <c r="V135" s="718"/>
      <c r="W135" s="718"/>
      <c r="X135" s="1304"/>
      <c r="Y135" s="1304"/>
      <c r="Z135" s="1304"/>
      <c r="AA135" s="1304"/>
      <c r="AB135" s="1304"/>
      <c r="AC135" s="718"/>
      <c r="AD135" s="718"/>
      <c r="AE135" s="718"/>
      <c r="AF135" s="718"/>
      <c r="AG135" s="718"/>
      <c r="AH135" s="718"/>
      <c r="AI135" s="718"/>
      <c r="AJ135" s="718"/>
      <c r="AK135" s="718"/>
      <c r="AL135" s="718"/>
    </row>
    <row r="136" spans="2:38" x14ac:dyDescent="0.3">
      <c r="B136" s="721" t="s">
        <v>652</v>
      </c>
      <c r="C136" s="722"/>
      <c r="D136" s="722"/>
      <c r="E136" s="722"/>
      <c r="F136" s="722"/>
      <c r="G136" s="723"/>
      <c r="H136" s="4"/>
      <c r="I136" s="727"/>
      <c r="J136" s="4"/>
      <c r="K136" s="724"/>
      <c r="L136" s="725"/>
      <c r="M136" s="725"/>
      <c r="N136" s="724"/>
      <c r="O136" s="725"/>
      <c r="P136" s="725"/>
      <c r="Q136" s="725"/>
      <c r="R136" s="726"/>
      <c r="S136" s="724"/>
      <c r="T136" s="725"/>
      <c r="U136" s="725"/>
      <c r="V136" s="725"/>
      <c r="W136" s="726"/>
      <c r="X136" s="1286"/>
      <c r="Y136" s="1287"/>
      <c r="Z136" s="1287"/>
      <c r="AA136" s="1287"/>
      <c r="AB136" s="1288"/>
      <c r="AC136" s="724"/>
      <c r="AD136" s="725"/>
      <c r="AE136" s="725"/>
      <c r="AF136" s="725"/>
      <c r="AG136" s="726"/>
      <c r="AH136" s="724"/>
      <c r="AI136" s="725"/>
      <c r="AJ136" s="725"/>
      <c r="AK136" s="725"/>
      <c r="AL136" s="726"/>
    </row>
    <row r="137" spans="2:38" x14ac:dyDescent="0.3">
      <c r="B137" s="721" t="s">
        <v>653</v>
      </c>
      <c r="C137" s="252"/>
      <c r="D137" s="252"/>
      <c r="E137" s="252"/>
      <c r="F137" s="252"/>
      <c r="G137" s="253"/>
      <c r="H137" s="4"/>
      <c r="I137" s="727"/>
      <c r="J137" s="4"/>
      <c r="K137" s="728"/>
      <c r="L137" s="729"/>
      <c r="M137" s="729"/>
      <c r="N137" s="728"/>
      <c r="O137" s="729"/>
      <c r="P137" s="729"/>
      <c r="Q137" s="729"/>
      <c r="R137" s="730"/>
      <c r="S137" s="728"/>
      <c r="T137" s="729"/>
      <c r="U137" s="729"/>
      <c r="V137" s="729"/>
      <c r="W137" s="730"/>
      <c r="X137" s="1289"/>
      <c r="Y137" s="1290"/>
      <c r="Z137" s="1290"/>
      <c r="AA137" s="1290"/>
      <c r="AB137" s="1291"/>
      <c r="AC137" s="728"/>
      <c r="AD137" s="729"/>
      <c r="AE137" s="729"/>
      <c r="AF137" s="729"/>
      <c r="AG137" s="730"/>
      <c r="AH137" s="728"/>
      <c r="AI137" s="729"/>
      <c r="AJ137" s="729"/>
      <c r="AK137" s="729"/>
      <c r="AL137" s="730"/>
    </row>
    <row r="138" spans="2:38" x14ac:dyDescent="0.3">
      <c r="B138" s="721" t="s">
        <v>654</v>
      </c>
      <c r="C138" s="252"/>
      <c r="D138" s="252"/>
      <c r="E138" s="252"/>
      <c r="F138" s="252"/>
      <c r="G138" s="253"/>
      <c r="H138" s="4"/>
      <c r="I138" s="727"/>
      <c r="J138" s="4"/>
      <c r="K138" s="728"/>
      <c r="L138" s="729"/>
      <c r="M138" s="729"/>
      <c r="N138" s="728"/>
      <c r="O138" s="729"/>
      <c r="P138" s="729"/>
      <c r="Q138" s="729"/>
      <c r="R138" s="730"/>
      <c r="S138" s="728"/>
      <c r="T138" s="729"/>
      <c r="U138" s="729"/>
      <c r="V138" s="729"/>
      <c r="W138" s="730"/>
      <c r="X138" s="1289"/>
      <c r="Y138" s="1290"/>
      <c r="Z138" s="1290"/>
      <c r="AA138" s="1290"/>
      <c r="AB138" s="1291"/>
      <c r="AC138" s="728"/>
      <c r="AD138" s="729"/>
      <c r="AE138" s="729"/>
      <c r="AF138" s="729"/>
      <c r="AG138" s="730"/>
      <c r="AH138" s="728"/>
      <c r="AI138" s="729"/>
      <c r="AJ138" s="729"/>
      <c r="AK138" s="729"/>
      <c r="AL138" s="730"/>
    </row>
    <row r="139" spans="2:38" x14ac:dyDescent="0.3">
      <c r="B139" s="721" t="s">
        <v>655</v>
      </c>
      <c r="C139" s="252"/>
      <c r="D139" s="252"/>
      <c r="E139" s="252"/>
      <c r="F139" s="252"/>
      <c r="G139" s="253"/>
      <c r="H139" s="4"/>
      <c r="I139" s="727"/>
      <c r="J139" s="4"/>
      <c r="K139" s="728"/>
      <c r="L139" s="729"/>
      <c r="M139" s="729"/>
      <c r="N139" s="728"/>
      <c r="O139" s="729"/>
      <c r="P139" s="729"/>
      <c r="Q139" s="729"/>
      <c r="R139" s="730"/>
      <c r="S139" s="728"/>
      <c r="T139" s="729"/>
      <c r="U139" s="729"/>
      <c r="V139" s="729"/>
      <c r="W139" s="730"/>
      <c r="X139" s="1289"/>
      <c r="Y139" s="1290"/>
      <c r="Z139" s="1290"/>
      <c r="AA139" s="1290"/>
      <c r="AB139" s="1291"/>
      <c r="AC139" s="728"/>
      <c r="AD139" s="729"/>
      <c r="AE139" s="729"/>
      <c r="AF139" s="729"/>
      <c r="AG139" s="730"/>
      <c r="AH139" s="728"/>
      <c r="AI139" s="729"/>
      <c r="AJ139" s="729"/>
      <c r="AK139" s="729"/>
      <c r="AL139" s="730"/>
    </row>
    <row r="140" spans="2:38" x14ac:dyDescent="0.3">
      <c r="B140" s="721" t="s">
        <v>656</v>
      </c>
      <c r="C140" s="252"/>
      <c r="D140" s="252"/>
      <c r="E140" s="252"/>
      <c r="F140" s="252"/>
      <c r="G140" s="253"/>
      <c r="H140" s="4"/>
      <c r="I140" s="727"/>
      <c r="J140" s="4"/>
      <c r="K140" s="728"/>
      <c r="L140" s="729"/>
      <c r="M140" s="729"/>
      <c r="N140" s="728"/>
      <c r="O140" s="729"/>
      <c r="P140" s="729"/>
      <c r="Q140" s="729"/>
      <c r="R140" s="730"/>
      <c r="S140" s="728"/>
      <c r="T140" s="729"/>
      <c r="U140" s="729"/>
      <c r="V140" s="729"/>
      <c r="W140" s="730"/>
      <c r="X140" s="1289"/>
      <c r="Y140" s="1290"/>
      <c r="Z140" s="1290"/>
      <c r="AA140" s="1290"/>
      <c r="AB140" s="1291"/>
      <c r="AC140" s="728"/>
      <c r="AD140" s="729"/>
      <c r="AE140" s="729"/>
      <c r="AF140" s="729"/>
      <c r="AG140" s="730"/>
      <c r="AH140" s="728"/>
      <c r="AI140" s="729"/>
      <c r="AJ140" s="729"/>
      <c r="AK140" s="729"/>
      <c r="AL140" s="730"/>
    </row>
    <row r="141" spans="2:38" x14ac:dyDescent="0.3">
      <c r="B141" s="721" t="s">
        <v>657</v>
      </c>
      <c r="C141" s="252"/>
      <c r="D141" s="252"/>
      <c r="E141" s="252"/>
      <c r="F141" s="252"/>
      <c r="G141" s="253"/>
      <c r="H141" s="4"/>
      <c r="I141" s="727"/>
      <c r="J141" s="4"/>
      <c r="K141" s="728"/>
      <c r="L141" s="729"/>
      <c r="M141" s="729"/>
      <c r="N141" s="728"/>
      <c r="O141" s="729"/>
      <c r="P141" s="729"/>
      <c r="Q141" s="729"/>
      <c r="R141" s="730"/>
      <c r="S141" s="728"/>
      <c r="T141" s="729"/>
      <c r="U141" s="729"/>
      <c r="V141" s="729"/>
      <c r="W141" s="730"/>
      <c r="X141" s="1289"/>
      <c r="Y141" s="1290"/>
      <c r="Z141" s="1290"/>
      <c r="AA141" s="1290"/>
      <c r="AB141" s="1291"/>
      <c r="AC141" s="728"/>
      <c r="AD141" s="729"/>
      <c r="AE141" s="729"/>
      <c r="AF141" s="729"/>
      <c r="AG141" s="730"/>
      <c r="AH141" s="728"/>
      <c r="AI141" s="729"/>
      <c r="AJ141" s="729"/>
      <c r="AK141" s="729"/>
      <c r="AL141" s="730"/>
    </row>
    <row r="142" spans="2:38" x14ac:dyDescent="0.3">
      <c r="B142" s="721" t="s">
        <v>658</v>
      </c>
      <c r="C142" s="252"/>
      <c r="D142" s="252"/>
      <c r="E142" s="252"/>
      <c r="F142" s="252"/>
      <c r="G142" s="253"/>
      <c r="H142" s="4"/>
      <c r="I142" s="727"/>
      <c r="J142" s="4"/>
      <c r="K142" s="728"/>
      <c r="L142" s="729"/>
      <c r="M142" s="729"/>
      <c r="N142" s="728"/>
      <c r="O142" s="729"/>
      <c r="P142" s="729"/>
      <c r="Q142" s="729"/>
      <c r="R142" s="730"/>
      <c r="S142" s="728"/>
      <c r="T142" s="729"/>
      <c r="U142" s="729"/>
      <c r="V142" s="729"/>
      <c r="W142" s="730"/>
      <c r="X142" s="1289"/>
      <c r="Y142" s="1290"/>
      <c r="Z142" s="1290"/>
      <c r="AA142" s="1290"/>
      <c r="AB142" s="1291"/>
      <c r="AC142" s="728"/>
      <c r="AD142" s="729"/>
      <c r="AE142" s="729"/>
      <c r="AF142" s="729"/>
      <c r="AG142" s="730"/>
      <c r="AH142" s="728"/>
      <c r="AI142" s="729"/>
      <c r="AJ142" s="729"/>
      <c r="AK142" s="729"/>
      <c r="AL142" s="730"/>
    </row>
    <row r="143" spans="2:38" x14ac:dyDescent="0.3">
      <c r="B143" s="721" t="s">
        <v>659</v>
      </c>
      <c r="C143" s="252"/>
      <c r="D143" s="252"/>
      <c r="E143" s="252"/>
      <c r="F143" s="252"/>
      <c r="G143" s="253"/>
      <c r="H143" s="4"/>
      <c r="I143" s="727"/>
      <c r="J143" s="4"/>
      <c r="K143" s="728"/>
      <c r="L143" s="729"/>
      <c r="M143" s="729"/>
      <c r="N143" s="728"/>
      <c r="O143" s="729"/>
      <c r="P143" s="729"/>
      <c r="Q143" s="729"/>
      <c r="R143" s="730"/>
      <c r="S143" s="728"/>
      <c r="T143" s="729"/>
      <c r="U143" s="729"/>
      <c r="V143" s="729"/>
      <c r="W143" s="730"/>
      <c r="X143" s="1289"/>
      <c r="Y143" s="1290"/>
      <c r="Z143" s="1290"/>
      <c r="AA143" s="1290"/>
      <c r="AB143" s="1291"/>
      <c r="AC143" s="728"/>
      <c r="AD143" s="729"/>
      <c r="AE143" s="729"/>
      <c r="AF143" s="729"/>
      <c r="AG143" s="730"/>
      <c r="AH143" s="728"/>
      <c r="AI143" s="729"/>
      <c r="AJ143" s="729"/>
      <c r="AK143" s="729"/>
      <c r="AL143" s="730"/>
    </row>
    <row r="144" spans="2:38" x14ac:dyDescent="0.3">
      <c r="B144" s="721" t="s">
        <v>660</v>
      </c>
      <c r="C144" s="252"/>
      <c r="D144" s="252"/>
      <c r="E144" s="252"/>
      <c r="F144" s="252"/>
      <c r="G144" s="253"/>
      <c r="H144" s="4"/>
      <c r="I144" s="727"/>
      <c r="J144" s="4"/>
      <c r="K144" s="728"/>
      <c r="L144" s="729"/>
      <c r="M144" s="729"/>
      <c r="N144" s="728"/>
      <c r="O144" s="729"/>
      <c r="P144" s="729"/>
      <c r="Q144" s="729"/>
      <c r="R144" s="730"/>
      <c r="S144" s="728"/>
      <c r="T144" s="729"/>
      <c r="U144" s="729"/>
      <c r="V144" s="729"/>
      <c r="W144" s="730"/>
      <c r="X144" s="1289"/>
      <c r="Y144" s="1290"/>
      <c r="Z144" s="1290"/>
      <c r="AA144" s="1290"/>
      <c r="AB144" s="1291"/>
      <c r="AC144" s="728"/>
      <c r="AD144" s="729"/>
      <c r="AE144" s="729"/>
      <c r="AF144" s="729"/>
      <c r="AG144" s="730"/>
      <c r="AH144" s="728"/>
      <c r="AI144" s="729"/>
      <c r="AJ144" s="729"/>
      <c r="AK144" s="729"/>
      <c r="AL144" s="730"/>
    </row>
    <row r="145" spans="2:38" x14ac:dyDescent="0.3">
      <c r="B145" s="721" t="s">
        <v>661</v>
      </c>
      <c r="C145" s="252"/>
      <c r="D145" s="252"/>
      <c r="E145" s="252"/>
      <c r="F145" s="252"/>
      <c r="G145" s="253"/>
      <c r="H145" s="4"/>
      <c r="I145" s="727"/>
      <c r="J145" s="4"/>
      <c r="K145" s="731"/>
      <c r="L145" s="732"/>
      <c r="M145" s="732"/>
      <c r="N145" s="731"/>
      <c r="O145" s="732"/>
      <c r="P145" s="732"/>
      <c r="Q145" s="732"/>
      <c r="R145" s="733"/>
      <c r="S145" s="731"/>
      <c r="T145" s="732"/>
      <c r="U145" s="732"/>
      <c r="V145" s="732"/>
      <c r="W145" s="733"/>
      <c r="X145" s="2146"/>
      <c r="Y145" s="2147"/>
      <c r="Z145" s="2147"/>
      <c r="AA145" s="2147"/>
      <c r="AB145" s="2148"/>
      <c r="AC145" s="731"/>
      <c r="AD145" s="732"/>
      <c r="AE145" s="732"/>
      <c r="AF145" s="732"/>
      <c r="AG145" s="733"/>
      <c r="AH145" s="731"/>
      <c r="AI145" s="732"/>
      <c r="AJ145" s="732"/>
      <c r="AK145" s="732"/>
      <c r="AL145" s="733"/>
    </row>
    <row r="146" spans="2:38" x14ac:dyDescent="0.3">
      <c r="K146" s="718"/>
      <c r="L146" s="718"/>
      <c r="M146" s="718"/>
      <c r="N146" s="718"/>
      <c r="O146" s="718"/>
      <c r="P146" s="718"/>
      <c r="Q146" s="718"/>
      <c r="R146" s="718"/>
      <c r="S146" s="718"/>
      <c r="T146" s="718"/>
      <c r="U146" s="718"/>
      <c r="V146" s="718"/>
      <c r="W146" s="718"/>
      <c r="X146" s="1304"/>
      <c r="Y146" s="1304"/>
      <c r="Z146" s="1304"/>
      <c r="AA146" s="1304"/>
      <c r="AB146" s="1304"/>
      <c r="AC146" s="718"/>
      <c r="AD146" s="718"/>
      <c r="AE146" s="718"/>
      <c r="AF146" s="718"/>
      <c r="AG146" s="718"/>
      <c r="AH146" s="718"/>
      <c r="AI146" s="718"/>
      <c r="AJ146" s="718"/>
      <c r="AK146" s="718"/>
      <c r="AL146" s="718"/>
    </row>
    <row r="147" spans="2:38" x14ac:dyDescent="0.3">
      <c r="K147" s="718"/>
      <c r="L147" s="718"/>
      <c r="M147" s="718"/>
      <c r="N147" s="718"/>
      <c r="O147" s="718"/>
      <c r="P147" s="718"/>
      <c r="Q147" s="718"/>
      <c r="R147" s="718"/>
      <c r="S147" s="718"/>
      <c r="T147" s="718"/>
      <c r="U147" s="718"/>
      <c r="V147" s="718"/>
      <c r="W147" s="718"/>
      <c r="X147" s="1304"/>
      <c r="Y147" s="1304"/>
      <c r="Z147" s="1304"/>
      <c r="AA147" s="1304"/>
      <c r="AB147" s="1304"/>
      <c r="AC147" s="718"/>
      <c r="AD147" s="718"/>
      <c r="AE147" s="718"/>
      <c r="AF147" s="718"/>
      <c r="AG147" s="718"/>
      <c r="AH147" s="718"/>
      <c r="AI147" s="718"/>
      <c r="AJ147" s="718"/>
      <c r="AK147" s="718"/>
      <c r="AL147" s="718"/>
    </row>
    <row r="148" spans="2:38" ht="13" x14ac:dyDescent="0.3">
      <c r="B148" s="716" t="s">
        <v>682</v>
      </c>
      <c r="C148" s="721"/>
      <c r="D148" s="252"/>
      <c r="E148" s="252"/>
      <c r="F148" s="252"/>
      <c r="G148" s="252"/>
      <c r="H148" s="252"/>
      <c r="I148" s="253"/>
      <c r="K148" s="718"/>
      <c r="L148" s="718"/>
      <c r="M148" s="718"/>
      <c r="N148" s="718"/>
      <c r="O148" s="718"/>
      <c r="P148" s="718"/>
      <c r="Q148" s="718"/>
      <c r="R148" s="718"/>
      <c r="S148" s="718"/>
      <c r="T148" s="718"/>
      <c r="U148" s="718"/>
      <c r="V148" s="718"/>
      <c r="W148" s="718"/>
      <c r="X148" s="1304"/>
      <c r="Y148" s="1304"/>
      <c r="Z148" s="1304"/>
      <c r="AA148" s="1304"/>
      <c r="AB148" s="1304"/>
      <c r="AC148" s="718"/>
      <c r="AD148" s="718"/>
      <c r="AE148" s="718"/>
      <c r="AF148" s="718"/>
      <c r="AG148" s="718"/>
      <c r="AH148" s="718"/>
      <c r="AI148" s="718"/>
      <c r="AJ148" s="718"/>
      <c r="AK148" s="718"/>
      <c r="AL148" s="718"/>
    </row>
    <row r="149" spans="2:38" x14ac:dyDescent="0.3">
      <c r="K149" s="718"/>
      <c r="L149" s="718"/>
      <c r="M149" s="718"/>
      <c r="N149" s="718"/>
      <c r="O149" s="718"/>
      <c r="P149" s="718"/>
      <c r="Q149" s="718"/>
      <c r="R149" s="718"/>
      <c r="S149" s="718"/>
      <c r="T149" s="718"/>
      <c r="U149" s="718"/>
      <c r="V149" s="718"/>
      <c r="W149" s="718"/>
      <c r="X149" s="1304"/>
      <c r="Y149" s="1304"/>
      <c r="Z149" s="1304"/>
      <c r="AA149" s="1304"/>
      <c r="AB149" s="1304"/>
      <c r="AC149" s="718"/>
      <c r="AD149" s="718"/>
      <c r="AE149" s="718"/>
      <c r="AF149" s="718"/>
      <c r="AG149" s="718"/>
      <c r="AH149" s="718"/>
      <c r="AI149" s="718"/>
      <c r="AJ149" s="718"/>
      <c r="AK149" s="718"/>
      <c r="AL149" s="718"/>
    </row>
    <row r="150" spans="2:38" x14ac:dyDescent="0.3">
      <c r="B150" s="721" t="s">
        <v>652</v>
      </c>
      <c r="C150" s="722"/>
      <c r="D150" s="722"/>
      <c r="E150" s="722"/>
      <c r="F150" s="722"/>
      <c r="G150" s="723"/>
      <c r="H150" s="4"/>
      <c r="I150" s="727"/>
      <c r="J150" s="4"/>
      <c r="K150" s="724"/>
      <c r="L150" s="725"/>
      <c r="M150" s="725"/>
      <c r="N150" s="724"/>
      <c r="O150" s="725"/>
      <c r="P150" s="725"/>
      <c r="Q150" s="725"/>
      <c r="R150" s="726"/>
      <c r="S150" s="724"/>
      <c r="T150" s="725"/>
      <c r="U150" s="725"/>
      <c r="V150" s="725"/>
      <c r="W150" s="726"/>
      <c r="X150" s="1286"/>
      <c r="Y150" s="1287"/>
      <c r="Z150" s="1287"/>
      <c r="AA150" s="1287"/>
      <c r="AB150" s="1288"/>
      <c r="AC150" s="724"/>
      <c r="AD150" s="725"/>
      <c r="AE150" s="725"/>
      <c r="AF150" s="725"/>
      <c r="AG150" s="726"/>
      <c r="AH150" s="724"/>
      <c r="AI150" s="725"/>
      <c r="AJ150" s="725"/>
      <c r="AK150" s="725"/>
      <c r="AL150" s="726"/>
    </row>
    <row r="151" spans="2:38" x14ac:dyDescent="0.3">
      <c r="B151" s="721" t="s">
        <v>653</v>
      </c>
      <c r="C151" s="252"/>
      <c r="D151" s="252"/>
      <c r="E151" s="252"/>
      <c r="F151" s="252"/>
      <c r="G151" s="253"/>
      <c r="H151" s="4"/>
      <c r="I151" s="727"/>
      <c r="J151" s="4"/>
      <c r="K151" s="728"/>
      <c r="L151" s="729"/>
      <c r="M151" s="729"/>
      <c r="N151" s="728"/>
      <c r="O151" s="729"/>
      <c r="P151" s="729"/>
      <c r="Q151" s="729"/>
      <c r="R151" s="730"/>
      <c r="S151" s="728"/>
      <c r="T151" s="729"/>
      <c r="U151" s="729"/>
      <c r="V151" s="729"/>
      <c r="W151" s="730"/>
      <c r="X151" s="1289"/>
      <c r="Y151" s="1290"/>
      <c r="Z151" s="1290"/>
      <c r="AA151" s="1290"/>
      <c r="AB151" s="1291"/>
      <c r="AC151" s="728"/>
      <c r="AD151" s="729"/>
      <c r="AE151" s="729"/>
      <c r="AF151" s="729"/>
      <c r="AG151" s="730"/>
      <c r="AH151" s="728"/>
      <c r="AI151" s="729"/>
      <c r="AJ151" s="729"/>
      <c r="AK151" s="729"/>
      <c r="AL151" s="730"/>
    </row>
    <row r="152" spans="2:38" x14ac:dyDescent="0.3">
      <c r="B152" s="721" t="s">
        <v>654</v>
      </c>
      <c r="C152" s="252"/>
      <c r="D152" s="252"/>
      <c r="E152" s="252"/>
      <c r="F152" s="252"/>
      <c r="G152" s="253"/>
      <c r="H152" s="4"/>
      <c r="I152" s="727"/>
      <c r="J152" s="4"/>
      <c r="K152" s="728"/>
      <c r="L152" s="729"/>
      <c r="M152" s="729"/>
      <c r="N152" s="728"/>
      <c r="O152" s="729"/>
      <c r="P152" s="729"/>
      <c r="Q152" s="729"/>
      <c r="R152" s="730"/>
      <c r="S152" s="728"/>
      <c r="T152" s="729"/>
      <c r="U152" s="729"/>
      <c r="V152" s="729"/>
      <c r="W152" s="730"/>
      <c r="X152" s="1289"/>
      <c r="Y152" s="1290"/>
      <c r="Z152" s="1290"/>
      <c r="AA152" s="1290"/>
      <c r="AB152" s="1291"/>
      <c r="AC152" s="728"/>
      <c r="AD152" s="729"/>
      <c r="AE152" s="729"/>
      <c r="AF152" s="729"/>
      <c r="AG152" s="730"/>
      <c r="AH152" s="728"/>
      <c r="AI152" s="729"/>
      <c r="AJ152" s="729"/>
      <c r="AK152" s="729"/>
      <c r="AL152" s="730"/>
    </row>
    <row r="153" spans="2:38" x14ac:dyDescent="0.3">
      <c r="B153" s="721" t="s">
        <v>655</v>
      </c>
      <c r="C153" s="252"/>
      <c r="D153" s="252"/>
      <c r="E153" s="252"/>
      <c r="F153" s="252"/>
      <c r="G153" s="253"/>
      <c r="H153" s="4"/>
      <c r="I153" s="727"/>
      <c r="J153" s="4"/>
      <c r="K153" s="728"/>
      <c r="L153" s="729"/>
      <c r="M153" s="729"/>
      <c r="N153" s="728"/>
      <c r="O153" s="729"/>
      <c r="P153" s="729"/>
      <c r="Q153" s="729"/>
      <c r="R153" s="730"/>
      <c r="S153" s="728"/>
      <c r="T153" s="729"/>
      <c r="U153" s="729"/>
      <c r="V153" s="729"/>
      <c r="W153" s="730"/>
      <c r="X153" s="1289"/>
      <c r="Y153" s="1290"/>
      <c r="Z153" s="1290"/>
      <c r="AA153" s="1290"/>
      <c r="AB153" s="1291"/>
      <c r="AC153" s="728"/>
      <c r="AD153" s="729"/>
      <c r="AE153" s="729"/>
      <c r="AF153" s="729"/>
      <c r="AG153" s="730"/>
      <c r="AH153" s="728"/>
      <c r="AI153" s="729"/>
      <c r="AJ153" s="729"/>
      <c r="AK153" s="729"/>
      <c r="AL153" s="730"/>
    </row>
    <row r="154" spans="2:38" x14ac:dyDescent="0.3">
      <c r="B154" s="721" t="s">
        <v>656</v>
      </c>
      <c r="C154" s="252"/>
      <c r="D154" s="252"/>
      <c r="E154" s="252"/>
      <c r="F154" s="252"/>
      <c r="G154" s="253"/>
      <c r="H154" s="4"/>
      <c r="I154" s="727"/>
      <c r="J154" s="4"/>
      <c r="K154" s="728"/>
      <c r="L154" s="729"/>
      <c r="M154" s="729"/>
      <c r="N154" s="728"/>
      <c r="O154" s="729"/>
      <c r="P154" s="729"/>
      <c r="Q154" s="729"/>
      <c r="R154" s="730"/>
      <c r="S154" s="728"/>
      <c r="T154" s="729"/>
      <c r="U154" s="729"/>
      <c r="V154" s="729"/>
      <c r="W154" s="730"/>
      <c r="X154" s="1289"/>
      <c r="Y154" s="1290"/>
      <c r="Z154" s="1290"/>
      <c r="AA154" s="1290"/>
      <c r="AB154" s="1291"/>
      <c r="AC154" s="728"/>
      <c r="AD154" s="729"/>
      <c r="AE154" s="729"/>
      <c r="AF154" s="729"/>
      <c r="AG154" s="730"/>
      <c r="AH154" s="728"/>
      <c r="AI154" s="729"/>
      <c r="AJ154" s="729"/>
      <c r="AK154" s="729"/>
      <c r="AL154" s="730"/>
    </row>
    <row r="155" spans="2:38" x14ac:dyDescent="0.3">
      <c r="B155" s="721" t="s">
        <v>657</v>
      </c>
      <c r="C155" s="252"/>
      <c r="D155" s="252"/>
      <c r="E155" s="252"/>
      <c r="F155" s="252"/>
      <c r="G155" s="253"/>
      <c r="H155" s="4"/>
      <c r="I155" s="727"/>
      <c r="J155" s="4"/>
      <c r="K155" s="728"/>
      <c r="L155" s="729"/>
      <c r="M155" s="729"/>
      <c r="N155" s="728"/>
      <c r="O155" s="729"/>
      <c r="P155" s="729"/>
      <c r="Q155" s="729"/>
      <c r="R155" s="730"/>
      <c r="S155" s="728"/>
      <c r="T155" s="729"/>
      <c r="U155" s="729"/>
      <c r="V155" s="729"/>
      <c r="W155" s="730"/>
      <c r="X155" s="1289"/>
      <c r="Y155" s="1290"/>
      <c r="Z155" s="1290"/>
      <c r="AA155" s="1290"/>
      <c r="AB155" s="1291"/>
      <c r="AC155" s="728"/>
      <c r="AD155" s="729"/>
      <c r="AE155" s="729"/>
      <c r="AF155" s="729"/>
      <c r="AG155" s="730"/>
      <c r="AH155" s="728"/>
      <c r="AI155" s="729"/>
      <c r="AJ155" s="729"/>
      <c r="AK155" s="729"/>
      <c r="AL155" s="730"/>
    </row>
    <row r="156" spans="2:38" x14ac:dyDescent="0.3">
      <c r="B156" s="721" t="s">
        <v>658</v>
      </c>
      <c r="C156" s="252"/>
      <c r="D156" s="252"/>
      <c r="E156" s="252"/>
      <c r="F156" s="252"/>
      <c r="G156" s="253"/>
      <c r="H156" s="4"/>
      <c r="I156" s="727"/>
      <c r="J156" s="4"/>
      <c r="K156" s="728"/>
      <c r="L156" s="729"/>
      <c r="M156" s="729"/>
      <c r="N156" s="728"/>
      <c r="O156" s="729"/>
      <c r="P156" s="729"/>
      <c r="Q156" s="729"/>
      <c r="R156" s="730"/>
      <c r="S156" s="728"/>
      <c r="T156" s="729"/>
      <c r="U156" s="729"/>
      <c r="V156" s="729"/>
      <c r="W156" s="730"/>
      <c r="X156" s="1289"/>
      <c r="Y156" s="1290"/>
      <c r="Z156" s="1290"/>
      <c r="AA156" s="1290"/>
      <c r="AB156" s="1291"/>
      <c r="AC156" s="728"/>
      <c r="AD156" s="729"/>
      <c r="AE156" s="729"/>
      <c r="AF156" s="729"/>
      <c r="AG156" s="730"/>
      <c r="AH156" s="728"/>
      <c r="AI156" s="729"/>
      <c r="AJ156" s="729"/>
      <c r="AK156" s="729"/>
      <c r="AL156" s="730"/>
    </row>
    <row r="157" spans="2:38" x14ac:dyDescent="0.3">
      <c r="B157" s="721" t="s">
        <v>659</v>
      </c>
      <c r="C157" s="252"/>
      <c r="D157" s="252"/>
      <c r="E157" s="252"/>
      <c r="F157" s="252"/>
      <c r="G157" s="253"/>
      <c r="H157" s="4"/>
      <c r="I157" s="727"/>
      <c r="J157" s="4"/>
      <c r="K157" s="728"/>
      <c r="L157" s="729"/>
      <c r="M157" s="729"/>
      <c r="N157" s="728"/>
      <c r="O157" s="729"/>
      <c r="P157" s="729"/>
      <c r="Q157" s="729"/>
      <c r="R157" s="730"/>
      <c r="S157" s="728"/>
      <c r="T157" s="729"/>
      <c r="U157" s="729"/>
      <c r="V157" s="729"/>
      <c r="W157" s="730"/>
      <c r="X157" s="1289"/>
      <c r="Y157" s="1290"/>
      <c r="Z157" s="1290"/>
      <c r="AA157" s="1290"/>
      <c r="AB157" s="1291"/>
      <c r="AC157" s="728"/>
      <c r="AD157" s="729"/>
      <c r="AE157" s="729"/>
      <c r="AF157" s="729"/>
      <c r="AG157" s="730"/>
      <c r="AH157" s="728"/>
      <c r="AI157" s="729"/>
      <c r="AJ157" s="729"/>
      <c r="AK157" s="729"/>
      <c r="AL157" s="730"/>
    </row>
    <row r="158" spans="2:38" x14ac:dyDescent="0.3">
      <c r="B158" s="721" t="s">
        <v>660</v>
      </c>
      <c r="C158" s="252"/>
      <c r="D158" s="252"/>
      <c r="E158" s="252"/>
      <c r="F158" s="252"/>
      <c r="G158" s="253"/>
      <c r="H158" s="4"/>
      <c r="I158" s="727"/>
      <c r="J158" s="4"/>
      <c r="K158" s="728"/>
      <c r="L158" s="729"/>
      <c r="M158" s="729"/>
      <c r="N158" s="728"/>
      <c r="O158" s="729"/>
      <c r="P158" s="729"/>
      <c r="Q158" s="729"/>
      <c r="R158" s="730"/>
      <c r="S158" s="728"/>
      <c r="T158" s="729"/>
      <c r="U158" s="729"/>
      <c r="V158" s="729"/>
      <c r="W158" s="730"/>
      <c r="X158" s="1289"/>
      <c r="Y158" s="1290"/>
      <c r="Z158" s="1290"/>
      <c r="AA158" s="1290"/>
      <c r="AB158" s="1291"/>
      <c r="AC158" s="728"/>
      <c r="AD158" s="729"/>
      <c r="AE158" s="729"/>
      <c r="AF158" s="729"/>
      <c r="AG158" s="730"/>
      <c r="AH158" s="728"/>
      <c r="AI158" s="729"/>
      <c r="AJ158" s="729"/>
      <c r="AK158" s="729"/>
      <c r="AL158" s="730"/>
    </row>
    <row r="159" spans="2:38" x14ac:dyDescent="0.3">
      <c r="B159" s="721" t="s">
        <v>661</v>
      </c>
      <c r="C159" s="252"/>
      <c r="D159" s="252"/>
      <c r="E159" s="252"/>
      <c r="F159" s="252"/>
      <c r="G159" s="253"/>
      <c r="H159" s="4"/>
      <c r="I159" s="727"/>
      <c r="J159" s="4"/>
      <c r="K159" s="731"/>
      <c r="L159" s="732"/>
      <c r="M159" s="732"/>
      <c r="N159" s="731"/>
      <c r="O159" s="732"/>
      <c r="P159" s="732"/>
      <c r="Q159" s="732"/>
      <c r="R159" s="733"/>
      <c r="S159" s="731"/>
      <c r="T159" s="732"/>
      <c r="U159" s="732"/>
      <c r="V159" s="732"/>
      <c r="W159" s="733"/>
      <c r="X159" s="2146"/>
      <c r="Y159" s="2147"/>
      <c r="Z159" s="2147"/>
      <c r="AA159" s="2147"/>
      <c r="AB159" s="2148"/>
      <c r="AC159" s="731"/>
      <c r="AD159" s="732"/>
      <c r="AE159" s="732"/>
      <c r="AF159" s="732"/>
      <c r="AG159" s="733"/>
      <c r="AH159" s="731"/>
      <c r="AI159" s="732"/>
      <c r="AJ159" s="732"/>
      <c r="AK159" s="732"/>
      <c r="AL159" s="733"/>
    </row>
    <row r="160" spans="2:38" x14ac:dyDescent="0.3">
      <c r="K160" s="718"/>
      <c r="L160" s="718"/>
      <c r="M160" s="718"/>
      <c r="N160" s="718"/>
      <c r="O160" s="718"/>
      <c r="P160" s="718"/>
      <c r="Q160" s="718"/>
      <c r="R160" s="718"/>
      <c r="S160" s="718"/>
      <c r="T160" s="718"/>
      <c r="U160" s="718"/>
      <c r="V160" s="718"/>
      <c r="W160" s="718"/>
      <c r="X160" s="1304"/>
      <c r="Y160" s="1304"/>
      <c r="Z160" s="1304"/>
      <c r="AA160" s="1304"/>
      <c r="AB160" s="1304"/>
      <c r="AC160" s="718"/>
      <c r="AD160" s="718"/>
      <c r="AE160" s="718"/>
      <c r="AF160" s="718"/>
      <c r="AG160" s="718"/>
      <c r="AH160" s="718"/>
      <c r="AI160" s="718"/>
      <c r="AJ160" s="718"/>
      <c r="AK160" s="718"/>
      <c r="AL160" s="718"/>
    </row>
    <row r="161" spans="2:38" x14ac:dyDescent="0.3">
      <c r="K161" s="718"/>
      <c r="L161" s="718"/>
      <c r="M161" s="718"/>
      <c r="N161" s="718"/>
      <c r="O161" s="718"/>
      <c r="P161" s="718"/>
      <c r="Q161" s="718"/>
      <c r="R161" s="718"/>
      <c r="S161" s="718"/>
      <c r="T161" s="718"/>
      <c r="U161" s="718"/>
      <c r="V161" s="718"/>
      <c r="W161" s="718"/>
      <c r="X161" s="1304"/>
      <c r="Y161" s="1304"/>
      <c r="Z161" s="1304"/>
      <c r="AA161" s="1304"/>
      <c r="AB161" s="1304"/>
      <c r="AC161" s="718"/>
      <c r="AD161" s="718"/>
      <c r="AE161" s="718"/>
      <c r="AF161" s="718"/>
      <c r="AG161" s="718"/>
      <c r="AH161" s="718"/>
      <c r="AI161" s="718"/>
      <c r="AJ161" s="718"/>
      <c r="AK161" s="718"/>
      <c r="AL161" s="718"/>
    </row>
    <row r="162" spans="2:38" ht="13" x14ac:dyDescent="0.3">
      <c r="B162" s="716" t="s">
        <v>680</v>
      </c>
      <c r="C162" s="721"/>
      <c r="D162" s="252"/>
      <c r="E162" s="252"/>
      <c r="F162" s="252"/>
      <c r="G162" s="252"/>
      <c r="H162" s="252"/>
      <c r="I162" s="253"/>
      <c r="K162" s="718"/>
      <c r="L162" s="718"/>
      <c r="M162" s="718"/>
      <c r="N162" s="718"/>
      <c r="O162" s="718"/>
      <c r="P162" s="718"/>
      <c r="Q162" s="718"/>
      <c r="R162" s="718"/>
      <c r="S162" s="718"/>
      <c r="T162" s="718"/>
      <c r="U162" s="718"/>
      <c r="V162" s="718"/>
      <c r="W162" s="718"/>
      <c r="X162" s="1304"/>
      <c r="Y162" s="1304"/>
      <c r="Z162" s="1304"/>
      <c r="AA162" s="1304"/>
      <c r="AB162" s="1304"/>
      <c r="AC162" s="718"/>
      <c r="AD162" s="718"/>
      <c r="AE162" s="718"/>
      <c r="AF162" s="718"/>
      <c r="AG162" s="718"/>
      <c r="AH162" s="718"/>
      <c r="AI162" s="718"/>
      <c r="AJ162" s="718"/>
      <c r="AK162" s="718"/>
      <c r="AL162" s="718"/>
    </row>
    <row r="163" spans="2:38" x14ac:dyDescent="0.3">
      <c r="K163" s="718"/>
      <c r="L163" s="718"/>
      <c r="M163" s="718"/>
      <c r="N163" s="718"/>
      <c r="O163" s="718"/>
      <c r="P163" s="718"/>
      <c r="Q163" s="718"/>
      <c r="R163" s="718"/>
      <c r="S163" s="718"/>
      <c r="T163" s="718"/>
      <c r="U163" s="718"/>
      <c r="V163" s="718"/>
      <c r="W163" s="718"/>
      <c r="X163" s="1304"/>
      <c r="Y163" s="1304"/>
      <c r="Z163" s="1304"/>
      <c r="AA163" s="1304"/>
      <c r="AB163" s="1304"/>
      <c r="AC163" s="718"/>
      <c r="AD163" s="718"/>
      <c r="AE163" s="718"/>
      <c r="AF163" s="718"/>
      <c r="AG163" s="718"/>
      <c r="AH163" s="718"/>
      <c r="AI163" s="718"/>
      <c r="AJ163" s="718"/>
      <c r="AK163" s="718"/>
      <c r="AL163" s="718"/>
    </row>
    <row r="164" spans="2:38" x14ac:dyDescent="0.3">
      <c r="B164" s="721" t="s">
        <v>652</v>
      </c>
      <c r="C164" s="722"/>
      <c r="D164" s="722"/>
      <c r="E164" s="722"/>
      <c r="F164" s="722"/>
      <c r="G164" s="723"/>
      <c r="H164" s="4"/>
      <c r="I164" s="727"/>
      <c r="J164" s="4"/>
      <c r="K164" s="724"/>
      <c r="L164" s="725"/>
      <c r="M164" s="725"/>
      <c r="N164" s="724"/>
      <c r="O164" s="725"/>
      <c r="P164" s="725"/>
      <c r="Q164" s="725"/>
      <c r="R164" s="726"/>
      <c r="S164" s="724"/>
      <c r="T164" s="725"/>
      <c r="U164" s="725"/>
      <c r="V164" s="725"/>
      <c r="W164" s="726"/>
      <c r="X164" s="1286"/>
      <c r="Y164" s="1287"/>
      <c r="Z164" s="1287"/>
      <c r="AA164" s="1287"/>
      <c r="AB164" s="1288"/>
      <c r="AC164" s="724"/>
      <c r="AD164" s="725"/>
      <c r="AE164" s="725"/>
      <c r="AF164" s="725"/>
      <c r="AG164" s="726"/>
      <c r="AH164" s="724"/>
      <c r="AI164" s="725"/>
      <c r="AJ164" s="725"/>
      <c r="AK164" s="725"/>
      <c r="AL164" s="726"/>
    </row>
    <row r="165" spans="2:38" x14ac:dyDescent="0.3">
      <c r="B165" s="721" t="s">
        <v>653</v>
      </c>
      <c r="C165" s="252"/>
      <c r="D165" s="252"/>
      <c r="E165" s="252"/>
      <c r="F165" s="252"/>
      <c r="G165" s="253"/>
      <c r="H165" s="4"/>
      <c r="I165" s="727"/>
      <c r="J165" s="4"/>
      <c r="K165" s="728"/>
      <c r="L165" s="729"/>
      <c r="M165" s="729"/>
      <c r="N165" s="728"/>
      <c r="O165" s="729"/>
      <c r="P165" s="729"/>
      <c r="Q165" s="729"/>
      <c r="R165" s="730"/>
      <c r="S165" s="728"/>
      <c r="T165" s="729"/>
      <c r="U165" s="729"/>
      <c r="V165" s="729"/>
      <c r="W165" s="730"/>
      <c r="X165" s="1289"/>
      <c r="Y165" s="1290"/>
      <c r="Z165" s="1290"/>
      <c r="AA165" s="1290"/>
      <c r="AB165" s="1291"/>
      <c r="AC165" s="728"/>
      <c r="AD165" s="729"/>
      <c r="AE165" s="729"/>
      <c r="AF165" s="729"/>
      <c r="AG165" s="730"/>
      <c r="AH165" s="728"/>
      <c r="AI165" s="729"/>
      <c r="AJ165" s="729"/>
      <c r="AK165" s="729"/>
      <c r="AL165" s="730"/>
    </row>
    <row r="166" spans="2:38" x14ac:dyDescent="0.3">
      <c r="B166" s="721" t="s">
        <v>654</v>
      </c>
      <c r="C166" s="252"/>
      <c r="D166" s="252"/>
      <c r="E166" s="252"/>
      <c r="F166" s="252"/>
      <c r="G166" s="253"/>
      <c r="H166" s="4"/>
      <c r="I166" s="727"/>
      <c r="J166" s="4"/>
      <c r="K166" s="728"/>
      <c r="L166" s="729"/>
      <c r="M166" s="729"/>
      <c r="N166" s="728"/>
      <c r="O166" s="729"/>
      <c r="P166" s="729"/>
      <c r="Q166" s="729"/>
      <c r="R166" s="730"/>
      <c r="S166" s="728"/>
      <c r="T166" s="729"/>
      <c r="U166" s="729"/>
      <c r="V166" s="729"/>
      <c r="W166" s="730"/>
      <c r="X166" s="1289"/>
      <c r="Y166" s="1290"/>
      <c r="Z166" s="1290"/>
      <c r="AA166" s="1290"/>
      <c r="AB166" s="1291"/>
      <c r="AC166" s="728"/>
      <c r="AD166" s="729"/>
      <c r="AE166" s="729"/>
      <c r="AF166" s="729"/>
      <c r="AG166" s="730"/>
      <c r="AH166" s="728"/>
      <c r="AI166" s="729"/>
      <c r="AJ166" s="729"/>
      <c r="AK166" s="729"/>
      <c r="AL166" s="730"/>
    </row>
    <row r="167" spans="2:38" x14ac:dyDescent="0.3">
      <c r="B167" s="721" t="s">
        <v>655</v>
      </c>
      <c r="C167" s="252"/>
      <c r="D167" s="252"/>
      <c r="E167" s="252"/>
      <c r="F167" s="252"/>
      <c r="G167" s="253"/>
      <c r="H167" s="4"/>
      <c r="I167" s="727"/>
      <c r="J167" s="4"/>
      <c r="K167" s="728"/>
      <c r="L167" s="729"/>
      <c r="M167" s="729"/>
      <c r="N167" s="728"/>
      <c r="O167" s="729"/>
      <c r="P167" s="729"/>
      <c r="Q167" s="729"/>
      <c r="R167" s="730"/>
      <c r="S167" s="728"/>
      <c r="T167" s="729"/>
      <c r="U167" s="729"/>
      <c r="V167" s="729"/>
      <c r="W167" s="730"/>
      <c r="X167" s="1289"/>
      <c r="Y167" s="1290"/>
      <c r="Z167" s="1290"/>
      <c r="AA167" s="1290"/>
      <c r="AB167" s="1291"/>
      <c r="AC167" s="728"/>
      <c r="AD167" s="729"/>
      <c r="AE167" s="729"/>
      <c r="AF167" s="729"/>
      <c r="AG167" s="730"/>
      <c r="AH167" s="728"/>
      <c r="AI167" s="729"/>
      <c r="AJ167" s="729"/>
      <c r="AK167" s="729"/>
      <c r="AL167" s="730"/>
    </row>
    <row r="168" spans="2:38" x14ac:dyDescent="0.3">
      <c r="B168" s="721" t="s">
        <v>656</v>
      </c>
      <c r="C168" s="252"/>
      <c r="D168" s="252"/>
      <c r="E168" s="252"/>
      <c r="F168" s="252"/>
      <c r="G168" s="253"/>
      <c r="H168" s="4"/>
      <c r="I168" s="727"/>
      <c r="J168" s="4"/>
      <c r="K168" s="728"/>
      <c r="L168" s="729"/>
      <c r="M168" s="729"/>
      <c r="N168" s="728"/>
      <c r="O168" s="729"/>
      <c r="P168" s="729"/>
      <c r="Q168" s="729"/>
      <c r="R168" s="730"/>
      <c r="S168" s="728"/>
      <c r="T168" s="729"/>
      <c r="U168" s="729"/>
      <c r="V168" s="729"/>
      <c r="W168" s="730"/>
      <c r="X168" s="1289"/>
      <c r="Y168" s="1290"/>
      <c r="Z168" s="1290"/>
      <c r="AA168" s="1290"/>
      <c r="AB168" s="1291"/>
      <c r="AC168" s="728"/>
      <c r="AD168" s="729"/>
      <c r="AE168" s="729"/>
      <c r="AF168" s="729"/>
      <c r="AG168" s="730"/>
      <c r="AH168" s="728"/>
      <c r="AI168" s="729"/>
      <c r="AJ168" s="729"/>
      <c r="AK168" s="729"/>
      <c r="AL168" s="730"/>
    </row>
    <row r="169" spans="2:38" x14ac:dyDescent="0.3">
      <c r="B169" s="721" t="s">
        <v>657</v>
      </c>
      <c r="C169" s="252"/>
      <c r="D169" s="252"/>
      <c r="E169" s="252"/>
      <c r="F169" s="252"/>
      <c r="G169" s="253"/>
      <c r="H169" s="4"/>
      <c r="I169" s="727"/>
      <c r="J169" s="4"/>
      <c r="K169" s="728"/>
      <c r="L169" s="729"/>
      <c r="M169" s="729"/>
      <c r="N169" s="728"/>
      <c r="O169" s="729"/>
      <c r="P169" s="729"/>
      <c r="Q169" s="729"/>
      <c r="R169" s="730"/>
      <c r="S169" s="728"/>
      <c r="T169" s="729"/>
      <c r="U169" s="729"/>
      <c r="V169" s="729"/>
      <c r="W169" s="730"/>
      <c r="X169" s="1289"/>
      <c r="Y169" s="1290"/>
      <c r="Z169" s="1290"/>
      <c r="AA169" s="1290"/>
      <c r="AB169" s="1291"/>
      <c r="AC169" s="728"/>
      <c r="AD169" s="729"/>
      <c r="AE169" s="729"/>
      <c r="AF169" s="729"/>
      <c r="AG169" s="730"/>
      <c r="AH169" s="728"/>
      <c r="AI169" s="729"/>
      <c r="AJ169" s="729"/>
      <c r="AK169" s="729"/>
      <c r="AL169" s="730"/>
    </row>
    <row r="170" spans="2:38" x14ac:dyDescent="0.3">
      <c r="B170" s="721" t="s">
        <v>658</v>
      </c>
      <c r="C170" s="252"/>
      <c r="D170" s="252"/>
      <c r="E170" s="252"/>
      <c r="F170" s="252"/>
      <c r="G170" s="253"/>
      <c r="H170" s="4"/>
      <c r="I170" s="727"/>
      <c r="J170" s="4"/>
      <c r="K170" s="728"/>
      <c r="L170" s="729"/>
      <c r="M170" s="729"/>
      <c r="N170" s="728"/>
      <c r="O170" s="729"/>
      <c r="P170" s="729"/>
      <c r="Q170" s="729"/>
      <c r="R170" s="730"/>
      <c r="S170" s="728"/>
      <c r="T170" s="729"/>
      <c r="U170" s="729"/>
      <c r="V170" s="729"/>
      <c r="W170" s="730"/>
      <c r="X170" s="1289"/>
      <c r="Y170" s="1290"/>
      <c r="Z170" s="1290"/>
      <c r="AA170" s="1290"/>
      <c r="AB170" s="1291"/>
      <c r="AC170" s="728"/>
      <c r="AD170" s="729"/>
      <c r="AE170" s="729"/>
      <c r="AF170" s="729"/>
      <c r="AG170" s="730"/>
      <c r="AH170" s="728"/>
      <c r="AI170" s="729"/>
      <c r="AJ170" s="729"/>
      <c r="AK170" s="729"/>
      <c r="AL170" s="730"/>
    </row>
    <row r="171" spans="2:38" x14ac:dyDescent="0.3">
      <c r="B171" s="721" t="s">
        <v>659</v>
      </c>
      <c r="C171" s="252"/>
      <c r="D171" s="252"/>
      <c r="E171" s="252"/>
      <c r="F171" s="252"/>
      <c r="G171" s="253"/>
      <c r="H171" s="4"/>
      <c r="I171" s="727"/>
      <c r="J171" s="4"/>
      <c r="K171" s="728"/>
      <c r="L171" s="729"/>
      <c r="M171" s="729"/>
      <c r="N171" s="728"/>
      <c r="O171" s="729"/>
      <c r="P171" s="729"/>
      <c r="Q171" s="729"/>
      <c r="R171" s="730"/>
      <c r="S171" s="728"/>
      <c r="T171" s="729"/>
      <c r="U171" s="729"/>
      <c r="V171" s="729"/>
      <c r="W171" s="730"/>
      <c r="X171" s="1289"/>
      <c r="Y171" s="1290"/>
      <c r="Z171" s="1290"/>
      <c r="AA171" s="1290"/>
      <c r="AB171" s="1291"/>
      <c r="AC171" s="728"/>
      <c r="AD171" s="729"/>
      <c r="AE171" s="729"/>
      <c r="AF171" s="729"/>
      <c r="AG171" s="730"/>
      <c r="AH171" s="728"/>
      <c r="AI171" s="729"/>
      <c r="AJ171" s="729"/>
      <c r="AK171" s="729"/>
      <c r="AL171" s="730"/>
    </row>
    <row r="172" spans="2:38" x14ac:dyDescent="0.3">
      <c r="B172" s="721" t="s">
        <v>660</v>
      </c>
      <c r="C172" s="252"/>
      <c r="D172" s="252"/>
      <c r="E172" s="252"/>
      <c r="F172" s="252"/>
      <c r="G172" s="253"/>
      <c r="H172" s="4"/>
      <c r="I172" s="727"/>
      <c r="J172" s="4"/>
      <c r="K172" s="728"/>
      <c r="L172" s="729"/>
      <c r="M172" s="729"/>
      <c r="N172" s="728"/>
      <c r="O172" s="729"/>
      <c r="P172" s="729"/>
      <c r="Q172" s="729"/>
      <c r="R172" s="730"/>
      <c r="S172" s="728"/>
      <c r="T172" s="729"/>
      <c r="U172" s="729"/>
      <c r="V172" s="729"/>
      <c r="W172" s="730"/>
      <c r="X172" s="1289"/>
      <c r="Y172" s="1290"/>
      <c r="Z172" s="1290"/>
      <c r="AA172" s="1290"/>
      <c r="AB172" s="1291"/>
      <c r="AC172" s="728"/>
      <c r="AD172" s="729"/>
      <c r="AE172" s="729"/>
      <c r="AF172" s="729"/>
      <c r="AG172" s="730"/>
      <c r="AH172" s="728"/>
      <c r="AI172" s="729"/>
      <c r="AJ172" s="729"/>
      <c r="AK172" s="729"/>
      <c r="AL172" s="730"/>
    </row>
    <row r="173" spans="2:38" x14ac:dyDescent="0.3">
      <c r="B173" s="721" t="s">
        <v>661</v>
      </c>
      <c r="C173" s="252"/>
      <c r="D173" s="252"/>
      <c r="E173" s="252"/>
      <c r="F173" s="252"/>
      <c r="G173" s="253"/>
      <c r="H173" s="4"/>
      <c r="I173" s="727"/>
      <c r="J173" s="4"/>
      <c r="K173" s="731"/>
      <c r="L173" s="732"/>
      <c r="M173" s="732"/>
      <c r="N173" s="731"/>
      <c r="O173" s="732"/>
      <c r="P173" s="732"/>
      <c r="Q173" s="732"/>
      <c r="R173" s="733"/>
      <c r="S173" s="731"/>
      <c r="T173" s="732"/>
      <c r="U173" s="732"/>
      <c r="V173" s="732"/>
      <c r="W173" s="733"/>
      <c r="X173" s="2146"/>
      <c r="Y173" s="2147"/>
      <c r="Z173" s="2147"/>
      <c r="AA173" s="2147"/>
      <c r="AB173" s="2148"/>
      <c r="AC173" s="731"/>
      <c r="AD173" s="732"/>
      <c r="AE173" s="732"/>
      <c r="AF173" s="732"/>
      <c r="AG173" s="733"/>
      <c r="AH173" s="731"/>
      <c r="AI173" s="732"/>
      <c r="AJ173" s="732"/>
      <c r="AK173" s="732"/>
      <c r="AL173" s="733"/>
    </row>
    <row r="176" spans="2:38" ht="13" x14ac:dyDescent="0.3">
      <c r="B176" s="714" t="s">
        <v>708</v>
      </c>
    </row>
    <row r="178" spans="2:9" x14ac:dyDescent="0.3">
      <c r="B178" s="551" t="s">
        <v>674</v>
      </c>
      <c r="C178" s="552"/>
      <c r="D178" s="552"/>
      <c r="E178" s="552"/>
      <c r="F178" s="552"/>
      <c r="G178" s="552"/>
      <c r="H178" s="552"/>
      <c r="I178" s="719"/>
    </row>
    <row r="179" spans="2:9" x14ac:dyDescent="0.3">
      <c r="B179" s="551" t="s">
        <v>675</v>
      </c>
      <c r="C179" s="552"/>
      <c r="D179" s="552"/>
      <c r="E179" s="552"/>
      <c r="F179" s="552"/>
      <c r="G179" s="552"/>
      <c r="H179" s="552"/>
      <c r="I179" s="719"/>
    </row>
    <row r="180" spans="2:9" x14ac:dyDescent="0.3">
      <c r="B180" s="551" t="s">
        <v>676</v>
      </c>
      <c r="C180" s="552"/>
      <c r="D180" s="552"/>
      <c r="E180" s="552"/>
      <c r="F180" s="552"/>
      <c r="G180" s="552"/>
      <c r="H180" s="552"/>
      <c r="I180" s="719"/>
    </row>
    <row r="181" spans="2:9" x14ac:dyDescent="0.3">
      <c r="B181" s="551" t="s">
        <v>677</v>
      </c>
      <c r="C181" s="552"/>
      <c r="D181" s="552"/>
      <c r="E181" s="552"/>
      <c r="F181" s="552"/>
      <c r="G181" s="552"/>
      <c r="H181" s="552"/>
      <c r="I181" s="719"/>
    </row>
    <row r="182" spans="2:9" x14ac:dyDescent="0.3">
      <c r="B182" s="551" t="s">
        <v>678</v>
      </c>
      <c r="C182" s="552"/>
      <c r="D182" s="552"/>
      <c r="E182" s="552"/>
      <c r="F182" s="552"/>
      <c r="G182" s="552"/>
      <c r="H182" s="552"/>
      <c r="I182" s="719"/>
    </row>
    <row r="183" spans="2:9" x14ac:dyDescent="0.3">
      <c r="B183" s="551" t="s">
        <v>679</v>
      </c>
      <c r="C183" s="552"/>
      <c r="D183" s="552"/>
      <c r="E183" s="552"/>
      <c r="F183" s="552"/>
      <c r="G183" s="552"/>
      <c r="H183" s="552"/>
      <c r="I183" s="719"/>
    </row>
  </sheetData>
  <sheetProtection algorithmName="SHA-512" hashValue="/6K03krO3qqDwlm4dNSkzG2+M34uWdMm8mGQwrHtFeaLCDEDExoAmYqLm8MAhqm3R1sMul7+XlAkS+jmbrXdzg==" saltValue="hT2fZ4hUeuQgS56N35v8xA==" spinCount="100000" sheet="1" objects="1" scenarios="1"/>
  <mergeCells count="3">
    <mergeCell ref="B3:F3"/>
    <mergeCell ref="K18:AA18"/>
    <mergeCell ref="AB18:AL18"/>
  </mergeCells>
  <hyperlinks>
    <hyperlink ref="B3" location="HL_Home" tooltip="Go to Table of Contents" display="HL_Home" xr:uid="{00000000-0004-0000-1100-000000000000}"/>
  </hyperlinks>
  <pageMargins left="0.7" right="0.7" top="0.75" bottom="0.75" header="0.3" footer="0.3"/>
  <pageSetup paperSize="9" orientation="portrait" r:id="rId1"/>
  <headerFooter>
    <oddHeader>&amp;C&amp;B&amp;"Arial"&amp;12&amp;Kff0000​‌OFFICIAL‌​</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2F893-0606-4941-8EED-4F9483B600A3}">
  <sheetPr codeName="Sheet15">
    <tabColor theme="0" tint="-4.9989318521683403E-2"/>
  </sheetPr>
  <dimension ref="A1:T58"/>
  <sheetViews>
    <sheetView showGridLines="0" zoomScaleNormal="100" workbookViewId="0"/>
  </sheetViews>
  <sheetFormatPr defaultColWidth="9.33203125" defaultRowHeight="12" x14ac:dyDescent="0.3"/>
  <cols>
    <col min="1" max="1" width="9.33203125" style="1304"/>
    <col min="2" max="2" width="46.33203125" style="1304" customWidth="1"/>
    <col min="3" max="8" width="14.77734375" style="1304" customWidth="1"/>
    <col min="9" max="10" width="9.33203125" style="1304"/>
    <col min="11" max="11" width="11.44140625" style="1304" bestFit="1" customWidth="1"/>
    <col min="12" max="12" width="18.77734375" style="1304" bestFit="1" customWidth="1"/>
    <col min="13" max="15" width="11.44140625" style="1304" bestFit="1" customWidth="1"/>
    <col min="16" max="16384" width="9.33203125" style="1304"/>
  </cols>
  <sheetData>
    <row r="1" spans="1:20" x14ac:dyDescent="0.3">
      <c r="K1" s="2055"/>
      <c r="L1" s="2055"/>
      <c r="M1" s="2055"/>
      <c r="N1" s="2055"/>
      <c r="O1" s="2055"/>
      <c r="P1" s="2055"/>
    </row>
    <row r="2" spans="1:20" x14ac:dyDescent="0.3">
      <c r="K2" s="2055"/>
      <c r="L2" s="2055"/>
      <c r="M2" s="2055"/>
      <c r="N2" s="2055"/>
      <c r="O2" s="2055"/>
      <c r="P2" s="2055"/>
    </row>
    <row r="3" spans="1:20" x14ac:dyDescent="0.3">
      <c r="A3" s="2056">
        <v>1</v>
      </c>
      <c r="B3" s="2057" t="s">
        <v>27</v>
      </c>
      <c r="C3" s="2058"/>
      <c r="D3" s="2058"/>
      <c r="E3" s="2058"/>
      <c r="F3" s="2058"/>
      <c r="G3" s="2058"/>
      <c r="H3" s="2058"/>
      <c r="K3" s="2055"/>
      <c r="L3" s="2055"/>
      <c r="M3" s="2055"/>
      <c r="N3" s="2055"/>
      <c r="O3" s="2055"/>
      <c r="P3" s="2055"/>
    </row>
    <row r="4" spans="1:20" x14ac:dyDescent="0.3">
      <c r="B4" s="2058" t="s">
        <v>1046</v>
      </c>
      <c r="C4" s="2058"/>
      <c r="D4" s="2058"/>
      <c r="E4" s="2058"/>
      <c r="F4" s="2058"/>
      <c r="G4" s="2058"/>
      <c r="H4" s="2058"/>
      <c r="K4" s="2055"/>
      <c r="L4" s="2055"/>
      <c r="M4" s="2055"/>
      <c r="N4" s="2055"/>
      <c r="O4" s="2055"/>
      <c r="P4" s="2055"/>
    </row>
    <row r="5" spans="1:20" x14ac:dyDescent="0.3">
      <c r="B5" s="2058"/>
      <c r="C5" s="2058"/>
      <c r="D5" s="2058"/>
      <c r="E5" s="2058"/>
      <c r="F5" s="2058"/>
      <c r="G5" s="2058"/>
      <c r="H5" s="2058"/>
      <c r="K5" s="2055"/>
      <c r="L5" s="2055"/>
      <c r="M5" s="2055"/>
      <c r="N5" s="2055"/>
      <c r="O5" s="2055"/>
      <c r="P5" s="2055"/>
    </row>
    <row r="6" spans="1:20" ht="19.5" customHeight="1" thickBot="1" x14ac:dyDescent="0.35">
      <c r="B6" s="2059"/>
      <c r="C6" s="2060" t="s">
        <v>520</v>
      </c>
      <c r="D6" s="2060" t="s">
        <v>521</v>
      </c>
      <c r="E6" s="2060" t="s">
        <v>522</v>
      </c>
      <c r="F6" s="2060" t="s">
        <v>523</v>
      </c>
      <c r="G6" s="2060" t="s">
        <v>524</v>
      </c>
      <c r="H6" s="2060" t="s">
        <v>687</v>
      </c>
      <c r="K6" s="2055"/>
      <c r="L6" s="2055"/>
      <c r="M6" s="2055"/>
      <c r="N6" s="2055"/>
      <c r="O6" s="2055"/>
      <c r="P6" s="2055"/>
    </row>
    <row r="7" spans="1:20" s="2055" customFormat="1" ht="19.5" customHeight="1" thickBot="1" x14ac:dyDescent="0.35">
      <c r="B7" s="2061" t="s">
        <v>1035</v>
      </c>
      <c r="C7" s="2062"/>
      <c r="D7" s="2062"/>
      <c r="E7" s="2062"/>
      <c r="F7" s="2062"/>
      <c r="G7" s="2062"/>
      <c r="H7" s="2063">
        <f>SUM(C7:G7)</f>
        <v>0</v>
      </c>
      <c r="N7" s="2064"/>
    </row>
    <row r="8" spans="1:20" s="2055" customFormat="1" ht="19.5" customHeight="1" thickBot="1" x14ac:dyDescent="0.35">
      <c r="B8" s="2061" t="s">
        <v>1036</v>
      </c>
      <c r="C8" s="2062"/>
      <c r="D8" s="2062"/>
      <c r="E8" s="2062"/>
      <c r="F8" s="2062"/>
      <c r="G8" s="2062"/>
      <c r="H8" s="2063"/>
    </row>
    <row r="9" spans="1:20" s="2065" customFormat="1" ht="19.5" customHeight="1" thickBot="1" x14ac:dyDescent="0.35">
      <c r="B9" s="2066" t="s">
        <v>1047</v>
      </c>
      <c r="C9" s="2067"/>
      <c r="D9" s="2067"/>
      <c r="E9" s="2067"/>
      <c r="F9" s="2067"/>
      <c r="G9" s="2067"/>
      <c r="H9" s="2068">
        <f>SUM(C9:G9)</f>
        <v>0</v>
      </c>
      <c r="K9" s="2055"/>
      <c r="L9" s="2064"/>
      <c r="M9" s="2064"/>
      <c r="N9" s="2064"/>
      <c r="O9" s="2064"/>
      <c r="P9" s="2064"/>
    </row>
    <row r="10" spans="1:20" s="2065" customFormat="1" ht="19.5" customHeight="1" thickBot="1" x14ac:dyDescent="0.35">
      <c r="B10" s="2069" t="s">
        <v>1047</v>
      </c>
      <c r="C10" s="2067"/>
      <c r="D10" s="2067"/>
      <c r="E10" s="2067"/>
      <c r="F10" s="2067"/>
      <c r="G10" s="2067"/>
      <c r="H10" s="2068">
        <f>SUM(C10:G10)</f>
        <v>0</v>
      </c>
      <c r="K10" s="2055"/>
      <c r="L10" s="2064"/>
      <c r="M10" s="2064"/>
      <c r="N10" s="2064"/>
      <c r="O10" s="2064"/>
      <c r="P10" s="2064"/>
    </row>
    <row r="11" spans="1:20" s="2065" customFormat="1" ht="19.5" customHeight="1" thickBot="1" x14ac:dyDescent="0.35">
      <c r="B11" s="2069" t="s">
        <v>1047</v>
      </c>
      <c r="C11" s="2067"/>
      <c r="D11" s="2067"/>
      <c r="E11" s="2067"/>
      <c r="F11" s="2067"/>
      <c r="G11" s="2067"/>
      <c r="H11" s="2068">
        <f>SUM(C11:G11)</f>
        <v>0</v>
      </c>
      <c r="K11" s="2055"/>
      <c r="L11" s="2064"/>
      <c r="M11" s="2064"/>
      <c r="N11" s="2064"/>
      <c r="O11" s="2064"/>
      <c r="P11" s="2064"/>
    </row>
    <row r="12" spans="1:20" s="2065" customFormat="1" ht="19.5" customHeight="1" thickBot="1" x14ac:dyDescent="0.35">
      <c r="B12" s="2069" t="s">
        <v>1047</v>
      </c>
      <c r="C12" s="2067"/>
      <c r="D12" s="2067"/>
      <c r="E12" s="2067"/>
      <c r="F12" s="2067"/>
      <c r="G12" s="2067"/>
      <c r="H12" s="2068">
        <f>SUM(C12:G12)</f>
        <v>0</v>
      </c>
      <c r="K12" s="2055"/>
      <c r="L12" s="2055"/>
      <c r="M12" s="2055"/>
      <c r="N12" s="2055"/>
      <c r="O12" s="2055"/>
      <c r="P12" s="2070"/>
      <c r="Q12" s="2070"/>
      <c r="R12" s="2070"/>
      <c r="S12" s="2070"/>
      <c r="T12" s="2070"/>
    </row>
    <row r="13" spans="1:20" s="2065" customFormat="1" ht="19.5" customHeight="1" thickBot="1" x14ac:dyDescent="0.35">
      <c r="B13" s="2069" t="s">
        <v>1047</v>
      </c>
      <c r="C13" s="2067"/>
      <c r="D13" s="2067"/>
      <c r="E13" s="2067"/>
      <c r="F13" s="2067"/>
      <c r="G13" s="2067"/>
      <c r="H13" s="2068">
        <f>SUM(C13:G13)</f>
        <v>0</v>
      </c>
      <c r="K13" s="2055"/>
      <c r="L13" s="2055"/>
      <c r="M13" s="2055"/>
      <c r="N13" s="2055"/>
      <c r="O13" s="2055"/>
      <c r="P13" s="2055"/>
    </row>
    <row r="14" spans="1:20" s="2055" customFormat="1" ht="19.5" customHeight="1" thickBot="1" x14ac:dyDescent="0.35">
      <c r="B14" s="2061" t="s">
        <v>1037</v>
      </c>
      <c r="C14" s="2062"/>
      <c r="D14" s="2062"/>
      <c r="E14" s="2062"/>
      <c r="F14" s="2062"/>
      <c r="G14" s="2062"/>
      <c r="H14" s="2063"/>
    </row>
    <row r="15" spans="1:20" s="2071" customFormat="1" ht="19.5" customHeight="1" thickBot="1" x14ac:dyDescent="0.35">
      <c r="B15" s="2066" t="s">
        <v>1047</v>
      </c>
      <c r="C15" s="2067"/>
      <c r="D15" s="2067"/>
      <c r="E15" s="2067"/>
      <c r="F15" s="2067"/>
      <c r="G15" s="2067"/>
      <c r="H15" s="2068">
        <f>SUM(C15:G15)</f>
        <v>0</v>
      </c>
      <c r="J15" s="2055"/>
      <c r="K15" s="2055"/>
      <c r="L15" s="2055"/>
      <c r="M15" s="2055"/>
      <c r="N15" s="2055"/>
      <c r="O15" s="2055"/>
      <c r="P15" s="2055"/>
    </row>
    <row r="16" spans="1:20" s="2071" customFormat="1" ht="19.5" customHeight="1" thickBot="1" x14ac:dyDescent="0.35">
      <c r="B16" s="2069" t="s">
        <v>1047</v>
      </c>
      <c r="C16" s="2067"/>
      <c r="D16" s="2067"/>
      <c r="E16" s="2067"/>
      <c r="F16" s="2067"/>
      <c r="G16" s="2067"/>
      <c r="H16" s="2068">
        <f>SUM(C16:G16)</f>
        <v>0</v>
      </c>
      <c r="K16" s="2055"/>
      <c r="L16" s="2055"/>
      <c r="M16" s="2055"/>
      <c r="N16" s="2055"/>
      <c r="O16" s="2055"/>
      <c r="P16" s="2055"/>
    </row>
    <row r="17" spans="2:17" s="2071" customFormat="1" ht="19.5" customHeight="1" thickBot="1" x14ac:dyDescent="0.35">
      <c r="B17" s="2069" t="s">
        <v>1047</v>
      </c>
      <c r="C17" s="2067"/>
      <c r="D17" s="2067"/>
      <c r="E17" s="2067"/>
      <c r="F17" s="2067"/>
      <c r="G17" s="2067"/>
      <c r="H17" s="2068">
        <f>SUM(C17:G17)</f>
        <v>0</v>
      </c>
      <c r="K17" s="2055"/>
      <c r="L17" s="2055"/>
      <c r="M17" s="2055"/>
      <c r="N17" s="2055"/>
      <c r="O17" s="2055"/>
      <c r="P17" s="2055"/>
    </row>
    <row r="18" spans="2:17" s="2071" customFormat="1" ht="19.5" customHeight="1" thickBot="1" x14ac:dyDescent="0.35">
      <c r="B18" s="2069" t="s">
        <v>1047</v>
      </c>
      <c r="C18" s="2067"/>
      <c r="D18" s="2067"/>
      <c r="E18" s="2067"/>
      <c r="F18" s="2067"/>
      <c r="G18" s="2067"/>
      <c r="H18" s="2068">
        <f t="shared" ref="H18:H19" si="0">SUM(C18:G18)</f>
        <v>0</v>
      </c>
      <c r="K18" s="2055"/>
      <c r="L18" s="2055"/>
      <c r="M18" s="2055"/>
      <c r="N18" s="2055"/>
      <c r="O18" s="2055"/>
      <c r="P18" s="2055"/>
    </row>
    <row r="19" spans="2:17" s="2071" customFormat="1" ht="19.5" customHeight="1" thickBot="1" x14ac:dyDescent="0.35">
      <c r="B19" s="2069" t="s">
        <v>1047</v>
      </c>
      <c r="C19" s="2067"/>
      <c r="D19" s="2067"/>
      <c r="E19" s="2067"/>
      <c r="F19" s="2067"/>
      <c r="G19" s="2067"/>
      <c r="H19" s="2068">
        <f t="shared" si="0"/>
        <v>0</v>
      </c>
      <c r="K19" s="2055"/>
      <c r="L19" s="2055"/>
      <c r="M19" s="2055"/>
      <c r="N19" s="2055"/>
      <c r="O19" s="2055"/>
      <c r="P19" s="2055"/>
    </row>
    <row r="20" spans="2:17" s="2071" customFormat="1" ht="19.5" customHeight="1" x14ac:dyDescent="0.3">
      <c r="B20" s="2072" t="s">
        <v>1038</v>
      </c>
      <c r="C20" s="2073">
        <f t="shared" ref="C20:H20" si="1">SUM(C8:C19)</f>
        <v>0</v>
      </c>
      <c r="D20" s="2073">
        <f t="shared" si="1"/>
        <v>0</v>
      </c>
      <c r="E20" s="2073">
        <f t="shared" si="1"/>
        <v>0</v>
      </c>
      <c r="F20" s="2073">
        <f t="shared" si="1"/>
        <v>0</v>
      </c>
      <c r="G20" s="2073">
        <f t="shared" si="1"/>
        <v>0</v>
      </c>
      <c r="H20" s="2073">
        <f t="shared" si="1"/>
        <v>0</v>
      </c>
      <c r="K20" s="2055"/>
      <c r="L20" s="2055"/>
      <c r="M20" s="2055"/>
      <c r="N20" s="2055"/>
      <c r="O20" s="2055"/>
      <c r="P20" s="2055"/>
    </row>
    <row r="21" spans="2:17" s="2055" customFormat="1" ht="19.5" customHeight="1" thickBot="1" x14ac:dyDescent="0.35">
      <c r="B21" s="2074" t="s">
        <v>1039</v>
      </c>
      <c r="C21" s="2075">
        <f t="shared" ref="C21:H21" si="2">C7+C20</f>
        <v>0</v>
      </c>
      <c r="D21" s="2075">
        <f t="shared" si="2"/>
        <v>0</v>
      </c>
      <c r="E21" s="2075">
        <f t="shared" si="2"/>
        <v>0</v>
      </c>
      <c r="F21" s="2075">
        <f t="shared" si="2"/>
        <v>0</v>
      </c>
      <c r="G21" s="2075">
        <f t="shared" si="2"/>
        <v>0</v>
      </c>
      <c r="H21" s="2075">
        <f t="shared" si="2"/>
        <v>0</v>
      </c>
    </row>
    <row r="22" spans="2:17" s="2055" customFormat="1" ht="15.75" customHeight="1" thickBot="1" x14ac:dyDescent="0.35">
      <c r="B22" s="2061"/>
      <c r="C22" s="2062"/>
      <c r="D22" s="2062"/>
      <c r="E22" s="2062"/>
      <c r="F22" s="2062"/>
      <c r="G22" s="2062"/>
      <c r="H22" s="2063"/>
    </row>
    <row r="23" spans="2:17" s="2055" customFormat="1" ht="19.5" customHeight="1" collapsed="1" thickBot="1" x14ac:dyDescent="0.35">
      <c r="B23" s="2061" t="s">
        <v>1040</v>
      </c>
      <c r="C23" s="2062"/>
      <c r="D23" s="2062"/>
      <c r="E23" s="2062"/>
      <c r="F23" s="2062"/>
      <c r="G23" s="2062"/>
      <c r="H23" s="2063">
        <f>SUM(C23:G23)</f>
        <v>0</v>
      </c>
      <c r="L23" s="2070"/>
      <c r="M23" s="2070"/>
      <c r="N23" s="2070"/>
      <c r="O23" s="2070"/>
      <c r="P23" s="2070"/>
      <c r="Q23" s="2070"/>
    </row>
    <row r="24" spans="2:17" s="2055" customFormat="1" ht="19.5" customHeight="1" thickBot="1" x14ac:dyDescent="0.35">
      <c r="B24" s="2061" t="s">
        <v>1036</v>
      </c>
      <c r="C24" s="2062"/>
      <c r="D24" s="2062"/>
      <c r="E24" s="2062"/>
      <c r="F24" s="2062"/>
      <c r="G24" s="2062"/>
      <c r="H24" s="2063"/>
    </row>
    <row r="25" spans="2:17" s="2065" customFormat="1" ht="19.5" customHeight="1" thickBot="1" x14ac:dyDescent="0.35">
      <c r="B25" s="2066" t="s">
        <v>1047</v>
      </c>
      <c r="C25" s="2067"/>
      <c r="D25" s="2067"/>
      <c r="E25" s="2067"/>
      <c r="F25" s="2067"/>
      <c r="G25" s="2067"/>
      <c r="H25" s="2063">
        <f>SUM(C25:G25)</f>
        <v>0</v>
      </c>
      <c r="I25" s="2055"/>
    </row>
    <row r="26" spans="2:17" s="2065" customFormat="1" ht="19.5" customHeight="1" thickBot="1" x14ac:dyDescent="0.35">
      <c r="B26" s="2066" t="s">
        <v>1047</v>
      </c>
      <c r="C26" s="2067"/>
      <c r="D26" s="2067"/>
      <c r="E26" s="2067"/>
      <c r="F26" s="2067"/>
      <c r="G26" s="2067"/>
      <c r="H26" s="2063">
        <f>SUM(C26:G26)</f>
        <v>0</v>
      </c>
      <c r="I26" s="2055"/>
    </row>
    <row r="27" spans="2:17" s="2065" customFormat="1" ht="19.5" customHeight="1" thickBot="1" x14ac:dyDescent="0.35">
      <c r="B27" s="2066" t="s">
        <v>1047</v>
      </c>
      <c r="C27" s="2067"/>
      <c r="D27" s="2067"/>
      <c r="E27" s="2067"/>
      <c r="F27" s="2067"/>
      <c r="G27" s="2067"/>
      <c r="H27" s="2063">
        <f>SUM(C27:G27)</f>
        <v>0</v>
      </c>
      <c r="I27" s="2055"/>
    </row>
    <row r="28" spans="2:17" s="2065" customFormat="1" ht="19.5" customHeight="1" thickBot="1" x14ac:dyDescent="0.35">
      <c r="B28" s="2066" t="s">
        <v>1047</v>
      </c>
      <c r="C28" s="2067"/>
      <c r="D28" s="2067"/>
      <c r="E28" s="2067"/>
      <c r="F28" s="2067"/>
      <c r="G28" s="2067"/>
      <c r="H28" s="2063">
        <f>SUM(C28:G28)</f>
        <v>0</v>
      </c>
      <c r="I28" s="2055"/>
    </row>
    <row r="29" spans="2:17" s="2055" customFormat="1" ht="19.5" customHeight="1" thickBot="1" x14ac:dyDescent="0.35">
      <c r="B29" s="2061" t="s">
        <v>1037</v>
      </c>
      <c r="C29" s="2062"/>
      <c r="D29" s="2062"/>
      <c r="E29" s="2062"/>
      <c r="F29" s="2062"/>
      <c r="G29" s="2062"/>
      <c r="H29" s="2063"/>
    </row>
    <row r="30" spans="2:17" s="2071" customFormat="1" ht="19.5" customHeight="1" thickBot="1" x14ac:dyDescent="0.35">
      <c r="B30" s="2066" t="s">
        <v>1047</v>
      </c>
      <c r="C30" s="2067"/>
      <c r="D30" s="2067"/>
      <c r="E30" s="2067"/>
      <c r="F30" s="2067"/>
      <c r="G30" s="2067"/>
      <c r="H30" s="2068">
        <f>SUM(C30:G30)</f>
        <v>0</v>
      </c>
      <c r="K30" s="2055"/>
      <c r="L30" s="2055"/>
      <c r="M30" s="2055"/>
      <c r="N30" s="2055"/>
      <c r="O30" s="2055"/>
      <c r="P30" s="2055"/>
    </row>
    <row r="31" spans="2:17" s="2071" customFormat="1" ht="19.5" customHeight="1" thickBot="1" x14ac:dyDescent="0.35">
      <c r="B31" s="2066" t="s">
        <v>1047</v>
      </c>
      <c r="C31" s="2067"/>
      <c r="D31" s="2067"/>
      <c r="E31" s="2067"/>
      <c r="F31" s="2067"/>
      <c r="G31" s="2067"/>
      <c r="H31" s="2068">
        <f>SUM(C31:G31)</f>
        <v>0</v>
      </c>
      <c r="K31" s="2055"/>
      <c r="L31" s="2055"/>
      <c r="M31" s="2055"/>
      <c r="N31" s="2055"/>
      <c r="O31" s="2055"/>
      <c r="P31" s="2055"/>
    </row>
    <row r="32" spans="2:17" s="2071" customFormat="1" ht="19.5" customHeight="1" x14ac:dyDescent="0.3">
      <c r="B32" s="2076" t="s">
        <v>1038</v>
      </c>
      <c r="C32" s="2073">
        <f t="shared" ref="C32:H32" si="3">SUM(C24:C31)</f>
        <v>0</v>
      </c>
      <c r="D32" s="2073">
        <f t="shared" si="3"/>
        <v>0</v>
      </c>
      <c r="E32" s="2073">
        <f t="shared" si="3"/>
        <v>0</v>
      </c>
      <c r="F32" s="2073">
        <f t="shared" si="3"/>
        <v>0</v>
      </c>
      <c r="G32" s="2073">
        <f t="shared" si="3"/>
        <v>0</v>
      </c>
      <c r="H32" s="2073">
        <f t="shared" si="3"/>
        <v>0</v>
      </c>
    </row>
    <row r="33" spans="1:8" s="2055" customFormat="1" ht="24" customHeight="1" thickBot="1" x14ac:dyDescent="0.35">
      <c r="B33" s="2074" t="s">
        <v>1041</v>
      </c>
      <c r="C33" s="2075">
        <f t="shared" ref="C33:H33" si="4">C23+C32</f>
        <v>0</v>
      </c>
      <c r="D33" s="2075">
        <f t="shared" si="4"/>
        <v>0</v>
      </c>
      <c r="E33" s="2075">
        <f t="shared" si="4"/>
        <v>0</v>
      </c>
      <c r="F33" s="2075">
        <f t="shared" si="4"/>
        <v>0</v>
      </c>
      <c r="G33" s="2075">
        <f t="shared" si="4"/>
        <v>0</v>
      </c>
      <c r="H33" s="2075">
        <f t="shared" si="4"/>
        <v>0</v>
      </c>
    </row>
    <row r="34" spans="1:8" s="2055" customFormat="1" ht="9" customHeight="1" thickBot="1" x14ac:dyDescent="0.35">
      <c r="B34" s="2061"/>
      <c r="C34" s="2062"/>
      <c r="D34" s="2062"/>
      <c r="E34" s="2062"/>
      <c r="F34" s="2062"/>
      <c r="G34" s="2062"/>
      <c r="H34" s="2063"/>
    </row>
    <row r="35" spans="1:8" s="2055" customFormat="1" ht="19.5" customHeight="1" thickBot="1" x14ac:dyDescent="0.35">
      <c r="B35" s="2061" t="s">
        <v>1042</v>
      </c>
      <c r="C35" s="2077">
        <f t="shared" ref="C35:H35" si="5">C7+C23</f>
        <v>0</v>
      </c>
      <c r="D35" s="2077">
        <f t="shared" si="5"/>
        <v>0</v>
      </c>
      <c r="E35" s="2077">
        <f t="shared" si="5"/>
        <v>0</v>
      </c>
      <c r="F35" s="2077">
        <f t="shared" si="5"/>
        <v>0</v>
      </c>
      <c r="G35" s="2077">
        <f t="shared" si="5"/>
        <v>0</v>
      </c>
      <c r="H35" s="2077">
        <f t="shared" si="5"/>
        <v>0</v>
      </c>
    </row>
    <row r="36" spans="1:8" s="2071" customFormat="1" ht="19.5" customHeight="1" x14ac:dyDescent="0.3">
      <c r="B36" s="2078" t="s">
        <v>1038</v>
      </c>
      <c r="C36" s="2079">
        <f t="shared" ref="C36:H36" si="6">C20+C32</f>
        <v>0</v>
      </c>
      <c r="D36" s="2079">
        <f t="shared" si="6"/>
        <v>0</v>
      </c>
      <c r="E36" s="2079">
        <f t="shared" si="6"/>
        <v>0</v>
      </c>
      <c r="F36" s="2079">
        <f t="shared" si="6"/>
        <v>0</v>
      </c>
      <c r="G36" s="2079">
        <f t="shared" si="6"/>
        <v>0</v>
      </c>
      <c r="H36" s="2079">
        <f t="shared" si="6"/>
        <v>0</v>
      </c>
    </row>
    <row r="37" spans="1:8" s="2055" customFormat="1" ht="19.5" customHeight="1" thickBot="1" x14ac:dyDescent="0.35">
      <c r="B37" s="2080" t="s">
        <v>1043</v>
      </c>
      <c r="C37" s="2081">
        <f t="shared" ref="C37:H37" si="7">SUM(C35:C36)</f>
        <v>0</v>
      </c>
      <c r="D37" s="2081">
        <f t="shared" si="7"/>
        <v>0</v>
      </c>
      <c r="E37" s="2081">
        <f t="shared" si="7"/>
        <v>0</v>
      </c>
      <c r="F37" s="2081">
        <f t="shared" si="7"/>
        <v>0</v>
      </c>
      <c r="G37" s="2081">
        <f t="shared" si="7"/>
        <v>0</v>
      </c>
      <c r="H37" s="2081">
        <f t="shared" si="7"/>
        <v>0</v>
      </c>
    </row>
    <row r="38" spans="1:8" ht="12.5" thickTop="1" x14ac:dyDescent="0.3"/>
    <row r="39" spans="1:8" s="2082" customFormat="1" ht="12.5" thickBot="1" x14ac:dyDescent="0.35">
      <c r="B39" s="2083" t="s">
        <v>688</v>
      </c>
      <c r="C39" s="2084"/>
      <c r="D39" s="2084"/>
      <c r="E39" s="2084"/>
      <c r="F39" s="2084"/>
      <c r="G39" s="2084"/>
      <c r="H39" s="2085"/>
    </row>
    <row r="42" spans="1:8" x14ac:dyDescent="0.3">
      <c r="A42" s="2056">
        <v>2</v>
      </c>
      <c r="B42" s="2057" t="s">
        <v>757</v>
      </c>
      <c r="C42" s="2058"/>
      <c r="D42" s="2058"/>
      <c r="E42" s="2058"/>
      <c r="F42" s="2058"/>
      <c r="G42" s="2058"/>
      <c r="H42" s="2058"/>
    </row>
    <row r="43" spans="1:8" x14ac:dyDescent="0.3">
      <c r="B43" s="2058" t="s">
        <v>1046</v>
      </c>
      <c r="C43" s="2058"/>
      <c r="D43" s="2058"/>
      <c r="E43" s="2058"/>
      <c r="F43" s="2058"/>
      <c r="G43" s="2058"/>
      <c r="H43" s="2058"/>
    </row>
    <row r="44" spans="1:8" x14ac:dyDescent="0.3">
      <c r="B44" s="2058"/>
      <c r="C44" s="2058"/>
      <c r="D44" s="2058"/>
      <c r="E44" s="2058"/>
      <c r="F44" s="2058"/>
      <c r="G44" s="2058"/>
      <c r="H44" s="2058"/>
    </row>
    <row r="45" spans="1:8" ht="19.5" customHeight="1" thickBot="1" x14ac:dyDescent="0.35">
      <c r="B45" s="2059"/>
      <c r="C45" s="2060" t="s">
        <v>520</v>
      </c>
      <c r="D45" s="2060" t="s">
        <v>521</v>
      </c>
      <c r="E45" s="2060" t="s">
        <v>522</v>
      </c>
      <c r="F45" s="2060" t="s">
        <v>523</v>
      </c>
      <c r="G45" s="2060" t="s">
        <v>524</v>
      </c>
      <c r="H45" s="2060" t="s">
        <v>687</v>
      </c>
    </row>
    <row r="46" spans="1:8" s="2055" customFormat="1" ht="18.649999999999999" customHeight="1" collapsed="1" thickBot="1" x14ac:dyDescent="0.35">
      <c r="B46" s="2061" t="s">
        <v>1044</v>
      </c>
      <c r="C46" s="2062"/>
      <c r="D46" s="2062"/>
      <c r="E46" s="2062"/>
      <c r="F46" s="2062"/>
      <c r="G46" s="2062"/>
      <c r="H46" s="2063">
        <f>SUM(C46:G46)</f>
        <v>0</v>
      </c>
    </row>
    <row r="47" spans="1:8" s="2055" customFormat="1" ht="18.649999999999999" customHeight="1" thickBot="1" x14ac:dyDescent="0.35">
      <c r="B47" s="2061" t="s">
        <v>1036</v>
      </c>
      <c r="C47" s="2062"/>
      <c r="D47" s="2062"/>
      <c r="E47" s="2062"/>
      <c r="F47" s="2062"/>
      <c r="G47" s="2062"/>
      <c r="H47" s="2063"/>
    </row>
    <row r="48" spans="1:8" s="2065" customFormat="1" ht="18.649999999999999" customHeight="1" thickBot="1" x14ac:dyDescent="0.35">
      <c r="B48" s="2066" t="s">
        <v>1047</v>
      </c>
      <c r="C48" s="2067"/>
      <c r="D48" s="2067"/>
      <c r="E48" s="2067"/>
      <c r="F48" s="2067"/>
      <c r="G48" s="2067"/>
      <c r="H48" s="2068">
        <f>SUM(C48:G48)</f>
        <v>0</v>
      </c>
    </row>
    <row r="49" spans="2:9" s="2065" customFormat="1" ht="18.649999999999999" customHeight="1" thickBot="1" x14ac:dyDescent="0.35">
      <c r="B49" s="2066" t="s">
        <v>1047</v>
      </c>
      <c r="C49" s="2067"/>
      <c r="D49" s="2067"/>
      <c r="E49" s="2067"/>
      <c r="F49" s="2067"/>
      <c r="G49" s="2067"/>
      <c r="H49" s="2068">
        <f>SUM(C49:G49)</f>
        <v>0</v>
      </c>
    </row>
    <row r="50" spans="2:9" s="2055" customFormat="1" ht="18.649999999999999" customHeight="1" thickBot="1" x14ac:dyDescent="0.35">
      <c r="B50" s="2066" t="s">
        <v>1047</v>
      </c>
      <c r="C50" s="2067"/>
      <c r="D50" s="2067"/>
      <c r="E50" s="2067"/>
      <c r="F50" s="2067"/>
      <c r="G50" s="2067"/>
      <c r="H50" s="2068">
        <f>SUM(C50:G50)</f>
        <v>0</v>
      </c>
    </row>
    <row r="51" spans="2:9" s="2065" customFormat="1" ht="19.5" customHeight="1" thickBot="1" x14ac:dyDescent="0.35">
      <c r="B51" s="2066" t="s">
        <v>1047</v>
      </c>
      <c r="C51" s="2067"/>
      <c r="D51" s="2067"/>
      <c r="E51" s="2067"/>
      <c r="F51" s="2067"/>
      <c r="G51" s="2067"/>
      <c r="H51" s="2068">
        <f>SUM(C51:G51)</f>
        <v>0</v>
      </c>
      <c r="I51" s="2055"/>
    </row>
    <row r="52" spans="2:9" s="2055" customFormat="1" ht="19.5" customHeight="1" thickBot="1" x14ac:dyDescent="0.35">
      <c r="B52" s="2061" t="s">
        <v>1037</v>
      </c>
      <c r="C52" s="2063"/>
      <c r="D52" s="2063"/>
      <c r="E52" s="2063"/>
      <c r="F52" s="2063"/>
      <c r="G52" s="2063"/>
      <c r="H52" s="2063"/>
    </row>
    <row r="53" spans="2:9" s="2065" customFormat="1" ht="19.5" customHeight="1" thickBot="1" x14ac:dyDescent="0.35">
      <c r="B53" s="2066" t="s">
        <v>1047</v>
      </c>
      <c r="C53" s="2067"/>
      <c r="D53" s="2067"/>
      <c r="E53" s="2067"/>
      <c r="F53" s="2067"/>
      <c r="G53" s="2067"/>
      <c r="H53" s="2068">
        <f t="shared" ref="H53" si="8">SUM(C53:G53)</f>
        <v>0</v>
      </c>
      <c r="I53" s="2055"/>
    </row>
    <row r="54" spans="2:9" s="2065" customFormat="1" ht="19.5" customHeight="1" thickBot="1" x14ac:dyDescent="0.35">
      <c r="B54" s="2066" t="s">
        <v>1047</v>
      </c>
      <c r="C54" s="2067"/>
      <c r="D54" s="2067"/>
      <c r="E54" s="2067"/>
      <c r="F54" s="2067"/>
      <c r="G54" s="2067"/>
      <c r="H54" s="2068"/>
      <c r="I54" s="2055"/>
    </row>
    <row r="55" spans="2:9" s="2071" customFormat="1" ht="19.5" customHeight="1" x14ac:dyDescent="0.3">
      <c r="B55" s="2072" t="s">
        <v>1038</v>
      </c>
      <c r="C55" s="2073">
        <f t="shared" ref="C55:H55" si="9">SUM(C47:C54)</f>
        <v>0</v>
      </c>
      <c r="D55" s="2073">
        <f t="shared" si="9"/>
        <v>0</v>
      </c>
      <c r="E55" s="2073">
        <f t="shared" si="9"/>
        <v>0</v>
      </c>
      <c r="F55" s="2073">
        <f t="shared" si="9"/>
        <v>0</v>
      </c>
      <c r="G55" s="2073">
        <f t="shared" si="9"/>
        <v>0</v>
      </c>
      <c r="H55" s="2073">
        <f t="shared" si="9"/>
        <v>0</v>
      </c>
      <c r="I55" s="2055"/>
    </row>
    <row r="56" spans="2:9" s="2055" customFormat="1" ht="19.5" customHeight="1" thickBot="1" x14ac:dyDescent="0.35">
      <c r="B56" s="2080" t="s">
        <v>1045</v>
      </c>
      <c r="C56" s="2081">
        <f t="shared" ref="C56:H56" si="10">C46+C55</f>
        <v>0</v>
      </c>
      <c r="D56" s="2081">
        <f t="shared" si="10"/>
        <v>0</v>
      </c>
      <c r="E56" s="2081">
        <f t="shared" si="10"/>
        <v>0</v>
      </c>
      <c r="F56" s="2081">
        <f t="shared" si="10"/>
        <v>0</v>
      </c>
      <c r="G56" s="2081">
        <f t="shared" si="10"/>
        <v>0</v>
      </c>
      <c r="H56" s="2081">
        <f t="shared" si="10"/>
        <v>0</v>
      </c>
    </row>
    <row r="57" spans="2:9" ht="12.5" thickTop="1" x14ac:dyDescent="0.3">
      <c r="I57" s="2055"/>
    </row>
    <row r="58" spans="2:9" s="2082" customFormat="1" ht="12.5" thickBot="1" x14ac:dyDescent="0.35">
      <c r="B58" s="2083" t="s">
        <v>688</v>
      </c>
      <c r="C58" s="2086"/>
      <c r="D58" s="2086"/>
      <c r="E58" s="2086"/>
      <c r="F58" s="2086"/>
      <c r="G58" s="2086"/>
      <c r="H58" s="2087"/>
    </row>
  </sheetData>
  <sheetProtection algorithmName="SHA-512" hashValue="x08kxl4v+1WSa+AwNuQ3jbp5wZwJ/IEkUKIdolzGGC8785JDgIKMZI2iVBMgG4yVySJmfs3mRf9mesz3NutoOQ==" saltValue="Dq0G3/tot8xP+fLUkUr6FA==" spinCount="100000" sheet="1" objects="1" scenarios="1"/>
  <pageMargins left="0.7" right="0.7" top="0.75" bottom="0.75" header="0.3" footer="0.3"/>
  <pageSetup paperSize="9" orientation="portrait" r:id="rId1"/>
  <headerFooter>
    <oddHeader>&amp;C&amp;B&amp;"Arial"&amp;12&amp;Kff0000​‌OFFICIAL‌​</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theme="0" tint="-4.9989318521683403E-2"/>
  </sheetPr>
  <dimension ref="B1:AL45"/>
  <sheetViews>
    <sheetView showGridLines="0" zoomScaleNormal="100" workbookViewId="0">
      <selection activeCell="AD25" sqref="AD25"/>
    </sheetView>
  </sheetViews>
  <sheetFormatPr defaultColWidth="9.33203125" defaultRowHeight="12" outlineLevelCol="1" x14ac:dyDescent="0.3"/>
  <cols>
    <col min="1" max="1" width="2.6640625" style="73" customWidth="1"/>
    <col min="2" max="2" width="8" style="73" customWidth="1"/>
    <col min="3" max="3" width="34.33203125" style="73" customWidth="1"/>
    <col min="4" max="5" width="9.33203125" style="73"/>
    <col min="6" max="6" width="2.77734375" style="73" customWidth="1"/>
    <col min="7" max="7" width="20.33203125" style="73" bestFit="1" customWidth="1"/>
    <col min="8" max="8" width="2.77734375" style="73" customWidth="1"/>
    <col min="9" max="9" width="20.33203125" style="73" bestFit="1" customWidth="1"/>
    <col min="10" max="10" width="2.77734375" style="73" customWidth="1"/>
    <col min="11" max="22" width="10.77734375" style="73" hidden="1" customWidth="1" outlineLevel="1"/>
    <col min="23" max="23" width="10.77734375" style="73" customWidth="1" collapsed="1"/>
    <col min="24" max="38" width="10.77734375" style="73" customWidth="1"/>
    <col min="39" max="16384" width="9.33203125" style="73"/>
  </cols>
  <sheetData>
    <row r="1" spans="2:38" ht="14.5" x14ac:dyDescent="0.3">
      <c r="B1" s="158" t="s">
        <v>622</v>
      </c>
    </row>
    <row r="2" spans="2:38" ht="13" x14ac:dyDescent="0.3">
      <c r="B2" s="160" t="str">
        <f>+Contents!H7</f>
        <v>Central Highlands Water</v>
      </c>
    </row>
    <row r="3" spans="2:38" x14ac:dyDescent="0.3">
      <c r="B3" s="2357" t="s">
        <v>0</v>
      </c>
      <c r="C3" s="2357"/>
      <c r="D3" s="2357"/>
      <c r="E3" s="2357"/>
      <c r="F3" s="2357"/>
    </row>
    <row r="4" spans="2:38" x14ac:dyDescent="0.3">
      <c r="K4" s="66"/>
      <c r="L4" s="1186" t="s">
        <v>60</v>
      </c>
      <c r="M4" s="65"/>
      <c r="N4" s="66"/>
      <c r="O4" s="67"/>
      <c r="P4" s="1186" t="s">
        <v>61</v>
      </c>
      <c r="Q4" s="67"/>
      <c r="R4" s="65"/>
      <c r="S4" s="1202"/>
      <c r="T4" s="1203"/>
      <c r="U4" s="1572" t="s">
        <v>274</v>
      </c>
      <c r="V4" s="1203"/>
      <c r="W4" s="1204"/>
      <c r="X4" s="1944"/>
      <c r="Y4" s="1575"/>
      <c r="Z4" s="1575" t="s">
        <v>1072</v>
      </c>
      <c r="AA4" s="1575"/>
      <c r="AB4" s="1574"/>
      <c r="AC4" s="1573"/>
      <c r="AD4" s="1575"/>
      <c r="AE4" s="1575" t="s">
        <v>457</v>
      </c>
      <c r="AF4" s="1575"/>
      <c r="AG4" s="1574"/>
      <c r="AH4" s="1573"/>
      <c r="AI4" s="1575"/>
      <c r="AJ4" s="1575" t="s">
        <v>903</v>
      </c>
      <c r="AK4" s="1575"/>
      <c r="AL4" s="1574"/>
    </row>
    <row r="6" spans="2:38" x14ac:dyDescent="0.3">
      <c r="K6" s="68">
        <v>2006</v>
      </c>
      <c r="L6" s="68">
        <v>2007</v>
      </c>
      <c r="M6" s="68">
        <v>2008</v>
      </c>
      <c r="N6" s="68">
        <v>2009</v>
      </c>
      <c r="O6" s="68">
        <v>2010</v>
      </c>
      <c r="P6" s="68">
        <v>2011</v>
      </c>
      <c r="Q6" s="68">
        <v>2012</v>
      </c>
      <c r="R6" s="68">
        <v>2013</v>
      </c>
      <c r="S6" s="68">
        <v>2014</v>
      </c>
      <c r="T6" s="68">
        <v>2015</v>
      </c>
      <c r="U6" s="68">
        <v>2016</v>
      </c>
      <c r="V6" s="68">
        <v>2017</v>
      </c>
      <c r="W6" s="68">
        <v>2018</v>
      </c>
      <c r="X6" s="68">
        <v>2019</v>
      </c>
      <c r="Y6" s="68">
        <v>2020</v>
      </c>
      <c r="Z6" s="68">
        <v>2021</v>
      </c>
      <c r="AA6" s="68">
        <v>2022</v>
      </c>
      <c r="AB6" s="68">
        <v>2023</v>
      </c>
      <c r="AC6" s="69">
        <v>2024</v>
      </c>
      <c r="AD6" s="69">
        <v>2025</v>
      </c>
      <c r="AE6" s="69">
        <v>2026</v>
      </c>
      <c r="AF6" s="69">
        <v>2027</v>
      </c>
      <c r="AG6" s="69">
        <v>2028</v>
      </c>
      <c r="AH6" s="69">
        <v>2024</v>
      </c>
      <c r="AI6" s="69">
        <v>2025</v>
      </c>
      <c r="AJ6" s="69">
        <v>2026</v>
      </c>
      <c r="AK6" s="69">
        <v>2027</v>
      </c>
      <c r="AL6" s="69">
        <v>2028</v>
      </c>
    </row>
    <row r="7" spans="2:38" s="78" customFormat="1" x14ac:dyDescent="0.3">
      <c r="K7" s="70" t="str">
        <f t="shared" ref="K7:W7" si="0">+CONCATENATE(K6-1,"-",RIGHT(K6,2))</f>
        <v>2005-06</v>
      </c>
      <c r="L7" s="70" t="str">
        <f t="shared" si="0"/>
        <v>2006-07</v>
      </c>
      <c r="M7" s="70" t="str">
        <f t="shared" si="0"/>
        <v>2007-08</v>
      </c>
      <c r="N7" s="70" t="str">
        <f t="shared" si="0"/>
        <v>2008-09</v>
      </c>
      <c r="O7" s="70" t="str">
        <f t="shared" si="0"/>
        <v>2009-10</v>
      </c>
      <c r="P7" s="70" t="str">
        <f t="shared" si="0"/>
        <v>2010-11</v>
      </c>
      <c r="Q7" s="70" t="str">
        <f t="shared" si="0"/>
        <v>2011-12</v>
      </c>
      <c r="R7" s="70" t="str">
        <f t="shared" si="0"/>
        <v>2012-13</v>
      </c>
      <c r="S7" s="70" t="str">
        <f t="shared" si="0"/>
        <v>2013-14</v>
      </c>
      <c r="T7" s="70" t="str">
        <f t="shared" si="0"/>
        <v>2014-15</v>
      </c>
      <c r="U7" s="70" t="str">
        <f t="shared" si="0"/>
        <v>2015-16</v>
      </c>
      <c r="V7" s="70" t="str">
        <f t="shared" si="0"/>
        <v>2016-17</v>
      </c>
      <c r="W7" s="70" t="str">
        <f t="shared" si="0"/>
        <v>2017-18</v>
      </c>
      <c r="X7" s="70" t="str">
        <f t="shared" ref="X7:AG7" si="1">+CONCATENATE(X6-1,"-",RIGHT(X6,2))</f>
        <v>2018-19</v>
      </c>
      <c r="Y7" s="70" t="str">
        <f t="shared" si="1"/>
        <v>2019-20</v>
      </c>
      <c r="Z7" s="70" t="str">
        <f t="shared" si="1"/>
        <v>2020-21</v>
      </c>
      <c r="AA7" s="70" t="str">
        <f t="shared" si="1"/>
        <v>2021-22</v>
      </c>
      <c r="AB7" s="70" t="str">
        <f t="shared" si="1"/>
        <v>2022-23</v>
      </c>
      <c r="AC7" s="70" t="str">
        <f t="shared" si="1"/>
        <v>2023-24</v>
      </c>
      <c r="AD7" s="70" t="str">
        <f t="shared" si="1"/>
        <v>2024-25</v>
      </c>
      <c r="AE7" s="70" t="str">
        <f t="shared" si="1"/>
        <v>2025-26</v>
      </c>
      <c r="AF7" s="70" t="str">
        <f t="shared" si="1"/>
        <v>2026-27</v>
      </c>
      <c r="AG7" s="70" t="str">
        <f t="shared" si="1"/>
        <v>2027-28</v>
      </c>
      <c r="AH7" s="70" t="str">
        <f>+CONCATENATE(AH6-1,"-",RIGHT(AH6,2))</f>
        <v>2023-24</v>
      </c>
      <c r="AI7" s="70" t="str">
        <f>+CONCATENATE(AI6-1,"-",RIGHT(AI6,2))</f>
        <v>2024-25</v>
      </c>
      <c r="AJ7" s="70" t="str">
        <f>+CONCATENATE(AJ6-1,"-",RIGHT(AJ6,2))</f>
        <v>2025-26</v>
      </c>
      <c r="AK7" s="70" t="str">
        <f>+CONCATENATE(AK6-1,"-",RIGHT(AK6,2))</f>
        <v>2026-27</v>
      </c>
      <c r="AL7" s="70" t="str">
        <f>+CONCATENATE(AL6-1,"-",RIGHT(AL6,2))</f>
        <v>2027-28</v>
      </c>
    </row>
    <row r="10" spans="2:38" x14ac:dyDescent="0.3">
      <c r="G10" s="2427" t="s">
        <v>647</v>
      </c>
      <c r="H10" s="2428"/>
      <c r="I10" s="2429"/>
      <c r="K10" s="2421" t="s">
        <v>625</v>
      </c>
      <c r="L10" s="2422"/>
      <c r="M10" s="2422"/>
      <c r="N10" s="2422"/>
      <c r="O10" s="2422"/>
      <c r="P10" s="2422"/>
      <c r="Q10" s="2422"/>
      <c r="R10" s="2422"/>
      <c r="S10" s="2422"/>
      <c r="T10" s="2422"/>
      <c r="U10" s="2422"/>
      <c r="V10" s="2422"/>
      <c r="W10" s="2422"/>
      <c r="X10" s="2422"/>
      <c r="Y10" s="2422"/>
      <c r="Z10" s="2422"/>
      <c r="AA10" s="2423"/>
      <c r="AB10" s="2421" t="s">
        <v>626</v>
      </c>
      <c r="AC10" s="2422"/>
      <c r="AD10" s="2422"/>
      <c r="AE10" s="2422"/>
      <c r="AF10" s="2422"/>
      <c r="AG10" s="2422"/>
      <c r="AH10" s="2422"/>
      <c r="AI10" s="2422"/>
      <c r="AJ10" s="2422"/>
      <c r="AK10" s="2422"/>
      <c r="AL10" s="2423"/>
    </row>
    <row r="12" spans="2:38" x14ac:dyDescent="0.3">
      <c r="B12" s="715" t="s">
        <v>623</v>
      </c>
      <c r="G12" s="734" t="s">
        <v>649</v>
      </c>
      <c r="I12" s="734" t="s">
        <v>648</v>
      </c>
      <c r="K12" s="715"/>
      <c r="S12" s="715"/>
      <c r="X12" s="715" t="s">
        <v>624</v>
      </c>
    </row>
    <row r="13" spans="2:38" x14ac:dyDescent="0.3">
      <c r="G13" s="735" t="s">
        <v>650</v>
      </c>
      <c r="I13" s="735" t="s">
        <v>650</v>
      </c>
    </row>
    <row r="14" spans="2:38" x14ac:dyDescent="0.3">
      <c r="I14" s="736"/>
    </row>
    <row r="15" spans="2:38" x14ac:dyDescent="0.3">
      <c r="B15" s="73" t="s">
        <v>627</v>
      </c>
      <c r="C15" s="2424" t="s">
        <v>1207</v>
      </c>
      <c r="D15" s="2425"/>
      <c r="E15" s="2426"/>
      <c r="F15" s="1144"/>
      <c r="G15" s="727">
        <v>100</v>
      </c>
      <c r="H15" s="1145"/>
      <c r="I15" s="727">
        <v>200</v>
      </c>
      <c r="J15" s="4"/>
      <c r="K15" s="352"/>
      <c r="L15" s="353"/>
      <c r="M15" s="353"/>
      <c r="N15" s="352"/>
      <c r="O15" s="353"/>
      <c r="P15" s="353"/>
      <c r="Q15" s="353"/>
      <c r="R15" s="354"/>
      <c r="S15" s="352"/>
      <c r="T15" s="353"/>
      <c r="U15" s="353"/>
      <c r="V15" s="353"/>
      <c r="W15" s="354"/>
      <c r="X15" s="352"/>
      <c r="Y15" s="353"/>
      <c r="Z15" s="353"/>
      <c r="AA15" s="353"/>
      <c r="AB15" s="354"/>
      <c r="AC15" s="352"/>
      <c r="AD15" s="353"/>
      <c r="AE15" s="353"/>
      <c r="AF15" s="353"/>
      <c r="AG15" s="354"/>
      <c r="AH15" s="352"/>
      <c r="AI15" s="353"/>
      <c r="AJ15" s="353"/>
      <c r="AK15" s="353"/>
      <c r="AL15" s="354"/>
    </row>
    <row r="16" spans="2:38" x14ac:dyDescent="0.3">
      <c r="B16" s="73" t="s">
        <v>628</v>
      </c>
      <c r="C16" s="2424" t="s">
        <v>1208</v>
      </c>
      <c r="D16" s="2425"/>
      <c r="E16" s="2426"/>
      <c r="F16" s="1144"/>
      <c r="G16" s="727">
        <v>100</v>
      </c>
      <c r="H16" s="1145"/>
      <c r="I16" s="727">
        <v>150</v>
      </c>
      <c r="J16" s="4"/>
      <c r="K16" s="358"/>
      <c r="L16" s="359"/>
      <c r="M16" s="359"/>
      <c r="N16" s="358"/>
      <c r="O16" s="359"/>
      <c r="P16" s="359"/>
      <c r="Q16" s="359"/>
      <c r="R16" s="360"/>
      <c r="S16" s="358"/>
      <c r="T16" s="1285"/>
      <c r="U16" s="1285"/>
      <c r="V16" s="1285"/>
      <c r="W16" s="360"/>
      <c r="X16" s="358"/>
      <c r="Y16" s="359"/>
      <c r="Z16" s="359"/>
      <c r="AA16" s="359"/>
      <c r="AB16" s="360"/>
      <c r="AC16" s="358">
        <v>100</v>
      </c>
      <c r="AD16" s="1285">
        <v>100</v>
      </c>
      <c r="AE16" s="1285">
        <v>100</v>
      </c>
      <c r="AF16" s="1285">
        <v>100</v>
      </c>
      <c r="AG16" s="360">
        <v>100</v>
      </c>
      <c r="AH16" s="358">
        <v>100</v>
      </c>
      <c r="AI16" s="1285">
        <v>100</v>
      </c>
      <c r="AJ16" s="1285">
        <v>100</v>
      </c>
      <c r="AK16" s="1285">
        <v>100</v>
      </c>
      <c r="AL16" s="360">
        <v>100</v>
      </c>
    </row>
    <row r="17" spans="2:38" x14ac:dyDescent="0.3">
      <c r="B17" s="73" t="s">
        <v>629</v>
      </c>
      <c r="C17" s="2424" t="s">
        <v>1209</v>
      </c>
      <c r="D17" s="2425"/>
      <c r="E17" s="2426"/>
      <c r="F17" s="1144"/>
      <c r="G17" s="727">
        <v>100</v>
      </c>
      <c r="H17" s="1145"/>
      <c r="I17" s="727">
        <v>150</v>
      </c>
      <c r="J17" s="4"/>
      <c r="K17" s="358"/>
      <c r="L17" s="359"/>
      <c r="M17" s="359"/>
      <c r="N17" s="358"/>
      <c r="O17" s="359"/>
      <c r="P17" s="359"/>
      <c r="Q17" s="359"/>
      <c r="R17" s="360"/>
      <c r="S17" s="358"/>
      <c r="T17" s="1285"/>
      <c r="U17" s="1285"/>
      <c r="V17" s="1285"/>
      <c r="W17" s="360"/>
      <c r="X17" s="358"/>
      <c r="Y17" s="359"/>
      <c r="Z17" s="359"/>
      <c r="AA17" s="359"/>
      <c r="AB17" s="360"/>
      <c r="AC17" s="358">
        <v>50</v>
      </c>
      <c r="AD17" s="1285">
        <v>50</v>
      </c>
      <c r="AE17" s="1285">
        <v>50</v>
      </c>
      <c r="AF17" s="1285">
        <v>55</v>
      </c>
      <c r="AG17" s="360">
        <v>65</v>
      </c>
      <c r="AH17" s="358">
        <v>70</v>
      </c>
      <c r="AI17" s="1285">
        <v>80</v>
      </c>
      <c r="AJ17" s="1285">
        <v>90</v>
      </c>
      <c r="AK17" s="1285">
        <v>100</v>
      </c>
      <c r="AL17" s="360">
        <v>100</v>
      </c>
    </row>
    <row r="18" spans="2:38" x14ac:dyDescent="0.3">
      <c r="B18" s="73" t="s">
        <v>630</v>
      </c>
      <c r="C18" s="2424" t="s">
        <v>1210</v>
      </c>
      <c r="D18" s="2425"/>
      <c r="E18" s="2426"/>
      <c r="F18" s="1144"/>
      <c r="G18" s="727">
        <v>100</v>
      </c>
      <c r="H18" s="1145"/>
      <c r="I18" s="727">
        <v>200</v>
      </c>
      <c r="J18" s="4"/>
      <c r="K18" s="358"/>
      <c r="L18" s="359"/>
      <c r="M18" s="359"/>
      <c r="N18" s="358"/>
      <c r="O18" s="359"/>
      <c r="P18" s="359"/>
      <c r="Q18" s="359"/>
      <c r="R18" s="360"/>
      <c r="S18" s="358"/>
      <c r="T18" s="1285"/>
      <c r="U18" s="1285"/>
      <c r="V18" s="1285"/>
      <c r="W18" s="360"/>
      <c r="X18" s="358"/>
      <c r="Y18" s="359"/>
      <c r="Z18" s="359"/>
      <c r="AA18" s="359"/>
      <c r="AB18" s="360"/>
      <c r="AC18" s="358"/>
      <c r="AD18" s="1285"/>
      <c r="AE18" s="1285"/>
      <c r="AF18" s="1285"/>
      <c r="AG18" s="360"/>
      <c r="AH18" s="358"/>
      <c r="AI18" s="1285"/>
      <c r="AJ18" s="1285"/>
      <c r="AK18" s="1285"/>
      <c r="AL18" s="360"/>
    </row>
    <row r="19" spans="2:38" x14ac:dyDescent="0.3">
      <c r="B19" s="73" t="s">
        <v>631</v>
      </c>
      <c r="C19" s="2424" t="s">
        <v>1211</v>
      </c>
      <c r="D19" s="2425"/>
      <c r="E19" s="2426"/>
      <c r="F19" s="1144"/>
      <c r="G19" s="374">
        <v>750</v>
      </c>
      <c r="H19" s="1145"/>
      <c r="I19" s="374">
        <v>1125</v>
      </c>
      <c r="J19" s="4"/>
      <c r="K19" s="358"/>
      <c r="L19" s="359"/>
      <c r="M19" s="359"/>
      <c r="N19" s="358"/>
      <c r="O19" s="359"/>
      <c r="P19" s="359"/>
      <c r="Q19" s="359"/>
      <c r="R19" s="360"/>
      <c r="S19" s="358"/>
      <c r="T19" s="359"/>
      <c r="U19" s="359"/>
      <c r="V19" s="359"/>
      <c r="W19" s="360"/>
      <c r="X19" s="358"/>
      <c r="Y19" s="359"/>
      <c r="Z19" s="359"/>
      <c r="AA19" s="359"/>
      <c r="AB19" s="360"/>
      <c r="AC19" s="358">
        <v>3</v>
      </c>
      <c r="AD19" s="1285">
        <v>3</v>
      </c>
      <c r="AE19" s="1285">
        <v>3</v>
      </c>
      <c r="AF19" s="1285">
        <v>3</v>
      </c>
      <c r="AG19" s="360">
        <v>3</v>
      </c>
      <c r="AH19" s="358">
        <v>3</v>
      </c>
      <c r="AI19" s="1285">
        <v>3</v>
      </c>
      <c r="AJ19" s="1285">
        <v>3</v>
      </c>
      <c r="AK19" s="1285">
        <v>3</v>
      </c>
      <c r="AL19" s="360">
        <v>3</v>
      </c>
    </row>
    <row r="20" spans="2:38" x14ac:dyDescent="0.3">
      <c r="B20" s="73" t="s">
        <v>632</v>
      </c>
      <c r="C20" s="721" t="s">
        <v>1212</v>
      </c>
      <c r="D20" s="252"/>
      <c r="E20" s="253"/>
      <c r="F20" s="4"/>
      <c r="G20" s="727">
        <v>100</v>
      </c>
      <c r="H20" s="4"/>
      <c r="I20" s="727">
        <v>150</v>
      </c>
      <c r="J20" s="4"/>
      <c r="K20" s="358"/>
      <c r="L20" s="359"/>
      <c r="M20" s="359"/>
      <c r="N20" s="358"/>
      <c r="O20" s="359"/>
      <c r="P20" s="359"/>
      <c r="Q20" s="359"/>
      <c r="R20" s="360"/>
      <c r="S20" s="358"/>
      <c r="T20" s="359"/>
      <c r="U20" s="359"/>
      <c r="V20" s="359"/>
      <c r="W20" s="360"/>
      <c r="X20" s="358"/>
      <c r="Y20" s="359"/>
      <c r="Z20" s="359"/>
      <c r="AA20" s="359"/>
      <c r="AB20" s="360"/>
      <c r="AC20" s="358">
        <v>2</v>
      </c>
      <c r="AD20" s="1285">
        <v>2</v>
      </c>
      <c r="AE20" s="1285">
        <v>2</v>
      </c>
      <c r="AF20" s="1285">
        <v>2</v>
      </c>
      <c r="AG20" s="360">
        <v>2</v>
      </c>
      <c r="AH20" s="358">
        <v>2</v>
      </c>
      <c r="AI20" s="1285">
        <v>2</v>
      </c>
      <c r="AJ20" s="1285">
        <v>2</v>
      </c>
      <c r="AK20" s="1285">
        <v>2</v>
      </c>
      <c r="AL20" s="360">
        <v>2</v>
      </c>
    </row>
    <row r="21" spans="2:38" x14ac:dyDescent="0.3">
      <c r="B21" s="73" t="s">
        <v>633</v>
      </c>
      <c r="C21" s="721" t="s">
        <v>1213</v>
      </c>
      <c r="D21" s="252"/>
      <c r="E21" s="253"/>
      <c r="F21" s="4"/>
      <c r="G21" s="727">
        <v>100</v>
      </c>
      <c r="H21" s="4"/>
      <c r="I21" s="727">
        <v>150</v>
      </c>
      <c r="J21" s="4"/>
      <c r="K21" s="358"/>
      <c r="L21" s="359"/>
      <c r="M21" s="359"/>
      <c r="N21" s="358"/>
      <c r="O21" s="359"/>
      <c r="P21" s="359"/>
      <c r="Q21" s="359"/>
      <c r="R21" s="360"/>
      <c r="S21" s="358"/>
      <c r="T21" s="359"/>
      <c r="U21" s="359"/>
      <c r="V21" s="359"/>
      <c r="W21" s="360"/>
      <c r="X21" s="358"/>
      <c r="Y21" s="359"/>
      <c r="Z21" s="359"/>
      <c r="AA21" s="359"/>
      <c r="AB21" s="360"/>
      <c r="AC21" s="358">
        <v>20</v>
      </c>
      <c r="AD21" s="1285">
        <v>25</v>
      </c>
      <c r="AE21" s="1285">
        <v>35</v>
      </c>
      <c r="AF21" s="1285">
        <v>35</v>
      </c>
      <c r="AG21" s="360">
        <v>35</v>
      </c>
      <c r="AH21" s="358">
        <v>35</v>
      </c>
      <c r="AI21" s="1285">
        <v>35</v>
      </c>
      <c r="AJ21" s="1285">
        <v>35</v>
      </c>
      <c r="AK21" s="1285">
        <v>35</v>
      </c>
      <c r="AL21" s="360">
        <v>45</v>
      </c>
    </row>
    <row r="22" spans="2:38" x14ac:dyDescent="0.3">
      <c r="B22" s="73" t="s">
        <v>634</v>
      </c>
      <c r="C22" s="721" t="s">
        <v>1214</v>
      </c>
      <c r="D22" s="252"/>
      <c r="E22" s="253"/>
      <c r="F22" s="4"/>
      <c r="G22" s="727">
        <v>300</v>
      </c>
      <c r="H22" s="4"/>
      <c r="I22" s="727">
        <v>450</v>
      </c>
      <c r="J22" s="4"/>
      <c r="K22" s="358"/>
      <c r="L22" s="359"/>
      <c r="M22" s="359"/>
      <c r="N22" s="358"/>
      <c r="O22" s="359"/>
      <c r="P22" s="359"/>
      <c r="Q22" s="359"/>
      <c r="R22" s="360"/>
      <c r="S22" s="358"/>
      <c r="T22" s="359"/>
      <c r="U22" s="359"/>
      <c r="V22" s="359"/>
      <c r="W22" s="360"/>
      <c r="X22" s="358"/>
      <c r="Y22" s="359"/>
      <c r="Z22" s="359"/>
      <c r="AA22" s="359"/>
      <c r="AB22" s="360"/>
      <c r="AC22" s="358"/>
      <c r="AD22" s="359"/>
      <c r="AE22" s="359"/>
      <c r="AF22" s="359"/>
      <c r="AG22" s="360"/>
      <c r="AH22" s="358"/>
      <c r="AI22" s="359"/>
      <c r="AJ22" s="359"/>
      <c r="AK22" s="359"/>
      <c r="AL22" s="360"/>
    </row>
    <row r="23" spans="2:38" x14ac:dyDescent="0.3">
      <c r="B23" s="73" t="s">
        <v>635</v>
      </c>
      <c r="C23" s="721"/>
      <c r="D23" s="252"/>
      <c r="E23" s="253"/>
      <c r="F23" s="4"/>
      <c r="G23" s="727"/>
      <c r="H23" s="4"/>
      <c r="I23" s="727"/>
      <c r="J23" s="4"/>
      <c r="K23" s="358"/>
      <c r="L23" s="359"/>
      <c r="M23" s="359"/>
      <c r="N23" s="358"/>
      <c r="O23" s="359"/>
      <c r="P23" s="359"/>
      <c r="Q23" s="359"/>
      <c r="R23" s="360"/>
      <c r="S23" s="358"/>
      <c r="T23" s="359"/>
      <c r="U23" s="359"/>
      <c r="V23" s="359"/>
      <c r="W23" s="360"/>
      <c r="X23" s="358"/>
      <c r="Y23" s="359"/>
      <c r="Z23" s="359"/>
      <c r="AA23" s="359"/>
      <c r="AB23" s="360"/>
      <c r="AC23" s="358"/>
      <c r="AD23" s="359"/>
      <c r="AE23" s="359"/>
      <c r="AF23" s="359"/>
      <c r="AG23" s="360"/>
      <c r="AH23" s="358"/>
      <c r="AI23" s="359"/>
      <c r="AJ23" s="359"/>
      <c r="AK23" s="359"/>
      <c r="AL23" s="360"/>
    </row>
    <row r="24" spans="2:38" x14ac:dyDescent="0.3">
      <c r="B24" s="73" t="s">
        <v>636</v>
      </c>
      <c r="C24" s="721"/>
      <c r="D24" s="252"/>
      <c r="E24" s="253"/>
      <c r="F24" s="4"/>
      <c r="G24" s="727"/>
      <c r="H24" s="4"/>
      <c r="I24" s="727"/>
      <c r="J24" s="4"/>
      <c r="K24" s="358"/>
      <c r="L24" s="359"/>
      <c r="M24" s="359"/>
      <c r="N24" s="358"/>
      <c r="O24" s="359"/>
      <c r="P24" s="359"/>
      <c r="Q24" s="359"/>
      <c r="R24" s="360"/>
      <c r="S24" s="358"/>
      <c r="T24" s="359"/>
      <c r="U24" s="359"/>
      <c r="V24" s="359"/>
      <c r="W24" s="360"/>
      <c r="X24" s="358"/>
      <c r="Y24" s="359"/>
      <c r="Z24" s="359"/>
      <c r="AA24" s="359"/>
      <c r="AB24" s="360"/>
      <c r="AC24" s="358"/>
      <c r="AD24" s="359"/>
      <c r="AE24" s="359"/>
      <c r="AF24" s="359"/>
      <c r="AG24" s="360"/>
      <c r="AH24" s="358"/>
      <c r="AI24" s="359"/>
      <c r="AJ24" s="359"/>
      <c r="AK24" s="359"/>
      <c r="AL24" s="360"/>
    </row>
    <row r="25" spans="2:38" x14ac:dyDescent="0.3">
      <c r="B25" s="73" t="s">
        <v>637</v>
      </c>
      <c r="C25" s="721"/>
      <c r="D25" s="252"/>
      <c r="E25" s="253"/>
      <c r="F25" s="4"/>
      <c r="G25" s="727"/>
      <c r="H25" s="4"/>
      <c r="I25" s="727"/>
      <c r="J25" s="4"/>
      <c r="K25" s="358"/>
      <c r="L25" s="359"/>
      <c r="M25" s="359"/>
      <c r="N25" s="358"/>
      <c r="O25" s="359"/>
      <c r="P25" s="359"/>
      <c r="Q25" s="359"/>
      <c r="R25" s="360"/>
      <c r="S25" s="358"/>
      <c r="T25" s="359"/>
      <c r="U25" s="359"/>
      <c r="V25" s="359"/>
      <c r="W25" s="360"/>
      <c r="X25" s="358"/>
      <c r="Y25" s="359"/>
      <c r="Z25" s="359"/>
      <c r="AA25" s="359"/>
      <c r="AB25" s="360"/>
      <c r="AC25" s="358"/>
      <c r="AD25" s="359"/>
      <c r="AE25" s="359"/>
      <c r="AF25" s="359"/>
      <c r="AG25" s="360"/>
      <c r="AH25" s="358"/>
      <c r="AI25" s="359"/>
      <c r="AJ25" s="359"/>
      <c r="AK25" s="359"/>
      <c r="AL25" s="360"/>
    </row>
    <row r="26" spans="2:38" x14ac:dyDescent="0.3">
      <c r="B26" s="73" t="s">
        <v>638</v>
      </c>
      <c r="C26" s="721"/>
      <c r="D26" s="252"/>
      <c r="E26" s="253"/>
      <c r="F26" s="4"/>
      <c r="G26" s="727"/>
      <c r="H26" s="4"/>
      <c r="I26" s="727"/>
      <c r="J26" s="4"/>
      <c r="K26" s="358"/>
      <c r="L26" s="359"/>
      <c r="M26" s="359"/>
      <c r="N26" s="358"/>
      <c r="O26" s="359"/>
      <c r="P26" s="359"/>
      <c r="Q26" s="359"/>
      <c r="R26" s="360"/>
      <c r="S26" s="358"/>
      <c r="T26" s="359"/>
      <c r="U26" s="359"/>
      <c r="V26" s="359"/>
      <c r="W26" s="360"/>
      <c r="X26" s="358"/>
      <c r="Y26" s="359"/>
      <c r="Z26" s="359"/>
      <c r="AA26" s="359"/>
      <c r="AB26" s="360"/>
      <c r="AC26" s="358"/>
      <c r="AD26" s="359"/>
      <c r="AE26" s="359"/>
      <c r="AF26" s="359"/>
      <c r="AG26" s="360"/>
      <c r="AH26" s="358"/>
      <c r="AI26" s="359"/>
      <c r="AJ26" s="359"/>
      <c r="AK26" s="359"/>
      <c r="AL26" s="360"/>
    </row>
    <row r="27" spans="2:38" x14ac:dyDescent="0.3">
      <c r="B27" s="73" t="s">
        <v>639</v>
      </c>
      <c r="C27" s="721"/>
      <c r="D27" s="252"/>
      <c r="E27" s="253"/>
      <c r="F27" s="4"/>
      <c r="G27" s="727"/>
      <c r="H27" s="4"/>
      <c r="I27" s="727"/>
      <c r="J27" s="4"/>
      <c r="K27" s="358"/>
      <c r="L27" s="359"/>
      <c r="M27" s="359"/>
      <c r="N27" s="358"/>
      <c r="O27" s="359"/>
      <c r="P27" s="359"/>
      <c r="Q27" s="359"/>
      <c r="R27" s="360"/>
      <c r="S27" s="358"/>
      <c r="T27" s="359"/>
      <c r="U27" s="359"/>
      <c r="V27" s="359"/>
      <c r="W27" s="360"/>
      <c r="X27" s="358"/>
      <c r="Y27" s="359"/>
      <c r="Z27" s="359"/>
      <c r="AA27" s="359"/>
      <c r="AB27" s="360"/>
      <c r="AC27" s="358"/>
      <c r="AD27" s="359"/>
      <c r="AE27" s="359"/>
      <c r="AF27" s="359"/>
      <c r="AG27" s="360"/>
      <c r="AH27" s="358"/>
      <c r="AI27" s="359"/>
      <c r="AJ27" s="359"/>
      <c r="AK27" s="359"/>
      <c r="AL27" s="360"/>
    </row>
    <row r="28" spans="2:38" x14ac:dyDescent="0.3">
      <c r="B28" s="73" t="s">
        <v>640</v>
      </c>
      <c r="C28" s="721"/>
      <c r="D28" s="252"/>
      <c r="E28" s="253"/>
      <c r="F28" s="4"/>
      <c r="G28" s="727"/>
      <c r="H28" s="4"/>
      <c r="I28" s="727"/>
      <c r="J28" s="4"/>
      <c r="K28" s="358"/>
      <c r="L28" s="359"/>
      <c r="M28" s="359"/>
      <c r="N28" s="358"/>
      <c r="O28" s="359"/>
      <c r="P28" s="359"/>
      <c r="Q28" s="359"/>
      <c r="R28" s="360"/>
      <c r="S28" s="358"/>
      <c r="T28" s="359"/>
      <c r="U28" s="359"/>
      <c r="V28" s="359"/>
      <c r="W28" s="360"/>
      <c r="X28" s="358"/>
      <c r="Y28" s="359"/>
      <c r="Z28" s="359"/>
      <c r="AA28" s="359"/>
      <c r="AB28" s="360"/>
      <c r="AC28" s="358"/>
      <c r="AD28" s="359"/>
      <c r="AE28" s="359"/>
      <c r="AF28" s="359"/>
      <c r="AG28" s="360"/>
      <c r="AH28" s="358"/>
      <c r="AI28" s="359"/>
      <c r="AJ28" s="359"/>
      <c r="AK28" s="359"/>
      <c r="AL28" s="360"/>
    </row>
    <row r="29" spans="2:38" x14ac:dyDescent="0.3">
      <c r="B29" s="73" t="s">
        <v>641</v>
      </c>
      <c r="C29" s="721"/>
      <c r="D29" s="252"/>
      <c r="E29" s="253"/>
      <c r="F29" s="4"/>
      <c r="G29" s="727"/>
      <c r="H29" s="4"/>
      <c r="I29" s="727"/>
      <c r="J29" s="4"/>
      <c r="K29" s="358"/>
      <c r="L29" s="359"/>
      <c r="M29" s="359"/>
      <c r="N29" s="358"/>
      <c r="O29" s="359"/>
      <c r="P29" s="359"/>
      <c r="Q29" s="359"/>
      <c r="R29" s="360"/>
      <c r="S29" s="358"/>
      <c r="T29" s="359"/>
      <c r="U29" s="359"/>
      <c r="V29" s="359"/>
      <c r="W29" s="360"/>
      <c r="X29" s="358"/>
      <c r="Y29" s="359"/>
      <c r="Z29" s="359"/>
      <c r="AA29" s="359"/>
      <c r="AB29" s="360"/>
      <c r="AC29" s="358"/>
      <c r="AD29" s="359"/>
      <c r="AE29" s="359"/>
      <c r="AF29" s="359"/>
      <c r="AG29" s="360"/>
      <c r="AH29" s="358"/>
      <c r="AI29" s="359"/>
      <c r="AJ29" s="359"/>
      <c r="AK29" s="359"/>
      <c r="AL29" s="360"/>
    </row>
    <row r="30" spans="2:38" x14ac:dyDescent="0.3">
      <c r="B30" s="73" t="s">
        <v>642</v>
      </c>
      <c r="C30" s="721"/>
      <c r="D30" s="252"/>
      <c r="E30" s="253"/>
      <c r="F30" s="4"/>
      <c r="G30" s="727"/>
      <c r="H30" s="4"/>
      <c r="I30" s="727"/>
      <c r="J30" s="4"/>
      <c r="K30" s="358"/>
      <c r="L30" s="359"/>
      <c r="M30" s="359"/>
      <c r="N30" s="358"/>
      <c r="O30" s="359"/>
      <c r="P30" s="359"/>
      <c r="Q30" s="359"/>
      <c r="R30" s="360"/>
      <c r="S30" s="358"/>
      <c r="T30" s="359"/>
      <c r="U30" s="359"/>
      <c r="V30" s="359"/>
      <c r="W30" s="360"/>
      <c r="X30" s="358"/>
      <c r="Y30" s="359"/>
      <c r="Z30" s="359"/>
      <c r="AA30" s="359"/>
      <c r="AB30" s="360"/>
      <c r="AC30" s="358"/>
      <c r="AD30" s="359"/>
      <c r="AE30" s="359"/>
      <c r="AF30" s="359"/>
      <c r="AG30" s="360"/>
      <c r="AH30" s="358"/>
      <c r="AI30" s="359"/>
      <c r="AJ30" s="359"/>
      <c r="AK30" s="359"/>
      <c r="AL30" s="360"/>
    </row>
    <row r="31" spans="2:38" x14ac:dyDescent="0.3">
      <c r="B31" s="73" t="s">
        <v>643</v>
      </c>
      <c r="C31" s="721"/>
      <c r="D31" s="252"/>
      <c r="E31" s="253"/>
      <c r="F31" s="4"/>
      <c r="G31" s="727"/>
      <c r="H31" s="4"/>
      <c r="I31" s="727"/>
      <c r="J31" s="4"/>
      <c r="K31" s="358"/>
      <c r="L31" s="359"/>
      <c r="M31" s="359"/>
      <c r="N31" s="358"/>
      <c r="O31" s="359"/>
      <c r="P31" s="359"/>
      <c r="Q31" s="359"/>
      <c r="R31" s="360"/>
      <c r="S31" s="358"/>
      <c r="T31" s="359"/>
      <c r="U31" s="359"/>
      <c r="V31" s="359"/>
      <c r="W31" s="360"/>
      <c r="X31" s="358"/>
      <c r="Y31" s="359"/>
      <c r="Z31" s="359"/>
      <c r="AA31" s="359"/>
      <c r="AB31" s="360"/>
      <c r="AC31" s="358"/>
      <c r="AD31" s="359"/>
      <c r="AE31" s="359"/>
      <c r="AF31" s="359"/>
      <c r="AG31" s="360"/>
      <c r="AH31" s="358"/>
      <c r="AI31" s="359"/>
      <c r="AJ31" s="359"/>
      <c r="AK31" s="359"/>
      <c r="AL31" s="360"/>
    </row>
    <row r="32" spans="2:38" x14ac:dyDescent="0.3">
      <c r="B32" s="73" t="s">
        <v>644</v>
      </c>
      <c r="C32" s="721"/>
      <c r="D32" s="252"/>
      <c r="E32" s="253"/>
      <c r="F32" s="4"/>
      <c r="G32" s="727"/>
      <c r="H32" s="4"/>
      <c r="I32" s="727"/>
      <c r="J32" s="4"/>
      <c r="K32" s="358"/>
      <c r="L32" s="359"/>
      <c r="M32" s="359"/>
      <c r="N32" s="358"/>
      <c r="O32" s="359"/>
      <c r="P32" s="359"/>
      <c r="Q32" s="359"/>
      <c r="R32" s="360"/>
      <c r="S32" s="358"/>
      <c r="T32" s="359"/>
      <c r="U32" s="359"/>
      <c r="V32" s="359"/>
      <c r="W32" s="360"/>
      <c r="X32" s="358"/>
      <c r="Y32" s="359"/>
      <c r="Z32" s="359"/>
      <c r="AA32" s="359"/>
      <c r="AB32" s="360"/>
      <c r="AC32" s="358"/>
      <c r="AD32" s="359"/>
      <c r="AE32" s="359"/>
      <c r="AF32" s="359"/>
      <c r="AG32" s="360"/>
      <c r="AH32" s="358"/>
      <c r="AI32" s="359"/>
      <c r="AJ32" s="359"/>
      <c r="AK32" s="359"/>
      <c r="AL32" s="360"/>
    </row>
    <row r="33" spans="2:38" x14ac:dyDescent="0.3">
      <c r="B33" s="73" t="s">
        <v>645</v>
      </c>
      <c r="C33" s="721"/>
      <c r="D33" s="252"/>
      <c r="E33" s="253"/>
      <c r="F33" s="4"/>
      <c r="G33" s="727"/>
      <c r="H33" s="4"/>
      <c r="I33" s="727"/>
      <c r="J33" s="4"/>
      <c r="K33" s="358"/>
      <c r="L33" s="359"/>
      <c r="M33" s="359"/>
      <c r="N33" s="358"/>
      <c r="O33" s="359"/>
      <c r="P33" s="359"/>
      <c r="Q33" s="359"/>
      <c r="R33" s="360"/>
      <c r="S33" s="358"/>
      <c r="T33" s="359"/>
      <c r="U33" s="359"/>
      <c r="V33" s="359"/>
      <c r="W33" s="360"/>
      <c r="X33" s="358"/>
      <c r="Y33" s="359"/>
      <c r="Z33" s="359"/>
      <c r="AA33" s="359"/>
      <c r="AB33" s="360"/>
      <c r="AC33" s="358"/>
      <c r="AD33" s="359"/>
      <c r="AE33" s="359"/>
      <c r="AF33" s="359"/>
      <c r="AG33" s="360"/>
      <c r="AH33" s="358"/>
      <c r="AI33" s="359"/>
      <c r="AJ33" s="359"/>
      <c r="AK33" s="359"/>
      <c r="AL33" s="360"/>
    </row>
    <row r="34" spans="2:38" x14ac:dyDescent="0.3">
      <c r="B34" s="73" t="s">
        <v>646</v>
      </c>
      <c r="C34" s="721"/>
      <c r="D34" s="252"/>
      <c r="E34" s="253"/>
      <c r="F34" s="4"/>
      <c r="G34" s="727"/>
      <c r="H34" s="4"/>
      <c r="I34" s="727"/>
      <c r="J34" s="4"/>
      <c r="K34" s="365"/>
      <c r="L34" s="366"/>
      <c r="M34" s="366"/>
      <c r="N34" s="365"/>
      <c r="O34" s="366"/>
      <c r="P34" s="366"/>
      <c r="Q34" s="366"/>
      <c r="R34" s="367"/>
      <c r="S34" s="365"/>
      <c r="T34" s="366"/>
      <c r="U34" s="366"/>
      <c r="V34" s="366"/>
      <c r="W34" s="367"/>
      <c r="X34" s="365"/>
      <c r="Y34" s="366"/>
      <c r="Z34" s="366"/>
      <c r="AA34" s="366"/>
      <c r="AB34" s="367"/>
      <c r="AC34" s="365"/>
      <c r="AD34" s="366"/>
      <c r="AE34" s="366"/>
      <c r="AF34" s="366"/>
      <c r="AG34" s="367"/>
      <c r="AH34" s="365"/>
      <c r="AI34" s="366"/>
      <c r="AJ34" s="366"/>
      <c r="AK34" s="366"/>
      <c r="AL34" s="367"/>
    </row>
    <row r="37" spans="2:38" x14ac:dyDescent="0.3">
      <c r="AA37" s="737"/>
      <c r="AB37" s="737" t="s">
        <v>713</v>
      </c>
      <c r="AC37" s="1537">
        <f t="shared" ref="AC37:AL37" si="2">+SUMPRODUCT(AC15:AC34,$I$15:$I$34)</f>
        <v>29175</v>
      </c>
      <c r="AD37" s="1256">
        <f t="shared" si="2"/>
        <v>29925</v>
      </c>
      <c r="AE37" s="1256">
        <f t="shared" si="2"/>
        <v>31425</v>
      </c>
      <c r="AF37" s="1256">
        <f t="shared" si="2"/>
        <v>32175</v>
      </c>
      <c r="AG37" s="1257">
        <f t="shared" si="2"/>
        <v>33675</v>
      </c>
      <c r="AH37" s="1256">
        <f t="shared" si="2"/>
        <v>34425</v>
      </c>
      <c r="AI37" s="1256">
        <f t="shared" si="2"/>
        <v>35925</v>
      </c>
      <c r="AJ37" s="1256">
        <f t="shared" si="2"/>
        <v>37425</v>
      </c>
      <c r="AK37" s="1256">
        <f t="shared" si="2"/>
        <v>38925</v>
      </c>
      <c r="AL37" s="1257">
        <f t="shared" si="2"/>
        <v>40425</v>
      </c>
    </row>
    <row r="38" spans="2:38" x14ac:dyDescent="0.3">
      <c r="AA38" s="737"/>
      <c r="AB38" s="737" t="s">
        <v>711</v>
      </c>
      <c r="AC38" s="1538">
        <f t="shared" ref="AC38:AL38" si="3">+AC37/1000000</f>
        <v>2.9175E-2</v>
      </c>
      <c r="AD38" s="738">
        <f t="shared" si="3"/>
        <v>2.9925E-2</v>
      </c>
      <c r="AE38" s="738">
        <f t="shared" si="3"/>
        <v>3.1425000000000002E-2</v>
      </c>
      <c r="AF38" s="738">
        <f t="shared" si="3"/>
        <v>3.2175000000000002E-2</v>
      </c>
      <c r="AG38" s="739">
        <f t="shared" si="3"/>
        <v>3.3674999999999997E-2</v>
      </c>
      <c r="AH38" s="738">
        <f t="shared" si="3"/>
        <v>3.4424999999999997E-2</v>
      </c>
      <c r="AI38" s="738">
        <f t="shared" si="3"/>
        <v>3.5924999999999999E-2</v>
      </c>
      <c r="AJ38" s="738">
        <f t="shared" si="3"/>
        <v>3.7425E-2</v>
      </c>
      <c r="AK38" s="738">
        <f t="shared" si="3"/>
        <v>3.8925000000000001E-2</v>
      </c>
      <c r="AL38" s="739">
        <f t="shared" si="3"/>
        <v>4.0425000000000003E-2</v>
      </c>
    </row>
    <row r="39" spans="2:38" x14ac:dyDescent="0.3">
      <c r="AA39" s="737"/>
      <c r="AB39" s="737" t="s">
        <v>712</v>
      </c>
      <c r="AC39" s="1539">
        <f>+AC38/KeyAssumptionsPriceControl_FO!AC15</f>
        <v>2.8325242718446601E-2</v>
      </c>
      <c r="AD39" s="740">
        <f>+AD38/KeyAssumptionsPriceControl_FO!AD15</f>
        <v>2.8207182580827602E-2</v>
      </c>
      <c r="AE39" s="740">
        <f>+AE38/KeyAssumptionsPriceControl_FO!AE15</f>
        <v>2.8758326645173041E-2</v>
      </c>
      <c r="AF39" s="740">
        <f>+AF38/KeyAssumptionsPriceControl_FO!AF15</f>
        <v>2.8587070766687289E-2</v>
      </c>
      <c r="AG39" s="741">
        <f>+AG38/KeyAssumptionsPriceControl_FO!AG15</f>
        <v>2.9048350814136717E-2</v>
      </c>
      <c r="AH39" s="740">
        <f>+AH38/KeyAssumptionsPriceControl_FO!AH15</f>
        <v>2.8830395536334794E-2</v>
      </c>
      <c r="AI39" s="740">
        <f>+AI38/KeyAssumptionsPriceControl_FO!AI15</f>
        <v>2.9210312545009977E-2</v>
      </c>
      <c r="AJ39" s="740">
        <f>+AJ38/KeyAssumptionsPriceControl_FO!AJ15</f>
        <v>2.9543640594199037E-2</v>
      </c>
      <c r="AK39" s="740">
        <f>+AK38/KeyAssumptionsPriceControl_FO!AK15</f>
        <v>2.9832771306475669E-2</v>
      </c>
      <c r="AL39" s="741">
        <f>+AL38/KeyAssumptionsPriceControl_FO!AL15</f>
        <v>3.0079996509700106E-2</v>
      </c>
    </row>
    <row r="40" spans="2:38" x14ac:dyDescent="0.3">
      <c r="Z40" s="126"/>
      <c r="AA40" s="1833"/>
      <c r="AB40" s="1833" t="s">
        <v>714</v>
      </c>
      <c r="AC40" s="1941">
        <f>+Opex_Breakdown!AC23</f>
        <v>2.7830294008480208E-2</v>
      </c>
      <c r="AD40" s="742">
        <f>+Opex_Breakdown!AD23</f>
        <v>2.8283238401055129E-2</v>
      </c>
      <c r="AE40" s="742">
        <f>+Opex_Breakdown!AE23</f>
        <v>2.8846500934461752E-2</v>
      </c>
      <c r="AF40" s="742">
        <f>+Opex_Breakdown!AF23</f>
        <v>2.9027247728209998E-2</v>
      </c>
      <c r="AG40" s="743">
        <f>+Opex_Breakdown!AG23</f>
        <v>2.9491118790620181E-2</v>
      </c>
      <c r="AH40" s="742">
        <f>+Opex_Breakdown!AH23</f>
        <v>2.8967635315999902E-2</v>
      </c>
      <c r="AI40" s="742">
        <f>+Opex_Breakdown!AI23</f>
        <v>2.9313328009474671E-2</v>
      </c>
      <c r="AJ40" s="742">
        <f>+Opex_Breakdown!AJ23</f>
        <v>2.9663166054489577E-2</v>
      </c>
      <c r="AK40" s="742">
        <f>+Opex_Breakdown!AK23</f>
        <v>3.0017199256225119E-2</v>
      </c>
      <c r="AL40" s="743">
        <f>+Opex_Breakdown!AL23</f>
        <v>3.0375478023349146E-2</v>
      </c>
    </row>
    <row r="41" spans="2:38" x14ac:dyDescent="0.3">
      <c r="AA41" s="737"/>
      <c r="AB41" s="737" t="s">
        <v>461</v>
      </c>
      <c r="AC41" s="1540">
        <f t="shared" ref="AC41:AL41" si="4">+AC40-AC39</f>
        <v>-4.9494870996639323E-4</v>
      </c>
      <c r="AD41" s="744">
        <f t="shared" si="4"/>
        <v>7.6055820227526744E-5</v>
      </c>
      <c r="AE41" s="744">
        <f t="shared" si="4"/>
        <v>8.8174289288710933E-5</v>
      </c>
      <c r="AF41" s="744">
        <f t="shared" si="4"/>
        <v>4.4017696152270913E-4</v>
      </c>
      <c r="AG41" s="745">
        <f t="shared" si="4"/>
        <v>4.4276797648346369E-4</v>
      </c>
      <c r="AH41" s="744">
        <f t="shared" si="4"/>
        <v>1.3723977966510759E-4</v>
      </c>
      <c r="AI41" s="744">
        <f t="shared" si="4"/>
        <v>1.0301546446469384E-4</v>
      </c>
      <c r="AJ41" s="744">
        <f t="shared" si="4"/>
        <v>1.1952546029054059E-4</v>
      </c>
      <c r="AK41" s="744">
        <f t="shared" si="4"/>
        <v>1.8442794974945012E-4</v>
      </c>
      <c r="AL41" s="745">
        <f t="shared" si="4"/>
        <v>2.9548151364904018E-4</v>
      </c>
    </row>
    <row r="42" spans="2:38" x14ac:dyDescent="0.3">
      <c r="Z42" s="746"/>
      <c r="AA42" s="746"/>
      <c r="AC42" s="746"/>
      <c r="AD42" s="746"/>
      <c r="AE42" s="746"/>
      <c r="AF42" s="746"/>
      <c r="AG42" s="746"/>
      <c r="AH42" s="746"/>
      <c r="AI42" s="746"/>
      <c r="AJ42" s="746"/>
      <c r="AK42" s="746"/>
      <c r="AL42" s="746"/>
    </row>
    <row r="45" spans="2:38" x14ac:dyDescent="0.3">
      <c r="X45" s="746"/>
      <c r="Y45" s="746"/>
      <c r="Z45" s="746"/>
      <c r="AA45" s="746"/>
      <c r="AC45" s="746"/>
      <c r="AD45" s="746"/>
      <c r="AE45" s="746"/>
      <c r="AF45" s="746"/>
      <c r="AG45" s="746"/>
      <c r="AH45" s="746"/>
      <c r="AI45" s="746"/>
      <c r="AJ45" s="746"/>
      <c r="AK45" s="746"/>
      <c r="AL45" s="746"/>
    </row>
  </sheetData>
  <sheetProtection algorithmName="SHA-512" hashValue="AR0bG0U9hwkNHk5Bfi/CKhT+EDxe9Zs40QCFyRexG5U657O3T9zVFciqOAARppux/x4TI3BxMr0KFBHd5NvIgw==" saltValue="Zwx1f/ie5FIk4+dxJasxnw==" spinCount="100000" sheet="1" objects="1" scenarios="1"/>
  <mergeCells count="9">
    <mergeCell ref="K10:AA10"/>
    <mergeCell ref="AB10:AL10"/>
    <mergeCell ref="C18:E18"/>
    <mergeCell ref="C19:E19"/>
    <mergeCell ref="B3:F3"/>
    <mergeCell ref="G10:I10"/>
    <mergeCell ref="C15:E15"/>
    <mergeCell ref="C16:E16"/>
    <mergeCell ref="C17:E17"/>
  </mergeCells>
  <hyperlinks>
    <hyperlink ref="B3" location="HL_Home" tooltip="Go to Table of Contents" display="HL_Home" xr:uid="{00000000-0004-0000-1200-000000000000}"/>
  </hyperlinks>
  <pageMargins left="0.7" right="0.7" top="0.75" bottom="0.75" header="0.3" footer="0.3"/>
  <pageSetup paperSize="9" orientation="portrait" r:id="rId1"/>
  <headerFooter>
    <oddHeader>&amp;C&amp;B&amp;"Arial"&amp;12&amp;Kff0000​‌OFFICIAL‌​</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theme="0" tint="-4.9989318521683403E-2"/>
    <outlinePr summaryBelow="0"/>
  </sheetPr>
  <dimension ref="A1:BG175"/>
  <sheetViews>
    <sheetView showGridLines="0" zoomScaleNormal="100" workbookViewId="0">
      <pane xSplit="3" ySplit="9" topLeftCell="I10" activePane="bottomRight" state="frozen"/>
      <selection pane="topRight"/>
      <selection pane="bottomLeft"/>
      <selection pane="bottomRight" activeCell="Y78" sqref="Y78"/>
    </sheetView>
  </sheetViews>
  <sheetFormatPr defaultColWidth="9.33203125" defaultRowHeight="12" outlineLevelRow="1" x14ac:dyDescent="0.3"/>
  <cols>
    <col min="1" max="1" width="2.6640625" style="73" customWidth="1"/>
    <col min="2" max="2" width="31.33203125" style="808" bestFit="1" customWidth="1"/>
    <col min="3" max="3" width="10.77734375" style="808" customWidth="1"/>
    <col min="4" max="11" width="9.33203125" style="808" customWidth="1"/>
    <col min="12" max="16" width="9.33203125" style="811" customWidth="1"/>
    <col min="17" max="17" width="9.33203125" style="808" customWidth="1"/>
    <col min="18" max="21" width="9.33203125" style="811" customWidth="1"/>
    <col min="22" max="24" width="9.33203125" style="808" customWidth="1"/>
    <col min="25" max="25" width="10.109375" style="808" customWidth="1"/>
    <col min="26" max="26" width="9.33203125" style="808"/>
    <col min="27" max="33" width="9.33203125" style="825"/>
    <col min="34" max="59" width="9.33203125" style="809"/>
    <col min="60" max="16384" width="9.33203125" style="808"/>
  </cols>
  <sheetData>
    <row r="1" spans="1:59" s="73" customFormat="1" ht="14.5" x14ac:dyDescent="0.3">
      <c r="B1" s="158" t="s">
        <v>873</v>
      </c>
      <c r="AH1" s="1028"/>
      <c r="AI1" s="1028"/>
      <c r="AJ1" s="1028"/>
      <c r="AK1" s="1028"/>
      <c r="AL1" s="1028"/>
      <c r="AM1" s="1028"/>
      <c r="AN1" s="1028"/>
      <c r="AO1" s="1028"/>
      <c r="AP1" s="1028"/>
      <c r="AQ1" s="1028"/>
      <c r="AR1" s="1028"/>
      <c r="AS1" s="1028"/>
      <c r="AT1" s="1028"/>
      <c r="AU1" s="1028"/>
      <c r="AV1" s="1028"/>
      <c r="AW1" s="1028"/>
      <c r="AX1" s="1028"/>
      <c r="AY1" s="1028"/>
      <c r="AZ1" s="1028"/>
      <c r="BA1" s="1028"/>
      <c r="BB1" s="1028"/>
      <c r="BC1" s="1028"/>
      <c r="BD1" s="1028"/>
      <c r="BE1" s="1028"/>
      <c r="BF1" s="1028"/>
      <c r="BG1" s="1028"/>
    </row>
    <row r="2" spans="1:59" s="73" customFormat="1" ht="13" x14ac:dyDescent="0.3">
      <c r="B2" s="1359" t="str">
        <f>+Contents!H7</f>
        <v>Central Highlands Water</v>
      </c>
      <c r="AH2" s="1028"/>
      <c r="AI2" s="1028"/>
      <c r="AJ2" s="1028"/>
      <c r="AK2" s="1028"/>
      <c r="AL2" s="1028"/>
      <c r="AM2" s="1028"/>
      <c r="AN2" s="1028"/>
      <c r="AO2" s="1028"/>
      <c r="AP2" s="1028"/>
      <c r="AQ2" s="1028"/>
      <c r="AR2" s="1028"/>
      <c r="AS2" s="1028"/>
      <c r="AT2" s="1028"/>
      <c r="AU2" s="1028"/>
      <c r="AV2" s="1028"/>
      <c r="AW2" s="1028"/>
      <c r="AX2" s="1028"/>
      <c r="AY2" s="1028"/>
      <c r="AZ2" s="1028"/>
      <c r="BA2" s="1028"/>
      <c r="BB2" s="1028"/>
      <c r="BC2" s="1028"/>
      <c r="BD2" s="1028"/>
      <c r="BE2" s="1028"/>
      <c r="BF2" s="1028"/>
      <c r="BG2" s="1028"/>
    </row>
    <row r="3" spans="1:59" s="73" customFormat="1" x14ac:dyDescent="0.3">
      <c r="B3" s="2357" t="s">
        <v>0</v>
      </c>
      <c r="C3" s="2357"/>
      <c r="D3" s="2357"/>
      <c r="E3" s="2357"/>
      <c r="F3" s="2357"/>
      <c r="AH3" s="1028"/>
      <c r="AI3" s="1028"/>
      <c r="AJ3" s="1028"/>
      <c r="AK3" s="1028"/>
      <c r="AL3" s="1028"/>
      <c r="AM3" s="1028"/>
      <c r="AN3" s="1028"/>
      <c r="AO3" s="1028"/>
      <c r="AP3" s="1028"/>
      <c r="AQ3" s="1028"/>
      <c r="AR3" s="1028"/>
      <c r="AS3" s="1028"/>
      <c r="AT3" s="1028"/>
      <c r="AU3" s="1028"/>
      <c r="AV3" s="1028"/>
      <c r="AW3" s="1028"/>
      <c r="AX3" s="1028"/>
      <c r="AY3" s="1028"/>
      <c r="AZ3" s="1028"/>
      <c r="BA3" s="1028"/>
      <c r="BB3" s="1028"/>
      <c r="BC3" s="1028"/>
      <c r="BD3" s="1028"/>
      <c r="BE3" s="1028"/>
      <c r="BF3" s="1028"/>
      <c r="BG3" s="1028"/>
    </row>
    <row r="5" spans="1:59" ht="18.75" customHeight="1" x14ac:dyDescent="0.3">
      <c r="B5" s="2432" t="s">
        <v>784</v>
      </c>
      <c r="C5" s="2432"/>
      <c r="D5" s="2432"/>
      <c r="E5" s="2432"/>
      <c r="F5" s="2432"/>
      <c r="G5" s="2432"/>
      <c r="H5" s="2432"/>
      <c r="I5" s="2432"/>
      <c r="J5" s="2432"/>
      <c r="K5" s="2432"/>
      <c r="L5" s="2432"/>
      <c r="M5" s="2432"/>
      <c r="N5" s="2432"/>
      <c r="O5" s="2432"/>
      <c r="P5" s="2432"/>
      <c r="Q5" s="2432"/>
      <c r="R5" s="2432"/>
      <c r="S5" s="1545"/>
      <c r="T5" s="1545"/>
      <c r="U5" s="1545"/>
      <c r="V5" s="1545"/>
      <c r="W5" s="1545"/>
    </row>
    <row r="6" spans="1:59" x14ac:dyDescent="0.3">
      <c r="C6" s="1317"/>
      <c r="D6" s="810"/>
      <c r="E6" s="810"/>
      <c r="F6" s="810"/>
      <c r="G6" s="810"/>
      <c r="H6" s="810"/>
      <c r="I6" s="810"/>
      <c r="J6" s="810"/>
      <c r="K6" s="810"/>
      <c r="M6" s="812"/>
      <c r="N6" s="812"/>
      <c r="O6" s="812"/>
      <c r="P6" s="812"/>
      <c r="R6" s="812"/>
      <c r="S6" s="812"/>
      <c r="T6" s="812"/>
      <c r="U6" s="812"/>
    </row>
    <row r="7" spans="1:59" x14ac:dyDescent="0.3">
      <c r="B7" s="1840" t="str">
        <f>"Billing"&amp;IF(C7="Q"," : Quarterly"," : Triannual")</f>
        <v>Billing : Quarterly</v>
      </c>
      <c r="C7" s="2225" t="s">
        <v>785</v>
      </c>
      <c r="D7" s="813">
        <v>2014</v>
      </c>
      <c r="E7" s="813">
        <f>D7+1</f>
        <v>2015</v>
      </c>
      <c r="F7" s="813">
        <f t="shared" ref="F7:R7" si="0">E7+1</f>
        <v>2016</v>
      </c>
      <c r="G7" s="813">
        <f t="shared" si="0"/>
        <v>2017</v>
      </c>
      <c r="H7" s="813">
        <f t="shared" si="0"/>
        <v>2018</v>
      </c>
      <c r="I7" s="813">
        <f t="shared" si="0"/>
        <v>2019</v>
      </c>
      <c r="J7" s="813">
        <f t="shared" si="0"/>
        <v>2020</v>
      </c>
      <c r="K7" s="813">
        <f t="shared" si="0"/>
        <v>2021</v>
      </c>
      <c r="L7" s="813">
        <f t="shared" si="0"/>
        <v>2022</v>
      </c>
      <c r="M7" s="813">
        <f t="shared" si="0"/>
        <v>2023</v>
      </c>
      <c r="N7" s="813">
        <f t="shared" si="0"/>
        <v>2024</v>
      </c>
      <c r="O7" s="813">
        <f t="shared" si="0"/>
        <v>2025</v>
      </c>
      <c r="P7" s="813">
        <f t="shared" si="0"/>
        <v>2026</v>
      </c>
      <c r="Q7" s="813">
        <f t="shared" si="0"/>
        <v>2027</v>
      </c>
      <c r="R7" s="813">
        <f t="shared" si="0"/>
        <v>2028</v>
      </c>
      <c r="S7" s="813">
        <f t="shared" ref="S7" si="1">R7+1</f>
        <v>2029</v>
      </c>
      <c r="T7" s="813">
        <f t="shared" ref="T7" si="2">S7+1</f>
        <v>2030</v>
      </c>
      <c r="U7" s="813">
        <f t="shared" ref="U7" si="3">T7+1</f>
        <v>2031</v>
      </c>
      <c r="V7" s="813">
        <f t="shared" ref="V7" si="4">U7+1</f>
        <v>2032</v>
      </c>
      <c r="W7" s="813">
        <f t="shared" ref="W7" si="5">V7+1</f>
        <v>2033</v>
      </c>
    </row>
    <row r="8" spans="1:59" x14ac:dyDescent="0.3">
      <c r="B8" s="814"/>
      <c r="C8" s="815" t="s">
        <v>785</v>
      </c>
      <c r="D8" s="2433" t="s">
        <v>722</v>
      </c>
      <c r="E8" s="2433"/>
      <c r="F8" s="2433"/>
      <c r="G8" s="2433"/>
      <c r="H8" s="2433"/>
      <c r="I8" s="2430" t="s">
        <v>723</v>
      </c>
      <c r="J8" s="2431"/>
      <c r="K8" s="2431"/>
      <c r="L8" s="2431"/>
      <c r="M8" s="2434"/>
      <c r="N8" s="2430" t="s">
        <v>724</v>
      </c>
      <c r="O8" s="2431"/>
      <c r="P8" s="2431"/>
      <c r="Q8" s="2431"/>
      <c r="R8" s="2434"/>
      <c r="S8" s="2430" t="s">
        <v>931</v>
      </c>
      <c r="T8" s="2431"/>
      <c r="U8" s="2431"/>
      <c r="V8" s="2431"/>
      <c r="W8" s="2431"/>
    </row>
    <row r="9" spans="1:59" s="809" customFormat="1" x14ac:dyDescent="0.3">
      <c r="A9" s="73"/>
      <c r="B9" s="816"/>
      <c r="C9" s="815" t="s">
        <v>786</v>
      </c>
      <c r="D9" s="817" t="s">
        <v>294</v>
      </c>
      <c r="E9" s="1841" t="str">
        <f t="shared" ref="E9:R9" si="6">+CONCATENATE(E7-1,"-",RIGHT(E7,2))</f>
        <v>2014-15</v>
      </c>
      <c r="F9" s="1841" t="str">
        <f t="shared" si="6"/>
        <v>2015-16</v>
      </c>
      <c r="G9" s="1841" t="str">
        <f t="shared" si="6"/>
        <v>2016-17</v>
      </c>
      <c r="H9" s="1841" t="str">
        <f t="shared" si="6"/>
        <v>2017-18</v>
      </c>
      <c r="I9" s="1842" t="str">
        <f t="shared" si="6"/>
        <v>2018-19</v>
      </c>
      <c r="J9" s="1841" t="str">
        <f t="shared" si="6"/>
        <v>2019-20</v>
      </c>
      <c r="K9" s="2155" t="str">
        <f t="shared" si="6"/>
        <v>2020-21</v>
      </c>
      <c r="L9" s="1841" t="str">
        <f t="shared" si="6"/>
        <v>2021-22</v>
      </c>
      <c r="M9" s="1843" t="str">
        <f t="shared" si="6"/>
        <v>2022-23</v>
      </c>
      <c r="N9" s="1841" t="str">
        <f t="shared" si="6"/>
        <v>2023-24</v>
      </c>
      <c r="O9" s="1841" t="str">
        <f t="shared" si="6"/>
        <v>2024-25</v>
      </c>
      <c r="P9" s="1841" t="str">
        <f t="shared" si="6"/>
        <v>2025-26</v>
      </c>
      <c r="Q9" s="1841" t="str">
        <f t="shared" si="6"/>
        <v>2026-27</v>
      </c>
      <c r="R9" s="1843" t="str">
        <f t="shared" si="6"/>
        <v>2027-28</v>
      </c>
      <c r="S9" s="1841" t="str">
        <f t="shared" ref="S9:W9" si="7">+CONCATENATE(S7-1,"-",RIGHT(S7,2))</f>
        <v>2028-29</v>
      </c>
      <c r="T9" s="1841" t="str">
        <f t="shared" si="7"/>
        <v>2029-30</v>
      </c>
      <c r="U9" s="1841" t="str">
        <f t="shared" si="7"/>
        <v>2030-31</v>
      </c>
      <c r="V9" s="1841" t="str">
        <f t="shared" si="7"/>
        <v>2031-32</v>
      </c>
      <c r="W9" s="1841" t="str">
        <f t="shared" si="7"/>
        <v>2032-33</v>
      </c>
      <c r="AA9" s="825"/>
      <c r="AB9" s="825"/>
      <c r="AC9" s="825"/>
      <c r="AD9" s="825"/>
      <c r="AE9" s="825"/>
      <c r="AF9" s="825"/>
      <c r="AG9" s="825"/>
    </row>
    <row r="10" spans="1:59" x14ac:dyDescent="0.3">
      <c r="C10" s="810"/>
      <c r="D10" s="818"/>
      <c r="E10" s="818"/>
      <c r="F10" s="818"/>
      <c r="G10" s="818"/>
      <c r="H10" s="818"/>
      <c r="I10" s="819"/>
      <c r="J10" s="2152"/>
      <c r="K10" s="810"/>
      <c r="L10" s="820"/>
      <c r="M10" s="821"/>
      <c r="R10" s="821"/>
    </row>
    <row r="11" spans="1:59" s="822" customFormat="1" x14ac:dyDescent="0.3">
      <c r="A11" s="73"/>
      <c r="B11" s="822" t="s">
        <v>787</v>
      </c>
      <c r="C11" s="823"/>
      <c r="D11" s="1844">
        <v>150</v>
      </c>
      <c r="E11" s="1844">
        <v>150</v>
      </c>
      <c r="F11" s="1844">
        <v>149.07795335334674</v>
      </c>
      <c r="G11" s="1844">
        <v>149</v>
      </c>
      <c r="H11" s="1844">
        <v>150</v>
      </c>
      <c r="I11" s="2177">
        <v>161</v>
      </c>
      <c r="J11" s="2178">
        <v>150.93259408804653</v>
      </c>
      <c r="K11" s="2178">
        <v>150.93259408804653</v>
      </c>
      <c r="L11" s="2179">
        <v>150.93259408804653</v>
      </c>
      <c r="M11" s="2180">
        <v>150.28457739269589</v>
      </c>
      <c r="N11" s="2181">
        <v>148.69659624163964</v>
      </c>
      <c r="O11" s="2181">
        <v>148.30246788278203</v>
      </c>
      <c r="P11" s="2181">
        <v>147.90945433627621</v>
      </c>
      <c r="Q11" s="2182">
        <v>147.51755237294549</v>
      </c>
      <c r="R11" s="2180">
        <v>145.89379542833905</v>
      </c>
      <c r="S11" s="2181">
        <v>145.73333179620749</v>
      </c>
      <c r="T11" s="2181">
        <v>145.56133358824565</v>
      </c>
      <c r="U11" s="2181">
        <v>146.78957974021571</v>
      </c>
      <c r="V11" s="2182">
        <v>146.58009013396472</v>
      </c>
      <c r="W11" s="2182">
        <v>146.36026127352781</v>
      </c>
      <c r="AH11" s="824"/>
      <c r="AI11" s="824"/>
      <c r="AJ11" s="824"/>
      <c r="AK11" s="824"/>
      <c r="AL11" s="824"/>
      <c r="AM11" s="824"/>
      <c r="AN11" s="824"/>
      <c r="AO11" s="824"/>
      <c r="AP11" s="824"/>
      <c r="AQ11" s="824"/>
      <c r="AR11" s="824"/>
      <c r="AS11" s="824"/>
      <c r="AT11" s="824"/>
      <c r="AU11" s="824"/>
      <c r="AV11" s="824"/>
      <c r="AW11" s="824"/>
      <c r="AX11" s="824"/>
      <c r="AY11" s="824"/>
      <c r="AZ11" s="824"/>
      <c r="BA11" s="824"/>
      <c r="BB11" s="824"/>
      <c r="BC11" s="824"/>
      <c r="BD11" s="824"/>
      <c r="BE11" s="824"/>
      <c r="BF11" s="824"/>
      <c r="BG11" s="824"/>
    </row>
    <row r="12" spans="1:59" x14ac:dyDescent="0.3">
      <c r="B12" s="825"/>
      <c r="C12" s="810"/>
      <c r="D12" s="826"/>
      <c r="E12" s="826"/>
      <c r="F12" s="826"/>
      <c r="G12" s="826"/>
      <c r="H12" s="826"/>
      <c r="I12" s="1300"/>
      <c r="J12" s="1301"/>
      <c r="K12" s="2151"/>
      <c r="L12" s="820"/>
      <c r="M12" s="821"/>
      <c r="Q12" s="825"/>
      <c r="R12" s="821"/>
      <c r="V12" s="825"/>
      <c r="W12" s="825"/>
    </row>
    <row r="13" spans="1:59" x14ac:dyDescent="0.3">
      <c r="B13" s="820" t="s">
        <v>788</v>
      </c>
      <c r="C13" s="827"/>
      <c r="D13" s="1845">
        <v>244.79</v>
      </c>
      <c r="E13" s="1845">
        <v>251.96</v>
      </c>
      <c r="F13" s="1845">
        <v>255.3</v>
      </c>
      <c r="G13" s="1845">
        <v>258.64</v>
      </c>
      <c r="H13" s="1845">
        <v>264.13</v>
      </c>
      <c r="I13" s="828">
        <v>198.83</v>
      </c>
      <c r="J13" s="829">
        <v>194.81</v>
      </c>
      <c r="K13" s="833">
        <v>186.31</v>
      </c>
      <c r="L13" s="830">
        <v>208.17</v>
      </c>
      <c r="M13" s="2183">
        <v>218.76</v>
      </c>
      <c r="N13" s="2184">
        <v>218.76</v>
      </c>
      <c r="O13" s="2184">
        <v>220.94759999999999</v>
      </c>
      <c r="P13" s="2184">
        <v>223.15707599999999</v>
      </c>
      <c r="Q13" s="2185">
        <v>225.38864676</v>
      </c>
      <c r="R13" s="2183">
        <v>227.64253322760001</v>
      </c>
      <c r="S13" s="2184">
        <v>229.91895855987602</v>
      </c>
      <c r="T13" s="2184">
        <v>232.21814814547477</v>
      </c>
      <c r="U13" s="2184">
        <v>234.54032962692952</v>
      </c>
      <c r="V13" s="2185">
        <v>236.88573292319882</v>
      </c>
      <c r="W13" s="2185">
        <v>239.2545902524308</v>
      </c>
    </row>
    <row r="14" spans="1:59" x14ac:dyDescent="0.3">
      <c r="B14" s="820" t="s">
        <v>789</v>
      </c>
      <c r="C14" s="827"/>
      <c r="D14" s="1846">
        <v>1.7242999999999999</v>
      </c>
      <c r="E14" s="1846">
        <v>1.7747999999999999</v>
      </c>
      <c r="F14" s="1846">
        <v>1.7983</v>
      </c>
      <c r="G14" s="1846">
        <v>1.8218000000000001</v>
      </c>
      <c r="H14" s="1846">
        <v>1.8605</v>
      </c>
      <c r="I14" s="834">
        <v>1.8957999999999999</v>
      </c>
      <c r="J14" s="835">
        <v>1.921</v>
      </c>
      <c r="K14" s="839">
        <v>1.9630000000000001</v>
      </c>
      <c r="L14" s="836">
        <v>1.9847999999999999</v>
      </c>
      <c r="M14" s="2186">
        <v>2.0857999999999999</v>
      </c>
      <c r="N14" s="2187">
        <v>2.0857999999999999</v>
      </c>
      <c r="O14" s="2187">
        <v>2.1066579999999999</v>
      </c>
      <c r="P14" s="2187">
        <v>2.1277245799999998</v>
      </c>
      <c r="Q14" s="2188">
        <v>2.1490018257999997</v>
      </c>
      <c r="R14" s="2186">
        <v>2.1704918440579997</v>
      </c>
      <c r="S14" s="2187">
        <v>2.1921967624985799</v>
      </c>
      <c r="T14" s="2187">
        <v>2.2141187301235656</v>
      </c>
      <c r="U14" s="2187">
        <v>2.2362599174248015</v>
      </c>
      <c r="V14" s="2188">
        <v>2.2586225165990497</v>
      </c>
      <c r="W14" s="2188">
        <v>2.2812087417650404</v>
      </c>
    </row>
    <row r="15" spans="1:59" x14ac:dyDescent="0.3">
      <c r="B15" s="820" t="s">
        <v>790</v>
      </c>
      <c r="C15" s="827"/>
      <c r="D15" s="1846">
        <v>2.0691999999999999</v>
      </c>
      <c r="E15" s="1846">
        <v>2.1297999999999999</v>
      </c>
      <c r="F15" s="1846">
        <v>2.1579999999999999</v>
      </c>
      <c r="G15" s="1846">
        <v>2.1861999999999999</v>
      </c>
      <c r="H15" s="1846">
        <v>2.2326000000000001</v>
      </c>
      <c r="I15" s="834">
        <v>2.2749999999999999</v>
      </c>
      <c r="J15" s="835">
        <v>2.3052999999999999</v>
      </c>
      <c r="K15" s="839">
        <v>2.3557999999999999</v>
      </c>
      <c r="L15" s="836">
        <v>2.3820000000000001</v>
      </c>
      <c r="M15" s="2186">
        <v>2.5032000000000001</v>
      </c>
      <c r="N15" s="2187">
        <v>2.5032000000000001</v>
      </c>
      <c r="O15" s="2187">
        <v>2.528232</v>
      </c>
      <c r="P15" s="2187">
        <v>2.5535143200000001</v>
      </c>
      <c r="Q15" s="2188">
        <v>2.5790494632000001</v>
      </c>
      <c r="R15" s="2186">
        <v>2.6048399578320001</v>
      </c>
      <c r="S15" s="2187">
        <v>2.6308883574103201</v>
      </c>
      <c r="T15" s="2187">
        <v>2.6571972409844236</v>
      </c>
      <c r="U15" s="2187">
        <v>2.6837692133942679</v>
      </c>
      <c r="V15" s="2188">
        <v>2.7106069055282105</v>
      </c>
      <c r="W15" s="2188">
        <v>2.7377129745834927</v>
      </c>
    </row>
    <row r="16" spans="1:59" x14ac:dyDescent="0.3">
      <c r="B16" s="820" t="s">
        <v>791</v>
      </c>
      <c r="C16" s="827"/>
      <c r="D16" s="1846">
        <v>0</v>
      </c>
      <c r="E16" s="1846">
        <v>0</v>
      </c>
      <c r="F16" s="1846">
        <v>0</v>
      </c>
      <c r="G16" s="1846">
        <v>0</v>
      </c>
      <c r="H16" s="1846">
        <v>0</v>
      </c>
      <c r="I16" s="834">
        <v>0</v>
      </c>
      <c r="J16" s="835">
        <v>0</v>
      </c>
      <c r="K16" s="839">
        <v>0</v>
      </c>
      <c r="L16" s="836">
        <v>0</v>
      </c>
      <c r="M16" s="2186">
        <v>0</v>
      </c>
      <c r="N16" s="2187">
        <v>0</v>
      </c>
      <c r="O16" s="2187">
        <v>0</v>
      </c>
      <c r="P16" s="2187">
        <v>0</v>
      </c>
      <c r="Q16" s="2188">
        <v>0</v>
      </c>
      <c r="R16" s="2186">
        <v>0</v>
      </c>
      <c r="S16" s="2187">
        <v>0</v>
      </c>
      <c r="T16" s="2187">
        <v>0</v>
      </c>
      <c r="U16" s="2187">
        <v>0</v>
      </c>
      <c r="V16" s="2188">
        <v>0</v>
      </c>
      <c r="W16" s="2188">
        <v>0</v>
      </c>
    </row>
    <row r="17" spans="1:59" x14ac:dyDescent="0.3">
      <c r="B17" s="820" t="s">
        <v>792</v>
      </c>
      <c r="C17" s="827"/>
      <c r="D17" s="1845">
        <v>700.97</v>
      </c>
      <c r="E17" s="1845">
        <v>721.5</v>
      </c>
      <c r="F17" s="1845">
        <v>731.08</v>
      </c>
      <c r="G17" s="1845">
        <v>740.66</v>
      </c>
      <c r="H17" s="1845">
        <v>756.4</v>
      </c>
      <c r="I17" s="828">
        <v>756.4</v>
      </c>
      <c r="J17" s="829">
        <v>746.54</v>
      </c>
      <c r="K17" s="833">
        <v>743.06</v>
      </c>
      <c r="L17" s="830">
        <v>693.76</v>
      </c>
      <c r="M17" s="2183">
        <v>699.64</v>
      </c>
      <c r="N17" s="2184">
        <v>699.64</v>
      </c>
      <c r="O17" s="2184">
        <v>706.63639999999998</v>
      </c>
      <c r="P17" s="2184">
        <v>713.702764</v>
      </c>
      <c r="Q17" s="2185">
        <v>720.83979164000004</v>
      </c>
      <c r="R17" s="2183">
        <v>728.04818955640008</v>
      </c>
      <c r="S17" s="2184">
        <v>735.32867145196406</v>
      </c>
      <c r="T17" s="2184">
        <v>742.6819581664837</v>
      </c>
      <c r="U17" s="2184">
        <v>750.10877774814855</v>
      </c>
      <c r="V17" s="2185">
        <v>757.60986552563008</v>
      </c>
      <c r="W17" s="2185">
        <v>765.18596418088634</v>
      </c>
    </row>
    <row r="18" spans="1:59" x14ac:dyDescent="0.3">
      <c r="A18" s="72"/>
      <c r="B18" s="820" t="s">
        <v>793</v>
      </c>
      <c r="C18" s="827"/>
      <c r="D18" s="1846">
        <v>0</v>
      </c>
      <c r="E18" s="1846">
        <v>0</v>
      </c>
      <c r="F18" s="1846">
        <v>0</v>
      </c>
      <c r="G18" s="1846">
        <v>0</v>
      </c>
      <c r="H18" s="1846">
        <v>0</v>
      </c>
      <c r="I18" s="834">
        <v>0</v>
      </c>
      <c r="J18" s="835">
        <v>0</v>
      </c>
      <c r="K18" s="839">
        <v>0</v>
      </c>
      <c r="L18" s="836">
        <v>0</v>
      </c>
      <c r="M18" s="2186">
        <v>0</v>
      </c>
      <c r="N18" s="2187">
        <v>0</v>
      </c>
      <c r="O18" s="2187">
        <v>0</v>
      </c>
      <c r="P18" s="2187">
        <v>0</v>
      </c>
      <c r="Q18" s="2188">
        <v>0</v>
      </c>
      <c r="R18" s="2186">
        <v>0</v>
      </c>
      <c r="S18" s="2187">
        <v>0</v>
      </c>
      <c r="T18" s="2187">
        <v>0</v>
      </c>
      <c r="U18" s="2187">
        <v>0</v>
      </c>
      <c r="V18" s="2188">
        <v>0</v>
      </c>
      <c r="W18" s="2188">
        <v>0</v>
      </c>
    </row>
    <row r="19" spans="1:59" x14ac:dyDescent="0.3">
      <c r="B19" s="820"/>
      <c r="C19" s="827"/>
      <c r="D19" s="840"/>
      <c r="E19" s="840"/>
      <c r="F19" s="840"/>
      <c r="G19" s="840"/>
      <c r="H19" s="840"/>
      <c r="I19" s="819"/>
      <c r="J19" s="810"/>
      <c r="K19" s="2149"/>
      <c r="L19" s="820"/>
      <c r="M19" s="821"/>
      <c r="R19" s="821"/>
    </row>
    <row r="20" spans="1:59" x14ac:dyDescent="0.3">
      <c r="B20" s="841" t="s">
        <v>794</v>
      </c>
      <c r="C20" s="827"/>
      <c r="D20" s="842">
        <f t="shared" ref="D20:R20" si="8">D13</f>
        <v>244.79</v>
      </c>
      <c r="E20" s="842">
        <f t="shared" si="8"/>
        <v>251.96</v>
      </c>
      <c r="F20" s="842">
        <f t="shared" si="8"/>
        <v>255.3</v>
      </c>
      <c r="G20" s="842">
        <f t="shared" si="8"/>
        <v>258.64</v>
      </c>
      <c r="H20" s="842">
        <f t="shared" si="8"/>
        <v>264.13</v>
      </c>
      <c r="I20" s="843">
        <f t="shared" si="8"/>
        <v>198.83</v>
      </c>
      <c r="J20" s="844">
        <f t="shared" si="8"/>
        <v>194.81</v>
      </c>
      <c r="K20" s="2150">
        <f t="shared" si="8"/>
        <v>186.31</v>
      </c>
      <c r="L20" s="902">
        <f t="shared" si="8"/>
        <v>208.17</v>
      </c>
      <c r="M20" s="903">
        <f t="shared" si="8"/>
        <v>218.76</v>
      </c>
      <c r="N20" s="904">
        <f t="shared" si="8"/>
        <v>218.76</v>
      </c>
      <c r="O20" s="904">
        <f t="shared" si="8"/>
        <v>220.94759999999999</v>
      </c>
      <c r="P20" s="904">
        <f t="shared" si="8"/>
        <v>223.15707599999999</v>
      </c>
      <c r="Q20" s="1847">
        <f t="shared" si="8"/>
        <v>225.38864676</v>
      </c>
      <c r="R20" s="903">
        <f t="shared" si="8"/>
        <v>227.64253322760001</v>
      </c>
      <c r="S20" s="904">
        <f t="shared" ref="S20:W20" si="9">S13</f>
        <v>229.91895855987602</v>
      </c>
      <c r="T20" s="904">
        <f t="shared" si="9"/>
        <v>232.21814814547477</v>
      </c>
      <c r="U20" s="904">
        <f t="shared" si="9"/>
        <v>234.54032962692952</v>
      </c>
      <c r="V20" s="1847">
        <f t="shared" si="9"/>
        <v>236.88573292319882</v>
      </c>
      <c r="W20" s="1847">
        <f t="shared" si="9"/>
        <v>239.2545902524308</v>
      </c>
    </row>
    <row r="21" spans="1:59" x14ac:dyDescent="0.3">
      <c r="B21" s="841" t="s">
        <v>795</v>
      </c>
      <c r="C21" s="827"/>
      <c r="D21" s="842">
        <f t="shared" ref="D21:R21" si="10">(D14*D$142)+(D15*D$143)+(D16*D$144)</f>
        <v>266.51771739130436</v>
      </c>
      <c r="E21" s="842">
        <f t="shared" si="10"/>
        <v>266.34862318840578</v>
      </c>
      <c r="F21" s="842">
        <f t="shared" si="10"/>
        <v>268.08742953231433</v>
      </c>
      <c r="G21" s="842">
        <f t="shared" si="10"/>
        <v>271.44819999999999</v>
      </c>
      <c r="H21" s="842">
        <f t="shared" si="10"/>
        <v>279.20981884057966</v>
      </c>
      <c r="I21" s="843">
        <f t="shared" si="10"/>
        <v>306.99340000000001</v>
      </c>
      <c r="J21" s="844">
        <f t="shared" si="10"/>
        <v>290.22099425062981</v>
      </c>
      <c r="K21" s="2150">
        <f t="shared" si="10"/>
        <v>296.56634480150467</v>
      </c>
      <c r="L21" s="902">
        <f t="shared" si="10"/>
        <v>299.85987523925684</v>
      </c>
      <c r="M21" s="903">
        <f t="shared" si="10"/>
        <v>313.6612835590214</v>
      </c>
      <c r="N21" s="904">
        <f t="shared" si="10"/>
        <v>310.15136044081191</v>
      </c>
      <c r="O21" s="904">
        <f t="shared" si="10"/>
        <v>312.4225803850058</v>
      </c>
      <c r="P21" s="904">
        <f t="shared" si="10"/>
        <v>314.71058160568242</v>
      </c>
      <c r="Q21" s="1847">
        <f t="shared" si="10"/>
        <v>317.01548938700694</v>
      </c>
      <c r="R21" s="903">
        <f t="shared" si="10"/>
        <v>316.66129307587619</v>
      </c>
      <c r="S21" s="904">
        <f t="shared" ref="S21:W21" si="11">(S14*S$142)+(S15*S$143)+(S16*S$144)</f>
        <v>319.47613815177743</v>
      </c>
      <c r="T21" s="904">
        <f t="shared" si="11"/>
        <v>322.29007507949916</v>
      </c>
      <c r="U21" s="904">
        <f t="shared" si="11"/>
        <v>328.25965346867611</v>
      </c>
      <c r="V21" s="1847">
        <f t="shared" si="11"/>
        <v>331.06909206169092</v>
      </c>
      <c r="W21" s="1847">
        <f t="shared" si="11"/>
        <v>333.87830746418695</v>
      </c>
    </row>
    <row r="22" spans="1:59" x14ac:dyDescent="0.3">
      <c r="B22" s="841" t="s">
        <v>796</v>
      </c>
      <c r="C22" s="827"/>
      <c r="D22" s="842">
        <f t="shared" ref="D22:R22" si="12">D17</f>
        <v>700.97</v>
      </c>
      <c r="E22" s="842">
        <f t="shared" si="12"/>
        <v>721.5</v>
      </c>
      <c r="F22" s="842">
        <f t="shared" si="12"/>
        <v>731.08</v>
      </c>
      <c r="G22" s="842">
        <f t="shared" si="12"/>
        <v>740.66</v>
      </c>
      <c r="H22" s="842">
        <f t="shared" si="12"/>
        <v>756.4</v>
      </c>
      <c r="I22" s="843">
        <f t="shared" si="12"/>
        <v>756.4</v>
      </c>
      <c r="J22" s="844">
        <f t="shared" si="12"/>
        <v>746.54</v>
      </c>
      <c r="K22" s="2150">
        <f t="shared" si="12"/>
        <v>743.06</v>
      </c>
      <c r="L22" s="902">
        <f t="shared" si="12"/>
        <v>693.76</v>
      </c>
      <c r="M22" s="903">
        <f t="shared" si="12"/>
        <v>699.64</v>
      </c>
      <c r="N22" s="904">
        <f t="shared" si="12"/>
        <v>699.64</v>
      </c>
      <c r="O22" s="904">
        <f t="shared" si="12"/>
        <v>706.63639999999998</v>
      </c>
      <c r="P22" s="904">
        <f t="shared" si="12"/>
        <v>713.702764</v>
      </c>
      <c r="Q22" s="1847">
        <f t="shared" si="12"/>
        <v>720.83979164000004</v>
      </c>
      <c r="R22" s="903">
        <f t="shared" si="12"/>
        <v>728.04818955640008</v>
      </c>
      <c r="S22" s="904">
        <f t="shared" ref="S22:W22" si="13">S17</f>
        <v>735.32867145196406</v>
      </c>
      <c r="T22" s="904">
        <f t="shared" si="13"/>
        <v>742.6819581664837</v>
      </c>
      <c r="U22" s="904">
        <f t="shared" si="13"/>
        <v>750.10877774814855</v>
      </c>
      <c r="V22" s="1847">
        <f t="shared" si="13"/>
        <v>757.60986552563008</v>
      </c>
      <c r="W22" s="1847">
        <f t="shared" si="13"/>
        <v>765.18596418088634</v>
      </c>
    </row>
    <row r="23" spans="1:59" x14ac:dyDescent="0.3">
      <c r="B23" s="841" t="s">
        <v>797</v>
      </c>
      <c r="C23" s="827"/>
      <c r="D23" s="842">
        <f t="shared" ref="D23:R23" si="14">D18*D$152</f>
        <v>0</v>
      </c>
      <c r="E23" s="842">
        <f t="shared" si="14"/>
        <v>0</v>
      </c>
      <c r="F23" s="842">
        <f t="shared" si="14"/>
        <v>0</v>
      </c>
      <c r="G23" s="842">
        <f t="shared" si="14"/>
        <v>0</v>
      </c>
      <c r="H23" s="842">
        <f t="shared" si="14"/>
        <v>0</v>
      </c>
      <c r="I23" s="843">
        <f t="shared" si="14"/>
        <v>0</v>
      </c>
      <c r="J23" s="844">
        <f t="shared" si="14"/>
        <v>0</v>
      </c>
      <c r="K23" s="2150">
        <f t="shared" si="14"/>
        <v>0</v>
      </c>
      <c r="L23" s="902">
        <f t="shared" si="14"/>
        <v>0</v>
      </c>
      <c r="M23" s="903">
        <f t="shared" si="14"/>
        <v>0</v>
      </c>
      <c r="N23" s="904">
        <f t="shared" si="14"/>
        <v>0</v>
      </c>
      <c r="O23" s="904">
        <f t="shared" si="14"/>
        <v>0</v>
      </c>
      <c r="P23" s="904">
        <f t="shared" si="14"/>
        <v>0</v>
      </c>
      <c r="Q23" s="1847">
        <f t="shared" si="14"/>
        <v>0</v>
      </c>
      <c r="R23" s="903">
        <f t="shared" si="14"/>
        <v>0</v>
      </c>
      <c r="S23" s="904">
        <f t="shared" ref="S23:W23" si="15">S18*S$152</f>
        <v>0</v>
      </c>
      <c r="T23" s="904">
        <f t="shared" si="15"/>
        <v>0</v>
      </c>
      <c r="U23" s="904">
        <f t="shared" si="15"/>
        <v>0</v>
      </c>
      <c r="V23" s="1847">
        <f t="shared" si="15"/>
        <v>0</v>
      </c>
      <c r="W23" s="1847">
        <f t="shared" si="15"/>
        <v>0</v>
      </c>
    </row>
    <row r="24" spans="1:59" ht="12.5" thickBot="1" x14ac:dyDescent="0.35">
      <c r="B24" s="841"/>
      <c r="C24" s="827"/>
      <c r="D24" s="842"/>
      <c r="E24" s="842"/>
      <c r="F24" s="842"/>
      <c r="G24" s="842"/>
      <c r="H24" s="842"/>
      <c r="I24" s="843"/>
      <c r="J24" s="844"/>
      <c r="K24" s="844"/>
      <c r="L24" s="845"/>
      <c r="M24" s="846"/>
      <c r="N24" s="847"/>
      <c r="O24" s="847"/>
      <c r="P24" s="847"/>
      <c r="Q24" s="848"/>
      <c r="R24" s="846"/>
      <c r="S24" s="847"/>
      <c r="T24" s="847"/>
      <c r="U24" s="847"/>
      <c r="V24" s="848"/>
      <c r="W24" s="848"/>
      <c r="AN24" s="809" t="s">
        <v>722</v>
      </c>
      <c r="AS24" s="809" t="s">
        <v>723</v>
      </c>
      <c r="AX24" s="809" t="s">
        <v>724</v>
      </c>
      <c r="BC24" s="809" t="s">
        <v>931</v>
      </c>
    </row>
    <row r="25" spans="1:59" ht="12.5" thickBot="1" x14ac:dyDescent="0.35">
      <c r="B25" s="849" t="s">
        <v>798</v>
      </c>
      <c r="C25" s="827"/>
      <c r="D25" s="842"/>
      <c r="E25" s="842"/>
      <c r="F25" s="842"/>
      <c r="G25" s="842"/>
      <c r="H25" s="842"/>
      <c r="I25" s="819"/>
      <c r="J25" s="810"/>
      <c r="K25" s="810"/>
      <c r="L25" s="827"/>
      <c r="M25" s="850"/>
      <c r="N25" s="827"/>
      <c r="O25" s="827"/>
      <c r="P25" s="827"/>
      <c r="Q25" s="810"/>
      <c r="R25" s="850"/>
      <c r="S25" s="827"/>
      <c r="T25" s="827"/>
      <c r="U25" s="827"/>
      <c r="V25" s="810"/>
      <c r="W25" s="810"/>
      <c r="X25" s="814"/>
      <c r="AN25" s="1848" t="str">
        <f t="shared" ref="AN25:BB25" si="16">D9</f>
        <v>2013-14</v>
      </c>
      <c r="AO25" s="1848" t="str">
        <f t="shared" si="16"/>
        <v>2014-15</v>
      </c>
      <c r="AP25" s="1848" t="str">
        <f t="shared" si="16"/>
        <v>2015-16</v>
      </c>
      <c r="AQ25" s="1848" t="str">
        <f t="shared" si="16"/>
        <v>2016-17</v>
      </c>
      <c r="AR25" s="1848" t="str">
        <f t="shared" si="16"/>
        <v>2017-18</v>
      </c>
      <c r="AS25" s="1848" t="str">
        <f t="shared" si="16"/>
        <v>2018-19</v>
      </c>
      <c r="AT25" s="1848" t="str">
        <f t="shared" si="16"/>
        <v>2019-20</v>
      </c>
      <c r="AU25" s="1848" t="str">
        <f t="shared" si="16"/>
        <v>2020-21</v>
      </c>
      <c r="AV25" s="1848" t="str">
        <f t="shared" si="16"/>
        <v>2021-22</v>
      </c>
      <c r="AW25" s="1848" t="str">
        <f t="shared" si="16"/>
        <v>2022-23</v>
      </c>
      <c r="AX25" s="1848" t="str">
        <f t="shared" si="16"/>
        <v>2023-24</v>
      </c>
      <c r="AY25" s="1848" t="str">
        <f t="shared" si="16"/>
        <v>2024-25</v>
      </c>
      <c r="AZ25" s="1848" t="str">
        <f t="shared" si="16"/>
        <v>2025-26</v>
      </c>
      <c r="BA25" s="1848" t="str">
        <f t="shared" si="16"/>
        <v>2026-27</v>
      </c>
      <c r="BB25" s="1848" t="str">
        <f t="shared" si="16"/>
        <v>2027-28</v>
      </c>
      <c r="BC25" s="1848" t="str">
        <f t="shared" ref="BC25" si="17">S9</f>
        <v>2028-29</v>
      </c>
      <c r="BD25" s="1848" t="str">
        <f t="shared" ref="BD25" si="18">T9</f>
        <v>2029-30</v>
      </c>
      <c r="BE25" s="1848" t="str">
        <f t="shared" ref="BE25" si="19">U9</f>
        <v>2030-31</v>
      </c>
      <c r="BF25" s="1848" t="str">
        <f t="shared" ref="BF25" si="20">V9</f>
        <v>2031-32</v>
      </c>
      <c r="BG25" s="1848" t="str">
        <f t="shared" ref="BG25" si="21">W9</f>
        <v>2032-33</v>
      </c>
    </row>
    <row r="26" spans="1:59" s="822" customFormat="1" x14ac:dyDescent="0.3">
      <c r="A26" s="73"/>
      <c r="B26" s="851" t="s">
        <v>799</v>
      </c>
      <c r="C26" s="852"/>
      <c r="D26" s="1849">
        <f>SUM(D20:D23)</f>
        <v>1212.2777173913043</v>
      </c>
      <c r="E26" s="1849">
        <f t="shared" ref="E26:R26" si="22">SUM(E20:E23)</f>
        <v>1239.8086231884058</v>
      </c>
      <c r="F26" s="1849">
        <f t="shared" si="22"/>
        <v>1254.4674295323143</v>
      </c>
      <c r="G26" s="1849">
        <f t="shared" si="22"/>
        <v>1270.7482</v>
      </c>
      <c r="H26" s="1849">
        <f t="shared" si="22"/>
        <v>1299.7398188405796</v>
      </c>
      <c r="I26" s="1850">
        <f t="shared" si="22"/>
        <v>1262.2233999999999</v>
      </c>
      <c r="J26" s="1849">
        <f t="shared" si="22"/>
        <v>1231.5709942506298</v>
      </c>
      <c r="K26" s="1849">
        <f t="shared" si="22"/>
        <v>1225.9363448015047</v>
      </c>
      <c r="L26" s="1849">
        <f t="shared" si="22"/>
        <v>1201.7898752392568</v>
      </c>
      <c r="M26" s="1851">
        <f t="shared" si="22"/>
        <v>1232.0612835590214</v>
      </c>
      <c r="N26" s="1849">
        <f t="shared" si="22"/>
        <v>1228.551360440812</v>
      </c>
      <c r="O26" s="1849">
        <f t="shared" si="22"/>
        <v>1240.0065803850057</v>
      </c>
      <c r="P26" s="1849">
        <f t="shared" si="22"/>
        <v>1251.5704216056824</v>
      </c>
      <c r="Q26" s="1849">
        <f t="shared" si="22"/>
        <v>1263.2439277870071</v>
      </c>
      <c r="R26" s="1851">
        <f t="shared" si="22"/>
        <v>1272.3520158598762</v>
      </c>
      <c r="S26" s="1849">
        <f t="shared" ref="S26:W26" si="23">SUM(S20:S23)</f>
        <v>1284.7237681636175</v>
      </c>
      <c r="T26" s="1849">
        <f t="shared" si="23"/>
        <v>1297.1901813914576</v>
      </c>
      <c r="U26" s="1849">
        <f t="shared" si="23"/>
        <v>1312.9087608437542</v>
      </c>
      <c r="V26" s="1849">
        <f t="shared" si="23"/>
        <v>1325.5646905105198</v>
      </c>
      <c r="W26" s="1852">
        <f t="shared" si="23"/>
        <v>1338.3188618975041</v>
      </c>
      <c r="X26" s="853"/>
      <c r="AH26" s="824"/>
      <c r="AI26" s="824"/>
      <c r="AJ26" s="824"/>
      <c r="AK26" s="824"/>
      <c r="AL26" s="824"/>
      <c r="AM26" s="854" t="s">
        <v>800</v>
      </c>
      <c r="AN26" s="875">
        <f t="shared" ref="AN26:BB26" si="24">IF(D26="0","",D26)</f>
        <v>1212.2777173913043</v>
      </c>
      <c r="AO26" s="875">
        <f t="shared" si="24"/>
        <v>1239.8086231884058</v>
      </c>
      <c r="AP26" s="875">
        <f t="shared" si="24"/>
        <v>1254.4674295323143</v>
      </c>
      <c r="AQ26" s="875">
        <f t="shared" si="24"/>
        <v>1270.7482</v>
      </c>
      <c r="AR26" s="875">
        <f t="shared" si="24"/>
        <v>1299.7398188405796</v>
      </c>
      <c r="AS26" s="875">
        <f t="shared" si="24"/>
        <v>1262.2233999999999</v>
      </c>
      <c r="AT26" s="875">
        <f t="shared" si="24"/>
        <v>1231.5709942506298</v>
      </c>
      <c r="AU26" s="875">
        <f t="shared" si="24"/>
        <v>1225.9363448015047</v>
      </c>
      <c r="AV26" s="875">
        <f t="shared" si="24"/>
        <v>1201.7898752392568</v>
      </c>
      <c r="AW26" s="875">
        <f t="shared" si="24"/>
        <v>1232.0612835590214</v>
      </c>
      <c r="AX26" s="875">
        <f t="shared" si="24"/>
        <v>1228.551360440812</v>
      </c>
      <c r="AY26" s="875">
        <f t="shared" si="24"/>
        <v>1240.0065803850057</v>
      </c>
      <c r="AZ26" s="875">
        <f t="shared" si="24"/>
        <v>1251.5704216056824</v>
      </c>
      <c r="BA26" s="875">
        <f t="shared" si="24"/>
        <v>1263.2439277870071</v>
      </c>
      <c r="BB26" s="875">
        <f t="shared" si="24"/>
        <v>1272.3520158598762</v>
      </c>
      <c r="BC26" s="875">
        <f t="shared" ref="BC26" si="25">IF(S26="0","",S26)</f>
        <v>1284.7237681636175</v>
      </c>
      <c r="BD26" s="875">
        <f t="shared" ref="BD26" si="26">IF(T26="0","",T26)</f>
        <v>1297.1901813914576</v>
      </c>
      <c r="BE26" s="875">
        <f t="shared" ref="BE26" si="27">IF(U26="0","",U26)</f>
        <v>1312.9087608437542</v>
      </c>
      <c r="BF26" s="875">
        <f t="shared" ref="BF26" si="28">IF(V26="0","",V26)</f>
        <v>1325.5646905105198</v>
      </c>
      <c r="BG26" s="875">
        <f t="shared" ref="BG26" si="29">IF(W26="0","",W26)</f>
        <v>1338.3188618975041</v>
      </c>
    </row>
    <row r="27" spans="1:59" s="860" customFormat="1" x14ac:dyDescent="0.3">
      <c r="A27" s="73"/>
      <c r="B27" s="856" t="s">
        <v>801</v>
      </c>
      <c r="C27" s="857"/>
      <c r="D27" s="858"/>
      <c r="E27" s="1853">
        <f>IF(E26=0,"-",E26/D26-1)</f>
        <v>2.2710065030598026E-2</v>
      </c>
      <c r="F27" s="1853">
        <f t="shared" ref="F27:R27" si="30">IF(F26=0,"-",F26/E26-1)</f>
        <v>1.1823442803785777E-2</v>
      </c>
      <c r="G27" s="1853">
        <f t="shared" si="30"/>
        <v>1.2978232901395881E-2</v>
      </c>
      <c r="H27" s="1853">
        <f t="shared" si="30"/>
        <v>2.2814605474617E-2</v>
      </c>
      <c r="I27" s="1854">
        <f t="shared" si="30"/>
        <v>-2.8864560658029115E-2</v>
      </c>
      <c r="J27" s="1853">
        <f t="shared" si="30"/>
        <v>-2.4284453726154953E-2</v>
      </c>
      <c r="K27" s="1853">
        <f t="shared" si="30"/>
        <v>-4.5751722600073652E-3</v>
      </c>
      <c r="L27" s="1853">
        <f t="shared" si="30"/>
        <v>-1.9696348562173838E-2</v>
      </c>
      <c r="M27" s="1855">
        <f t="shared" si="30"/>
        <v>2.5188603218793126E-2</v>
      </c>
      <c r="N27" s="1853">
        <f t="shared" si="30"/>
        <v>-2.8488218606060878E-3</v>
      </c>
      <c r="O27" s="1853">
        <f t="shared" si="30"/>
        <v>9.3241685395093477E-3</v>
      </c>
      <c r="P27" s="1853">
        <f t="shared" si="30"/>
        <v>9.3256289148775373E-3</v>
      </c>
      <c r="Q27" s="1853">
        <f t="shared" si="30"/>
        <v>9.3270869779331633E-3</v>
      </c>
      <c r="R27" s="1855">
        <f t="shared" si="30"/>
        <v>7.2100786495170599E-3</v>
      </c>
      <c r="S27" s="1853">
        <f t="shared" ref="S27" si="31">IF(S26=0,"-",S26/R26-1)</f>
        <v>9.7235294553137397E-3</v>
      </c>
      <c r="T27" s="1853">
        <f t="shared" ref="T27" si="32">IF(T26=0,"-",T26/S26-1)</f>
        <v>9.7035748359040053E-3</v>
      </c>
      <c r="U27" s="1853">
        <f t="shared" ref="U27" si="33">IF(U26=0,"-",U26/T26-1)</f>
        <v>1.2117405510605694E-2</v>
      </c>
      <c r="V27" s="1853">
        <f t="shared" ref="V27" si="34">IF(V26=0,"-",V26/U26-1)</f>
        <v>9.6396109495318072E-3</v>
      </c>
      <c r="W27" s="1856">
        <f t="shared" ref="W27" si="35">IF(W26=0,"-",W26/V26-1)</f>
        <v>9.6216891399485416E-3</v>
      </c>
      <c r="X27" s="859"/>
      <c r="AH27" s="861"/>
      <c r="AI27" s="861"/>
      <c r="AJ27" s="861"/>
      <c r="AK27" s="861"/>
      <c r="AL27" s="861"/>
      <c r="AM27" s="862" t="s">
        <v>802</v>
      </c>
      <c r="AN27" s="863"/>
      <c r="AO27" s="1857">
        <f t="shared" ref="AO27:BB27" si="36">E27</f>
        <v>2.2710065030598026E-2</v>
      </c>
      <c r="AP27" s="1857">
        <f t="shared" si="36"/>
        <v>1.1823442803785777E-2</v>
      </c>
      <c r="AQ27" s="1857">
        <f t="shared" si="36"/>
        <v>1.2978232901395881E-2</v>
      </c>
      <c r="AR27" s="1857">
        <f t="shared" si="36"/>
        <v>2.2814605474617E-2</v>
      </c>
      <c r="AS27" s="1857">
        <f t="shared" si="36"/>
        <v>-2.8864560658029115E-2</v>
      </c>
      <c r="AT27" s="1857">
        <f t="shared" si="36"/>
        <v>-2.4284453726154953E-2</v>
      </c>
      <c r="AU27" s="1857">
        <f t="shared" si="36"/>
        <v>-4.5751722600073652E-3</v>
      </c>
      <c r="AV27" s="1857">
        <f t="shared" si="36"/>
        <v>-1.9696348562173838E-2</v>
      </c>
      <c r="AW27" s="1857">
        <f t="shared" si="36"/>
        <v>2.5188603218793126E-2</v>
      </c>
      <c r="AX27" s="1857">
        <f t="shared" si="36"/>
        <v>-2.8488218606060878E-3</v>
      </c>
      <c r="AY27" s="1857">
        <f t="shared" si="36"/>
        <v>9.3241685395093477E-3</v>
      </c>
      <c r="AZ27" s="1857">
        <f t="shared" si="36"/>
        <v>9.3256289148775373E-3</v>
      </c>
      <c r="BA27" s="1857">
        <f t="shared" si="36"/>
        <v>9.3270869779331633E-3</v>
      </c>
      <c r="BB27" s="1857">
        <f t="shared" si="36"/>
        <v>7.2100786495170599E-3</v>
      </c>
      <c r="BC27" s="1857">
        <f t="shared" ref="BC27" si="37">S27</f>
        <v>9.7235294553137397E-3</v>
      </c>
      <c r="BD27" s="1857">
        <f t="shared" ref="BD27" si="38">T27</f>
        <v>9.7035748359040053E-3</v>
      </c>
      <c r="BE27" s="1857">
        <f t="shared" ref="BE27" si="39">U27</f>
        <v>1.2117405510605694E-2</v>
      </c>
      <c r="BF27" s="1857">
        <f t="shared" ref="BF27" si="40">V27</f>
        <v>9.6396109495318072E-3</v>
      </c>
      <c r="BG27" s="1857">
        <f t="shared" ref="BG27" si="41">W27</f>
        <v>9.6216891399485416E-3</v>
      </c>
    </row>
    <row r="28" spans="1:59" s="872" customFormat="1" x14ac:dyDescent="0.3">
      <c r="A28" s="73"/>
      <c r="B28" s="864"/>
      <c r="C28" s="865"/>
      <c r="D28" s="866"/>
      <c r="E28" s="867"/>
      <c r="F28" s="867"/>
      <c r="G28" s="867"/>
      <c r="H28" s="867"/>
      <c r="I28" s="868"/>
      <c r="J28" s="867"/>
      <c r="K28" s="867"/>
      <c r="L28" s="867"/>
      <c r="M28" s="869"/>
      <c r="N28" s="867"/>
      <c r="O28" s="867"/>
      <c r="P28" s="867"/>
      <c r="Q28" s="867"/>
      <c r="R28" s="869"/>
      <c r="S28" s="867"/>
      <c r="T28" s="867"/>
      <c r="U28" s="867"/>
      <c r="V28" s="867"/>
      <c r="W28" s="870"/>
      <c r="X28" s="871"/>
      <c r="AH28" s="873"/>
      <c r="AI28" s="873"/>
      <c r="AJ28" s="873"/>
      <c r="AK28" s="873"/>
      <c r="AL28" s="873"/>
      <c r="AM28" s="874" t="s">
        <v>803</v>
      </c>
      <c r="AN28" s="875">
        <f t="shared" ref="AN28:BB28" si="42">D29</f>
        <v>266.51771739130436</v>
      </c>
      <c r="AO28" s="875">
        <f t="shared" si="42"/>
        <v>266.34862318840578</v>
      </c>
      <c r="AP28" s="875">
        <f t="shared" si="42"/>
        <v>268.08742953231433</v>
      </c>
      <c r="AQ28" s="875">
        <f t="shared" si="42"/>
        <v>271.44819999999999</v>
      </c>
      <c r="AR28" s="875">
        <f t="shared" si="42"/>
        <v>279.20981884057966</v>
      </c>
      <c r="AS28" s="875">
        <f t="shared" si="42"/>
        <v>306.99340000000001</v>
      </c>
      <c r="AT28" s="875">
        <f t="shared" si="42"/>
        <v>290.22099425062981</v>
      </c>
      <c r="AU28" s="875">
        <f t="shared" si="42"/>
        <v>296.56634480150467</v>
      </c>
      <c r="AV28" s="875">
        <f t="shared" si="42"/>
        <v>299.85987523925684</v>
      </c>
      <c r="AW28" s="875">
        <f t="shared" si="42"/>
        <v>313.6612835590214</v>
      </c>
      <c r="AX28" s="875">
        <f t="shared" si="42"/>
        <v>310.15136044081191</v>
      </c>
      <c r="AY28" s="875">
        <f t="shared" si="42"/>
        <v>312.4225803850058</v>
      </c>
      <c r="AZ28" s="875">
        <f t="shared" si="42"/>
        <v>314.71058160568242</v>
      </c>
      <c r="BA28" s="875">
        <f t="shared" si="42"/>
        <v>317.01548938700694</v>
      </c>
      <c r="BB28" s="875">
        <f t="shared" si="42"/>
        <v>316.66129307587619</v>
      </c>
      <c r="BC28" s="875">
        <f t="shared" ref="BC28:BC29" si="43">S29</f>
        <v>319.47613815177743</v>
      </c>
      <c r="BD28" s="875">
        <f t="shared" ref="BD28:BD29" si="44">T29</f>
        <v>322.29007507949916</v>
      </c>
      <c r="BE28" s="875">
        <f t="shared" ref="BE28:BE29" si="45">U29</f>
        <v>328.25965346867611</v>
      </c>
      <c r="BF28" s="875">
        <f t="shared" ref="BF28:BF29" si="46">V29</f>
        <v>331.06909206169092</v>
      </c>
      <c r="BG28" s="875">
        <f t="shared" ref="BG28:BG29" si="47">W29</f>
        <v>333.87830746418695</v>
      </c>
    </row>
    <row r="29" spans="1:59" s="822" customFormat="1" x14ac:dyDescent="0.3">
      <c r="A29" s="73"/>
      <c r="B29" s="876" t="s">
        <v>804</v>
      </c>
      <c r="C29" s="877"/>
      <c r="D29" s="1858">
        <f t="shared" ref="D29:R29" si="48">D21+D23</f>
        <v>266.51771739130436</v>
      </c>
      <c r="E29" s="1858">
        <f t="shared" si="48"/>
        <v>266.34862318840578</v>
      </c>
      <c r="F29" s="1858">
        <f t="shared" si="48"/>
        <v>268.08742953231433</v>
      </c>
      <c r="G29" s="1858">
        <f t="shared" si="48"/>
        <v>271.44819999999999</v>
      </c>
      <c r="H29" s="1858">
        <f t="shared" si="48"/>
        <v>279.20981884057966</v>
      </c>
      <c r="I29" s="1859">
        <f t="shared" si="48"/>
        <v>306.99340000000001</v>
      </c>
      <c r="J29" s="1858">
        <f t="shared" si="48"/>
        <v>290.22099425062981</v>
      </c>
      <c r="K29" s="1858">
        <f t="shared" si="48"/>
        <v>296.56634480150467</v>
      </c>
      <c r="L29" s="1858">
        <f t="shared" si="48"/>
        <v>299.85987523925684</v>
      </c>
      <c r="M29" s="1860">
        <f t="shared" si="48"/>
        <v>313.6612835590214</v>
      </c>
      <c r="N29" s="1858">
        <f t="shared" si="48"/>
        <v>310.15136044081191</v>
      </c>
      <c r="O29" s="1858">
        <f t="shared" si="48"/>
        <v>312.4225803850058</v>
      </c>
      <c r="P29" s="1858">
        <f t="shared" si="48"/>
        <v>314.71058160568242</v>
      </c>
      <c r="Q29" s="1858">
        <f t="shared" si="48"/>
        <v>317.01548938700694</v>
      </c>
      <c r="R29" s="1860">
        <f t="shared" si="48"/>
        <v>316.66129307587619</v>
      </c>
      <c r="S29" s="1858">
        <f t="shared" ref="S29:W29" si="49">S21+S23</f>
        <v>319.47613815177743</v>
      </c>
      <c r="T29" s="1858">
        <f t="shared" si="49"/>
        <v>322.29007507949916</v>
      </c>
      <c r="U29" s="1858">
        <f t="shared" si="49"/>
        <v>328.25965346867611</v>
      </c>
      <c r="V29" s="1858">
        <f t="shared" si="49"/>
        <v>331.06909206169092</v>
      </c>
      <c r="W29" s="1861">
        <f t="shared" si="49"/>
        <v>333.87830746418695</v>
      </c>
      <c r="X29" s="853"/>
      <c r="AH29" s="824"/>
      <c r="AI29" s="824"/>
      <c r="AJ29" s="824"/>
      <c r="AK29" s="824"/>
      <c r="AL29" s="824"/>
      <c r="AM29" s="863" t="s">
        <v>805</v>
      </c>
      <c r="AN29" s="863"/>
      <c r="AO29" s="1857">
        <f t="shared" ref="AO29:BB29" si="50">E30</f>
        <v>-6.3445764339298272E-4</v>
      </c>
      <c r="AP29" s="1857">
        <f t="shared" si="50"/>
        <v>6.5283098635677828E-3</v>
      </c>
      <c r="AQ29" s="1857">
        <f t="shared" si="50"/>
        <v>1.2536098665829387E-2</v>
      </c>
      <c r="AR29" s="1857">
        <f t="shared" si="50"/>
        <v>2.8593370081583469E-2</v>
      </c>
      <c r="AS29" s="1857">
        <f t="shared" si="50"/>
        <v>9.9507894367009797E-2</v>
      </c>
      <c r="AT29" s="1857">
        <f t="shared" si="50"/>
        <v>-5.4634418034297139E-2</v>
      </c>
      <c r="AU29" s="1857">
        <f t="shared" si="50"/>
        <v>2.1863857806906584E-2</v>
      </c>
      <c r="AV29" s="1857">
        <f t="shared" si="50"/>
        <v>1.1105543482880842E-2</v>
      </c>
      <c r="AW29" s="1857">
        <f t="shared" si="50"/>
        <v>4.6026192429889035E-2</v>
      </c>
      <c r="AX29" s="1857">
        <f t="shared" si="50"/>
        <v>-1.1190170104462438E-2</v>
      </c>
      <c r="AY29" s="1857">
        <f t="shared" si="50"/>
        <v>7.322940453866833E-3</v>
      </c>
      <c r="AZ29" s="1857">
        <f t="shared" si="50"/>
        <v>7.3234182300685458E-3</v>
      </c>
      <c r="BA29" s="1857">
        <f t="shared" si="50"/>
        <v>7.323896672188912E-3</v>
      </c>
      <c r="BB29" s="1857">
        <f t="shared" si="50"/>
        <v>-1.1172839277211466E-3</v>
      </c>
      <c r="BC29" s="1857">
        <f t="shared" si="43"/>
        <v>8.8891352920319466E-3</v>
      </c>
      <c r="BD29" s="1857">
        <f t="shared" si="44"/>
        <v>8.8079721509117803E-3</v>
      </c>
      <c r="BE29" s="1857">
        <f t="shared" si="45"/>
        <v>1.852237735743012E-2</v>
      </c>
      <c r="BF29" s="1857">
        <f t="shared" si="46"/>
        <v>8.5585863609123347E-3</v>
      </c>
      <c r="BG29" s="1857">
        <f t="shared" si="47"/>
        <v>8.4852844009146722E-3</v>
      </c>
    </row>
    <row r="30" spans="1:59" s="860" customFormat="1" ht="12.5" thickBot="1" x14ac:dyDescent="0.35">
      <c r="A30" s="73"/>
      <c r="B30" s="878" t="s">
        <v>801</v>
      </c>
      <c r="C30" s="879"/>
      <c r="D30" s="880"/>
      <c r="E30" s="1862">
        <f>IF(E29=0,"-",E29/D29-1)</f>
        <v>-6.3445764339298272E-4</v>
      </c>
      <c r="F30" s="1862">
        <f t="shared" ref="F30:R30" si="51">IF(F29=0,"-",F29/E29-1)</f>
        <v>6.5283098635677828E-3</v>
      </c>
      <c r="G30" s="1862">
        <f t="shared" si="51"/>
        <v>1.2536098665829387E-2</v>
      </c>
      <c r="H30" s="1862">
        <f t="shared" si="51"/>
        <v>2.8593370081583469E-2</v>
      </c>
      <c r="I30" s="1863">
        <f t="shared" si="51"/>
        <v>9.9507894367009797E-2</v>
      </c>
      <c r="J30" s="1862">
        <f t="shared" si="51"/>
        <v>-5.4634418034297139E-2</v>
      </c>
      <c r="K30" s="1862">
        <f t="shared" si="51"/>
        <v>2.1863857806906584E-2</v>
      </c>
      <c r="L30" s="1862">
        <f t="shared" si="51"/>
        <v>1.1105543482880842E-2</v>
      </c>
      <c r="M30" s="1864">
        <f t="shared" si="51"/>
        <v>4.6026192429889035E-2</v>
      </c>
      <c r="N30" s="1862">
        <f t="shared" si="51"/>
        <v>-1.1190170104462438E-2</v>
      </c>
      <c r="O30" s="1862">
        <f t="shared" si="51"/>
        <v>7.322940453866833E-3</v>
      </c>
      <c r="P30" s="1862">
        <f t="shared" si="51"/>
        <v>7.3234182300685458E-3</v>
      </c>
      <c r="Q30" s="1862">
        <f t="shared" si="51"/>
        <v>7.323896672188912E-3</v>
      </c>
      <c r="R30" s="1864">
        <f t="shared" si="51"/>
        <v>-1.1172839277211466E-3</v>
      </c>
      <c r="S30" s="1862">
        <f t="shared" ref="S30" si="52">IF(S29=0,"-",S29/R29-1)</f>
        <v>8.8891352920319466E-3</v>
      </c>
      <c r="T30" s="1862">
        <f t="shared" ref="T30" si="53">IF(T29=0,"-",T29/S29-1)</f>
        <v>8.8079721509117803E-3</v>
      </c>
      <c r="U30" s="1862">
        <f t="shared" ref="U30" si="54">IF(U29=0,"-",U29/T29-1)</f>
        <v>1.852237735743012E-2</v>
      </c>
      <c r="V30" s="1862">
        <f t="shared" ref="V30" si="55">IF(V29=0,"-",V29/U29-1)</f>
        <v>8.5585863609123347E-3</v>
      </c>
      <c r="W30" s="1865">
        <f t="shared" ref="W30" si="56">IF(W29=0,"-",W29/V29-1)</f>
        <v>8.4852844009146722E-3</v>
      </c>
      <c r="X30" s="859"/>
      <c r="AH30" s="861"/>
      <c r="AI30" s="861"/>
      <c r="AJ30" s="861"/>
      <c r="AK30" s="861"/>
      <c r="AL30" s="861"/>
      <c r="AM30" s="863" t="s">
        <v>806</v>
      </c>
      <c r="AN30" s="1857">
        <v>0</v>
      </c>
      <c r="AO30" s="1857">
        <v>0</v>
      </c>
      <c r="AP30" s="1857">
        <v>0</v>
      </c>
      <c r="AQ30" s="1857">
        <v>0</v>
      </c>
      <c r="AR30" s="1857">
        <v>0</v>
      </c>
      <c r="AS30" s="1857">
        <v>0</v>
      </c>
      <c r="AT30" s="1857">
        <v>0</v>
      </c>
      <c r="AU30" s="1857">
        <v>0</v>
      </c>
      <c r="AV30" s="1857">
        <v>0</v>
      </c>
      <c r="AW30" s="1857">
        <v>0</v>
      </c>
      <c r="AX30" s="1857">
        <v>0</v>
      </c>
      <c r="AY30" s="1857">
        <v>0</v>
      </c>
      <c r="AZ30" s="1857">
        <v>0</v>
      </c>
      <c r="BA30" s="1857">
        <v>0</v>
      </c>
      <c r="BB30" s="1857">
        <v>0</v>
      </c>
      <c r="BC30" s="1857">
        <v>0</v>
      </c>
      <c r="BD30" s="1857">
        <v>0</v>
      </c>
      <c r="BE30" s="1857">
        <v>0</v>
      </c>
      <c r="BF30" s="1857">
        <v>0</v>
      </c>
      <c r="BG30" s="1857">
        <v>0</v>
      </c>
    </row>
    <row r="31" spans="1:59" x14ac:dyDescent="0.3">
      <c r="B31" s="841"/>
      <c r="C31" s="827"/>
      <c r="D31" s="842"/>
      <c r="E31" s="842"/>
      <c r="F31" s="842"/>
      <c r="G31" s="842"/>
      <c r="H31" s="842"/>
      <c r="I31" s="843"/>
      <c r="J31" s="844"/>
      <c r="K31" s="844"/>
      <c r="L31" s="845"/>
      <c r="M31" s="846"/>
      <c r="N31" s="847"/>
      <c r="O31" s="847"/>
      <c r="P31" s="847"/>
      <c r="Q31" s="848"/>
      <c r="R31" s="846"/>
      <c r="S31" s="847"/>
      <c r="T31" s="847"/>
      <c r="U31" s="847"/>
      <c r="V31" s="848"/>
      <c r="W31" s="848"/>
    </row>
    <row r="32" spans="1:59" collapsed="1" x14ac:dyDescent="0.3">
      <c r="B32" s="881" t="s">
        <v>807</v>
      </c>
      <c r="C32" s="882"/>
      <c r="D32" s="883"/>
      <c r="E32" s="883"/>
      <c r="F32" s="883"/>
      <c r="G32" s="883"/>
      <c r="H32" s="883"/>
      <c r="I32" s="884"/>
      <c r="J32" s="885"/>
      <c r="K32" s="885"/>
      <c r="L32" s="886"/>
      <c r="M32" s="887"/>
      <c r="N32" s="888"/>
      <c r="O32" s="888"/>
      <c r="P32" s="888"/>
      <c r="Q32" s="889"/>
      <c r="R32" s="887"/>
      <c r="S32" s="888"/>
      <c r="T32" s="888"/>
      <c r="U32" s="888"/>
      <c r="V32" s="889"/>
      <c r="W32" s="889"/>
    </row>
    <row r="33" spans="2:23" hidden="1" outlineLevel="1" x14ac:dyDescent="0.3">
      <c r="B33" s="841"/>
      <c r="C33" s="827"/>
      <c r="D33" s="842"/>
      <c r="E33" s="842"/>
      <c r="F33" s="842"/>
      <c r="G33" s="842"/>
      <c r="H33" s="842"/>
      <c r="I33" s="843"/>
      <c r="J33" s="844"/>
      <c r="K33" s="844"/>
      <c r="L33" s="845"/>
      <c r="M33" s="846"/>
      <c r="N33" s="847"/>
      <c r="O33" s="847"/>
      <c r="P33" s="847"/>
      <c r="Q33" s="848"/>
      <c r="R33" s="846"/>
      <c r="S33" s="847"/>
      <c r="T33" s="847"/>
      <c r="U33" s="847"/>
      <c r="V33" s="848"/>
      <c r="W33" s="848"/>
    </row>
    <row r="34" spans="2:23" hidden="1" outlineLevel="1" x14ac:dyDescent="0.3">
      <c r="B34" s="890" t="s">
        <v>808</v>
      </c>
      <c r="C34" s="891"/>
      <c r="D34" s="892"/>
      <c r="E34" s="892"/>
      <c r="F34" s="892"/>
      <c r="G34" s="892"/>
      <c r="H34" s="892"/>
      <c r="I34" s="893"/>
      <c r="J34" s="894"/>
      <c r="K34" s="894"/>
      <c r="L34" s="895"/>
      <c r="M34" s="896"/>
      <c r="N34" s="897"/>
      <c r="O34" s="897"/>
      <c r="P34" s="897"/>
      <c r="Q34" s="898"/>
      <c r="R34" s="896"/>
      <c r="S34" s="897"/>
      <c r="T34" s="897"/>
      <c r="U34" s="897"/>
      <c r="V34" s="898"/>
      <c r="W34" s="898"/>
    </row>
    <row r="35" spans="2:23" hidden="1" outlineLevel="1" x14ac:dyDescent="0.3">
      <c r="B35" s="841" t="str">
        <f t="shared" ref="B35:B40" si="57">B13</f>
        <v>Supply charge Water (annual)</v>
      </c>
      <c r="C35" s="827"/>
      <c r="D35" s="1866">
        <v>0</v>
      </c>
      <c r="E35" s="1866">
        <v>0.7</v>
      </c>
      <c r="F35" s="1866">
        <v>0.7</v>
      </c>
      <c r="G35" s="1866">
        <v>0.7</v>
      </c>
      <c r="H35" s="1866">
        <v>0.7</v>
      </c>
      <c r="I35" s="828"/>
      <c r="J35" s="829"/>
      <c r="K35" s="829"/>
      <c r="L35" s="830"/>
      <c r="M35" s="831"/>
      <c r="N35" s="832"/>
      <c r="O35" s="832"/>
      <c r="P35" s="832"/>
      <c r="Q35" s="833"/>
      <c r="R35" s="831"/>
      <c r="S35" s="832"/>
      <c r="T35" s="832"/>
      <c r="U35" s="832"/>
      <c r="V35" s="833"/>
      <c r="W35" s="833"/>
    </row>
    <row r="36" spans="2:23" hidden="1" outlineLevel="1" x14ac:dyDescent="0.3">
      <c r="B36" s="841" t="str">
        <f t="shared" si="57"/>
        <v>Tier 1</v>
      </c>
      <c r="C36" s="827"/>
      <c r="D36" s="1867">
        <v>0</v>
      </c>
      <c r="E36" s="1867">
        <v>0</v>
      </c>
      <c r="F36" s="1867">
        <v>0</v>
      </c>
      <c r="G36" s="1867">
        <v>0</v>
      </c>
      <c r="H36" s="1867">
        <v>0</v>
      </c>
      <c r="I36" s="834"/>
      <c r="J36" s="835"/>
      <c r="K36" s="835"/>
      <c r="L36" s="836"/>
      <c r="M36" s="837"/>
      <c r="N36" s="838"/>
      <c r="O36" s="838"/>
      <c r="P36" s="838"/>
      <c r="Q36" s="839"/>
      <c r="R36" s="837"/>
      <c r="S36" s="838"/>
      <c r="T36" s="838"/>
      <c r="U36" s="838"/>
      <c r="V36" s="839"/>
      <c r="W36" s="839"/>
    </row>
    <row r="37" spans="2:23" hidden="1" outlineLevel="1" x14ac:dyDescent="0.3">
      <c r="B37" s="841" t="str">
        <f t="shared" si="57"/>
        <v>Tier 2</v>
      </c>
      <c r="C37" s="827"/>
      <c r="D37" s="1867">
        <v>0</v>
      </c>
      <c r="E37" s="1867">
        <v>0</v>
      </c>
      <c r="F37" s="1867">
        <v>0</v>
      </c>
      <c r="G37" s="1867">
        <v>0</v>
      </c>
      <c r="H37" s="1867">
        <v>0</v>
      </c>
      <c r="I37" s="834"/>
      <c r="J37" s="835"/>
      <c r="K37" s="835"/>
      <c r="L37" s="836"/>
      <c r="M37" s="837"/>
      <c r="N37" s="838"/>
      <c r="O37" s="838"/>
      <c r="P37" s="838"/>
      <c r="Q37" s="839"/>
      <c r="R37" s="837"/>
      <c r="S37" s="838"/>
      <c r="T37" s="838"/>
      <c r="U37" s="838"/>
      <c r="V37" s="839"/>
      <c r="W37" s="839"/>
    </row>
    <row r="38" spans="2:23" hidden="1" outlineLevel="1" x14ac:dyDescent="0.3">
      <c r="B38" s="841" t="str">
        <f t="shared" si="57"/>
        <v>Tier 3</v>
      </c>
      <c r="C38" s="827"/>
      <c r="D38" s="1867">
        <v>0</v>
      </c>
      <c r="E38" s="1867">
        <v>0</v>
      </c>
      <c r="F38" s="1867">
        <v>0</v>
      </c>
      <c r="G38" s="1867">
        <v>0</v>
      </c>
      <c r="H38" s="1867">
        <v>0</v>
      </c>
      <c r="I38" s="834"/>
      <c r="J38" s="835"/>
      <c r="K38" s="835"/>
      <c r="L38" s="836"/>
      <c r="M38" s="837"/>
      <c r="N38" s="838"/>
      <c r="O38" s="838"/>
      <c r="P38" s="838"/>
      <c r="Q38" s="839"/>
      <c r="R38" s="837"/>
      <c r="S38" s="838"/>
      <c r="T38" s="838"/>
      <c r="U38" s="838"/>
      <c r="V38" s="839"/>
      <c r="W38" s="839"/>
    </row>
    <row r="39" spans="2:23" hidden="1" outlineLevel="1" x14ac:dyDescent="0.3">
      <c r="B39" s="841" t="str">
        <f t="shared" si="57"/>
        <v>Supply charge Wastewater (annual)</v>
      </c>
      <c r="C39" s="827"/>
      <c r="D39" s="1866">
        <v>0</v>
      </c>
      <c r="E39" s="1866">
        <v>0</v>
      </c>
      <c r="F39" s="1866">
        <v>0</v>
      </c>
      <c r="G39" s="1866">
        <v>0</v>
      </c>
      <c r="H39" s="1866">
        <v>0</v>
      </c>
      <c r="I39" s="828"/>
      <c r="J39" s="829"/>
      <c r="K39" s="829"/>
      <c r="L39" s="830"/>
      <c r="M39" s="831"/>
      <c r="N39" s="832"/>
      <c r="O39" s="832"/>
      <c r="P39" s="832"/>
      <c r="Q39" s="833"/>
      <c r="R39" s="831"/>
      <c r="S39" s="832"/>
      <c r="T39" s="832"/>
      <c r="U39" s="832"/>
      <c r="V39" s="833"/>
      <c r="W39" s="833"/>
    </row>
    <row r="40" spans="2:23" hidden="1" outlineLevel="1" x14ac:dyDescent="0.3">
      <c r="B40" s="841" t="str">
        <f t="shared" si="57"/>
        <v>Volumetric wastewater</v>
      </c>
      <c r="C40" s="827"/>
      <c r="D40" s="1867">
        <v>0</v>
      </c>
      <c r="E40" s="1867">
        <v>0</v>
      </c>
      <c r="F40" s="1867">
        <v>0</v>
      </c>
      <c r="G40" s="1867">
        <v>0</v>
      </c>
      <c r="H40" s="1867">
        <v>0</v>
      </c>
      <c r="I40" s="834"/>
      <c r="J40" s="835"/>
      <c r="K40" s="835"/>
      <c r="L40" s="836"/>
      <c r="M40" s="837"/>
      <c r="N40" s="838"/>
      <c r="O40" s="838"/>
      <c r="P40" s="838"/>
      <c r="Q40" s="839"/>
      <c r="R40" s="837"/>
      <c r="S40" s="838"/>
      <c r="T40" s="838"/>
      <c r="U40" s="838"/>
      <c r="V40" s="839"/>
      <c r="W40" s="839"/>
    </row>
    <row r="41" spans="2:23" hidden="1" outlineLevel="1" x14ac:dyDescent="0.3">
      <c r="B41" s="841"/>
      <c r="C41" s="827"/>
      <c r="D41" s="842"/>
      <c r="E41" s="842"/>
      <c r="F41" s="842"/>
      <c r="G41" s="842"/>
      <c r="H41" s="842"/>
      <c r="I41" s="843"/>
      <c r="J41" s="844"/>
      <c r="K41" s="844"/>
      <c r="L41" s="845"/>
      <c r="M41" s="846"/>
      <c r="N41" s="847"/>
      <c r="O41" s="847"/>
      <c r="P41" s="847"/>
      <c r="Q41" s="848"/>
      <c r="R41" s="846"/>
      <c r="S41" s="847"/>
      <c r="T41" s="847"/>
      <c r="U41" s="847"/>
      <c r="V41" s="848"/>
      <c r="W41" s="848"/>
    </row>
    <row r="42" spans="2:23" hidden="1" outlineLevel="1" x14ac:dyDescent="0.3">
      <c r="B42" s="890" t="s">
        <v>809</v>
      </c>
      <c r="C42" s="891"/>
      <c r="D42" s="892"/>
      <c r="E42" s="892"/>
      <c r="F42" s="892"/>
      <c r="G42" s="892"/>
      <c r="H42" s="892"/>
      <c r="I42" s="893"/>
      <c r="J42" s="894"/>
      <c r="K42" s="894"/>
      <c r="L42" s="895"/>
      <c r="M42" s="896"/>
      <c r="N42" s="897"/>
      <c r="O42" s="897"/>
      <c r="P42" s="897"/>
      <c r="Q42" s="898"/>
      <c r="R42" s="896"/>
      <c r="S42" s="897"/>
      <c r="T42" s="897"/>
      <c r="U42" s="897"/>
      <c r="V42" s="898"/>
      <c r="W42" s="898"/>
    </row>
    <row r="43" spans="2:23" hidden="1" outlineLevel="1" x14ac:dyDescent="0.3">
      <c r="B43" s="841" t="str">
        <f t="shared" ref="B43:B48" si="58">B35</f>
        <v>Supply charge Water (annual)</v>
      </c>
      <c r="C43" s="827"/>
      <c r="D43" s="1866">
        <v>0</v>
      </c>
      <c r="E43" s="1866">
        <v>55.429999999999993</v>
      </c>
      <c r="F43" s="1866">
        <v>59.468000000000018</v>
      </c>
      <c r="G43" s="1866">
        <v>62.81</v>
      </c>
      <c r="H43" s="1866">
        <v>68.3</v>
      </c>
      <c r="I43" s="828"/>
      <c r="J43" s="829"/>
      <c r="K43" s="829"/>
      <c r="L43" s="830"/>
      <c r="M43" s="831"/>
      <c r="N43" s="832"/>
      <c r="O43" s="832"/>
      <c r="P43" s="832"/>
      <c r="Q43" s="833"/>
      <c r="R43" s="831"/>
      <c r="S43" s="832"/>
      <c r="T43" s="832"/>
      <c r="U43" s="832"/>
      <c r="V43" s="833"/>
      <c r="W43" s="833"/>
    </row>
    <row r="44" spans="2:23" hidden="1" outlineLevel="1" x14ac:dyDescent="0.3">
      <c r="B44" s="841" t="str">
        <f t="shared" si="58"/>
        <v>Tier 1</v>
      </c>
      <c r="C44" s="827"/>
      <c r="D44" s="1867">
        <v>0</v>
      </c>
      <c r="E44" s="1867">
        <v>0</v>
      </c>
      <c r="F44" s="1867">
        <v>0</v>
      </c>
      <c r="G44" s="1867">
        <v>0</v>
      </c>
      <c r="H44" s="1867">
        <v>0</v>
      </c>
      <c r="I44" s="834"/>
      <c r="J44" s="835"/>
      <c r="K44" s="835"/>
      <c r="L44" s="836"/>
      <c r="M44" s="837"/>
      <c r="N44" s="838"/>
      <c r="O44" s="838"/>
      <c r="P44" s="838"/>
      <c r="Q44" s="839"/>
      <c r="R44" s="837"/>
      <c r="S44" s="838"/>
      <c r="T44" s="838"/>
      <c r="U44" s="838"/>
      <c r="V44" s="839"/>
      <c r="W44" s="839"/>
    </row>
    <row r="45" spans="2:23" hidden="1" outlineLevel="1" x14ac:dyDescent="0.3">
      <c r="B45" s="841" t="str">
        <f t="shared" si="58"/>
        <v>Tier 2</v>
      </c>
      <c r="C45" s="827"/>
      <c r="D45" s="1867">
        <v>0</v>
      </c>
      <c r="E45" s="1867">
        <v>0</v>
      </c>
      <c r="F45" s="1867">
        <v>0</v>
      </c>
      <c r="G45" s="1867">
        <v>0</v>
      </c>
      <c r="H45" s="1867">
        <v>0</v>
      </c>
      <c r="I45" s="834"/>
      <c r="J45" s="835"/>
      <c r="K45" s="835"/>
      <c r="L45" s="836"/>
      <c r="M45" s="837"/>
      <c r="N45" s="838"/>
      <c r="O45" s="838"/>
      <c r="P45" s="838"/>
      <c r="Q45" s="839"/>
      <c r="R45" s="837"/>
      <c r="S45" s="838"/>
      <c r="T45" s="838"/>
      <c r="U45" s="838"/>
      <c r="V45" s="839"/>
      <c r="W45" s="839"/>
    </row>
    <row r="46" spans="2:23" hidden="1" outlineLevel="1" x14ac:dyDescent="0.3">
      <c r="B46" s="841" t="str">
        <f t="shared" si="58"/>
        <v>Tier 3</v>
      </c>
      <c r="C46" s="827"/>
      <c r="D46" s="1867">
        <v>0</v>
      </c>
      <c r="E46" s="1867">
        <v>0</v>
      </c>
      <c r="F46" s="1867">
        <v>0</v>
      </c>
      <c r="G46" s="1867">
        <v>0</v>
      </c>
      <c r="H46" s="1867">
        <v>0</v>
      </c>
      <c r="I46" s="834"/>
      <c r="J46" s="835"/>
      <c r="K46" s="835"/>
      <c r="L46" s="836"/>
      <c r="M46" s="837"/>
      <c r="N46" s="838"/>
      <c r="O46" s="838"/>
      <c r="P46" s="838"/>
      <c r="Q46" s="839"/>
      <c r="R46" s="837"/>
      <c r="S46" s="838"/>
      <c r="T46" s="838"/>
      <c r="U46" s="838"/>
      <c r="V46" s="839"/>
      <c r="W46" s="839"/>
    </row>
    <row r="47" spans="2:23" hidden="1" outlineLevel="1" x14ac:dyDescent="0.3">
      <c r="B47" s="841" t="str">
        <f t="shared" si="58"/>
        <v>Supply charge Wastewater (annual)</v>
      </c>
      <c r="C47" s="827"/>
      <c r="D47" s="1866">
        <v>0</v>
      </c>
      <c r="E47" s="1866">
        <v>0</v>
      </c>
      <c r="F47" s="1866">
        <v>0</v>
      </c>
      <c r="G47" s="1866">
        <v>0</v>
      </c>
      <c r="H47" s="1866">
        <v>0</v>
      </c>
      <c r="I47" s="828"/>
      <c r="J47" s="829"/>
      <c r="K47" s="829"/>
      <c r="L47" s="830"/>
      <c r="M47" s="831"/>
      <c r="N47" s="832"/>
      <c r="O47" s="832"/>
      <c r="P47" s="832"/>
      <c r="Q47" s="833"/>
      <c r="R47" s="831"/>
      <c r="S47" s="832"/>
      <c r="T47" s="832"/>
      <c r="U47" s="832"/>
      <c r="V47" s="833"/>
      <c r="W47" s="833"/>
    </row>
    <row r="48" spans="2:23" hidden="1" outlineLevel="1" x14ac:dyDescent="0.3">
      <c r="B48" s="841" t="str">
        <f t="shared" si="58"/>
        <v>Volumetric wastewater</v>
      </c>
      <c r="C48" s="827"/>
      <c r="D48" s="1867">
        <v>0</v>
      </c>
      <c r="E48" s="1867">
        <v>0</v>
      </c>
      <c r="F48" s="1867">
        <v>0</v>
      </c>
      <c r="G48" s="1867">
        <v>0</v>
      </c>
      <c r="H48" s="1867">
        <v>0</v>
      </c>
      <c r="I48" s="834"/>
      <c r="J48" s="835"/>
      <c r="K48" s="835"/>
      <c r="L48" s="836"/>
      <c r="M48" s="837"/>
      <c r="N48" s="838"/>
      <c r="O48" s="838"/>
      <c r="P48" s="838"/>
      <c r="Q48" s="839"/>
      <c r="R48" s="837"/>
      <c r="S48" s="838"/>
      <c r="T48" s="838"/>
      <c r="U48" s="838"/>
      <c r="V48" s="839"/>
      <c r="W48" s="839"/>
    </row>
    <row r="49" spans="2:23" hidden="1" outlineLevel="1" x14ac:dyDescent="0.3">
      <c r="B49" s="841"/>
      <c r="C49" s="827"/>
      <c r="D49" s="842"/>
      <c r="E49" s="842"/>
      <c r="F49" s="842"/>
      <c r="G49" s="842"/>
      <c r="H49" s="842"/>
      <c r="I49" s="843"/>
      <c r="J49" s="844"/>
      <c r="K49" s="844"/>
      <c r="L49" s="845"/>
      <c r="M49" s="846"/>
      <c r="N49" s="847"/>
      <c r="O49" s="847"/>
      <c r="P49" s="847"/>
      <c r="Q49" s="848"/>
      <c r="R49" s="846"/>
      <c r="S49" s="847"/>
      <c r="T49" s="847"/>
      <c r="U49" s="847"/>
      <c r="V49" s="848"/>
      <c r="W49" s="848"/>
    </row>
    <row r="50" spans="2:23" hidden="1" outlineLevel="1" x14ac:dyDescent="0.3">
      <c r="B50" s="890" t="s">
        <v>810</v>
      </c>
      <c r="C50" s="891"/>
      <c r="D50" s="892"/>
      <c r="E50" s="892"/>
      <c r="F50" s="892"/>
      <c r="G50" s="892"/>
      <c r="H50" s="892"/>
      <c r="I50" s="893"/>
      <c r="J50" s="894"/>
      <c r="K50" s="894"/>
      <c r="L50" s="895"/>
      <c r="M50" s="896"/>
      <c r="N50" s="897"/>
      <c r="O50" s="897"/>
      <c r="P50" s="897"/>
      <c r="Q50" s="898"/>
      <c r="R50" s="896"/>
      <c r="S50" s="897"/>
      <c r="T50" s="897"/>
      <c r="U50" s="897"/>
      <c r="V50" s="898"/>
      <c r="W50" s="898"/>
    </row>
    <row r="51" spans="2:23" hidden="1" outlineLevel="1" x14ac:dyDescent="0.3">
      <c r="B51" s="841" t="str">
        <f t="shared" ref="B51:B56" si="59">B43</f>
        <v>Supply charge Water (annual)</v>
      </c>
      <c r="C51" s="827"/>
      <c r="D51" s="1866">
        <v>0</v>
      </c>
      <c r="E51" s="1866">
        <v>0</v>
      </c>
      <c r="F51" s="1866">
        <v>0</v>
      </c>
      <c r="G51" s="1866">
        <v>0</v>
      </c>
      <c r="H51" s="1866">
        <v>0</v>
      </c>
      <c r="I51" s="828"/>
      <c r="J51" s="829"/>
      <c r="K51" s="829"/>
      <c r="L51" s="830"/>
      <c r="M51" s="831"/>
      <c r="N51" s="832"/>
      <c r="O51" s="832"/>
      <c r="P51" s="832"/>
      <c r="Q51" s="833"/>
      <c r="R51" s="831"/>
      <c r="S51" s="832"/>
      <c r="T51" s="832"/>
      <c r="U51" s="832"/>
      <c r="V51" s="833"/>
      <c r="W51" s="833"/>
    </row>
    <row r="52" spans="2:23" hidden="1" outlineLevel="1" x14ac:dyDescent="0.3">
      <c r="B52" s="841" t="str">
        <f t="shared" si="59"/>
        <v>Tier 1</v>
      </c>
      <c r="C52" s="827"/>
      <c r="D52" s="1867">
        <v>0</v>
      </c>
      <c r="E52" s="1867">
        <v>0</v>
      </c>
      <c r="F52" s="1867">
        <v>0</v>
      </c>
      <c r="G52" s="1867">
        <v>0</v>
      </c>
      <c r="H52" s="1867">
        <v>0</v>
      </c>
      <c r="I52" s="834"/>
      <c r="J52" s="835"/>
      <c r="K52" s="835"/>
      <c r="L52" s="836"/>
      <c r="M52" s="837"/>
      <c r="N52" s="838"/>
      <c r="O52" s="838"/>
      <c r="P52" s="838"/>
      <c r="Q52" s="839"/>
      <c r="R52" s="837"/>
      <c r="S52" s="838"/>
      <c r="T52" s="838"/>
      <c r="U52" s="838"/>
      <c r="V52" s="839"/>
      <c r="W52" s="839"/>
    </row>
    <row r="53" spans="2:23" hidden="1" outlineLevel="1" x14ac:dyDescent="0.3">
      <c r="B53" s="841" t="str">
        <f t="shared" si="59"/>
        <v>Tier 2</v>
      </c>
      <c r="C53" s="827"/>
      <c r="D53" s="1867">
        <v>0</v>
      </c>
      <c r="E53" s="1867">
        <v>0</v>
      </c>
      <c r="F53" s="1867">
        <v>0</v>
      </c>
      <c r="G53" s="1867">
        <v>0</v>
      </c>
      <c r="H53" s="1867">
        <v>0</v>
      </c>
      <c r="I53" s="834"/>
      <c r="J53" s="835"/>
      <c r="K53" s="835"/>
      <c r="L53" s="836"/>
      <c r="M53" s="837"/>
      <c r="N53" s="838"/>
      <c r="O53" s="838"/>
      <c r="P53" s="838"/>
      <c r="Q53" s="839"/>
      <c r="R53" s="837"/>
      <c r="S53" s="838"/>
      <c r="T53" s="838"/>
      <c r="U53" s="838"/>
      <c r="V53" s="839"/>
      <c r="W53" s="839"/>
    </row>
    <row r="54" spans="2:23" hidden="1" outlineLevel="1" x14ac:dyDescent="0.3">
      <c r="B54" s="841" t="str">
        <f t="shared" si="59"/>
        <v>Tier 3</v>
      </c>
      <c r="C54" s="827"/>
      <c r="D54" s="1867">
        <v>0</v>
      </c>
      <c r="E54" s="1867">
        <v>0</v>
      </c>
      <c r="F54" s="1867">
        <v>0</v>
      </c>
      <c r="G54" s="1867">
        <v>0</v>
      </c>
      <c r="H54" s="1867">
        <v>0</v>
      </c>
      <c r="I54" s="834"/>
      <c r="J54" s="835"/>
      <c r="K54" s="835"/>
      <c r="L54" s="836"/>
      <c r="M54" s="837"/>
      <c r="N54" s="838"/>
      <c r="O54" s="838"/>
      <c r="P54" s="838"/>
      <c r="Q54" s="839"/>
      <c r="R54" s="837"/>
      <c r="S54" s="838"/>
      <c r="T54" s="838"/>
      <c r="U54" s="838"/>
      <c r="V54" s="839"/>
      <c r="W54" s="839"/>
    </row>
    <row r="55" spans="2:23" hidden="1" outlineLevel="1" x14ac:dyDescent="0.3">
      <c r="B55" s="841" t="str">
        <f t="shared" si="59"/>
        <v>Supply charge Wastewater (annual)</v>
      </c>
      <c r="C55" s="827"/>
      <c r="D55" s="1866">
        <v>0</v>
      </c>
      <c r="E55" s="1866">
        <v>0</v>
      </c>
      <c r="F55" s="1866">
        <v>0</v>
      </c>
      <c r="G55" s="1866">
        <v>0</v>
      </c>
      <c r="H55" s="1866">
        <v>0</v>
      </c>
      <c r="I55" s="828"/>
      <c r="J55" s="829"/>
      <c r="K55" s="829"/>
      <c r="L55" s="830"/>
      <c r="M55" s="831"/>
      <c r="N55" s="832"/>
      <c r="O55" s="832"/>
      <c r="P55" s="832"/>
      <c r="Q55" s="833"/>
      <c r="R55" s="831"/>
      <c r="S55" s="832"/>
      <c r="T55" s="832"/>
      <c r="U55" s="832"/>
      <c r="V55" s="833"/>
      <c r="W55" s="833"/>
    </row>
    <row r="56" spans="2:23" hidden="1" outlineLevel="1" x14ac:dyDescent="0.3">
      <c r="B56" s="841" t="str">
        <f t="shared" si="59"/>
        <v>Volumetric wastewater</v>
      </c>
      <c r="C56" s="827"/>
      <c r="D56" s="1867">
        <v>0</v>
      </c>
      <c r="E56" s="1867">
        <v>0</v>
      </c>
      <c r="F56" s="1867">
        <v>0</v>
      </c>
      <c r="G56" s="1867">
        <v>0</v>
      </c>
      <c r="H56" s="1867">
        <v>0</v>
      </c>
      <c r="I56" s="834"/>
      <c r="J56" s="835"/>
      <c r="K56" s="835"/>
      <c r="L56" s="836"/>
      <c r="M56" s="837"/>
      <c r="N56" s="838"/>
      <c r="O56" s="838"/>
      <c r="P56" s="838"/>
      <c r="Q56" s="839"/>
      <c r="R56" s="837"/>
      <c r="S56" s="838"/>
      <c r="T56" s="838"/>
      <c r="U56" s="838"/>
      <c r="V56" s="839"/>
      <c r="W56" s="839"/>
    </row>
    <row r="57" spans="2:23" hidden="1" outlineLevel="1" x14ac:dyDescent="0.3">
      <c r="B57" s="841"/>
      <c r="C57" s="827"/>
      <c r="D57" s="842"/>
      <c r="E57" s="842"/>
      <c r="F57" s="842"/>
      <c r="G57" s="842"/>
      <c r="H57" s="842"/>
      <c r="I57" s="843"/>
      <c r="J57" s="844"/>
      <c r="K57" s="844"/>
      <c r="L57" s="845"/>
      <c r="M57" s="846"/>
      <c r="N57" s="847"/>
      <c r="O57" s="847"/>
      <c r="P57" s="847"/>
      <c r="Q57" s="848"/>
      <c r="R57" s="846"/>
      <c r="S57" s="847"/>
      <c r="T57" s="847"/>
      <c r="U57" s="847"/>
      <c r="V57" s="848"/>
      <c r="W57" s="848"/>
    </row>
    <row r="58" spans="2:23" hidden="1" outlineLevel="1" x14ac:dyDescent="0.3">
      <c r="B58" s="820" t="s">
        <v>788</v>
      </c>
      <c r="C58" s="827"/>
      <c r="D58" s="899">
        <f>D13-D35-D43-D51</f>
        <v>244.79</v>
      </c>
      <c r="E58" s="899">
        <f t="shared" ref="E58:R58" si="60">E13-E35-E43-E51</f>
        <v>195.83000000000004</v>
      </c>
      <c r="F58" s="899">
        <f>F13-F35-F43-F51</f>
        <v>195.13200000000001</v>
      </c>
      <c r="G58" s="899">
        <f t="shared" si="60"/>
        <v>195.13</v>
      </c>
      <c r="H58" s="899">
        <f t="shared" si="60"/>
        <v>195.13</v>
      </c>
      <c r="I58" s="900">
        <f t="shared" si="60"/>
        <v>198.83</v>
      </c>
      <c r="J58" s="901">
        <f t="shared" si="60"/>
        <v>194.81</v>
      </c>
      <c r="K58" s="901">
        <f t="shared" si="60"/>
        <v>186.31</v>
      </c>
      <c r="L58" s="902">
        <f t="shared" si="60"/>
        <v>208.17</v>
      </c>
      <c r="M58" s="903">
        <f t="shared" si="60"/>
        <v>218.76</v>
      </c>
      <c r="N58" s="904">
        <f t="shared" si="60"/>
        <v>218.76</v>
      </c>
      <c r="O58" s="904">
        <f t="shared" si="60"/>
        <v>220.94759999999999</v>
      </c>
      <c r="P58" s="904">
        <f t="shared" si="60"/>
        <v>223.15707599999999</v>
      </c>
      <c r="Q58" s="905">
        <f t="shared" si="60"/>
        <v>225.38864676</v>
      </c>
      <c r="R58" s="903">
        <f t="shared" si="60"/>
        <v>227.64253322760001</v>
      </c>
      <c r="S58" s="904">
        <f t="shared" ref="S58:W58" si="61">S13-S35-S43-S51</f>
        <v>229.91895855987602</v>
      </c>
      <c r="T58" s="904">
        <f t="shared" si="61"/>
        <v>232.21814814547477</v>
      </c>
      <c r="U58" s="904">
        <f t="shared" si="61"/>
        <v>234.54032962692952</v>
      </c>
      <c r="V58" s="905">
        <f t="shared" si="61"/>
        <v>236.88573292319882</v>
      </c>
      <c r="W58" s="905">
        <f t="shared" si="61"/>
        <v>239.2545902524308</v>
      </c>
    </row>
    <row r="59" spans="2:23" hidden="1" outlineLevel="1" x14ac:dyDescent="0.3">
      <c r="B59" s="820" t="s">
        <v>789</v>
      </c>
      <c r="C59" s="827"/>
      <c r="D59" s="906">
        <f t="shared" ref="D59:R63" si="62">D14-D36-D44-D52</f>
        <v>1.7242999999999999</v>
      </c>
      <c r="E59" s="906">
        <f t="shared" si="62"/>
        <v>1.7747999999999999</v>
      </c>
      <c r="F59" s="906">
        <f t="shared" si="62"/>
        <v>1.7983</v>
      </c>
      <c r="G59" s="906">
        <f t="shared" si="62"/>
        <v>1.8218000000000001</v>
      </c>
      <c r="H59" s="906">
        <f t="shared" si="62"/>
        <v>1.8605</v>
      </c>
      <c r="I59" s="907">
        <f t="shared" si="62"/>
        <v>1.8957999999999999</v>
      </c>
      <c r="J59" s="908">
        <f t="shared" si="62"/>
        <v>1.921</v>
      </c>
      <c r="K59" s="908">
        <f t="shared" si="62"/>
        <v>1.9630000000000001</v>
      </c>
      <c r="L59" s="909">
        <f t="shared" si="62"/>
        <v>1.9847999999999999</v>
      </c>
      <c r="M59" s="910">
        <f t="shared" si="62"/>
        <v>2.0857999999999999</v>
      </c>
      <c r="N59" s="911">
        <f t="shared" si="62"/>
        <v>2.0857999999999999</v>
      </c>
      <c r="O59" s="911">
        <f t="shared" si="62"/>
        <v>2.1066579999999999</v>
      </c>
      <c r="P59" s="911">
        <f t="shared" si="62"/>
        <v>2.1277245799999998</v>
      </c>
      <c r="Q59" s="912">
        <f t="shared" si="62"/>
        <v>2.1490018257999997</v>
      </c>
      <c r="R59" s="910">
        <f t="shared" si="62"/>
        <v>2.1704918440579997</v>
      </c>
      <c r="S59" s="911">
        <f t="shared" ref="S59:W59" si="63">S14-S36-S44-S52</f>
        <v>2.1921967624985799</v>
      </c>
      <c r="T59" s="911">
        <f t="shared" si="63"/>
        <v>2.2141187301235656</v>
      </c>
      <c r="U59" s="911">
        <f t="shared" si="63"/>
        <v>2.2362599174248015</v>
      </c>
      <c r="V59" s="912">
        <f t="shared" si="63"/>
        <v>2.2586225165990497</v>
      </c>
      <c r="W59" s="912">
        <f t="shared" si="63"/>
        <v>2.2812087417650404</v>
      </c>
    </row>
    <row r="60" spans="2:23" hidden="1" outlineLevel="1" x14ac:dyDescent="0.3">
      <c r="B60" s="820" t="s">
        <v>790</v>
      </c>
      <c r="C60" s="827"/>
      <c r="D60" s="906">
        <f t="shared" si="62"/>
        <v>2.0691999999999999</v>
      </c>
      <c r="E60" s="906">
        <f t="shared" si="62"/>
        <v>2.1297999999999999</v>
      </c>
      <c r="F60" s="906">
        <f t="shared" si="62"/>
        <v>2.1579999999999999</v>
      </c>
      <c r="G60" s="906">
        <f t="shared" si="62"/>
        <v>2.1861999999999999</v>
      </c>
      <c r="H60" s="906">
        <f t="shared" si="62"/>
        <v>2.2326000000000001</v>
      </c>
      <c r="I60" s="907">
        <f t="shared" si="62"/>
        <v>2.2749999999999999</v>
      </c>
      <c r="J60" s="908">
        <f t="shared" si="62"/>
        <v>2.3052999999999999</v>
      </c>
      <c r="K60" s="908">
        <f t="shared" si="62"/>
        <v>2.3557999999999999</v>
      </c>
      <c r="L60" s="909">
        <f t="shared" si="62"/>
        <v>2.3820000000000001</v>
      </c>
      <c r="M60" s="910">
        <f t="shared" si="62"/>
        <v>2.5032000000000001</v>
      </c>
      <c r="N60" s="911">
        <f t="shared" si="62"/>
        <v>2.5032000000000001</v>
      </c>
      <c r="O60" s="911">
        <f t="shared" si="62"/>
        <v>2.528232</v>
      </c>
      <c r="P60" s="911">
        <f t="shared" si="62"/>
        <v>2.5535143200000001</v>
      </c>
      <c r="Q60" s="912">
        <f t="shared" si="62"/>
        <v>2.5790494632000001</v>
      </c>
      <c r="R60" s="910">
        <f t="shared" si="62"/>
        <v>2.6048399578320001</v>
      </c>
      <c r="S60" s="911">
        <f t="shared" ref="S60:W60" si="64">S15-S37-S45-S53</f>
        <v>2.6308883574103201</v>
      </c>
      <c r="T60" s="911">
        <f t="shared" si="64"/>
        <v>2.6571972409844236</v>
      </c>
      <c r="U60" s="911">
        <f t="shared" si="64"/>
        <v>2.6837692133942679</v>
      </c>
      <c r="V60" s="912">
        <f t="shared" si="64"/>
        <v>2.7106069055282105</v>
      </c>
      <c r="W60" s="912">
        <f t="shared" si="64"/>
        <v>2.7377129745834927</v>
      </c>
    </row>
    <row r="61" spans="2:23" hidden="1" outlineLevel="1" x14ac:dyDescent="0.3">
      <c r="B61" s="820" t="s">
        <v>791</v>
      </c>
      <c r="C61" s="827"/>
      <c r="D61" s="906">
        <f t="shared" si="62"/>
        <v>0</v>
      </c>
      <c r="E61" s="906">
        <f t="shared" si="62"/>
        <v>0</v>
      </c>
      <c r="F61" s="906">
        <f t="shared" si="62"/>
        <v>0</v>
      </c>
      <c r="G61" s="906">
        <f t="shared" si="62"/>
        <v>0</v>
      </c>
      <c r="H61" s="906">
        <f t="shared" si="62"/>
        <v>0</v>
      </c>
      <c r="I61" s="907">
        <f t="shared" si="62"/>
        <v>0</v>
      </c>
      <c r="J61" s="908">
        <f t="shared" si="62"/>
        <v>0</v>
      </c>
      <c r="K61" s="908">
        <f t="shared" si="62"/>
        <v>0</v>
      </c>
      <c r="L61" s="909">
        <f t="shared" si="62"/>
        <v>0</v>
      </c>
      <c r="M61" s="910">
        <f t="shared" si="62"/>
        <v>0</v>
      </c>
      <c r="N61" s="911">
        <f t="shared" si="62"/>
        <v>0</v>
      </c>
      <c r="O61" s="911">
        <f t="shared" si="62"/>
        <v>0</v>
      </c>
      <c r="P61" s="911">
        <f t="shared" si="62"/>
        <v>0</v>
      </c>
      <c r="Q61" s="912">
        <f t="shared" si="62"/>
        <v>0</v>
      </c>
      <c r="R61" s="910">
        <f t="shared" si="62"/>
        <v>0</v>
      </c>
      <c r="S61" s="911">
        <f t="shared" ref="S61:W61" si="65">S16-S38-S46-S54</f>
        <v>0</v>
      </c>
      <c r="T61" s="911">
        <f t="shared" si="65"/>
        <v>0</v>
      </c>
      <c r="U61" s="911">
        <f t="shared" si="65"/>
        <v>0</v>
      </c>
      <c r="V61" s="912">
        <f t="shared" si="65"/>
        <v>0</v>
      </c>
      <c r="W61" s="912">
        <f t="shared" si="65"/>
        <v>0</v>
      </c>
    </row>
    <row r="62" spans="2:23" hidden="1" outlineLevel="1" x14ac:dyDescent="0.3">
      <c r="B62" s="820" t="s">
        <v>792</v>
      </c>
      <c r="C62" s="827"/>
      <c r="D62" s="899">
        <f t="shared" si="62"/>
        <v>700.97</v>
      </c>
      <c r="E62" s="899">
        <f t="shared" si="62"/>
        <v>721.5</v>
      </c>
      <c r="F62" s="899">
        <f t="shared" si="62"/>
        <v>731.08</v>
      </c>
      <c r="G62" s="899">
        <f t="shared" si="62"/>
        <v>740.66</v>
      </c>
      <c r="H62" s="899">
        <f t="shared" si="62"/>
        <v>756.4</v>
      </c>
      <c r="I62" s="900">
        <f t="shared" si="62"/>
        <v>756.4</v>
      </c>
      <c r="J62" s="901">
        <f t="shared" si="62"/>
        <v>746.54</v>
      </c>
      <c r="K62" s="901">
        <f t="shared" si="62"/>
        <v>743.06</v>
      </c>
      <c r="L62" s="902">
        <f t="shared" si="62"/>
        <v>693.76</v>
      </c>
      <c r="M62" s="903">
        <f t="shared" si="62"/>
        <v>699.64</v>
      </c>
      <c r="N62" s="904">
        <f t="shared" si="62"/>
        <v>699.64</v>
      </c>
      <c r="O62" s="904">
        <f t="shared" si="62"/>
        <v>706.63639999999998</v>
      </c>
      <c r="P62" s="904">
        <f t="shared" si="62"/>
        <v>713.702764</v>
      </c>
      <c r="Q62" s="905">
        <f t="shared" si="62"/>
        <v>720.83979164000004</v>
      </c>
      <c r="R62" s="903">
        <f t="shared" si="62"/>
        <v>728.04818955640008</v>
      </c>
      <c r="S62" s="904">
        <f t="shared" ref="S62:W62" si="66">S17-S39-S47-S55</f>
        <v>735.32867145196406</v>
      </c>
      <c r="T62" s="904">
        <f t="shared" si="66"/>
        <v>742.6819581664837</v>
      </c>
      <c r="U62" s="904">
        <f t="shared" si="66"/>
        <v>750.10877774814855</v>
      </c>
      <c r="V62" s="905">
        <f t="shared" si="66"/>
        <v>757.60986552563008</v>
      </c>
      <c r="W62" s="905">
        <f t="shared" si="66"/>
        <v>765.18596418088634</v>
      </c>
    </row>
    <row r="63" spans="2:23" hidden="1" outlineLevel="1" x14ac:dyDescent="0.3">
      <c r="B63" s="820" t="s">
        <v>793</v>
      </c>
      <c r="C63" s="827"/>
      <c r="D63" s="906">
        <f t="shared" si="62"/>
        <v>0</v>
      </c>
      <c r="E63" s="906">
        <f t="shared" si="62"/>
        <v>0</v>
      </c>
      <c r="F63" s="906">
        <f t="shared" si="62"/>
        <v>0</v>
      </c>
      <c r="G63" s="906">
        <f t="shared" si="62"/>
        <v>0</v>
      </c>
      <c r="H63" s="906">
        <f t="shared" si="62"/>
        <v>0</v>
      </c>
      <c r="I63" s="907">
        <f t="shared" si="62"/>
        <v>0</v>
      </c>
      <c r="J63" s="908">
        <f t="shared" si="62"/>
        <v>0</v>
      </c>
      <c r="K63" s="908">
        <f t="shared" si="62"/>
        <v>0</v>
      </c>
      <c r="L63" s="909">
        <f t="shared" si="62"/>
        <v>0</v>
      </c>
      <c r="M63" s="910">
        <f t="shared" si="62"/>
        <v>0</v>
      </c>
      <c r="N63" s="911">
        <f t="shared" si="62"/>
        <v>0</v>
      </c>
      <c r="O63" s="911">
        <f t="shared" si="62"/>
        <v>0</v>
      </c>
      <c r="P63" s="911">
        <f t="shared" si="62"/>
        <v>0</v>
      </c>
      <c r="Q63" s="912">
        <f t="shared" si="62"/>
        <v>0</v>
      </c>
      <c r="R63" s="910">
        <f t="shared" si="62"/>
        <v>0</v>
      </c>
      <c r="S63" s="911">
        <f t="shared" ref="S63:W63" si="67">S18-S40-S48-S56</f>
        <v>0</v>
      </c>
      <c r="T63" s="911">
        <f t="shared" si="67"/>
        <v>0</v>
      </c>
      <c r="U63" s="911">
        <f t="shared" si="67"/>
        <v>0</v>
      </c>
      <c r="V63" s="912">
        <f t="shared" si="67"/>
        <v>0</v>
      </c>
      <c r="W63" s="912">
        <f t="shared" si="67"/>
        <v>0</v>
      </c>
    </row>
    <row r="64" spans="2:23" hidden="1" outlineLevel="1" x14ac:dyDescent="0.3">
      <c r="B64" s="820"/>
      <c r="C64" s="827"/>
      <c r="D64" s="840"/>
      <c r="E64" s="840"/>
      <c r="F64" s="840"/>
      <c r="G64" s="840"/>
      <c r="H64" s="840"/>
      <c r="I64" s="819"/>
      <c r="J64" s="810"/>
      <c r="K64" s="810"/>
      <c r="L64" s="820"/>
      <c r="M64" s="821"/>
      <c r="R64" s="821"/>
    </row>
    <row r="65" spans="1:59" hidden="1" outlineLevel="1" x14ac:dyDescent="0.3">
      <c r="B65" s="841" t="s">
        <v>794</v>
      </c>
      <c r="C65" s="827"/>
      <c r="D65" s="842">
        <f t="shared" ref="D65:R65" si="68">D58</f>
        <v>244.79</v>
      </c>
      <c r="E65" s="842">
        <f t="shared" si="68"/>
        <v>195.83000000000004</v>
      </c>
      <c r="F65" s="842">
        <f t="shared" si="68"/>
        <v>195.13200000000001</v>
      </c>
      <c r="G65" s="842">
        <f t="shared" si="68"/>
        <v>195.13</v>
      </c>
      <c r="H65" s="842">
        <f t="shared" si="68"/>
        <v>195.13</v>
      </c>
      <c r="I65" s="843">
        <f t="shared" si="68"/>
        <v>198.83</v>
      </c>
      <c r="J65" s="844">
        <f t="shared" si="68"/>
        <v>194.81</v>
      </c>
      <c r="K65" s="844">
        <f t="shared" si="68"/>
        <v>186.31</v>
      </c>
      <c r="L65" s="902">
        <f t="shared" si="68"/>
        <v>208.17</v>
      </c>
      <c r="M65" s="903">
        <f t="shared" si="68"/>
        <v>218.76</v>
      </c>
      <c r="N65" s="904">
        <f t="shared" si="68"/>
        <v>218.76</v>
      </c>
      <c r="O65" s="904">
        <f t="shared" si="68"/>
        <v>220.94759999999999</v>
      </c>
      <c r="P65" s="904">
        <f t="shared" si="68"/>
        <v>223.15707599999999</v>
      </c>
      <c r="Q65" s="1847">
        <f t="shared" si="68"/>
        <v>225.38864676</v>
      </c>
      <c r="R65" s="903">
        <f t="shared" si="68"/>
        <v>227.64253322760001</v>
      </c>
      <c r="S65" s="904">
        <f t="shared" ref="S65:W65" si="69">S58</f>
        <v>229.91895855987602</v>
      </c>
      <c r="T65" s="904">
        <f t="shared" si="69"/>
        <v>232.21814814547477</v>
      </c>
      <c r="U65" s="904">
        <f t="shared" si="69"/>
        <v>234.54032962692952</v>
      </c>
      <c r="V65" s="1847">
        <f t="shared" si="69"/>
        <v>236.88573292319882</v>
      </c>
      <c r="W65" s="1847">
        <f t="shared" si="69"/>
        <v>239.2545902524308</v>
      </c>
    </row>
    <row r="66" spans="1:59" hidden="1" outlineLevel="1" x14ac:dyDescent="0.3">
      <c r="B66" s="841" t="s">
        <v>795</v>
      </c>
      <c r="C66" s="827"/>
      <c r="D66" s="842">
        <f t="shared" ref="D66:R66" si="70">(D59*D$142)+(D60*D$143)+(D61*D$144)</f>
        <v>266.51771739130436</v>
      </c>
      <c r="E66" s="842">
        <f t="shared" si="70"/>
        <v>266.34862318840578</v>
      </c>
      <c r="F66" s="842">
        <f t="shared" si="70"/>
        <v>268.08742953231433</v>
      </c>
      <c r="G66" s="842">
        <f t="shared" si="70"/>
        <v>271.44819999999999</v>
      </c>
      <c r="H66" s="842">
        <f t="shared" si="70"/>
        <v>279.20981884057966</v>
      </c>
      <c r="I66" s="843">
        <f t="shared" si="70"/>
        <v>306.99340000000001</v>
      </c>
      <c r="J66" s="844">
        <f t="shared" si="70"/>
        <v>290.22099425062981</v>
      </c>
      <c r="K66" s="844">
        <f t="shared" si="70"/>
        <v>296.56634480150467</v>
      </c>
      <c r="L66" s="902">
        <f t="shared" si="70"/>
        <v>299.85987523925684</v>
      </c>
      <c r="M66" s="903">
        <f t="shared" si="70"/>
        <v>313.6612835590214</v>
      </c>
      <c r="N66" s="904">
        <f t="shared" si="70"/>
        <v>310.15136044081191</v>
      </c>
      <c r="O66" s="904">
        <f t="shared" si="70"/>
        <v>312.4225803850058</v>
      </c>
      <c r="P66" s="904">
        <f t="shared" si="70"/>
        <v>314.71058160568242</v>
      </c>
      <c r="Q66" s="1847">
        <f t="shared" si="70"/>
        <v>317.01548938700694</v>
      </c>
      <c r="R66" s="903">
        <f t="shared" si="70"/>
        <v>316.66129307587619</v>
      </c>
      <c r="S66" s="904">
        <f t="shared" ref="S66:W66" si="71">(S59*S$142)+(S60*S$143)+(S61*S$144)</f>
        <v>319.47613815177743</v>
      </c>
      <c r="T66" s="904">
        <f t="shared" si="71"/>
        <v>322.29007507949916</v>
      </c>
      <c r="U66" s="904">
        <f t="shared" si="71"/>
        <v>328.25965346867611</v>
      </c>
      <c r="V66" s="1847">
        <f t="shared" si="71"/>
        <v>331.06909206169092</v>
      </c>
      <c r="W66" s="1847">
        <f t="shared" si="71"/>
        <v>333.87830746418695</v>
      </c>
    </row>
    <row r="67" spans="1:59" hidden="1" outlineLevel="1" x14ac:dyDescent="0.3">
      <c r="B67" s="841" t="s">
        <v>796</v>
      </c>
      <c r="C67" s="827"/>
      <c r="D67" s="842">
        <f t="shared" ref="D67:R67" si="72">D62</f>
        <v>700.97</v>
      </c>
      <c r="E67" s="842">
        <f t="shared" si="72"/>
        <v>721.5</v>
      </c>
      <c r="F67" s="842">
        <f t="shared" si="72"/>
        <v>731.08</v>
      </c>
      <c r="G67" s="842">
        <f t="shared" si="72"/>
        <v>740.66</v>
      </c>
      <c r="H67" s="842">
        <f t="shared" si="72"/>
        <v>756.4</v>
      </c>
      <c r="I67" s="843">
        <f t="shared" si="72"/>
        <v>756.4</v>
      </c>
      <c r="J67" s="844">
        <f t="shared" si="72"/>
        <v>746.54</v>
      </c>
      <c r="K67" s="844">
        <f t="shared" si="72"/>
        <v>743.06</v>
      </c>
      <c r="L67" s="902">
        <f t="shared" si="72"/>
        <v>693.76</v>
      </c>
      <c r="M67" s="903">
        <f t="shared" si="72"/>
        <v>699.64</v>
      </c>
      <c r="N67" s="904">
        <f t="shared" si="72"/>
        <v>699.64</v>
      </c>
      <c r="O67" s="904">
        <f t="shared" si="72"/>
        <v>706.63639999999998</v>
      </c>
      <c r="P67" s="904">
        <f t="shared" si="72"/>
        <v>713.702764</v>
      </c>
      <c r="Q67" s="1847">
        <f t="shared" si="72"/>
        <v>720.83979164000004</v>
      </c>
      <c r="R67" s="903">
        <f t="shared" si="72"/>
        <v>728.04818955640008</v>
      </c>
      <c r="S67" s="904">
        <f t="shared" ref="S67:W67" si="73">S62</f>
        <v>735.32867145196406</v>
      </c>
      <c r="T67" s="904">
        <f t="shared" si="73"/>
        <v>742.6819581664837</v>
      </c>
      <c r="U67" s="904">
        <f t="shared" si="73"/>
        <v>750.10877774814855</v>
      </c>
      <c r="V67" s="1847">
        <f t="shared" si="73"/>
        <v>757.60986552563008</v>
      </c>
      <c r="W67" s="1847">
        <f t="shared" si="73"/>
        <v>765.18596418088634</v>
      </c>
    </row>
    <row r="68" spans="1:59" hidden="1" outlineLevel="1" x14ac:dyDescent="0.3">
      <c r="B68" s="841" t="s">
        <v>797</v>
      </c>
      <c r="C68" s="827"/>
      <c r="D68" s="842">
        <f t="shared" ref="D68:R68" si="74">D63*D$152</f>
        <v>0</v>
      </c>
      <c r="E68" s="842">
        <f t="shared" si="74"/>
        <v>0</v>
      </c>
      <c r="F68" s="842">
        <f t="shared" si="74"/>
        <v>0</v>
      </c>
      <c r="G68" s="842">
        <f t="shared" si="74"/>
        <v>0</v>
      </c>
      <c r="H68" s="842">
        <f t="shared" si="74"/>
        <v>0</v>
      </c>
      <c r="I68" s="843">
        <f t="shared" si="74"/>
        <v>0</v>
      </c>
      <c r="J68" s="844">
        <f t="shared" si="74"/>
        <v>0</v>
      </c>
      <c r="K68" s="844">
        <f t="shared" si="74"/>
        <v>0</v>
      </c>
      <c r="L68" s="902">
        <f t="shared" si="74"/>
        <v>0</v>
      </c>
      <c r="M68" s="903">
        <f t="shared" si="74"/>
        <v>0</v>
      </c>
      <c r="N68" s="904">
        <f t="shared" si="74"/>
        <v>0</v>
      </c>
      <c r="O68" s="904">
        <f t="shared" si="74"/>
        <v>0</v>
      </c>
      <c r="P68" s="904">
        <f t="shared" si="74"/>
        <v>0</v>
      </c>
      <c r="Q68" s="1847">
        <f t="shared" si="74"/>
        <v>0</v>
      </c>
      <c r="R68" s="903">
        <f t="shared" si="74"/>
        <v>0</v>
      </c>
      <c r="S68" s="904">
        <f t="shared" ref="S68:W68" si="75">S63*S$152</f>
        <v>0</v>
      </c>
      <c r="T68" s="904">
        <f t="shared" si="75"/>
        <v>0</v>
      </c>
      <c r="U68" s="904">
        <f t="shared" si="75"/>
        <v>0</v>
      </c>
      <c r="V68" s="1847">
        <f t="shared" si="75"/>
        <v>0</v>
      </c>
      <c r="W68" s="1847">
        <f t="shared" si="75"/>
        <v>0</v>
      </c>
    </row>
    <row r="69" spans="1:59" hidden="1" outlineLevel="1" x14ac:dyDescent="0.3">
      <c r="B69" s="841"/>
      <c r="C69" s="827"/>
      <c r="D69" s="842"/>
      <c r="E69" s="842"/>
      <c r="F69" s="842"/>
      <c r="G69" s="842"/>
      <c r="H69" s="842"/>
      <c r="I69" s="843"/>
      <c r="J69" s="844"/>
      <c r="K69" s="844"/>
      <c r="L69" s="845"/>
      <c r="M69" s="846"/>
      <c r="N69" s="847"/>
      <c r="O69" s="847"/>
      <c r="P69" s="847"/>
      <c r="Q69" s="848"/>
      <c r="R69" s="846"/>
      <c r="S69" s="847"/>
      <c r="T69" s="847"/>
      <c r="U69" s="847"/>
      <c r="V69" s="848"/>
      <c r="W69" s="848"/>
    </row>
    <row r="70" spans="1:59" s="822" customFormat="1" hidden="1" outlineLevel="1" x14ac:dyDescent="0.3">
      <c r="A70" s="73"/>
      <c r="B70" s="913" t="s">
        <v>799</v>
      </c>
      <c r="C70" s="914"/>
      <c r="D70" s="915">
        <f t="shared" ref="D70:R70" si="76">SUM(D65:D68)</f>
        <v>1212.2777173913043</v>
      </c>
      <c r="E70" s="915">
        <f t="shared" si="76"/>
        <v>1183.6786231884057</v>
      </c>
      <c r="F70" s="915">
        <f t="shared" si="76"/>
        <v>1194.2994295323144</v>
      </c>
      <c r="G70" s="915">
        <f t="shared" si="76"/>
        <v>1207.2382</v>
      </c>
      <c r="H70" s="915">
        <f t="shared" si="76"/>
        <v>1230.7398188405796</v>
      </c>
      <c r="I70" s="916">
        <f t="shared" si="76"/>
        <v>1262.2233999999999</v>
      </c>
      <c r="J70" s="915">
        <f t="shared" si="76"/>
        <v>1231.5709942506298</v>
      </c>
      <c r="K70" s="915">
        <f t="shared" si="76"/>
        <v>1225.9363448015047</v>
      </c>
      <c r="L70" s="915">
        <f t="shared" si="76"/>
        <v>1201.7898752392568</v>
      </c>
      <c r="M70" s="917">
        <f t="shared" si="76"/>
        <v>1232.0612835590214</v>
      </c>
      <c r="N70" s="915">
        <f t="shared" si="76"/>
        <v>1228.551360440812</v>
      </c>
      <c r="O70" s="915">
        <f t="shared" si="76"/>
        <v>1240.0065803850057</v>
      </c>
      <c r="P70" s="915">
        <f t="shared" si="76"/>
        <v>1251.5704216056824</v>
      </c>
      <c r="Q70" s="915">
        <f t="shared" si="76"/>
        <v>1263.2439277870071</v>
      </c>
      <c r="R70" s="917">
        <f t="shared" si="76"/>
        <v>1272.3520158598762</v>
      </c>
      <c r="S70" s="915">
        <f t="shared" ref="S70:W70" si="77">SUM(S65:S68)</f>
        <v>1284.7237681636175</v>
      </c>
      <c r="T70" s="915">
        <f t="shared" si="77"/>
        <v>1297.1901813914576</v>
      </c>
      <c r="U70" s="915">
        <f t="shared" si="77"/>
        <v>1312.9087608437542</v>
      </c>
      <c r="V70" s="915">
        <f t="shared" si="77"/>
        <v>1325.5646905105198</v>
      </c>
      <c r="W70" s="918">
        <f t="shared" si="77"/>
        <v>1338.3188618975041</v>
      </c>
      <c r="X70" s="853"/>
      <c r="Y70" s="853"/>
      <c r="Z70" s="853"/>
      <c r="AA70" s="853"/>
      <c r="AB70" s="853"/>
      <c r="AC70" s="853"/>
      <c r="AD70" s="853"/>
      <c r="AE70" s="853"/>
      <c r="AF70" s="853"/>
      <c r="AG70" s="853"/>
      <c r="AH70" s="2196"/>
      <c r="AI70" s="2196"/>
      <c r="AJ70" s="2196"/>
      <c r="AK70" s="2196"/>
      <c r="AL70" s="2196"/>
      <c r="AM70" s="2196"/>
      <c r="AN70" s="2196"/>
      <c r="AO70" s="2196"/>
      <c r="AP70" s="2196"/>
      <c r="AQ70" s="2196"/>
      <c r="AR70" s="2196"/>
      <c r="AS70" s="2196"/>
      <c r="AT70" s="2196"/>
      <c r="AU70" s="2196"/>
      <c r="AV70" s="2196"/>
      <c r="AW70" s="2196"/>
      <c r="AX70" s="2196"/>
      <c r="AY70" s="2196"/>
      <c r="AZ70" s="2196"/>
      <c r="BA70" s="855"/>
      <c r="BB70" s="855"/>
      <c r="BC70" s="2196"/>
      <c r="BD70" s="2196"/>
      <c r="BE70" s="2196"/>
      <c r="BF70" s="855"/>
      <c r="BG70" s="855"/>
    </row>
    <row r="71" spans="1:59" s="822" customFormat="1" hidden="1" outlineLevel="1" x14ac:dyDescent="0.3">
      <c r="A71" s="73"/>
      <c r="B71" s="919" t="s">
        <v>804</v>
      </c>
      <c r="C71" s="920"/>
      <c r="D71" s="921">
        <f t="shared" ref="D71:R71" si="78">D66+D68</f>
        <v>266.51771739130436</v>
      </c>
      <c r="E71" s="921">
        <f t="shared" si="78"/>
        <v>266.34862318840578</v>
      </c>
      <c r="F71" s="921">
        <f t="shared" si="78"/>
        <v>268.08742953231433</v>
      </c>
      <c r="G71" s="921">
        <f t="shared" si="78"/>
        <v>271.44819999999999</v>
      </c>
      <c r="H71" s="921">
        <f t="shared" si="78"/>
        <v>279.20981884057966</v>
      </c>
      <c r="I71" s="922">
        <f t="shared" si="78"/>
        <v>306.99340000000001</v>
      </c>
      <c r="J71" s="921">
        <f t="shared" si="78"/>
        <v>290.22099425062981</v>
      </c>
      <c r="K71" s="921">
        <f t="shared" si="78"/>
        <v>296.56634480150467</v>
      </c>
      <c r="L71" s="921">
        <f t="shared" si="78"/>
        <v>299.85987523925684</v>
      </c>
      <c r="M71" s="923">
        <f t="shared" si="78"/>
        <v>313.6612835590214</v>
      </c>
      <c r="N71" s="921">
        <f t="shared" si="78"/>
        <v>310.15136044081191</v>
      </c>
      <c r="O71" s="921">
        <f t="shared" si="78"/>
        <v>312.4225803850058</v>
      </c>
      <c r="P71" s="921">
        <f t="shared" si="78"/>
        <v>314.71058160568242</v>
      </c>
      <c r="Q71" s="921">
        <f t="shared" si="78"/>
        <v>317.01548938700694</v>
      </c>
      <c r="R71" s="923">
        <f t="shared" si="78"/>
        <v>316.66129307587619</v>
      </c>
      <c r="S71" s="921">
        <f t="shared" ref="S71:W71" si="79">S66+S68</f>
        <v>319.47613815177743</v>
      </c>
      <c r="T71" s="921">
        <f t="shared" si="79"/>
        <v>322.29007507949916</v>
      </c>
      <c r="U71" s="921">
        <f t="shared" si="79"/>
        <v>328.25965346867611</v>
      </c>
      <c r="V71" s="921">
        <f t="shared" si="79"/>
        <v>331.06909206169092</v>
      </c>
      <c r="W71" s="924">
        <f t="shared" si="79"/>
        <v>333.87830746418695</v>
      </c>
      <c r="X71" s="853"/>
      <c r="Y71" s="853"/>
      <c r="Z71" s="853"/>
      <c r="AA71" s="853"/>
      <c r="AB71" s="853"/>
      <c r="AC71" s="853"/>
      <c r="AD71" s="853"/>
      <c r="AE71" s="853"/>
      <c r="AF71" s="853"/>
      <c r="AG71" s="853"/>
      <c r="AH71" s="2196"/>
      <c r="AI71" s="2196"/>
      <c r="AJ71" s="2196"/>
      <c r="AK71" s="2196"/>
      <c r="AL71" s="2196"/>
      <c r="AM71" s="2196"/>
      <c r="AN71" s="2196"/>
      <c r="AO71" s="2196"/>
      <c r="AP71" s="2196"/>
      <c r="AQ71" s="2196"/>
      <c r="AR71" s="2196"/>
      <c r="AS71" s="2196"/>
      <c r="AT71" s="2196"/>
      <c r="AU71" s="2196"/>
      <c r="AV71" s="2196"/>
      <c r="AW71" s="2196"/>
      <c r="AX71" s="2196"/>
      <c r="AY71" s="2196"/>
      <c r="AZ71" s="2196"/>
      <c r="BA71" s="863"/>
      <c r="BB71" s="863"/>
      <c r="BC71" s="2196"/>
      <c r="BD71" s="2196"/>
      <c r="BE71" s="2196"/>
      <c r="BF71" s="863"/>
      <c r="BG71" s="863"/>
    </row>
    <row r="72" spans="1:59" hidden="1" outlineLevel="1" x14ac:dyDescent="0.3">
      <c r="B72" s="841"/>
      <c r="C72" s="827"/>
      <c r="D72" s="842"/>
      <c r="E72" s="842"/>
      <c r="F72" s="842"/>
      <c r="G72" s="842"/>
      <c r="H72" s="842"/>
      <c r="I72" s="843"/>
      <c r="J72" s="844"/>
      <c r="K72" s="844"/>
      <c r="L72" s="845"/>
      <c r="M72" s="846"/>
      <c r="N72" s="847"/>
      <c r="O72" s="847"/>
      <c r="P72" s="847"/>
      <c r="Q72" s="848"/>
      <c r="R72" s="846"/>
      <c r="S72" s="847"/>
      <c r="T72" s="847"/>
      <c r="U72" s="847"/>
      <c r="V72" s="848"/>
      <c r="W72" s="848"/>
    </row>
    <row r="73" spans="1:59" hidden="1" outlineLevel="1" x14ac:dyDescent="0.3">
      <c r="B73" s="890" t="s">
        <v>811</v>
      </c>
      <c r="C73" s="891"/>
      <c r="D73" s="892"/>
      <c r="E73" s="892"/>
      <c r="F73" s="892"/>
      <c r="G73" s="892"/>
      <c r="H73" s="892"/>
      <c r="I73" s="893"/>
      <c r="J73" s="894"/>
      <c r="K73" s="894"/>
      <c r="L73" s="895"/>
      <c r="M73" s="896"/>
      <c r="N73" s="897"/>
      <c r="O73" s="897"/>
      <c r="P73" s="897"/>
      <c r="Q73" s="898"/>
      <c r="R73" s="896"/>
      <c r="S73" s="897"/>
      <c r="T73" s="897"/>
      <c r="U73" s="897"/>
      <c r="V73" s="898"/>
      <c r="W73" s="898"/>
    </row>
    <row r="74" spans="1:59" hidden="1" outlineLevel="1" x14ac:dyDescent="0.3">
      <c r="B74" s="841" t="s">
        <v>799</v>
      </c>
      <c r="C74" s="827"/>
      <c r="D74" s="1866">
        <v>0</v>
      </c>
      <c r="E74" s="1866">
        <v>0</v>
      </c>
      <c r="F74" s="1866">
        <v>0</v>
      </c>
      <c r="G74" s="1866">
        <v>0</v>
      </c>
      <c r="H74" s="1866">
        <v>0</v>
      </c>
      <c r="I74" s="828"/>
      <c r="J74" s="829"/>
      <c r="K74" s="829"/>
      <c r="L74" s="830"/>
      <c r="M74" s="831"/>
      <c r="N74" s="832"/>
      <c r="O74" s="832"/>
      <c r="P74" s="832"/>
      <c r="Q74" s="833"/>
      <c r="R74" s="831"/>
      <c r="S74" s="832"/>
      <c r="T74" s="832"/>
      <c r="U74" s="832"/>
      <c r="V74" s="833"/>
      <c r="W74" s="833"/>
    </row>
    <row r="75" spans="1:59" hidden="1" outlineLevel="1" x14ac:dyDescent="0.3">
      <c r="B75" s="841" t="s">
        <v>804</v>
      </c>
      <c r="C75" s="827"/>
      <c r="D75" s="1866">
        <v>0</v>
      </c>
      <c r="E75" s="1866">
        <v>0</v>
      </c>
      <c r="F75" s="1866">
        <v>0</v>
      </c>
      <c r="G75" s="1866">
        <v>0</v>
      </c>
      <c r="H75" s="1866">
        <v>0</v>
      </c>
      <c r="I75" s="828"/>
      <c r="J75" s="829"/>
      <c r="K75" s="829"/>
      <c r="L75" s="830"/>
      <c r="M75" s="831"/>
      <c r="N75" s="832"/>
      <c r="O75" s="832"/>
      <c r="P75" s="832"/>
      <c r="Q75" s="833"/>
      <c r="R75" s="831"/>
      <c r="S75" s="832"/>
      <c r="T75" s="832"/>
      <c r="U75" s="832"/>
      <c r="V75" s="833"/>
      <c r="W75" s="833"/>
    </row>
    <row r="76" spans="1:59" ht="12.5" thickBot="1" x14ac:dyDescent="0.35">
      <c r="B76" s="841"/>
      <c r="C76" s="827"/>
      <c r="D76" s="842"/>
      <c r="E76" s="842"/>
      <c r="F76" s="842"/>
      <c r="G76" s="842"/>
      <c r="H76" s="842"/>
      <c r="I76" s="843"/>
      <c r="J76" s="844"/>
      <c r="K76" s="844"/>
      <c r="L76" s="845"/>
      <c r="M76" s="846"/>
      <c r="N76" s="847"/>
      <c r="O76" s="847"/>
      <c r="P76" s="847"/>
      <c r="Q76" s="848"/>
      <c r="R76" s="846"/>
      <c r="S76" s="847"/>
      <c r="T76" s="847"/>
      <c r="U76" s="847"/>
      <c r="V76" s="848"/>
      <c r="W76" s="848"/>
      <c r="AN76" s="809" t="s">
        <v>722</v>
      </c>
      <c r="AS76" s="809" t="s">
        <v>723</v>
      </c>
      <c r="AX76" s="809" t="s">
        <v>724</v>
      </c>
      <c r="BC76" s="809" t="s">
        <v>931</v>
      </c>
    </row>
    <row r="77" spans="1:59" ht="12.5" thickBot="1" x14ac:dyDescent="0.35">
      <c r="B77" s="925" t="s">
        <v>812</v>
      </c>
      <c r="C77" s="827"/>
      <c r="D77" s="842"/>
      <c r="E77" s="842"/>
      <c r="F77" s="842"/>
      <c r="G77" s="842"/>
      <c r="H77" s="842"/>
      <c r="I77" s="819"/>
      <c r="J77" s="810"/>
      <c r="K77" s="810"/>
      <c r="L77" s="827"/>
      <c r="M77" s="850"/>
      <c r="N77" s="827"/>
      <c r="O77" s="827"/>
      <c r="P77" s="827"/>
      <c r="Q77" s="810"/>
      <c r="R77" s="850"/>
      <c r="S77" s="827"/>
      <c r="T77" s="827"/>
      <c r="U77" s="827"/>
      <c r="V77" s="810"/>
      <c r="W77" s="810"/>
      <c r="X77" s="814"/>
      <c r="Y77" s="814"/>
      <c r="Z77" s="814"/>
      <c r="AA77" s="955"/>
      <c r="AB77" s="955"/>
      <c r="AC77" s="955"/>
      <c r="AD77" s="955"/>
      <c r="AE77" s="955"/>
      <c r="AF77" s="955"/>
      <c r="AG77" s="955"/>
      <c r="AH77" s="816"/>
      <c r="AI77" s="816"/>
      <c r="AJ77" s="816"/>
      <c r="AK77" s="816"/>
      <c r="AL77" s="816"/>
      <c r="AM77" s="816"/>
      <c r="AN77" s="1848" t="str">
        <f t="shared" ref="AN77" si="80">AN25</f>
        <v>2013-14</v>
      </c>
      <c r="AO77" s="1848" t="str">
        <f t="shared" ref="AO77:BF77" si="81">AO25</f>
        <v>2014-15</v>
      </c>
      <c r="AP77" s="1848" t="str">
        <f t="shared" si="81"/>
        <v>2015-16</v>
      </c>
      <c r="AQ77" s="1848" t="str">
        <f t="shared" si="81"/>
        <v>2016-17</v>
      </c>
      <c r="AR77" s="1848" t="str">
        <f t="shared" si="81"/>
        <v>2017-18</v>
      </c>
      <c r="AS77" s="1848" t="str">
        <f t="shared" si="81"/>
        <v>2018-19</v>
      </c>
      <c r="AT77" s="1848" t="str">
        <f t="shared" si="81"/>
        <v>2019-20</v>
      </c>
      <c r="AU77" s="1848" t="str">
        <f t="shared" si="81"/>
        <v>2020-21</v>
      </c>
      <c r="AV77" s="1848" t="str">
        <f t="shared" si="81"/>
        <v>2021-22</v>
      </c>
      <c r="AW77" s="1848" t="str">
        <f t="shared" si="81"/>
        <v>2022-23</v>
      </c>
      <c r="AX77" s="1848" t="str">
        <f t="shared" si="81"/>
        <v>2023-24</v>
      </c>
      <c r="AY77" s="1848" t="str">
        <f t="shared" si="81"/>
        <v>2024-25</v>
      </c>
      <c r="AZ77" s="1848" t="str">
        <f t="shared" si="81"/>
        <v>2025-26</v>
      </c>
      <c r="BA77" s="1848" t="str">
        <f t="shared" si="81"/>
        <v>2026-27</v>
      </c>
      <c r="BB77" s="1848" t="str">
        <f t="shared" si="81"/>
        <v>2027-28</v>
      </c>
      <c r="BC77" s="1848" t="str">
        <f t="shared" si="81"/>
        <v>2028-29</v>
      </c>
      <c r="BD77" s="1848" t="str">
        <f t="shared" si="81"/>
        <v>2029-30</v>
      </c>
      <c r="BE77" s="1848" t="str">
        <f t="shared" si="81"/>
        <v>2030-31</v>
      </c>
      <c r="BF77" s="1848" t="str">
        <f t="shared" si="81"/>
        <v>2031-32</v>
      </c>
      <c r="BG77" s="1848" t="str">
        <f t="shared" ref="BG77" si="82">BG25</f>
        <v>2032-33</v>
      </c>
    </row>
    <row r="78" spans="1:59" s="822" customFormat="1" x14ac:dyDescent="0.3">
      <c r="A78" s="73"/>
      <c r="B78" s="926" t="s">
        <v>799</v>
      </c>
      <c r="C78" s="927"/>
      <c r="D78" s="1868">
        <f t="shared" ref="D78:R78" si="83">D70-D74</f>
        <v>1212.2777173913043</v>
      </c>
      <c r="E78" s="1868">
        <f t="shared" si="83"/>
        <v>1183.6786231884057</v>
      </c>
      <c r="F78" s="1868">
        <f t="shared" si="83"/>
        <v>1194.2994295323144</v>
      </c>
      <c r="G78" s="1868">
        <f t="shared" si="83"/>
        <v>1207.2382</v>
      </c>
      <c r="H78" s="1868">
        <f t="shared" si="83"/>
        <v>1230.7398188405796</v>
      </c>
      <c r="I78" s="1869">
        <f t="shared" si="83"/>
        <v>1262.2233999999999</v>
      </c>
      <c r="J78" s="1868">
        <f t="shared" si="83"/>
        <v>1231.5709942506298</v>
      </c>
      <c r="K78" s="1868">
        <f t="shared" si="83"/>
        <v>1225.9363448015047</v>
      </c>
      <c r="L78" s="1868">
        <f t="shared" si="83"/>
        <v>1201.7898752392568</v>
      </c>
      <c r="M78" s="1870">
        <f t="shared" si="83"/>
        <v>1232.0612835590214</v>
      </c>
      <c r="N78" s="1868">
        <f t="shared" si="83"/>
        <v>1228.551360440812</v>
      </c>
      <c r="O78" s="1868">
        <f t="shared" si="83"/>
        <v>1240.0065803850057</v>
      </c>
      <c r="P78" s="1868">
        <f t="shared" si="83"/>
        <v>1251.5704216056824</v>
      </c>
      <c r="Q78" s="1868">
        <f t="shared" si="83"/>
        <v>1263.2439277870071</v>
      </c>
      <c r="R78" s="1870">
        <f t="shared" si="83"/>
        <v>1272.3520158598762</v>
      </c>
      <c r="S78" s="1868">
        <f t="shared" ref="S78:W78" si="84">S70-S74</f>
        <v>1284.7237681636175</v>
      </c>
      <c r="T78" s="1868">
        <f t="shared" si="84"/>
        <v>1297.1901813914576</v>
      </c>
      <c r="U78" s="1868">
        <f t="shared" si="84"/>
        <v>1312.9087608437542</v>
      </c>
      <c r="V78" s="1868">
        <f t="shared" si="84"/>
        <v>1325.5646905105198</v>
      </c>
      <c r="W78" s="1871">
        <f t="shared" si="84"/>
        <v>1338.3188618975041</v>
      </c>
      <c r="X78" s="853"/>
      <c r="Y78" s="853"/>
      <c r="Z78" s="853"/>
      <c r="AA78" s="853"/>
      <c r="AB78" s="853"/>
      <c r="AC78" s="853"/>
      <c r="AD78" s="853"/>
      <c r="AE78" s="853"/>
      <c r="AF78" s="853"/>
      <c r="AG78" s="853"/>
      <c r="AH78" s="2196"/>
      <c r="AI78" s="2196"/>
      <c r="AJ78" s="2196"/>
      <c r="AK78" s="2196"/>
      <c r="AL78" s="2196"/>
      <c r="AM78" s="2196"/>
      <c r="AN78" s="875">
        <f t="shared" ref="AN78:AN79" si="85">D78</f>
        <v>1212.2777173913043</v>
      </c>
      <c r="AO78" s="875">
        <f t="shared" ref="AO78:AO79" si="86">E78</f>
        <v>1183.6786231884057</v>
      </c>
      <c r="AP78" s="875">
        <f t="shared" ref="AP78:AP79" si="87">F78</f>
        <v>1194.2994295323144</v>
      </c>
      <c r="AQ78" s="875">
        <f t="shared" ref="AQ78:AQ79" si="88">G78</f>
        <v>1207.2382</v>
      </c>
      <c r="AR78" s="875">
        <f t="shared" ref="AR78:AR79" si="89">H78</f>
        <v>1230.7398188405796</v>
      </c>
      <c r="AS78" s="875">
        <f t="shared" ref="AS78:AS79" si="90">I78</f>
        <v>1262.2233999999999</v>
      </c>
      <c r="AT78" s="875">
        <f t="shared" ref="AT78:AT79" si="91">J78</f>
        <v>1231.5709942506298</v>
      </c>
      <c r="AU78" s="875">
        <f t="shared" ref="AU78:AU79" si="92">K78</f>
        <v>1225.9363448015047</v>
      </c>
      <c r="AV78" s="875">
        <f t="shared" ref="AV78:AV79" si="93">L78</f>
        <v>1201.7898752392568</v>
      </c>
      <c r="AW78" s="875">
        <f t="shared" ref="AW78:AW79" si="94">M78</f>
        <v>1232.0612835590214</v>
      </c>
      <c r="AX78" s="875">
        <f t="shared" ref="AX78:AX79" si="95">N78</f>
        <v>1228.551360440812</v>
      </c>
      <c r="AY78" s="875">
        <f t="shared" ref="AY78:AY79" si="96">O78</f>
        <v>1240.0065803850057</v>
      </c>
      <c r="AZ78" s="875">
        <f t="shared" ref="AZ78:AZ79" si="97">P78</f>
        <v>1251.5704216056824</v>
      </c>
      <c r="BA78" s="875">
        <f t="shared" ref="BA78:BA79" si="98">Q78</f>
        <v>1263.2439277870071</v>
      </c>
      <c r="BB78" s="875">
        <f t="shared" ref="BB78:BB79" si="99">R78</f>
        <v>1272.3520158598762</v>
      </c>
      <c r="BC78" s="875">
        <f t="shared" ref="BC78:BC79" si="100">S78</f>
        <v>1284.7237681636175</v>
      </c>
      <c r="BD78" s="875">
        <f t="shared" ref="BD78:BD79" si="101">T78</f>
        <v>1297.1901813914576</v>
      </c>
      <c r="BE78" s="875">
        <f t="shared" ref="BE78:BE79" si="102">U78</f>
        <v>1312.9087608437542</v>
      </c>
      <c r="BF78" s="875">
        <f t="shared" ref="BF78:BF79" si="103">V78</f>
        <v>1325.5646905105198</v>
      </c>
      <c r="BG78" s="875">
        <f t="shared" ref="BG78:BG79" si="104">W78</f>
        <v>1338.3188618975041</v>
      </c>
    </row>
    <row r="79" spans="1:59" s="860" customFormat="1" x14ac:dyDescent="0.3">
      <c r="A79" s="73"/>
      <c r="B79" s="928" t="s">
        <v>801</v>
      </c>
      <c r="C79" s="929"/>
      <c r="D79" s="930"/>
      <c r="E79" s="1872">
        <f>IF(E78=0,"-",E78/D78-1)</f>
        <v>-2.3591206695146472E-2</v>
      </c>
      <c r="F79" s="1872">
        <f t="shared" ref="F79:R79" si="105">IF(F78=0,"-",F78/E78-1)</f>
        <v>8.9727111192563491E-3</v>
      </c>
      <c r="G79" s="1872">
        <f t="shared" si="105"/>
        <v>1.0833774301267418E-2</v>
      </c>
      <c r="H79" s="1872">
        <f t="shared" si="105"/>
        <v>1.9467259104772872E-2</v>
      </c>
      <c r="I79" s="1873">
        <f t="shared" si="105"/>
        <v>2.5581021006600313E-2</v>
      </c>
      <c r="J79" s="1872">
        <f t="shared" si="105"/>
        <v>-2.4284453726154953E-2</v>
      </c>
      <c r="K79" s="1872">
        <f t="shared" si="105"/>
        <v>-4.5751722600073652E-3</v>
      </c>
      <c r="L79" s="1872">
        <f t="shared" si="105"/>
        <v>-1.9696348562173838E-2</v>
      </c>
      <c r="M79" s="1874">
        <f t="shared" si="105"/>
        <v>2.5188603218793126E-2</v>
      </c>
      <c r="N79" s="1872">
        <f t="shared" si="105"/>
        <v>-2.8488218606060878E-3</v>
      </c>
      <c r="O79" s="1872">
        <f t="shared" si="105"/>
        <v>9.3241685395093477E-3</v>
      </c>
      <c r="P79" s="1872">
        <f t="shared" si="105"/>
        <v>9.3256289148775373E-3</v>
      </c>
      <c r="Q79" s="1872">
        <f t="shared" si="105"/>
        <v>9.3270869779331633E-3</v>
      </c>
      <c r="R79" s="1874">
        <f t="shared" si="105"/>
        <v>7.2100786495170599E-3</v>
      </c>
      <c r="S79" s="1872">
        <f t="shared" ref="S79" si="106">IF(S78=0,"-",S78/R78-1)</f>
        <v>9.7235294553137397E-3</v>
      </c>
      <c r="T79" s="1872">
        <f t="shared" ref="T79" si="107">IF(T78=0,"-",T78/S78-1)</f>
        <v>9.7035748359040053E-3</v>
      </c>
      <c r="U79" s="1872">
        <f t="shared" ref="U79" si="108">IF(U78=0,"-",U78/T78-1)</f>
        <v>1.2117405510605694E-2</v>
      </c>
      <c r="V79" s="1872">
        <f t="shared" ref="V79" si="109">IF(V78=0,"-",V78/U78-1)</f>
        <v>9.6396109495318072E-3</v>
      </c>
      <c r="W79" s="1875">
        <f t="shared" ref="W79" si="110">IF(W78=0,"-",W78/V78-1)</f>
        <v>9.6216891399485416E-3</v>
      </c>
      <c r="X79" s="859"/>
      <c r="Y79" s="859"/>
      <c r="Z79" s="859"/>
      <c r="AA79" s="859"/>
      <c r="AB79" s="859"/>
      <c r="AC79" s="859"/>
      <c r="AD79" s="859"/>
      <c r="AE79" s="859"/>
      <c r="AF79" s="859"/>
      <c r="AG79" s="859"/>
      <c r="AH79" s="2197"/>
      <c r="AI79" s="2197"/>
      <c r="AJ79" s="2197"/>
      <c r="AK79" s="2197"/>
      <c r="AL79" s="2197"/>
      <c r="AM79" s="2197"/>
      <c r="AN79" s="1857">
        <f t="shared" si="85"/>
        <v>0</v>
      </c>
      <c r="AO79" s="1857">
        <f t="shared" si="86"/>
        <v>-2.3591206695146472E-2</v>
      </c>
      <c r="AP79" s="1857">
        <f t="shared" si="87"/>
        <v>8.9727111192563491E-3</v>
      </c>
      <c r="AQ79" s="1857">
        <f t="shared" si="88"/>
        <v>1.0833774301267418E-2</v>
      </c>
      <c r="AR79" s="1857">
        <f t="shared" si="89"/>
        <v>1.9467259104772872E-2</v>
      </c>
      <c r="AS79" s="1857">
        <f t="shared" si="90"/>
        <v>2.5581021006600313E-2</v>
      </c>
      <c r="AT79" s="1857">
        <f t="shared" si="91"/>
        <v>-2.4284453726154953E-2</v>
      </c>
      <c r="AU79" s="1857">
        <f t="shared" si="92"/>
        <v>-4.5751722600073652E-3</v>
      </c>
      <c r="AV79" s="1857">
        <f t="shared" si="93"/>
        <v>-1.9696348562173838E-2</v>
      </c>
      <c r="AW79" s="1857">
        <f t="shared" si="94"/>
        <v>2.5188603218793126E-2</v>
      </c>
      <c r="AX79" s="1857">
        <f t="shared" si="95"/>
        <v>-2.8488218606060878E-3</v>
      </c>
      <c r="AY79" s="1857">
        <f t="shared" si="96"/>
        <v>9.3241685395093477E-3</v>
      </c>
      <c r="AZ79" s="1857">
        <f t="shared" si="97"/>
        <v>9.3256289148775373E-3</v>
      </c>
      <c r="BA79" s="1857">
        <f t="shared" si="98"/>
        <v>9.3270869779331633E-3</v>
      </c>
      <c r="BB79" s="1857">
        <f t="shared" si="99"/>
        <v>7.2100786495170599E-3</v>
      </c>
      <c r="BC79" s="1857">
        <f t="shared" si="100"/>
        <v>9.7235294553137397E-3</v>
      </c>
      <c r="BD79" s="1857">
        <f t="shared" si="101"/>
        <v>9.7035748359040053E-3</v>
      </c>
      <c r="BE79" s="1857">
        <f t="shared" si="102"/>
        <v>1.2117405510605694E-2</v>
      </c>
      <c r="BF79" s="1857">
        <f t="shared" si="103"/>
        <v>9.6396109495318072E-3</v>
      </c>
      <c r="BG79" s="1857">
        <f t="shared" si="104"/>
        <v>9.6216891399485416E-3</v>
      </c>
    </row>
    <row r="80" spans="1:59" s="872" customFormat="1" x14ac:dyDescent="0.3">
      <c r="A80" s="73"/>
      <c r="B80" s="864"/>
      <c r="C80" s="865"/>
      <c r="D80" s="866"/>
      <c r="E80" s="867"/>
      <c r="F80" s="867"/>
      <c r="G80" s="867"/>
      <c r="H80" s="867"/>
      <c r="I80" s="868"/>
      <c r="J80" s="867"/>
      <c r="K80" s="867"/>
      <c r="L80" s="867"/>
      <c r="M80" s="869"/>
      <c r="N80" s="867"/>
      <c r="O80" s="867"/>
      <c r="P80" s="867"/>
      <c r="Q80" s="867"/>
      <c r="R80" s="869"/>
      <c r="S80" s="867"/>
      <c r="T80" s="867"/>
      <c r="U80" s="867"/>
      <c r="V80" s="867"/>
      <c r="W80" s="870"/>
      <c r="X80" s="871"/>
      <c r="Y80" s="871"/>
      <c r="Z80" s="871"/>
      <c r="AA80" s="871"/>
      <c r="AB80" s="871"/>
      <c r="AC80" s="871"/>
      <c r="AD80" s="871"/>
      <c r="AE80" s="871"/>
      <c r="AF80" s="871"/>
      <c r="AG80" s="871"/>
      <c r="AH80" s="2198"/>
      <c r="AI80" s="2198"/>
      <c r="AJ80" s="2198"/>
      <c r="AK80" s="2198"/>
      <c r="AL80" s="2198"/>
      <c r="AM80" s="2198"/>
      <c r="AN80" s="875">
        <f t="shared" ref="AN80:AN81" si="111">D81</f>
        <v>266.51771739130436</v>
      </c>
      <c r="AO80" s="875">
        <f t="shared" ref="AO80:AO81" si="112">E81</f>
        <v>266.34862318840578</v>
      </c>
      <c r="AP80" s="875">
        <f t="shared" ref="AP80:AP81" si="113">F81</f>
        <v>268.08742953231433</v>
      </c>
      <c r="AQ80" s="875">
        <f t="shared" ref="AQ80:AQ81" si="114">G81</f>
        <v>271.44819999999999</v>
      </c>
      <c r="AR80" s="875">
        <f t="shared" ref="AR80:AR81" si="115">H81</f>
        <v>279.20981884057966</v>
      </c>
      <c r="AS80" s="875">
        <f t="shared" ref="AS80:AS81" si="116">I81</f>
        <v>306.99340000000001</v>
      </c>
      <c r="AT80" s="875">
        <f t="shared" ref="AT80:AT81" si="117">J81</f>
        <v>290.22099425062981</v>
      </c>
      <c r="AU80" s="875">
        <f t="shared" ref="AU80:AU81" si="118">K81</f>
        <v>296.56634480150467</v>
      </c>
      <c r="AV80" s="875">
        <f t="shared" ref="AV80:AV81" si="119">L81</f>
        <v>299.85987523925684</v>
      </c>
      <c r="AW80" s="875">
        <f t="shared" ref="AW80:AW81" si="120">M81</f>
        <v>313.6612835590214</v>
      </c>
      <c r="AX80" s="875">
        <f t="shared" ref="AX80:AX81" si="121">N81</f>
        <v>310.15136044081191</v>
      </c>
      <c r="AY80" s="875">
        <f t="shared" ref="AY80:AY81" si="122">O81</f>
        <v>312.4225803850058</v>
      </c>
      <c r="AZ80" s="875">
        <f t="shared" ref="AZ80:AZ81" si="123">P81</f>
        <v>314.71058160568242</v>
      </c>
      <c r="BA80" s="875">
        <f t="shared" ref="BA80:BA81" si="124">Q81</f>
        <v>317.01548938700694</v>
      </c>
      <c r="BB80" s="875">
        <f t="shared" ref="BB80:BB81" si="125">R81</f>
        <v>316.66129307587619</v>
      </c>
      <c r="BC80" s="875">
        <f t="shared" ref="BC80:BC81" si="126">S81</f>
        <v>319.47613815177743</v>
      </c>
      <c r="BD80" s="875">
        <f t="shared" ref="BD80:BD81" si="127">T81</f>
        <v>322.29007507949916</v>
      </c>
      <c r="BE80" s="875">
        <f t="shared" ref="BE80:BE81" si="128">U81</f>
        <v>328.25965346867611</v>
      </c>
      <c r="BF80" s="875">
        <f t="shared" ref="BF80:BF81" si="129">V81</f>
        <v>331.06909206169092</v>
      </c>
      <c r="BG80" s="875">
        <f t="shared" ref="BG80:BG81" si="130">W81</f>
        <v>333.87830746418695</v>
      </c>
    </row>
    <row r="81" spans="1:59" s="822" customFormat="1" x14ac:dyDescent="0.3">
      <c r="A81" s="73"/>
      <c r="B81" s="931" t="s">
        <v>804</v>
      </c>
      <c r="C81" s="932"/>
      <c r="D81" s="1876">
        <f t="shared" ref="D81:R81" si="131">D71-D75</f>
        <v>266.51771739130436</v>
      </c>
      <c r="E81" s="1876">
        <f t="shared" si="131"/>
        <v>266.34862318840578</v>
      </c>
      <c r="F81" s="1876">
        <f t="shared" si="131"/>
        <v>268.08742953231433</v>
      </c>
      <c r="G81" s="1876">
        <f t="shared" si="131"/>
        <v>271.44819999999999</v>
      </c>
      <c r="H81" s="1876">
        <f t="shared" si="131"/>
        <v>279.20981884057966</v>
      </c>
      <c r="I81" s="1877">
        <f t="shared" si="131"/>
        <v>306.99340000000001</v>
      </c>
      <c r="J81" s="1876">
        <f t="shared" si="131"/>
        <v>290.22099425062981</v>
      </c>
      <c r="K81" s="1876">
        <f t="shared" si="131"/>
        <v>296.56634480150467</v>
      </c>
      <c r="L81" s="1876">
        <f t="shared" si="131"/>
        <v>299.85987523925684</v>
      </c>
      <c r="M81" s="1878">
        <f t="shared" si="131"/>
        <v>313.6612835590214</v>
      </c>
      <c r="N81" s="1876">
        <f t="shared" si="131"/>
        <v>310.15136044081191</v>
      </c>
      <c r="O81" s="1876">
        <f t="shared" si="131"/>
        <v>312.4225803850058</v>
      </c>
      <c r="P81" s="1876">
        <f t="shared" si="131"/>
        <v>314.71058160568242</v>
      </c>
      <c r="Q81" s="1876">
        <f t="shared" si="131"/>
        <v>317.01548938700694</v>
      </c>
      <c r="R81" s="1878">
        <f t="shared" si="131"/>
        <v>316.66129307587619</v>
      </c>
      <c r="S81" s="1876">
        <f t="shared" ref="S81:W81" si="132">S71-S75</f>
        <v>319.47613815177743</v>
      </c>
      <c r="T81" s="1876">
        <f t="shared" si="132"/>
        <v>322.29007507949916</v>
      </c>
      <c r="U81" s="1876">
        <f t="shared" si="132"/>
        <v>328.25965346867611</v>
      </c>
      <c r="V81" s="1876">
        <f t="shared" si="132"/>
        <v>331.06909206169092</v>
      </c>
      <c r="W81" s="1879">
        <f t="shared" si="132"/>
        <v>333.87830746418695</v>
      </c>
      <c r="X81" s="853"/>
      <c r="Y81" s="853"/>
      <c r="Z81" s="853"/>
      <c r="AA81" s="853"/>
      <c r="AB81" s="853"/>
      <c r="AC81" s="853"/>
      <c r="AD81" s="853"/>
      <c r="AE81" s="853"/>
      <c r="AF81" s="853"/>
      <c r="AG81" s="853"/>
      <c r="AH81" s="2196"/>
      <c r="AI81" s="2196"/>
      <c r="AJ81" s="2196"/>
      <c r="AK81" s="2196"/>
      <c r="AL81" s="2196"/>
      <c r="AM81" s="2196"/>
      <c r="AN81" s="1857">
        <f t="shared" si="111"/>
        <v>0</v>
      </c>
      <c r="AO81" s="1857">
        <f t="shared" si="112"/>
        <v>-6.3445764339298272E-4</v>
      </c>
      <c r="AP81" s="1857">
        <f t="shared" si="113"/>
        <v>6.5283098635677828E-3</v>
      </c>
      <c r="AQ81" s="1857">
        <f t="shared" si="114"/>
        <v>1.2536098665829387E-2</v>
      </c>
      <c r="AR81" s="1857">
        <f t="shared" si="115"/>
        <v>2.8593370081583469E-2</v>
      </c>
      <c r="AS81" s="1857">
        <f t="shared" si="116"/>
        <v>9.9507894367009797E-2</v>
      </c>
      <c r="AT81" s="1857">
        <f t="shared" si="117"/>
        <v>-5.4634418034297139E-2</v>
      </c>
      <c r="AU81" s="1857">
        <f t="shared" si="118"/>
        <v>2.1863857806906584E-2</v>
      </c>
      <c r="AV81" s="1857">
        <f t="shared" si="119"/>
        <v>1.1105543482880842E-2</v>
      </c>
      <c r="AW81" s="1857">
        <f t="shared" si="120"/>
        <v>4.6026192429889035E-2</v>
      </c>
      <c r="AX81" s="1857">
        <f t="shared" si="121"/>
        <v>-1.1190170104462438E-2</v>
      </c>
      <c r="AY81" s="1857">
        <f t="shared" si="122"/>
        <v>7.322940453866833E-3</v>
      </c>
      <c r="AZ81" s="1857">
        <f t="shared" si="123"/>
        <v>7.3234182300685458E-3</v>
      </c>
      <c r="BA81" s="1857">
        <f t="shared" si="124"/>
        <v>7.323896672188912E-3</v>
      </c>
      <c r="BB81" s="1857">
        <f t="shared" si="125"/>
        <v>-1.1172839277211466E-3</v>
      </c>
      <c r="BC81" s="1857">
        <f t="shared" si="126"/>
        <v>8.8891352920319466E-3</v>
      </c>
      <c r="BD81" s="1857">
        <f t="shared" si="127"/>
        <v>8.8079721509117803E-3</v>
      </c>
      <c r="BE81" s="1857">
        <f t="shared" si="128"/>
        <v>1.852237735743012E-2</v>
      </c>
      <c r="BF81" s="1857">
        <f t="shared" si="129"/>
        <v>8.5585863609123347E-3</v>
      </c>
      <c r="BG81" s="1857">
        <f t="shared" si="130"/>
        <v>8.4852844009146722E-3</v>
      </c>
    </row>
    <row r="82" spans="1:59" s="860" customFormat="1" ht="12.5" thickBot="1" x14ac:dyDescent="0.35">
      <c r="A82" s="73"/>
      <c r="B82" s="933" t="s">
        <v>801</v>
      </c>
      <c r="C82" s="934"/>
      <c r="D82" s="935"/>
      <c r="E82" s="1880">
        <f>IF(E81=0,"-",E81/D81-1)</f>
        <v>-6.3445764339298272E-4</v>
      </c>
      <c r="F82" s="1880">
        <f t="shared" ref="F82:R82" si="133">IF(F81=0,"-",F81/E81-1)</f>
        <v>6.5283098635677828E-3</v>
      </c>
      <c r="G82" s="1880">
        <f t="shared" si="133"/>
        <v>1.2536098665829387E-2</v>
      </c>
      <c r="H82" s="1880">
        <f t="shared" si="133"/>
        <v>2.8593370081583469E-2</v>
      </c>
      <c r="I82" s="1881">
        <f t="shared" si="133"/>
        <v>9.9507894367009797E-2</v>
      </c>
      <c r="J82" s="1880">
        <f t="shared" si="133"/>
        <v>-5.4634418034297139E-2</v>
      </c>
      <c r="K82" s="1880">
        <f t="shared" si="133"/>
        <v>2.1863857806906584E-2</v>
      </c>
      <c r="L82" s="1880">
        <f t="shared" si="133"/>
        <v>1.1105543482880842E-2</v>
      </c>
      <c r="M82" s="1882">
        <f t="shared" si="133"/>
        <v>4.6026192429889035E-2</v>
      </c>
      <c r="N82" s="1880">
        <f t="shared" si="133"/>
        <v>-1.1190170104462438E-2</v>
      </c>
      <c r="O82" s="1880">
        <f t="shared" si="133"/>
        <v>7.322940453866833E-3</v>
      </c>
      <c r="P82" s="1880">
        <f t="shared" si="133"/>
        <v>7.3234182300685458E-3</v>
      </c>
      <c r="Q82" s="1880">
        <f t="shared" si="133"/>
        <v>7.323896672188912E-3</v>
      </c>
      <c r="R82" s="1882">
        <f t="shared" si="133"/>
        <v>-1.1172839277211466E-3</v>
      </c>
      <c r="S82" s="1880">
        <f t="shared" ref="S82" si="134">IF(S81=0,"-",S81/R81-1)</f>
        <v>8.8891352920319466E-3</v>
      </c>
      <c r="T82" s="1880">
        <f t="shared" ref="T82" si="135">IF(T81=0,"-",T81/S81-1)</f>
        <v>8.8079721509117803E-3</v>
      </c>
      <c r="U82" s="1880">
        <f t="shared" ref="U82" si="136">IF(U81=0,"-",U81/T81-1)</f>
        <v>1.852237735743012E-2</v>
      </c>
      <c r="V82" s="1880">
        <f t="shared" ref="V82" si="137">IF(V81=0,"-",V81/U81-1)</f>
        <v>8.5585863609123347E-3</v>
      </c>
      <c r="W82" s="1883">
        <f t="shared" ref="W82" si="138">IF(W81=0,"-",W81/V81-1)</f>
        <v>8.4852844009146722E-3</v>
      </c>
      <c r="X82" s="859"/>
      <c r="Y82" s="859"/>
      <c r="Z82" s="859"/>
      <c r="AA82" s="859"/>
      <c r="AB82" s="859"/>
      <c r="AC82" s="859"/>
      <c r="AD82" s="859"/>
      <c r="AE82" s="859"/>
      <c r="AF82" s="859"/>
      <c r="AG82" s="859"/>
      <c r="AH82" s="2197"/>
      <c r="AI82" s="2197"/>
      <c r="AJ82" s="2197"/>
      <c r="AK82" s="2197"/>
      <c r="AL82" s="2197"/>
      <c r="AM82" s="2197"/>
      <c r="AN82" s="1857">
        <v>0</v>
      </c>
      <c r="AO82" s="1857">
        <v>0</v>
      </c>
      <c r="AP82" s="1857">
        <v>0</v>
      </c>
      <c r="AQ82" s="1857">
        <v>0</v>
      </c>
      <c r="AR82" s="1857">
        <v>0</v>
      </c>
      <c r="AS82" s="1857">
        <v>0</v>
      </c>
      <c r="AT82" s="1857">
        <v>0</v>
      </c>
      <c r="AU82" s="1857">
        <v>0</v>
      </c>
      <c r="AV82" s="1857">
        <v>0</v>
      </c>
      <c r="AW82" s="1857">
        <v>0</v>
      </c>
      <c r="AX82" s="1857">
        <v>0</v>
      </c>
      <c r="AY82" s="1857">
        <v>0</v>
      </c>
      <c r="AZ82" s="1857">
        <v>0</v>
      </c>
      <c r="BA82" s="1857">
        <v>0</v>
      </c>
      <c r="BB82" s="1857">
        <v>0</v>
      </c>
      <c r="BC82" s="1857">
        <v>0</v>
      </c>
      <c r="BD82" s="1857">
        <v>0</v>
      </c>
      <c r="BE82" s="1857">
        <v>0</v>
      </c>
      <c r="BF82" s="1857">
        <v>0</v>
      </c>
      <c r="BG82" s="1857">
        <v>0</v>
      </c>
    </row>
    <row r="83" spans="1:59" s="780" customFormat="1" x14ac:dyDescent="0.3">
      <c r="A83" s="73"/>
      <c r="B83" s="841"/>
      <c r="C83" s="827"/>
      <c r="D83" s="842"/>
      <c r="E83" s="842"/>
      <c r="F83" s="842"/>
      <c r="G83" s="842"/>
      <c r="H83" s="902"/>
      <c r="I83" s="1063"/>
      <c r="J83" s="1064"/>
      <c r="K83" s="1064"/>
      <c r="L83" s="1065"/>
      <c r="M83" s="1066"/>
      <c r="N83" s="820"/>
      <c r="O83" s="847"/>
      <c r="P83" s="847"/>
      <c r="Q83" s="1067"/>
      <c r="R83" s="1066"/>
      <c r="S83" s="820"/>
      <c r="T83" s="847"/>
      <c r="U83" s="847"/>
      <c r="V83" s="1067"/>
      <c r="W83" s="1067"/>
      <c r="AA83" s="781"/>
      <c r="AB83" s="781"/>
      <c r="AC83" s="781"/>
      <c r="AD83" s="781"/>
      <c r="AE83" s="781"/>
      <c r="AF83" s="781"/>
      <c r="AG83" s="781"/>
      <c r="AH83" s="1068"/>
      <c r="AI83" s="1068"/>
      <c r="AJ83" s="1068"/>
      <c r="AK83" s="1068"/>
      <c r="AL83" s="1068"/>
      <c r="AM83" s="1068"/>
      <c r="AN83" s="1068"/>
      <c r="AO83" s="1068"/>
      <c r="AP83" s="1068"/>
      <c r="AQ83" s="1068"/>
      <c r="AR83" s="1068"/>
      <c r="AS83" s="1068"/>
      <c r="AT83" s="1068"/>
      <c r="AU83" s="1068"/>
      <c r="AV83" s="1068"/>
      <c r="AW83" s="1068"/>
      <c r="AX83" s="1068"/>
      <c r="AY83" s="1068"/>
      <c r="AZ83" s="1068"/>
      <c r="BA83" s="1068"/>
      <c r="BB83" s="1068"/>
      <c r="BC83" s="1068"/>
      <c r="BD83" s="1068"/>
      <c r="BE83" s="1068"/>
      <c r="BF83" s="1068"/>
      <c r="BG83" s="1068"/>
    </row>
    <row r="84" spans="1:59" s="780" customFormat="1" collapsed="1" x14ac:dyDescent="0.3">
      <c r="A84" s="73"/>
      <c r="B84" s="1069" t="s">
        <v>849</v>
      </c>
      <c r="C84" s="1070"/>
      <c r="D84" s="1071"/>
      <c r="E84" s="1071"/>
      <c r="F84" s="1071"/>
      <c r="G84" s="1071"/>
      <c r="H84" s="1072"/>
      <c r="I84" s="1073"/>
      <c r="J84" s="1074"/>
      <c r="K84" s="1074"/>
      <c r="L84" s="1070"/>
      <c r="M84" s="1075"/>
      <c r="N84" s="1070"/>
      <c r="O84" s="1076"/>
      <c r="P84" s="1076"/>
      <c r="Q84" s="1077"/>
      <c r="R84" s="1075"/>
      <c r="S84" s="1070"/>
      <c r="T84" s="1076"/>
      <c r="U84" s="1076"/>
      <c r="V84" s="1077"/>
      <c r="W84" s="1077"/>
      <c r="X84" s="795"/>
      <c r="Y84" s="795"/>
      <c r="Z84" s="795"/>
      <c r="AA84" s="2194"/>
      <c r="AB84" s="2194"/>
      <c r="AC84" s="2194"/>
      <c r="AD84" s="2194"/>
      <c r="AE84" s="2194"/>
      <c r="AF84" s="2194"/>
      <c r="AG84" s="2194"/>
      <c r="AH84" s="1888"/>
      <c r="AI84" s="1888"/>
      <c r="AJ84" s="1888"/>
      <c r="AK84" s="1888"/>
      <c r="AL84" s="1888"/>
      <c r="AM84" s="1888"/>
      <c r="AN84" s="1068"/>
      <c r="AO84" s="1068"/>
      <c r="AP84" s="1068"/>
      <c r="AQ84" s="1068"/>
      <c r="AR84" s="1068"/>
      <c r="AS84" s="1068"/>
      <c r="AT84" s="1068"/>
      <c r="AU84" s="1068"/>
      <c r="AV84" s="1068"/>
      <c r="AW84" s="1068"/>
      <c r="AX84" s="1068"/>
      <c r="AY84" s="1068"/>
      <c r="AZ84" s="1068"/>
      <c r="BA84" s="1068"/>
      <c r="BB84" s="1068"/>
      <c r="BC84" s="1068"/>
      <c r="BD84" s="1068"/>
      <c r="BE84" s="1068"/>
      <c r="BF84" s="1068"/>
      <c r="BG84" s="1068"/>
    </row>
    <row r="85" spans="1:59" s="780" customFormat="1" hidden="1" outlineLevel="1" x14ac:dyDescent="0.3">
      <c r="A85" s="73"/>
      <c r="B85" s="841"/>
      <c r="C85" s="827"/>
      <c r="D85" s="842"/>
      <c r="E85" s="842"/>
      <c r="F85" s="842"/>
      <c r="G85" s="842"/>
      <c r="H85" s="902"/>
      <c r="I85" s="1078"/>
      <c r="J85" s="797"/>
      <c r="K85" s="797"/>
      <c r="L85" s="827"/>
      <c r="M85" s="850"/>
      <c r="N85" s="827"/>
      <c r="O85" s="904"/>
      <c r="P85" s="904"/>
      <c r="Q85" s="1079"/>
      <c r="R85" s="850"/>
      <c r="S85" s="827"/>
      <c r="T85" s="904"/>
      <c r="U85" s="904"/>
      <c r="V85" s="1079"/>
      <c r="W85" s="1079"/>
      <c r="X85" s="795"/>
      <c r="Y85" s="795"/>
      <c r="Z85" s="795"/>
      <c r="AA85" s="2194"/>
      <c r="AB85" s="2194"/>
      <c r="AC85" s="2194"/>
      <c r="AD85" s="2194"/>
      <c r="AE85" s="2194"/>
      <c r="AF85" s="2194"/>
      <c r="AG85" s="2194"/>
      <c r="AH85" s="1888"/>
      <c r="AI85" s="1888"/>
      <c r="AJ85" s="1888"/>
      <c r="AK85" s="1888"/>
      <c r="AL85" s="1888"/>
      <c r="AM85" s="1888"/>
      <c r="AN85" s="1068"/>
      <c r="AO85" s="1068"/>
      <c r="AP85" s="1068"/>
      <c r="AQ85" s="1068"/>
      <c r="AR85" s="1068"/>
      <c r="AS85" s="1068"/>
      <c r="AT85" s="1068"/>
      <c r="AU85" s="1068"/>
      <c r="AV85" s="1068"/>
      <c r="AW85" s="1068"/>
      <c r="AX85" s="1068"/>
      <c r="AY85" s="1068"/>
      <c r="AZ85" s="1068"/>
      <c r="BA85" s="1068"/>
      <c r="BB85" s="1068"/>
      <c r="BC85" s="1068"/>
      <c r="BD85" s="1068"/>
      <c r="BE85" s="1068"/>
      <c r="BF85" s="1068"/>
      <c r="BG85" s="1068"/>
    </row>
    <row r="86" spans="1:59" s="780" customFormat="1" hidden="1" outlineLevel="1" x14ac:dyDescent="0.3">
      <c r="A86" s="73"/>
      <c r="B86" s="841"/>
      <c r="C86" s="827"/>
      <c r="D86" s="842"/>
      <c r="E86" s="842"/>
      <c r="F86" s="842"/>
      <c r="G86" s="842"/>
      <c r="H86" s="850"/>
      <c r="L86" s="827"/>
      <c r="M86" s="899" t="s">
        <v>56</v>
      </c>
      <c r="N86" s="2153">
        <f>KeyAssumptionsPriceControl_FO!AC44</f>
        <v>0.03</v>
      </c>
      <c r="Q86" s="1080"/>
      <c r="R86" s="850"/>
      <c r="S86" s="827"/>
      <c r="T86" s="902"/>
      <c r="U86" s="902"/>
      <c r="V86" s="1080"/>
      <c r="W86" s="1080"/>
      <c r="X86" s="797"/>
      <c r="Y86" s="797"/>
      <c r="Z86" s="797"/>
      <c r="AA86" s="2195"/>
      <c r="AB86" s="2195"/>
      <c r="AC86" s="2195"/>
      <c r="AD86" s="2195"/>
      <c r="AE86" s="2195"/>
      <c r="AF86" s="2195"/>
      <c r="AG86" s="2195"/>
      <c r="AH86" s="2199"/>
      <c r="AI86" s="2199"/>
      <c r="AJ86" s="2199"/>
      <c r="AK86" s="2199"/>
      <c r="AL86" s="2199"/>
      <c r="AM86" s="2199"/>
      <c r="AN86" s="1068"/>
      <c r="AO86" s="1068"/>
      <c r="AP86" s="1068"/>
      <c r="AQ86" s="1068"/>
      <c r="AR86" s="1068"/>
      <c r="AS86" s="1068"/>
      <c r="AT86" s="1068"/>
      <c r="AU86" s="1068"/>
      <c r="AV86" s="1068"/>
      <c r="AW86" s="1068"/>
      <c r="AX86" s="1068"/>
      <c r="AY86" s="1068"/>
      <c r="AZ86" s="1068"/>
      <c r="BA86" s="1068"/>
      <c r="BB86" s="1068"/>
      <c r="BC86" s="1068"/>
      <c r="BD86" s="1068"/>
      <c r="BE86" s="1068"/>
      <c r="BF86" s="1068"/>
      <c r="BG86" s="1068"/>
    </row>
    <row r="87" spans="1:59" s="780" customFormat="1" hidden="1" outlineLevel="1" x14ac:dyDescent="0.3">
      <c r="A87" s="73"/>
      <c r="B87" s="1081" t="s">
        <v>850</v>
      </c>
      <c r="C87" s="1082" t="s">
        <v>272</v>
      </c>
      <c r="D87" s="1082" t="str">
        <f>D9</f>
        <v>2013-14</v>
      </c>
      <c r="E87" s="1082" t="str">
        <f t="shared" ref="E87:R87" si="139">E9</f>
        <v>2014-15</v>
      </c>
      <c r="F87" s="1082" t="str">
        <f t="shared" si="139"/>
        <v>2015-16</v>
      </c>
      <c r="G87" s="1082" t="str">
        <f t="shared" si="139"/>
        <v>2016-17</v>
      </c>
      <c r="H87" s="1082" t="str">
        <f t="shared" si="139"/>
        <v>2017-18</v>
      </c>
      <c r="I87" s="1083" t="str">
        <f t="shared" si="139"/>
        <v>2018-19</v>
      </c>
      <c r="J87" s="1082" t="str">
        <f t="shared" si="139"/>
        <v>2019-20</v>
      </c>
      <c r="K87" s="1082" t="str">
        <f t="shared" si="139"/>
        <v>2020-21</v>
      </c>
      <c r="L87" s="1082" t="str">
        <f t="shared" si="139"/>
        <v>2021-22</v>
      </c>
      <c r="M87" s="1084" t="str">
        <f t="shared" si="139"/>
        <v>2022-23</v>
      </c>
      <c r="N87" s="1082" t="str">
        <f t="shared" si="139"/>
        <v>2023-24</v>
      </c>
      <c r="O87" s="1082" t="str">
        <f t="shared" si="139"/>
        <v>2024-25</v>
      </c>
      <c r="P87" s="1082" t="str">
        <f t="shared" si="139"/>
        <v>2025-26</v>
      </c>
      <c r="Q87" s="1082" t="str">
        <f t="shared" si="139"/>
        <v>2026-27</v>
      </c>
      <c r="R87" s="1084" t="str">
        <f t="shared" si="139"/>
        <v>2027-28</v>
      </c>
      <c r="S87" s="1082" t="str">
        <f t="shared" ref="S87:W87" si="140">S9</f>
        <v>2028-29</v>
      </c>
      <c r="T87" s="1082" t="str">
        <f t="shared" si="140"/>
        <v>2029-30</v>
      </c>
      <c r="U87" s="1082" t="str">
        <f t="shared" si="140"/>
        <v>2030-31</v>
      </c>
      <c r="V87" s="1082" t="str">
        <f t="shared" si="140"/>
        <v>2031-32</v>
      </c>
      <c r="W87" s="1082" t="str">
        <f t="shared" si="140"/>
        <v>2032-33</v>
      </c>
      <c r="X87" s="797"/>
      <c r="Y87" s="797"/>
      <c r="Z87" s="797"/>
      <c r="AA87" s="2195"/>
      <c r="AB87" s="2195"/>
      <c r="AC87" s="2195"/>
      <c r="AD87" s="2195"/>
      <c r="AE87" s="2195"/>
      <c r="AF87" s="2195"/>
      <c r="AG87" s="2195"/>
      <c r="AH87" s="2199"/>
      <c r="AI87" s="2199"/>
      <c r="AJ87" s="2199"/>
      <c r="AK87" s="2199"/>
      <c r="AL87" s="2199"/>
      <c r="AM87" s="2199"/>
      <c r="AN87" s="1068"/>
      <c r="AO87" s="1068"/>
      <c r="AP87" s="1068"/>
      <c r="AQ87" s="1068"/>
      <c r="AR87" s="1068"/>
      <c r="AS87" s="1068"/>
      <c r="AT87" s="1068"/>
      <c r="AU87" s="1068"/>
      <c r="AV87" s="1068"/>
      <c r="AW87" s="1068"/>
      <c r="AX87" s="1068"/>
      <c r="AY87" s="1068"/>
      <c r="AZ87" s="1068"/>
      <c r="BA87" s="1068"/>
      <c r="BB87" s="1068"/>
      <c r="BC87" s="1068"/>
      <c r="BD87" s="1068"/>
      <c r="BE87" s="1068"/>
      <c r="BF87" s="1068"/>
      <c r="BG87" s="1068"/>
    </row>
    <row r="88" spans="1:59" s="780" customFormat="1" ht="11.25" hidden="1" customHeight="1" outlineLevel="1" x14ac:dyDescent="0.3">
      <c r="A88" s="73"/>
      <c r="B88" s="1085" t="s">
        <v>851</v>
      </c>
      <c r="C88" s="1086" t="str">
        <f t="shared" ref="C88:H88" si="141">+"$,"&amp;C87</f>
        <v>$,2012-13</v>
      </c>
      <c r="D88" s="1086" t="str">
        <f t="shared" si="141"/>
        <v>$,2013-14</v>
      </c>
      <c r="E88" s="1086" t="str">
        <f t="shared" si="141"/>
        <v>$,2014-15</v>
      </c>
      <c r="F88" s="1086" t="str">
        <f t="shared" si="141"/>
        <v>$,2015-16</v>
      </c>
      <c r="G88" s="1086" t="str">
        <f t="shared" si="141"/>
        <v>$,2016-17</v>
      </c>
      <c r="H88" s="1086" t="str">
        <f t="shared" si="141"/>
        <v>$,2017-18</v>
      </c>
      <c r="I88" s="1087" t="str">
        <f t="shared" ref="I88:R88" si="142">+"$,"&amp;I87</f>
        <v>$,2018-19</v>
      </c>
      <c r="J88" s="1086" t="str">
        <f t="shared" si="142"/>
        <v>$,2019-20</v>
      </c>
      <c r="K88" s="1086" t="str">
        <f t="shared" si="142"/>
        <v>$,2020-21</v>
      </c>
      <c r="L88" s="1086" t="str">
        <f t="shared" si="142"/>
        <v>$,2021-22</v>
      </c>
      <c r="M88" s="1088" t="str">
        <f t="shared" si="142"/>
        <v>$,2022-23</v>
      </c>
      <c r="N88" s="1086" t="str">
        <f t="shared" si="142"/>
        <v>$,2023-24</v>
      </c>
      <c r="O88" s="1086" t="str">
        <f t="shared" si="142"/>
        <v>$,2024-25</v>
      </c>
      <c r="P88" s="1086" t="str">
        <f t="shared" si="142"/>
        <v>$,2025-26</v>
      </c>
      <c r="Q88" s="1086" t="str">
        <f t="shared" si="142"/>
        <v>$,2026-27</v>
      </c>
      <c r="R88" s="1088" t="str">
        <f t="shared" si="142"/>
        <v>$,2027-28</v>
      </c>
      <c r="S88" s="1086" t="str">
        <f t="shared" ref="S88:W88" si="143">+"$,"&amp;S87</f>
        <v>$,2028-29</v>
      </c>
      <c r="T88" s="1086" t="str">
        <f t="shared" si="143"/>
        <v>$,2029-30</v>
      </c>
      <c r="U88" s="1086" t="str">
        <f t="shared" si="143"/>
        <v>$,2030-31</v>
      </c>
      <c r="V88" s="1086" t="str">
        <f t="shared" si="143"/>
        <v>$,2031-32</v>
      </c>
      <c r="W88" s="1086" t="str">
        <f t="shared" si="143"/>
        <v>$,2032-33</v>
      </c>
      <c r="X88" s="797"/>
      <c r="Y88" s="797"/>
      <c r="Z88" s="797"/>
      <c r="AA88" s="2195"/>
      <c r="AB88" s="2195"/>
      <c r="AC88" s="2195"/>
      <c r="AD88" s="2195"/>
      <c r="AE88" s="2195"/>
      <c r="AF88" s="2195"/>
      <c r="AG88" s="2195"/>
      <c r="AH88" s="2199"/>
      <c r="AI88" s="2199"/>
      <c r="AJ88" s="2199"/>
      <c r="AK88" s="2199"/>
      <c r="AL88" s="2199"/>
      <c r="AM88" s="2199"/>
      <c r="AN88" s="1068"/>
      <c r="AO88" s="1068"/>
      <c r="AP88" s="1068"/>
      <c r="AQ88" s="1068"/>
      <c r="AR88" s="1068"/>
      <c r="AS88" s="1068"/>
      <c r="AT88" s="1068"/>
      <c r="AU88" s="1068"/>
      <c r="AV88" s="1068"/>
      <c r="AW88" s="1068"/>
      <c r="AX88" s="1068"/>
      <c r="AY88" s="1068"/>
      <c r="AZ88" s="1068"/>
      <c r="BA88" s="1068"/>
      <c r="BB88" s="1068"/>
      <c r="BC88" s="1068"/>
      <c r="BD88" s="1068"/>
      <c r="BE88" s="1068"/>
      <c r="BF88" s="1068"/>
      <c r="BG88" s="1068"/>
    </row>
    <row r="89" spans="1:59" s="780" customFormat="1" hidden="1" outlineLevel="1" x14ac:dyDescent="0.3">
      <c r="A89" s="73"/>
      <c r="B89" s="1085" t="s">
        <v>852</v>
      </c>
      <c r="C89" s="1884">
        <f>KeyAssumptionsPriceControl_FO!R13</f>
        <v>99.9</v>
      </c>
      <c r="D89" s="1885">
        <f>KeyAssumptionsPriceControl_FO!S13</f>
        <v>102.4</v>
      </c>
      <c r="E89" s="1884">
        <f>KeyAssumptionsPriceControl_FO!T13</f>
        <v>105.4</v>
      </c>
      <c r="F89" s="1884">
        <f>KeyAssumptionsPriceControl_FO!U13</f>
        <v>106.8</v>
      </c>
      <c r="G89" s="1884">
        <f>KeyAssumptionsPriceControl_FO!V13</f>
        <v>108.2</v>
      </c>
      <c r="H89" s="1886">
        <f>KeyAssumptionsPriceControl_FO!W13</f>
        <v>110.5</v>
      </c>
      <c r="I89" s="1887">
        <f>KeyAssumptionsPriceControl_FO!X13</f>
        <v>112.6</v>
      </c>
      <c r="J89" s="2154">
        <f>KeyAssumptionsPriceControl_FO!Y13</f>
        <v>114.1</v>
      </c>
      <c r="K89" s="1887">
        <f>KeyAssumptionsPriceControl_FO!Z13</f>
        <v>116.6</v>
      </c>
      <c r="L89" s="1887">
        <f>KeyAssumptionsPriceControl_FO!AA13</f>
        <v>117.9</v>
      </c>
      <c r="M89" s="1887">
        <f>KeyAssumptionsPriceControl_FO!AB13</f>
        <v>123.9</v>
      </c>
      <c r="N89" s="1089">
        <f>M89*(1+$N$86)</f>
        <v>127.617</v>
      </c>
      <c r="O89" s="1089">
        <f>N89*(1+$N$86)</f>
        <v>131.44551000000001</v>
      </c>
      <c r="P89" s="1089">
        <f t="shared" ref="P89:Q89" si="144">O89*(1+$N$86)</f>
        <v>135.38887530000002</v>
      </c>
      <c r="Q89" s="1089">
        <f t="shared" si="144"/>
        <v>139.45054155900002</v>
      </c>
      <c r="R89" s="2189">
        <f t="shared" ref="R89:W89" si="145">Q89*(1+$N$86)</f>
        <v>143.63405780577003</v>
      </c>
      <c r="S89" s="1089">
        <f t="shared" si="145"/>
        <v>147.94307953994314</v>
      </c>
      <c r="T89" s="1089">
        <f t="shared" si="145"/>
        <v>152.38137192614144</v>
      </c>
      <c r="U89" s="1089">
        <f t="shared" si="145"/>
        <v>156.95281308392569</v>
      </c>
      <c r="V89" s="1089">
        <f t="shared" si="145"/>
        <v>161.66139747644345</v>
      </c>
      <c r="W89" s="1089">
        <f t="shared" si="145"/>
        <v>166.51123940073677</v>
      </c>
      <c r="X89" s="797"/>
      <c r="Y89" s="797"/>
      <c r="Z89" s="797"/>
      <c r="AA89" s="2195"/>
      <c r="AB89" s="2195"/>
      <c r="AC89" s="2195"/>
      <c r="AD89" s="2195"/>
      <c r="AE89" s="2195"/>
      <c r="AF89" s="2195"/>
      <c r="AG89" s="2195"/>
      <c r="AH89" s="2199"/>
      <c r="AI89" s="2199"/>
      <c r="AJ89" s="2199"/>
      <c r="AK89" s="2199"/>
      <c r="AL89" s="2199"/>
      <c r="AM89" s="2199"/>
      <c r="AN89" s="1068"/>
      <c r="AO89" s="1068"/>
      <c r="AP89" s="1068"/>
      <c r="AQ89" s="1068"/>
      <c r="AR89" s="1068"/>
      <c r="AS89" s="1068"/>
      <c r="AT89" s="1068"/>
      <c r="AU89" s="1068"/>
      <c r="AV89" s="1068"/>
      <c r="AW89" s="1068"/>
      <c r="AX89" s="1068"/>
      <c r="AY89" s="1068"/>
      <c r="AZ89" s="1068"/>
      <c r="BA89" s="1068"/>
      <c r="BB89" s="1068"/>
      <c r="BC89" s="1068"/>
      <c r="BD89" s="1068"/>
      <c r="BE89" s="1068"/>
      <c r="BF89" s="1068"/>
      <c r="BG89" s="1068"/>
    </row>
    <row r="90" spans="1:59" s="780" customFormat="1" hidden="1" outlineLevel="1" x14ac:dyDescent="0.3">
      <c r="A90" s="73"/>
      <c r="B90" s="1085" t="s">
        <v>80</v>
      </c>
      <c r="C90" s="1090">
        <v>0</v>
      </c>
      <c r="D90" s="1091">
        <f>D89/C89-1</f>
        <v>2.5025025025025016E-2</v>
      </c>
      <c r="E90" s="1091">
        <f>E89/D89-1</f>
        <v>2.9296875E-2</v>
      </c>
      <c r="F90" s="1091">
        <f>F89/E89-1</f>
        <v>1.3282732447817747E-2</v>
      </c>
      <c r="G90" s="1091">
        <f>G89/F89-1</f>
        <v>1.3108614232209881E-2</v>
      </c>
      <c r="H90" s="1091">
        <f>H89/G89-1</f>
        <v>2.1256931608133023E-2</v>
      </c>
      <c r="I90" s="1092">
        <f t="shared" ref="I90:R90" si="146">I89/H89-1</f>
        <v>1.9004524886877761E-2</v>
      </c>
      <c r="J90" s="1091">
        <f t="shared" si="146"/>
        <v>1.3321492007104752E-2</v>
      </c>
      <c r="K90" s="1091">
        <f t="shared" si="146"/>
        <v>2.1910604732690686E-2</v>
      </c>
      <c r="L90" s="1091">
        <f t="shared" si="146"/>
        <v>1.1149228130360234E-2</v>
      </c>
      <c r="M90" s="1093">
        <f t="shared" si="146"/>
        <v>5.0890585241730291E-2</v>
      </c>
      <c r="N90" s="1091">
        <f t="shared" si="146"/>
        <v>3.0000000000000027E-2</v>
      </c>
      <c r="O90" s="1091">
        <f t="shared" si="146"/>
        <v>3.0000000000000027E-2</v>
      </c>
      <c r="P90" s="1091">
        <f t="shared" si="146"/>
        <v>3.0000000000000027E-2</v>
      </c>
      <c r="Q90" s="1091">
        <f t="shared" si="146"/>
        <v>3.0000000000000027E-2</v>
      </c>
      <c r="R90" s="1093">
        <f t="shared" si="146"/>
        <v>3.0000000000000027E-2</v>
      </c>
      <c r="S90" s="1091">
        <f t="shared" ref="S90" si="147">S89/R89-1</f>
        <v>3.0000000000000027E-2</v>
      </c>
      <c r="T90" s="1091">
        <f t="shared" ref="T90" si="148">T89/S89-1</f>
        <v>3.0000000000000027E-2</v>
      </c>
      <c r="U90" s="1091">
        <f t="shared" ref="U90" si="149">U89/T89-1</f>
        <v>3.0000000000000027E-2</v>
      </c>
      <c r="V90" s="1091">
        <f t="shared" ref="V90" si="150">V89/U89-1</f>
        <v>3.0000000000000027E-2</v>
      </c>
      <c r="W90" s="1091">
        <f t="shared" ref="W90" si="151">W89/V89-1</f>
        <v>3.0000000000000027E-2</v>
      </c>
      <c r="X90" s="797"/>
      <c r="Y90" s="797"/>
      <c r="Z90" s="797"/>
      <c r="AA90" s="2195"/>
      <c r="AB90" s="2195"/>
      <c r="AC90" s="2195"/>
      <c r="AD90" s="2195"/>
      <c r="AE90" s="2195"/>
      <c r="AF90" s="2195"/>
      <c r="AG90" s="2195"/>
      <c r="AH90" s="2199"/>
      <c r="AI90" s="2199"/>
      <c r="AJ90" s="2199"/>
      <c r="AK90" s="2199"/>
      <c r="AL90" s="2199"/>
      <c r="AM90" s="2199"/>
      <c r="AN90" s="1068"/>
      <c r="AO90" s="1068"/>
      <c r="AP90" s="1068"/>
      <c r="AQ90" s="1068"/>
      <c r="AR90" s="1068"/>
      <c r="AS90" s="1068"/>
      <c r="AT90" s="1068"/>
      <c r="AU90" s="1068"/>
      <c r="AV90" s="1068"/>
      <c r="AW90" s="1068"/>
      <c r="AX90" s="1068"/>
      <c r="AY90" s="1068"/>
      <c r="AZ90" s="1068"/>
      <c r="BA90" s="1068"/>
      <c r="BB90" s="1068"/>
      <c r="BC90" s="1068"/>
      <c r="BD90" s="1068"/>
      <c r="BE90" s="1068"/>
      <c r="BF90" s="1068"/>
      <c r="BG90" s="1068"/>
    </row>
    <row r="91" spans="1:59" s="780" customFormat="1" ht="12.5" thickBot="1" x14ac:dyDescent="0.35">
      <c r="A91" s="73"/>
      <c r="B91" s="1085"/>
      <c r="C91" s="1090"/>
      <c r="D91" s="1091"/>
      <c r="E91" s="1091"/>
      <c r="F91" s="1091"/>
      <c r="G91" s="1091"/>
      <c r="H91" s="1091"/>
      <c r="I91" s="1092"/>
      <c r="J91" s="1091"/>
      <c r="K91" s="1091"/>
      <c r="L91" s="1091"/>
      <c r="M91" s="1093"/>
      <c r="N91" s="1091"/>
      <c r="O91" s="1091"/>
      <c r="P91" s="1091"/>
      <c r="Q91" s="1091"/>
      <c r="R91" s="1093"/>
      <c r="S91" s="1091"/>
      <c r="T91" s="1091"/>
      <c r="U91" s="1091"/>
      <c r="V91" s="1091"/>
      <c r="W91" s="1091"/>
      <c r="X91" s="797"/>
      <c r="Y91" s="797"/>
      <c r="Z91" s="797"/>
      <c r="AA91" s="2195"/>
      <c r="AB91" s="2195"/>
      <c r="AC91" s="2195"/>
      <c r="AD91" s="2195"/>
      <c r="AE91" s="2195"/>
      <c r="AF91" s="2195"/>
      <c r="AG91" s="2195"/>
      <c r="AH91" s="2199"/>
      <c r="AI91" s="2199"/>
      <c r="AJ91" s="2199"/>
      <c r="AK91" s="2199"/>
      <c r="AL91" s="2199"/>
      <c r="AM91" s="2199"/>
      <c r="AN91" s="1068"/>
      <c r="AO91" s="1068"/>
      <c r="AP91" s="1068"/>
      <c r="AQ91" s="1068"/>
      <c r="AR91" s="1068"/>
      <c r="AS91" s="1068"/>
      <c r="AT91" s="1068"/>
      <c r="AU91" s="1068"/>
      <c r="AV91" s="1068"/>
      <c r="AW91" s="1068"/>
      <c r="AX91" s="1068"/>
      <c r="AY91" s="1068"/>
      <c r="AZ91" s="1068"/>
      <c r="BA91" s="1068"/>
      <c r="BB91" s="1068"/>
      <c r="BC91" s="1068"/>
      <c r="BD91" s="1068"/>
      <c r="BE91" s="1068"/>
      <c r="BF91" s="1068"/>
      <c r="BG91" s="1068"/>
    </row>
    <row r="92" spans="1:59" s="780" customFormat="1" ht="12.5" thickBot="1" x14ac:dyDescent="0.35">
      <c r="A92" s="73"/>
      <c r="B92" s="1094" t="s">
        <v>1078</v>
      </c>
      <c r="C92" s="827"/>
      <c r="D92" s="842"/>
      <c r="E92" s="842"/>
      <c r="F92" s="842"/>
      <c r="G92" s="842"/>
      <c r="H92" s="827"/>
      <c r="I92" s="1095"/>
      <c r="J92" s="1096"/>
      <c r="K92" s="1096"/>
      <c r="L92" s="1096"/>
      <c r="M92" s="1097"/>
      <c r="N92" s="827"/>
      <c r="O92" s="827"/>
      <c r="P92" s="827"/>
      <c r="Q92" s="797"/>
      <c r="R92" s="1097"/>
      <c r="S92" s="827"/>
      <c r="T92" s="827"/>
      <c r="U92" s="827"/>
      <c r="V92" s="797"/>
      <c r="W92" s="797"/>
      <c r="X92" s="1098"/>
      <c r="Y92" s="1098"/>
      <c r="Z92" s="1098"/>
      <c r="AA92" s="1214"/>
      <c r="AB92" s="1214"/>
      <c r="AC92" s="1214"/>
      <c r="AD92" s="1214"/>
      <c r="AE92" s="1214"/>
      <c r="AF92" s="1214"/>
      <c r="AG92" s="1214"/>
      <c r="AH92" s="2200"/>
      <c r="AI92" s="2200"/>
      <c r="AJ92" s="2200"/>
      <c r="AK92" s="2200"/>
      <c r="AL92" s="2200"/>
      <c r="AM92" s="2200"/>
      <c r="AN92" s="1888">
        <f t="shared" ref="AN92" si="152">AN38</f>
        <v>0</v>
      </c>
      <c r="AO92" s="1888">
        <f t="shared" ref="AO92:BF92" si="153">AO38</f>
        <v>0</v>
      </c>
      <c r="AP92" s="1888">
        <f t="shared" si="153"/>
        <v>0</v>
      </c>
      <c r="AQ92" s="1888">
        <f t="shared" si="153"/>
        <v>0</v>
      </c>
      <c r="AR92" s="1888">
        <f t="shared" si="153"/>
        <v>0</v>
      </c>
      <c r="AS92" s="1888">
        <f t="shared" si="153"/>
        <v>0</v>
      </c>
      <c r="AT92" s="1888">
        <f t="shared" si="153"/>
        <v>0</v>
      </c>
      <c r="AU92" s="1888">
        <f t="shared" si="153"/>
        <v>0</v>
      </c>
      <c r="AV92" s="1888">
        <f t="shared" si="153"/>
        <v>0</v>
      </c>
      <c r="AW92" s="1888">
        <f t="shared" si="153"/>
        <v>0</v>
      </c>
      <c r="AX92" s="1888">
        <f t="shared" si="153"/>
        <v>0</v>
      </c>
      <c r="AY92" s="1888">
        <f t="shared" si="153"/>
        <v>0</v>
      </c>
      <c r="AZ92" s="1888">
        <f t="shared" si="153"/>
        <v>0</v>
      </c>
      <c r="BA92" s="1888">
        <f t="shared" si="153"/>
        <v>0</v>
      </c>
      <c r="BB92" s="1888">
        <f t="shared" si="153"/>
        <v>0</v>
      </c>
      <c r="BC92" s="1888">
        <f t="shared" si="153"/>
        <v>0</v>
      </c>
      <c r="BD92" s="1888">
        <f t="shared" si="153"/>
        <v>0</v>
      </c>
      <c r="BE92" s="1888">
        <f t="shared" si="153"/>
        <v>0</v>
      </c>
      <c r="BF92" s="1888">
        <f t="shared" si="153"/>
        <v>0</v>
      </c>
      <c r="BG92" s="1888">
        <f t="shared" ref="BG92" si="154">BG38</f>
        <v>0</v>
      </c>
    </row>
    <row r="93" spans="1:59" s="1102" customFormat="1" x14ac:dyDescent="0.3">
      <c r="A93" s="73"/>
      <c r="B93" s="1099" t="s">
        <v>799</v>
      </c>
      <c r="C93" s="1100"/>
      <c r="D93" s="1889">
        <f t="shared" ref="D93:M93" si="155">D78*($M$89/D$89)</f>
        <v>1466.8086834451426</v>
      </c>
      <c r="E93" s="1889">
        <f t="shared" si="155"/>
        <v>1391.4400513571486</v>
      </c>
      <c r="F93" s="1889">
        <f t="shared" si="155"/>
        <v>1385.5215292046232</v>
      </c>
      <c r="G93" s="1889">
        <f t="shared" si="155"/>
        <v>1382.41047116451</v>
      </c>
      <c r="H93" s="1889">
        <f t="shared" si="155"/>
        <v>1379.987905469211</v>
      </c>
      <c r="I93" s="1890">
        <f t="shared" si="155"/>
        <v>1388.8941319715809</v>
      </c>
      <c r="J93" s="1889">
        <f t="shared" si="155"/>
        <v>1337.3500980512977</v>
      </c>
      <c r="K93" s="2190">
        <f t="shared" si="155"/>
        <v>1302.6887917744978</v>
      </c>
      <c r="L93" s="2190">
        <f t="shared" si="155"/>
        <v>1262.9496653277686</v>
      </c>
      <c r="M93" s="2191">
        <f t="shared" si="155"/>
        <v>1232.0612835590214</v>
      </c>
      <c r="N93" s="1891">
        <f t="shared" ref="N93:R93" si="156">N78</f>
        <v>1228.551360440812</v>
      </c>
      <c r="O93" s="1891">
        <f t="shared" si="156"/>
        <v>1240.0065803850057</v>
      </c>
      <c r="P93" s="1891">
        <f t="shared" si="156"/>
        <v>1251.5704216056824</v>
      </c>
      <c r="Q93" s="1891">
        <f t="shared" si="156"/>
        <v>1263.2439277870071</v>
      </c>
      <c r="R93" s="1892">
        <f t="shared" si="156"/>
        <v>1272.3520158598762</v>
      </c>
      <c r="S93" s="1891">
        <f t="shared" ref="S93:W93" si="157">S78</f>
        <v>1284.7237681636175</v>
      </c>
      <c r="T93" s="1891">
        <f t="shared" si="157"/>
        <v>1297.1901813914576</v>
      </c>
      <c r="U93" s="1891">
        <f t="shared" si="157"/>
        <v>1312.9087608437542</v>
      </c>
      <c r="V93" s="1891">
        <f t="shared" si="157"/>
        <v>1325.5646905105198</v>
      </c>
      <c r="W93" s="1893">
        <f t="shared" si="157"/>
        <v>1338.3188618975041</v>
      </c>
      <c r="X93" s="1101"/>
      <c r="Y93" s="1101"/>
      <c r="Z93" s="1101"/>
      <c r="AA93" s="1101"/>
      <c r="AB93" s="1101"/>
      <c r="AC93" s="1101"/>
      <c r="AD93" s="1101"/>
      <c r="AE93" s="1101"/>
      <c r="AF93" s="1101"/>
      <c r="AG93" s="1101"/>
      <c r="AH93" s="2201"/>
      <c r="AI93" s="2201"/>
      <c r="AJ93" s="2201"/>
      <c r="AK93" s="2201"/>
      <c r="AL93" s="2201"/>
      <c r="AM93" s="2201"/>
      <c r="AN93" s="875">
        <f t="shared" ref="AN93:AN94" si="158">D93</f>
        <v>1466.8086834451426</v>
      </c>
      <c r="AO93" s="875">
        <f t="shared" ref="AO93:AO94" si="159">E93</f>
        <v>1391.4400513571486</v>
      </c>
      <c r="AP93" s="875">
        <f t="shared" ref="AP93:AP94" si="160">F93</f>
        <v>1385.5215292046232</v>
      </c>
      <c r="AQ93" s="875">
        <f t="shared" ref="AQ93:AQ94" si="161">G93</f>
        <v>1382.41047116451</v>
      </c>
      <c r="AR93" s="875">
        <f t="shared" ref="AR93:AR94" si="162">H93</f>
        <v>1379.987905469211</v>
      </c>
      <c r="AS93" s="875">
        <f t="shared" ref="AS93:AS94" si="163">I93</f>
        <v>1388.8941319715809</v>
      </c>
      <c r="AT93" s="875">
        <f t="shared" ref="AT93:AT94" si="164">J93</f>
        <v>1337.3500980512977</v>
      </c>
      <c r="AU93" s="875">
        <f t="shared" ref="AU93:AU94" si="165">K93</f>
        <v>1302.6887917744978</v>
      </c>
      <c r="AV93" s="875">
        <f t="shared" ref="AV93:AV94" si="166">L93</f>
        <v>1262.9496653277686</v>
      </c>
      <c r="AW93" s="875">
        <f t="shared" ref="AW93:AW94" si="167">M93</f>
        <v>1232.0612835590214</v>
      </c>
      <c r="AX93" s="875">
        <f t="shared" ref="AX93:AX94" si="168">N93</f>
        <v>1228.551360440812</v>
      </c>
      <c r="AY93" s="875">
        <f t="shared" ref="AY93:AY94" si="169">O93</f>
        <v>1240.0065803850057</v>
      </c>
      <c r="AZ93" s="875">
        <f t="shared" ref="AZ93:AZ94" si="170">P93</f>
        <v>1251.5704216056824</v>
      </c>
      <c r="BA93" s="875">
        <f t="shared" ref="BA93:BA94" si="171">Q93</f>
        <v>1263.2439277870071</v>
      </c>
      <c r="BB93" s="875">
        <f t="shared" ref="BB93:BB94" si="172">R93</f>
        <v>1272.3520158598762</v>
      </c>
      <c r="BC93" s="875">
        <f t="shared" ref="BC93:BC94" si="173">S93</f>
        <v>1284.7237681636175</v>
      </c>
      <c r="BD93" s="875">
        <f t="shared" ref="BD93:BD94" si="174">T93</f>
        <v>1297.1901813914576</v>
      </c>
      <c r="BE93" s="875">
        <f t="shared" ref="BE93:BE94" si="175">U93</f>
        <v>1312.9087608437542</v>
      </c>
      <c r="BF93" s="875">
        <f t="shared" ref="BF93:BF94" si="176">V93</f>
        <v>1325.5646905105198</v>
      </c>
      <c r="BG93" s="875">
        <f t="shared" ref="BG93:BG94" si="177">W93</f>
        <v>1338.3188618975041</v>
      </c>
    </row>
    <row r="94" spans="1:59" s="1107" customFormat="1" x14ac:dyDescent="0.3">
      <c r="A94" s="73"/>
      <c r="B94" s="1103" t="s">
        <v>801</v>
      </c>
      <c r="C94" s="1104"/>
      <c r="D94" s="1105"/>
      <c r="E94" s="1894">
        <f>IF(E93=0,"-",E93/D93-1)</f>
        <v>-5.1382728326214377E-2</v>
      </c>
      <c r="F94" s="1894">
        <f t="shared" ref="F94:R94" si="178">IF(F93=0,"-",F93/E93-1)</f>
        <v>-4.2535229216327242E-3</v>
      </c>
      <c r="G94" s="1894">
        <f t="shared" si="178"/>
        <v>-2.2454057728710231E-3</v>
      </c>
      <c r="H94" s="1894">
        <f t="shared" si="178"/>
        <v>-1.7524214014802419E-3</v>
      </c>
      <c r="I94" s="1895">
        <f t="shared" si="178"/>
        <v>6.4538438830314959E-3</v>
      </c>
      <c r="J94" s="1894">
        <f t="shared" si="178"/>
        <v>-3.711156432572349E-2</v>
      </c>
      <c r="K94" s="1894">
        <f t="shared" si="178"/>
        <v>-2.5917900127503057E-2</v>
      </c>
      <c r="L94" s="1894">
        <f t="shared" si="178"/>
        <v>-3.0505464311700536E-2</v>
      </c>
      <c r="M94" s="1896">
        <f t="shared" si="178"/>
        <v>-2.4457333983085472E-2</v>
      </c>
      <c r="N94" s="1894">
        <f t="shared" si="178"/>
        <v>-2.8488218606060878E-3</v>
      </c>
      <c r="O94" s="1894">
        <f t="shared" si="178"/>
        <v>9.3241685395093477E-3</v>
      </c>
      <c r="P94" s="1894">
        <f t="shared" si="178"/>
        <v>9.3256289148775373E-3</v>
      </c>
      <c r="Q94" s="1894">
        <f t="shared" si="178"/>
        <v>9.3270869779331633E-3</v>
      </c>
      <c r="R94" s="1896">
        <f t="shared" si="178"/>
        <v>7.2100786495170599E-3</v>
      </c>
      <c r="S94" s="1894">
        <f t="shared" ref="S94" si="179">IF(S93=0,"-",S93/R93-1)</f>
        <v>9.7235294553137397E-3</v>
      </c>
      <c r="T94" s="1894">
        <f t="shared" ref="T94" si="180">IF(T93=0,"-",T93/S93-1)</f>
        <v>9.7035748359040053E-3</v>
      </c>
      <c r="U94" s="1894">
        <f t="shared" ref="U94" si="181">IF(U93=0,"-",U93/T93-1)</f>
        <v>1.2117405510605694E-2</v>
      </c>
      <c r="V94" s="1894">
        <f t="shared" ref="V94" si="182">IF(V93=0,"-",V93/U93-1)</f>
        <v>9.6396109495318072E-3</v>
      </c>
      <c r="W94" s="1897">
        <f t="shared" ref="W94" si="183">IF(W93=0,"-",W93/V93-1)</f>
        <v>9.6216891399485416E-3</v>
      </c>
      <c r="X94" s="1106"/>
      <c r="Y94" s="1106"/>
      <c r="Z94" s="1106"/>
      <c r="AA94" s="1106"/>
      <c r="AB94" s="1106"/>
      <c r="AC94" s="1106"/>
      <c r="AD94" s="1106"/>
      <c r="AE94" s="1106"/>
      <c r="AF94" s="1106"/>
      <c r="AG94" s="1106"/>
      <c r="AH94" s="2202"/>
      <c r="AI94" s="2202"/>
      <c r="AJ94" s="2202"/>
      <c r="AK94" s="2202"/>
      <c r="AL94" s="2202"/>
      <c r="AM94" s="2202"/>
      <c r="AN94" s="1857">
        <f t="shared" si="158"/>
        <v>0</v>
      </c>
      <c r="AO94" s="1857">
        <f t="shared" si="159"/>
        <v>-5.1382728326214377E-2</v>
      </c>
      <c r="AP94" s="1857">
        <f t="shared" si="160"/>
        <v>-4.2535229216327242E-3</v>
      </c>
      <c r="AQ94" s="1857">
        <f t="shared" si="161"/>
        <v>-2.2454057728710231E-3</v>
      </c>
      <c r="AR94" s="1857">
        <f t="shared" si="162"/>
        <v>-1.7524214014802419E-3</v>
      </c>
      <c r="AS94" s="1857">
        <f t="shared" si="163"/>
        <v>6.4538438830314959E-3</v>
      </c>
      <c r="AT94" s="1857">
        <f t="shared" si="164"/>
        <v>-3.711156432572349E-2</v>
      </c>
      <c r="AU94" s="1857">
        <f t="shared" si="165"/>
        <v>-2.5917900127503057E-2</v>
      </c>
      <c r="AV94" s="1857">
        <f t="shared" si="166"/>
        <v>-3.0505464311700536E-2</v>
      </c>
      <c r="AW94" s="1857">
        <f t="shared" si="167"/>
        <v>-2.4457333983085472E-2</v>
      </c>
      <c r="AX94" s="1857">
        <f t="shared" si="168"/>
        <v>-2.8488218606060878E-3</v>
      </c>
      <c r="AY94" s="1857">
        <f t="shared" si="169"/>
        <v>9.3241685395093477E-3</v>
      </c>
      <c r="AZ94" s="1857">
        <f t="shared" si="170"/>
        <v>9.3256289148775373E-3</v>
      </c>
      <c r="BA94" s="1857">
        <f t="shared" si="171"/>
        <v>9.3270869779331633E-3</v>
      </c>
      <c r="BB94" s="1857">
        <f t="shared" si="172"/>
        <v>7.2100786495170599E-3</v>
      </c>
      <c r="BC94" s="1857">
        <f t="shared" si="173"/>
        <v>9.7235294553137397E-3</v>
      </c>
      <c r="BD94" s="1857">
        <f t="shared" si="174"/>
        <v>9.7035748359040053E-3</v>
      </c>
      <c r="BE94" s="1857">
        <f t="shared" si="175"/>
        <v>1.2117405510605694E-2</v>
      </c>
      <c r="BF94" s="1857">
        <f t="shared" si="176"/>
        <v>9.6396109495318072E-3</v>
      </c>
      <c r="BG94" s="1857">
        <f t="shared" si="177"/>
        <v>9.6216891399485416E-3</v>
      </c>
    </row>
    <row r="95" spans="1:59" s="1109" customFormat="1" x14ac:dyDescent="0.3">
      <c r="A95" s="73"/>
      <c r="B95" s="864"/>
      <c r="C95" s="865"/>
      <c r="D95" s="866"/>
      <c r="E95" s="867"/>
      <c r="F95" s="867"/>
      <c r="G95" s="867"/>
      <c r="H95" s="867"/>
      <c r="I95" s="868"/>
      <c r="J95" s="867"/>
      <c r="K95" s="867"/>
      <c r="L95" s="867"/>
      <c r="M95" s="869"/>
      <c r="N95" s="867"/>
      <c r="O95" s="867"/>
      <c r="P95" s="867"/>
      <c r="Q95" s="867"/>
      <c r="R95" s="869"/>
      <c r="S95" s="867"/>
      <c r="T95" s="867"/>
      <c r="U95" s="867"/>
      <c r="V95" s="867"/>
      <c r="W95" s="870"/>
      <c r="X95" s="1108"/>
      <c r="Y95" s="1108"/>
      <c r="Z95" s="1108"/>
      <c r="AA95" s="1108"/>
      <c r="AB95" s="1108"/>
      <c r="AC95" s="1108"/>
      <c r="AD95" s="1108"/>
      <c r="AE95" s="1108"/>
      <c r="AF95" s="1108"/>
      <c r="AG95" s="1108"/>
      <c r="AH95" s="2203"/>
      <c r="AI95" s="2203"/>
      <c r="AJ95" s="2203"/>
      <c r="AK95" s="2203"/>
      <c r="AL95" s="2203"/>
      <c r="AM95" s="2203"/>
      <c r="AN95" s="875">
        <f t="shared" ref="AN95:AN96" si="184">D96</f>
        <v>322.47602719514265</v>
      </c>
      <c r="AO95" s="875">
        <f t="shared" ref="AO95:AO96" si="185">E96</f>
        <v>313.09861871957759</v>
      </c>
      <c r="AP95" s="875">
        <f t="shared" ref="AP95:AP96" si="186">F96</f>
        <v>311.01154044057813</v>
      </c>
      <c r="AQ95" s="875">
        <f t="shared" ref="AQ95:AQ96" si="187">G96</f>
        <v>310.83578539741217</v>
      </c>
      <c r="AR95" s="875">
        <f t="shared" ref="AR95:AR96" si="188">H96</f>
        <v>313.06874709817032</v>
      </c>
      <c r="AS95" s="875">
        <f t="shared" ref="AS95:AS96" si="189">I96</f>
        <v>337.80179626998233</v>
      </c>
      <c r="AT95" s="875">
        <f t="shared" ref="AT95:AT96" si="190">J96</f>
        <v>315.14795081203363</v>
      </c>
      <c r="AU95" s="875">
        <f t="shared" ref="AU95:AU96" si="191">K96</f>
        <v>315.13353448461777</v>
      </c>
      <c r="AV95" s="875">
        <f t="shared" ref="AV95:AV96" si="192">L96</f>
        <v>315.11991978069483</v>
      </c>
      <c r="AW95" s="875">
        <f t="shared" ref="AW95:AW96" si="193">M96</f>
        <v>313.6612835590214</v>
      </c>
      <c r="AX95" s="875">
        <f t="shared" ref="AX95:AX96" si="194">N96</f>
        <v>310.15136044081191</v>
      </c>
      <c r="AY95" s="875">
        <f t="shared" ref="AY95:AY96" si="195">O96</f>
        <v>312.4225803850058</v>
      </c>
      <c r="AZ95" s="875">
        <f t="shared" ref="AZ95:AZ96" si="196">P96</f>
        <v>314.71058160568242</v>
      </c>
      <c r="BA95" s="875">
        <f t="shared" ref="BA95:BA96" si="197">Q96</f>
        <v>317.01548938700694</v>
      </c>
      <c r="BB95" s="875">
        <f t="shared" ref="BB95:BB96" si="198">R96</f>
        <v>316.66129307587619</v>
      </c>
      <c r="BC95" s="875">
        <f t="shared" ref="BC95:BC96" si="199">S96</f>
        <v>319.47613815177743</v>
      </c>
      <c r="BD95" s="875">
        <f t="shared" ref="BD95:BD96" si="200">T96</f>
        <v>322.29007507949916</v>
      </c>
      <c r="BE95" s="875">
        <f t="shared" ref="BE95:BE96" si="201">U96</f>
        <v>328.25965346867611</v>
      </c>
      <c r="BF95" s="875">
        <f t="shared" ref="BF95:BF96" si="202">V96</f>
        <v>331.06909206169092</v>
      </c>
      <c r="BG95" s="875">
        <f t="shared" ref="BG95:BG96" si="203">W96</f>
        <v>333.87830746418695</v>
      </c>
    </row>
    <row r="96" spans="1:59" s="1102" customFormat="1" x14ac:dyDescent="0.3">
      <c r="A96" s="73"/>
      <c r="B96" s="1110" t="s">
        <v>804</v>
      </c>
      <c r="C96" s="1111"/>
      <c r="D96" s="1898">
        <f t="shared" ref="D96:M96" si="204">D81*($M$89/D$89)</f>
        <v>322.47602719514265</v>
      </c>
      <c r="E96" s="1898">
        <f t="shared" si="204"/>
        <v>313.09861871957759</v>
      </c>
      <c r="F96" s="1898">
        <f t="shared" si="204"/>
        <v>311.01154044057813</v>
      </c>
      <c r="G96" s="1898">
        <f t="shared" si="204"/>
        <v>310.83578539741217</v>
      </c>
      <c r="H96" s="1898">
        <f t="shared" si="204"/>
        <v>313.06874709817032</v>
      </c>
      <c r="I96" s="1899">
        <f t="shared" si="204"/>
        <v>337.80179626998233</v>
      </c>
      <c r="J96" s="1898">
        <f t="shared" si="204"/>
        <v>315.14795081203363</v>
      </c>
      <c r="K96" s="2192">
        <f t="shared" si="204"/>
        <v>315.13353448461777</v>
      </c>
      <c r="L96" s="2192">
        <f t="shared" si="204"/>
        <v>315.11991978069483</v>
      </c>
      <c r="M96" s="2193">
        <f t="shared" si="204"/>
        <v>313.6612835590214</v>
      </c>
      <c r="N96" s="1900">
        <f t="shared" ref="N96:R96" si="205">N81</f>
        <v>310.15136044081191</v>
      </c>
      <c r="O96" s="1900">
        <f t="shared" si="205"/>
        <v>312.4225803850058</v>
      </c>
      <c r="P96" s="1900">
        <f t="shared" si="205"/>
        <v>314.71058160568242</v>
      </c>
      <c r="Q96" s="1900">
        <f t="shared" si="205"/>
        <v>317.01548938700694</v>
      </c>
      <c r="R96" s="1901">
        <f t="shared" si="205"/>
        <v>316.66129307587619</v>
      </c>
      <c r="S96" s="1900">
        <f t="shared" ref="S96:W96" si="206">S81</f>
        <v>319.47613815177743</v>
      </c>
      <c r="T96" s="1900">
        <f t="shared" si="206"/>
        <v>322.29007507949916</v>
      </c>
      <c r="U96" s="1900">
        <f t="shared" si="206"/>
        <v>328.25965346867611</v>
      </c>
      <c r="V96" s="1900">
        <f t="shared" si="206"/>
        <v>331.06909206169092</v>
      </c>
      <c r="W96" s="1902">
        <f t="shared" si="206"/>
        <v>333.87830746418695</v>
      </c>
      <c r="X96" s="1101"/>
      <c r="Y96" s="1101"/>
      <c r="Z96" s="1101"/>
      <c r="AA96" s="1101"/>
      <c r="AB96" s="1101"/>
      <c r="AC96" s="1101"/>
      <c r="AD96" s="1101"/>
      <c r="AE96" s="1101"/>
      <c r="AF96" s="1101"/>
      <c r="AG96" s="1101"/>
      <c r="AH96" s="2201"/>
      <c r="AI96" s="2201"/>
      <c r="AJ96" s="2201"/>
      <c r="AK96" s="2201"/>
      <c r="AL96" s="2201"/>
      <c r="AM96" s="2201"/>
      <c r="AN96" s="1857">
        <f t="shared" si="184"/>
        <v>0</v>
      </c>
      <c r="AO96" s="1857">
        <f t="shared" si="185"/>
        <v>-2.9079397179159749E-2</v>
      </c>
      <c r="AP96" s="1857">
        <f t="shared" si="186"/>
        <v>-6.6658814642319708E-3</v>
      </c>
      <c r="AQ96" s="1857">
        <f t="shared" si="187"/>
        <v>-5.6510778640883608E-4</v>
      </c>
      <c r="AR96" s="1857">
        <f t="shared" si="188"/>
        <v>7.1837343242293628E-3</v>
      </c>
      <c r="AS96" s="1857">
        <f t="shared" si="189"/>
        <v>7.900197448982782E-2</v>
      </c>
      <c r="AT96" s="1857">
        <f t="shared" si="190"/>
        <v>-6.7062536990901589E-2</v>
      </c>
      <c r="AU96" s="1857">
        <f t="shared" si="191"/>
        <v>-4.5744633207056573E-5</v>
      </c>
      <c r="AV96" s="1857">
        <f t="shared" si="192"/>
        <v>-4.3202967736188924E-5</v>
      </c>
      <c r="AW96" s="1857">
        <f t="shared" si="193"/>
        <v>-4.6288289952871597E-3</v>
      </c>
      <c r="AX96" s="1857">
        <f t="shared" si="194"/>
        <v>-1.1190170104462438E-2</v>
      </c>
      <c r="AY96" s="1857">
        <f t="shared" si="195"/>
        <v>7.322940453866833E-3</v>
      </c>
      <c r="AZ96" s="1857">
        <f t="shared" si="196"/>
        <v>7.3234182300685458E-3</v>
      </c>
      <c r="BA96" s="1857">
        <f t="shared" si="197"/>
        <v>7.323896672188912E-3</v>
      </c>
      <c r="BB96" s="1857">
        <f t="shared" si="198"/>
        <v>-1.1172839277211466E-3</v>
      </c>
      <c r="BC96" s="1857">
        <f t="shared" si="199"/>
        <v>8.8891352920319466E-3</v>
      </c>
      <c r="BD96" s="1857">
        <f t="shared" si="200"/>
        <v>8.8079721509117803E-3</v>
      </c>
      <c r="BE96" s="1857">
        <f t="shared" si="201"/>
        <v>1.852237735743012E-2</v>
      </c>
      <c r="BF96" s="1857">
        <f t="shared" si="202"/>
        <v>8.5585863609123347E-3</v>
      </c>
      <c r="BG96" s="1857">
        <f t="shared" si="203"/>
        <v>8.4852844009146722E-3</v>
      </c>
    </row>
    <row r="97" spans="1:59" s="1107" customFormat="1" ht="12.5" thickBot="1" x14ac:dyDescent="0.35">
      <c r="A97" s="73"/>
      <c r="B97" s="1112" t="s">
        <v>801</v>
      </c>
      <c r="C97" s="1113"/>
      <c r="D97" s="1114"/>
      <c r="E97" s="1903">
        <f>IF(E96=0,"-",E96/D96-1)</f>
        <v>-2.9079397179159749E-2</v>
      </c>
      <c r="F97" s="1903">
        <f t="shared" ref="F97:R97" si="207">IF(F96=0,"-",F96/E96-1)</f>
        <v>-6.6658814642319708E-3</v>
      </c>
      <c r="G97" s="1903">
        <f t="shared" si="207"/>
        <v>-5.6510778640883608E-4</v>
      </c>
      <c r="H97" s="1903">
        <f t="shared" si="207"/>
        <v>7.1837343242293628E-3</v>
      </c>
      <c r="I97" s="1904">
        <f t="shared" si="207"/>
        <v>7.900197448982782E-2</v>
      </c>
      <c r="J97" s="1903">
        <f t="shared" si="207"/>
        <v>-6.7062536990901589E-2</v>
      </c>
      <c r="K97" s="1903">
        <f t="shared" si="207"/>
        <v>-4.5744633207056573E-5</v>
      </c>
      <c r="L97" s="1903">
        <f t="shared" si="207"/>
        <v>-4.3202967736188924E-5</v>
      </c>
      <c r="M97" s="1905">
        <f t="shared" si="207"/>
        <v>-4.6288289952871597E-3</v>
      </c>
      <c r="N97" s="1903">
        <f t="shared" si="207"/>
        <v>-1.1190170104462438E-2</v>
      </c>
      <c r="O97" s="1903">
        <f t="shared" si="207"/>
        <v>7.322940453866833E-3</v>
      </c>
      <c r="P97" s="1903">
        <f t="shared" si="207"/>
        <v>7.3234182300685458E-3</v>
      </c>
      <c r="Q97" s="1903">
        <f t="shared" si="207"/>
        <v>7.323896672188912E-3</v>
      </c>
      <c r="R97" s="1905">
        <f t="shared" si="207"/>
        <v>-1.1172839277211466E-3</v>
      </c>
      <c r="S97" s="1903">
        <f t="shared" ref="S97" si="208">IF(S96=0,"-",S96/R96-1)</f>
        <v>8.8891352920319466E-3</v>
      </c>
      <c r="T97" s="1903">
        <f t="shared" ref="T97" si="209">IF(T96=0,"-",T96/S96-1)</f>
        <v>8.8079721509117803E-3</v>
      </c>
      <c r="U97" s="1903">
        <f t="shared" ref="U97" si="210">IF(U96=0,"-",U96/T96-1)</f>
        <v>1.852237735743012E-2</v>
      </c>
      <c r="V97" s="1903">
        <f t="shared" ref="V97" si="211">IF(V96=0,"-",V96/U96-1)</f>
        <v>8.5585863609123347E-3</v>
      </c>
      <c r="W97" s="1906">
        <f t="shared" ref="W97" si="212">IF(W96=0,"-",W96/V96-1)</f>
        <v>8.4852844009146722E-3</v>
      </c>
      <c r="X97" s="1106"/>
      <c r="Y97" s="1106"/>
      <c r="Z97" s="1106"/>
      <c r="AA97" s="1106"/>
      <c r="AB97" s="1106"/>
      <c r="AC97" s="1106"/>
      <c r="AD97" s="1106"/>
      <c r="AE97" s="1106"/>
      <c r="AF97" s="1106"/>
      <c r="AG97" s="1106"/>
      <c r="AH97" s="2202"/>
      <c r="AI97" s="2202"/>
      <c r="AJ97" s="2202"/>
      <c r="AK97" s="2202"/>
      <c r="AL97" s="2202"/>
      <c r="AM97" s="2202"/>
      <c r="AN97" s="1857">
        <v>0</v>
      </c>
      <c r="AO97" s="1857">
        <v>0</v>
      </c>
      <c r="AP97" s="1857">
        <v>0</v>
      </c>
      <c r="AQ97" s="1857">
        <v>0</v>
      </c>
      <c r="AR97" s="1857">
        <v>0</v>
      </c>
      <c r="AS97" s="1857">
        <v>0</v>
      </c>
      <c r="AT97" s="1857">
        <v>0</v>
      </c>
      <c r="AU97" s="1857">
        <v>0</v>
      </c>
      <c r="AV97" s="1857">
        <v>0</v>
      </c>
      <c r="AW97" s="1857">
        <v>0</v>
      </c>
      <c r="AX97" s="1857">
        <v>0</v>
      </c>
      <c r="AY97" s="1857">
        <v>0</v>
      </c>
      <c r="AZ97" s="1857">
        <v>0</v>
      </c>
      <c r="BA97" s="1857">
        <v>0</v>
      </c>
      <c r="BB97" s="1857">
        <v>0</v>
      </c>
      <c r="BC97" s="1857">
        <v>0</v>
      </c>
      <c r="BD97" s="1857">
        <v>0</v>
      </c>
      <c r="BE97" s="1857">
        <v>0</v>
      </c>
      <c r="BF97" s="1857">
        <v>0</v>
      </c>
      <c r="BG97" s="1857">
        <v>0</v>
      </c>
    </row>
    <row r="98" spans="1:59" x14ac:dyDescent="0.3">
      <c r="B98" s="841"/>
      <c r="C98" s="827"/>
      <c r="D98" s="842"/>
      <c r="E98" s="842"/>
      <c r="F98" s="842"/>
      <c r="G98" s="842"/>
      <c r="H98" s="902"/>
      <c r="I98" s="810"/>
      <c r="J98" s="810"/>
      <c r="K98" s="810"/>
      <c r="L98" s="820"/>
      <c r="M98" s="820"/>
      <c r="N98" s="820"/>
      <c r="O98" s="847"/>
      <c r="P98" s="847"/>
      <c r="Q98" s="848"/>
      <c r="R98" s="820"/>
      <c r="S98" s="820"/>
      <c r="T98" s="847"/>
      <c r="U98" s="847"/>
      <c r="V98" s="848"/>
      <c r="W98" s="848"/>
    </row>
    <row r="99" spans="1:59" collapsed="1" x14ac:dyDescent="0.3">
      <c r="B99" s="936" t="s">
        <v>813</v>
      </c>
      <c r="C99" s="937"/>
      <c r="D99" s="938"/>
      <c r="E99" s="938"/>
      <c r="F99" s="938"/>
      <c r="G99" s="938"/>
      <c r="H99" s="938"/>
      <c r="I99" s="939"/>
      <c r="J99" s="939"/>
      <c r="K99" s="939"/>
      <c r="L99" s="937"/>
      <c r="M99" s="937"/>
      <c r="N99" s="937"/>
      <c r="O99" s="937"/>
      <c r="P99" s="937"/>
      <c r="Q99" s="939"/>
      <c r="R99" s="937"/>
      <c r="S99" s="937"/>
      <c r="T99" s="937"/>
      <c r="U99" s="937"/>
      <c r="V99" s="939"/>
      <c r="W99" s="939"/>
      <c r="X99" s="814"/>
      <c r="Y99" s="814"/>
      <c r="Z99" s="814"/>
      <c r="AA99" s="955"/>
      <c r="AB99" s="955"/>
      <c r="AC99" s="955"/>
      <c r="AD99" s="955"/>
      <c r="AE99" s="955"/>
      <c r="AF99" s="955"/>
      <c r="AG99" s="955"/>
      <c r="AH99" s="816"/>
      <c r="AI99" s="816"/>
      <c r="AJ99" s="816"/>
      <c r="AK99" s="816"/>
      <c r="AL99" s="816"/>
      <c r="AM99" s="816"/>
      <c r="AN99" s="816"/>
      <c r="AO99" s="816"/>
      <c r="AP99" s="816"/>
      <c r="AQ99" s="816"/>
      <c r="AR99" s="816"/>
      <c r="AS99" s="816"/>
      <c r="AT99" s="816"/>
      <c r="AU99" s="816"/>
      <c r="AV99" s="816"/>
      <c r="AW99" s="816"/>
      <c r="AX99" s="816"/>
      <c r="AY99" s="816"/>
      <c r="AZ99" s="816"/>
      <c r="BC99" s="816"/>
      <c r="BD99" s="816"/>
      <c r="BE99" s="816"/>
    </row>
    <row r="100" spans="1:59" ht="11.25" hidden="1" customHeight="1" outlineLevel="1" x14ac:dyDescent="0.3">
      <c r="B100" s="940"/>
      <c r="C100" s="827"/>
      <c r="D100" s="902"/>
      <c r="E100" s="902"/>
      <c r="F100" s="902"/>
      <c r="G100" s="902"/>
      <c r="H100" s="902"/>
      <c r="I100" s="810"/>
      <c r="J100" s="810"/>
      <c r="K100" s="810"/>
      <c r="L100" s="820"/>
      <c r="M100" s="820"/>
      <c r="N100" s="820"/>
      <c r="O100" s="820"/>
      <c r="P100" s="820"/>
      <c r="Q100" s="814"/>
      <c r="R100" s="820"/>
      <c r="S100" s="820"/>
      <c r="T100" s="820"/>
      <c r="U100" s="820"/>
      <c r="V100" s="814"/>
      <c r="W100" s="814"/>
      <c r="X100" s="814"/>
      <c r="Y100" s="814"/>
      <c r="Z100" s="814"/>
      <c r="AA100" s="955"/>
      <c r="AB100" s="955"/>
      <c r="AC100" s="955"/>
      <c r="AD100" s="955"/>
      <c r="AE100" s="955"/>
      <c r="AF100" s="955"/>
      <c r="AG100" s="955"/>
      <c r="AH100" s="816"/>
      <c r="AI100" s="816"/>
      <c r="AJ100" s="816"/>
      <c r="AK100" s="816"/>
      <c r="AL100" s="816"/>
      <c r="AM100" s="816"/>
      <c r="AN100" s="816"/>
      <c r="AO100" s="816"/>
      <c r="AP100" s="816"/>
      <c r="AQ100" s="816"/>
      <c r="AR100" s="816"/>
      <c r="AS100" s="816"/>
      <c r="AT100" s="816"/>
      <c r="AU100" s="816"/>
      <c r="AV100" s="816"/>
      <c r="AW100" s="816"/>
      <c r="AX100" s="816"/>
      <c r="AY100" s="816"/>
      <c r="AZ100" s="816"/>
      <c r="BC100" s="816"/>
      <c r="BD100" s="816"/>
      <c r="BE100" s="816"/>
    </row>
    <row r="101" spans="1:59" ht="11.25" hidden="1" customHeight="1" outlineLevel="1" x14ac:dyDescent="0.3">
      <c r="B101" s="940"/>
      <c r="C101" s="827"/>
      <c r="D101" s="1841" t="str">
        <f t="shared" ref="D101:R101" si="213">D9</f>
        <v>2013-14</v>
      </c>
      <c r="E101" s="1841" t="str">
        <f t="shared" si="213"/>
        <v>2014-15</v>
      </c>
      <c r="F101" s="1841" t="str">
        <f t="shared" si="213"/>
        <v>2015-16</v>
      </c>
      <c r="G101" s="1841" t="str">
        <f t="shared" si="213"/>
        <v>2016-17</v>
      </c>
      <c r="H101" s="1841" t="str">
        <f t="shared" si="213"/>
        <v>2017-18</v>
      </c>
      <c r="I101" s="1842" t="str">
        <f t="shared" si="213"/>
        <v>2018-19</v>
      </c>
      <c r="J101" s="1841" t="str">
        <f t="shared" si="213"/>
        <v>2019-20</v>
      </c>
      <c r="K101" s="1841" t="str">
        <f t="shared" si="213"/>
        <v>2020-21</v>
      </c>
      <c r="L101" s="1841" t="str">
        <f t="shared" si="213"/>
        <v>2021-22</v>
      </c>
      <c r="M101" s="1843" t="str">
        <f t="shared" si="213"/>
        <v>2022-23</v>
      </c>
      <c r="N101" s="1841" t="str">
        <f t="shared" si="213"/>
        <v>2023-24</v>
      </c>
      <c r="O101" s="1841" t="str">
        <f t="shared" si="213"/>
        <v>2024-25</v>
      </c>
      <c r="P101" s="1841" t="str">
        <f t="shared" si="213"/>
        <v>2025-26</v>
      </c>
      <c r="Q101" s="1841" t="str">
        <f t="shared" si="213"/>
        <v>2026-27</v>
      </c>
      <c r="R101" s="1843" t="str">
        <f t="shared" si="213"/>
        <v>2027-28</v>
      </c>
      <c r="S101" s="1841" t="str">
        <f t="shared" ref="S101:W101" si="214">S9</f>
        <v>2028-29</v>
      </c>
      <c r="T101" s="1841" t="str">
        <f t="shared" si="214"/>
        <v>2029-30</v>
      </c>
      <c r="U101" s="1841" t="str">
        <f t="shared" si="214"/>
        <v>2030-31</v>
      </c>
      <c r="V101" s="1841" t="str">
        <f t="shared" si="214"/>
        <v>2031-32</v>
      </c>
      <c r="W101" s="1841" t="str">
        <f t="shared" si="214"/>
        <v>2032-33</v>
      </c>
      <c r="X101" s="814"/>
      <c r="Y101" s="814"/>
      <c r="Z101" s="814"/>
      <c r="AA101" s="955"/>
      <c r="AB101" s="955"/>
      <c r="AC101" s="955"/>
      <c r="AD101" s="955"/>
      <c r="AE101" s="955"/>
      <c r="AF101" s="955"/>
      <c r="AG101" s="955"/>
      <c r="AH101" s="816"/>
      <c r="AI101" s="816"/>
      <c r="AJ101" s="816"/>
      <c r="AK101" s="816"/>
      <c r="AL101" s="816"/>
      <c r="AM101" s="816"/>
      <c r="AN101" s="816"/>
      <c r="AO101" s="816"/>
      <c r="AP101" s="816"/>
      <c r="AQ101" s="816"/>
      <c r="AR101" s="816"/>
      <c r="AS101" s="816"/>
      <c r="AT101" s="816"/>
      <c r="AU101" s="816"/>
      <c r="AV101" s="816"/>
      <c r="AW101" s="816"/>
      <c r="AX101" s="816"/>
      <c r="AY101" s="816"/>
      <c r="AZ101" s="816"/>
      <c r="BC101" s="816"/>
      <c r="BD101" s="816"/>
      <c r="BE101" s="816"/>
    </row>
    <row r="102" spans="1:59" ht="11.25" hidden="1" customHeight="1" outlineLevel="1" x14ac:dyDescent="0.3">
      <c r="B102" s="940" t="s">
        <v>814</v>
      </c>
      <c r="C102" s="827"/>
      <c r="D102" s="902"/>
      <c r="E102" s="902"/>
      <c r="F102" s="902"/>
      <c r="G102" s="902"/>
      <c r="H102" s="902"/>
      <c r="I102" s="819"/>
      <c r="J102" s="820"/>
      <c r="K102" s="820"/>
      <c r="L102" s="820"/>
      <c r="M102" s="821"/>
      <c r="N102" s="820"/>
      <c r="O102" s="820"/>
      <c r="P102" s="820"/>
      <c r="Q102" s="814"/>
      <c r="R102" s="821"/>
      <c r="S102" s="820"/>
      <c r="T102" s="820"/>
      <c r="U102" s="820"/>
      <c r="V102" s="814"/>
      <c r="W102" s="814"/>
      <c r="X102" s="814"/>
      <c r="Y102" s="814"/>
      <c r="Z102" s="814"/>
      <c r="AA102" s="955"/>
      <c r="AB102" s="955"/>
      <c r="AC102" s="955"/>
      <c r="AD102" s="955"/>
      <c r="AE102" s="955"/>
      <c r="AF102" s="955"/>
      <c r="AG102" s="955"/>
      <c r="AH102" s="816"/>
      <c r="AI102" s="816"/>
      <c r="AJ102" s="816"/>
      <c r="AK102" s="816"/>
      <c r="AL102" s="816"/>
      <c r="AM102" s="816"/>
      <c r="AN102" s="816"/>
      <c r="AO102" s="816"/>
      <c r="AP102" s="816"/>
      <c r="AQ102" s="816"/>
      <c r="AR102" s="816"/>
      <c r="AS102" s="816"/>
      <c r="AT102" s="816"/>
      <c r="AU102" s="816"/>
      <c r="AV102" s="816"/>
      <c r="AW102" s="816"/>
      <c r="AX102" s="816"/>
      <c r="AY102" s="816"/>
      <c r="AZ102" s="816"/>
      <c r="BC102" s="816"/>
      <c r="BD102" s="816"/>
      <c r="BE102" s="816"/>
    </row>
    <row r="103" spans="1:59" ht="11.25" hidden="1" customHeight="1" outlineLevel="1" x14ac:dyDescent="0.3">
      <c r="B103" s="941" t="s">
        <v>815</v>
      </c>
      <c r="C103" s="814"/>
      <c r="D103" s="1907">
        <v>37.5</v>
      </c>
      <c r="E103" s="1907">
        <v>58.333333333333336</v>
      </c>
      <c r="F103" s="1907">
        <v>58.333333333333336</v>
      </c>
      <c r="G103" s="1907">
        <v>58.333333333333336</v>
      </c>
      <c r="H103" s="1907">
        <v>58.333333333333336</v>
      </c>
      <c r="I103" s="2325">
        <v>58.333333333333336</v>
      </c>
      <c r="J103" s="2326">
        <v>58.333333333333336</v>
      </c>
      <c r="K103" s="2326">
        <v>58.333333333333336</v>
      </c>
      <c r="L103" s="2326">
        <v>58.333333333333336</v>
      </c>
      <c r="M103" s="2327">
        <v>58.333333333333336</v>
      </c>
      <c r="N103" s="2326">
        <v>58.333333333333336</v>
      </c>
      <c r="O103" s="2326">
        <v>58.333333333333336</v>
      </c>
      <c r="P103" s="2326">
        <v>58.333333333333336</v>
      </c>
      <c r="Q103" s="1907">
        <v>58.333333333333336</v>
      </c>
      <c r="R103" s="2327">
        <v>58.333333333333336</v>
      </c>
      <c r="S103" s="2326">
        <v>58.333333333333336</v>
      </c>
      <c r="T103" s="2326">
        <v>58.333333333333336</v>
      </c>
      <c r="U103" s="2326">
        <v>58.333333333333336</v>
      </c>
      <c r="V103" s="1907">
        <v>58.333333333333336</v>
      </c>
      <c r="W103" s="1907">
        <v>58.333333333333336</v>
      </c>
      <c r="X103" s="814"/>
      <c r="Y103" s="814"/>
      <c r="Z103" s="814"/>
      <c r="AA103" s="955"/>
      <c r="AB103" s="955"/>
      <c r="AC103" s="955"/>
      <c r="AD103" s="955"/>
      <c r="AE103" s="955"/>
      <c r="AF103" s="955"/>
      <c r="AG103" s="955"/>
      <c r="AH103" s="816"/>
      <c r="AI103" s="816"/>
      <c r="AJ103" s="816"/>
      <c r="AK103" s="816"/>
      <c r="AL103" s="816"/>
      <c r="AM103" s="816"/>
      <c r="AN103" s="816"/>
      <c r="AO103" s="816"/>
      <c r="AP103" s="816"/>
      <c r="AQ103" s="816"/>
      <c r="AR103" s="816"/>
      <c r="AS103" s="816"/>
      <c r="AT103" s="816"/>
      <c r="AU103" s="816"/>
      <c r="AV103" s="816"/>
      <c r="AW103" s="816"/>
      <c r="AX103" s="816"/>
      <c r="AY103" s="816"/>
      <c r="AZ103" s="816"/>
      <c r="BC103" s="816"/>
      <c r="BD103" s="816"/>
      <c r="BE103" s="816"/>
    </row>
    <row r="104" spans="1:59" ht="11.25" hidden="1" customHeight="1" outlineLevel="1" x14ac:dyDescent="0.3">
      <c r="B104" s="941" t="s">
        <v>816</v>
      </c>
      <c r="C104" s="814"/>
      <c r="D104" s="1907">
        <v>75</v>
      </c>
      <c r="E104" s="1907">
        <v>116.66666666666666</v>
      </c>
      <c r="F104" s="1907">
        <v>116.66666666666666</v>
      </c>
      <c r="G104" s="1907">
        <v>116.66666666666666</v>
      </c>
      <c r="H104" s="1907">
        <v>116.66666666666666</v>
      </c>
      <c r="I104" s="2325">
        <v>116.66666666666666</v>
      </c>
      <c r="J104" s="2326">
        <v>116.66666666666666</v>
      </c>
      <c r="K104" s="2326">
        <v>116.66666666666666</v>
      </c>
      <c r="L104" s="2326">
        <v>116.66666666666666</v>
      </c>
      <c r="M104" s="2327">
        <v>116.66666666666666</v>
      </c>
      <c r="N104" s="2328">
        <v>116.66666666666666</v>
      </c>
      <c r="O104" s="2328">
        <v>116.66666666666666</v>
      </c>
      <c r="P104" s="2328">
        <v>116.66666666666666</v>
      </c>
      <c r="Q104" s="2329">
        <v>116.66666666666666</v>
      </c>
      <c r="R104" s="2327">
        <v>116.66666666666666</v>
      </c>
      <c r="S104" s="2328">
        <v>116.66666666666666</v>
      </c>
      <c r="T104" s="2328">
        <v>116.66666666666666</v>
      </c>
      <c r="U104" s="2328">
        <v>116.66666666666666</v>
      </c>
      <c r="V104" s="2329">
        <v>116.66666666666666</v>
      </c>
      <c r="W104" s="2329">
        <v>116.66666666666666</v>
      </c>
    </row>
    <row r="105" spans="1:59" ht="11.25" hidden="1" customHeight="1" outlineLevel="1" x14ac:dyDescent="0.3">
      <c r="B105" s="941" t="s">
        <v>817</v>
      </c>
      <c r="C105" s="814"/>
      <c r="D105" s="1907">
        <v>112.5</v>
      </c>
      <c r="E105" s="1907">
        <v>0</v>
      </c>
      <c r="F105" s="1907">
        <v>0</v>
      </c>
      <c r="G105" s="1907">
        <v>0</v>
      </c>
      <c r="H105" s="1907">
        <v>0</v>
      </c>
      <c r="I105" s="2325">
        <v>0</v>
      </c>
      <c r="J105" s="2326">
        <v>0</v>
      </c>
      <c r="K105" s="2326">
        <v>0</v>
      </c>
      <c r="L105" s="2326">
        <v>0</v>
      </c>
      <c r="M105" s="2327">
        <v>0</v>
      </c>
      <c r="N105" s="2328">
        <v>0</v>
      </c>
      <c r="O105" s="2328">
        <v>0</v>
      </c>
      <c r="P105" s="2328">
        <v>0</v>
      </c>
      <c r="Q105" s="2329">
        <v>0</v>
      </c>
      <c r="R105" s="2327">
        <v>0</v>
      </c>
      <c r="S105" s="2328">
        <v>0</v>
      </c>
      <c r="T105" s="2328">
        <v>0</v>
      </c>
      <c r="U105" s="2328">
        <v>0</v>
      </c>
      <c r="V105" s="2329">
        <v>0</v>
      </c>
      <c r="W105" s="2329">
        <v>0</v>
      </c>
    </row>
    <row r="106" spans="1:59" ht="11.25" hidden="1" customHeight="1" outlineLevel="1" x14ac:dyDescent="0.3">
      <c r="B106" s="942"/>
      <c r="C106" s="814"/>
      <c r="D106" s="902"/>
      <c r="E106" s="902"/>
      <c r="F106" s="902"/>
      <c r="G106" s="902"/>
      <c r="H106" s="902"/>
      <c r="I106" s="819"/>
      <c r="J106" s="820"/>
      <c r="K106" s="820"/>
      <c r="L106" s="820"/>
      <c r="M106" s="821"/>
      <c r="R106" s="821"/>
    </row>
    <row r="107" spans="1:59" ht="11.25" hidden="1" customHeight="1" outlineLevel="1" x14ac:dyDescent="0.3">
      <c r="B107" s="942" t="s">
        <v>818</v>
      </c>
      <c r="C107" s="943" t="s">
        <v>819</v>
      </c>
      <c r="D107" s="901">
        <f>D103</f>
        <v>37.5</v>
      </c>
      <c r="E107" s="901">
        <f>E103</f>
        <v>58.333333333333336</v>
      </c>
      <c r="F107" s="901">
        <f>F103</f>
        <v>58.333333333333336</v>
      </c>
      <c r="G107" s="901">
        <f>G103</f>
        <v>58.333333333333336</v>
      </c>
      <c r="H107" s="901">
        <f>H103</f>
        <v>58.333333333333336</v>
      </c>
      <c r="I107" s="900">
        <f t="shared" ref="I107:R107" si="215">I103</f>
        <v>58.333333333333336</v>
      </c>
      <c r="J107" s="901">
        <f t="shared" si="215"/>
        <v>58.333333333333336</v>
      </c>
      <c r="K107" s="901">
        <f t="shared" si="215"/>
        <v>58.333333333333336</v>
      </c>
      <c r="L107" s="901">
        <f t="shared" si="215"/>
        <v>58.333333333333336</v>
      </c>
      <c r="M107" s="944">
        <f t="shared" si="215"/>
        <v>58.333333333333336</v>
      </c>
      <c r="N107" s="901">
        <f t="shared" si="215"/>
        <v>58.333333333333336</v>
      </c>
      <c r="O107" s="901">
        <f t="shared" si="215"/>
        <v>58.333333333333336</v>
      </c>
      <c r="P107" s="901">
        <f t="shared" si="215"/>
        <v>58.333333333333336</v>
      </c>
      <c r="Q107" s="901">
        <f t="shared" si="215"/>
        <v>58.333333333333336</v>
      </c>
      <c r="R107" s="944">
        <f t="shared" si="215"/>
        <v>58.333333333333336</v>
      </c>
      <c r="S107" s="901">
        <f t="shared" ref="S107:W107" si="216">S103</f>
        <v>58.333333333333336</v>
      </c>
      <c r="T107" s="901">
        <f t="shared" si="216"/>
        <v>58.333333333333336</v>
      </c>
      <c r="U107" s="901">
        <f t="shared" si="216"/>
        <v>58.333333333333336</v>
      </c>
      <c r="V107" s="901">
        <f t="shared" si="216"/>
        <v>58.333333333333336</v>
      </c>
      <c r="W107" s="901">
        <f t="shared" si="216"/>
        <v>58.333333333333336</v>
      </c>
    </row>
    <row r="108" spans="1:59" ht="11.25" hidden="1" customHeight="1" outlineLevel="1" x14ac:dyDescent="0.3">
      <c r="B108" s="827"/>
      <c r="C108" s="943" t="s">
        <v>820</v>
      </c>
      <c r="D108" s="901">
        <f>D104-D103</f>
        <v>37.5</v>
      </c>
      <c r="E108" s="901">
        <f>E104-E103</f>
        <v>58.333333333333321</v>
      </c>
      <c r="F108" s="901">
        <f>F104-F103</f>
        <v>58.333333333333321</v>
      </c>
      <c r="G108" s="901">
        <f>G104-G103</f>
        <v>58.333333333333321</v>
      </c>
      <c r="H108" s="901">
        <f>H104-H103</f>
        <v>58.333333333333321</v>
      </c>
      <c r="I108" s="900">
        <f t="shared" ref="I108:R108" si="217">I104-I103</f>
        <v>58.333333333333321</v>
      </c>
      <c r="J108" s="901">
        <f t="shared" si="217"/>
        <v>58.333333333333321</v>
      </c>
      <c r="K108" s="901">
        <f t="shared" si="217"/>
        <v>58.333333333333321</v>
      </c>
      <c r="L108" s="901">
        <f t="shared" si="217"/>
        <v>58.333333333333321</v>
      </c>
      <c r="M108" s="944">
        <f t="shared" si="217"/>
        <v>58.333333333333321</v>
      </c>
      <c r="N108" s="901">
        <f t="shared" si="217"/>
        <v>58.333333333333321</v>
      </c>
      <c r="O108" s="901">
        <f t="shared" si="217"/>
        <v>58.333333333333321</v>
      </c>
      <c r="P108" s="901">
        <f t="shared" si="217"/>
        <v>58.333333333333321</v>
      </c>
      <c r="Q108" s="901">
        <f t="shared" si="217"/>
        <v>58.333333333333321</v>
      </c>
      <c r="R108" s="944">
        <f t="shared" si="217"/>
        <v>58.333333333333321</v>
      </c>
      <c r="S108" s="901">
        <f t="shared" ref="S108:W108" si="218">S104-S103</f>
        <v>58.333333333333321</v>
      </c>
      <c r="T108" s="901">
        <f t="shared" si="218"/>
        <v>58.333333333333321</v>
      </c>
      <c r="U108" s="901">
        <f t="shared" si="218"/>
        <v>58.333333333333321</v>
      </c>
      <c r="V108" s="901">
        <f t="shared" si="218"/>
        <v>58.333333333333321</v>
      </c>
      <c r="W108" s="901">
        <f t="shared" si="218"/>
        <v>58.333333333333321</v>
      </c>
    </row>
    <row r="109" spans="1:59" ht="11.25" hidden="1" customHeight="1" outlineLevel="1" x14ac:dyDescent="0.3">
      <c r="B109" s="827"/>
      <c r="C109" s="943" t="s">
        <v>821</v>
      </c>
      <c r="D109" s="901"/>
      <c r="E109" s="901"/>
      <c r="F109" s="901"/>
      <c r="G109" s="901"/>
      <c r="H109" s="901"/>
      <c r="I109" s="900"/>
      <c r="J109" s="901"/>
      <c r="K109" s="901"/>
      <c r="L109" s="901"/>
      <c r="M109" s="944"/>
      <c r="N109" s="901"/>
      <c r="O109" s="901"/>
      <c r="P109" s="901"/>
      <c r="Q109" s="901"/>
      <c r="R109" s="944"/>
      <c r="S109" s="901"/>
      <c r="T109" s="901"/>
      <c r="U109" s="901"/>
      <c r="V109" s="901"/>
      <c r="W109" s="901"/>
    </row>
    <row r="110" spans="1:59" ht="11.25" hidden="1" customHeight="1" outlineLevel="1" x14ac:dyDescent="0.3">
      <c r="B110" s="827"/>
      <c r="C110" s="943"/>
      <c r="D110" s="901"/>
      <c r="E110" s="901"/>
      <c r="F110" s="901"/>
      <c r="G110" s="901"/>
      <c r="H110" s="901"/>
      <c r="I110" s="819"/>
      <c r="J110" s="820"/>
      <c r="K110" s="820"/>
      <c r="L110" s="820"/>
      <c r="M110" s="821"/>
      <c r="R110" s="821"/>
    </row>
    <row r="111" spans="1:59" ht="11.25" hidden="1" customHeight="1" outlineLevel="1" x14ac:dyDescent="0.3">
      <c r="B111" s="945" t="s">
        <v>822</v>
      </c>
      <c r="C111" s="827"/>
      <c r="D111" s="902"/>
      <c r="E111" s="902"/>
      <c r="F111" s="902"/>
      <c r="G111" s="902"/>
      <c r="H111" s="902"/>
      <c r="I111" s="819"/>
      <c r="J111" s="820"/>
      <c r="K111" s="820"/>
      <c r="L111" s="820"/>
      <c r="M111" s="821"/>
      <c r="R111" s="821"/>
    </row>
    <row r="112" spans="1:59" ht="11.25" hidden="1" customHeight="1" outlineLevel="1" x14ac:dyDescent="0.3">
      <c r="B112" s="943" t="s">
        <v>422</v>
      </c>
      <c r="C112" s="1908">
        <v>0.14492753623188406</v>
      </c>
      <c r="D112" s="901">
        <f t="shared" ref="D112:S123" si="219">$C112*D$11</f>
        <v>21.739130434782609</v>
      </c>
      <c r="E112" s="901">
        <f t="shared" si="219"/>
        <v>21.739130434782609</v>
      </c>
      <c r="F112" s="901">
        <f t="shared" si="219"/>
        <v>21.605500485992284</v>
      </c>
      <c r="G112" s="901">
        <f t="shared" si="219"/>
        <v>21.594202898550726</v>
      </c>
      <c r="H112" s="901">
        <f t="shared" si="219"/>
        <v>21.739130434782609</v>
      </c>
      <c r="I112" s="900">
        <f t="shared" si="219"/>
        <v>23.333333333333336</v>
      </c>
      <c r="J112" s="901">
        <f t="shared" si="219"/>
        <v>21.874288998267613</v>
      </c>
      <c r="K112" s="901">
        <f t="shared" si="219"/>
        <v>21.874288998267613</v>
      </c>
      <c r="L112" s="901">
        <f t="shared" si="219"/>
        <v>21.874288998267613</v>
      </c>
      <c r="M112" s="944">
        <f t="shared" si="219"/>
        <v>21.780373535173318</v>
      </c>
      <c r="N112" s="901">
        <f t="shared" si="219"/>
        <v>21.550231339368064</v>
      </c>
      <c r="O112" s="901">
        <f t="shared" si="219"/>
        <v>21.493111287359714</v>
      </c>
      <c r="P112" s="901">
        <f t="shared" si="219"/>
        <v>21.436152802358873</v>
      </c>
      <c r="Q112" s="901">
        <f t="shared" si="219"/>
        <v>21.379355416368913</v>
      </c>
      <c r="R112" s="944">
        <f t="shared" si="219"/>
        <v>21.14402832294769</v>
      </c>
      <c r="S112" s="901">
        <f t="shared" si="219"/>
        <v>21.120772724088045</v>
      </c>
      <c r="T112" s="901">
        <f t="shared" ref="S112:W123" si="220">$C112*T$11</f>
        <v>21.095845447571833</v>
      </c>
      <c r="U112" s="901">
        <f t="shared" si="220"/>
        <v>21.273852136263148</v>
      </c>
      <c r="V112" s="901">
        <f t="shared" si="220"/>
        <v>21.243491323763003</v>
      </c>
      <c r="W112" s="901">
        <f t="shared" si="220"/>
        <v>21.211632068627221</v>
      </c>
    </row>
    <row r="113" spans="2:23" ht="11.25" hidden="1" customHeight="1" outlineLevel="1" x14ac:dyDescent="0.3">
      <c r="B113" s="946" t="s">
        <v>423</v>
      </c>
      <c r="C113" s="1908">
        <v>0.14492753623188406</v>
      </c>
      <c r="D113" s="901">
        <f t="shared" si="219"/>
        <v>21.739130434782609</v>
      </c>
      <c r="E113" s="901">
        <f t="shared" si="219"/>
        <v>21.739130434782609</v>
      </c>
      <c r="F113" s="901">
        <f t="shared" si="219"/>
        <v>21.605500485992284</v>
      </c>
      <c r="G113" s="901">
        <f t="shared" si="219"/>
        <v>21.594202898550726</v>
      </c>
      <c r="H113" s="901">
        <f t="shared" si="219"/>
        <v>21.739130434782609</v>
      </c>
      <c r="I113" s="900">
        <f t="shared" si="219"/>
        <v>23.333333333333336</v>
      </c>
      <c r="J113" s="901">
        <f t="shared" si="219"/>
        <v>21.874288998267613</v>
      </c>
      <c r="K113" s="901">
        <f t="shared" si="219"/>
        <v>21.874288998267613</v>
      </c>
      <c r="L113" s="901">
        <f t="shared" si="219"/>
        <v>21.874288998267613</v>
      </c>
      <c r="M113" s="944">
        <f t="shared" si="219"/>
        <v>21.780373535173318</v>
      </c>
      <c r="N113" s="901">
        <f t="shared" si="219"/>
        <v>21.550231339368064</v>
      </c>
      <c r="O113" s="901">
        <f t="shared" si="219"/>
        <v>21.493111287359714</v>
      </c>
      <c r="P113" s="901">
        <f t="shared" si="219"/>
        <v>21.436152802358873</v>
      </c>
      <c r="Q113" s="901">
        <f t="shared" si="219"/>
        <v>21.379355416368913</v>
      </c>
      <c r="R113" s="944">
        <f t="shared" si="219"/>
        <v>21.14402832294769</v>
      </c>
      <c r="S113" s="901">
        <f t="shared" si="220"/>
        <v>21.120772724088045</v>
      </c>
      <c r="T113" s="901">
        <f t="shared" si="220"/>
        <v>21.095845447571833</v>
      </c>
      <c r="U113" s="901">
        <f t="shared" si="220"/>
        <v>21.273852136263148</v>
      </c>
      <c r="V113" s="901">
        <f t="shared" si="220"/>
        <v>21.243491323763003</v>
      </c>
      <c r="W113" s="901">
        <f t="shared" si="220"/>
        <v>21.211632068627221</v>
      </c>
    </row>
    <row r="114" spans="2:23" ht="11.25" hidden="1" customHeight="1" outlineLevel="1" x14ac:dyDescent="0.3">
      <c r="B114" s="946" t="s">
        <v>424</v>
      </c>
      <c r="C114" s="1908">
        <v>0.10144927536231885</v>
      </c>
      <c r="D114" s="901">
        <f t="shared" si="219"/>
        <v>15.217391304347828</v>
      </c>
      <c r="E114" s="901">
        <f t="shared" si="219"/>
        <v>15.217391304347828</v>
      </c>
      <c r="F114" s="901">
        <f t="shared" si="219"/>
        <v>15.123850340194599</v>
      </c>
      <c r="G114" s="901">
        <f t="shared" si="219"/>
        <v>15.115942028985508</v>
      </c>
      <c r="H114" s="901">
        <f t="shared" si="219"/>
        <v>15.217391304347828</v>
      </c>
      <c r="I114" s="900">
        <f t="shared" si="219"/>
        <v>16.333333333333336</v>
      </c>
      <c r="J114" s="901">
        <f t="shared" si="219"/>
        <v>15.312002298787331</v>
      </c>
      <c r="K114" s="901">
        <f t="shared" si="219"/>
        <v>15.312002298787331</v>
      </c>
      <c r="L114" s="901">
        <f t="shared" si="219"/>
        <v>15.312002298787331</v>
      </c>
      <c r="M114" s="944">
        <f t="shared" si="219"/>
        <v>15.246261474621324</v>
      </c>
      <c r="N114" s="901">
        <f t="shared" si="219"/>
        <v>15.085161937557645</v>
      </c>
      <c r="O114" s="901">
        <f t="shared" si="219"/>
        <v>15.045177901151801</v>
      </c>
      <c r="P114" s="901">
        <f t="shared" si="219"/>
        <v>15.005306961651211</v>
      </c>
      <c r="Q114" s="901">
        <f t="shared" si="219"/>
        <v>14.965548791458239</v>
      </c>
      <c r="R114" s="944">
        <f t="shared" si="219"/>
        <v>14.800819826063382</v>
      </c>
      <c r="S114" s="901">
        <f t="shared" si="220"/>
        <v>14.784540906861631</v>
      </c>
      <c r="T114" s="901">
        <f t="shared" si="220"/>
        <v>14.767091813300285</v>
      </c>
      <c r="U114" s="901">
        <f t="shared" si="220"/>
        <v>14.891696495384204</v>
      </c>
      <c r="V114" s="901">
        <f t="shared" si="220"/>
        <v>14.870443926634103</v>
      </c>
      <c r="W114" s="901">
        <f t="shared" si="220"/>
        <v>14.848142448039054</v>
      </c>
    </row>
    <row r="115" spans="2:23" ht="11.25" hidden="1" customHeight="1" outlineLevel="1" x14ac:dyDescent="0.3">
      <c r="B115" s="946" t="s">
        <v>425</v>
      </c>
      <c r="C115" s="1908">
        <v>5.7971014492753624E-2</v>
      </c>
      <c r="D115" s="901">
        <f t="shared" si="219"/>
        <v>8.695652173913043</v>
      </c>
      <c r="E115" s="901">
        <f t="shared" si="219"/>
        <v>8.695652173913043</v>
      </c>
      <c r="F115" s="901">
        <f t="shared" si="219"/>
        <v>8.6422001943969136</v>
      </c>
      <c r="G115" s="901">
        <f t="shared" si="219"/>
        <v>8.6376811594202891</v>
      </c>
      <c r="H115" s="901">
        <f t="shared" si="219"/>
        <v>8.695652173913043</v>
      </c>
      <c r="I115" s="900">
        <f t="shared" si="219"/>
        <v>9.3333333333333339</v>
      </c>
      <c r="J115" s="901">
        <f t="shared" si="219"/>
        <v>8.749715599307045</v>
      </c>
      <c r="K115" s="901">
        <f t="shared" si="219"/>
        <v>8.749715599307045</v>
      </c>
      <c r="L115" s="901">
        <f t="shared" si="219"/>
        <v>8.749715599307045</v>
      </c>
      <c r="M115" s="944">
        <f t="shared" si="219"/>
        <v>8.7121494140693265</v>
      </c>
      <c r="N115" s="901">
        <f t="shared" si="219"/>
        <v>8.6200925357472258</v>
      </c>
      <c r="O115" s="901">
        <f t="shared" si="219"/>
        <v>8.5972445149438848</v>
      </c>
      <c r="P115" s="901">
        <f t="shared" si="219"/>
        <v>8.574461120943548</v>
      </c>
      <c r="Q115" s="901">
        <f t="shared" si="219"/>
        <v>8.5517421665475641</v>
      </c>
      <c r="R115" s="944">
        <f t="shared" si="219"/>
        <v>8.4576113291790751</v>
      </c>
      <c r="S115" s="901">
        <f t="shared" si="220"/>
        <v>8.4483090896352167</v>
      </c>
      <c r="T115" s="901">
        <f t="shared" si="220"/>
        <v>8.4383381790287331</v>
      </c>
      <c r="U115" s="901">
        <f t="shared" si="220"/>
        <v>8.5095408545052589</v>
      </c>
      <c r="V115" s="901">
        <f t="shared" si="220"/>
        <v>8.4973965295052007</v>
      </c>
      <c r="W115" s="901">
        <f t="shared" si="220"/>
        <v>8.484652827450887</v>
      </c>
    </row>
    <row r="116" spans="2:23" ht="11.25" hidden="1" customHeight="1" outlineLevel="1" x14ac:dyDescent="0.3">
      <c r="B116" s="947" t="s">
        <v>426</v>
      </c>
      <c r="C116" s="1909">
        <v>5.7971014492753624E-2</v>
      </c>
      <c r="D116" s="905">
        <f t="shared" si="219"/>
        <v>8.695652173913043</v>
      </c>
      <c r="E116" s="905">
        <f t="shared" si="219"/>
        <v>8.695652173913043</v>
      </c>
      <c r="F116" s="905">
        <f t="shared" si="219"/>
        <v>8.6422001943969136</v>
      </c>
      <c r="G116" s="905">
        <f t="shared" si="219"/>
        <v>8.6376811594202891</v>
      </c>
      <c r="H116" s="905">
        <f t="shared" si="219"/>
        <v>8.695652173913043</v>
      </c>
      <c r="I116" s="900">
        <f t="shared" si="219"/>
        <v>9.3333333333333339</v>
      </c>
      <c r="J116" s="901">
        <f t="shared" si="219"/>
        <v>8.749715599307045</v>
      </c>
      <c r="K116" s="901">
        <f t="shared" si="219"/>
        <v>8.749715599307045</v>
      </c>
      <c r="L116" s="901">
        <f t="shared" si="219"/>
        <v>8.749715599307045</v>
      </c>
      <c r="M116" s="944">
        <f t="shared" si="219"/>
        <v>8.7121494140693265</v>
      </c>
      <c r="N116" s="905">
        <f t="shared" si="219"/>
        <v>8.6200925357472258</v>
      </c>
      <c r="O116" s="905">
        <f t="shared" si="219"/>
        <v>8.5972445149438848</v>
      </c>
      <c r="P116" s="905">
        <f t="shared" si="219"/>
        <v>8.574461120943548</v>
      </c>
      <c r="Q116" s="905">
        <f t="shared" si="219"/>
        <v>8.5517421665475641</v>
      </c>
      <c r="R116" s="944">
        <f t="shared" si="219"/>
        <v>8.4576113291790751</v>
      </c>
      <c r="S116" s="905">
        <f t="shared" si="220"/>
        <v>8.4483090896352167</v>
      </c>
      <c r="T116" s="905">
        <f t="shared" si="220"/>
        <v>8.4383381790287331</v>
      </c>
      <c r="U116" s="905">
        <f t="shared" si="220"/>
        <v>8.5095408545052589</v>
      </c>
      <c r="V116" s="905">
        <f t="shared" si="220"/>
        <v>8.4973965295052007</v>
      </c>
      <c r="W116" s="905">
        <f t="shared" si="220"/>
        <v>8.484652827450887</v>
      </c>
    </row>
    <row r="117" spans="2:23" ht="11.25" hidden="1" customHeight="1" outlineLevel="1" x14ac:dyDescent="0.3">
      <c r="B117" s="947" t="s">
        <v>419</v>
      </c>
      <c r="C117" s="1909">
        <v>5.7971014492753624E-2</v>
      </c>
      <c r="D117" s="905">
        <f t="shared" si="219"/>
        <v>8.695652173913043</v>
      </c>
      <c r="E117" s="905">
        <f t="shared" si="219"/>
        <v>8.695652173913043</v>
      </c>
      <c r="F117" s="905">
        <f t="shared" si="219"/>
        <v>8.6422001943969136</v>
      </c>
      <c r="G117" s="905">
        <f t="shared" si="219"/>
        <v>8.6376811594202891</v>
      </c>
      <c r="H117" s="905">
        <f t="shared" si="219"/>
        <v>8.695652173913043</v>
      </c>
      <c r="I117" s="900">
        <f t="shared" si="219"/>
        <v>9.3333333333333339</v>
      </c>
      <c r="J117" s="901">
        <f t="shared" si="219"/>
        <v>8.749715599307045</v>
      </c>
      <c r="K117" s="901">
        <f t="shared" si="219"/>
        <v>8.749715599307045</v>
      </c>
      <c r="L117" s="901">
        <f t="shared" si="219"/>
        <v>8.749715599307045</v>
      </c>
      <c r="M117" s="944">
        <f t="shared" si="219"/>
        <v>8.7121494140693265</v>
      </c>
      <c r="N117" s="905">
        <f t="shared" si="219"/>
        <v>8.6200925357472258</v>
      </c>
      <c r="O117" s="905">
        <f t="shared" si="219"/>
        <v>8.5972445149438848</v>
      </c>
      <c r="P117" s="905">
        <f t="shared" si="219"/>
        <v>8.574461120943548</v>
      </c>
      <c r="Q117" s="905">
        <f t="shared" si="219"/>
        <v>8.5517421665475641</v>
      </c>
      <c r="R117" s="944">
        <f t="shared" si="219"/>
        <v>8.4576113291790751</v>
      </c>
      <c r="S117" s="905">
        <f t="shared" si="220"/>
        <v>8.4483090896352167</v>
      </c>
      <c r="T117" s="905">
        <f t="shared" si="220"/>
        <v>8.4383381790287331</v>
      </c>
      <c r="U117" s="905">
        <f t="shared" si="220"/>
        <v>8.5095408545052589</v>
      </c>
      <c r="V117" s="905">
        <f t="shared" si="220"/>
        <v>8.4973965295052007</v>
      </c>
      <c r="W117" s="905">
        <f t="shared" si="220"/>
        <v>8.484652827450887</v>
      </c>
    </row>
    <row r="118" spans="2:23" ht="11.25" hidden="1" customHeight="1" outlineLevel="1" x14ac:dyDescent="0.3">
      <c r="B118" s="947" t="s">
        <v>427</v>
      </c>
      <c r="C118" s="1909">
        <v>5.7971014492753624E-2</v>
      </c>
      <c r="D118" s="905">
        <f t="shared" si="219"/>
        <v>8.695652173913043</v>
      </c>
      <c r="E118" s="905">
        <f t="shared" si="219"/>
        <v>8.695652173913043</v>
      </c>
      <c r="F118" s="905">
        <f t="shared" si="219"/>
        <v>8.6422001943969136</v>
      </c>
      <c r="G118" s="905">
        <f t="shared" si="219"/>
        <v>8.6376811594202891</v>
      </c>
      <c r="H118" s="905">
        <f t="shared" si="219"/>
        <v>8.695652173913043</v>
      </c>
      <c r="I118" s="900">
        <f t="shared" si="219"/>
        <v>9.3333333333333339</v>
      </c>
      <c r="J118" s="901">
        <f t="shared" si="219"/>
        <v>8.749715599307045</v>
      </c>
      <c r="K118" s="901">
        <f t="shared" si="219"/>
        <v>8.749715599307045</v>
      </c>
      <c r="L118" s="901">
        <f t="shared" si="219"/>
        <v>8.749715599307045</v>
      </c>
      <c r="M118" s="944">
        <f t="shared" si="219"/>
        <v>8.7121494140693265</v>
      </c>
      <c r="N118" s="905">
        <f t="shared" si="219"/>
        <v>8.6200925357472258</v>
      </c>
      <c r="O118" s="905">
        <f t="shared" si="219"/>
        <v>8.5972445149438848</v>
      </c>
      <c r="P118" s="905">
        <f t="shared" si="219"/>
        <v>8.574461120943548</v>
      </c>
      <c r="Q118" s="905">
        <f t="shared" si="219"/>
        <v>8.5517421665475641</v>
      </c>
      <c r="R118" s="944">
        <f t="shared" si="219"/>
        <v>8.4576113291790751</v>
      </c>
      <c r="S118" s="905">
        <f t="shared" si="220"/>
        <v>8.4483090896352167</v>
      </c>
      <c r="T118" s="905">
        <f t="shared" si="220"/>
        <v>8.4383381790287331</v>
      </c>
      <c r="U118" s="905">
        <f t="shared" si="220"/>
        <v>8.5095408545052589</v>
      </c>
      <c r="V118" s="905">
        <f t="shared" si="220"/>
        <v>8.4973965295052007</v>
      </c>
      <c r="W118" s="905">
        <f t="shared" si="220"/>
        <v>8.484652827450887</v>
      </c>
    </row>
    <row r="119" spans="2:23" ht="11.25" hidden="1" customHeight="1" outlineLevel="1" x14ac:dyDescent="0.3">
      <c r="B119" s="947" t="s">
        <v>428</v>
      </c>
      <c r="C119" s="1909">
        <v>5.7971014492753624E-2</v>
      </c>
      <c r="D119" s="905">
        <f t="shared" si="219"/>
        <v>8.695652173913043</v>
      </c>
      <c r="E119" s="905">
        <f t="shared" si="219"/>
        <v>8.695652173913043</v>
      </c>
      <c r="F119" s="905">
        <f t="shared" si="219"/>
        <v>8.6422001943969136</v>
      </c>
      <c r="G119" s="905">
        <f t="shared" si="219"/>
        <v>8.6376811594202891</v>
      </c>
      <c r="H119" s="905">
        <f t="shared" si="219"/>
        <v>8.695652173913043</v>
      </c>
      <c r="I119" s="900">
        <f t="shared" si="219"/>
        <v>9.3333333333333339</v>
      </c>
      <c r="J119" s="901">
        <f t="shared" si="219"/>
        <v>8.749715599307045</v>
      </c>
      <c r="K119" s="901">
        <f t="shared" si="219"/>
        <v>8.749715599307045</v>
      </c>
      <c r="L119" s="901">
        <f t="shared" si="219"/>
        <v>8.749715599307045</v>
      </c>
      <c r="M119" s="944">
        <f t="shared" si="219"/>
        <v>8.7121494140693265</v>
      </c>
      <c r="N119" s="905">
        <f t="shared" si="219"/>
        <v>8.6200925357472258</v>
      </c>
      <c r="O119" s="905">
        <f t="shared" si="219"/>
        <v>8.5972445149438848</v>
      </c>
      <c r="P119" s="905">
        <f t="shared" si="219"/>
        <v>8.574461120943548</v>
      </c>
      <c r="Q119" s="905">
        <f t="shared" si="219"/>
        <v>8.5517421665475641</v>
      </c>
      <c r="R119" s="944">
        <f t="shared" si="219"/>
        <v>8.4576113291790751</v>
      </c>
      <c r="S119" s="905">
        <f t="shared" si="220"/>
        <v>8.4483090896352167</v>
      </c>
      <c r="T119" s="905">
        <f t="shared" si="220"/>
        <v>8.4383381790287331</v>
      </c>
      <c r="U119" s="905">
        <f t="shared" si="220"/>
        <v>8.5095408545052589</v>
      </c>
      <c r="V119" s="905">
        <f t="shared" si="220"/>
        <v>8.4973965295052007</v>
      </c>
      <c r="W119" s="905">
        <f t="shared" si="220"/>
        <v>8.484652827450887</v>
      </c>
    </row>
    <row r="120" spans="2:23" ht="11.25" hidden="1" customHeight="1" outlineLevel="1" x14ac:dyDescent="0.3">
      <c r="B120" s="947" t="s">
        <v>429</v>
      </c>
      <c r="C120" s="1909">
        <v>5.7971014492753624E-2</v>
      </c>
      <c r="D120" s="905">
        <f t="shared" si="219"/>
        <v>8.695652173913043</v>
      </c>
      <c r="E120" s="905">
        <f t="shared" si="219"/>
        <v>8.695652173913043</v>
      </c>
      <c r="F120" s="905">
        <f t="shared" si="219"/>
        <v>8.6422001943969136</v>
      </c>
      <c r="G120" s="905">
        <f t="shared" si="219"/>
        <v>8.6376811594202891</v>
      </c>
      <c r="H120" s="905">
        <f t="shared" si="219"/>
        <v>8.695652173913043</v>
      </c>
      <c r="I120" s="900">
        <f t="shared" si="219"/>
        <v>9.3333333333333339</v>
      </c>
      <c r="J120" s="901">
        <f t="shared" si="219"/>
        <v>8.749715599307045</v>
      </c>
      <c r="K120" s="901">
        <f t="shared" si="219"/>
        <v>8.749715599307045</v>
      </c>
      <c r="L120" s="901">
        <f t="shared" si="219"/>
        <v>8.749715599307045</v>
      </c>
      <c r="M120" s="944">
        <f t="shared" si="219"/>
        <v>8.7121494140693265</v>
      </c>
      <c r="N120" s="905">
        <f t="shared" si="219"/>
        <v>8.6200925357472258</v>
      </c>
      <c r="O120" s="905">
        <f t="shared" si="219"/>
        <v>8.5972445149438848</v>
      </c>
      <c r="P120" s="905">
        <f t="shared" si="219"/>
        <v>8.574461120943548</v>
      </c>
      <c r="Q120" s="905">
        <f t="shared" si="219"/>
        <v>8.5517421665475641</v>
      </c>
      <c r="R120" s="944">
        <f t="shared" si="219"/>
        <v>8.4576113291790751</v>
      </c>
      <c r="S120" s="905">
        <f t="shared" si="220"/>
        <v>8.4483090896352167</v>
      </c>
      <c r="T120" s="905">
        <f t="shared" si="220"/>
        <v>8.4383381790287331</v>
      </c>
      <c r="U120" s="905">
        <f t="shared" si="220"/>
        <v>8.5095408545052589</v>
      </c>
      <c r="V120" s="905">
        <f t="shared" si="220"/>
        <v>8.4973965295052007</v>
      </c>
      <c r="W120" s="905">
        <f t="shared" si="220"/>
        <v>8.484652827450887</v>
      </c>
    </row>
    <row r="121" spans="2:23" ht="11.25" hidden="1" customHeight="1" outlineLevel="1" x14ac:dyDescent="0.3">
      <c r="B121" s="947" t="s">
        <v>430</v>
      </c>
      <c r="C121" s="1909">
        <v>5.7971014492753624E-2</v>
      </c>
      <c r="D121" s="905">
        <f t="shared" si="219"/>
        <v>8.695652173913043</v>
      </c>
      <c r="E121" s="905">
        <f t="shared" si="219"/>
        <v>8.695652173913043</v>
      </c>
      <c r="F121" s="905">
        <f t="shared" si="219"/>
        <v>8.6422001943969136</v>
      </c>
      <c r="G121" s="905">
        <f t="shared" si="219"/>
        <v>8.6376811594202891</v>
      </c>
      <c r="H121" s="905">
        <f t="shared" si="219"/>
        <v>8.695652173913043</v>
      </c>
      <c r="I121" s="900">
        <f t="shared" si="219"/>
        <v>9.3333333333333339</v>
      </c>
      <c r="J121" s="901">
        <f t="shared" si="219"/>
        <v>8.749715599307045</v>
      </c>
      <c r="K121" s="901">
        <f t="shared" si="219"/>
        <v>8.749715599307045</v>
      </c>
      <c r="L121" s="901">
        <f t="shared" si="219"/>
        <v>8.749715599307045</v>
      </c>
      <c r="M121" s="944">
        <f t="shared" si="219"/>
        <v>8.7121494140693265</v>
      </c>
      <c r="N121" s="905">
        <f t="shared" si="219"/>
        <v>8.6200925357472258</v>
      </c>
      <c r="O121" s="905">
        <f t="shared" si="219"/>
        <v>8.5972445149438848</v>
      </c>
      <c r="P121" s="905">
        <f t="shared" si="219"/>
        <v>8.574461120943548</v>
      </c>
      <c r="Q121" s="905">
        <f t="shared" si="219"/>
        <v>8.5517421665475641</v>
      </c>
      <c r="R121" s="944">
        <f t="shared" si="219"/>
        <v>8.4576113291790751</v>
      </c>
      <c r="S121" s="905">
        <f t="shared" si="220"/>
        <v>8.4483090896352167</v>
      </c>
      <c r="T121" s="905">
        <f t="shared" si="220"/>
        <v>8.4383381790287331</v>
      </c>
      <c r="U121" s="905">
        <f t="shared" si="220"/>
        <v>8.5095408545052589</v>
      </c>
      <c r="V121" s="905">
        <f t="shared" si="220"/>
        <v>8.4973965295052007</v>
      </c>
      <c r="W121" s="905">
        <f t="shared" si="220"/>
        <v>8.484652827450887</v>
      </c>
    </row>
    <row r="122" spans="2:23" ht="11.25" hidden="1" customHeight="1" outlineLevel="1" x14ac:dyDescent="0.3">
      <c r="B122" s="947" t="s">
        <v>431</v>
      </c>
      <c r="C122" s="1909">
        <v>5.7971014492753624E-2</v>
      </c>
      <c r="D122" s="905">
        <f t="shared" si="219"/>
        <v>8.695652173913043</v>
      </c>
      <c r="E122" s="905">
        <f t="shared" si="219"/>
        <v>8.695652173913043</v>
      </c>
      <c r="F122" s="905">
        <f t="shared" si="219"/>
        <v>8.6422001943969136</v>
      </c>
      <c r="G122" s="905">
        <f t="shared" si="219"/>
        <v>8.6376811594202891</v>
      </c>
      <c r="H122" s="905">
        <f t="shared" si="219"/>
        <v>8.695652173913043</v>
      </c>
      <c r="I122" s="900">
        <f t="shared" si="219"/>
        <v>9.3333333333333339</v>
      </c>
      <c r="J122" s="901">
        <f t="shared" si="219"/>
        <v>8.749715599307045</v>
      </c>
      <c r="K122" s="901">
        <f t="shared" si="219"/>
        <v>8.749715599307045</v>
      </c>
      <c r="L122" s="901">
        <f t="shared" si="219"/>
        <v>8.749715599307045</v>
      </c>
      <c r="M122" s="944">
        <f t="shared" si="219"/>
        <v>8.7121494140693265</v>
      </c>
      <c r="N122" s="905">
        <f t="shared" si="219"/>
        <v>8.6200925357472258</v>
      </c>
      <c r="O122" s="905">
        <f t="shared" si="219"/>
        <v>8.5972445149438848</v>
      </c>
      <c r="P122" s="905">
        <f t="shared" si="219"/>
        <v>8.574461120943548</v>
      </c>
      <c r="Q122" s="905">
        <f t="shared" si="219"/>
        <v>8.5517421665475641</v>
      </c>
      <c r="R122" s="944">
        <f t="shared" si="219"/>
        <v>8.4576113291790751</v>
      </c>
      <c r="S122" s="905">
        <f t="shared" si="220"/>
        <v>8.4483090896352167</v>
      </c>
      <c r="T122" s="905">
        <f t="shared" si="220"/>
        <v>8.4383381790287331</v>
      </c>
      <c r="U122" s="905">
        <f t="shared" si="220"/>
        <v>8.5095408545052589</v>
      </c>
      <c r="V122" s="905">
        <f t="shared" si="220"/>
        <v>8.4973965295052007</v>
      </c>
      <c r="W122" s="905">
        <f t="shared" si="220"/>
        <v>8.484652827450887</v>
      </c>
    </row>
    <row r="123" spans="2:23" ht="11.25" hidden="1" customHeight="1" outlineLevel="1" x14ac:dyDescent="0.3">
      <c r="B123" s="947" t="s">
        <v>432</v>
      </c>
      <c r="C123" s="1909">
        <v>0.14492753623188406</v>
      </c>
      <c r="D123" s="905">
        <f t="shared" si="219"/>
        <v>21.739130434782609</v>
      </c>
      <c r="E123" s="905">
        <f t="shared" si="219"/>
        <v>21.739130434782609</v>
      </c>
      <c r="F123" s="905">
        <f t="shared" si="219"/>
        <v>21.605500485992284</v>
      </c>
      <c r="G123" s="905">
        <f t="shared" si="219"/>
        <v>21.594202898550726</v>
      </c>
      <c r="H123" s="905">
        <f t="shared" si="219"/>
        <v>21.739130434782609</v>
      </c>
      <c r="I123" s="900">
        <f t="shared" si="219"/>
        <v>23.333333333333336</v>
      </c>
      <c r="J123" s="901">
        <f t="shared" si="219"/>
        <v>21.874288998267613</v>
      </c>
      <c r="K123" s="901">
        <f t="shared" si="219"/>
        <v>21.874288998267613</v>
      </c>
      <c r="L123" s="901">
        <f t="shared" si="219"/>
        <v>21.874288998267613</v>
      </c>
      <c r="M123" s="944">
        <f t="shared" si="219"/>
        <v>21.780373535173318</v>
      </c>
      <c r="N123" s="905">
        <f t="shared" si="219"/>
        <v>21.550231339368064</v>
      </c>
      <c r="O123" s="905">
        <f t="shared" si="219"/>
        <v>21.493111287359714</v>
      </c>
      <c r="P123" s="905">
        <f t="shared" si="219"/>
        <v>21.436152802358873</v>
      </c>
      <c r="Q123" s="905">
        <f t="shared" si="219"/>
        <v>21.379355416368913</v>
      </c>
      <c r="R123" s="944">
        <f t="shared" si="219"/>
        <v>21.14402832294769</v>
      </c>
      <c r="S123" s="905">
        <f t="shared" si="220"/>
        <v>21.120772724088045</v>
      </c>
      <c r="T123" s="905">
        <f t="shared" si="220"/>
        <v>21.095845447571833</v>
      </c>
      <c r="U123" s="905">
        <f t="shared" si="220"/>
        <v>21.273852136263148</v>
      </c>
      <c r="V123" s="905">
        <f t="shared" si="220"/>
        <v>21.243491323763003</v>
      </c>
      <c r="W123" s="905">
        <f t="shared" si="220"/>
        <v>21.211632068627221</v>
      </c>
    </row>
    <row r="124" spans="2:23" ht="11.25" hidden="1" customHeight="1" outlineLevel="1" x14ac:dyDescent="0.3">
      <c r="B124" s="947" t="s">
        <v>687</v>
      </c>
      <c r="C124" s="1910">
        <f t="shared" ref="C124:H124" si="221">SUM(C112:C123)</f>
        <v>1.0000000000000002</v>
      </c>
      <c r="D124" s="1911">
        <f t="shared" si="221"/>
        <v>150</v>
      </c>
      <c r="E124" s="1911">
        <f t="shared" si="221"/>
        <v>150</v>
      </c>
      <c r="F124" s="1911">
        <f t="shared" si="221"/>
        <v>149.07795335334671</v>
      </c>
      <c r="G124" s="1911">
        <f t="shared" si="221"/>
        <v>148.99999999999994</v>
      </c>
      <c r="H124" s="1911">
        <f t="shared" si="221"/>
        <v>150</v>
      </c>
      <c r="I124" s="1912">
        <f t="shared" ref="I124:R124" si="222">SUM(I112:I123)</f>
        <v>161</v>
      </c>
      <c r="J124" s="1911">
        <f t="shared" si="222"/>
        <v>150.93259408804659</v>
      </c>
      <c r="K124" s="1911">
        <f t="shared" si="222"/>
        <v>150.93259408804659</v>
      </c>
      <c r="L124" s="1911">
        <f t="shared" si="222"/>
        <v>150.93259408804659</v>
      </c>
      <c r="M124" s="1913">
        <f t="shared" si="222"/>
        <v>150.28457739269589</v>
      </c>
      <c r="N124" s="1911">
        <f t="shared" si="222"/>
        <v>148.69659624163967</v>
      </c>
      <c r="O124" s="1911">
        <f t="shared" si="222"/>
        <v>148.302467882782</v>
      </c>
      <c r="P124" s="1911">
        <f t="shared" si="222"/>
        <v>147.90945433627624</v>
      </c>
      <c r="Q124" s="1911">
        <f t="shared" si="222"/>
        <v>147.51755237294554</v>
      </c>
      <c r="R124" s="1913">
        <f t="shared" si="222"/>
        <v>145.89379542833905</v>
      </c>
      <c r="S124" s="1911">
        <f t="shared" ref="S124:W124" si="223">SUM(S112:S123)</f>
        <v>145.73333179620749</v>
      </c>
      <c r="T124" s="1911">
        <f t="shared" si="223"/>
        <v>145.56133358824565</v>
      </c>
      <c r="U124" s="1911">
        <f t="shared" si="223"/>
        <v>146.78957974021574</v>
      </c>
      <c r="V124" s="1911">
        <f t="shared" si="223"/>
        <v>146.58009013396469</v>
      </c>
      <c r="W124" s="1911">
        <f t="shared" si="223"/>
        <v>146.36026127352781</v>
      </c>
    </row>
    <row r="125" spans="2:23" ht="11.25" hidden="1" customHeight="1" outlineLevel="1" x14ac:dyDescent="0.3">
      <c r="B125" s="825"/>
      <c r="C125" s="948"/>
      <c r="D125" s="949"/>
      <c r="E125" s="949"/>
      <c r="F125" s="949"/>
      <c r="G125" s="949"/>
      <c r="H125" s="949"/>
      <c r="I125" s="950"/>
      <c r="J125" s="820"/>
      <c r="K125" s="820"/>
      <c r="L125" s="820"/>
      <c r="M125" s="821"/>
      <c r="R125" s="821"/>
    </row>
    <row r="126" spans="2:23" ht="11.25" hidden="1" customHeight="1" outlineLevel="1" x14ac:dyDescent="0.3">
      <c r="B126" s="945" t="s">
        <v>823</v>
      </c>
      <c r="C126" s="825"/>
      <c r="D126" s="825"/>
      <c r="E126" s="825"/>
      <c r="F126" s="825"/>
      <c r="G126" s="825"/>
      <c r="H126" s="825"/>
      <c r="I126" s="950"/>
      <c r="J126" s="820"/>
      <c r="K126" s="820"/>
      <c r="L126" s="820"/>
      <c r="M126" s="821"/>
      <c r="R126" s="821"/>
    </row>
    <row r="127" spans="2:23" ht="11.25" hidden="1" customHeight="1" outlineLevel="1" x14ac:dyDescent="0.3">
      <c r="B127" s="946" t="s">
        <v>824</v>
      </c>
      <c r="C127" s="814"/>
      <c r="D127" s="1914">
        <f>IF($C$7="Q",SUM(D112:D114),SUM(D112:D115))</f>
        <v>58.695652173913047</v>
      </c>
      <c r="E127" s="1914">
        <f>IF($C$7="Q",SUM(E112:E114),SUM(E112:E115))</f>
        <v>58.695652173913047</v>
      </c>
      <c r="F127" s="1914">
        <f>IF($C$7="Q",SUM(F112:F114),SUM(F112:F115))</f>
        <v>58.334851312179168</v>
      </c>
      <c r="G127" s="1914">
        <f>IF($C$7="Q",SUM(G112:G114),SUM(G112:G115))</f>
        <v>58.304347826086961</v>
      </c>
      <c r="H127" s="1914">
        <f>IF($C$7="Q",SUM(H112:H114),SUM(H112:H115))</f>
        <v>58.695652173913047</v>
      </c>
      <c r="I127" s="1918">
        <f t="shared" ref="I127:R127" si="224">IF($C$7="Q",SUM(I112:I114),SUM(I112:I115))</f>
        <v>63.000000000000007</v>
      </c>
      <c r="J127" s="1914">
        <f t="shared" si="224"/>
        <v>59.060580295322552</v>
      </c>
      <c r="K127" s="1914">
        <f t="shared" si="224"/>
        <v>59.060580295322552</v>
      </c>
      <c r="L127" s="1914">
        <f t="shared" si="224"/>
        <v>59.060580295322552</v>
      </c>
      <c r="M127" s="1919">
        <f t="shared" si="224"/>
        <v>58.807008544967957</v>
      </c>
      <c r="N127" s="1914">
        <f t="shared" si="224"/>
        <v>58.185624616293772</v>
      </c>
      <c r="O127" s="1914">
        <f t="shared" si="224"/>
        <v>58.03140047587123</v>
      </c>
      <c r="P127" s="1914">
        <f t="shared" si="224"/>
        <v>57.877612566368953</v>
      </c>
      <c r="Q127" s="1914">
        <f t="shared" si="224"/>
        <v>57.724259624196065</v>
      </c>
      <c r="R127" s="1919">
        <f t="shared" si="224"/>
        <v>57.088876471958763</v>
      </c>
      <c r="S127" s="1914">
        <f t="shared" ref="S127:W127" si="225">IF($C$7="Q",SUM(S112:S114),SUM(S112:S115))</f>
        <v>57.026086355037719</v>
      </c>
      <c r="T127" s="1914">
        <f t="shared" si="225"/>
        <v>56.958782708443948</v>
      </c>
      <c r="U127" s="1914">
        <f t="shared" si="225"/>
        <v>57.439400767910499</v>
      </c>
      <c r="V127" s="1914">
        <f t="shared" si="225"/>
        <v>57.357426574160108</v>
      </c>
      <c r="W127" s="1914">
        <f t="shared" si="225"/>
        <v>57.271406585293498</v>
      </c>
    </row>
    <row r="128" spans="2:23" ht="11.25" hidden="1" customHeight="1" outlineLevel="1" x14ac:dyDescent="0.3">
      <c r="B128" s="946" t="s">
        <v>825</v>
      </c>
      <c r="C128" s="814"/>
      <c r="D128" s="1915">
        <f>IF($C$7="Q",SUM(D115:D117),SUM(D116:D119))</f>
        <v>26.086956521739129</v>
      </c>
      <c r="E128" s="1915">
        <f>IF($C$7="Q",SUM(E115:E117),SUM(E116:E119))</f>
        <v>26.086956521739129</v>
      </c>
      <c r="F128" s="1915">
        <f>IF($C$7="Q",SUM(F115:F117),SUM(F116:F119))</f>
        <v>25.926600583190741</v>
      </c>
      <c r="G128" s="1915">
        <f>IF($C$7="Q",SUM(G115:G117),SUM(G116:G119))</f>
        <v>25.913043478260867</v>
      </c>
      <c r="H128" s="1915">
        <f>IF($C$7="Q",SUM(H115:H117),SUM(H116:H119))</f>
        <v>26.086956521739129</v>
      </c>
      <c r="I128" s="1920">
        <f t="shared" ref="I128:R128" si="226">IF($C$7="Q",SUM(I115:I117),SUM(I116:I119))</f>
        <v>28</v>
      </c>
      <c r="J128" s="1915">
        <f t="shared" si="226"/>
        <v>26.249146797921135</v>
      </c>
      <c r="K128" s="1915">
        <f t="shared" si="226"/>
        <v>26.249146797921135</v>
      </c>
      <c r="L128" s="1915">
        <f t="shared" si="226"/>
        <v>26.249146797921135</v>
      </c>
      <c r="M128" s="1921">
        <f t="shared" si="226"/>
        <v>26.13644824220798</v>
      </c>
      <c r="N128" s="1915">
        <f t="shared" si="226"/>
        <v>25.860277607241677</v>
      </c>
      <c r="O128" s="1915">
        <f t="shared" si="226"/>
        <v>25.791733544831654</v>
      </c>
      <c r="P128" s="1915">
        <f t="shared" si="226"/>
        <v>25.723383362830646</v>
      </c>
      <c r="Q128" s="1915">
        <f t="shared" si="226"/>
        <v>25.655226499642694</v>
      </c>
      <c r="R128" s="1921">
        <f t="shared" si="226"/>
        <v>25.372833987537227</v>
      </c>
      <c r="S128" s="1915">
        <f t="shared" ref="S128:W128" si="227">IF($C$7="Q",SUM(S115:S117),SUM(S116:S119))</f>
        <v>25.34492726890565</v>
      </c>
      <c r="T128" s="1915">
        <f t="shared" si="227"/>
        <v>25.315014537086199</v>
      </c>
      <c r="U128" s="1915">
        <f t="shared" si="227"/>
        <v>25.528622563515775</v>
      </c>
      <c r="V128" s="1915">
        <f t="shared" si="227"/>
        <v>25.4921895885156</v>
      </c>
      <c r="W128" s="1915">
        <f t="shared" si="227"/>
        <v>25.453958482352661</v>
      </c>
    </row>
    <row r="129" spans="2:23" ht="11.25" hidden="1" customHeight="1" outlineLevel="1" x14ac:dyDescent="0.3">
      <c r="B129" s="946" t="s">
        <v>826</v>
      </c>
      <c r="C129" s="814"/>
      <c r="D129" s="1915">
        <f>IF($C$7="Q",SUM(D118:D120),SUM(D120:D123))</f>
        <v>26.086956521739129</v>
      </c>
      <c r="E129" s="1915">
        <f>IF($C$7="Q",SUM(E118:E120),SUM(E120:E123))</f>
        <v>26.086956521739129</v>
      </c>
      <c r="F129" s="1915">
        <f>IF($C$7="Q",SUM(F118:F120),SUM(F120:F123))</f>
        <v>25.926600583190741</v>
      </c>
      <c r="G129" s="1915">
        <f>IF($C$7="Q",SUM(G118:G120),SUM(G120:G123))</f>
        <v>25.913043478260867</v>
      </c>
      <c r="H129" s="1915">
        <f>IF($C$7="Q",SUM(H118:H120),SUM(H120:H123))</f>
        <v>26.086956521739129</v>
      </c>
      <c r="I129" s="1920">
        <f t="shared" ref="I129:R129" si="228">IF($C$7="Q",SUM(I118:I120),SUM(I120:I123))</f>
        <v>28</v>
      </c>
      <c r="J129" s="1915">
        <f t="shared" si="228"/>
        <v>26.249146797921135</v>
      </c>
      <c r="K129" s="1915">
        <f t="shared" si="228"/>
        <v>26.249146797921135</v>
      </c>
      <c r="L129" s="1915">
        <f t="shared" si="228"/>
        <v>26.249146797921135</v>
      </c>
      <c r="M129" s="1921">
        <f t="shared" si="228"/>
        <v>26.13644824220798</v>
      </c>
      <c r="N129" s="1915">
        <f t="shared" si="228"/>
        <v>25.860277607241677</v>
      </c>
      <c r="O129" s="1915">
        <f t="shared" si="228"/>
        <v>25.791733544831654</v>
      </c>
      <c r="P129" s="1915">
        <f t="shared" si="228"/>
        <v>25.723383362830646</v>
      </c>
      <c r="Q129" s="1915">
        <f t="shared" si="228"/>
        <v>25.655226499642694</v>
      </c>
      <c r="R129" s="1921">
        <f t="shared" si="228"/>
        <v>25.372833987537227</v>
      </c>
      <c r="S129" s="1915">
        <f t="shared" ref="S129:W129" si="229">IF($C$7="Q",SUM(S118:S120),SUM(S120:S123))</f>
        <v>25.34492726890565</v>
      </c>
      <c r="T129" s="1915">
        <f t="shared" si="229"/>
        <v>25.315014537086199</v>
      </c>
      <c r="U129" s="1915">
        <f t="shared" si="229"/>
        <v>25.528622563515775</v>
      </c>
      <c r="V129" s="1915">
        <f t="shared" si="229"/>
        <v>25.4921895885156</v>
      </c>
      <c r="W129" s="1915">
        <f t="shared" si="229"/>
        <v>25.453958482352661</v>
      </c>
    </row>
    <row r="130" spans="2:23" ht="11.25" hidden="1" customHeight="1" outlineLevel="1" x14ac:dyDescent="0.3">
      <c r="B130" s="946" t="s">
        <v>827</v>
      </c>
      <c r="C130" s="814"/>
      <c r="D130" s="1916">
        <f>IF($C$7="Q",SUM(D121:D123),0)</f>
        <v>39.130434782608695</v>
      </c>
      <c r="E130" s="1916">
        <f>IF($C$7="Q",SUM(E121:E123),0)</f>
        <v>39.130434782608695</v>
      </c>
      <c r="F130" s="1916">
        <f>IF($C$7="Q",SUM(F121:F123),0)</f>
        <v>38.889900874786107</v>
      </c>
      <c r="G130" s="1916">
        <f>IF($C$7="Q",SUM(G121:G123),0)</f>
        <v>38.869565217391305</v>
      </c>
      <c r="H130" s="1916">
        <f>IF($C$7="Q",SUM(H121:H123),0)</f>
        <v>39.130434782608695</v>
      </c>
      <c r="I130" s="1922">
        <f t="shared" ref="I130:R130" si="230">IF($C$7="Q",SUM(I121:I123),0)</f>
        <v>42</v>
      </c>
      <c r="J130" s="1916">
        <f t="shared" si="230"/>
        <v>39.373720196881706</v>
      </c>
      <c r="K130" s="1916">
        <f t="shared" si="230"/>
        <v>39.373720196881706</v>
      </c>
      <c r="L130" s="1916">
        <f t="shared" si="230"/>
        <v>39.373720196881706</v>
      </c>
      <c r="M130" s="1923">
        <f t="shared" si="230"/>
        <v>39.204672363311971</v>
      </c>
      <c r="N130" s="1916">
        <f t="shared" si="230"/>
        <v>38.79041641086252</v>
      </c>
      <c r="O130" s="1916">
        <f t="shared" si="230"/>
        <v>38.687600317247487</v>
      </c>
      <c r="P130" s="1916">
        <f t="shared" si="230"/>
        <v>38.585075044245968</v>
      </c>
      <c r="Q130" s="1916">
        <f t="shared" si="230"/>
        <v>38.482839749464041</v>
      </c>
      <c r="R130" s="1923">
        <f t="shared" si="230"/>
        <v>38.059250981305837</v>
      </c>
      <c r="S130" s="1916">
        <f t="shared" ref="S130:W130" si="231">IF($C$7="Q",SUM(S121:S123),0)</f>
        <v>38.017390903358475</v>
      </c>
      <c r="T130" s="1916">
        <f t="shared" si="231"/>
        <v>37.972521805629299</v>
      </c>
      <c r="U130" s="1916">
        <f t="shared" si="231"/>
        <v>38.292933845273666</v>
      </c>
      <c r="V130" s="1916">
        <f t="shared" si="231"/>
        <v>38.238284382773401</v>
      </c>
      <c r="W130" s="1916">
        <f t="shared" si="231"/>
        <v>38.180937723528999</v>
      </c>
    </row>
    <row r="131" spans="2:23" ht="11.25" hidden="1" customHeight="1" outlineLevel="1" x14ac:dyDescent="0.3">
      <c r="B131" s="951" t="s">
        <v>687</v>
      </c>
      <c r="C131" s="946"/>
      <c r="D131" s="1917">
        <f>SUM(D127:D130)</f>
        <v>150</v>
      </c>
      <c r="E131" s="1917">
        <f>SUM(E127:E130)</f>
        <v>150</v>
      </c>
      <c r="F131" s="1917">
        <f>SUM(F127:F130)</f>
        <v>149.07795335334674</v>
      </c>
      <c r="G131" s="1917">
        <f>SUM(G127:G130)</f>
        <v>149</v>
      </c>
      <c r="H131" s="1917">
        <f>SUM(H127:H130)</f>
        <v>150</v>
      </c>
      <c r="I131" s="1924">
        <f t="shared" ref="I131:R131" si="232">SUM(I127:I130)</f>
        <v>161</v>
      </c>
      <c r="J131" s="1917">
        <f t="shared" si="232"/>
        <v>150.93259408804653</v>
      </c>
      <c r="K131" s="1917">
        <f t="shared" si="232"/>
        <v>150.93259408804653</v>
      </c>
      <c r="L131" s="1917">
        <f t="shared" si="232"/>
        <v>150.93259408804653</v>
      </c>
      <c r="M131" s="1925">
        <f t="shared" si="232"/>
        <v>150.28457739269589</v>
      </c>
      <c r="N131" s="1917">
        <f t="shared" si="232"/>
        <v>148.69659624163964</v>
      </c>
      <c r="O131" s="1917">
        <f t="shared" si="232"/>
        <v>148.30246788278203</v>
      </c>
      <c r="P131" s="1917">
        <f t="shared" si="232"/>
        <v>147.90945433627621</v>
      </c>
      <c r="Q131" s="1917">
        <f t="shared" si="232"/>
        <v>147.51755237294549</v>
      </c>
      <c r="R131" s="1925">
        <f t="shared" si="232"/>
        <v>145.89379542833905</v>
      </c>
      <c r="S131" s="1917">
        <f t="shared" ref="S131:W131" si="233">SUM(S127:S130)</f>
        <v>145.73333179620749</v>
      </c>
      <c r="T131" s="1917">
        <f t="shared" si="233"/>
        <v>145.56133358824565</v>
      </c>
      <c r="U131" s="1917">
        <f t="shared" si="233"/>
        <v>146.78957974021571</v>
      </c>
      <c r="V131" s="1917">
        <f t="shared" si="233"/>
        <v>146.58009013396472</v>
      </c>
      <c r="W131" s="1917">
        <f t="shared" si="233"/>
        <v>146.36026127352781</v>
      </c>
    </row>
    <row r="132" spans="2:23" ht="11.25" hidden="1" customHeight="1" outlineLevel="1" x14ac:dyDescent="0.3">
      <c r="B132" s="811"/>
      <c r="C132" s="946"/>
      <c r="D132" s="952"/>
      <c r="E132" s="952"/>
      <c r="F132" s="952"/>
      <c r="G132" s="952"/>
      <c r="H132" s="952"/>
      <c r="I132" s="950"/>
      <c r="J132" s="820"/>
      <c r="K132" s="820"/>
      <c r="L132" s="820"/>
      <c r="M132" s="821"/>
      <c r="R132" s="821"/>
    </row>
    <row r="133" spans="2:23" ht="11.25" hidden="1" customHeight="1" outlineLevel="1" x14ac:dyDescent="0.3">
      <c r="B133" s="940" t="s">
        <v>828</v>
      </c>
      <c r="C133" s="820"/>
      <c r="D133" s="953"/>
      <c r="E133" s="953"/>
      <c r="F133" s="953"/>
      <c r="G133" s="953"/>
      <c r="H133" s="953"/>
      <c r="I133" s="950"/>
      <c r="J133" s="820"/>
      <c r="K133" s="820"/>
      <c r="L133" s="820"/>
      <c r="M133" s="821"/>
      <c r="R133" s="821"/>
    </row>
    <row r="134" spans="2:23" ht="11.25" hidden="1" customHeight="1" outlineLevel="1" x14ac:dyDescent="0.3">
      <c r="B134" s="946" t="s">
        <v>824</v>
      </c>
      <c r="C134" s="946" t="s">
        <v>819</v>
      </c>
      <c r="D134" s="901">
        <f>IF(D107=0,D127,IF(D127&lt;D107,D127,D107))</f>
        <v>37.5</v>
      </c>
      <c r="E134" s="901">
        <f>IF(E107=0,E127,IF(E127&lt;E107,E127,E107))</f>
        <v>58.333333333333336</v>
      </c>
      <c r="F134" s="901">
        <f>IF(F107=0,F127,IF(F127&lt;F107,F127,F107))</f>
        <v>58.333333333333336</v>
      </c>
      <c r="G134" s="901">
        <f>IF(G107=0,G127,IF(G127&lt;G107,G127,G107))</f>
        <v>58.304347826086961</v>
      </c>
      <c r="H134" s="901">
        <f>IF(H107=0,H127,IF(H127&lt;H107,H127,H107))</f>
        <v>58.333333333333336</v>
      </c>
      <c r="I134" s="900">
        <f t="shared" ref="I134:R134" si="234">IF(I107=0,I127,IF(I127&lt;I107,I127,I107))</f>
        <v>58.333333333333336</v>
      </c>
      <c r="J134" s="901">
        <f t="shared" si="234"/>
        <v>58.333333333333336</v>
      </c>
      <c r="K134" s="901">
        <f t="shared" si="234"/>
        <v>58.333333333333336</v>
      </c>
      <c r="L134" s="901">
        <f t="shared" si="234"/>
        <v>58.333333333333336</v>
      </c>
      <c r="M134" s="944">
        <f t="shared" si="234"/>
        <v>58.333333333333336</v>
      </c>
      <c r="N134" s="901">
        <f t="shared" si="234"/>
        <v>58.185624616293772</v>
      </c>
      <c r="O134" s="901">
        <f t="shared" si="234"/>
        <v>58.03140047587123</v>
      </c>
      <c r="P134" s="901">
        <f t="shared" si="234"/>
        <v>57.877612566368953</v>
      </c>
      <c r="Q134" s="901">
        <f t="shared" si="234"/>
        <v>57.724259624196065</v>
      </c>
      <c r="R134" s="944">
        <f t="shared" si="234"/>
        <v>57.088876471958763</v>
      </c>
      <c r="S134" s="901">
        <f t="shared" ref="S134:W134" si="235">IF(S107=0,S127,IF(S127&lt;S107,S127,S107))</f>
        <v>57.026086355037719</v>
      </c>
      <c r="T134" s="901">
        <f t="shared" si="235"/>
        <v>56.958782708443948</v>
      </c>
      <c r="U134" s="901">
        <f t="shared" si="235"/>
        <v>57.439400767910499</v>
      </c>
      <c r="V134" s="901">
        <f t="shared" si="235"/>
        <v>57.357426574160108</v>
      </c>
      <c r="W134" s="901">
        <f t="shared" si="235"/>
        <v>57.271406585293498</v>
      </c>
    </row>
    <row r="135" spans="2:23" ht="11.25" hidden="1" customHeight="1" outlineLevel="1" x14ac:dyDescent="0.3">
      <c r="B135" s="946"/>
      <c r="C135" s="946" t="s">
        <v>820</v>
      </c>
      <c r="D135" s="901">
        <f>IF((D127-D134)&lt;D108,(D127-D134),D108)</f>
        <v>21.195652173913047</v>
      </c>
      <c r="E135" s="901">
        <f>IF((E127-E134)&lt;E108,(E127-E134),E108)</f>
        <v>0.36231884057971087</v>
      </c>
      <c r="F135" s="901">
        <f>IF((F127-F134)&lt;F108,(F127-F134),F108)</f>
        <v>1.5179788458326016E-3</v>
      </c>
      <c r="G135" s="901">
        <f>IF((G127-G134)&lt;G108,(G127-G134),G108)</f>
        <v>0</v>
      </c>
      <c r="H135" s="901">
        <f>IF((H127-H134)&lt;H108,(H127-H134),H108)</f>
        <v>0.36231884057971087</v>
      </c>
      <c r="I135" s="900">
        <f t="shared" ref="I135:R135" si="236">IF((I127-I134)&lt;I108,(I127-I134),I108)</f>
        <v>4.6666666666666714</v>
      </c>
      <c r="J135" s="901">
        <f t="shared" si="236"/>
        <v>0.72724696198921635</v>
      </c>
      <c r="K135" s="901">
        <f t="shared" si="236"/>
        <v>0.72724696198921635</v>
      </c>
      <c r="L135" s="901">
        <f t="shared" si="236"/>
        <v>0.72724696198921635</v>
      </c>
      <c r="M135" s="944">
        <f t="shared" si="236"/>
        <v>0.47367521163462101</v>
      </c>
      <c r="N135" s="901">
        <f t="shared" si="236"/>
        <v>0</v>
      </c>
      <c r="O135" s="901">
        <f t="shared" si="236"/>
        <v>0</v>
      </c>
      <c r="P135" s="901">
        <f t="shared" si="236"/>
        <v>0</v>
      </c>
      <c r="Q135" s="901">
        <f t="shared" si="236"/>
        <v>0</v>
      </c>
      <c r="R135" s="944">
        <f t="shared" si="236"/>
        <v>0</v>
      </c>
      <c r="S135" s="901">
        <f t="shared" ref="S135:W135" si="237">IF((S127-S134)&lt;S108,(S127-S134),S108)</f>
        <v>0</v>
      </c>
      <c r="T135" s="901">
        <f t="shared" si="237"/>
        <v>0</v>
      </c>
      <c r="U135" s="901">
        <f t="shared" si="237"/>
        <v>0</v>
      </c>
      <c r="V135" s="901">
        <f t="shared" si="237"/>
        <v>0</v>
      </c>
      <c r="W135" s="901">
        <f t="shared" si="237"/>
        <v>0</v>
      </c>
    </row>
    <row r="136" spans="2:23" ht="11.25" hidden="1" customHeight="1" outlineLevel="1" x14ac:dyDescent="0.3">
      <c r="B136" s="946" t="s">
        <v>825</v>
      </c>
      <c r="C136" s="954" t="s">
        <v>819</v>
      </c>
      <c r="D136" s="1911">
        <f>IF(D107=0,D128,IF(D128&lt;D107,D128,D107))</f>
        <v>26.086956521739129</v>
      </c>
      <c r="E136" s="1911">
        <f>IF(E107=0,E128,IF(E128&lt;E107,E128,E107))</f>
        <v>26.086956521739129</v>
      </c>
      <c r="F136" s="1911">
        <f>IF(F107=0,F128,IF(F128&lt;F107,F128,F107))</f>
        <v>25.926600583190741</v>
      </c>
      <c r="G136" s="1911">
        <f>IF(G107=0,G128,IF(G128&lt;G107,G128,G107))</f>
        <v>25.913043478260867</v>
      </c>
      <c r="H136" s="1911">
        <f>IF(H107=0,H128,IF(H128&lt;H107,H128,H107))</f>
        <v>26.086956521739129</v>
      </c>
      <c r="I136" s="1912">
        <f t="shared" ref="I136:R136" si="238">IF(I107=0,I128,IF(I128&lt;I107,I128,I107))</f>
        <v>28</v>
      </c>
      <c r="J136" s="1911">
        <f t="shared" si="238"/>
        <v>26.249146797921135</v>
      </c>
      <c r="K136" s="1911">
        <f t="shared" si="238"/>
        <v>26.249146797921135</v>
      </c>
      <c r="L136" s="1911">
        <f t="shared" si="238"/>
        <v>26.249146797921135</v>
      </c>
      <c r="M136" s="1913">
        <f t="shared" si="238"/>
        <v>26.13644824220798</v>
      </c>
      <c r="N136" s="1911">
        <f t="shared" si="238"/>
        <v>25.860277607241677</v>
      </c>
      <c r="O136" s="1911">
        <f t="shared" si="238"/>
        <v>25.791733544831654</v>
      </c>
      <c r="P136" s="1911">
        <f t="shared" si="238"/>
        <v>25.723383362830646</v>
      </c>
      <c r="Q136" s="1911">
        <f t="shared" si="238"/>
        <v>25.655226499642694</v>
      </c>
      <c r="R136" s="1913">
        <f t="shared" si="238"/>
        <v>25.372833987537227</v>
      </c>
      <c r="S136" s="1911">
        <f t="shared" ref="S136:W136" si="239">IF(S107=0,S128,IF(S128&lt;S107,S128,S107))</f>
        <v>25.34492726890565</v>
      </c>
      <c r="T136" s="1911">
        <f t="shared" si="239"/>
        <v>25.315014537086199</v>
      </c>
      <c r="U136" s="1911">
        <f t="shared" si="239"/>
        <v>25.528622563515775</v>
      </c>
      <c r="V136" s="1911">
        <f t="shared" si="239"/>
        <v>25.4921895885156</v>
      </c>
      <c r="W136" s="1911">
        <f t="shared" si="239"/>
        <v>25.453958482352661</v>
      </c>
    </row>
    <row r="137" spans="2:23" ht="11.25" hidden="1" customHeight="1" outlineLevel="1" x14ac:dyDescent="0.3">
      <c r="B137" s="946"/>
      <c r="C137" s="946" t="s">
        <v>820</v>
      </c>
      <c r="D137" s="901">
        <f>IF((D128-D136)&lt;D108,(D128-D136),D108)</f>
        <v>0</v>
      </c>
      <c r="E137" s="901">
        <f>IF((E128-E136)&lt;E108,(E128-E136),E108)</f>
        <v>0</v>
      </c>
      <c r="F137" s="901">
        <f>IF((F128-F136)&lt;F108,(F128-F136),F108)</f>
        <v>0</v>
      </c>
      <c r="G137" s="901">
        <f>IF((G128-G136)&lt;G108,(G128-G136),G108)</f>
        <v>0</v>
      </c>
      <c r="H137" s="901">
        <f>IF((H128-H136)&lt;H108,(H128-H136),H108)</f>
        <v>0</v>
      </c>
      <c r="I137" s="900">
        <f t="shared" ref="I137:R137" si="240">IF((I128-I136)&lt;I108,(I128-I136),I108)</f>
        <v>0</v>
      </c>
      <c r="J137" s="901">
        <f t="shared" si="240"/>
        <v>0</v>
      </c>
      <c r="K137" s="901">
        <f t="shared" si="240"/>
        <v>0</v>
      </c>
      <c r="L137" s="901">
        <f t="shared" si="240"/>
        <v>0</v>
      </c>
      <c r="M137" s="944">
        <f t="shared" si="240"/>
        <v>0</v>
      </c>
      <c r="N137" s="901">
        <f t="shared" si="240"/>
        <v>0</v>
      </c>
      <c r="O137" s="901">
        <f t="shared" si="240"/>
        <v>0</v>
      </c>
      <c r="P137" s="901">
        <f t="shared" si="240"/>
        <v>0</v>
      </c>
      <c r="Q137" s="901">
        <f t="shared" si="240"/>
        <v>0</v>
      </c>
      <c r="R137" s="944">
        <f t="shared" si="240"/>
        <v>0</v>
      </c>
      <c r="S137" s="901">
        <f t="shared" ref="S137:W137" si="241">IF((S128-S136)&lt;S108,(S128-S136),S108)</f>
        <v>0</v>
      </c>
      <c r="T137" s="901">
        <f t="shared" si="241"/>
        <v>0</v>
      </c>
      <c r="U137" s="901">
        <f t="shared" si="241"/>
        <v>0</v>
      </c>
      <c r="V137" s="901">
        <f t="shared" si="241"/>
        <v>0</v>
      </c>
      <c r="W137" s="901">
        <f t="shared" si="241"/>
        <v>0</v>
      </c>
    </row>
    <row r="138" spans="2:23" ht="11.25" hidden="1" customHeight="1" outlineLevel="1" x14ac:dyDescent="0.3">
      <c r="B138" s="946" t="s">
        <v>826</v>
      </c>
      <c r="C138" s="954" t="s">
        <v>819</v>
      </c>
      <c r="D138" s="1911">
        <f>IF(D107=0,D129,IF(D129&lt;D107,D129,D107))</f>
        <v>26.086956521739129</v>
      </c>
      <c r="E138" s="1911">
        <f>IF(E107=0,E129,IF(E129&lt;E107,E129,E107))</f>
        <v>26.086956521739129</v>
      </c>
      <c r="F138" s="1911">
        <f>IF(F107=0,F129,IF(F129&lt;F107,F129,F107))</f>
        <v>25.926600583190741</v>
      </c>
      <c r="G138" s="1911">
        <f>IF(G107=0,G129,IF(G129&lt;G107,G129,G107))</f>
        <v>25.913043478260867</v>
      </c>
      <c r="H138" s="1911">
        <f>IF(H107=0,H129,IF(H129&lt;H107,H129,H107))</f>
        <v>26.086956521739129</v>
      </c>
      <c r="I138" s="1912">
        <f t="shared" ref="I138:R138" si="242">IF(I107=0,I129,IF(I129&lt;I107,I129,I107))</f>
        <v>28</v>
      </c>
      <c r="J138" s="1911">
        <f t="shared" si="242"/>
        <v>26.249146797921135</v>
      </c>
      <c r="K138" s="1911">
        <f t="shared" si="242"/>
        <v>26.249146797921135</v>
      </c>
      <c r="L138" s="1911">
        <f t="shared" si="242"/>
        <v>26.249146797921135</v>
      </c>
      <c r="M138" s="1913">
        <f t="shared" si="242"/>
        <v>26.13644824220798</v>
      </c>
      <c r="N138" s="1911">
        <f t="shared" si="242"/>
        <v>25.860277607241677</v>
      </c>
      <c r="O138" s="1911">
        <f t="shared" si="242"/>
        <v>25.791733544831654</v>
      </c>
      <c r="P138" s="1911">
        <f t="shared" si="242"/>
        <v>25.723383362830646</v>
      </c>
      <c r="Q138" s="1911">
        <f t="shared" si="242"/>
        <v>25.655226499642694</v>
      </c>
      <c r="R138" s="1913">
        <f t="shared" si="242"/>
        <v>25.372833987537227</v>
      </c>
      <c r="S138" s="1911">
        <f t="shared" ref="S138:W138" si="243">IF(S107=0,S129,IF(S129&lt;S107,S129,S107))</f>
        <v>25.34492726890565</v>
      </c>
      <c r="T138" s="1911">
        <f t="shared" si="243"/>
        <v>25.315014537086199</v>
      </c>
      <c r="U138" s="1911">
        <f t="shared" si="243"/>
        <v>25.528622563515775</v>
      </c>
      <c r="V138" s="1911">
        <f t="shared" si="243"/>
        <v>25.4921895885156</v>
      </c>
      <c r="W138" s="1911">
        <f t="shared" si="243"/>
        <v>25.453958482352661</v>
      </c>
    </row>
    <row r="139" spans="2:23" ht="11.25" hidden="1" customHeight="1" outlineLevel="1" x14ac:dyDescent="0.3">
      <c r="B139" s="946"/>
      <c r="C139" s="946" t="s">
        <v>820</v>
      </c>
      <c r="D139" s="901">
        <f>IF((D129-D138)&lt;D108,(D129-D138),D108)</f>
        <v>0</v>
      </c>
      <c r="E139" s="901">
        <f>IF((E129-E138)&lt;E108,(E129-E138),E108)</f>
        <v>0</v>
      </c>
      <c r="F139" s="901">
        <f>IF((F129-F138)&lt;F108,(F129-F138),F108)</f>
        <v>0</v>
      </c>
      <c r="G139" s="901">
        <f>IF((G129-G138)&lt;G108,(G129-G138),G108)</f>
        <v>0</v>
      </c>
      <c r="H139" s="901">
        <f>IF((H129-H138)&lt;H108,(H129-H138),H108)</f>
        <v>0</v>
      </c>
      <c r="I139" s="900">
        <f t="shared" ref="I139:R139" si="244">IF((I129-I138)&lt;I108,(I129-I138),I108)</f>
        <v>0</v>
      </c>
      <c r="J139" s="901">
        <f t="shared" si="244"/>
        <v>0</v>
      </c>
      <c r="K139" s="901">
        <f t="shared" si="244"/>
        <v>0</v>
      </c>
      <c r="L139" s="901">
        <f t="shared" si="244"/>
        <v>0</v>
      </c>
      <c r="M139" s="944">
        <f t="shared" si="244"/>
        <v>0</v>
      </c>
      <c r="N139" s="901">
        <f t="shared" si="244"/>
        <v>0</v>
      </c>
      <c r="O139" s="901">
        <f t="shared" si="244"/>
        <v>0</v>
      </c>
      <c r="P139" s="901">
        <f t="shared" si="244"/>
        <v>0</v>
      </c>
      <c r="Q139" s="901">
        <f t="shared" si="244"/>
        <v>0</v>
      </c>
      <c r="R139" s="944">
        <f t="shared" si="244"/>
        <v>0</v>
      </c>
      <c r="S139" s="901">
        <f t="shared" ref="S139:W139" si="245">IF((S129-S138)&lt;S108,(S129-S138),S108)</f>
        <v>0</v>
      </c>
      <c r="T139" s="901">
        <f t="shared" si="245"/>
        <v>0</v>
      </c>
      <c r="U139" s="901">
        <f t="shared" si="245"/>
        <v>0</v>
      </c>
      <c r="V139" s="901">
        <f t="shared" si="245"/>
        <v>0</v>
      </c>
      <c r="W139" s="901">
        <f t="shared" si="245"/>
        <v>0</v>
      </c>
    </row>
    <row r="140" spans="2:23" ht="11.25" hidden="1" customHeight="1" outlineLevel="1" x14ac:dyDescent="0.3">
      <c r="B140" s="946" t="s">
        <v>827</v>
      </c>
      <c r="C140" s="954" t="s">
        <v>819</v>
      </c>
      <c r="D140" s="1911">
        <f>IF($C$7="T",0,IF(D107=0,D130,IF(D130&lt;D107,D130,D107)))</f>
        <v>37.5</v>
      </c>
      <c r="E140" s="1911">
        <f>IF($C$7="T",0,IF(E107=0,E130,IF(E130&lt;E107,E130,E107)))</f>
        <v>39.130434782608695</v>
      </c>
      <c r="F140" s="1911">
        <f>IF($C$7="T",0,IF(F107=0,F130,IF(F130&lt;F107,F130,F107)))</f>
        <v>38.889900874786107</v>
      </c>
      <c r="G140" s="1911">
        <f>IF($C$7="T",0,IF(G107=0,G130,IF(G130&lt;G107,G130,G107)))</f>
        <v>38.869565217391305</v>
      </c>
      <c r="H140" s="1911">
        <f>IF($C$7="T",0,IF(H107=0,H130,IF(H130&lt;H107,H130,H107)))</f>
        <v>39.130434782608695</v>
      </c>
      <c r="I140" s="1912">
        <f t="shared" ref="I140:R140" si="246">IF($C$7="T",0,IF(I107=0,I130,IF(I130&lt;I107,I130,I107)))</f>
        <v>42</v>
      </c>
      <c r="J140" s="1911">
        <f t="shared" si="246"/>
        <v>39.373720196881706</v>
      </c>
      <c r="K140" s="1911">
        <f t="shared" si="246"/>
        <v>39.373720196881706</v>
      </c>
      <c r="L140" s="1911">
        <f t="shared" si="246"/>
        <v>39.373720196881706</v>
      </c>
      <c r="M140" s="1913">
        <f t="shared" si="246"/>
        <v>39.204672363311971</v>
      </c>
      <c r="N140" s="1911">
        <f t="shared" si="246"/>
        <v>38.79041641086252</v>
      </c>
      <c r="O140" s="1911">
        <f t="shared" si="246"/>
        <v>38.687600317247487</v>
      </c>
      <c r="P140" s="1911">
        <f t="shared" si="246"/>
        <v>38.585075044245968</v>
      </c>
      <c r="Q140" s="1911">
        <f t="shared" si="246"/>
        <v>38.482839749464041</v>
      </c>
      <c r="R140" s="1913">
        <f t="shared" si="246"/>
        <v>38.059250981305837</v>
      </c>
      <c r="S140" s="1911">
        <f t="shared" ref="S140:W140" si="247">IF($C$7="T",0,IF(S107=0,S130,IF(S130&lt;S107,S130,S107)))</f>
        <v>38.017390903358475</v>
      </c>
      <c r="T140" s="1911">
        <f t="shared" si="247"/>
        <v>37.972521805629299</v>
      </c>
      <c r="U140" s="1911">
        <f t="shared" si="247"/>
        <v>38.292933845273666</v>
      </c>
      <c r="V140" s="1911">
        <f t="shared" si="247"/>
        <v>38.238284382773401</v>
      </c>
      <c r="W140" s="1911">
        <f t="shared" si="247"/>
        <v>38.180937723528999</v>
      </c>
    </row>
    <row r="141" spans="2:23" ht="11.25" hidden="1" customHeight="1" outlineLevel="1" x14ac:dyDescent="0.3">
      <c r="B141" s="946"/>
      <c r="C141" s="946" t="s">
        <v>820</v>
      </c>
      <c r="D141" s="901">
        <f>IF($C$7="T",0,IF((D130-D140)&lt;D108,(D130-D140),D108))</f>
        <v>1.6304347826086953</v>
      </c>
      <c r="E141" s="901">
        <f>IF($C$7="T",0,IF((E130-E140)&lt;E108,(E130-E140),E108))</f>
        <v>0</v>
      </c>
      <c r="F141" s="901">
        <f>IF($C$7="T",0,IF((F130-F140)&lt;F108,(F130-F140),F108))</f>
        <v>0</v>
      </c>
      <c r="G141" s="901">
        <f>IF($C$7="T",0,IF((G130-G140)&lt;G108,(G130-G140),G108))</f>
        <v>0</v>
      </c>
      <c r="H141" s="901">
        <f>IF($C$7="T",0,IF((H130-H140)&lt;H108,(H130-H140),H108))</f>
        <v>0</v>
      </c>
      <c r="I141" s="900">
        <f t="shared" ref="I141:R141" si="248">IF($C$7="T",0,IF((I130-I140)&lt;I108,(I130-I140),I108))</f>
        <v>0</v>
      </c>
      <c r="J141" s="901">
        <f t="shared" si="248"/>
        <v>0</v>
      </c>
      <c r="K141" s="901">
        <f t="shared" si="248"/>
        <v>0</v>
      </c>
      <c r="L141" s="901">
        <f t="shared" si="248"/>
        <v>0</v>
      </c>
      <c r="M141" s="944">
        <f t="shared" si="248"/>
        <v>0</v>
      </c>
      <c r="N141" s="901">
        <f t="shared" si="248"/>
        <v>0</v>
      </c>
      <c r="O141" s="901">
        <f t="shared" si="248"/>
        <v>0</v>
      </c>
      <c r="P141" s="901">
        <f t="shared" si="248"/>
        <v>0</v>
      </c>
      <c r="Q141" s="901">
        <f t="shared" si="248"/>
        <v>0</v>
      </c>
      <c r="R141" s="944">
        <f t="shared" si="248"/>
        <v>0</v>
      </c>
      <c r="S141" s="901">
        <f t="shared" ref="S141:W141" si="249">IF($C$7="T",0,IF((S130-S140)&lt;S108,(S130-S140),S108))</f>
        <v>0</v>
      </c>
      <c r="T141" s="901">
        <f t="shared" si="249"/>
        <v>0</v>
      </c>
      <c r="U141" s="901">
        <f t="shared" si="249"/>
        <v>0</v>
      </c>
      <c r="V141" s="901">
        <f t="shared" si="249"/>
        <v>0</v>
      </c>
      <c r="W141" s="901">
        <f t="shared" si="249"/>
        <v>0</v>
      </c>
    </row>
    <row r="142" spans="2:23" ht="11.25" hidden="1" customHeight="1" outlineLevel="1" x14ac:dyDescent="0.3">
      <c r="B142" s="946" t="s">
        <v>829</v>
      </c>
      <c r="C142" s="954" t="s">
        <v>819</v>
      </c>
      <c r="D142" s="1911">
        <f t="shared" ref="D142:R143" si="250">D134+D136+D138+D140</f>
        <v>127.17391304347825</v>
      </c>
      <c r="E142" s="1911">
        <f t="shared" si="250"/>
        <v>149.63768115942028</v>
      </c>
      <c r="F142" s="1911">
        <f t="shared" si="250"/>
        <v>149.07643537450093</v>
      </c>
      <c r="G142" s="1911">
        <f t="shared" si="250"/>
        <v>149</v>
      </c>
      <c r="H142" s="1911">
        <f t="shared" si="250"/>
        <v>149.63768115942028</v>
      </c>
      <c r="I142" s="1912">
        <f t="shared" si="250"/>
        <v>156.33333333333334</v>
      </c>
      <c r="J142" s="1911">
        <f t="shared" si="250"/>
        <v>150.20534712605729</v>
      </c>
      <c r="K142" s="1911">
        <f t="shared" si="250"/>
        <v>150.20534712605729</v>
      </c>
      <c r="L142" s="1911">
        <f t="shared" si="250"/>
        <v>150.20534712605729</v>
      </c>
      <c r="M142" s="1913">
        <f t="shared" si="250"/>
        <v>149.81090218106127</v>
      </c>
      <c r="N142" s="1911">
        <f t="shared" si="250"/>
        <v>148.69659624163964</v>
      </c>
      <c r="O142" s="1911">
        <f t="shared" si="250"/>
        <v>148.30246788278203</v>
      </c>
      <c r="P142" s="1911">
        <f t="shared" si="250"/>
        <v>147.90945433627621</v>
      </c>
      <c r="Q142" s="1911">
        <f t="shared" si="250"/>
        <v>147.51755237294549</v>
      </c>
      <c r="R142" s="1913">
        <f t="shared" si="250"/>
        <v>145.89379542833905</v>
      </c>
      <c r="S142" s="1911">
        <f t="shared" ref="S142:W142" si="251">S134+S136+S138+S140</f>
        <v>145.73333179620749</v>
      </c>
      <c r="T142" s="1911">
        <f t="shared" si="251"/>
        <v>145.56133358824565</v>
      </c>
      <c r="U142" s="1911">
        <f t="shared" si="251"/>
        <v>146.78957974021571</v>
      </c>
      <c r="V142" s="1911">
        <f t="shared" si="251"/>
        <v>146.58009013396472</v>
      </c>
      <c r="W142" s="1911">
        <f t="shared" si="251"/>
        <v>146.36026127352781</v>
      </c>
    </row>
    <row r="143" spans="2:23" ht="11.25" hidden="1" customHeight="1" outlineLevel="1" x14ac:dyDescent="0.3">
      <c r="B143" s="955"/>
      <c r="C143" s="946" t="s">
        <v>820</v>
      </c>
      <c r="D143" s="901">
        <f t="shared" si="250"/>
        <v>22.826086956521742</v>
      </c>
      <c r="E143" s="901">
        <f t="shared" si="250"/>
        <v>0.36231884057971087</v>
      </c>
      <c r="F143" s="901">
        <f t="shared" si="250"/>
        <v>1.5179788458326016E-3</v>
      </c>
      <c r="G143" s="901">
        <f t="shared" si="250"/>
        <v>0</v>
      </c>
      <c r="H143" s="901">
        <f t="shared" si="250"/>
        <v>0.36231884057971087</v>
      </c>
      <c r="I143" s="900">
        <f t="shared" si="250"/>
        <v>4.6666666666666714</v>
      </c>
      <c r="J143" s="901">
        <f t="shared" si="250"/>
        <v>0.72724696198921635</v>
      </c>
      <c r="K143" s="901">
        <f t="shared" si="250"/>
        <v>0.72724696198921635</v>
      </c>
      <c r="L143" s="901">
        <f t="shared" si="250"/>
        <v>0.72724696198921635</v>
      </c>
      <c r="M143" s="944">
        <f t="shared" si="250"/>
        <v>0.47367521163462101</v>
      </c>
      <c r="N143" s="901">
        <f t="shared" si="250"/>
        <v>0</v>
      </c>
      <c r="O143" s="901">
        <f t="shared" si="250"/>
        <v>0</v>
      </c>
      <c r="P143" s="901">
        <f t="shared" si="250"/>
        <v>0</v>
      </c>
      <c r="Q143" s="901">
        <f t="shared" si="250"/>
        <v>0</v>
      </c>
      <c r="R143" s="944">
        <f t="shared" si="250"/>
        <v>0</v>
      </c>
      <c r="S143" s="901">
        <f t="shared" ref="S143:W143" si="252">S135+S137+S139+S141</f>
        <v>0</v>
      </c>
      <c r="T143" s="901">
        <f t="shared" si="252"/>
        <v>0</v>
      </c>
      <c r="U143" s="901">
        <f t="shared" si="252"/>
        <v>0</v>
      </c>
      <c r="V143" s="901">
        <f t="shared" si="252"/>
        <v>0</v>
      </c>
      <c r="W143" s="901">
        <f t="shared" si="252"/>
        <v>0</v>
      </c>
    </row>
    <row r="144" spans="2:23" ht="11.25" hidden="1" customHeight="1" outlineLevel="1" x14ac:dyDescent="0.3">
      <c r="B144" s="955"/>
      <c r="C144" s="946" t="s">
        <v>821</v>
      </c>
      <c r="D144" s="901">
        <f>SUM(D127:D130)-SUM(D142:D143)</f>
        <v>0</v>
      </c>
      <c r="E144" s="901">
        <f>SUM(E127:E130)-SUM(E142:E143)</f>
        <v>0</v>
      </c>
      <c r="F144" s="901">
        <f>SUM(F127:F130)-SUM(F142:F143)</f>
        <v>0</v>
      </c>
      <c r="G144" s="901">
        <f>SUM(G127:G130)-SUM(G142:G143)</f>
        <v>0</v>
      </c>
      <c r="H144" s="901">
        <f>SUM(H127:H130)-SUM(H142:H143)</f>
        <v>0</v>
      </c>
      <c r="I144" s="900">
        <f t="shared" ref="I144:R144" si="253">SUM(I127:I130)-SUM(I142:I143)</f>
        <v>0</v>
      </c>
      <c r="J144" s="901">
        <f t="shared" si="253"/>
        <v>0</v>
      </c>
      <c r="K144" s="901">
        <f t="shared" si="253"/>
        <v>0</v>
      </c>
      <c r="L144" s="901">
        <f t="shared" si="253"/>
        <v>0</v>
      </c>
      <c r="M144" s="944">
        <f t="shared" si="253"/>
        <v>0</v>
      </c>
      <c r="N144" s="901">
        <f t="shared" si="253"/>
        <v>0</v>
      </c>
      <c r="O144" s="901">
        <f t="shared" si="253"/>
        <v>0</v>
      </c>
      <c r="P144" s="901">
        <f t="shared" si="253"/>
        <v>0</v>
      </c>
      <c r="Q144" s="901">
        <f t="shared" si="253"/>
        <v>0</v>
      </c>
      <c r="R144" s="944">
        <f t="shared" si="253"/>
        <v>0</v>
      </c>
      <c r="S144" s="901">
        <f t="shared" ref="S144:W144" si="254">SUM(S127:S130)-SUM(S142:S143)</f>
        <v>0</v>
      </c>
      <c r="T144" s="901">
        <f t="shared" si="254"/>
        <v>0</v>
      </c>
      <c r="U144" s="901">
        <f t="shared" si="254"/>
        <v>0</v>
      </c>
      <c r="V144" s="901">
        <f t="shared" si="254"/>
        <v>0</v>
      </c>
      <c r="W144" s="901">
        <f t="shared" si="254"/>
        <v>0</v>
      </c>
    </row>
    <row r="145" spans="1:59" ht="11.25" hidden="1" customHeight="1" outlineLevel="1" x14ac:dyDescent="0.3">
      <c r="B145" s="956" t="s">
        <v>687</v>
      </c>
      <c r="C145" s="957"/>
      <c r="D145" s="958">
        <f>SUM(D142:D144)</f>
        <v>150</v>
      </c>
      <c r="E145" s="958">
        <f>SUM(E142:E144)</f>
        <v>150</v>
      </c>
      <c r="F145" s="958">
        <f>SUM(F142:F144)</f>
        <v>149.07795335334677</v>
      </c>
      <c r="G145" s="958">
        <f>SUM(G142:G144)</f>
        <v>149</v>
      </c>
      <c r="H145" s="958">
        <f>SUM(H142:H144)</f>
        <v>150</v>
      </c>
      <c r="I145" s="959">
        <f t="shared" ref="I145:R145" si="255">SUM(I142:I144)</f>
        <v>161</v>
      </c>
      <c r="J145" s="958">
        <f t="shared" si="255"/>
        <v>150.9325940880465</v>
      </c>
      <c r="K145" s="958">
        <f t="shared" si="255"/>
        <v>150.9325940880465</v>
      </c>
      <c r="L145" s="958">
        <f t="shared" si="255"/>
        <v>150.9325940880465</v>
      </c>
      <c r="M145" s="960">
        <f t="shared" si="255"/>
        <v>150.28457739269589</v>
      </c>
      <c r="N145" s="958">
        <f t="shared" si="255"/>
        <v>148.69659624163964</v>
      </c>
      <c r="O145" s="958">
        <f t="shared" si="255"/>
        <v>148.30246788278203</v>
      </c>
      <c r="P145" s="958">
        <f t="shared" si="255"/>
        <v>147.90945433627621</v>
      </c>
      <c r="Q145" s="958">
        <f t="shared" si="255"/>
        <v>147.51755237294549</v>
      </c>
      <c r="R145" s="960">
        <f t="shared" si="255"/>
        <v>145.89379542833905</v>
      </c>
      <c r="S145" s="958">
        <f t="shared" ref="S145:W145" si="256">SUM(S142:S144)</f>
        <v>145.73333179620749</v>
      </c>
      <c r="T145" s="958">
        <f t="shared" si="256"/>
        <v>145.56133358824565</v>
      </c>
      <c r="U145" s="958">
        <f t="shared" si="256"/>
        <v>146.78957974021571</v>
      </c>
      <c r="V145" s="958">
        <f t="shared" si="256"/>
        <v>146.58009013396472</v>
      </c>
      <c r="W145" s="958">
        <f t="shared" si="256"/>
        <v>146.36026127352781</v>
      </c>
    </row>
    <row r="146" spans="1:59" ht="11.25" hidden="1" customHeight="1" outlineLevel="1" x14ac:dyDescent="0.3">
      <c r="B146" s="827"/>
      <c r="C146" s="961"/>
      <c r="D146" s="962"/>
      <c r="E146" s="962"/>
      <c r="F146" s="962"/>
      <c r="G146" s="962"/>
      <c r="H146" s="962"/>
      <c r="I146" s="950"/>
      <c r="J146" s="820"/>
      <c r="K146" s="820"/>
      <c r="L146" s="820"/>
      <c r="M146" s="821"/>
      <c r="R146" s="821"/>
    </row>
    <row r="147" spans="1:59" ht="11.25" hidden="1" customHeight="1" outlineLevel="1" x14ac:dyDescent="0.3">
      <c r="B147" s="940" t="s">
        <v>830</v>
      </c>
      <c r="C147" s="827"/>
      <c r="D147" s="827"/>
      <c r="E147" s="827"/>
      <c r="F147" s="827"/>
      <c r="G147" s="827"/>
      <c r="H147" s="827"/>
      <c r="I147" s="950"/>
      <c r="J147" s="820"/>
      <c r="K147" s="820"/>
      <c r="L147" s="820"/>
      <c r="M147" s="821"/>
      <c r="R147" s="821"/>
    </row>
    <row r="148" spans="1:59" ht="11.25" hidden="1" customHeight="1" outlineLevel="1" x14ac:dyDescent="0.3">
      <c r="B148" s="827"/>
      <c r="C148" s="963" t="s">
        <v>824</v>
      </c>
      <c r="D148" s="964">
        <f>D127*$G$159*$H$159</f>
        <v>26.875906309140515</v>
      </c>
      <c r="E148" s="964">
        <f>E127*$G$159*$H$159</f>
        <v>26.875906309140515</v>
      </c>
      <c r="F148" s="964">
        <f>F127*$G$159*$H$159</f>
        <v>26.710700713886446</v>
      </c>
      <c r="G148" s="964">
        <f>G127*$G$159*$H$159</f>
        <v>26.696733600412909</v>
      </c>
      <c r="H148" s="964">
        <f>H127*$G$159*$H$159</f>
        <v>26.875906309140515</v>
      </c>
      <c r="I148" s="965">
        <f t="shared" ref="I148:R148" si="257">I127*$G$159*$H$159</f>
        <v>28.846806105144154</v>
      </c>
      <c r="J148" s="964">
        <f t="shared" si="257"/>
        <v>27.043001718039154</v>
      </c>
      <c r="K148" s="964">
        <f t="shared" si="257"/>
        <v>27.043001718039154</v>
      </c>
      <c r="L148" s="964">
        <f t="shared" si="257"/>
        <v>27.043001718039154</v>
      </c>
      <c r="M148" s="966">
        <f t="shared" si="257"/>
        <v>26.926894811432472</v>
      </c>
      <c r="N148" s="964">
        <f t="shared" si="257"/>
        <v>26.642371927189345</v>
      </c>
      <c r="O148" s="964">
        <f t="shared" si="257"/>
        <v>26.571754881546465</v>
      </c>
      <c r="P148" s="964">
        <f t="shared" si="257"/>
        <v>26.501337579852375</v>
      </c>
      <c r="Q148" s="964">
        <f t="shared" si="257"/>
        <v>26.431119443526743</v>
      </c>
      <c r="R148" s="966">
        <f t="shared" si="257"/>
        <v>26.140186513446352</v>
      </c>
      <c r="S148" s="964">
        <f t="shared" ref="S148:W148" si="258">S127*$G$159*$H$159</f>
        <v>26.111435809825071</v>
      </c>
      <c r="T148" s="964">
        <f t="shared" si="258"/>
        <v>26.080618425008254</v>
      </c>
      <c r="U148" s="964">
        <f t="shared" si="258"/>
        <v>26.300686615040988</v>
      </c>
      <c r="V148" s="964">
        <f t="shared" si="258"/>
        <v>26.263151794838716</v>
      </c>
      <c r="W148" s="964">
        <f t="shared" si="258"/>
        <v>26.223764462457734</v>
      </c>
    </row>
    <row r="149" spans="1:59" ht="11.25" hidden="1" customHeight="1" outlineLevel="1" x14ac:dyDescent="0.3">
      <c r="B149" s="827"/>
      <c r="C149" s="967" t="s">
        <v>825</v>
      </c>
      <c r="D149" s="968">
        <f>D128*$G$162*$H$162</f>
        <v>18.060200668896318</v>
      </c>
      <c r="E149" s="968">
        <f>E128*$G$162*$H$162</f>
        <v>18.060200668896318</v>
      </c>
      <c r="F149" s="968">
        <f>F128*$G$162*$H$162</f>
        <v>17.949185019132049</v>
      </c>
      <c r="G149" s="968">
        <f>G128*$G$162*$H$162</f>
        <v>17.939799331103675</v>
      </c>
      <c r="H149" s="968">
        <f>H128*$G$162*$H$162</f>
        <v>18.060200668896318</v>
      </c>
      <c r="I149" s="969">
        <f t="shared" ref="I149:R149" si="259">I128*$G$162*$H$162</f>
        <v>19.384615384615383</v>
      </c>
      <c r="J149" s="968">
        <f t="shared" si="259"/>
        <v>18.172486244714634</v>
      </c>
      <c r="K149" s="968">
        <f t="shared" si="259"/>
        <v>18.172486244714634</v>
      </c>
      <c r="L149" s="968">
        <f t="shared" si="259"/>
        <v>18.172486244714634</v>
      </c>
      <c r="M149" s="970">
        <f t="shared" si="259"/>
        <v>18.094464167682446</v>
      </c>
      <c r="N149" s="968">
        <f t="shared" si="259"/>
        <v>17.903269112705775</v>
      </c>
      <c r="O149" s="968">
        <f t="shared" si="259"/>
        <v>17.855815531037297</v>
      </c>
      <c r="P149" s="968">
        <f t="shared" si="259"/>
        <v>17.808496174267368</v>
      </c>
      <c r="Q149" s="968">
        <f t="shared" si="259"/>
        <v>17.761310653598787</v>
      </c>
      <c r="R149" s="970">
        <f t="shared" si="259"/>
        <v>17.565808145218078</v>
      </c>
      <c r="S149" s="968">
        <f t="shared" ref="S149:W149" si="260">S128*$G$162*$H$162</f>
        <v>17.546488109242372</v>
      </c>
      <c r="T149" s="968">
        <f t="shared" si="260"/>
        <v>17.525779294905828</v>
      </c>
      <c r="U149" s="968">
        <f t="shared" si="260"/>
        <v>17.673661774741689</v>
      </c>
      <c r="V149" s="968">
        <f t="shared" si="260"/>
        <v>17.648438945895414</v>
      </c>
      <c r="W149" s="968">
        <f t="shared" si="260"/>
        <v>17.621971257013382</v>
      </c>
    </row>
    <row r="150" spans="1:59" ht="11.25" hidden="1" customHeight="1" outlineLevel="1" x14ac:dyDescent="0.3">
      <c r="B150" s="827"/>
      <c r="C150" s="967" t="s">
        <v>826</v>
      </c>
      <c r="D150" s="968">
        <f>D129*$G$165*$H$165</f>
        <v>21.364985163204746</v>
      </c>
      <c r="E150" s="968">
        <f>E129*$G$165*$H$165</f>
        <v>21.364985163204746</v>
      </c>
      <c r="F150" s="968">
        <f>F129*$G$165*$H$165</f>
        <v>21.233655077034555</v>
      </c>
      <c r="G150" s="968">
        <f>G129*$G$165*$H$165</f>
        <v>21.222551928783382</v>
      </c>
      <c r="H150" s="968">
        <f>H129*$G$165*$H$165</f>
        <v>21.364985163204746</v>
      </c>
      <c r="I150" s="969">
        <f t="shared" ref="I150:R150" si="261">I129*$G$165*$H$165</f>
        <v>22.931750741839764</v>
      </c>
      <c r="J150" s="968">
        <f t="shared" si="261"/>
        <v>21.497817555567458</v>
      </c>
      <c r="K150" s="968">
        <f t="shared" si="261"/>
        <v>21.497817555567458</v>
      </c>
      <c r="L150" s="968">
        <f t="shared" si="261"/>
        <v>21.497817555567458</v>
      </c>
      <c r="M150" s="970">
        <f t="shared" si="261"/>
        <v>21.405518441689622</v>
      </c>
      <c r="N150" s="968">
        <f t="shared" si="261"/>
        <v>21.179337150144523</v>
      </c>
      <c r="O150" s="968">
        <f t="shared" si="261"/>
        <v>21.123200173215245</v>
      </c>
      <c r="P150" s="968">
        <f t="shared" si="261"/>
        <v>21.06722198261501</v>
      </c>
      <c r="Q150" s="968">
        <f t="shared" si="261"/>
        <v>21.011402118401733</v>
      </c>
      <c r="R150" s="970">
        <f t="shared" si="261"/>
        <v>20.780125164867282</v>
      </c>
      <c r="S150" s="968">
        <f t="shared" ref="S150:W150" si="262">S129*$G$165*$H$165</f>
        <v>20.757269810735785</v>
      </c>
      <c r="T150" s="968">
        <f t="shared" si="262"/>
        <v>20.732771549661102</v>
      </c>
      <c r="U150" s="968">
        <f t="shared" si="262"/>
        <v>20.907714621751794</v>
      </c>
      <c r="V150" s="968">
        <f t="shared" si="262"/>
        <v>20.877876339555804</v>
      </c>
      <c r="W150" s="968">
        <f t="shared" si="262"/>
        <v>20.846565403944616</v>
      </c>
    </row>
    <row r="151" spans="1:59" ht="11.25" hidden="1" customHeight="1" outlineLevel="1" x14ac:dyDescent="0.3">
      <c r="B151" s="827"/>
      <c r="C151" s="954" t="s">
        <v>827</v>
      </c>
      <c r="D151" s="971">
        <f>D130*$G$168*$H$168</f>
        <v>21.135029354207433</v>
      </c>
      <c r="E151" s="971">
        <f>E130*$G$168*$H$168</f>
        <v>21.135029354207433</v>
      </c>
      <c r="F151" s="971">
        <f>F130*$G$168*$H$168</f>
        <v>21.005112801254334</v>
      </c>
      <c r="G151" s="971">
        <f>G130*$G$168*$H$168</f>
        <v>20.99412915851272</v>
      </c>
      <c r="H151" s="971">
        <f>H130*$G$168*$H$168</f>
        <v>21.135029354207433</v>
      </c>
      <c r="I151" s="972">
        <f t="shared" ref="I151:R151" si="263">I130*$G$168*$H$168</f>
        <v>22.684931506849313</v>
      </c>
      <c r="J151" s="971">
        <f t="shared" si="263"/>
        <v>21.266432043716929</v>
      </c>
      <c r="K151" s="971">
        <f t="shared" si="263"/>
        <v>21.266432043716929</v>
      </c>
      <c r="L151" s="971">
        <f t="shared" si="263"/>
        <v>21.266432043716929</v>
      </c>
      <c r="M151" s="973">
        <f t="shared" si="263"/>
        <v>21.17512636452858</v>
      </c>
      <c r="N151" s="971">
        <f t="shared" si="263"/>
        <v>20.951379509585234</v>
      </c>
      <c r="O151" s="971">
        <f t="shared" si="263"/>
        <v>20.895846746693358</v>
      </c>
      <c r="P151" s="971">
        <f t="shared" si="263"/>
        <v>20.840471061080017</v>
      </c>
      <c r="Q151" s="971">
        <f t="shared" si="263"/>
        <v>20.785251997753569</v>
      </c>
      <c r="R151" s="973">
        <f t="shared" si="263"/>
        <v>20.556464326497871</v>
      </c>
      <c r="S151" s="971">
        <f t="shared" ref="S151:W151" si="264">S130*$G$168*$H$168</f>
        <v>20.533854969328647</v>
      </c>
      <c r="T151" s="971">
        <f t="shared" si="264"/>
        <v>20.509620388167683</v>
      </c>
      <c r="U151" s="971">
        <f t="shared" si="264"/>
        <v>20.682680511341548</v>
      </c>
      <c r="V151" s="971">
        <f t="shared" si="264"/>
        <v>20.653163384824772</v>
      </c>
      <c r="W151" s="971">
        <f t="shared" si="264"/>
        <v>20.62218945536987</v>
      </c>
    </row>
    <row r="152" spans="1:59" ht="11.25" hidden="1" customHeight="1" outlineLevel="1" x14ac:dyDescent="0.3">
      <c r="B152" s="827"/>
      <c r="C152" s="974" t="s">
        <v>687</v>
      </c>
      <c r="D152" s="958">
        <f>SUM(D148:D151)</f>
        <v>87.436121495449015</v>
      </c>
      <c r="E152" s="958">
        <f>SUM(E148:E151)</f>
        <v>87.436121495449015</v>
      </c>
      <c r="F152" s="958">
        <f>SUM(F148:F151)</f>
        <v>86.898653611307395</v>
      </c>
      <c r="G152" s="958">
        <f>SUM(G148:G151)</f>
        <v>86.853214018812679</v>
      </c>
      <c r="H152" s="958">
        <f>SUM(H148:H151)</f>
        <v>87.436121495449015</v>
      </c>
      <c r="I152" s="959">
        <f t="shared" ref="I152:R152" si="265">SUM(I148:I151)</f>
        <v>93.848103738448614</v>
      </c>
      <c r="J152" s="958">
        <f t="shared" si="265"/>
        <v>87.979737562038181</v>
      </c>
      <c r="K152" s="958">
        <f t="shared" si="265"/>
        <v>87.979737562038181</v>
      </c>
      <c r="L152" s="958">
        <f t="shared" si="265"/>
        <v>87.979737562038181</v>
      </c>
      <c r="M152" s="960">
        <f t="shared" si="265"/>
        <v>87.602003785333125</v>
      </c>
      <c r="N152" s="958">
        <f t="shared" si="265"/>
        <v>86.676357699624873</v>
      </c>
      <c r="O152" s="958">
        <f t="shared" si="265"/>
        <v>86.446617332492366</v>
      </c>
      <c r="P152" s="958">
        <f t="shared" si="265"/>
        <v>86.21752679781477</v>
      </c>
      <c r="Q152" s="958">
        <f t="shared" si="265"/>
        <v>85.989084213280819</v>
      </c>
      <c r="R152" s="960">
        <f t="shared" si="265"/>
        <v>85.042584150029583</v>
      </c>
      <c r="S152" s="958">
        <f t="shared" ref="S152:W152" si="266">SUM(S148:S151)</f>
        <v>84.949048699131879</v>
      </c>
      <c r="T152" s="958">
        <f t="shared" si="266"/>
        <v>84.848789657742884</v>
      </c>
      <c r="U152" s="958">
        <f t="shared" si="266"/>
        <v>85.564743522876014</v>
      </c>
      <c r="V152" s="958">
        <f t="shared" si="266"/>
        <v>85.442630465114718</v>
      </c>
      <c r="W152" s="958">
        <f t="shared" si="266"/>
        <v>85.314490578785609</v>
      </c>
    </row>
    <row r="153" spans="1:59" s="860" customFormat="1" ht="11.25" hidden="1" customHeight="1" outlineLevel="1" x14ac:dyDescent="0.3">
      <c r="A153" s="73"/>
      <c r="B153" s="865"/>
      <c r="C153" s="975" t="s">
        <v>831</v>
      </c>
      <c r="D153" s="866">
        <f>IF(D152=0,0,D152/D131)</f>
        <v>0.5829074766363268</v>
      </c>
      <c r="E153" s="866">
        <f>IF(E152=0,0,E152/E131)</f>
        <v>0.5829074766363268</v>
      </c>
      <c r="F153" s="866">
        <f>IF(F152=0,0,F152/F131)</f>
        <v>0.58290747663632692</v>
      </c>
      <c r="G153" s="866">
        <f>IF(G152=0,0,G152/G131)</f>
        <v>0.58290747663632669</v>
      </c>
      <c r="H153" s="866">
        <f>IF(H152=0,0,H152/H131)</f>
        <v>0.5829074766363268</v>
      </c>
      <c r="I153" s="976">
        <f t="shared" ref="I153:R153" si="267">IF(I152=0,0,I152/I131)</f>
        <v>0.5829074766363268</v>
      </c>
      <c r="J153" s="866">
        <f t="shared" si="267"/>
        <v>0.5829074766363268</v>
      </c>
      <c r="K153" s="866">
        <f t="shared" si="267"/>
        <v>0.5829074766363268</v>
      </c>
      <c r="L153" s="866">
        <f t="shared" si="267"/>
        <v>0.5829074766363268</v>
      </c>
      <c r="M153" s="977">
        <f t="shared" si="267"/>
        <v>0.5829074766363268</v>
      </c>
      <c r="N153" s="866">
        <f t="shared" si="267"/>
        <v>0.5829074766363268</v>
      </c>
      <c r="O153" s="866">
        <f t="shared" si="267"/>
        <v>0.5829074766363268</v>
      </c>
      <c r="P153" s="866">
        <f t="shared" si="267"/>
        <v>0.5829074766363268</v>
      </c>
      <c r="Q153" s="866">
        <f t="shared" si="267"/>
        <v>0.58290747663632669</v>
      </c>
      <c r="R153" s="977">
        <f t="shared" si="267"/>
        <v>0.5829074766363268</v>
      </c>
      <c r="S153" s="866">
        <f t="shared" ref="S153:W153" si="268">IF(S152=0,0,S152/S131)</f>
        <v>0.5829074766363268</v>
      </c>
      <c r="T153" s="866">
        <f t="shared" si="268"/>
        <v>0.58290747663632692</v>
      </c>
      <c r="U153" s="866">
        <f t="shared" si="268"/>
        <v>0.5829074766363268</v>
      </c>
      <c r="V153" s="866">
        <f t="shared" si="268"/>
        <v>0.5829074766363268</v>
      </c>
      <c r="W153" s="866">
        <f t="shared" si="268"/>
        <v>0.58290747663632692</v>
      </c>
      <c r="AH153" s="861"/>
      <c r="AI153" s="861"/>
      <c r="AJ153" s="861"/>
      <c r="AK153" s="861"/>
      <c r="AL153" s="861"/>
      <c r="AM153" s="861"/>
      <c r="AN153" s="861"/>
      <c r="AO153" s="861"/>
      <c r="AP153" s="861"/>
      <c r="AQ153" s="861"/>
      <c r="AR153" s="861"/>
      <c r="AS153" s="861"/>
      <c r="AT153" s="861"/>
      <c r="AU153" s="861"/>
      <c r="AV153" s="861"/>
      <c r="AW153" s="861"/>
      <c r="AX153" s="861"/>
      <c r="AY153" s="861"/>
      <c r="AZ153" s="861"/>
      <c r="BA153" s="861"/>
      <c r="BB153" s="861"/>
      <c r="BC153" s="861"/>
      <c r="BD153" s="861"/>
      <c r="BE153" s="861"/>
      <c r="BF153" s="861"/>
      <c r="BG153" s="861"/>
    </row>
    <row r="154" spans="1:59" ht="11.25" hidden="1" customHeight="1" outlineLevel="1" x14ac:dyDescent="0.3">
      <c r="B154" s="827"/>
      <c r="C154" s="827"/>
      <c r="D154" s="978"/>
      <c r="E154" s="978"/>
      <c r="F154" s="978"/>
      <c r="G154" s="978"/>
      <c r="H154" s="978"/>
    </row>
    <row r="155" spans="1:59" ht="11.25" hidden="1" customHeight="1" outlineLevel="1" x14ac:dyDescent="0.3">
      <c r="B155" s="945" t="s">
        <v>832</v>
      </c>
      <c r="C155" s="811"/>
      <c r="L155" s="827"/>
      <c r="M155" s="827"/>
      <c r="N155" s="827"/>
      <c r="O155" s="827"/>
      <c r="P155" s="827"/>
      <c r="R155" s="827"/>
      <c r="S155" s="827"/>
      <c r="T155" s="827"/>
      <c r="U155" s="827"/>
    </row>
    <row r="156" spans="1:59" ht="11.25" hidden="1" customHeight="1" outlineLevel="1" x14ac:dyDescent="0.3">
      <c r="B156" s="811"/>
      <c r="C156" s="979" t="s">
        <v>833</v>
      </c>
      <c r="D156" s="980" t="s">
        <v>834</v>
      </c>
      <c r="E156" s="980" t="s">
        <v>835</v>
      </c>
      <c r="F156" s="980" t="s">
        <v>836</v>
      </c>
      <c r="G156" s="980" t="s">
        <v>837</v>
      </c>
      <c r="H156" s="980" t="s">
        <v>838</v>
      </c>
      <c r="I156" s="981"/>
      <c r="J156" s="982"/>
      <c r="K156" s="982"/>
      <c r="L156" s="982"/>
      <c r="O156" s="982"/>
      <c r="P156" s="982"/>
      <c r="T156" s="982"/>
      <c r="U156" s="982"/>
    </row>
    <row r="157" spans="1:59" ht="11.25" hidden="1" customHeight="1" outlineLevel="1" x14ac:dyDescent="0.3">
      <c r="B157" s="811"/>
      <c r="C157" s="825" t="s">
        <v>422</v>
      </c>
      <c r="D157" s="1926">
        <v>2</v>
      </c>
      <c r="E157" s="1926">
        <v>31</v>
      </c>
      <c r="F157" s="983">
        <f t="shared" ref="F157:F168" si="269">E157*D157</f>
        <v>62</v>
      </c>
      <c r="G157" s="983"/>
      <c r="H157" s="983"/>
      <c r="I157" s="983"/>
      <c r="J157" s="961"/>
      <c r="K157" s="961"/>
      <c r="L157" s="961"/>
      <c r="O157" s="961"/>
      <c r="P157" s="961"/>
      <c r="T157" s="961"/>
      <c r="U157" s="961"/>
    </row>
    <row r="158" spans="1:59" ht="11.25" hidden="1" customHeight="1" outlineLevel="1" x14ac:dyDescent="0.3">
      <c r="B158" s="811"/>
      <c r="C158" s="825" t="s">
        <v>423</v>
      </c>
      <c r="D158" s="1926">
        <v>2</v>
      </c>
      <c r="E158" s="1926">
        <v>28</v>
      </c>
      <c r="F158" s="983">
        <f t="shared" si="269"/>
        <v>56</v>
      </c>
      <c r="G158" s="983"/>
      <c r="H158" s="983"/>
      <c r="I158" s="983"/>
      <c r="J158" s="961"/>
      <c r="K158" s="961"/>
      <c r="L158" s="961"/>
      <c r="O158" s="961"/>
      <c r="P158" s="961"/>
      <c r="T158" s="961"/>
      <c r="U158" s="961"/>
    </row>
    <row r="159" spans="1:59" ht="11.25" hidden="1" customHeight="1" outlineLevel="1" x14ac:dyDescent="0.3">
      <c r="B159" s="811"/>
      <c r="C159" s="984" t="s">
        <v>424</v>
      </c>
      <c r="D159" s="1927">
        <v>1.9</v>
      </c>
      <c r="E159" s="1927">
        <v>31</v>
      </c>
      <c r="F159" s="985">
        <f t="shared" si="269"/>
        <v>58.9</v>
      </c>
      <c r="G159" s="985">
        <f>SUM(E157:E159)/SUM(F157:F159)</f>
        <v>0.50876201243640473</v>
      </c>
      <c r="H159" s="1927">
        <v>0.9</v>
      </c>
      <c r="J159" s="961"/>
      <c r="K159" s="961"/>
      <c r="L159" s="961"/>
      <c r="O159" s="961"/>
      <c r="P159" s="961"/>
      <c r="T159" s="961"/>
      <c r="U159" s="961"/>
    </row>
    <row r="160" spans="1:59" ht="11.25" hidden="1" customHeight="1" outlineLevel="1" x14ac:dyDescent="0.3">
      <c r="B160" s="811"/>
      <c r="C160" s="825" t="s">
        <v>425</v>
      </c>
      <c r="D160" s="1926">
        <v>1.5</v>
      </c>
      <c r="E160" s="1926">
        <v>30</v>
      </c>
      <c r="F160" s="983">
        <f t="shared" si="269"/>
        <v>45</v>
      </c>
      <c r="G160" s="983"/>
      <c r="H160" s="986"/>
      <c r="I160" s="983"/>
      <c r="J160" s="961"/>
      <c r="K160" s="961"/>
      <c r="L160" s="961"/>
      <c r="O160" s="961"/>
      <c r="P160" s="961"/>
      <c r="T160" s="961"/>
      <c r="U160" s="961"/>
    </row>
    <row r="161" spans="2:21" ht="11.25" hidden="1" customHeight="1" outlineLevel="1" x14ac:dyDescent="0.3">
      <c r="B161" s="811"/>
      <c r="C161" s="825" t="s">
        <v>426</v>
      </c>
      <c r="D161" s="1926">
        <v>1.3</v>
      </c>
      <c r="E161" s="1926">
        <v>31</v>
      </c>
      <c r="F161" s="983">
        <f t="shared" si="269"/>
        <v>40.300000000000004</v>
      </c>
      <c r="G161" s="983"/>
      <c r="H161" s="986"/>
      <c r="I161" s="983"/>
      <c r="J161" s="961"/>
      <c r="K161" s="961"/>
      <c r="L161" s="961"/>
      <c r="O161" s="961"/>
      <c r="P161" s="961"/>
      <c r="T161" s="961"/>
      <c r="U161" s="961"/>
    </row>
    <row r="162" spans="2:21" ht="11.25" hidden="1" customHeight="1" outlineLevel="1" x14ac:dyDescent="0.3">
      <c r="B162" s="811"/>
      <c r="C162" s="984" t="s">
        <v>419</v>
      </c>
      <c r="D162" s="1927">
        <v>1.1000000000000001</v>
      </c>
      <c r="E162" s="1927">
        <v>30</v>
      </c>
      <c r="F162" s="985">
        <f t="shared" si="269"/>
        <v>33</v>
      </c>
      <c r="G162" s="985">
        <f>SUM(E160:E162)/SUM(F160:F162)</f>
        <v>0.76923076923076916</v>
      </c>
      <c r="H162" s="1927">
        <v>0.9</v>
      </c>
      <c r="I162" s="983"/>
      <c r="J162" s="961"/>
      <c r="K162" s="961"/>
      <c r="L162" s="961"/>
      <c r="O162" s="961"/>
      <c r="P162" s="961"/>
      <c r="T162" s="961"/>
      <c r="U162" s="961"/>
    </row>
    <row r="163" spans="2:21" ht="11.25" hidden="1" customHeight="1" outlineLevel="1" x14ac:dyDescent="0.3">
      <c r="B163" s="811"/>
      <c r="C163" s="825" t="s">
        <v>427</v>
      </c>
      <c r="D163" s="1926">
        <v>1</v>
      </c>
      <c r="E163" s="1926">
        <v>31</v>
      </c>
      <c r="F163" s="983">
        <f t="shared" si="269"/>
        <v>31</v>
      </c>
      <c r="G163" s="983"/>
      <c r="H163" s="986"/>
      <c r="I163" s="983"/>
      <c r="J163" s="961"/>
      <c r="K163" s="961"/>
      <c r="L163" s="961"/>
      <c r="O163" s="961"/>
      <c r="P163" s="961"/>
      <c r="T163" s="961"/>
      <c r="U163" s="961"/>
    </row>
    <row r="164" spans="2:21" ht="11.25" hidden="1" customHeight="1" outlineLevel="1" x14ac:dyDescent="0.3">
      <c r="B164" s="811"/>
      <c r="C164" s="825" t="s">
        <v>428</v>
      </c>
      <c r="D164" s="1926">
        <v>1.1000000000000001</v>
      </c>
      <c r="E164" s="1926">
        <v>31</v>
      </c>
      <c r="F164" s="983">
        <f t="shared" si="269"/>
        <v>34.1</v>
      </c>
      <c r="G164" s="983"/>
      <c r="H164" s="986"/>
      <c r="I164" s="983"/>
      <c r="J164" s="961"/>
      <c r="K164" s="961"/>
      <c r="L164" s="961"/>
      <c r="O164" s="961"/>
      <c r="P164" s="961"/>
      <c r="T164" s="961"/>
      <c r="U164" s="961"/>
    </row>
    <row r="165" spans="2:21" ht="11.25" hidden="1" customHeight="1" outlineLevel="1" x14ac:dyDescent="0.3">
      <c r="B165" s="811"/>
      <c r="C165" s="984" t="s">
        <v>429</v>
      </c>
      <c r="D165" s="1927">
        <v>1.2</v>
      </c>
      <c r="E165" s="1927">
        <v>30</v>
      </c>
      <c r="F165" s="985">
        <f t="shared" si="269"/>
        <v>36</v>
      </c>
      <c r="G165" s="985">
        <f>SUM(E163:E165)/SUM(F163:F165)</f>
        <v>0.90999010880316522</v>
      </c>
      <c r="H165" s="1927">
        <v>0.9</v>
      </c>
      <c r="I165" s="983"/>
      <c r="J165" s="961"/>
      <c r="K165" s="961"/>
      <c r="L165" s="961"/>
      <c r="O165" s="961"/>
      <c r="P165" s="961"/>
      <c r="T165" s="961"/>
      <c r="U165" s="961"/>
    </row>
    <row r="166" spans="2:21" ht="11.25" hidden="1" customHeight="1" outlineLevel="1" x14ac:dyDescent="0.3">
      <c r="B166" s="811"/>
      <c r="C166" s="825" t="s">
        <v>430</v>
      </c>
      <c r="D166" s="1926">
        <v>1.4</v>
      </c>
      <c r="E166" s="1926">
        <v>31</v>
      </c>
      <c r="F166" s="983">
        <f t="shared" si="269"/>
        <v>43.4</v>
      </c>
      <c r="G166" s="983"/>
      <c r="H166" s="986"/>
      <c r="I166" s="983"/>
      <c r="J166" s="961"/>
      <c r="K166" s="961"/>
      <c r="L166" s="961"/>
      <c r="O166" s="961"/>
      <c r="P166" s="961"/>
      <c r="T166" s="961"/>
      <c r="U166" s="961"/>
    </row>
    <row r="167" spans="2:21" ht="11.25" hidden="1" customHeight="1" outlineLevel="1" x14ac:dyDescent="0.3">
      <c r="B167" s="811"/>
      <c r="C167" s="825" t="s">
        <v>431</v>
      </c>
      <c r="D167" s="1926">
        <v>1.7</v>
      </c>
      <c r="E167" s="1926">
        <v>30</v>
      </c>
      <c r="F167" s="983">
        <f t="shared" si="269"/>
        <v>51</v>
      </c>
      <c r="G167" s="983"/>
      <c r="H167" s="986"/>
      <c r="I167" s="983"/>
      <c r="J167" s="961"/>
      <c r="K167" s="961"/>
      <c r="L167" s="961"/>
      <c r="O167" s="961"/>
      <c r="P167" s="961"/>
      <c r="T167" s="961"/>
      <c r="U167" s="961"/>
    </row>
    <row r="168" spans="2:21" ht="11.25" hidden="1" customHeight="1" outlineLevel="1" x14ac:dyDescent="0.3">
      <c r="B168" s="811"/>
      <c r="C168" s="984" t="s">
        <v>432</v>
      </c>
      <c r="D168" s="1927">
        <v>1.9</v>
      </c>
      <c r="E168" s="1927">
        <v>31</v>
      </c>
      <c r="F168" s="985">
        <f t="shared" si="269"/>
        <v>58.9</v>
      </c>
      <c r="G168" s="985">
        <f>SUM(E166:E168)/SUM(F166:F168)</f>
        <v>0.60013046314416174</v>
      </c>
      <c r="H168" s="1927">
        <v>0.9</v>
      </c>
      <c r="I168" s="983"/>
      <c r="J168" s="961"/>
      <c r="K168" s="961"/>
      <c r="L168" s="961"/>
      <c r="O168" s="961"/>
      <c r="P168" s="961"/>
      <c r="T168" s="961"/>
      <c r="U168" s="961"/>
    </row>
    <row r="169" spans="2:21" ht="11.25" hidden="1" customHeight="1" outlineLevel="1" x14ac:dyDescent="0.3">
      <c r="B169" s="811"/>
      <c r="C169" s="827"/>
      <c r="D169" s="987"/>
      <c r="E169" s="987"/>
      <c r="F169" s="987"/>
      <c r="G169" s="987"/>
      <c r="H169" s="987"/>
      <c r="I169" s="983"/>
      <c r="J169" s="988"/>
      <c r="K169" s="988"/>
      <c r="L169" s="988"/>
      <c r="O169" s="988"/>
      <c r="P169" s="988"/>
      <c r="T169" s="988"/>
      <c r="U169" s="988"/>
    </row>
    <row r="170" spans="2:21" ht="11.25" hidden="1" customHeight="1" outlineLevel="1" x14ac:dyDescent="0.3">
      <c r="B170" s="811"/>
      <c r="C170" s="827" t="s">
        <v>839</v>
      </c>
      <c r="D170" s="827"/>
      <c r="J170" s="820"/>
      <c r="K170" s="820"/>
      <c r="L170" s="820"/>
      <c r="O170" s="820"/>
      <c r="P170" s="820"/>
      <c r="T170" s="820"/>
      <c r="U170" s="820"/>
    </row>
    <row r="171" spans="2:21" ht="11.25" hidden="1" customHeight="1" outlineLevel="1" x14ac:dyDescent="0.3">
      <c r="B171" s="811"/>
      <c r="C171" s="827" t="s">
        <v>840</v>
      </c>
      <c r="D171" s="827"/>
      <c r="J171" s="820"/>
      <c r="K171" s="820"/>
      <c r="L171" s="820"/>
      <c r="O171" s="820"/>
      <c r="P171" s="820"/>
      <c r="T171" s="820"/>
      <c r="U171" s="820"/>
    </row>
    <row r="172" spans="2:21" ht="11.25" hidden="1" customHeight="1" outlineLevel="1" x14ac:dyDescent="0.3">
      <c r="B172" s="820"/>
      <c r="C172" s="827" t="s">
        <v>841</v>
      </c>
      <c r="J172" s="820"/>
      <c r="K172" s="820"/>
      <c r="L172" s="820"/>
      <c r="O172" s="820"/>
      <c r="P172" s="820"/>
      <c r="T172" s="820"/>
      <c r="U172" s="820"/>
    </row>
    <row r="173" spans="2:21" x14ac:dyDescent="0.3">
      <c r="B173" s="827"/>
      <c r="L173" s="820"/>
      <c r="M173" s="820"/>
      <c r="N173" s="820"/>
      <c r="O173" s="820"/>
      <c r="P173" s="820"/>
      <c r="R173" s="820"/>
      <c r="S173" s="820"/>
      <c r="T173" s="820"/>
      <c r="U173" s="820"/>
    </row>
    <row r="174" spans="2:21" x14ac:dyDescent="0.3">
      <c r="L174" s="820"/>
      <c r="M174" s="820"/>
      <c r="N174" s="820"/>
      <c r="O174" s="820"/>
      <c r="P174" s="820"/>
      <c r="R174" s="820"/>
      <c r="S174" s="820"/>
      <c r="T174" s="820"/>
      <c r="U174" s="820"/>
    </row>
    <row r="175" spans="2:21" x14ac:dyDescent="0.3">
      <c r="L175" s="989"/>
      <c r="M175" s="989"/>
      <c r="N175" s="989"/>
      <c r="O175" s="989"/>
      <c r="P175" s="989"/>
      <c r="R175" s="989"/>
      <c r="S175" s="989"/>
      <c r="T175" s="989"/>
      <c r="U175" s="989"/>
    </row>
  </sheetData>
  <sheetProtection algorithmName="SHA-512" hashValue="pFKwaqPnj8BeOz4LIIrxWn+zojli7QWEVt4pMcHKjkc3FT2QaOGpH78H+oHI+Lkdum1uXIXsjeXeCjQ9INOccg==" saltValue="aPU3hwQV8bm0gbFpxFvIJg==" spinCount="100000" sheet="1" objects="1" scenarios="1"/>
  <mergeCells count="6">
    <mergeCell ref="S8:W8"/>
    <mergeCell ref="B3:F3"/>
    <mergeCell ref="B5:R5"/>
    <mergeCell ref="D8:H8"/>
    <mergeCell ref="N8:R8"/>
    <mergeCell ref="I8:M8"/>
  </mergeCells>
  <dataValidations count="1">
    <dataValidation type="list" allowBlank="1" showInputMessage="1" showErrorMessage="1" sqref="C7" xr:uid="{00000000-0002-0000-1700-000000000000}">
      <formula1>$C$8:$C$9</formula1>
    </dataValidation>
  </dataValidations>
  <hyperlinks>
    <hyperlink ref="B3" location="HL_Home" tooltip="Go to Table of Contents" display="HL_Home" xr:uid="{00000000-0004-0000-1700-000000000000}"/>
  </hyperlinks>
  <pageMargins left="0.7" right="0.7" top="0.75" bottom="0.75" header="0.3" footer="0.3"/>
  <pageSetup paperSize="9" orientation="portrait" r:id="rId1"/>
  <headerFooter>
    <oddHeader>&amp;C&amp;B&amp;"Arial"&amp;12&amp;Kff0000​‌OFFICIAL‌​</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theme="9" tint="0.79998168889431442"/>
  </sheetPr>
  <dimension ref="A1:F11"/>
  <sheetViews>
    <sheetView showGridLines="0" zoomScaleNormal="100" workbookViewId="0"/>
  </sheetViews>
  <sheetFormatPr defaultColWidth="9.33203125" defaultRowHeight="12" x14ac:dyDescent="0.3"/>
  <cols>
    <col min="1" max="1" width="2.6640625" style="73" customWidth="1"/>
    <col min="2" max="16384" width="9.33203125" style="748"/>
  </cols>
  <sheetData>
    <row r="1" spans="1:6" s="73" customFormat="1" ht="14.5" x14ac:dyDescent="0.3">
      <c r="B1" s="158" t="s">
        <v>869</v>
      </c>
    </row>
    <row r="2" spans="1:6" s="73" customFormat="1" ht="13" x14ac:dyDescent="0.3">
      <c r="B2" s="160" t="str">
        <f>+Contents!H7</f>
        <v>Central Highlands Water</v>
      </c>
    </row>
    <row r="3" spans="1:6" s="73" customFormat="1" x14ac:dyDescent="0.3">
      <c r="B3" s="2357" t="s">
        <v>0</v>
      </c>
      <c r="C3" s="2357"/>
      <c r="D3" s="2357"/>
      <c r="E3" s="2357"/>
      <c r="F3" s="2357"/>
    </row>
    <row r="4" spans="1:6" s="73" customFormat="1" x14ac:dyDescent="0.3">
      <c r="B4" s="1266"/>
      <c r="C4" s="1266"/>
      <c r="D4" s="1266"/>
      <c r="E4" s="1266"/>
      <c r="F4" s="1266"/>
    </row>
    <row r="11" spans="1:6" x14ac:dyDescent="0.3">
      <c r="A11" s="72"/>
    </row>
  </sheetData>
  <sheetProtection algorithmName="SHA-512" hashValue="wDQGtRkwsfKj5LpRNn8ix3GVPTmELBvtMHgcto1RM9u3Edwsuhz0lXLphOReig2pOF2LYJIicEL0P2per+GbNA==" saltValue="ts+OZN4gIlTyPcRWLyc7dA==" spinCount="100000" sheet="1" objects="1" scenarios="1"/>
  <mergeCells count="1">
    <mergeCell ref="B3:F3"/>
  </mergeCells>
  <hyperlinks>
    <hyperlink ref="B3" location="HL_Home" tooltip="Go to Table of Contents" display="HL_Home" xr:uid="{00000000-0004-0000-1300-000000000000}"/>
  </hyperlinks>
  <pageMargins left="0.7" right="0.7" top="0.75" bottom="0.75" header="0.3" footer="0.3"/>
  <pageSetup paperSize="9" orientation="portrait" r:id="rId1"/>
  <headerFooter>
    <oddHeader>&amp;C&amp;B&amp;"Arial"&amp;12&amp;Kff0000​‌OFFICIAL‌​</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tabColor theme="9" tint="0.79998168889431442"/>
  </sheetPr>
  <dimension ref="A1:F11"/>
  <sheetViews>
    <sheetView showGridLines="0" zoomScale="90" zoomScaleNormal="90" workbookViewId="0"/>
  </sheetViews>
  <sheetFormatPr defaultColWidth="9.33203125" defaultRowHeight="12" x14ac:dyDescent="0.3"/>
  <cols>
    <col min="1" max="1" width="2.6640625" style="73" customWidth="1"/>
    <col min="2" max="16384" width="9.33203125" style="748"/>
  </cols>
  <sheetData>
    <row r="1" spans="1:6" s="73" customFormat="1" ht="14.5" x14ac:dyDescent="0.3">
      <c r="B1" s="158" t="s">
        <v>870</v>
      </c>
    </row>
    <row r="2" spans="1:6" s="73" customFormat="1" ht="13" x14ac:dyDescent="0.3">
      <c r="B2" s="160" t="str">
        <f>+Contents!H7</f>
        <v>Central Highlands Water</v>
      </c>
    </row>
    <row r="3" spans="1:6" s="73" customFormat="1" x14ac:dyDescent="0.3">
      <c r="B3" s="2357" t="s">
        <v>0</v>
      </c>
      <c r="C3" s="2357"/>
      <c r="D3" s="2357"/>
      <c r="E3" s="2357"/>
      <c r="F3" s="2357"/>
    </row>
    <row r="4" spans="1:6" s="73" customFormat="1" x14ac:dyDescent="0.3">
      <c r="B4" s="1266"/>
      <c r="C4" s="1266"/>
      <c r="D4" s="1266"/>
      <c r="E4" s="1266"/>
      <c r="F4" s="1266"/>
    </row>
    <row r="11" spans="1:6" x14ac:dyDescent="0.3">
      <c r="A11" s="72"/>
    </row>
  </sheetData>
  <sheetProtection algorithmName="SHA-512" hashValue="ATUS9NJGhs/lV64E4iri45ATdjDdBMdqMC67zLLjMEa5i0RewxLOsvRmm1W7AdhfSTV7bIoUbEll/EHLSi6e7A==" saltValue="20x+S746+XNW644j6a+F9g==" spinCount="100000" sheet="1" objects="1" scenarios="1"/>
  <mergeCells count="1">
    <mergeCell ref="B3:F3"/>
  </mergeCells>
  <hyperlinks>
    <hyperlink ref="B3" location="HL_Home" tooltip="Go to Table of Contents" display="HL_Home" xr:uid="{00000000-0004-0000-1400-000000000000}"/>
  </hyperlinks>
  <pageMargins left="0.7" right="0.7" top="0.75" bottom="0.75" header="0.3" footer="0.3"/>
  <pageSetup paperSize="9" orientation="portrait" r:id="rId1"/>
  <headerFooter>
    <oddHeader>&amp;C&amp;B&amp;"Arial"&amp;12&amp;Kff0000​‌OFFICIAL‌​</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tabColor theme="9" tint="0.79998168889431442"/>
  </sheetPr>
  <dimension ref="A1:F15"/>
  <sheetViews>
    <sheetView showGridLines="0" zoomScaleNormal="100" workbookViewId="0"/>
  </sheetViews>
  <sheetFormatPr defaultColWidth="9.33203125" defaultRowHeight="12" x14ac:dyDescent="0.3"/>
  <cols>
    <col min="1" max="1" width="2.6640625" style="73" customWidth="1"/>
    <col min="2" max="16384" width="9.33203125" style="748"/>
  </cols>
  <sheetData>
    <row r="1" spans="1:6" s="73" customFormat="1" ht="14.5" x14ac:dyDescent="0.3">
      <c r="B1" s="158" t="s">
        <v>871</v>
      </c>
    </row>
    <row r="2" spans="1:6" s="73" customFormat="1" ht="13" x14ac:dyDescent="0.3">
      <c r="B2" s="160" t="str">
        <f>+Contents!H7</f>
        <v>Central Highlands Water</v>
      </c>
    </row>
    <row r="3" spans="1:6" s="73" customFormat="1" x14ac:dyDescent="0.3">
      <c r="B3" s="2357" t="s">
        <v>0</v>
      </c>
      <c r="C3" s="2357"/>
      <c r="D3" s="2357"/>
      <c r="E3" s="2357"/>
      <c r="F3" s="2357"/>
    </row>
    <row r="4" spans="1:6" s="73" customFormat="1" x14ac:dyDescent="0.3">
      <c r="B4" s="1266"/>
      <c r="C4" s="1266"/>
      <c r="D4" s="1266"/>
      <c r="E4" s="1266"/>
      <c r="F4" s="1266"/>
    </row>
    <row r="15" spans="1:6" x14ac:dyDescent="0.3">
      <c r="A15" s="72"/>
    </row>
  </sheetData>
  <sheetProtection algorithmName="SHA-512" hashValue="xC6prwMR2Pdr8T/GH0NYBu/VtgTT3fTC5EcB+EO7BrC/62Uw4HY8Eh5wUsrWOyU89uYeuik3WiDoQRxQCqPtsA==" saltValue="RBQXhXc6z/ZuyUban01v+Q==" spinCount="100000" sheet="1" objects="1" scenarios="1"/>
  <mergeCells count="1">
    <mergeCell ref="B3:F3"/>
  </mergeCells>
  <hyperlinks>
    <hyperlink ref="B3" location="HL_Home" tooltip="Go to Table of Contents" display="HL_Home" xr:uid="{00000000-0004-0000-1500-000000000000}"/>
  </hyperlinks>
  <pageMargins left="0.7" right="0.7" top="0.75" bottom="0.75" header="0.3" footer="0.3"/>
  <pageSetup paperSize="9" orientation="portrait" r:id="rId1"/>
  <headerFooter>
    <oddHeader>&amp;C&amp;B&amp;"Arial"&amp;12&amp;Kff0000​‌OFFICIAL‌​</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tabColor theme="9" tint="0.79998168889431442"/>
  </sheetPr>
  <dimension ref="A1:AS132"/>
  <sheetViews>
    <sheetView showGridLines="0" zoomScaleNormal="100" workbookViewId="0"/>
  </sheetViews>
  <sheetFormatPr defaultColWidth="9.33203125" defaultRowHeight="12" x14ac:dyDescent="0.3"/>
  <cols>
    <col min="1" max="1" width="2.6640625" style="73" customWidth="1"/>
    <col min="2" max="2" width="9.33203125" style="748"/>
    <col min="3" max="3" width="52" style="748" bestFit="1" customWidth="1"/>
    <col min="4" max="5" width="12.6640625" style="748" customWidth="1"/>
    <col min="6" max="6" width="12.77734375" style="748" customWidth="1"/>
    <col min="7" max="8" width="9.33203125" style="748" customWidth="1"/>
    <col min="9" max="9" width="11.6640625" style="748" bestFit="1" customWidth="1"/>
    <col min="10" max="10" width="9.33203125" style="748" customWidth="1"/>
    <col min="11" max="13" width="11.6640625" style="748" bestFit="1" customWidth="1"/>
    <col min="14" max="23" width="11.6640625" style="748" customWidth="1"/>
    <col min="24" max="25" width="9.33203125" style="748"/>
    <col min="26" max="26" width="55" style="748" customWidth="1"/>
    <col min="27" max="27" width="18.6640625" style="748" customWidth="1"/>
    <col min="28" max="28" width="12.33203125" style="748" customWidth="1"/>
    <col min="29" max="36" width="10.6640625" style="748" bestFit="1" customWidth="1"/>
    <col min="37" max="46" width="10.6640625" style="748" customWidth="1"/>
    <col min="47" max="16384" width="9.33203125" style="748"/>
  </cols>
  <sheetData>
    <row r="1" spans="1:41" s="73" customFormat="1" ht="14.5" x14ac:dyDescent="0.3">
      <c r="B1" s="158" t="s">
        <v>872</v>
      </c>
    </row>
    <row r="2" spans="1:41" s="73" customFormat="1" ht="13" x14ac:dyDescent="0.3">
      <c r="B2" s="1359" t="str">
        <f>+Contents!H7</f>
        <v>Central Highlands Water</v>
      </c>
    </row>
    <row r="3" spans="1:41" s="73" customFormat="1" x14ac:dyDescent="0.3">
      <c r="B3" s="2357" t="s">
        <v>0</v>
      </c>
      <c r="C3" s="2357"/>
      <c r="D3" s="2357"/>
      <c r="E3" s="2357"/>
      <c r="F3" s="2357"/>
    </row>
    <row r="4" spans="1:41" s="73" customFormat="1" x14ac:dyDescent="0.3">
      <c r="B4" s="1266"/>
      <c r="C4" s="1266"/>
      <c r="D4" s="1266"/>
      <c r="E4" s="1266"/>
      <c r="F4" s="1266"/>
    </row>
    <row r="5" spans="1:41" ht="15.5" x14ac:dyDescent="0.35">
      <c r="B5" s="747" t="s">
        <v>719</v>
      </c>
      <c r="Y5" s="747" t="s">
        <v>720</v>
      </c>
    </row>
    <row r="6" spans="1:41" x14ac:dyDescent="0.3">
      <c r="B6" s="749" t="s">
        <v>721</v>
      </c>
    </row>
    <row r="7" spans="1:41" x14ac:dyDescent="0.3">
      <c r="C7" s="750"/>
      <c r="D7" s="1835" t="s">
        <v>723</v>
      </c>
      <c r="E7" s="1836"/>
      <c r="F7" s="1835"/>
      <c r="G7" s="1836"/>
      <c r="H7" s="1836"/>
      <c r="I7" s="1835" t="s">
        <v>724</v>
      </c>
      <c r="J7" s="1836"/>
      <c r="K7" s="1836"/>
      <c r="L7" s="1836"/>
      <c r="M7" s="1836"/>
      <c r="N7" s="1835" t="s">
        <v>931</v>
      </c>
      <c r="O7" s="1836"/>
      <c r="P7" s="1836"/>
      <c r="Q7" s="1836"/>
      <c r="R7" s="1836"/>
      <c r="S7" s="1835"/>
      <c r="Y7" s="749" t="s">
        <v>725</v>
      </c>
      <c r="AA7" s="751" t="s">
        <v>358</v>
      </c>
      <c r="AB7" s="751" t="s">
        <v>359</v>
      </c>
      <c r="AC7" s="751" t="s">
        <v>360</v>
      </c>
      <c r="AD7" s="751" t="s">
        <v>361</v>
      </c>
      <c r="AE7" s="751" t="s">
        <v>362</v>
      </c>
      <c r="AF7" s="751" t="s">
        <v>520</v>
      </c>
      <c r="AG7" s="751" t="s">
        <v>521</v>
      </c>
      <c r="AH7" s="751" t="s">
        <v>522</v>
      </c>
      <c r="AI7" s="751" t="s">
        <v>523</v>
      </c>
      <c r="AJ7" s="751" t="s">
        <v>524</v>
      </c>
      <c r="AK7" s="751" t="s">
        <v>920</v>
      </c>
      <c r="AL7" s="751" t="s">
        <v>921</v>
      </c>
      <c r="AM7" s="751" t="s">
        <v>922</v>
      </c>
      <c r="AN7" s="751" t="s">
        <v>923</v>
      </c>
      <c r="AO7" s="751" t="s">
        <v>924</v>
      </c>
    </row>
    <row r="8" spans="1:41" x14ac:dyDescent="0.3">
      <c r="D8" s="1837" t="s">
        <v>358</v>
      </c>
      <c r="E8" s="1837" t="s">
        <v>359</v>
      </c>
      <c r="F8" s="1837" t="s">
        <v>360</v>
      </c>
      <c r="G8" s="1837" t="s">
        <v>361</v>
      </c>
      <c r="H8" s="1837" t="s">
        <v>362</v>
      </c>
      <c r="I8" s="1837" t="s">
        <v>520</v>
      </c>
      <c r="J8" s="1837" t="s">
        <v>521</v>
      </c>
      <c r="K8" s="1837" t="s">
        <v>522</v>
      </c>
      <c r="L8" s="1837" t="s">
        <v>523</v>
      </c>
      <c r="M8" s="1837" t="s">
        <v>524</v>
      </c>
      <c r="N8" s="1837" t="s">
        <v>920</v>
      </c>
      <c r="O8" s="751" t="s">
        <v>921</v>
      </c>
      <c r="P8" s="751" t="s">
        <v>922</v>
      </c>
      <c r="Q8" s="751" t="s">
        <v>923</v>
      </c>
      <c r="R8" s="751" t="s">
        <v>924</v>
      </c>
      <c r="S8" s="1835"/>
      <c r="Y8" s="749"/>
      <c r="Z8" s="750" t="s">
        <v>21</v>
      </c>
      <c r="AA8" s="1817">
        <f>Capex_FO_AC!X12</f>
        <v>17.035930044355755</v>
      </c>
      <c r="AB8" s="1817">
        <f>Capex_FO_AC!Y12</f>
        <v>14.324613649691862</v>
      </c>
      <c r="AC8" s="1817">
        <f>Capex_FO_AC!Z12</f>
        <v>10.461716935812005</v>
      </c>
      <c r="AD8" s="1817">
        <f>Capex_FO_AC!AA12</f>
        <v>10.446783730697089</v>
      </c>
      <c r="AE8" s="1817">
        <f>Capex_FO_AC!AB12</f>
        <v>21.314527694659166</v>
      </c>
      <c r="AF8" s="1817">
        <f>Capex_FO_AC!AC12</f>
        <v>24.918700000000001</v>
      </c>
      <c r="AG8" s="1817">
        <f>Capex_FO_AC!AD12</f>
        <v>36.073500000000003</v>
      </c>
      <c r="AH8" s="1817">
        <f>Capex_FO_AC!AE12</f>
        <v>36.361500000000007</v>
      </c>
      <c r="AI8" s="1817">
        <f>Capex_FO_AC!AF12</f>
        <v>23.079500000000003</v>
      </c>
      <c r="AJ8" s="1817">
        <f>Capex_FO_AC!AG12</f>
        <v>25.545500000000004</v>
      </c>
      <c r="AK8" s="1817">
        <f>Capex_FO_AC!AH12</f>
        <v>56.987000000000002</v>
      </c>
      <c r="AL8" s="1817">
        <f>Capex_FO_AC!AI12</f>
        <v>46.062000000000012</v>
      </c>
      <c r="AM8" s="1817">
        <f>Capex_FO_AC!AJ12</f>
        <v>34.106999999999999</v>
      </c>
      <c r="AN8" s="1817">
        <f>Capex_FO_AC!AK12</f>
        <v>29.777000000000001</v>
      </c>
      <c r="AO8" s="1817">
        <f>Capex_FO_AC!AL12</f>
        <v>40.857000000000006</v>
      </c>
    </row>
    <row r="9" spans="1:41" x14ac:dyDescent="0.3">
      <c r="C9" s="753" t="s">
        <v>726</v>
      </c>
      <c r="D9" s="1818">
        <f>'Rev&amp;RAV_FO'!X23</f>
        <v>98.241752731396645</v>
      </c>
      <c r="E9" s="1818">
        <f>'Rev&amp;RAV_FO'!Y23</f>
        <v>98.984695770949031</v>
      </c>
      <c r="F9" s="1818">
        <f>'Rev&amp;RAV_FO'!Z23</f>
        <v>99.050510493747737</v>
      </c>
      <c r="G9" s="1818">
        <f>'Rev&amp;RAV_FO'!AA23</f>
        <v>99.811440983806364</v>
      </c>
      <c r="H9" s="1818">
        <f>'Rev&amp;RAV_FO'!AB23</f>
        <v>100.23147140236459</v>
      </c>
      <c r="I9" s="1818">
        <f>'Rev&amp;RAV_FO'!AC23</f>
        <v>104.06385545438683</v>
      </c>
      <c r="J9" s="1818">
        <f>'Rev&amp;RAV_FO'!AD23</f>
        <v>106.94004285484651</v>
      </c>
      <c r="K9" s="1818">
        <f>'Rev&amp;RAV_FO'!AE23</f>
        <v>109.18152309433378</v>
      </c>
      <c r="L9" s="1818">
        <f>'Rev&amp;RAV_FO'!AF23</f>
        <v>110.44864096807545</v>
      </c>
      <c r="M9" s="1818">
        <f>'Rev&amp;RAV_FO'!AG23</f>
        <v>118.55392838684085</v>
      </c>
      <c r="N9" s="1818">
        <f ca="1">'Rev&amp;RAV_FO'!AH23</f>
        <v>120.75745129797468</v>
      </c>
      <c r="O9" s="1818">
        <f ca="1">'Rev&amp;RAV_FO'!AI23</f>
        <v>124.95933650928491</v>
      </c>
      <c r="P9" s="1818">
        <f ca="1">'Rev&amp;RAV_FO'!AJ23</f>
        <v>128.35488889955744</v>
      </c>
      <c r="Q9" s="1818">
        <f ca="1">'Rev&amp;RAV_FO'!AK23</f>
        <v>130.28407684269885</v>
      </c>
      <c r="R9" s="1818">
        <f ca="1">'Rev&amp;RAV_FO'!AL23</f>
        <v>131.90331196503232</v>
      </c>
      <c r="S9" s="1835"/>
      <c r="Y9" s="749"/>
      <c r="Z9" s="750" t="s">
        <v>22</v>
      </c>
      <c r="AA9" s="1817">
        <f>Capex_FO_AC!X13</f>
        <v>13.41143346495153</v>
      </c>
      <c r="AB9" s="1817">
        <f>Capex_FO_AC!Y13</f>
        <v>16.508749549335569</v>
      </c>
      <c r="AC9" s="1817">
        <f>Capex_FO_AC!Z13</f>
        <v>16.109147060878254</v>
      </c>
      <c r="AD9" s="1817">
        <f>Capex_FO_AC!AA13</f>
        <v>17.075695884530948</v>
      </c>
      <c r="AE9" s="1817">
        <f>Capex_FO_AC!AB13</f>
        <v>14.829434481797012</v>
      </c>
      <c r="AF9" s="1817">
        <f>Capex_FO_AC!AC13</f>
        <v>18.46</v>
      </c>
      <c r="AG9" s="1817">
        <f>Capex_FO_AC!AD13</f>
        <v>8.4649999999999999</v>
      </c>
      <c r="AH9" s="1817">
        <f>Capex_FO_AC!AE13</f>
        <v>12.040000000000001</v>
      </c>
      <c r="AI9" s="1817">
        <f>Capex_FO_AC!AF13</f>
        <v>26.875000000000004</v>
      </c>
      <c r="AJ9" s="1817">
        <f>Capex_FO_AC!AG13</f>
        <v>30.184999999999995</v>
      </c>
      <c r="AK9" s="1817">
        <f>Capex_FO_AC!AH13</f>
        <v>37.18</v>
      </c>
      <c r="AL9" s="1817">
        <f>Capex_FO_AC!AI13</f>
        <v>46.505000000000003</v>
      </c>
      <c r="AM9" s="1817">
        <f>Capex_FO_AC!AJ13</f>
        <v>31.43</v>
      </c>
      <c r="AN9" s="1817">
        <f>Capex_FO_AC!AK13</f>
        <v>22.704999999999998</v>
      </c>
      <c r="AO9" s="1817">
        <f>Capex_FO_AC!AL13</f>
        <v>23.435000000000002</v>
      </c>
    </row>
    <row r="10" spans="1:41" x14ac:dyDescent="0.3">
      <c r="C10" s="753" t="s">
        <v>727</v>
      </c>
      <c r="D10" s="1819"/>
      <c r="E10" s="1819"/>
      <c r="F10" s="1819"/>
      <c r="G10" s="1819"/>
      <c r="H10" s="1819"/>
      <c r="I10" s="1838"/>
      <c r="J10" s="1838"/>
      <c r="K10" s="1838"/>
      <c r="L10" s="1838"/>
      <c r="M10" s="1838"/>
      <c r="N10" s="1838"/>
      <c r="O10" s="754"/>
      <c r="P10" s="754"/>
      <c r="Q10" s="754"/>
      <c r="R10" s="754"/>
      <c r="S10" s="1835"/>
      <c r="Y10" s="749"/>
      <c r="Z10" s="750" t="s">
        <v>275</v>
      </c>
      <c r="AA10" s="1817">
        <f>Capex_FO_AC!X14</f>
        <v>0</v>
      </c>
      <c r="AB10" s="1817">
        <f>Capex_FO_AC!Y14</f>
        <v>2.0279969050216531</v>
      </c>
      <c r="AC10" s="1817">
        <f>Capex_FO_AC!Z14</f>
        <v>1.5235975377094018</v>
      </c>
      <c r="AD10" s="1817">
        <f>Capex_FO_AC!AA14</f>
        <v>1.6150133899719659</v>
      </c>
      <c r="AE10" s="1817">
        <f>Capex_FO_AC!AB14</f>
        <v>1.3560378235438222</v>
      </c>
      <c r="AF10" s="1817">
        <f>Capex_FO_AC!AC14</f>
        <v>2.61</v>
      </c>
      <c r="AG10" s="1817">
        <f>Capex_FO_AC!AD14</f>
        <v>3.46</v>
      </c>
      <c r="AH10" s="1817">
        <f>Capex_FO_AC!AE14</f>
        <v>1.61</v>
      </c>
      <c r="AI10" s="1817">
        <f>Capex_FO_AC!AF14</f>
        <v>4.0599999999999996</v>
      </c>
      <c r="AJ10" s="1817">
        <f>Capex_FO_AC!AG14</f>
        <v>2.2599999999999998</v>
      </c>
      <c r="AK10" s="1817">
        <f>Capex_FO_AC!AH14</f>
        <v>4.43</v>
      </c>
      <c r="AL10" s="1817">
        <f>Capex_FO_AC!AI14</f>
        <v>2.63</v>
      </c>
      <c r="AM10" s="1817">
        <f>Capex_FO_AC!AJ14</f>
        <v>2.63</v>
      </c>
      <c r="AN10" s="1817">
        <f>Capex_FO_AC!AK14</f>
        <v>2.63</v>
      </c>
      <c r="AO10" s="1817">
        <f>Capex_FO_AC!AL14</f>
        <v>2.63</v>
      </c>
    </row>
    <row r="11" spans="1:41" x14ac:dyDescent="0.3">
      <c r="C11" s="753" t="s">
        <v>727</v>
      </c>
      <c r="D11" s="1819">
        <f t="shared" ref="D11:E11" si="0">AVERAGE($D$9:$E$9)</f>
        <v>98.613224251172838</v>
      </c>
      <c r="E11" s="1819">
        <f t="shared" si="0"/>
        <v>98.613224251172838</v>
      </c>
      <c r="F11" s="1838"/>
      <c r="G11" s="1838"/>
      <c r="H11" s="1838"/>
      <c r="I11" s="1838"/>
      <c r="J11" s="1838"/>
      <c r="K11" s="1838"/>
      <c r="L11" s="1838"/>
      <c r="M11" s="1838"/>
      <c r="N11" s="1838"/>
      <c r="O11" s="754"/>
      <c r="P11" s="754"/>
      <c r="Q11" s="754"/>
      <c r="R11" s="754"/>
      <c r="S11" s="1835"/>
      <c r="Y11" s="749"/>
      <c r="Z11" s="750" t="s">
        <v>352</v>
      </c>
      <c r="AA11" s="1817">
        <f>Capex_FO_AC!X15</f>
        <v>0</v>
      </c>
      <c r="AB11" s="1817">
        <f>Capex_FO_AC!Y15</f>
        <v>0</v>
      </c>
      <c r="AC11" s="1817">
        <f>Capex_FO_AC!Z15</f>
        <v>0</v>
      </c>
      <c r="AD11" s="1817">
        <f>Capex_FO_AC!AA15</f>
        <v>0</v>
      </c>
      <c r="AE11" s="1817">
        <f>Capex_FO_AC!AB15</f>
        <v>0</v>
      </c>
      <c r="AF11" s="1817">
        <f>Capex_FO_AC!AC15</f>
        <v>0</v>
      </c>
      <c r="AG11" s="1817">
        <f>Capex_FO_AC!AD15</f>
        <v>0</v>
      </c>
      <c r="AH11" s="1817">
        <f>Capex_FO_AC!AE15</f>
        <v>0</v>
      </c>
      <c r="AI11" s="1817">
        <f>Capex_FO_AC!AF15</f>
        <v>0</v>
      </c>
      <c r="AJ11" s="1817">
        <f>Capex_FO_AC!AG15</f>
        <v>0</v>
      </c>
      <c r="AK11" s="1817">
        <f>Capex_FO_AC!AH15</f>
        <v>0</v>
      </c>
      <c r="AL11" s="1817">
        <f>Capex_FO_AC!AI15</f>
        <v>0</v>
      </c>
      <c r="AM11" s="1817">
        <f>Capex_FO_AC!AJ15</f>
        <v>0</v>
      </c>
      <c r="AN11" s="1817">
        <f>Capex_FO_AC!AK15</f>
        <v>0</v>
      </c>
      <c r="AO11" s="1817">
        <f>Capex_FO_AC!AL15</f>
        <v>0</v>
      </c>
    </row>
    <row r="12" spans="1:41" x14ac:dyDescent="0.3">
      <c r="C12" s="753" t="s">
        <v>727</v>
      </c>
      <c r="D12" s="1838"/>
      <c r="E12" s="1838"/>
      <c r="F12" s="1819">
        <f t="shared" ref="F12:H12" si="1">AVERAGE($F$9:$H$9)</f>
        <v>99.697807626639573</v>
      </c>
      <c r="G12" s="1819">
        <f t="shared" si="1"/>
        <v>99.697807626639573</v>
      </c>
      <c r="H12" s="1819">
        <f t="shared" si="1"/>
        <v>99.697807626639573</v>
      </c>
      <c r="I12" s="1838"/>
      <c r="J12" s="1838"/>
      <c r="K12" s="1838"/>
      <c r="L12" s="1838"/>
      <c r="M12" s="1838"/>
      <c r="N12" s="1838"/>
      <c r="O12" s="754"/>
      <c r="P12" s="754"/>
      <c r="Q12" s="754"/>
      <c r="R12" s="754"/>
      <c r="S12" s="1835"/>
      <c r="Y12" s="749"/>
      <c r="Z12" s="750" t="s">
        <v>354</v>
      </c>
      <c r="AA12" s="1817">
        <f>Capex_FO_AC!X16</f>
        <v>0</v>
      </c>
      <c r="AB12" s="1817">
        <f>Capex_FO_AC!Y16</f>
        <v>0</v>
      </c>
      <c r="AC12" s="1817">
        <f>Capex_FO_AC!Z16</f>
        <v>0</v>
      </c>
      <c r="AD12" s="1817">
        <f>Capex_FO_AC!AA16</f>
        <v>0</v>
      </c>
      <c r="AE12" s="1817">
        <f>Capex_FO_AC!AB16</f>
        <v>0</v>
      </c>
      <c r="AF12" s="1817">
        <f>Capex_FO_AC!AC16</f>
        <v>0</v>
      </c>
      <c r="AG12" s="1817">
        <f>Capex_FO_AC!AD16</f>
        <v>0</v>
      </c>
      <c r="AH12" s="1817">
        <f>Capex_FO_AC!AE16</f>
        <v>0</v>
      </c>
      <c r="AI12" s="1817">
        <f>Capex_FO_AC!AF16</f>
        <v>0</v>
      </c>
      <c r="AJ12" s="1817">
        <f>Capex_FO_AC!AG16</f>
        <v>0</v>
      </c>
      <c r="AK12" s="1817">
        <f>Capex_FO_AC!AH16</f>
        <v>0</v>
      </c>
      <c r="AL12" s="1817">
        <f>Capex_FO_AC!AI16</f>
        <v>0</v>
      </c>
      <c r="AM12" s="1817">
        <f>Capex_FO_AC!AJ16</f>
        <v>0</v>
      </c>
      <c r="AN12" s="1817">
        <f>Capex_FO_AC!AK16</f>
        <v>0</v>
      </c>
      <c r="AO12" s="1817">
        <f>Capex_FO_AC!AL16</f>
        <v>0</v>
      </c>
    </row>
    <row r="13" spans="1:41" x14ac:dyDescent="0.3">
      <c r="C13" s="753" t="s">
        <v>727</v>
      </c>
      <c r="D13" s="1838"/>
      <c r="E13" s="1838"/>
      <c r="F13" s="1838"/>
      <c r="G13" s="1838"/>
      <c r="H13" s="1838"/>
      <c r="I13" s="1817">
        <f t="shared" ref="I13:M13" si="2">AVERAGE($I$9:$M$9)</f>
        <v>109.8375981516967</v>
      </c>
      <c r="J13" s="1817">
        <f t="shared" si="2"/>
        <v>109.8375981516967</v>
      </c>
      <c r="K13" s="1817">
        <f t="shared" si="2"/>
        <v>109.8375981516967</v>
      </c>
      <c r="L13" s="1817">
        <f t="shared" si="2"/>
        <v>109.8375981516967</v>
      </c>
      <c r="M13" s="1817">
        <f t="shared" si="2"/>
        <v>109.8375981516967</v>
      </c>
      <c r="N13" s="1838"/>
      <c r="O13" s="754"/>
      <c r="P13" s="754"/>
      <c r="Q13" s="754"/>
      <c r="R13" s="754"/>
      <c r="S13" s="1835"/>
      <c r="Y13" s="749"/>
      <c r="Z13" s="749" t="s">
        <v>513</v>
      </c>
      <c r="AA13" s="1821">
        <f t="shared" ref="AA13:AO13" si="3">SUM(AA8:AA12)</f>
        <v>30.447363509307287</v>
      </c>
      <c r="AB13" s="1821">
        <f t="shared" si="3"/>
        <v>32.861360104049083</v>
      </c>
      <c r="AC13" s="1821">
        <f t="shared" si="3"/>
        <v>28.09446153439966</v>
      </c>
      <c r="AD13" s="1821">
        <f t="shared" si="3"/>
        <v>29.137493005200003</v>
      </c>
      <c r="AE13" s="1821">
        <f t="shared" si="3"/>
        <v>37.5</v>
      </c>
      <c r="AF13" s="1821">
        <f t="shared" si="3"/>
        <v>45.988700000000001</v>
      </c>
      <c r="AG13" s="1821">
        <f t="shared" si="3"/>
        <v>47.9985</v>
      </c>
      <c r="AH13" s="1821">
        <f t="shared" si="3"/>
        <v>50.011500000000005</v>
      </c>
      <c r="AI13" s="1821">
        <f t="shared" si="3"/>
        <v>54.014500000000012</v>
      </c>
      <c r="AJ13" s="1821">
        <f t="shared" si="3"/>
        <v>57.990499999999997</v>
      </c>
      <c r="AK13" s="1821">
        <f t="shared" si="3"/>
        <v>98.597000000000008</v>
      </c>
      <c r="AL13" s="1821">
        <f t="shared" si="3"/>
        <v>95.197000000000003</v>
      </c>
      <c r="AM13" s="1821">
        <f t="shared" si="3"/>
        <v>68.167000000000002</v>
      </c>
      <c r="AN13" s="1821">
        <f t="shared" si="3"/>
        <v>55.112000000000002</v>
      </c>
      <c r="AO13" s="1821">
        <f t="shared" si="3"/>
        <v>66.921999999999997</v>
      </c>
    </row>
    <row r="14" spans="1:41" x14ac:dyDescent="0.3">
      <c r="C14" s="753" t="s">
        <v>727</v>
      </c>
      <c r="D14" s="1839"/>
      <c r="E14" s="1839"/>
      <c r="F14" s="1839"/>
      <c r="G14" s="1839"/>
      <c r="H14" s="1839"/>
      <c r="I14" s="1820"/>
      <c r="J14" s="1820"/>
      <c r="K14" s="1820"/>
      <c r="L14" s="1820"/>
      <c r="M14" s="1820"/>
      <c r="N14" s="1820">
        <f t="shared" ref="N14:R14" ca="1" si="4">AVERAGE($N$9:$R$9)</f>
        <v>127.25181310290964</v>
      </c>
      <c r="O14" s="1820">
        <f t="shared" ca="1" si="4"/>
        <v>127.25181310290964</v>
      </c>
      <c r="P14" s="1820">
        <f t="shared" ca="1" si="4"/>
        <v>127.25181310290964</v>
      </c>
      <c r="Q14" s="1820">
        <f t="shared" ca="1" si="4"/>
        <v>127.25181310290964</v>
      </c>
      <c r="R14" s="1820">
        <f t="shared" ca="1" si="4"/>
        <v>127.25181310290964</v>
      </c>
      <c r="S14" s="1835"/>
      <c r="Y14" s="749"/>
      <c r="Z14" s="749"/>
      <c r="AA14" s="1832"/>
      <c r="AB14" s="1832"/>
      <c r="AC14" s="1832"/>
      <c r="AD14" s="1832"/>
      <c r="AE14" s="1832"/>
      <c r="AF14" s="1832"/>
      <c r="AG14" s="1832"/>
      <c r="AH14" s="1832"/>
      <c r="AI14" s="1832"/>
      <c r="AJ14" s="1832"/>
      <c r="AK14" s="1832"/>
      <c r="AL14" s="1832"/>
      <c r="AM14" s="1832"/>
      <c r="AN14" s="1832"/>
      <c r="AO14" s="1832"/>
    </row>
    <row r="15" spans="1:41" x14ac:dyDescent="0.3">
      <c r="S15" s="1835"/>
      <c r="Y15" s="749"/>
    </row>
    <row r="16" spans="1:41" ht="15.5" x14ac:dyDescent="0.35">
      <c r="A16" s="72"/>
      <c r="B16" s="747" t="s">
        <v>728</v>
      </c>
      <c r="Y16" s="749"/>
    </row>
    <row r="17" spans="2:37" x14ac:dyDescent="0.3">
      <c r="Y17" s="749" t="s">
        <v>729</v>
      </c>
      <c r="AA17" s="751" t="s">
        <v>520</v>
      </c>
      <c r="AB17" s="751" t="s">
        <v>521</v>
      </c>
      <c r="AC17" s="751" t="s">
        <v>522</v>
      </c>
      <c r="AD17" s="751" t="s">
        <v>523</v>
      </c>
      <c r="AE17" s="751" t="s">
        <v>524</v>
      </c>
      <c r="AF17" s="751" t="s">
        <v>920</v>
      </c>
      <c r="AG17" s="751" t="s">
        <v>921</v>
      </c>
      <c r="AH17" s="751" t="s">
        <v>922</v>
      </c>
      <c r="AI17" s="751" t="s">
        <v>923</v>
      </c>
      <c r="AJ17" s="751" t="s">
        <v>924</v>
      </c>
    </row>
    <row r="18" spans="2:37" x14ac:dyDescent="0.3">
      <c r="B18" s="749" t="s">
        <v>721</v>
      </c>
      <c r="D18" s="749" t="s">
        <v>928</v>
      </c>
      <c r="Z18" s="756" t="s">
        <v>730</v>
      </c>
      <c r="AA18" s="1817">
        <f>'Capex_FO input'!D11</f>
        <v>9.7401999999999997</v>
      </c>
      <c r="AB18" s="1817">
        <f>'Capex_FO input'!E11</f>
        <v>9.8509999999999973</v>
      </c>
      <c r="AC18" s="1817">
        <f>'Capex_FO input'!F11</f>
        <v>12.128</v>
      </c>
      <c r="AD18" s="1817">
        <f>'Capex_FO input'!G11</f>
        <v>11.9755</v>
      </c>
      <c r="AE18" s="1817">
        <f>'Capex_FO input'!H11</f>
        <v>16.032500000000002</v>
      </c>
      <c r="AF18" s="1817">
        <f>'Capex_FO input'!I11</f>
        <v>17.250000000000007</v>
      </c>
      <c r="AG18" s="1817">
        <f>'Capex_FO input'!J11</f>
        <v>16.54</v>
      </c>
      <c r="AH18" s="1817">
        <f>'Capex_FO input'!K11</f>
        <v>19.065000000000008</v>
      </c>
      <c r="AI18" s="1817">
        <f>'Capex_FO input'!L11</f>
        <v>15.389999999999999</v>
      </c>
      <c r="AJ18" s="1817">
        <f>'Capex_FO input'!M11</f>
        <v>20.290000000000017</v>
      </c>
    </row>
    <row r="19" spans="2:37" x14ac:dyDescent="0.3">
      <c r="C19" s="757" t="s">
        <v>27</v>
      </c>
      <c r="D19" s="1822">
        <f>SUM('Rev&amp;RAV_FO'!AC15:AG15)</f>
        <v>375.25209876028555</v>
      </c>
      <c r="Z19" s="756" t="s">
        <v>731</v>
      </c>
      <c r="AA19" s="1817">
        <f>'Capex_FO input'!D12</f>
        <v>13.540000000000001</v>
      </c>
      <c r="AB19" s="1817">
        <f>'Capex_FO input'!E12</f>
        <v>9.16</v>
      </c>
      <c r="AC19" s="1817">
        <f>'Capex_FO input'!F12</f>
        <v>11.774999999999999</v>
      </c>
      <c r="AD19" s="1817">
        <f>'Capex_FO input'!G12</f>
        <v>18.590000000000003</v>
      </c>
      <c r="AE19" s="1817">
        <f>'Capex_FO input'!H12</f>
        <v>16.955000000000002</v>
      </c>
      <c r="AF19" s="1817">
        <f>'Capex_FO input'!I12</f>
        <v>41.76</v>
      </c>
      <c r="AG19" s="1817">
        <f>'Capex_FO input'!J12</f>
        <v>37.630000000000003</v>
      </c>
      <c r="AH19" s="1817">
        <f>'Capex_FO input'!K12</f>
        <v>14.294999999999998</v>
      </c>
      <c r="AI19" s="1817">
        <f>'Capex_FO input'!L12</f>
        <v>3.0150000000000006</v>
      </c>
      <c r="AJ19" s="1817">
        <f>'Capex_FO input'!M12</f>
        <v>10.41</v>
      </c>
    </row>
    <row r="20" spans="2:37" x14ac:dyDescent="0.3">
      <c r="C20" s="757" t="s">
        <v>67</v>
      </c>
      <c r="D20" s="1819">
        <f>SUM('Rev&amp;RAV_FO'!AC16:AG16)</f>
        <v>53.655600995741949</v>
      </c>
      <c r="Z20" s="756" t="s">
        <v>535</v>
      </c>
      <c r="AA20" s="1817">
        <f>'Capex_FO input'!D13</f>
        <v>18.198499999999996</v>
      </c>
      <c r="AB20" s="1817">
        <f>'Capex_FO input'!E13</f>
        <v>22.837499999999995</v>
      </c>
      <c r="AC20" s="1817">
        <f>'Capex_FO input'!F13</f>
        <v>18.198500000000003</v>
      </c>
      <c r="AD20" s="1817">
        <f>'Capex_FO input'!G13</f>
        <v>13.589</v>
      </c>
      <c r="AE20" s="1817">
        <f>'Capex_FO input'!H13</f>
        <v>12.842999999999998</v>
      </c>
      <c r="AF20" s="1817">
        <f>'Capex_FO input'!I13</f>
        <v>21.986999999999998</v>
      </c>
      <c r="AG20" s="1817">
        <f>'Capex_FO input'!J13</f>
        <v>23.427000000000003</v>
      </c>
      <c r="AH20" s="1817">
        <f>'Capex_FO input'!K13</f>
        <v>17.207000000000001</v>
      </c>
      <c r="AI20" s="1817">
        <f>'Capex_FO input'!L13</f>
        <v>19.106999999999999</v>
      </c>
      <c r="AJ20" s="1817">
        <f>'Capex_FO input'!M13</f>
        <v>18.622</v>
      </c>
    </row>
    <row r="21" spans="2:37" x14ac:dyDescent="0.3">
      <c r="C21" s="757" t="s">
        <v>550</v>
      </c>
      <c r="D21" s="1817">
        <f>SUM('Rev&amp;RAV_FO'!AC17:AG17)</f>
        <v>114.37029100245596</v>
      </c>
      <c r="Z21" s="750" t="s">
        <v>20</v>
      </c>
      <c r="AA21" s="1817">
        <f>'Capex_FO input'!D14</f>
        <v>0</v>
      </c>
      <c r="AB21" s="1817">
        <f>'Capex_FO input'!E14</f>
        <v>0</v>
      </c>
      <c r="AC21" s="1817">
        <f>'Capex_FO input'!F14</f>
        <v>0</v>
      </c>
      <c r="AD21" s="1817">
        <f>'Capex_FO input'!G14</f>
        <v>0</v>
      </c>
      <c r="AE21" s="1817">
        <f>'Capex_FO input'!H14</f>
        <v>0</v>
      </c>
      <c r="AF21" s="1817">
        <f>'Capex_FO input'!I14</f>
        <v>0</v>
      </c>
      <c r="AG21" s="1817">
        <f>'Capex_FO input'!J14</f>
        <v>0</v>
      </c>
      <c r="AH21" s="1817">
        <f>'Capex_FO input'!K14</f>
        <v>0</v>
      </c>
      <c r="AI21" s="1817">
        <f>'Capex_FO input'!L14</f>
        <v>0</v>
      </c>
      <c r="AJ21" s="1817">
        <f>'Capex_FO input'!M14</f>
        <v>0</v>
      </c>
    </row>
    <row r="22" spans="2:37" x14ac:dyDescent="0.3">
      <c r="C22" s="757" t="s">
        <v>240</v>
      </c>
      <c r="D22" s="1817">
        <f>SUM('Rev&amp;RAV_FO'!AC18:AG18)</f>
        <v>0</v>
      </c>
      <c r="Z22" s="750" t="s">
        <v>23</v>
      </c>
      <c r="AA22" s="1817">
        <f>'Capex_FO input'!D15</f>
        <v>4.51</v>
      </c>
      <c r="AB22" s="1817">
        <f>'Capex_FO input'!E15</f>
        <v>6.15</v>
      </c>
      <c r="AC22" s="1817">
        <f>'Capex_FO input'!F15</f>
        <v>7.91</v>
      </c>
      <c r="AD22" s="1817">
        <f>'Capex_FO input'!G15</f>
        <v>9.86</v>
      </c>
      <c r="AE22" s="1817">
        <f>'Capex_FO input'!H15</f>
        <v>12.16</v>
      </c>
      <c r="AF22" s="1817">
        <f>'Capex_FO input'!I15</f>
        <v>17.600000000000001</v>
      </c>
      <c r="AG22" s="1817">
        <f>'Capex_FO input'!J15</f>
        <v>17.600000000000001</v>
      </c>
      <c r="AH22" s="1817">
        <f>'Capex_FO input'!K15</f>
        <v>17.600000000000001</v>
      </c>
      <c r="AI22" s="1817">
        <f>'Capex_FO input'!L15</f>
        <v>17.600000000000001</v>
      </c>
      <c r="AJ22" s="1817">
        <f>'Capex_FO input'!M15</f>
        <v>17.600000000000001</v>
      </c>
    </row>
    <row r="23" spans="2:37" x14ac:dyDescent="0.3">
      <c r="C23" s="757" t="s">
        <v>379</v>
      </c>
      <c r="D23" s="1817">
        <f>SUM('Rev&amp;RAV_FO'!AC19:AG19)</f>
        <v>0</v>
      </c>
      <c r="Z23" s="749" t="s">
        <v>513</v>
      </c>
      <c r="AA23" s="1821">
        <f>SUM(AA18:AA22)</f>
        <v>45.988699999999994</v>
      </c>
      <c r="AB23" s="1821">
        <f>SUM(AB18:AB22)</f>
        <v>47.998499999999986</v>
      </c>
      <c r="AC23" s="1821">
        <f t="shared" ref="AC23:AE23" si="5">SUM(AC18:AC22)</f>
        <v>50.011499999999998</v>
      </c>
      <c r="AD23" s="1821">
        <f t="shared" si="5"/>
        <v>54.014500000000005</v>
      </c>
      <c r="AE23" s="1821">
        <f t="shared" si="5"/>
        <v>57.990499999999997</v>
      </c>
      <c r="AF23" s="1821">
        <f>SUM(AF18:AF22)</f>
        <v>98.597000000000008</v>
      </c>
      <c r="AG23" s="1821">
        <f>SUM(AG18:AG22)</f>
        <v>95.197000000000003</v>
      </c>
      <c r="AH23" s="1821">
        <f t="shared" ref="AH23:AJ23" si="6">SUM(AH18:AH22)</f>
        <v>68.167000000000002</v>
      </c>
      <c r="AI23" s="1821">
        <f t="shared" si="6"/>
        <v>55.112000000000002</v>
      </c>
      <c r="AJ23" s="1821">
        <f t="shared" si="6"/>
        <v>66.922000000000025</v>
      </c>
    </row>
    <row r="24" spans="2:37" x14ac:dyDescent="0.3">
      <c r="C24" s="757" t="s">
        <v>393</v>
      </c>
      <c r="D24" s="1817">
        <f>SUM('Rev&amp;RAV_FO'!AC20:AG20)</f>
        <v>5.91</v>
      </c>
      <c r="Z24" s="749"/>
      <c r="AA24" s="758"/>
      <c r="AB24" s="758"/>
      <c r="AC24" s="758"/>
      <c r="AD24" s="758"/>
      <c r="AE24" s="758"/>
      <c r="AF24" s="758"/>
      <c r="AG24" s="758"/>
      <c r="AH24" s="758"/>
      <c r="AI24" s="758"/>
      <c r="AJ24" s="758"/>
    </row>
    <row r="25" spans="2:37" ht="16.5" customHeight="1" x14ac:dyDescent="0.3">
      <c r="C25" s="759" t="s">
        <v>84</v>
      </c>
      <c r="D25" s="1823">
        <f>SUM(D19:D24)</f>
        <v>549.18799075848347</v>
      </c>
      <c r="G25" s="802"/>
      <c r="Y25" s="749" t="s">
        <v>732</v>
      </c>
      <c r="Z25" s="749"/>
      <c r="AA25" s="751" t="s">
        <v>520</v>
      </c>
      <c r="AB25" s="751" t="s">
        <v>521</v>
      </c>
      <c r="AC25" s="751" t="s">
        <v>522</v>
      </c>
      <c r="AD25" s="751" t="s">
        <v>523</v>
      </c>
      <c r="AE25" s="751" t="s">
        <v>524</v>
      </c>
      <c r="AF25" s="751" t="s">
        <v>920</v>
      </c>
      <c r="AG25" s="751" t="s">
        <v>921</v>
      </c>
      <c r="AH25" s="751" t="s">
        <v>922</v>
      </c>
      <c r="AI25" s="751" t="s">
        <v>923</v>
      </c>
      <c r="AJ25" s="751" t="s">
        <v>924</v>
      </c>
      <c r="AK25" s="1930" t="s">
        <v>21</v>
      </c>
    </row>
    <row r="26" spans="2:37" x14ac:dyDescent="0.3">
      <c r="Z26" s="756" t="s">
        <v>730</v>
      </c>
      <c r="AA26" s="1817">
        <f>SUMIFS('Capex_FO input'!AX$42:AX$1231,'Capex_FO input'!$F$42:$F$1231,$AK26,'Capex_FO input'!$E$42:$E$1231,$AK$25)</f>
        <v>4.6851999999999991</v>
      </c>
      <c r="AB26" s="1817">
        <f>SUMIFS('Capex_FO input'!AY$42:AY$1231,'Capex_FO input'!$F$42:$F$1231,$AK26,'Capex_FO input'!$E$42:$E$1231,$AK$25)</f>
        <v>4.016</v>
      </c>
      <c r="AC26" s="1817">
        <f>SUMIFS('Capex_FO input'!AZ$42:AZ$1231,'Capex_FO input'!$F$42:$F$1231,$AK26,'Capex_FO input'!$E$42:$E$1231,$AK$25)</f>
        <v>5.5429999999999993</v>
      </c>
      <c r="AD26" s="1817">
        <f>SUMIFS('Capex_FO input'!BA$42:BA$1231,'Capex_FO input'!$F$42:$F$1231,$AK26,'Capex_FO input'!$E$42:$E$1231,$AK$25)</f>
        <v>5.2804999999999991</v>
      </c>
      <c r="AE26" s="1817">
        <f>SUMIFS('Capex_FO input'!BB$42:BB$1231,'Capex_FO input'!$F$42:$F$1231,$AK26,'Capex_FO input'!$E$42:$E$1231,$AK$25)</f>
        <v>8.8975000000000009</v>
      </c>
      <c r="AF26" s="1817">
        <f>SUMIFS('Capex_FO input'!BC$42:BC$1231,'Capex_FO input'!$F$42:$F$1231,$AK26,'Capex_FO input'!$E$42:$E$1231,$AK$25)</f>
        <v>7.0549999999999979</v>
      </c>
      <c r="AG26" s="1817">
        <f>SUMIFS('Capex_FO input'!BD$42:BD$1231,'Capex_FO input'!$F$42:$F$1231,$AK26,'Capex_FO input'!$E$42:$E$1231,$AK$25)</f>
        <v>6.0049999999999981</v>
      </c>
      <c r="AH26" s="1817">
        <f>SUMIFS('Capex_FO input'!BE$42:BE$1231,'Capex_FO input'!$F$42:$F$1231,$AK26,'Capex_FO input'!$E$42:$E$1231,$AK$25)</f>
        <v>8.879999999999999</v>
      </c>
      <c r="AI26" s="1817">
        <f>SUMIFS('Capex_FO input'!BF$42:BF$1231,'Capex_FO input'!$F$42:$F$1231,$AK26,'Capex_FO input'!$E$42:$E$1231,$AK$25)</f>
        <v>5.9799999999999986</v>
      </c>
      <c r="AJ26" s="1817">
        <f>SUMIFS('Capex_FO input'!BG$42:BG$1231,'Capex_FO input'!$F$42:$F$1231,$AK26,'Capex_FO input'!$E$42:$E$1231,$AK$25)</f>
        <v>10.879999999999997</v>
      </c>
      <c r="AK26" s="1929" t="s">
        <v>239</v>
      </c>
    </row>
    <row r="27" spans="2:37" ht="15.5" x14ac:dyDescent="0.35">
      <c r="B27" s="747" t="s">
        <v>733</v>
      </c>
      <c r="Z27" s="756" t="s">
        <v>731</v>
      </c>
      <c r="AA27" s="1817">
        <f>SUMIFS('Capex_FO input'!AX$42:AX$1231,'Capex_FO input'!$F$42:$F$1231,$AK27,'Capex_FO input'!$E$42:$E$1231,$AK$25)</f>
        <v>-1.0100000000000002</v>
      </c>
      <c r="AB27" s="1817">
        <f>SUMIFS('Capex_FO input'!AY$42:AY$1231,'Capex_FO input'!$F$42:$F$1231,$AK27,'Capex_FO input'!$E$42:$E$1231,$AK$25)</f>
        <v>5.0999999999999988</v>
      </c>
      <c r="AC27" s="1817">
        <f>SUMIFS('Capex_FO input'!AZ$42:AZ$1231,'Capex_FO input'!$F$42:$F$1231,$AK27,'Capex_FO input'!$E$42:$E$1231,$AK$25)</f>
        <v>6.5649999999999986</v>
      </c>
      <c r="AD27" s="1817">
        <f>SUMIFS('Capex_FO input'!BA$42:BA$1231,'Capex_FO input'!$F$42:$F$1231,$AK27,'Capex_FO input'!$E$42:$E$1231,$AK$25)</f>
        <v>-0.70999999999999908</v>
      </c>
      <c r="AE27" s="1817">
        <f>SUMIFS('Capex_FO input'!BB$42:BB$1231,'Capex_FO input'!$F$42:$F$1231,$AK27,'Capex_FO input'!$E$42:$E$1231,$AK$25)</f>
        <v>-3.9450000000000003</v>
      </c>
      <c r="AF27" s="1817">
        <f>SUMIFS('Capex_FO input'!BC$42:BC$1231,'Capex_FO input'!$F$42:$F$1231,$AK27,'Capex_FO input'!$E$42:$E$1231,$AK$25)</f>
        <v>19.335000000000001</v>
      </c>
      <c r="AG27" s="1817">
        <f>SUMIFS('Capex_FO input'!BD$42:BD$1231,'Capex_FO input'!$F$42:$F$1231,$AK27,'Capex_FO input'!$E$42:$E$1231,$AK$25)</f>
        <v>9.6499999999999968</v>
      </c>
      <c r="AH27" s="1817">
        <f>SUMIFS('Capex_FO input'!BE$42:BE$1231,'Capex_FO input'!$F$42:$F$1231,$AK27,'Capex_FO input'!$E$42:$E$1231,$AK$25)</f>
        <v>-1.8100000000000018</v>
      </c>
      <c r="AI27" s="1817">
        <f>SUMIFS('Capex_FO input'!BF$42:BF$1231,'Capex_FO input'!$F$42:$F$1231,$AK27,'Capex_FO input'!$E$42:$E$1231,$AK$25)</f>
        <v>-4.5900000000000007</v>
      </c>
      <c r="AJ27" s="1817">
        <f>SUMIFS('Capex_FO input'!BG$42:BG$1231,'Capex_FO input'!$F$42:$F$1231,$AK27,'Capex_FO input'!$E$42:$E$1231,$AK$25)</f>
        <v>2.4899999999999998</v>
      </c>
      <c r="AK27" s="748" t="s">
        <v>12</v>
      </c>
    </row>
    <row r="28" spans="2:37" x14ac:dyDescent="0.3">
      <c r="Z28" s="756" t="s">
        <v>535</v>
      </c>
      <c r="AA28" s="1817">
        <f>SUMIFS('Capex_FO input'!AX$42:AX$1231,'Capex_FO input'!$F$42:$F$1231,$AK28,'Capex_FO input'!$E$42:$E$1231,$AK$25)</f>
        <v>16.733499999999999</v>
      </c>
      <c r="AB28" s="1817">
        <f>SUMIFS('Capex_FO input'!AY$42:AY$1231,'Capex_FO input'!$F$42:$F$1231,$AK28,'Capex_FO input'!$E$42:$E$1231,$AK$25)</f>
        <v>20.807499999999997</v>
      </c>
      <c r="AC28" s="1817">
        <f>SUMIFS('Capex_FO input'!AZ$42:AZ$1231,'Capex_FO input'!$F$42:$F$1231,$AK28,'Capex_FO input'!$E$42:$E$1231,$AK$25)</f>
        <v>16.343500000000002</v>
      </c>
      <c r="AD28" s="1817">
        <f>SUMIFS('Capex_FO input'!BA$42:BA$1231,'Capex_FO input'!$F$42:$F$1231,$AK28,'Capex_FO input'!$E$42:$E$1231,$AK$25)</f>
        <v>8.6489999999999991</v>
      </c>
      <c r="AE28" s="1817">
        <f>SUMIFS('Capex_FO input'!BB$42:BB$1231,'Capex_FO input'!$F$42:$F$1231,$AK28,'Capex_FO input'!$E$42:$E$1231,$AK$25)</f>
        <v>8.4330000000000016</v>
      </c>
      <c r="AF28" s="1817">
        <f>SUMIFS('Capex_FO input'!BC$42:BC$1231,'Capex_FO input'!$F$42:$F$1231,$AK28,'Capex_FO input'!$E$42:$E$1231,$AK$25)</f>
        <v>12.997</v>
      </c>
      <c r="AG28" s="1817">
        <f>SUMIFS('Capex_FO input'!BD$42:BD$1231,'Capex_FO input'!$F$42:$F$1231,$AK28,'Capex_FO input'!$E$42:$E$1231,$AK$25)</f>
        <v>12.807</v>
      </c>
      <c r="AH28" s="1817">
        <f>SUMIFS('Capex_FO input'!BE$42:BE$1231,'Capex_FO input'!$F$42:$F$1231,$AK28,'Capex_FO input'!$E$42:$E$1231,$AK$25)</f>
        <v>9.4369999999999994</v>
      </c>
      <c r="AI28" s="1817">
        <f>SUMIFS('Capex_FO input'!BF$42:BF$1231,'Capex_FO input'!$F$42:$F$1231,$AK28,'Capex_FO input'!$E$42:$E$1231,$AK$25)</f>
        <v>10.786999999999999</v>
      </c>
      <c r="AJ28" s="1817">
        <f>SUMIFS('Capex_FO input'!BG$42:BG$1231,'Capex_FO input'!$F$42:$F$1231,$AK28,'Capex_FO input'!$E$42:$E$1231,$AK$25)</f>
        <v>9.8870000000000005</v>
      </c>
      <c r="AK28" s="748" t="s">
        <v>512</v>
      </c>
    </row>
    <row r="29" spans="2:37" x14ac:dyDescent="0.3">
      <c r="B29" s="749" t="s">
        <v>734</v>
      </c>
      <c r="D29" s="751" t="s">
        <v>358</v>
      </c>
      <c r="E29" s="751" t="s">
        <v>359</v>
      </c>
      <c r="F29" s="751" t="s">
        <v>360</v>
      </c>
      <c r="G29" s="751" t="s">
        <v>361</v>
      </c>
      <c r="H29" s="751" t="s">
        <v>362</v>
      </c>
      <c r="I29" s="751" t="s">
        <v>520</v>
      </c>
      <c r="J29" s="751" t="s">
        <v>521</v>
      </c>
      <c r="K29" s="751" t="s">
        <v>522</v>
      </c>
      <c r="L29" s="751" t="s">
        <v>523</v>
      </c>
      <c r="M29" s="751" t="s">
        <v>524</v>
      </c>
      <c r="N29" s="751" t="s">
        <v>920</v>
      </c>
      <c r="O29" s="751" t="s">
        <v>921</v>
      </c>
      <c r="P29" s="751" t="s">
        <v>922</v>
      </c>
      <c r="Q29" s="751" t="s">
        <v>923</v>
      </c>
      <c r="R29" s="751" t="s">
        <v>924</v>
      </c>
      <c r="Z29" s="750" t="s">
        <v>20</v>
      </c>
      <c r="AA29" s="1817">
        <f>SUMIF('Capex_FO input'!$E$42:$E$593,$AK$25,'Capex_FO input'!AB$42:AB$593)</f>
        <v>0</v>
      </c>
      <c r="AB29" s="1817">
        <f>SUMIF('Capex_FO input'!$E$42:$E$593,$AK$25,'Capex_FO input'!AC$42:AC$593)</f>
        <v>0</v>
      </c>
      <c r="AC29" s="1817">
        <f>SUMIF('Capex_FO input'!$E$42:$E$593,$AK$25,'Capex_FO input'!AD$42:AD$593)</f>
        <v>0</v>
      </c>
      <c r="AD29" s="1817">
        <f>SUMIF('Capex_FO input'!$E$42:$E$593,$AK$25,'Capex_FO input'!AE$42:AE$593)</f>
        <v>0</v>
      </c>
      <c r="AE29" s="1817">
        <f>SUMIF('Capex_FO input'!$E$42:$E$593,$AK$25,'Capex_FO input'!AF$42:AF$593)</f>
        <v>0</v>
      </c>
      <c r="AF29" s="1817">
        <f>SUMIF('Capex_FO input'!$E$42:$E$593,$AK$25,'Capex_FO input'!AG$42:AG$593)</f>
        <v>0</v>
      </c>
      <c r="AG29" s="1817">
        <f>SUMIF('Capex_FO input'!$E$42:$E$593,$AK$25,'Capex_FO input'!AH$42:AH$593)</f>
        <v>0</v>
      </c>
      <c r="AH29" s="1817">
        <f>SUMIF('Capex_FO input'!$E$42:$E$593,$AK$25,'Capex_FO input'!AI$42:AI$593)</f>
        <v>0</v>
      </c>
      <c r="AI29" s="1817">
        <f>SUMIF('Capex_FO input'!$E$42:$E$593,$AK$25,'Capex_FO input'!AJ$42:AJ$593)</f>
        <v>0</v>
      </c>
      <c r="AJ29" s="1817">
        <f>SUMIF('Capex_FO input'!$E$42:$E$593,$AK$25,'Capex_FO input'!AK$42:AK$593)</f>
        <v>0</v>
      </c>
    </row>
    <row r="30" spans="2:37" x14ac:dyDescent="0.3">
      <c r="B30" s="750"/>
      <c r="C30" s="750" t="s">
        <v>506</v>
      </c>
      <c r="D30" s="1817">
        <f>IF(KeyAssumptionsPriceControl_FO!$I$48=1,RevenuePriceCap_FO!X461,RevenueTariffBasket_FO!X461+RevenueTariffBasket_FO!X463)</f>
        <v>62.910853079999988</v>
      </c>
      <c r="E30" s="1817">
        <f>IF(KeyAssumptionsPriceControl_FO!$I$48=1,RevenuePriceCap_FO!Y461,RevenueTariffBasket_FO!Y461+RevenueTariffBasket_FO!Y463)</f>
        <v>63.226123340000008</v>
      </c>
      <c r="F30" s="1817">
        <f>IF(KeyAssumptionsPriceControl_FO!$I$48=1,RevenuePriceCap_FO!Z461,RevenueTariffBasket_FO!Z461+RevenueTariffBasket_FO!Z463)</f>
        <v>64.45735028999998</v>
      </c>
      <c r="G30" s="1817">
        <f>IF(KeyAssumptionsPriceControl_FO!$I$48=1,RevenuePriceCap_FO!AA461,RevenueTariffBasket_FO!AA461+RevenueTariffBasket_FO!AA463)</f>
        <v>64.78841577</v>
      </c>
      <c r="H30" s="1817">
        <f>IF(KeyAssumptionsPriceControl_FO!$I$48=1,RevenuePriceCap_FO!AB461,RevenueTariffBasket_FO!AB461+RevenueTariffBasket_FO!AB463)</f>
        <v>67.518041921309973</v>
      </c>
      <c r="I30" s="1817">
        <f>IF(KeyAssumptionsPriceControl_FO!$I$48=1,RevenuePriceCap_FO!AC461,RevenueTariffBasket_FO!AC461+RevenueTariffBasket_FO!AC463)</f>
        <v>68.944781915192451</v>
      </c>
      <c r="J30" s="1817">
        <f>IF(KeyAssumptionsPriceControl_FO!$I$48=1,RevenuePriceCap_FO!AD461,RevenueTariffBasket_FO!AD461+RevenueTariffBasket_FO!AD463)</f>
        <v>71.086256043175055</v>
      </c>
      <c r="K30" s="1817">
        <f>IF(KeyAssumptionsPriceControl_FO!$I$48=1,RevenuePriceCap_FO!AE461,RevenueTariffBasket_FO!AE461+RevenueTariffBasket_FO!AE463)</f>
        <v>73.307399200696281</v>
      </c>
      <c r="L30" s="1817">
        <f>IF(KeyAssumptionsPriceControl_FO!$I$48=1,RevenuePriceCap_FO!AF461,RevenueTariffBasket_FO!AF461+RevenueTariffBasket_FO!AF463)</f>
        <v>75.599558506890119</v>
      </c>
      <c r="M30" s="1817">
        <f>IF(KeyAssumptionsPriceControl_FO!$I$48=1,RevenuePriceCap_FO!AG461,RevenueTariffBasket_FO!AG461+RevenueTariffBasket_FO!AG463)</f>
        <v>77.965015280290984</v>
      </c>
      <c r="N30" s="1817">
        <f>IF(KeyAssumptionsPriceControl_FO!$I$48=1,RevenuePriceCap_FO!AH461,RevenueTariffBasket_FO!AH461+RevenueTariffBasket_FO!AH463)</f>
        <v>80.406124227472972</v>
      </c>
      <c r="O30" s="1817">
        <f>IF(KeyAssumptionsPriceControl_FO!$I$48=1,RevenuePriceCap_FO!AI461,RevenueTariffBasket_FO!AI461+RevenueTariffBasket_FO!AI463)</f>
        <v>82.925315805385196</v>
      </c>
      <c r="P30" s="1817">
        <f>IF(KeyAssumptionsPriceControl_FO!$I$48=1,RevenuePriceCap_FO!AJ461,RevenueTariffBasket_FO!AJ461+RevenueTariffBasket_FO!AJ463)</f>
        <v>85.52509865975756</v>
      </c>
      <c r="Q30" s="1817">
        <f>IF(KeyAssumptionsPriceControl_FO!$I$48=1,RevenuePriceCap_FO!AK461,RevenueTariffBasket_FO!AK461+RevenueTariffBasket_FO!AK463)</f>
        <v>88.208062142026805</v>
      </c>
      <c r="R30" s="1817">
        <f>IF(KeyAssumptionsPriceControl_FO!$I$48=1,RevenuePriceCap_FO!AL461,RevenueTariffBasket_FO!AL461+RevenueTariffBasket_FO!AL463)</f>
        <v>90.9768789073119</v>
      </c>
      <c r="Z30" s="750" t="s">
        <v>23</v>
      </c>
      <c r="AA30" s="1817">
        <f>SUMIF('Capex_FO input'!$E$42:$E$593,'Dashboard - Data'!$AK$25,'Capex_FO input'!AM$42:AM$593)</f>
        <v>4.51</v>
      </c>
      <c r="AB30" s="1817">
        <f>SUMIF('Capex_FO input'!$E$42:$E$593,'Dashboard - Data'!$AK$25,'Capex_FO input'!AN$42:AN$593)</f>
        <v>6.15</v>
      </c>
      <c r="AC30" s="1817">
        <f>SUMIF('Capex_FO input'!$E$42:$E$593,'Dashboard - Data'!$AK$25,'Capex_FO input'!AO$42:AO$593)</f>
        <v>7.91</v>
      </c>
      <c r="AD30" s="1817">
        <f>SUMIF('Capex_FO input'!$E$42:$E$593,'Dashboard - Data'!$AK$25,'Capex_FO input'!AP$42:AP$593)</f>
        <v>9.86</v>
      </c>
      <c r="AE30" s="1817">
        <f>SUMIF('Capex_FO input'!$E$42:$E$593,'Dashboard - Data'!$AK$25,'Capex_FO input'!AQ$42:AQ$593)</f>
        <v>12.16</v>
      </c>
      <c r="AF30" s="1817">
        <f>SUMIF('Capex_FO input'!$E$42:$E$593,'Dashboard - Data'!$AK$25,'Capex_FO input'!AR$42:AR$593)</f>
        <v>17.600000000000001</v>
      </c>
      <c r="AG30" s="1817">
        <f>SUMIF('Capex_FO input'!$E$42:$E$593,'Dashboard - Data'!$AK$25,'Capex_FO input'!AS$42:AS$593)</f>
        <v>17.600000000000001</v>
      </c>
      <c r="AH30" s="1817">
        <f>SUMIF('Capex_FO input'!$E$42:$E$593,'Dashboard - Data'!$AK$25,'Capex_FO input'!AT$42:AT$593)</f>
        <v>17.600000000000001</v>
      </c>
      <c r="AI30" s="1817">
        <f>SUMIF('Capex_FO input'!$E$42:$E$593,'Dashboard - Data'!$AK$25,'Capex_FO input'!AU$42:AU$593)</f>
        <v>17.600000000000001</v>
      </c>
      <c r="AJ30" s="1817">
        <f>SUMIF('Capex_FO input'!$E$42:$E$593,'Dashboard - Data'!$AK$25,'Capex_FO input'!AV$42:AV$593)</f>
        <v>17.600000000000001</v>
      </c>
    </row>
    <row r="31" spans="2:37" x14ac:dyDescent="0.3">
      <c r="C31" s="750" t="s">
        <v>321</v>
      </c>
      <c r="D31" s="1817">
        <f>IF(KeyAssumptionsPriceControl_FO!$I$48=1,RevenuePriceCap_FO!X462,RevenueTariffBasket_FO!X462+RevenueTariffBasket_FO!X464)</f>
        <v>31.593825895589596</v>
      </c>
      <c r="E31" s="1817">
        <f>IF(KeyAssumptionsPriceControl_FO!$I$48=1,RevenuePriceCap_FO!Y462,RevenueTariffBasket_FO!Y462+RevenueTariffBasket_FO!Y464)</f>
        <v>30.231441820541004</v>
      </c>
      <c r="F31" s="1817">
        <f>IF(KeyAssumptionsPriceControl_FO!$I$48=1,RevenuePriceCap_FO!Z462,RevenueTariffBasket_FO!Z462+RevenueTariffBasket_FO!Z464)</f>
        <v>30.109109713635203</v>
      </c>
      <c r="G31" s="1817">
        <f>IF(KeyAssumptionsPriceControl_FO!$I$48=1,RevenuePriceCap_FO!AA462,RevenueTariffBasket_FO!AA462+RevenueTariffBasket_FO!AA464)</f>
        <v>31.036270415703338</v>
      </c>
      <c r="H31" s="1817">
        <f>IF(KeyAssumptionsPriceControl_FO!$I$48=1,RevenuePriceCap_FO!AB462,RevenueTariffBasket_FO!AB462+RevenueTariffBasket_FO!AB464)</f>
        <v>33.297772030607703</v>
      </c>
      <c r="I31" s="1817">
        <f>IF(KeyAssumptionsPriceControl_FO!$I$48=1,RevenuePriceCap_FO!AC462,RevenueTariffBasket_FO!AC462+RevenueTariffBasket_FO!AC464)</f>
        <v>34.814491096309716</v>
      </c>
      <c r="J31" s="1817">
        <f>IF(KeyAssumptionsPriceControl_FO!$I$48=1,RevenuePriceCap_FO!AD462,RevenueTariffBasket_FO!AD462+RevenueTariffBasket_FO!AD464)</f>
        <v>35.805503840927827</v>
      </c>
      <c r="K31" s="1817">
        <f>IF(KeyAssumptionsPriceControl_FO!$I$48=1,RevenuePriceCap_FO!AE462,RevenueTariffBasket_FO!AE462+RevenueTariffBasket_FO!AE464)</f>
        <v>36.856073412521233</v>
      </c>
      <c r="L31" s="1817">
        <f>IF(KeyAssumptionsPriceControl_FO!$I$48=1,RevenuePriceCap_FO!AF462,RevenueTariffBasket_FO!AF462+RevenueTariffBasket_FO!AF464)</f>
        <v>37.937771987486052</v>
      </c>
      <c r="M31" s="1817">
        <f>IF(KeyAssumptionsPriceControl_FO!$I$48=1,RevenuePriceCap_FO!AG462,RevenueTariffBasket_FO!AG462+RevenueTariffBasket_FO!AG464)</f>
        <v>38.836344557179324</v>
      </c>
      <c r="N31" s="1817">
        <f>IF(KeyAssumptionsPriceControl_FO!$I$48=1,RevenuePriceCap_FO!AH462,RevenueTariffBasket_FO!AH462+RevenueTariffBasket_FO!AH464)</f>
        <v>39.757108159107503</v>
      </c>
      <c r="O31" s="1817">
        <f>IF(KeyAssumptionsPriceControl_FO!$I$48=1,RevenuePriceCap_FO!AI462,RevenueTariffBasket_FO!AI462+RevenueTariffBasket_FO!AI464)</f>
        <v>40.700634509135732</v>
      </c>
      <c r="P31" s="1817">
        <f>IF(KeyAssumptionsPriceControl_FO!$I$48=1,RevenuePriceCap_FO!AJ462,RevenueTariffBasket_FO!AJ462+RevenueTariffBasket_FO!AJ464)</f>
        <v>41.667510648375931</v>
      </c>
      <c r="Q31" s="1817">
        <f>IF(KeyAssumptionsPriceControl_FO!$I$48=1,RevenuePriceCap_FO!AK462,RevenueTariffBasket_FO!AK462+RevenueTariffBasket_FO!AK464)</f>
        <v>42.658339368456659</v>
      </c>
      <c r="R31" s="1817">
        <f>IF(KeyAssumptionsPriceControl_FO!$I$48=1,RevenuePriceCap_FO!AL462,RevenueTariffBasket_FO!AL462+RevenueTariffBasket_FO!AL464)</f>
        <v>43.673739648934699</v>
      </c>
      <c r="Z31" s="749" t="s">
        <v>513</v>
      </c>
      <c r="AA31" s="1821">
        <f t="shared" ref="AA31:AJ31" si="7">SUM(AA26:AA30)</f>
        <v>24.918700000000001</v>
      </c>
      <c r="AB31" s="1821">
        <f t="shared" si="7"/>
        <v>36.073499999999996</v>
      </c>
      <c r="AC31" s="1821">
        <f t="shared" si="7"/>
        <v>36.361499999999999</v>
      </c>
      <c r="AD31" s="1821">
        <f t="shared" si="7"/>
        <v>23.079499999999999</v>
      </c>
      <c r="AE31" s="1821">
        <f t="shared" si="7"/>
        <v>25.545500000000004</v>
      </c>
      <c r="AF31" s="1821">
        <f t="shared" si="7"/>
        <v>56.987000000000002</v>
      </c>
      <c r="AG31" s="1821">
        <f t="shared" si="7"/>
        <v>46.061999999999998</v>
      </c>
      <c r="AH31" s="1821">
        <f t="shared" si="7"/>
        <v>34.106999999999999</v>
      </c>
      <c r="AI31" s="1821">
        <f t="shared" si="7"/>
        <v>29.776999999999997</v>
      </c>
      <c r="AJ31" s="1821">
        <f t="shared" si="7"/>
        <v>40.856999999999999</v>
      </c>
    </row>
    <row r="32" spans="2:37" x14ac:dyDescent="0.3">
      <c r="C32" s="749" t="s">
        <v>554</v>
      </c>
      <c r="D32" s="1821">
        <f t="shared" ref="D32:M32" si="8">SUM(D30:D31)</f>
        <v>94.504678975589584</v>
      </c>
      <c r="E32" s="1821">
        <f t="shared" si="8"/>
        <v>93.457565160541009</v>
      </c>
      <c r="F32" s="1821">
        <f t="shared" si="8"/>
        <v>94.566460003635186</v>
      </c>
      <c r="G32" s="1821">
        <f t="shared" si="8"/>
        <v>95.824686185703342</v>
      </c>
      <c r="H32" s="1821">
        <f t="shared" si="8"/>
        <v>100.81581395191768</v>
      </c>
      <c r="I32" s="1821">
        <f t="shared" si="8"/>
        <v>103.75927301150216</v>
      </c>
      <c r="J32" s="1821">
        <f t="shared" si="8"/>
        <v>106.89175988410288</v>
      </c>
      <c r="K32" s="1821">
        <f t="shared" si="8"/>
        <v>110.16347261321752</v>
      </c>
      <c r="L32" s="1821">
        <f t="shared" si="8"/>
        <v>113.53733049437616</v>
      </c>
      <c r="M32" s="1821">
        <f t="shared" si="8"/>
        <v>116.8013598374703</v>
      </c>
      <c r="N32" s="1821">
        <f t="shared" ref="N32:R32" si="9">SUM(N30:N31)</f>
        <v>120.16323238658048</v>
      </c>
      <c r="O32" s="1821">
        <f t="shared" si="9"/>
        <v>123.62595031452094</v>
      </c>
      <c r="P32" s="1821">
        <f t="shared" si="9"/>
        <v>127.19260930813348</v>
      </c>
      <c r="Q32" s="1821">
        <f t="shared" si="9"/>
        <v>130.86640151048346</v>
      </c>
      <c r="R32" s="1821">
        <f t="shared" si="9"/>
        <v>134.6506185562466</v>
      </c>
      <c r="Z32" s="749"/>
      <c r="AA32" s="758"/>
      <c r="AB32" s="758"/>
      <c r="AC32" s="758"/>
      <c r="AD32" s="758"/>
      <c r="AF32" s="758"/>
      <c r="AG32" s="758"/>
      <c r="AH32" s="758"/>
      <c r="AI32" s="758"/>
      <c r="AK32" s="758"/>
    </row>
    <row r="33" spans="2:37" x14ac:dyDescent="0.3">
      <c r="Y33" s="749" t="s">
        <v>735</v>
      </c>
      <c r="Z33" s="749"/>
      <c r="AA33" s="751" t="s">
        <v>520</v>
      </c>
      <c r="AB33" s="751" t="s">
        <v>521</v>
      </c>
      <c r="AC33" s="751" t="s">
        <v>522</v>
      </c>
      <c r="AD33" s="751" t="s">
        <v>523</v>
      </c>
      <c r="AE33" s="751" t="s">
        <v>524</v>
      </c>
      <c r="AF33" s="751" t="s">
        <v>920</v>
      </c>
      <c r="AG33" s="751" t="s">
        <v>921</v>
      </c>
      <c r="AH33" s="751" t="s">
        <v>922</v>
      </c>
      <c r="AI33" s="751" t="s">
        <v>923</v>
      </c>
      <c r="AJ33" s="751" t="s">
        <v>924</v>
      </c>
      <c r="AK33" s="760" t="s">
        <v>22</v>
      </c>
    </row>
    <row r="34" spans="2:37" ht="15.5" x14ac:dyDescent="0.35">
      <c r="B34" s="747" t="s">
        <v>929</v>
      </c>
      <c r="Z34" s="756" t="s">
        <v>730</v>
      </c>
      <c r="AA34" s="1817">
        <f>SUMIFS('Capex_FO input'!AX$42:AX$1231,'Capex_FO input'!$F$42:$F$1231,$AK34,'Capex_FO input'!$E$42:$E$1231,$AK$33)</f>
        <v>5.0549999999999997</v>
      </c>
      <c r="AB34" s="1817">
        <f>SUMIFS('Capex_FO input'!AY$42:AY$1231,'Capex_FO input'!$F$42:$F$1231,$AK34,'Capex_FO input'!$E$42:$E$1231,$AK$33)</f>
        <v>5.8349999999999982</v>
      </c>
      <c r="AC34" s="1817">
        <f>SUMIFS('Capex_FO input'!AZ$42:AZ$1231,'Capex_FO input'!$F$42:$F$1231,$AK34,'Capex_FO input'!$E$42:$E$1231,$AK$33)</f>
        <v>6.585</v>
      </c>
      <c r="AD34" s="1817">
        <f>SUMIFS('Capex_FO input'!BA$42:BA$1231,'Capex_FO input'!$F$42:$F$1231,$AK34,'Capex_FO input'!$E$42:$E$1231,$AK$33)</f>
        <v>6.6949999999999985</v>
      </c>
      <c r="AE34" s="1817">
        <f>SUMIFS('Capex_FO input'!BB$42:BB$1231,'Capex_FO input'!$F$42:$F$1231,$AK34,'Capex_FO input'!$E$42:$E$1231,$AK$33)</f>
        <v>7.1349999999999989</v>
      </c>
      <c r="AF34" s="1817">
        <f>SUMIFS('Capex_FO input'!BC$42:BC$1231,'Capex_FO input'!$F$42:$F$1231,$AK34,'Capex_FO input'!$E$42:$E$1231,$AK$33)</f>
        <v>10.195</v>
      </c>
      <c r="AG34" s="1817">
        <f>SUMIFS('Capex_FO input'!BD$42:BD$1231,'Capex_FO input'!$F$42:$F$1231,$AK34,'Capex_FO input'!$E$42:$E$1231,$AK$33)</f>
        <v>10.534999999999998</v>
      </c>
      <c r="AH34" s="1817">
        <f>SUMIFS('Capex_FO input'!BE$42:BE$1231,'Capex_FO input'!$F$42:$F$1231,$AK34,'Capex_FO input'!$E$42:$E$1231,$AK$33)</f>
        <v>10.185</v>
      </c>
      <c r="AI34" s="1817">
        <f>SUMIFS('Capex_FO input'!BF$42:BF$1231,'Capex_FO input'!$F$42:$F$1231,$AK34,'Capex_FO input'!$E$42:$E$1231,$AK$33)</f>
        <v>9.41</v>
      </c>
      <c r="AJ34" s="1817">
        <f>SUMIFS('Capex_FO input'!BG$42:BG$1231,'Capex_FO input'!$F$42:$F$1231,$AK34,'Capex_FO input'!$E$42:$E$1231,$AK$33)</f>
        <v>9.41</v>
      </c>
      <c r="AK34" s="748" t="s">
        <v>239</v>
      </c>
    </row>
    <row r="35" spans="2:37" x14ac:dyDescent="0.3">
      <c r="Z35" s="756" t="s">
        <v>731</v>
      </c>
      <c r="AA35" s="1817">
        <f>SUMIFS('Capex_FO input'!AX$42:AX$1231,'Capex_FO input'!$F$42:$F$1231,$AK35,'Capex_FO input'!$E$42:$E$1231,$AK$33)</f>
        <v>11.94</v>
      </c>
      <c r="AB35" s="1817">
        <f>SUMIFS('Capex_FO input'!AY$42:AY$1231,'Capex_FO input'!$F$42:$F$1231,$AK35,'Capex_FO input'!$E$42:$E$1231,$AK$33)</f>
        <v>0.6</v>
      </c>
      <c r="AC35" s="1817">
        <f>SUMIFS('Capex_FO input'!AZ$42:AZ$1231,'Capex_FO input'!$F$42:$F$1231,$AK35,'Capex_FO input'!$E$42:$E$1231,$AK$33)</f>
        <v>3.6000000000000005</v>
      </c>
      <c r="AD35" s="1817">
        <f>SUMIFS('Capex_FO input'!BA$42:BA$1231,'Capex_FO input'!$F$42:$F$1231,$AK35,'Capex_FO input'!$E$42:$E$1231,$AK$33)</f>
        <v>15.24</v>
      </c>
      <c r="AE35" s="1817">
        <f>SUMIFS('Capex_FO input'!BB$42:BB$1231,'Capex_FO input'!$F$42:$F$1231,$AK35,'Capex_FO input'!$E$42:$E$1231,$AK$33)</f>
        <v>18.639999999999997</v>
      </c>
      <c r="AF35" s="1817">
        <f>SUMIFS('Capex_FO input'!BC$42:BC$1231,'Capex_FO input'!$F$42:$F$1231,$AK35,'Capex_FO input'!$E$42:$E$1231,$AK$33)</f>
        <v>17.994999999999997</v>
      </c>
      <c r="AG35" s="1817">
        <f>SUMIFS('Capex_FO input'!BD$42:BD$1231,'Capex_FO input'!$F$42:$F$1231,$AK35,'Capex_FO input'!$E$42:$E$1231,$AK$33)</f>
        <v>25.35</v>
      </c>
      <c r="AH35" s="1817">
        <f>SUMIFS('Capex_FO input'!BE$42:BE$1231,'Capex_FO input'!$F$42:$F$1231,$AK35,'Capex_FO input'!$E$42:$E$1231,$AK$33)</f>
        <v>13.475</v>
      </c>
      <c r="AI35" s="1817">
        <f>SUMIFS('Capex_FO input'!BF$42:BF$1231,'Capex_FO input'!$F$42:$F$1231,$AK35,'Capex_FO input'!$E$42:$E$1231,$AK$33)</f>
        <v>4.9749999999999996</v>
      </c>
      <c r="AJ35" s="1817">
        <f>SUMIFS('Capex_FO input'!BG$42:BG$1231,'Capex_FO input'!$F$42:$F$1231,$AK35,'Capex_FO input'!$E$42:$E$1231,$AK$33)</f>
        <v>5.29</v>
      </c>
      <c r="AK35" s="748" t="s">
        <v>12</v>
      </c>
    </row>
    <row r="36" spans="2:37" ht="32" x14ac:dyDescent="0.3">
      <c r="B36" s="759" t="s">
        <v>347</v>
      </c>
      <c r="C36" s="761"/>
      <c r="D36" s="762" t="s">
        <v>736</v>
      </c>
      <c r="E36" s="762" t="s">
        <v>566</v>
      </c>
      <c r="F36" s="762" t="s">
        <v>565</v>
      </c>
      <c r="Z36" s="756" t="s">
        <v>535</v>
      </c>
      <c r="AA36" s="1817">
        <f>SUMIFS('Capex_FO input'!AX$42:AX$1231,'Capex_FO input'!$F$42:$F$1231,$AK36,'Capex_FO input'!$E$42:$E$1231,$AK$33)</f>
        <v>1.4649999999999999</v>
      </c>
      <c r="AB36" s="1817">
        <f>SUMIFS('Capex_FO input'!AY$42:AY$1231,'Capex_FO input'!$F$42:$F$1231,$AK36,'Capex_FO input'!$E$42:$E$1231,$AK$33)</f>
        <v>2.0299999999999998</v>
      </c>
      <c r="AC36" s="1817">
        <f>SUMIFS('Capex_FO input'!AZ$42:AZ$1231,'Capex_FO input'!$F$42:$F$1231,$AK36,'Capex_FO input'!$E$42:$E$1231,$AK$33)</f>
        <v>1.855</v>
      </c>
      <c r="AD36" s="1817">
        <f>SUMIFS('Capex_FO input'!BA$42:BA$1231,'Capex_FO input'!$F$42:$F$1231,$AK36,'Capex_FO input'!$E$42:$E$1231,$AK$33)</f>
        <v>4.9400000000000004</v>
      </c>
      <c r="AE36" s="1817">
        <f>SUMIFS('Capex_FO input'!BB$42:BB$1231,'Capex_FO input'!$F$42:$F$1231,$AK36,'Capex_FO input'!$E$42:$E$1231,$AK$33)</f>
        <v>4.410000000000001</v>
      </c>
      <c r="AF36" s="1817">
        <f>SUMIFS('Capex_FO input'!BC$42:BC$1231,'Capex_FO input'!$F$42:$F$1231,$AK36,'Capex_FO input'!$E$42:$E$1231,$AK$33)</f>
        <v>8.99</v>
      </c>
      <c r="AG36" s="1817">
        <f>SUMIFS('Capex_FO input'!BD$42:BD$1231,'Capex_FO input'!$F$42:$F$1231,$AK36,'Capex_FO input'!$E$42:$E$1231,$AK$33)</f>
        <v>10.62</v>
      </c>
      <c r="AH36" s="1817">
        <f>SUMIFS('Capex_FO input'!BE$42:BE$1231,'Capex_FO input'!$F$42:$F$1231,$AK36,'Capex_FO input'!$E$42:$E$1231,$AK$33)</f>
        <v>7.7700000000000005</v>
      </c>
      <c r="AI36" s="1817">
        <f>SUMIFS('Capex_FO input'!BF$42:BF$1231,'Capex_FO input'!$F$42:$F$1231,$AK36,'Capex_FO input'!$E$42:$E$1231,$AK$33)</f>
        <v>8.32</v>
      </c>
      <c r="AJ36" s="1817">
        <f>SUMIFS('Capex_FO input'!BG$42:BG$1231,'Capex_FO input'!$F$42:$F$1231,$AK36,'Capex_FO input'!$E$42:$E$1231,$AK$33)</f>
        <v>8.7349999999999994</v>
      </c>
      <c r="AK36" s="748" t="s">
        <v>512</v>
      </c>
    </row>
    <row r="37" spans="2:37" x14ac:dyDescent="0.3">
      <c r="C37" s="750" t="s">
        <v>737</v>
      </c>
      <c r="D37" s="1824">
        <f>SUM('Rev&amp;RAV_FO'!X23:AB23)</f>
        <v>496.31987138226441</v>
      </c>
      <c r="E37" s="1824">
        <f>SUM(Opex_Breakdown!X37:AB37)</f>
        <v>340.62847268514906</v>
      </c>
      <c r="F37" s="1817">
        <f>SUM(Capex_FO_AC!X17:AB17)</f>
        <v>158.04067815295605</v>
      </c>
      <c r="Z37" s="750" t="s">
        <v>20</v>
      </c>
      <c r="AA37" s="1817">
        <f>SUMIF('Capex_FO input'!$E$42:$E$593,$AK$33,'Capex_FO input'!AB$42:AB$593)</f>
        <v>0</v>
      </c>
      <c r="AB37" s="1817">
        <f>SUMIF('Capex_FO input'!$E$42:$E$593,$AK$33,'Capex_FO input'!AC$42:AC$593)</f>
        <v>0</v>
      </c>
      <c r="AC37" s="1817">
        <f>SUMIF('Capex_FO input'!$E$42:$E$593,$AK$33,'Capex_FO input'!AD$42:AD$593)</f>
        <v>0</v>
      </c>
      <c r="AD37" s="1817">
        <f>SUMIF('Capex_FO input'!$E$42:$E$593,$AK$33,'Capex_FO input'!AE$42:AE$593)</f>
        <v>0</v>
      </c>
      <c r="AE37" s="1817">
        <f>SUMIF('Capex_FO input'!$E$42:$E$593,$AK$33,'Capex_FO input'!AF$42:AF$593)</f>
        <v>0</v>
      </c>
      <c r="AF37" s="1817">
        <f>SUMIF('Capex_FO input'!$E$42:$E$593,$AK$33,'Capex_FO input'!AG$42:AG$593)</f>
        <v>0</v>
      </c>
      <c r="AG37" s="1817">
        <f>SUMIF('Capex_FO input'!$E$42:$E$593,$AK$33,'Capex_FO input'!AH$42:AH$593)</f>
        <v>0</v>
      </c>
      <c r="AH37" s="1817">
        <f>SUMIF('Capex_FO input'!$E$42:$E$593,$AK$33,'Capex_FO input'!AI$42:AI$593)</f>
        <v>0</v>
      </c>
      <c r="AI37" s="1817">
        <f>SUMIF('Capex_FO input'!$E$42:$E$593,$AK$33,'Capex_FO input'!AJ$42:AJ$593)</f>
        <v>0</v>
      </c>
      <c r="AJ37" s="1817">
        <f>SUMIF('Capex_FO input'!$E$42:$E$593,$AK$33,'Capex_FO input'!AK$42:AK$593)</f>
        <v>0</v>
      </c>
    </row>
    <row r="38" spans="2:37" x14ac:dyDescent="0.3">
      <c r="C38" s="750" t="s">
        <v>930</v>
      </c>
      <c r="D38" s="1834">
        <f>SUM('Rev&amp;RAV_FO'!AC23:AG23)</f>
        <v>549.18799075848347</v>
      </c>
      <c r="E38" s="1825">
        <f>SUM(Opex_Breakdown!AC37:AG37)</f>
        <v>375.23616322400574</v>
      </c>
      <c r="F38" s="1826">
        <f>SUM(Capex_FO_AC!AC17:AG17)</f>
        <v>256.00370000000004</v>
      </c>
      <c r="Z38" s="750" t="s">
        <v>23</v>
      </c>
      <c r="AA38" s="1817">
        <f>SUMIF('Capex_FO input'!$E$42:$E$594,$AK$33,'Capex_FO input'!AM$42:AM$594)</f>
        <v>0</v>
      </c>
      <c r="AB38" s="1817">
        <f>SUMIF('Capex_FO input'!$E$42:$E$594,$AK$33,'Capex_FO input'!AN$42:AN$594)</f>
        <v>0</v>
      </c>
      <c r="AC38" s="1817">
        <f>SUMIF('Capex_FO input'!$E$42:$E$594,$AK$33,'Capex_FO input'!AO$42:AO$594)</f>
        <v>0</v>
      </c>
      <c r="AD38" s="1817">
        <f>SUMIF('Capex_FO input'!$E$42:$E$594,$AK$33,'Capex_FO input'!AP$42:AP$594)</f>
        <v>0</v>
      </c>
      <c r="AE38" s="1817">
        <f>SUMIF('Capex_FO input'!$E$42:$E$594,$AK$33,'Capex_FO input'!AQ$42:AQ$594)</f>
        <v>0</v>
      </c>
      <c r="AF38" s="1817">
        <f>SUMIF('Capex_FO input'!$E$42:$E$594,$AK$33,'Capex_FO input'!AR$42:AR$594)</f>
        <v>0</v>
      </c>
      <c r="AG38" s="1817">
        <f>SUMIF('Capex_FO input'!$E$42:$E$594,$AK$33,'Capex_FO input'!AS$42:AS$594)</f>
        <v>0</v>
      </c>
      <c r="AH38" s="1817">
        <f>SUMIF('Capex_FO input'!$E$42:$E$594,$AK$33,'Capex_FO input'!AT$42:AT$594)</f>
        <v>0</v>
      </c>
      <c r="AI38" s="1817">
        <f>SUMIF('Capex_FO input'!$E$42:$E$594,$AK$33,'Capex_FO input'!AU$42:AU$594)</f>
        <v>0</v>
      </c>
      <c r="AJ38" s="1817">
        <f>SUMIF('Capex_FO input'!$E$42:$E$594,$AK$33,'Capex_FO input'!AV$42:AV$594)</f>
        <v>0</v>
      </c>
    </row>
    <row r="39" spans="2:37" x14ac:dyDescent="0.3">
      <c r="Z39" s="749" t="s">
        <v>513</v>
      </c>
      <c r="AA39" s="1821">
        <f t="shared" ref="AA39:AE39" si="10">SUM(AA34:AA38)</f>
        <v>18.459999999999997</v>
      </c>
      <c r="AB39" s="1821">
        <f t="shared" si="10"/>
        <v>8.4649999999999981</v>
      </c>
      <c r="AC39" s="1821">
        <f t="shared" si="10"/>
        <v>12.040000000000001</v>
      </c>
      <c r="AD39" s="1821">
        <f t="shared" si="10"/>
        <v>26.875</v>
      </c>
      <c r="AE39" s="1821">
        <f t="shared" si="10"/>
        <v>30.184999999999995</v>
      </c>
      <c r="AF39" s="1821">
        <f t="shared" ref="AF39:AJ39" si="11">SUM(AF34:AF38)</f>
        <v>37.18</v>
      </c>
      <c r="AG39" s="1821">
        <f t="shared" si="11"/>
        <v>46.504999999999995</v>
      </c>
      <c r="AH39" s="1821">
        <f t="shared" si="11"/>
        <v>31.43</v>
      </c>
      <c r="AI39" s="1821">
        <f t="shared" si="11"/>
        <v>22.704999999999998</v>
      </c>
      <c r="AJ39" s="1821">
        <f t="shared" si="11"/>
        <v>23.434999999999999</v>
      </c>
    </row>
    <row r="40" spans="2:37" ht="15.5" x14ac:dyDescent="0.35">
      <c r="B40" s="747" t="s">
        <v>738</v>
      </c>
    </row>
    <row r="41" spans="2:37" x14ac:dyDescent="0.3">
      <c r="Y41" s="749" t="s">
        <v>739</v>
      </c>
      <c r="AA41" s="751" t="s">
        <v>520</v>
      </c>
      <c r="AB41" s="751" t="s">
        <v>521</v>
      </c>
      <c r="AC41" s="751" t="s">
        <v>522</v>
      </c>
      <c r="AD41" s="751" t="s">
        <v>523</v>
      </c>
      <c r="AE41" s="751" t="s">
        <v>524</v>
      </c>
      <c r="AF41" s="751" t="s">
        <v>920</v>
      </c>
      <c r="AG41" s="751" t="s">
        <v>921</v>
      </c>
      <c r="AH41" s="751" t="s">
        <v>922</v>
      </c>
      <c r="AI41" s="751" t="s">
        <v>923</v>
      </c>
      <c r="AJ41" s="751" t="s">
        <v>924</v>
      </c>
    </row>
    <row r="42" spans="2:37" x14ac:dyDescent="0.3">
      <c r="B42" s="749" t="s">
        <v>740</v>
      </c>
      <c r="D42" s="751" t="s">
        <v>358</v>
      </c>
      <c r="E42" s="751" t="s">
        <v>359</v>
      </c>
      <c r="F42" s="751" t="s">
        <v>360</v>
      </c>
      <c r="G42" s="751" t="s">
        <v>361</v>
      </c>
      <c r="H42" s="751" t="s">
        <v>362</v>
      </c>
      <c r="I42" s="751" t="s">
        <v>520</v>
      </c>
      <c r="J42" s="751" t="s">
        <v>521</v>
      </c>
      <c r="K42" s="751" t="s">
        <v>522</v>
      </c>
      <c r="L42" s="751" t="s">
        <v>523</v>
      </c>
      <c r="M42" s="751" t="s">
        <v>524</v>
      </c>
      <c r="N42" s="751" t="s">
        <v>920</v>
      </c>
      <c r="O42" s="751" t="s">
        <v>921</v>
      </c>
      <c r="P42" s="751" t="s">
        <v>922</v>
      </c>
      <c r="Q42" s="751" t="s">
        <v>923</v>
      </c>
      <c r="R42" s="751" t="s">
        <v>924</v>
      </c>
      <c r="Z42" s="763" t="s">
        <v>514</v>
      </c>
      <c r="AA42" s="1817">
        <f>'Capex_FO input'!D19</f>
        <v>25.88</v>
      </c>
      <c r="AB42" s="1817">
        <f>'Capex_FO input'!E19</f>
        <v>29.160000000000004</v>
      </c>
      <c r="AC42" s="1817">
        <f>'Capex_FO input'!F19</f>
        <v>27.01</v>
      </c>
      <c r="AD42" s="1817">
        <f>'Capex_FO input'!G19</f>
        <v>19.915000000000003</v>
      </c>
      <c r="AE42" s="1817">
        <f>'Capex_FO input'!H19</f>
        <v>14.26</v>
      </c>
      <c r="AF42" s="1817">
        <f>'Capex_FO input'!I19</f>
        <v>15.23</v>
      </c>
      <c r="AG42" s="1817">
        <f>'Capex_FO input'!J19</f>
        <v>14.03</v>
      </c>
      <c r="AH42" s="1817">
        <f>'Capex_FO input'!K19</f>
        <v>5.03</v>
      </c>
      <c r="AI42" s="1817">
        <f>'Capex_FO input'!L19</f>
        <v>1.03</v>
      </c>
      <c r="AJ42" s="1817">
        <f>'Capex_FO input'!M19</f>
        <v>1.03</v>
      </c>
    </row>
    <row r="43" spans="2:37" x14ac:dyDescent="0.3">
      <c r="B43" s="764"/>
      <c r="C43" s="765" t="s">
        <v>741</v>
      </c>
      <c r="D43" s="1817">
        <f>Opex_Breakdown!X17</f>
        <v>63.091876208576629</v>
      </c>
      <c r="E43" s="1817">
        <f>Opex_Breakdown!Y17</f>
        <v>61.009139038895711</v>
      </c>
      <c r="F43" s="1817">
        <f>Opex_Breakdown!Z17</f>
        <v>58.025791595197262</v>
      </c>
      <c r="G43" s="1817">
        <f>Opex_Breakdown!AA17</f>
        <v>64.952065200934101</v>
      </c>
      <c r="H43" s="1817">
        <f>Opex_Breakdown!AB17</f>
        <v>65.60158585294343</v>
      </c>
      <c r="I43" s="1817">
        <f>Opex_Breakdown!AC17</f>
        <v>66.075168040046904</v>
      </c>
      <c r="J43" s="1817">
        <f>Opex_Breakdown!AD17</f>
        <v>67.155205369279273</v>
      </c>
      <c r="K43" s="1817">
        <f>Opex_Breakdown!AE17</f>
        <v>68.487864196876203</v>
      </c>
      <c r="L43" s="1817">
        <f>Opex_Breakdown!AF17</f>
        <v>68.916996378015796</v>
      </c>
      <c r="M43" s="1817">
        <f>Opex_Breakdown!AG17</f>
        <v>70.018327121712886</v>
      </c>
      <c r="N43" s="1817">
        <f>Opex_Breakdown!AH17</f>
        <v>68.77546355220899</v>
      </c>
      <c r="O43" s="1817">
        <f>Opex_Breakdown!AI17</f>
        <v>69.59621315710362</v>
      </c>
      <c r="P43" s="1817">
        <f>Opex_Breakdown!AJ17</f>
        <v>70.426804727717922</v>
      </c>
      <c r="Q43" s="1817">
        <f>Opex_Breakdown!AK17</f>
        <v>71.267356512377617</v>
      </c>
      <c r="R43" s="1817">
        <f>Opex_Breakdown!AL17</f>
        <v>72.117988192218561</v>
      </c>
      <c r="Z43" s="763" t="s">
        <v>515</v>
      </c>
      <c r="AA43" s="1817">
        <f>'Capex_FO input'!D20</f>
        <v>0</v>
      </c>
      <c r="AB43" s="1817">
        <f>'Capex_FO input'!E20</f>
        <v>0</v>
      </c>
      <c r="AC43" s="1817">
        <f>'Capex_FO input'!F20</f>
        <v>0</v>
      </c>
      <c r="AD43" s="1817">
        <f>'Capex_FO input'!G20</f>
        <v>0</v>
      </c>
      <c r="AE43" s="1817">
        <f>'Capex_FO input'!H20</f>
        <v>0</v>
      </c>
      <c r="AF43" s="1817">
        <f>'Capex_FO input'!I20</f>
        <v>0</v>
      </c>
      <c r="AG43" s="1817">
        <f>'Capex_FO input'!J20</f>
        <v>0</v>
      </c>
      <c r="AH43" s="1817">
        <f>'Capex_FO input'!K20</f>
        <v>0</v>
      </c>
      <c r="AI43" s="1817">
        <f>'Capex_FO input'!L20</f>
        <v>0</v>
      </c>
      <c r="AJ43" s="1817">
        <f>'Capex_FO input'!M20</f>
        <v>0</v>
      </c>
    </row>
    <row r="44" spans="2:37" x14ac:dyDescent="0.3">
      <c r="B44" s="766"/>
      <c r="C44" s="765" t="s">
        <v>742</v>
      </c>
      <c r="D44" s="1817">
        <f>Opex_Breakdown!X34</f>
        <v>5.4030933700710486</v>
      </c>
      <c r="E44" s="1817">
        <f>Opex_Breakdown!Y34</f>
        <v>5.4011778145398779</v>
      </c>
      <c r="F44" s="1817">
        <f>Opex_Breakdown!Z34</f>
        <v>5.8730300171526597</v>
      </c>
      <c r="G44" s="1817">
        <f>Opex_Breakdown!AA34</f>
        <v>5.6290424015340506</v>
      </c>
      <c r="H44" s="1817">
        <f>Opex_Breakdown!AB34</f>
        <v>5.6416711853043529</v>
      </c>
      <c r="I44" s="1817">
        <f>Opex_Breakdown!AC34</f>
        <v>6.0916434046942891</v>
      </c>
      <c r="J44" s="1817">
        <f>Opex_Breakdown!AD34</f>
        <v>7.2442437970949465</v>
      </c>
      <c r="K44" s="1817">
        <f>Opex_Breakdown!AE34</f>
        <v>7.1985348922273893</v>
      </c>
      <c r="L44" s="1817">
        <f>Opex_Breakdown!AF34</f>
        <v>7.0588547376369801</v>
      </c>
      <c r="M44" s="1817">
        <f>Opex_Breakdown!AG34</f>
        <v>6.9893252864210291</v>
      </c>
      <c r="N44" s="1817">
        <f>Opex_Breakdown!AH34</f>
        <v>6.6927140162965753</v>
      </c>
      <c r="O44" s="1817">
        <f>Opex_Breakdown!AI34</f>
        <v>6.6023520156433158</v>
      </c>
      <c r="P44" s="1817">
        <f>Opex_Breakdown!AJ34</f>
        <v>6.5141680965973343</v>
      </c>
      <c r="Q44" s="1817">
        <f>Opex_Breakdown!AK34</f>
        <v>6.4281258082682635</v>
      </c>
      <c r="R44" s="1817">
        <f>Opex_Breakdown!AL34</f>
        <v>6.3441894844186919</v>
      </c>
      <c r="Z44" s="767" t="s">
        <v>516</v>
      </c>
      <c r="AA44" s="1817">
        <f>'Capex_FO input'!D21</f>
        <v>20.108699999999999</v>
      </c>
      <c r="AB44" s="1817">
        <f>'Capex_FO input'!E21</f>
        <v>18.8385</v>
      </c>
      <c r="AC44" s="1817">
        <f>'Capex_FO input'!F21</f>
        <v>23.001500000000004</v>
      </c>
      <c r="AD44" s="1817">
        <f>'Capex_FO input'!G21</f>
        <v>34.099499999999992</v>
      </c>
      <c r="AE44" s="1817">
        <f>'Capex_FO input'!H21</f>
        <v>43.730499999999985</v>
      </c>
      <c r="AF44" s="1817">
        <f>'Capex_FO input'!I21</f>
        <v>83.367000000000004</v>
      </c>
      <c r="AG44" s="1817">
        <f>'Capex_FO input'!J21</f>
        <v>81.167000000000002</v>
      </c>
      <c r="AH44" s="1817">
        <f>'Capex_FO input'!K21</f>
        <v>63.137000000000015</v>
      </c>
      <c r="AI44" s="1817">
        <f>'Capex_FO input'!L21</f>
        <v>54.082000000000015</v>
      </c>
      <c r="AJ44" s="1817">
        <f>'Capex_FO input'!M21</f>
        <v>65.891999999999996</v>
      </c>
    </row>
    <row r="45" spans="2:37" x14ac:dyDescent="0.3">
      <c r="C45" s="749" t="s">
        <v>327</v>
      </c>
      <c r="D45" s="1821">
        <f t="shared" ref="D45:M45" si="12">SUM(D43:D44)</f>
        <v>68.494969578647684</v>
      </c>
      <c r="E45" s="1821">
        <f t="shared" si="12"/>
        <v>66.410316853435589</v>
      </c>
      <c r="F45" s="1821">
        <f t="shared" si="12"/>
        <v>63.89882161234992</v>
      </c>
      <c r="G45" s="1821">
        <f t="shared" si="12"/>
        <v>70.581107602468151</v>
      </c>
      <c r="H45" s="1821">
        <f t="shared" si="12"/>
        <v>71.243257038247776</v>
      </c>
      <c r="I45" s="1821">
        <f t="shared" si="12"/>
        <v>72.166811444741199</v>
      </c>
      <c r="J45" s="1821">
        <f t="shared" si="12"/>
        <v>74.399449166374225</v>
      </c>
      <c r="K45" s="1821">
        <f t="shared" si="12"/>
        <v>75.686399089103588</v>
      </c>
      <c r="L45" s="1821">
        <f t="shared" si="12"/>
        <v>75.975851115652773</v>
      </c>
      <c r="M45" s="1821">
        <f t="shared" si="12"/>
        <v>77.007652408133922</v>
      </c>
      <c r="N45" s="1821">
        <f t="shared" ref="N45:R45" si="13">SUM(N43:N44)</f>
        <v>75.468177568505567</v>
      </c>
      <c r="O45" s="1821">
        <f t="shared" si="13"/>
        <v>76.198565172746939</v>
      </c>
      <c r="P45" s="1821">
        <f t="shared" si="13"/>
        <v>76.940972824315253</v>
      </c>
      <c r="Q45" s="1821">
        <f t="shared" si="13"/>
        <v>77.69548232064588</v>
      </c>
      <c r="R45" s="1821">
        <f t="shared" si="13"/>
        <v>78.462177676637253</v>
      </c>
      <c r="Z45" s="763" t="s">
        <v>517</v>
      </c>
      <c r="AA45" s="1817">
        <f>'Capex_FO input'!D22</f>
        <v>0</v>
      </c>
      <c r="AB45" s="1817">
        <f>'Capex_FO input'!E22</f>
        <v>0</v>
      </c>
      <c r="AC45" s="1817">
        <f>'Capex_FO input'!F22</f>
        <v>0</v>
      </c>
      <c r="AD45" s="1817">
        <f>'Capex_FO input'!G22</f>
        <v>0</v>
      </c>
      <c r="AE45" s="1817">
        <f>'Capex_FO input'!H22</f>
        <v>0</v>
      </c>
      <c r="AF45" s="1817">
        <f>'Capex_FO input'!I22</f>
        <v>0</v>
      </c>
      <c r="AG45" s="1817">
        <f>'Capex_FO input'!J22</f>
        <v>0</v>
      </c>
      <c r="AH45" s="1817">
        <f>'Capex_FO input'!K22</f>
        <v>0</v>
      </c>
      <c r="AI45" s="1817">
        <f>'Capex_FO input'!L22</f>
        <v>0</v>
      </c>
      <c r="AJ45" s="1817">
        <f>'Capex_FO input'!M22</f>
        <v>0</v>
      </c>
    </row>
    <row r="46" spans="2:37" x14ac:dyDescent="0.3">
      <c r="C46" s="750"/>
      <c r="D46" s="768"/>
      <c r="E46" s="768"/>
      <c r="F46" s="768"/>
      <c r="G46" s="768"/>
      <c r="H46" s="768"/>
      <c r="I46" s="768"/>
      <c r="J46" s="768"/>
      <c r="K46" s="768"/>
      <c r="L46" s="768"/>
      <c r="M46" s="768"/>
      <c r="N46" s="768"/>
      <c r="Z46" s="769" t="s">
        <v>513</v>
      </c>
      <c r="AA46" s="1821">
        <f t="shared" ref="AA46:AJ46" si="14">SUM(AA42:AA45)</f>
        <v>45.988699999999994</v>
      </c>
      <c r="AB46" s="1821">
        <f t="shared" si="14"/>
        <v>47.998500000000007</v>
      </c>
      <c r="AC46" s="1821">
        <f t="shared" si="14"/>
        <v>50.011500000000005</v>
      </c>
      <c r="AD46" s="1821">
        <f t="shared" si="14"/>
        <v>54.014499999999998</v>
      </c>
      <c r="AE46" s="1821">
        <f t="shared" si="14"/>
        <v>57.990499999999983</v>
      </c>
      <c r="AF46" s="1821">
        <f t="shared" si="14"/>
        <v>98.597000000000008</v>
      </c>
      <c r="AG46" s="1821">
        <f t="shared" si="14"/>
        <v>95.197000000000003</v>
      </c>
      <c r="AH46" s="1821">
        <f t="shared" si="14"/>
        <v>68.167000000000016</v>
      </c>
      <c r="AI46" s="1821">
        <f t="shared" si="14"/>
        <v>55.112000000000016</v>
      </c>
      <c r="AJ46" s="1821">
        <f t="shared" si="14"/>
        <v>66.921999999999997</v>
      </c>
    </row>
    <row r="47" spans="2:37" x14ac:dyDescent="0.3">
      <c r="B47" s="749" t="s">
        <v>743</v>
      </c>
      <c r="C47" s="750"/>
      <c r="D47" s="760"/>
      <c r="E47" s="760"/>
      <c r="F47" s="760"/>
      <c r="G47" s="760"/>
      <c r="H47" s="760"/>
      <c r="I47" s="770" t="s">
        <v>520</v>
      </c>
      <c r="J47" s="770" t="s">
        <v>521</v>
      </c>
      <c r="K47" s="770" t="s">
        <v>522</v>
      </c>
      <c r="L47" s="770" t="s">
        <v>523</v>
      </c>
      <c r="M47" s="770" t="s">
        <v>524</v>
      </c>
      <c r="N47" s="751" t="s">
        <v>920</v>
      </c>
      <c r="O47" s="751" t="s">
        <v>921</v>
      </c>
      <c r="P47" s="751" t="s">
        <v>922</v>
      </c>
      <c r="Q47" s="751" t="s">
        <v>923</v>
      </c>
      <c r="R47" s="751" t="s">
        <v>924</v>
      </c>
      <c r="S47" s="774"/>
      <c r="T47" s="774"/>
      <c r="U47" s="774"/>
      <c r="V47" s="774"/>
      <c r="W47" s="774"/>
    </row>
    <row r="48" spans="2:37" x14ac:dyDescent="0.3">
      <c r="C48" s="750" t="s">
        <v>21</v>
      </c>
      <c r="D48" s="752"/>
      <c r="E48" s="752"/>
      <c r="F48" s="752"/>
      <c r="G48" s="752"/>
      <c r="H48" s="752"/>
      <c r="I48" s="1817">
        <f>Opex_FO!AC182</f>
        <v>0</v>
      </c>
      <c r="J48" s="1817">
        <f>Opex_FO!AD182</f>
        <v>0</v>
      </c>
      <c r="K48" s="1817">
        <f>Opex_FO!AE182</f>
        <v>0</v>
      </c>
      <c r="L48" s="1817">
        <f>Opex_FO!AF182</f>
        <v>0</v>
      </c>
      <c r="M48" s="1817">
        <f>Opex_FO!AG182</f>
        <v>0</v>
      </c>
      <c r="N48" s="1817">
        <f>Opex_FO!AH182</f>
        <v>0</v>
      </c>
      <c r="O48" s="1817">
        <f>Opex_FO!AI182</f>
        <v>0</v>
      </c>
      <c r="P48" s="1817">
        <f>Opex_FO!AJ182</f>
        <v>0</v>
      </c>
      <c r="Q48" s="1817">
        <f>Opex_FO!AK182</f>
        <v>0</v>
      </c>
      <c r="R48" s="1817">
        <f>Opex_FO!AL182</f>
        <v>0</v>
      </c>
      <c r="S48" s="774"/>
      <c r="T48" s="774"/>
      <c r="U48" s="774"/>
      <c r="V48" s="774"/>
      <c r="W48" s="774"/>
      <c r="Y48" s="749" t="s">
        <v>744</v>
      </c>
      <c r="AA48" s="751" t="s">
        <v>520</v>
      </c>
      <c r="AB48" s="751" t="s">
        <v>521</v>
      </c>
      <c r="AC48" s="751" t="s">
        <v>522</v>
      </c>
      <c r="AD48" s="751" t="s">
        <v>523</v>
      </c>
      <c r="AE48" s="751" t="s">
        <v>524</v>
      </c>
      <c r="AF48" s="751" t="s">
        <v>920</v>
      </c>
      <c r="AG48" s="751" t="s">
        <v>921</v>
      </c>
      <c r="AH48" s="751" t="s">
        <v>922</v>
      </c>
      <c r="AI48" s="751" t="s">
        <v>923</v>
      </c>
      <c r="AJ48" s="751" t="s">
        <v>924</v>
      </c>
    </row>
    <row r="49" spans="2:37" x14ac:dyDescent="0.3">
      <c r="C49" s="750" t="s">
        <v>22</v>
      </c>
      <c r="D49" s="752"/>
      <c r="E49" s="752"/>
      <c r="F49" s="752"/>
      <c r="G49" s="752"/>
      <c r="H49" s="752"/>
      <c r="I49" s="1817">
        <f>Opex_FO!AC183</f>
        <v>0</v>
      </c>
      <c r="J49" s="1817">
        <f>Opex_FO!AD183</f>
        <v>0</v>
      </c>
      <c r="K49" s="1817">
        <f>Opex_FO!AE183</f>
        <v>0</v>
      </c>
      <c r="L49" s="1817">
        <f>Opex_FO!AF183</f>
        <v>0</v>
      </c>
      <c r="M49" s="1817">
        <f>Opex_FO!AG183</f>
        <v>0</v>
      </c>
      <c r="N49" s="1817">
        <f>Opex_FO!AH183</f>
        <v>0</v>
      </c>
      <c r="O49" s="1817">
        <f>Opex_FO!AI183</f>
        <v>0</v>
      </c>
      <c r="P49" s="1817">
        <f>Opex_FO!AJ183</f>
        <v>0</v>
      </c>
      <c r="Q49" s="1817">
        <f>Opex_FO!AK183</f>
        <v>0</v>
      </c>
      <c r="R49" s="1817">
        <f>Opex_FO!AL183</f>
        <v>0</v>
      </c>
      <c r="S49" s="774"/>
      <c r="T49" s="774"/>
      <c r="U49" s="774"/>
      <c r="V49" s="774"/>
      <c r="W49" s="774"/>
      <c r="Z49" s="763" t="s">
        <v>514</v>
      </c>
      <c r="AA49" s="1817">
        <f>SUMIFS('Capex_FO input'!Q$42:Q$356,'Capex_FO input'!$H$42:$H$356,$Z49,'Capex_FO input'!$E$42:$E$356,$AK$25)</f>
        <v>13.829999999999998</v>
      </c>
      <c r="AB49" s="1817">
        <f>SUMIFS('Capex_FO input'!R$42:R$356,'Capex_FO input'!$H$42:$H$356,$Z49,'Capex_FO input'!$E$42:$E$356,$AK$25)</f>
        <v>25.6</v>
      </c>
      <c r="AC49" s="1817">
        <f>SUMIFS('Capex_FO input'!S$42:S$356,'Capex_FO input'!$H$42:$H$356,$Z49,'Capex_FO input'!$E$42:$E$356,$AK$25)</f>
        <v>22.3</v>
      </c>
      <c r="AD49" s="1817">
        <f>SUMIFS('Capex_FO input'!T$42:T$356,'Capex_FO input'!$H$42:$H$356,$Z49,'Capex_FO input'!$E$42:$E$356,$AK$25)</f>
        <v>5.9250000000000007</v>
      </c>
      <c r="AE49" s="1817">
        <f>SUMIFS('Capex_FO input'!U$42:U$356,'Capex_FO input'!$H$42:$H$356,$Z49,'Capex_FO input'!$E$42:$E$356,$AK$25)</f>
        <v>3.4</v>
      </c>
      <c r="AF49" s="1817">
        <f>SUMIFS('Capex_FO input'!V$42:V$356,'Capex_FO input'!$H$42:$H$356,$Z49,'Capex_FO input'!$E$42:$E$356,$AK$25)</f>
        <v>10.3</v>
      </c>
      <c r="AG49" s="1817">
        <f>SUMIFS('Capex_FO input'!W$42:W$356,'Capex_FO input'!$H$42:$H$356,$Z49,'Capex_FO input'!$E$42:$E$356,$AK$25)</f>
        <v>3</v>
      </c>
      <c r="AH49" s="1817">
        <f>SUMIFS('Capex_FO input'!X$42:X$356,'Capex_FO input'!$H$42:$H$356,$Z49,'Capex_FO input'!$E$42:$E$356,$AK$25)</f>
        <v>0</v>
      </c>
      <c r="AI49" s="1817">
        <f>SUMIFS('Capex_FO input'!Y$42:Y$356,'Capex_FO input'!$H$42:$H$356,$Z49,'Capex_FO input'!$E$42:$E$356,$AK$25)</f>
        <v>0</v>
      </c>
      <c r="AJ49" s="1817">
        <f>SUMIFS('Capex_FO input'!Z$42:Z$356,'Capex_FO input'!$H$42:$H$356,$Z49,'Capex_FO input'!$E$42:$E$356,$AK$25)</f>
        <v>0</v>
      </c>
    </row>
    <row r="50" spans="2:37" x14ac:dyDescent="0.3">
      <c r="C50" s="750" t="s">
        <v>275</v>
      </c>
      <c r="D50" s="752"/>
      <c r="E50" s="752"/>
      <c r="F50" s="752"/>
      <c r="G50" s="752"/>
      <c r="H50" s="752"/>
      <c r="I50" s="1817">
        <f>Opex_FO!AC184</f>
        <v>0</v>
      </c>
      <c r="J50" s="1817">
        <f>Opex_FO!AD184</f>
        <v>0</v>
      </c>
      <c r="K50" s="1817">
        <f>Opex_FO!AE184</f>
        <v>0</v>
      </c>
      <c r="L50" s="1817">
        <f>Opex_FO!AF184</f>
        <v>0</v>
      </c>
      <c r="M50" s="1817">
        <f>Opex_FO!AG184</f>
        <v>0</v>
      </c>
      <c r="N50" s="1817">
        <f>Opex_FO!AH184</f>
        <v>0</v>
      </c>
      <c r="O50" s="1817">
        <f>Opex_FO!AI184</f>
        <v>0</v>
      </c>
      <c r="P50" s="1817">
        <f>Opex_FO!AJ184</f>
        <v>0</v>
      </c>
      <c r="Q50" s="1817">
        <f>Opex_FO!AK184</f>
        <v>0</v>
      </c>
      <c r="R50" s="1817">
        <f>Opex_FO!AL184</f>
        <v>0</v>
      </c>
      <c r="S50" s="774"/>
      <c r="T50" s="774"/>
      <c r="U50" s="774"/>
      <c r="V50" s="774"/>
      <c r="W50" s="774"/>
      <c r="Z50" s="763" t="s">
        <v>515</v>
      </c>
      <c r="AA50" s="1817">
        <f>SUMIFS('Capex_FO input'!Q$42:Q$356,'Capex_FO input'!$H$42:$H$356,$Z50,'Capex_FO input'!$E$42:$E$356,$AK$25)</f>
        <v>0</v>
      </c>
      <c r="AB50" s="1817">
        <f>SUMIFS('Capex_FO input'!R$42:R$356,'Capex_FO input'!$H$42:$H$356,$Z50,'Capex_FO input'!$E$42:$E$356,$AK$25)</f>
        <v>0</v>
      </c>
      <c r="AC50" s="1817">
        <f>SUMIFS('Capex_FO input'!S$42:S$356,'Capex_FO input'!$H$42:$H$356,$Z50,'Capex_FO input'!$E$42:$E$356,$AK$25)</f>
        <v>0</v>
      </c>
      <c r="AD50" s="1817">
        <f>SUMIFS('Capex_FO input'!T$42:T$356,'Capex_FO input'!$H$42:$H$356,$Z50,'Capex_FO input'!$E$42:$E$356,$AK$25)</f>
        <v>0</v>
      </c>
      <c r="AE50" s="1817">
        <f>SUMIFS('Capex_FO input'!U$42:U$356,'Capex_FO input'!$H$42:$H$356,$Z50,'Capex_FO input'!$E$42:$E$356,$AK$25)</f>
        <v>0</v>
      </c>
      <c r="AF50" s="1817">
        <f>SUMIFS('Capex_FO input'!V$42:V$356,'Capex_FO input'!$H$42:$H$356,$Z50,'Capex_FO input'!$E$42:$E$356,$AK$25)</f>
        <v>0</v>
      </c>
      <c r="AG50" s="1817">
        <f>SUMIFS('Capex_FO input'!W$42:W$356,'Capex_FO input'!$H$42:$H$356,$Z50,'Capex_FO input'!$E$42:$E$356,$AK$25)</f>
        <v>0</v>
      </c>
      <c r="AH50" s="1817">
        <f>SUMIFS('Capex_FO input'!X$42:X$356,'Capex_FO input'!$H$42:$H$356,$Z50,'Capex_FO input'!$E$42:$E$356,$AK$25)</f>
        <v>0</v>
      </c>
      <c r="AI50" s="1817">
        <f>SUMIFS('Capex_FO input'!Y$42:Y$356,'Capex_FO input'!$H$42:$H$356,$Z50,'Capex_FO input'!$E$42:$E$356,$AK$25)</f>
        <v>0</v>
      </c>
      <c r="AJ50" s="1817">
        <f>SUMIFS('Capex_FO input'!Z$42:Z$356,'Capex_FO input'!$H$42:$H$356,$Z50,'Capex_FO input'!$E$42:$E$356,$AK$25)</f>
        <v>0</v>
      </c>
    </row>
    <row r="51" spans="2:37" x14ac:dyDescent="0.3">
      <c r="C51" s="750" t="s">
        <v>352</v>
      </c>
      <c r="D51" s="752"/>
      <c r="E51" s="752"/>
      <c r="F51" s="752"/>
      <c r="G51" s="752"/>
      <c r="H51" s="752"/>
      <c r="I51" s="1817">
        <f>Opex_FO!AC185</f>
        <v>0</v>
      </c>
      <c r="J51" s="1817">
        <f>Opex_FO!AD185</f>
        <v>0</v>
      </c>
      <c r="K51" s="1817">
        <f>Opex_FO!AE185</f>
        <v>0</v>
      </c>
      <c r="L51" s="1817">
        <f>Opex_FO!AF185</f>
        <v>0</v>
      </c>
      <c r="M51" s="1817">
        <f>Opex_FO!AG185</f>
        <v>0</v>
      </c>
      <c r="N51" s="1817">
        <f>Opex_FO!AH185</f>
        <v>0</v>
      </c>
      <c r="O51" s="1817">
        <f>Opex_FO!AI185</f>
        <v>0</v>
      </c>
      <c r="P51" s="1817">
        <f>Opex_FO!AJ185</f>
        <v>0</v>
      </c>
      <c r="Q51" s="1817">
        <f>Opex_FO!AK185</f>
        <v>0</v>
      </c>
      <c r="R51" s="1817">
        <f>Opex_FO!AL185</f>
        <v>0</v>
      </c>
      <c r="S51" s="774"/>
      <c r="T51" s="774"/>
      <c r="U51" s="774"/>
      <c r="V51" s="774"/>
      <c r="W51" s="774"/>
      <c r="Z51" s="767" t="s">
        <v>516</v>
      </c>
      <c r="AA51" s="1817">
        <f>SUMIFS('Capex_FO input'!Q$42:Q$356,'Capex_FO input'!$H$42:$H$356,$Z51,'Capex_FO input'!$E$42:$E$356,$AK$25)</f>
        <v>11.088699999999999</v>
      </c>
      <c r="AB51" s="1817">
        <f>SUMIFS('Capex_FO input'!R$42:R$356,'Capex_FO input'!$H$42:$H$356,$Z51,'Capex_FO input'!$E$42:$E$356,$AK$25)</f>
        <v>10.473499999999996</v>
      </c>
      <c r="AC51" s="1817">
        <f>SUMIFS('Capex_FO input'!S$42:S$356,'Capex_FO input'!$H$42:$H$356,$Z51,'Capex_FO input'!$E$42:$E$356,$AK$25)</f>
        <v>14.061500000000001</v>
      </c>
      <c r="AD51" s="1817">
        <f>SUMIFS('Capex_FO input'!T$42:T$356,'Capex_FO input'!$H$42:$H$356,$Z51,'Capex_FO input'!$E$42:$E$356,$AK$25)</f>
        <v>17.154500000000006</v>
      </c>
      <c r="AE51" s="1817">
        <f>SUMIFS('Capex_FO input'!U$42:U$356,'Capex_FO input'!$H$42:$H$356,$Z51,'Capex_FO input'!$E$42:$E$356,$AK$25)</f>
        <v>22.145500000000006</v>
      </c>
      <c r="AF51" s="1817">
        <f>SUMIFS('Capex_FO input'!V$42:V$356,'Capex_FO input'!$H$42:$H$356,$Z51,'Capex_FO input'!$E$42:$E$356,$AK$25)</f>
        <v>46.687000000000005</v>
      </c>
      <c r="AG51" s="1817">
        <f>SUMIFS('Capex_FO input'!W$42:W$356,'Capex_FO input'!$H$42:$H$356,$Z51,'Capex_FO input'!$E$42:$E$356,$AK$25)</f>
        <v>43.062000000000005</v>
      </c>
      <c r="AH51" s="1817">
        <f>SUMIFS('Capex_FO input'!X$42:X$356,'Capex_FO input'!$H$42:$H$356,$Z51,'Capex_FO input'!$E$42:$E$356,$AK$25)</f>
        <v>34.107000000000006</v>
      </c>
      <c r="AI51" s="1817">
        <f>SUMIFS('Capex_FO input'!Y$42:Y$356,'Capex_FO input'!$H$42:$H$356,$Z51,'Capex_FO input'!$E$42:$E$356,$AK$25)</f>
        <v>29.777000000000001</v>
      </c>
      <c r="AJ51" s="1817">
        <f>SUMIFS('Capex_FO input'!Z$42:Z$356,'Capex_FO input'!$H$42:$H$356,$Z51,'Capex_FO input'!$E$42:$E$356,$AK$25)</f>
        <v>40.857000000000006</v>
      </c>
    </row>
    <row r="52" spans="2:37" x14ac:dyDescent="0.3">
      <c r="C52" s="750" t="s">
        <v>354</v>
      </c>
      <c r="D52" s="752"/>
      <c r="E52" s="752"/>
      <c r="F52" s="752"/>
      <c r="G52" s="752"/>
      <c r="H52" s="752"/>
      <c r="I52" s="1817">
        <f>Opex_FO!AC186</f>
        <v>0</v>
      </c>
      <c r="J52" s="1817">
        <f>Opex_FO!AD186</f>
        <v>0</v>
      </c>
      <c r="K52" s="1817">
        <f>Opex_FO!AE186</f>
        <v>0</v>
      </c>
      <c r="L52" s="1817">
        <f>Opex_FO!AF186</f>
        <v>0</v>
      </c>
      <c r="M52" s="1817">
        <f>Opex_FO!AG186</f>
        <v>0</v>
      </c>
      <c r="N52" s="1817">
        <f>Opex_FO!AH186</f>
        <v>0</v>
      </c>
      <c r="O52" s="1817">
        <f>Opex_FO!AI186</f>
        <v>0</v>
      </c>
      <c r="P52" s="1817">
        <f>Opex_FO!AJ186</f>
        <v>0</v>
      </c>
      <c r="Q52" s="1817">
        <f>Opex_FO!AK186</f>
        <v>0</v>
      </c>
      <c r="R52" s="1817">
        <f>Opex_FO!AL186</f>
        <v>0</v>
      </c>
      <c r="S52" s="774"/>
      <c r="T52" s="774"/>
      <c r="U52" s="774"/>
      <c r="V52" s="774"/>
      <c r="W52" s="774"/>
      <c r="Z52" s="763" t="s">
        <v>517</v>
      </c>
      <c r="AA52" s="1817">
        <f>SUMIFS('Capex_FO input'!Q$42:Q$356,'Capex_FO input'!$H$42:$H$356,$Z52,'Capex_FO input'!$E$42:$E$356,$AK$25)</f>
        <v>0</v>
      </c>
      <c r="AB52" s="1817">
        <f>SUMIFS('Capex_FO input'!R$42:R$356,'Capex_FO input'!$H$42:$H$356,$Z52,'Capex_FO input'!$E$42:$E$356,$AK$25)</f>
        <v>0</v>
      </c>
      <c r="AC52" s="1817">
        <f>SUMIFS('Capex_FO input'!S$42:S$356,'Capex_FO input'!$H$42:$H$356,$Z52,'Capex_FO input'!$E$42:$E$356,$AK$25)</f>
        <v>0</v>
      </c>
      <c r="AD52" s="1817">
        <f>SUMIFS('Capex_FO input'!T$42:T$356,'Capex_FO input'!$H$42:$H$356,$Z52,'Capex_FO input'!$E$42:$E$356,$AK$25)</f>
        <v>0</v>
      </c>
      <c r="AE52" s="1817">
        <f>SUMIFS('Capex_FO input'!U$42:U$356,'Capex_FO input'!$H$42:$H$356,$Z52,'Capex_FO input'!$E$42:$E$356,$AK$25)</f>
        <v>0</v>
      </c>
      <c r="AF52" s="1817">
        <f>SUMIFS('Capex_FO input'!V$42:V$356,'Capex_FO input'!$H$42:$H$356,$Z52,'Capex_FO input'!$E$42:$E$356,$AK$25)</f>
        <v>0</v>
      </c>
      <c r="AG52" s="1817">
        <f>SUMIFS('Capex_FO input'!W$42:W$356,'Capex_FO input'!$H$42:$H$356,$Z52,'Capex_FO input'!$E$42:$E$356,$AK$25)</f>
        <v>0</v>
      </c>
      <c r="AH52" s="1817">
        <f>SUMIFS('Capex_FO input'!X$42:X$356,'Capex_FO input'!$H$42:$H$356,$Z52,'Capex_FO input'!$E$42:$E$356,$AK$25)</f>
        <v>0</v>
      </c>
      <c r="AI52" s="1817">
        <f>SUMIFS('Capex_FO input'!Y$42:Y$356,'Capex_FO input'!$H$42:$H$356,$Z52,'Capex_FO input'!$E$42:$E$356,$AK$25)</f>
        <v>0</v>
      </c>
      <c r="AJ52" s="1817">
        <f>SUMIFS('Capex_FO input'!Z$42:Z$356,'Capex_FO input'!$H$42:$H$356,$Z52,'Capex_FO input'!$E$42:$E$356,$AK$25)</f>
        <v>0</v>
      </c>
    </row>
    <row r="53" spans="2:37" x14ac:dyDescent="0.3">
      <c r="C53" s="749" t="s">
        <v>577</v>
      </c>
      <c r="D53" s="755"/>
      <c r="E53" s="755"/>
      <c r="F53" s="755"/>
      <c r="G53" s="755"/>
      <c r="H53" s="755"/>
      <c r="I53" s="1821">
        <f t="shared" ref="I53:M53" si="15">SUM(I48:I52)</f>
        <v>0</v>
      </c>
      <c r="J53" s="1821">
        <f t="shared" si="15"/>
        <v>0</v>
      </c>
      <c r="K53" s="1821">
        <f t="shared" si="15"/>
        <v>0</v>
      </c>
      <c r="L53" s="1821">
        <f t="shared" si="15"/>
        <v>0</v>
      </c>
      <c r="M53" s="1821">
        <f t="shared" si="15"/>
        <v>0</v>
      </c>
      <c r="N53" s="1821">
        <f t="shared" ref="N53:R53" si="16">SUM(N48:N52)</f>
        <v>0</v>
      </c>
      <c r="O53" s="1821">
        <f t="shared" si="16"/>
        <v>0</v>
      </c>
      <c r="P53" s="1821">
        <f t="shared" si="16"/>
        <v>0</v>
      </c>
      <c r="Q53" s="1821">
        <f t="shared" si="16"/>
        <v>0</v>
      </c>
      <c r="R53" s="1821">
        <f t="shared" si="16"/>
        <v>0</v>
      </c>
      <c r="S53" s="774"/>
      <c r="T53" s="774"/>
      <c r="U53" s="774"/>
      <c r="V53" s="774"/>
      <c r="W53" s="774"/>
      <c r="Z53" s="769" t="s">
        <v>513</v>
      </c>
      <c r="AA53" s="1821">
        <f t="shared" ref="AA53:AE53" si="17">SUM(AA49:AA52)</f>
        <v>24.918699999999998</v>
      </c>
      <c r="AB53" s="1821">
        <f t="shared" si="17"/>
        <v>36.073499999999996</v>
      </c>
      <c r="AC53" s="1821">
        <f t="shared" si="17"/>
        <v>36.361499999999999</v>
      </c>
      <c r="AD53" s="1821">
        <f t="shared" si="17"/>
        <v>23.079500000000007</v>
      </c>
      <c r="AE53" s="1821">
        <f t="shared" si="17"/>
        <v>25.545500000000004</v>
      </c>
      <c r="AF53" s="1821">
        <f t="shared" ref="AF53:AJ53" si="18">SUM(AF49:AF52)</f>
        <v>56.987000000000009</v>
      </c>
      <c r="AG53" s="1821">
        <f t="shared" si="18"/>
        <v>46.062000000000005</v>
      </c>
      <c r="AH53" s="1821">
        <f t="shared" si="18"/>
        <v>34.107000000000006</v>
      </c>
      <c r="AI53" s="1821">
        <f t="shared" si="18"/>
        <v>29.777000000000001</v>
      </c>
      <c r="AJ53" s="1821">
        <f t="shared" si="18"/>
        <v>40.857000000000006</v>
      </c>
    </row>
    <row r="54" spans="2:37" x14ac:dyDescent="0.3">
      <c r="C54" s="750"/>
      <c r="D54" s="768"/>
      <c r="E54" s="768"/>
      <c r="F54" s="768"/>
      <c r="G54" s="768"/>
      <c r="H54" s="768"/>
      <c r="I54" s="768"/>
      <c r="J54" s="768"/>
      <c r="K54" s="768"/>
      <c r="L54" s="768"/>
      <c r="M54" s="768"/>
      <c r="N54" s="768"/>
      <c r="S54" s="774"/>
      <c r="T54" s="774"/>
      <c r="U54" s="774"/>
      <c r="V54" s="774"/>
      <c r="W54" s="774"/>
    </row>
    <row r="55" spans="2:37" x14ac:dyDescent="0.3">
      <c r="B55" s="749" t="s">
        <v>745</v>
      </c>
      <c r="C55" s="750"/>
      <c r="D55" s="770"/>
      <c r="E55" s="770"/>
      <c r="F55" s="770"/>
      <c r="G55" s="751" t="s">
        <v>361</v>
      </c>
      <c r="H55" s="751" t="s">
        <v>362</v>
      </c>
      <c r="I55" s="751" t="s">
        <v>520</v>
      </c>
      <c r="J55" s="751" t="s">
        <v>521</v>
      </c>
      <c r="K55" s="751" t="s">
        <v>522</v>
      </c>
      <c r="L55" s="751" t="s">
        <v>523</v>
      </c>
      <c r="M55" s="751" t="s">
        <v>524</v>
      </c>
      <c r="N55" s="751" t="s">
        <v>920</v>
      </c>
      <c r="O55" s="751" t="s">
        <v>921</v>
      </c>
      <c r="P55" s="751" t="s">
        <v>922</v>
      </c>
      <c r="Q55" s="751" t="s">
        <v>923</v>
      </c>
      <c r="R55" s="751" t="s">
        <v>924</v>
      </c>
      <c r="S55" s="774"/>
      <c r="T55" s="774"/>
      <c r="U55" s="774"/>
      <c r="V55" s="774"/>
      <c r="W55" s="774"/>
      <c r="Y55" s="749" t="s">
        <v>746</v>
      </c>
      <c r="AA55" s="751" t="s">
        <v>520</v>
      </c>
      <c r="AB55" s="751" t="s">
        <v>521</v>
      </c>
      <c r="AC55" s="751" t="s">
        <v>522</v>
      </c>
      <c r="AD55" s="751" t="s">
        <v>523</v>
      </c>
      <c r="AE55" s="751" t="s">
        <v>524</v>
      </c>
      <c r="AF55" s="751" t="s">
        <v>920</v>
      </c>
      <c r="AG55" s="751" t="s">
        <v>921</v>
      </c>
      <c r="AH55" s="751" t="s">
        <v>922</v>
      </c>
      <c r="AI55" s="751" t="s">
        <v>923</v>
      </c>
      <c r="AJ55" s="751" t="s">
        <v>924</v>
      </c>
    </row>
    <row r="56" spans="2:37" x14ac:dyDescent="0.3">
      <c r="C56" s="750" t="s">
        <v>392</v>
      </c>
      <c r="D56" s="752"/>
      <c r="E56" s="752"/>
      <c r="F56" s="752"/>
      <c r="G56" s="1817">
        <f>Opex_FO!AA191</f>
        <v>0</v>
      </c>
      <c r="H56" s="1817">
        <f>Opex_FO!AB191</f>
        <v>0</v>
      </c>
      <c r="I56" s="1817">
        <f>Opex_FO!AC191</f>
        <v>0.64764458258572433</v>
      </c>
      <c r="J56" s="1817">
        <f>Opex_FO!AD191</f>
        <v>0.65818373544172548</v>
      </c>
      <c r="K56" s="1817">
        <f>Opex_FO!AE191</f>
        <v>0.67129085321641702</v>
      </c>
      <c r="L56" s="1817">
        <f>Opex_FO!AF191</f>
        <v>0.6754975289275913</v>
      </c>
      <c r="M56" s="1817">
        <f>Opex_FO!AG191</f>
        <v>0.68629202214934182</v>
      </c>
      <c r="N56" s="1817">
        <f>Opex_FO!AH191</f>
        <v>0.67411240375302706</v>
      </c>
      <c r="O56" s="1817">
        <f>Opex_FO!AI191</f>
        <v>0.68215706517938446</v>
      </c>
      <c r="P56" s="1817">
        <f>Opex_FO!AJ191</f>
        <v>0.69029819230124045</v>
      </c>
      <c r="Q56" s="1817">
        <f>Opex_FO!AK191</f>
        <v>0.69853694397551813</v>
      </c>
      <c r="R56" s="1817">
        <f>Opex_FO!AL191</f>
        <v>0.70687449311089889</v>
      </c>
      <c r="S56" s="774"/>
      <c r="T56" s="774"/>
      <c r="U56" s="774"/>
      <c r="V56" s="774"/>
      <c r="W56" s="774"/>
      <c r="Z56" s="763" t="s">
        <v>514</v>
      </c>
      <c r="AA56" s="1817">
        <f>SUMIFS('Capex_FO input'!Q$42:Q$356,'Capex_FO input'!$H$42:$H$356,$Z56,'Capex_FO input'!$E$42:$E$356,$AK$33)</f>
        <v>11.84</v>
      </c>
      <c r="AB56" s="1817">
        <f>SUMIFS('Capex_FO input'!R$42:R$356,'Capex_FO input'!$H$42:$H$356,$Z56,'Capex_FO input'!$E$42:$E$356,$AK$33)</f>
        <v>0.6</v>
      </c>
      <c r="AC56" s="1817">
        <f>SUMIFS('Capex_FO input'!S$42:S$356,'Capex_FO input'!$H$42:$H$356,$Z56,'Capex_FO input'!$E$42:$E$356,$AK$33)</f>
        <v>3.2</v>
      </c>
      <c r="AD56" s="1817">
        <f>SUMIFS('Capex_FO input'!T$42:T$356,'Capex_FO input'!$H$42:$H$356,$Z56,'Capex_FO input'!$E$42:$E$356,$AK$33)</f>
        <v>10.23</v>
      </c>
      <c r="AE56" s="1817">
        <f>SUMIFS('Capex_FO input'!U$42:U$356,'Capex_FO input'!$H$42:$H$356,$Z56,'Capex_FO input'!$E$42:$E$356,$AK$33)</f>
        <v>9.8000000000000007</v>
      </c>
      <c r="AF56" s="1817">
        <f>SUMIFS('Capex_FO input'!V$42:V$356,'Capex_FO input'!$H$42:$H$356,$Z56,'Capex_FO input'!$E$42:$E$356,$AK$33)</f>
        <v>2.1</v>
      </c>
      <c r="AG56" s="1817">
        <f>SUMIFS('Capex_FO input'!W$42:W$356,'Capex_FO input'!$H$42:$H$356,$Z56,'Capex_FO input'!$E$42:$E$356,$AK$33)</f>
        <v>10</v>
      </c>
      <c r="AH56" s="1817">
        <f>SUMIFS('Capex_FO input'!X$42:X$356,'Capex_FO input'!$H$42:$H$356,$Z56,'Capex_FO input'!$E$42:$E$356,$AK$33)</f>
        <v>4</v>
      </c>
      <c r="AI56" s="1817">
        <f>SUMIFS('Capex_FO input'!Y$42:Y$356,'Capex_FO input'!$H$42:$H$356,$Z56,'Capex_FO input'!$E$42:$E$356,$AK$33)</f>
        <v>0</v>
      </c>
      <c r="AJ56" s="1817">
        <f>SUMIFS('Capex_FO input'!Z$42:Z$356,'Capex_FO input'!$H$42:$H$356,$Z56,'Capex_FO input'!$E$42:$E$356,$AK$33)</f>
        <v>0</v>
      </c>
    </row>
    <row r="57" spans="2:37" x14ac:dyDescent="0.3">
      <c r="C57" s="750" t="s">
        <v>390</v>
      </c>
      <c r="D57" s="752"/>
      <c r="E57" s="752"/>
      <c r="F57" s="752"/>
      <c r="G57" s="1817">
        <f>Opex_FO!AA192</f>
        <v>0</v>
      </c>
      <c r="H57" s="1817">
        <f>Opex_FO!AB192</f>
        <v>0</v>
      </c>
      <c r="I57" s="1817">
        <f>Opex_FO!AC192</f>
        <v>0</v>
      </c>
      <c r="J57" s="1817">
        <f>Opex_FO!AD192</f>
        <v>0</v>
      </c>
      <c r="K57" s="1817">
        <f>Opex_FO!AE192</f>
        <v>0</v>
      </c>
      <c r="L57" s="1817">
        <f>Opex_FO!AF192</f>
        <v>0</v>
      </c>
      <c r="M57" s="1817">
        <f>Opex_FO!AG192</f>
        <v>0</v>
      </c>
      <c r="N57" s="1817">
        <f>Opex_FO!AH192</f>
        <v>0</v>
      </c>
      <c r="O57" s="1817">
        <f>Opex_FO!AI192</f>
        <v>0</v>
      </c>
      <c r="P57" s="1817">
        <f>Opex_FO!AJ192</f>
        <v>0</v>
      </c>
      <c r="Q57" s="1817">
        <f>Opex_FO!AK192</f>
        <v>0</v>
      </c>
      <c r="R57" s="1817">
        <f>Opex_FO!AL192</f>
        <v>0</v>
      </c>
      <c r="S57" s="774"/>
      <c r="T57" s="774"/>
      <c r="U57" s="774"/>
      <c r="V57" s="774"/>
      <c r="W57" s="774"/>
      <c r="Z57" s="763" t="s">
        <v>515</v>
      </c>
      <c r="AA57" s="1817">
        <f>SUMIFS('Capex_FO input'!Q$42:Q$356,'Capex_FO input'!$H$42:$H$356,$Z57,'Capex_FO input'!$E$42:$E$356,$AK$33)</f>
        <v>0</v>
      </c>
      <c r="AB57" s="1817">
        <f>SUMIFS('Capex_FO input'!R$42:R$356,'Capex_FO input'!$H$42:$H$356,$Z57,'Capex_FO input'!$E$42:$E$356,$AK$33)</f>
        <v>0</v>
      </c>
      <c r="AC57" s="1817">
        <f>SUMIFS('Capex_FO input'!S$42:S$356,'Capex_FO input'!$H$42:$H$356,$Z57,'Capex_FO input'!$E$42:$E$356,$AK$33)</f>
        <v>0</v>
      </c>
      <c r="AD57" s="1817">
        <f>SUMIFS('Capex_FO input'!T$42:T$356,'Capex_FO input'!$H$42:$H$356,$Z57,'Capex_FO input'!$E$42:$E$356,$AK$33)</f>
        <v>0</v>
      </c>
      <c r="AE57" s="1817">
        <f>SUMIFS('Capex_FO input'!U$42:U$356,'Capex_FO input'!$H$42:$H$356,$Z57,'Capex_FO input'!$E$42:$E$356,$AK$33)</f>
        <v>0</v>
      </c>
      <c r="AF57" s="1817">
        <f>SUMIFS('Capex_FO input'!V$42:V$356,'Capex_FO input'!$H$42:$H$356,$Z57,'Capex_FO input'!$E$42:$E$356,$AK$33)</f>
        <v>0</v>
      </c>
      <c r="AG57" s="1817">
        <f>SUMIFS('Capex_FO input'!W$42:W$356,'Capex_FO input'!$H$42:$H$356,$Z57,'Capex_FO input'!$E$42:$E$356,$AK$33)</f>
        <v>0</v>
      </c>
      <c r="AH57" s="1817">
        <f>SUMIFS('Capex_FO input'!X$42:X$356,'Capex_FO input'!$H$42:$H$356,$Z57,'Capex_FO input'!$E$42:$E$356,$AK$33)</f>
        <v>0</v>
      </c>
      <c r="AI57" s="1817">
        <f>SUMIFS('Capex_FO input'!Y$42:Y$356,'Capex_FO input'!$H$42:$H$356,$Z57,'Capex_FO input'!$E$42:$E$356,$AK$33)</f>
        <v>0</v>
      </c>
      <c r="AJ57" s="1817">
        <f>SUMIFS('Capex_FO input'!Z$42:Z$356,'Capex_FO input'!$H$42:$H$356,$Z57,'Capex_FO input'!$E$42:$E$356,$AK$33)</f>
        <v>0</v>
      </c>
    </row>
    <row r="58" spans="2:37" x14ac:dyDescent="0.3">
      <c r="C58" s="750" t="s">
        <v>747</v>
      </c>
      <c r="D58" s="752"/>
      <c r="E58" s="752"/>
      <c r="F58" s="752"/>
      <c r="G58" s="1817">
        <f>Opex_FO!AA193</f>
        <v>0</v>
      </c>
      <c r="H58" s="1817">
        <f>Opex_FO!AB193</f>
        <v>0</v>
      </c>
      <c r="I58" s="1817">
        <f>Opex_FO!AC193</f>
        <v>0.35442249883575022</v>
      </c>
      <c r="J58" s="1817">
        <f>Opex_FO!AD193</f>
        <v>0.36019080066040599</v>
      </c>
      <c r="K58" s="1817">
        <f>Opex_FO!AE193</f>
        <v>0.36736402074742946</v>
      </c>
      <c r="L58" s="1817">
        <f>Opex_FO!AF193</f>
        <v>0.36966585718153994</v>
      </c>
      <c r="M58" s="1817">
        <f>Opex_FO!AG193</f>
        <v>0.37557331513767733</v>
      </c>
      <c r="N58" s="1817">
        <f>Opex_FO!AH193</f>
        <v>0.36890669447750407</v>
      </c>
      <c r="O58" s="1817">
        <f>Opex_FO!AI193</f>
        <v>0.37330913667686016</v>
      </c>
      <c r="P58" s="1817">
        <f>Opex_FO!AJ193</f>
        <v>0.37776437047015476</v>
      </c>
      <c r="Q58" s="1817">
        <f>Opex_FO!AK193</f>
        <v>0.38227303013224134</v>
      </c>
      <c r="R58" s="1817">
        <f>Opex_FO!AL193</f>
        <v>0.38683575762349243</v>
      </c>
      <c r="S58" s="774"/>
      <c r="T58" s="774"/>
      <c r="U58" s="774"/>
      <c r="V58" s="774"/>
      <c r="W58" s="774"/>
      <c r="Z58" s="767" t="s">
        <v>516</v>
      </c>
      <c r="AA58" s="1817">
        <f>SUMIFS('Capex_FO input'!Q$42:Q$356,'Capex_FO input'!$H$42:$H$356,$Z58,'Capex_FO input'!$E$42:$E$356,$AK$33)</f>
        <v>6.62</v>
      </c>
      <c r="AB58" s="1817">
        <f>SUMIFS('Capex_FO input'!R$42:R$356,'Capex_FO input'!$H$42:$H$356,$Z58,'Capex_FO input'!$E$42:$E$356,$AK$33)</f>
        <v>7.8649999999999984</v>
      </c>
      <c r="AC58" s="1817">
        <f>SUMIFS('Capex_FO input'!S$42:S$356,'Capex_FO input'!$H$42:$H$356,$Z58,'Capex_FO input'!$E$42:$E$356,$AK$33)</f>
        <v>8.84</v>
      </c>
      <c r="AD58" s="1817">
        <f>SUMIFS('Capex_FO input'!T$42:T$356,'Capex_FO input'!$H$42:$H$356,$Z58,'Capex_FO input'!$E$42:$E$356,$AK$33)</f>
        <v>16.645000000000003</v>
      </c>
      <c r="AE58" s="1817">
        <f>SUMIFS('Capex_FO input'!U$42:U$356,'Capex_FO input'!$H$42:$H$356,$Z58,'Capex_FO input'!$E$42:$E$356,$AK$33)</f>
        <v>20.385000000000002</v>
      </c>
      <c r="AF58" s="1817">
        <f>SUMIFS('Capex_FO input'!V$42:V$356,'Capex_FO input'!$H$42:$H$356,$Z58,'Capex_FO input'!$E$42:$E$356,$AK$33)</f>
        <v>35.080000000000005</v>
      </c>
      <c r="AG58" s="1817">
        <f>SUMIFS('Capex_FO input'!W$42:W$356,'Capex_FO input'!$H$42:$H$356,$Z58,'Capex_FO input'!$E$42:$E$356,$AK$33)</f>
        <v>36.505000000000003</v>
      </c>
      <c r="AH58" s="1817">
        <f>SUMIFS('Capex_FO input'!X$42:X$356,'Capex_FO input'!$H$42:$H$356,$Z58,'Capex_FO input'!$E$42:$E$356,$AK$33)</f>
        <v>27.430000000000003</v>
      </c>
      <c r="AI58" s="1817">
        <f>SUMIFS('Capex_FO input'!Y$42:Y$356,'Capex_FO input'!$H$42:$H$356,$Z58,'Capex_FO input'!$E$42:$E$356,$AK$33)</f>
        <v>22.705000000000005</v>
      </c>
      <c r="AJ58" s="1817">
        <f>SUMIFS('Capex_FO input'!Z$42:Z$356,'Capex_FO input'!$H$42:$H$356,$Z58,'Capex_FO input'!$E$42:$E$356,$AK$33)</f>
        <v>23.435000000000002</v>
      </c>
    </row>
    <row r="59" spans="2:37" x14ac:dyDescent="0.3">
      <c r="C59" s="750" t="s">
        <v>748</v>
      </c>
      <c r="D59" s="752"/>
      <c r="E59" s="752"/>
      <c r="F59" s="752"/>
      <c r="G59" s="1817">
        <f>Opex_FO!AA194</f>
        <v>0</v>
      </c>
      <c r="H59" s="1817">
        <f>Opex_FO!AB194</f>
        <v>0</v>
      </c>
      <c r="I59" s="1817">
        <f>Opex_FO!AC194</f>
        <v>4.9298525622029192</v>
      </c>
      <c r="J59" s="1817">
        <f>Opex_FO!AD194</f>
        <v>6.0635470838900023</v>
      </c>
      <c r="K59" s="1817">
        <f>Opex_FO!AE194</f>
        <v>5.9943256942346048</v>
      </c>
      <c r="L59" s="1817">
        <f>Opex_FO!AF194</f>
        <v>5.8470993091826529</v>
      </c>
      <c r="M59" s="1817">
        <f>Opex_FO!AG194</f>
        <v>5.758205922343576</v>
      </c>
      <c r="N59" s="1817">
        <f>Opex_FO!AH194</f>
        <v>5.4834433379296588</v>
      </c>
      <c r="O59" s="1817">
        <f>Opex_FO!AI194</f>
        <v>5.3786502461400234</v>
      </c>
      <c r="P59" s="1817">
        <f>Opex_FO!AJ194</f>
        <v>5.2758621872193761</v>
      </c>
      <c r="Q59" s="1817">
        <f>Opex_FO!AK194</f>
        <v>5.175040631398665</v>
      </c>
      <c r="R59" s="1817">
        <f>Opex_FO!AL194</f>
        <v>5.0761478083583222</v>
      </c>
      <c r="S59" s="774"/>
      <c r="T59" s="774"/>
      <c r="U59" s="774"/>
      <c r="V59" s="774"/>
      <c r="W59" s="774"/>
      <c r="Z59" s="763" t="s">
        <v>517</v>
      </c>
      <c r="AA59" s="1817">
        <f>SUMIFS('Capex_FO input'!Q$42:Q$356,'Capex_FO input'!$H$42:$H$356,$Z59,'Capex_FO input'!$E$42:$E$356,$AK$33)</f>
        <v>0</v>
      </c>
      <c r="AB59" s="1817">
        <f>SUMIFS('Capex_FO input'!R$42:R$356,'Capex_FO input'!$H$42:$H$356,$Z59,'Capex_FO input'!$E$42:$E$356,$AK$33)</f>
        <v>0</v>
      </c>
      <c r="AC59" s="1817">
        <f>SUMIFS('Capex_FO input'!S$42:S$356,'Capex_FO input'!$H$42:$H$356,$Z59,'Capex_FO input'!$E$42:$E$356,$AK$33)</f>
        <v>0</v>
      </c>
      <c r="AD59" s="1817">
        <f>SUMIFS('Capex_FO input'!T$42:T$356,'Capex_FO input'!$H$42:$H$356,$Z59,'Capex_FO input'!$E$42:$E$356,$AK$33)</f>
        <v>0</v>
      </c>
      <c r="AE59" s="1817">
        <f>SUMIFS('Capex_FO input'!U$42:U$356,'Capex_FO input'!$H$42:$H$356,$Z59,'Capex_FO input'!$E$42:$E$356,$AK$33)</f>
        <v>0</v>
      </c>
      <c r="AF59" s="1817">
        <f>SUMIFS('Capex_FO input'!V$42:V$356,'Capex_FO input'!$H$42:$H$356,$Z59,'Capex_FO input'!$E$42:$E$356,$AK$33)</f>
        <v>0</v>
      </c>
      <c r="AG59" s="1817">
        <f>SUMIFS('Capex_FO input'!W$42:W$356,'Capex_FO input'!$H$42:$H$356,$Z59,'Capex_FO input'!$E$42:$E$356,$AK$33)</f>
        <v>0</v>
      </c>
      <c r="AH59" s="1817">
        <f>SUMIFS('Capex_FO input'!X$42:X$356,'Capex_FO input'!$H$42:$H$356,$Z59,'Capex_FO input'!$E$42:$E$356,$AK$33)</f>
        <v>0</v>
      </c>
      <c r="AI59" s="1817">
        <f>SUMIFS('Capex_FO input'!Y$42:Y$356,'Capex_FO input'!$H$42:$H$356,$Z59,'Capex_FO input'!$E$42:$E$356,$AK$33)</f>
        <v>0</v>
      </c>
      <c r="AJ59" s="1817">
        <f>SUMIFS('Capex_FO input'!Z$42:Z$356,'Capex_FO input'!$H$42:$H$356,$Z59,'Capex_FO input'!$E$42:$E$356,$AK$33)</f>
        <v>0</v>
      </c>
    </row>
    <row r="60" spans="2:37" x14ac:dyDescent="0.3">
      <c r="C60" s="750" t="s">
        <v>480</v>
      </c>
      <c r="D60" s="752"/>
      <c r="E60" s="752"/>
      <c r="F60" s="752"/>
      <c r="G60" s="1817">
        <f>Opex_FO!AA195</f>
        <v>0</v>
      </c>
      <c r="H60" s="1817">
        <f>Opex_FO!AB195</f>
        <v>0</v>
      </c>
      <c r="I60" s="1817">
        <f>Opex_FO!AC195</f>
        <v>0.15972376106989561</v>
      </c>
      <c r="J60" s="1817">
        <f>Opex_FO!AD195</f>
        <v>0.1623221771028128</v>
      </c>
      <c r="K60" s="1817">
        <f>Opex_FO!AE195</f>
        <v>0.16555432402893766</v>
      </c>
      <c r="L60" s="1817">
        <f>Opex_FO!AF195</f>
        <v>0.16659204234519615</v>
      </c>
      <c r="M60" s="1817">
        <f>Opex_FO!AG195</f>
        <v>0.16925402679043447</v>
      </c>
      <c r="N60" s="1817">
        <f>Opex_FO!AH195</f>
        <v>0.16625158013638497</v>
      </c>
      <c r="O60" s="1817">
        <f>Opex_FO!AI195</f>
        <v>0.16823556764704767</v>
      </c>
      <c r="P60" s="1817">
        <f>Opex_FO!AJ195</f>
        <v>0.17024334660656296</v>
      </c>
      <c r="Q60" s="1817">
        <f>Opex_FO!AK195</f>
        <v>0.17227520276183914</v>
      </c>
      <c r="R60" s="1817">
        <f>Opex_FO!AL195</f>
        <v>0.17433142532597889</v>
      </c>
      <c r="S60" s="774"/>
      <c r="T60" s="774"/>
      <c r="U60" s="774"/>
      <c r="V60" s="774"/>
      <c r="W60" s="774"/>
      <c r="Z60" s="769" t="s">
        <v>513</v>
      </c>
      <c r="AA60" s="1821">
        <f t="shared" ref="AA60:AE60" si="19">SUM(AA56:AA59)</f>
        <v>18.46</v>
      </c>
      <c r="AB60" s="1821">
        <f t="shared" si="19"/>
        <v>8.4649999999999981</v>
      </c>
      <c r="AC60" s="1821">
        <f t="shared" si="19"/>
        <v>12.04</v>
      </c>
      <c r="AD60" s="1821">
        <f t="shared" si="19"/>
        <v>26.875000000000004</v>
      </c>
      <c r="AE60" s="1821">
        <f t="shared" si="19"/>
        <v>30.185000000000002</v>
      </c>
      <c r="AF60" s="1821">
        <f t="shared" ref="AF60:AJ60" si="20">SUM(AF56:AF59)</f>
        <v>37.180000000000007</v>
      </c>
      <c r="AG60" s="1821">
        <f t="shared" si="20"/>
        <v>46.505000000000003</v>
      </c>
      <c r="AH60" s="1821">
        <f t="shared" si="20"/>
        <v>31.430000000000003</v>
      </c>
      <c r="AI60" s="1821">
        <f t="shared" si="20"/>
        <v>22.705000000000005</v>
      </c>
      <c r="AJ60" s="1821">
        <f t="shared" si="20"/>
        <v>23.435000000000002</v>
      </c>
    </row>
    <row r="61" spans="2:37" x14ac:dyDescent="0.3">
      <c r="C61" s="749" t="s">
        <v>481</v>
      </c>
      <c r="D61" s="755"/>
      <c r="E61" s="755"/>
      <c r="F61" s="755"/>
      <c r="G61" s="1821">
        <f t="shared" ref="G61:M61" si="21">SUM(G56:G60)</f>
        <v>0</v>
      </c>
      <c r="H61" s="1821">
        <f t="shared" si="21"/>
        <v>0</v>
      </c>
      <c r="I61" s="1821">
        <f t="shared" si="21"/>
        <v>6.0916434046942891</v>
      </c>
      <c r="J61" s="1821">
        <f t="shared" si="21"/>
        <v>7.2442437970949465</v>
      </c>
      <c r="K61" s="1821">
        <f t="shared" si="21"/>
        <v>7.1985348922273893</v>
      </c>
      <c r="L61" s="1821">
        <f t="shared" si="21"/>
        <v>7.0588547376369801</v>
      </c>
      <c r="M61" s="1821">
        <f t="shared" si="21"/>
        <v>6.9893252864210291</v>
      </c>
      <c r="N61" s="1821">
        <f t="shared" ref="N61:R61" si="22">SUM(N56:N60)</f>
        <v>6.6927140162965753</v>
      </c>
      <c r="O61" s="1821">
        <f t="shared" si="22"/>
        <v>6.6023520156433158</v>
      </c>
      <c r="P61" s="1821">
        <f t="shared" si="22"/>
        <v>6.5141680965973343</v>
      </c>
      <c r="Q61" s="1821">
        <f t="shared" si="22"/>
        <v>6.4281258082682635</v>
      </c>
      <c r="R61" s="1821">
        <f t="shared" si="22"/>
        <v>6.3441894844186919</v>
      </c>
      <c r="S61" s="774"/>
      <c r="T61" s="774"/>
      <c r="U61" s="774"/>
      <c r="V61" s="774"/>
      <c r="W61" s="774"/>
    </row>
    <row r="62" spans="2:37" x14ac:dyDescent="0.3">
      <c r="C62" s="750"/>
      <c r="D62" s="768"/>
      <c r="E62" s="768"/>
      <c r="F62" s="768"/>
      <c r="G62" s="768"/>
      <c r="H62" s="768"/>
      <c r="I62" s="768"/>
      <c r="J62" s="768"/>
      <c r="K62" s="768"/>
      <c r="L62" s="768"/>
      <c r="M62" s="768"/>
      <c r="N62" s="768"/>
      <c r="S62" s="774"/>
      <c r="T62" s="774"/>
      <c r="U62" s="774"/>
      <c r="V62" s="774"/>
      <c r="W62" s="774"/>
      <c r="Y62" s="749" t="s">
        <v>749</v>
      </c>
      <c r="AA62" s="751" t="s">
        <v>520</v>
      </c>
      <c r="AB62" s="751" t="s">
        <v>521</v>
      </c>
      <c r="AC62" s="751" t="s">
        <v>522</v>
      </c>
      <c r="AD62" s="751" t="s">
        <v>523</v>
      </c>
      <c r="AE62" s="751" t="s">
        <v>524</v>
      </c>
      <c r="AF62" s="751" t="s">
        <v>920</v>
      </c>
      <c r="AG62" s="751" t="s">
        <v>921</v>
      </c>
      <c r="AH62" s="751" t="s">
        <v>922</v>
      </c>
      <c r="AI62" s="751" t="s">
        <v>923</v>
      </c>
      <c r="AJ62" s="751" t="s">
        <v>924</v>
      </c>
      <c r="AK62" s="771"/>
    </row>
    <row r="63" spans="2:37" x14ac:dyDescent="0.3">
      <c r="B63" s="749" t="s">
        <v>750</v>
      </c>
      <c r="D63" s="751" t="s">
        <v>358</v>
      </c>
      <c r="E63" s="751" t="s">
        <v>359</v>
      </c>
      <c r="F63" s="751" t="s">
        <v>360</v>
      </c>
      <c r="G63" s="751" t="s">
        <v>361</v>
      </c>
      <c r="H63" s="751" t="s">
        <v>362</v>
      </c>
      <c r="I63" s="751" t="s">
        <v>520</v>
      </c>
      <c r="J63" s="751" t="s">
        <v>521</v>
      </c>
      <c r="K63" s="751" t="s">
        <v>522</v>
      </c>
      <c r="L63" s="751" t="s">
        <v>523</v>
      </c>
      <c r="M63" s="751" t="s">
        <v>524</v>
      </c>
      <c r="N63" s="751" t="s">
        <v>920</v>
      </c>
      <c r="O63" s="751" t="s">
        <v>921</v>
      </c>
      <c r="P63" s="751" t="s">
        <v>922</v>
      </c>
      <c r="Q63" s="751" t="s">
        <v>923</v>
      </c>
      <c r="R63" s="751" t="s">
        <v>924</v>
      </c>
      <c r="S63" s="774"/>
      <c r="T63" s="774"/>
      <c r="U63" s="774"/>
      <c r="V63" s="774"/>
      <c r="W63" s="774"/>
      <c r="Z63" s="750" t="s">
        <v>21</v>
      </c>
      <c r="AA63" s="1817">
        <f>SUMIFS('Capex_FO input'!Q$42:Q$497,'Capex_FO input'!$H$42:$H$497,$Z$58,'Capex_FO input'!$E$42:$E$497,$Z63) + SUMIFS('Capex_FO input'!Q$42:Q$497,'Capex_FO input'!$H$42:$H$497,$Z$59,'Capex_FO input'!$E$42:$E$497,$Z63)</f>
        <v>11.088699999999999</v>
      </c>
      <c r="AB63" s="1817">
        <f>SUMIFS('Capex_FO input'!R$42:R$497,'Capex_FO input'!$H$42:$H$497,$Z$58,'Capex_FO input'!$E$42:$E$497,$Z63) + SUMIFS('Capex_FO input'!R$42:R$497,'Capex_FO input'!$H$42:$H$497,$Z$59,'Capex_FO input'!$E$42:$E$497,$Z63)</f>
        <v>10.473499999999996</v>
      </c>
      <c r="AC63" s="1817">
        <f>SUMIFS('Capex_FO input'!S$42:S$497,'Capex_FO input'!$H$42:$H$497,$Z$58,'Capex_FO input'!$E$42:$E$497,$Z63) + SUMIFS('Capex_FO input'!S$42:S$497,'Capex_FO input'!$H$42:$H$497,$Z$59,'Capex_FO input'!$E$42:$E$497,$Z63)</f>
        <v>14.061500000000001</v>
      </c>
      <c r="AD63" s="1817">
        <f>SUMIFS('Capex_FO input'!T$42:T$497,'Capex_FO input'!$H$42:$H$497,$Z$58,'Capex_FO input'!$E$42:$E$497,$Z63) + SUMIFS('Capex_FO input'!T$42:T$497,'Capex_FO input'!$H$42:$H$497,$Z$59,'Capex_FO input'!$E$42:$E$497,$Z63)</f>
        <v>17.154500000000006</v>
      </c>
      <c r="AE63" s="1817">
        <f>SUMIFS('Capex_FO input'!U$42:U$497,'Capex_FO input'!$H$42:$H$497,$Z$58,'Capex_FO input'!$E$42:$E$497,$Z63) + SUMIFS('Capex_FO input'!U$42:U$497,'Capex_FO input'!$H$42:$H$497,$Z$59,'Capex_FO input'!$E$42:$E$497,$Z63)</f>
        <v>22.145500000000006</v>
      </c>
      <c r="AF63" s="1817">
        <f>SUMIFS('Capex_FO input'!V$42:V$497,'Capex_FO input'!$H$42:$H$497,$Z$58,'Capex_FO input'!$E$42:$E$497,$Z63) + SUMIFS('Capex_FO input'!V$42:V$497,'Capex_FO input'!$H$42:$H$497,$Z$59,'Capex_FO input'!$E$42:$E$497,$Z63)</f>
        <v>46.687000000000005</v>
      </c>
      <c r="AG63" s="1817">
        <f>SUMIFS('Capex_FO input'!W$42:W$497,'Capex_FO input'!$H$42:$H$497,$Z$58,'Capex_FO input'!$E$42:$E$497,$Z63) + SUMIFS('Capex_FO input'!W$42:W$497,'Capex_FO input'!$H$42:$H$497,$Z$59,'Capex_FO input'!$E$42:$E$497,$Z63)</f>
        <v>43.062000000000005</v>
      </c>
      <c r="AH63" s="1817">
        <f>SUMIFS('Capex_FO input'!X$42:X$497,'Capex_FO input'!$H$42:$H$497,$Z$58,'Capex_FO input'!$E$42:$E$497,$Z63) + SUMIFS('Capex_FO input'!X$42:X$497,'Capex_FO input'!$H$42:$H$497,$Z$59,'Capex_FO input'!$E$42:$E$497,$Z63)</f>
        <v>34.107000000000006</v>
      </c>
      <c r="AI63" s="1817">
        <f>SUMIFS('Capex_FO input'!Y$42:Y$497,'Capex_FO input'!$H$42:$H$497,$Z$58,'Capex_FO input'!$E$42:$E$497,$Z63) + SUMIFS('Capex_FO input'!Y$42:Y$497,'Capex_FO input'!$H$42:$H$497,$Z$59,'Capex_FO input'!$E$42:$E$497,$Z63)</f>
        <v>29.777000000000001</v>
      </c>
      <c r="AJ63" s="1817">
        <f>SUMIFS('Capex_FO input'!Z$42:Z$497,'Capex_FO input'!$H$42:$H$497,$Z$58,'Capex_FO input'!$E$42:$E$497,$Z63) + SUMIFS('Capex_FO input'!Z$42:Z$497,'Capex_FO input'!$H$42:$H$497,$Z$59,'Capex_FO input'!$E$42:$E$497,$Z63)</f>
        <v>40.857000000000006</v>
      </c>
    </row>
    <row r="64" spans="2:37" x14ac:dyDescent="0.3">
      <c r="C64" s="750" t="s">
        <v>751</v>
      </c>
      <c r="D64" s="1817">
        <f>Opex_Breakdown!X49</f>
        <v>10.278026638485548</v>
      </c>
      <c r="E64" s="1817">
        <f>Opex_Breakdown!Y49</f>
        <v>10.369462579065139</v>
      </c>
      <c r="F64" s="1817">
        <f>Opex_Breakdown!Z49</f>
        <v>10.605882504288166</v>
      </c>
      <c r="G64" s="1817">
        <f>Opex_Breakdown!AA49</f>
        <v>17.057957019115918</v>
      </c>
      <c r="H64" s="1817">
        <f>Opex_Breakdown!AB49</f>
        <v>17.228536589307076</v>
      </c>
      <c r="I64" s="1817">
        <f>Opex_Breakdown!AC49</f>
        <v>12.077137586897432</v>
      </c>
      <c r="J64" s="1817">
        <f>Opex_Breakdown!AD49</f>
        <v>12.278344635127704</v>
      </c>
      <c r="K64" s="1817">
        <f>Opex_Breakdown!AE49</f>
        <v>12.518127209863597</v>
      </c>
      <c r="L64" s="1817">
        <f>Opex_Breakdown!AF49</f>
        <v>12.596563459794087</v>
      </c>
      <c r="M64" s="1817">
        <f>Opex_Breakdown!AG49</f>
        <v>12.797863332573044</v>
      </c>
      <c r="N64" s="1817">
        <f>Opex_Breakdown!AH49</f>
        <v>12.570694264738913</v>
      </c>
      <c r="O64" s="1817">
        <f>Opex_Breakdown!AI49</f>
        <v>12.720709863589855</v>
      </c>
      <c r="P64" s="1817">
        <f>Opex_Breakdown!AJ49</f>
        <v>12.872524364776542</v>
      </c>
      <c r="Q64" s="1817">
        <f>Opex_Breakdown!AK49</f>
        <v>13.026159381581865</v>
      </c>
      <c r="R64" s="1817">
        <f>Opex_Breakdown!AL49</f>
        <v>13.181636789175993</v>
      </c>
      <c r="S64" s="774"/>
      <c r="T64" s="774"/>
      <c r="U64" s="774"/>
      <c r="V64" s="774"/>
      <c r="W64" s="774"/>
      <c r="Z64" s="750" t="s">
        <v>22</v>
      </c>
      <c r="AA64" s="1817">
        <f>SUMIFS('Capex_FO input'!Q$42:Q$497,'Capex_FO input'!$H$42:$H$497,$Z$58,'Capex_FO input'!$E$42:$E$497,$Z64) + SUMIFS('Capex_FO input'!Q$42:Q$497,'Capex_FO input'!$H$42:$H$497,$Z$59,'Capex_FO input'!$E$42:$E$497,$Z64)</f>
        <v>6.62</v>
      </c>
      <c r="AB64" s="1817">
        <f>SUMIFS('Capex_FO input'!R$42:R$497,'Capex_FO input'!$H$42:$H$497,$Z$58,'Capex_FO input'!$E$42:$E$497,$Z64) + SUMIFS('Capex_FO input'!R$42:R$497,'Capex_FO input'!$H$42:$H$497,$Z$59,'Capex_FO input'!$E$42:$E$497,$Z64)</f>
        <v>7.8649999999999984</v>
      </c>
      <c r="AC64" s="1817">
        <f>SUMIFS('Capex_FO input'!S$42:S$497,'Capex_FO input'!$H$42:$H$497,$Z$58,'Capex_FO input'!$E$42:$E$497,$Z64) + SUMIFS('Capex_FO input'!S$42:S$497,'Capex_FO input'!$H$42:$H$497,$Z$59,'Capex_FO input'!$E$42:$E$497,$Z64)</f>
        <v>8.84</v>
      </c>
      <c r="AD64" s="1817">
        <f>SUMIFS('Capex_FO input'!T$42:T$497,'Capex_FO input'!$H$42:$H$497,$Z$58,'Capex_FO input'!$E$42:$E$497,$Z64) + SUMIFS('Capex_FO input'!T$42:T$497,'Capex_FO input'!$H$42:$H$497,$Z$59,'Capex_FO input'!$E$42:$E$497,$Z64)</f>
        <v>16.645000000000003</v>
      </c>
      <c r="AE64" s="1817">
        <f>SUMIFS('Capex_FO input'!U$42:U$497,'Capex_FO input'!$H$42:$H$497,$Z$58,'Capex_FO input'!$E$42:$E$497,$Z64) + SUMIFS('Capex_FO input'!U$42:U$497,'Capex_FO input'!$H$42:$H$497,$Z$59,'Capex_FO input'!$E$42:$E$497,$Z64)</f>
        <v>20.385000000000002</v>
      </c>
      <c r="AF64" s="1817">
        <f>SUMIFS('Capex_FO input'!V$42:V$497,'Capex_FO input'!$H$42:$H$497,$Z$58,'Capex_FO input'!$E$42:$E$497,$Z64) + SUMIFS('Capex_FO input'!V$42:V$497,'Capex_FO input'!$H$42:$H$497,$Z$59,'Capex_FO input'!$E$42:$E$497,$Z64)</f>
        <v>35.080000000000005</v>
      </c>
      <c r="AG64" s="1817">
        <f>SUMIFS('Capex_FO input'!W$42:W$497,'Capex_FO input'!$H$42:$H$497,$Z$58,'Capex_FO input'!$E$42:$E$497,$Z64) + SUMIFS('Capex_FO input'!W$42:W$497,'Capex_FO input'!$H$42:$H$497,$Z$59,'Capex_FO input'!$E$42:$E$497,$Z64)</f>
        <v>36.505000000000003</v>
      </c>
      <c r="AH64" s="1817">
        <f>SUMIFS('Capex_FO input'!X$42:X$497,'Capex_FO input'!$H$42:$H$497,$Z$58,'Capex_FO input'!$E$42:$E$497,$Z64) + SUMIFS('Capex_FO input'!X$42:X$497,'Capex_FO input'!$H$42:$H$497,$Z$59,'Capex_FO input'!$E$42:$E$497,$Z64)</f>
        <v>27.430000000000003</v>
      </c>
      <c r="AI64" s="1817">
        <f>SUMIFS('Capex_FO input'!Y$42:Y$497,'Capex_FO input'!$H$42:$H$497,$Z$58,'Capex_FO input'!$E$42:$E$497,$Z64) + SUMIFS('Capex_FO input'!Y$42:Y$497,'Capex_FO input'!$H$42:$H$497,$Z$59,'Capex_FO input'!$E$42:$E$497,$Z64)</f>
        <v>22.705000000000005</v>
      </c>
      <c r="AJ64" s="1817">
        <f>SUMIFS('Capex_FO input'!Z$42:Z$497,'Capex_FO input'!$H$42:$H$497,$Z$58,'Capex_FO input'!$E$42:$E$497,$Z64) + SUMIFS('Capex_FO input'!Z$42:Z$497,'Capex_FO input'!$H$42:$H$497,$Z$59,'Capex_FO input'!$E$42:$E$497,$Z64)</f>
        <v>23.435000000000002</v>
      </c>
    </row>
    <row r="65" spans="2:45" x14ac:dyDescent="0.3">
      <c r="C65" s="750" t="s">
        <v>6</v>
      </c>
      <c r="D65" s="1817">
        <f>Opex_Breakdown!X51</f>
        <v>10.232068334389201</v>
      </c>
      <c r="E65" s="1817">
        <f>Opex_Breakdown!Y51</f>
        <v>12.12289894269939</v>
      </c>
      <c r="F65" s="1817">
        <f>Opex_Breakdown!Z51</f>
        <v>10.571879073756433</v>
      </c>
      <c r="G65" s="1817">
        <f>Opex_Breakdown!AA51</f>
        <v>10.677597864493997</v>
      </c>
      <c r="H65" s="1817">
        <f>Opex_Breakdown!AB51</f>
        <v>10.784373843138937</v>
      </c>
      <c r="I65" s="1817">
        <f>Opex_Breakdown!AC51</f>
        <v>12.038417177842156</v>
      </c>
      <c r="J65" s="1817">
        <f>Opex_Breakdown!AD51</f>
        <v>12.2343451674825</v>
      </c>
      <c r="K65" s="1817">
        <f>Opex_Breakdown!AE51</f>
        <v>12.477992947693911</v>
      </c>
      <c r="L65" s="1817">
        <f>Opex_Breakdown!AF51</f>
        <v>12.556177723824401</v>
      </c>
      <c r="M65" s="1817">
        <f>Opex_Breakdown!AG51</f>
        <v>12.756832210777398</v>
      </c>
      <c r="N65" s="1817">
        <f>Opex_Breakdown!AH51</f>
        <v>12.530391467777523</v>
      </c>
      <c r="O65" s="1817">
        <f>Opex_Breakdown!AI51</f>
        <v>12.679926102881023</v>
      </c>
      <c r="P65" s="1817">
        <f>Opex_Breakdown!AJ51</f>
        <v>12.831253872874644</v>
      </c>
      <c r="Q65" s="1817">
        <f>Opex_Breakdown!AK51</f>
        <v>12.984396321747118</v>
      </c>
      <c r="R65" s="1817">
        <f>Opex_Breakdown!AL51</f>
        <v>13.139375254534812</v>
      </c>
      <c r="S65" s="774"/>
      <c r="T65" s="774"/>
      <c r="U65" s="774"/>
      <c r="V65" s="774"/>
      <c r="W65" s="774"/>
      <c r="Z65" s="750" t="s">
        <v>275</v>
      </c>
      <c r="AA65" s="1817">
        <f>SUMIFS('Capex_FO input'!Q$42:Q$497,'Capex_FO input'!$H$42:$H$497,$Z$58,'Capex_FO input'!$E$42:$E$497,$Z65) + SUMIFS('Capex_FO input'!Q$42:Q$497,'Capex_FO input'!$H$42:$H$497,$Z$59,'Capex_FO input'!$E$42:$E$497,$Z65)</f>
        <v>2.4</v>
      </c>
      <c r="AB65" s="1817">
        <f>SUMIFS('Capex_FO input'!R$42:R$497,'Capex_FO input'!$H$42:$H$497,$Z$58,'Capex_FO input'!$E$42:$E$497,$Z65) + SUMIFS('Capex_FO input'!R$42:R$497,'Capex_FO input'!$H$42:$H$497,$Z$59,'Capex_FO input'!$E$42:$E$497,$Z65)</f>
        <v>0.5</v>
      </c>
      <c r="AC65" s="1817">
        <f>SUMIFS('Capex_FO input'!S$42:S$497,'Capex_FO input'!$H$42:$H$497,$Z$58,'Capex_FO input'!$E$42:$E$497,$Z65) + SUMIFS('Capex_FO input'!S$42:S$497,'Capex_FO input'!$H$42:$H$497,$Z$59,'Capex_FO input'!$E$42:$E$497,$Z65)</f>
        <v>0.1</v>
      </c>
      <c r="AD65" s="1817">
        <f>SUMIFS('Capex_FO input'!T$42:T$497,'Capex_FO input'!$H$42:$H$497,$Z$58,'Capex_FO input'!$E$42:$E$497,$Z65) + SUMIFS('Capex_FO input'!T$42:T$497,'Capex_FO input'!$H$42:$H$497,$Z$59,'Capex_FO input'!$E$42:$E$497,$Z65)</f>
        <v>0.3</v>
      </c>
      <c r="AE65" s="1817">
        <f>SUMIFS('Capex_FO input'!U$42:U$497,'Capex_FO input'!$H$42:$H$497,$Z$58,'Capex_FO input'!$E$42:$E$497,$Z65) + SUMIFS('Capex_FO input'!U$42:U$497,'Capex_FO input'!$H$42:$H$497,$Z$59,'Capex_FO input'!$E$42:$E$497,$Z65)</f>
        <v>1.2</v>
      </c>
      <c r="AF65" s="1817">
        <f>SUMIFS('Capex_FO input'!V$42:V$497,'Capex_FO input'!$H$42:$H$497,$Z$58,'Capex_FO input'!$E$42:$E$497,$Z65) + SUMIFS('Capex_FO input'!V$42:V$497,'Capex_FO input'!$H$42:$H$497,$Z$59,'Capex_FO input'!$E$42:$E$497,$Z65)</f>
        <v>1.6</v>
      </c>
      <c r="AG65" s="1817">
        <f>SUMIFS('Capex_FO input'!W$42:W$497,'Capex_FO input'!$H$42:$H$497,$Z$58,'Capex_FO input'!$E$42:$E$497,$Z65) + SUMIFS('Capex_FO input'!W$42:W$497,'Capex_FO input'!$H$42:$H$497,$Z$59,'Capex_FO input'!$E$42:$E$497,$Z65)</f>
        <v>1.6</v>
      </c>
      <c r="AH65" s="1817">
        <f>SUMIFS('Capex_FO input'!X$42:X$497,'Capex_FO input'!$H$42:$H$497,$Z$58,'Capex_FO input'!$E$42:$E$497,$Z65) + SUMIFS('Capex_FO input'!X$42:X$497,'Capex_FO input'!$H$42:$H$497,$Z$59,'Capex_FO input'!$E$42:$E$497,$Z65)</f>
        <v>1.6</v>
      </c>
      <c r="AI65" s="1817">
        <f>SUMIFS('Capex_FO input'!Y$42:Y$497,'Capex_FO input'!$H$42:$H$497,$Z$58,'Capex_FO input'!$E$42:$E$497,$Z65) + SUMIFS('Capex_FO input'!Y$42:Y$497,'Capex_FO input'!$H$42:$H$497,$Z$59,'Capex_FO input'!$E$42:$E$497,$Z65)</f>
        <v>1.6</v>
      </c>
      <c r="AJ65" s="1817">
        <f>SUMIFS('Capex_FO input'!Z$42:Z$497,'Capex_FO input'!$H$42:$H$497,$Z$58,'Capex_FO input'!$E$42:$E$497,$Z65) + SUMIFS('Capex_FO input'!Z$42:Z$497,'Capex_FO input'!$H$42:$H$497,$Z$59,'Capex_FO input'!$E$42:$E$497,$Z65)</f>
        <v>1.6</v>
      </c>
    </row>
    <row r="66" spans="2:45" x14ac:dyDescent="0.3">
      <c r="C66" s="750" t="s">
        <v>752</v>
      </c>
      <c r="D66" s="1817">
        <f>Opex_Breakdown!X52</f>
        <v>1.8538659243673101</v>
      </c>
      <c r="E66" s="1817">
        <f>Opex_Breakdown!Y52</f>
        <v>1.904700780458952</v>
      </c>
      <c r="F66" s="1817">
        <f>Opex_Breakdown!Z52</f>
        <v>1.5864725557461405</v>
      </c>
      <c r="G66" s="1817">
        <f>Opex_Breakdown!AA52</f>
        <v>1.6023372813036019</v>
      </c>
      <c r="H66" s="1817">
        <f>Opex_Breakdown!AB52</f>
        <v>1.618360654116638</v>
      </c>
      <c r="I66" s="1817">
        <f>Opex_Breakdown!AC52</f>
        <v>1.8065490849852586</v>
      </c>
      <c r="J66" s="1817">
        <f>Opex_Breakdown!AD52</f>
        <v>1.8359510840337092</v>
      </c>
      <c r="K66" s="1817">
        <f>Opex_Breakdown!AE52</f>
        <v>1.8725141693544085</v>
      </c>
      <c r="L66" s="1817">
        <f>Opex_Breakdown!AF52</f>
        <v>1.8842469938355446</v>
      </c>
      <c r="M66" s="1817">
        <f>Opex_Breakdown!AG52</f>
        <v>1.9143582762780837</v>
      </c>
      <c r="N66" s="1817">
        <f>Opex_Breakdown!AH52</f>
        <v>1.8803773707299067</v>
      </c>
      <c r="O66" s="1817">
        <f>Opex_Breakdown!AI52</f>
        <v>1.9028173355715514</v>
      </c>
      <c r="P66" s="1817">
        <f>Opex_Breakdown!AJ52</f>
        <v>1.9255263877979536</v>
      </c>
      <c r="Q66" s="1817">
        <f>Opex_Breakdown!AK52</f>
        <v>1.948507760414961</v>
      </c>
      <c r="R66" s="1817">
        <f>Opex_Breakdown!AL52</f>
        <v>1.9717647256026207</v>
      </c>
      <c r="S66" s="774"/>
      <c r="T66" s="774"/>
      <c r="U66" s="774"/>
      <c r="V66" s="774"/>
      <c r="W66" s="774"/>
      <c r="Z66" s="750" t="s">
        <v>352</v>
      </c>
      <c r="AA66" s="1817">
        <f>SUMIFS('Capex_FO input'!Q$42:Q$497,'Capex_FO input'!$H$42:$H$497,$Z$58,'Capex_FO input'!$E$42:$E$497,$Z66) + SUMIFS('Capex_FO input'!Q$42:Q$497,'Capex_FO input'!$H$42:$H$497,$Z$59,'Capex_FO input'!$E$42:$E$497,$Z66)</f>
        <v>0</v>
      </c>
      <c r="AB66" s="1817">
        <f>SUMIFS('Capex_FO input'!R$42:R$497,'Capex_FO input'!$H$42:$H$497,$Z$58,'Capex_FO input'!$E$42:$E$497,$Z66) + SUMIFS('Capex_FO input'!R$42:R$497,'Capex_FO input'!$H$42:$H$497,$Z$59,'Capex_FO input'!$E$42:$E$497,$Z66)</f>
        <v>0</v>
      </c>
      <c r="AC66" s="1817">
        <f>SUMIFS('Capex_FO input'!S$42:S$497,'Capex_FO input'!$H$42:$H$497,$Z$58,'Capex_FO input'!$E$42:$E$497,$Z66) + SUMIFS('Capex_FO input'!S$42:S$497,'Capex_FO input'!$H$42:$H$497,$Z$59,'Capex_FO input'!$E$42:$E$497,$Z66)</f>
        <v>0</v>
      </c>
      <c r="AD66" s="1817">
        <f>SUMIFS('Capex_FO input'!T$42:T$497,'Capex_FO input'!$H$42:$H$497,$Z$58,'Capex_FO input'!$E$42:$E$497,$Z66) + SUMIFS('Capex_FO input'!T$42:T$497,'Capex_FO input'!$H$42:$H$497,$Z$59,'Capex_FO input'!$E$42:$E$497,$Z66)</f>
        <v>0</v>
      </c>
      <c r="AE66" s="1817">
        <f>SUMIFS('Capex_FO input'!U$42:U$497,'Capex_FO input'!$H$42:$H$497,$Z$58,'Capex_FO input'!$E$42:$E$497,$Z66) + SUMIFS('Capex_FO input'!U$42:U$497,'Capex_FO input'!$H$42:$H$497,$Z$59,'Capex_FO input'!$E$42:$E$497,$Z66)</f>
        <v>0</v>
      </c>
      <c r="AF66" s="1817">
        <f>SUMIFS('Capex_FO input'!V$42:V$497,'Capex_FO input'!$H$42:$H$497,$Z$58,'Capex_FO input'!$E$42:$E$497,$Z66) + SUMIFS('Capex_FO input'!V$42:V$497,'Capex_FO input'!$H$42:$H$497,$Z$59,'Capex_FO input'!$E$42:$E$497,$Z66)</f>
        <v>0</v>
      </c>
      <c r="AG66" s="1817">
        <f>SUMIFS('Capex_FO input'!W$42:W$497,'Capex_FO input'!$H$42:$H$497,$Z$58,'Capex_FO input'!$E$42:$E$497,$Z66) + SUMIFS('Capex_FO input'!W$42:W$497,'Capex_FO input'!$H$42:$H$497,$Z$59,'Capex_FO input'!$E$42:$E$497,$Z66)</f>
        <v>0</v>
      </c>
      <c r="AH66" s="1817">
        <f>SUMIFS('Capex_FO input'!X$42:X$497,'Capex_FO input'!$H$42:$H$497,$Z$58,'Capex_FO input'!$E$42:$E$497,$Z66) + SUMIFS('Capex_FO input'!X$42:X$497,'Capex_FO input'!$H$42:$H$497,$Z$59,'Capex_FO input'!$E$42:$E$497,$Z66)</f>
        <v>0</v>
      </c>
      <c r="AI66" s="1817">
        <f>SUMIFS('Capex_FO input'!Y$42:Y$497,'Capex_FO input'!$H$42:$H$497,$Z$58,'Capex_FO input'!$E$42:$E$497,$Z66) + SUMIFS('Capex_FO input'!Y$42:Y$497,'Capex_FO input'!$H$42:$H$497,$Z$59,'Capex_FO input'!$E$42:$E$497,$Z66)</f>
        <v>0</v>
      </c>
      <c r="AJ66" s="1817">
        <f>SUMIFS('Capex_FO input'!Z$42:Z$497,'Capex_FO input'!$H$42:$H$497,$Z$58,'Capex_FO input'!$E$42:$E$497,$Z66) + SUMIFS('Capex_FO input'!Z$42:Z$497,'Capex_FO input'!$H$42:$H$497,$Z$59,'Capex_FO input'!$E$42:$E$497,$Z66)</f>
        <v>0</v>
      </c>
    </row>
    <row r="67" spans="2:45" x14ac:dyDescent="0.3">
      <c r="C67" s="750" t="s">
        <v>8</v>
      </c>
      <c r="D67" s="1827">
        <f>Opex_Breakdown!X53</f>
        <v>6.0549544875666092E-2</v>
      </c>
      <c r="E67" s="1827">
        <f>Opex_Breakdown!Y53</f>
        <v>3.2832314413873749E-2</v>
      </c>
      <c r="F67" s="1827">
        <f>Opex_Breakdown!Z53</f>
        <v>2.23147512864494E-2</v>
      </c>
      <c r="G67" s="1827">
        <f>Opex_Breakdown!AA53</f>
        <v>2.2537898799313894E-2</v>
      </c>
      <c r="H67" s="1827">
        <f>Opex_Breakdown!AB53</f>
        <v>2.2763277787307034E-2</v>
      </c>
      <c r="I67" s="1827">
        <f>Opex_Breakdown!AC53</f>
        <v>2.5410268442525408E-2</v>
      </c>
      <c r="J67" s="1827">
        <f>Opex_Breakdown!AD53</f>
        <v>2.5823826366180771E-2</v>
      </c>
      <c r="K67" s="1827">
        <f>Opex_Breakdown!AE53</f>
        <v>2.6338109548856382E-2</v>
      </c>
      <c r="L67" s="1827">
        <f>Opex_Breakdown!AF53</f>
        <v>2.6503139230104781E-2</v>
      </c>
      <c r="M67" s="1827">
        <f>Opex_Breakdown!AG53</f>
        <v>2.6926673678392337E-2</v>
      </c>
      <c r="N67" s="1827">
        <f>Opex_Breakdown!AH53</f>
        <v>2.6448710505912954E-2</v>
      </c>
      <c r="O67" s="1827">
        <f>Opex_Breakdown!AI53</f>
        <v>2.6764342965172525E-2</v>
      </c>
      <c r="P67" s="1827">
        <f>Opex_Breakdown!AJ53</f>
        <v>2.7083760310620916E-2</v>
      </c>
      <c r="Q67" s="1827">
        <f>Opex_Breakdown!AK53</f>
        <v>2.740700801655337E-2</v>
      </c>
      <c r="R67" s="1827">
        <f>Opex_Breakdown!AL53</f>
        <v>2.7734132108275307E-2</v>
      </c>
      <c r="S67" s="774"/>
      <c r="T67" s="774"/>
      <c r="U67" s="774"/>
      <c r="V67" s="774"/>
      <c r="W67" s="774"/>
      <c r="Z67" s="750" t="s">
        <v>354</v>
      </c>
      <c r="AA67" s="1817">
        <f>SUMIFS('Capex_FO input'!Q$42:Q$497,'Capex_FO input'!$H$42:$H$497,$Z$58,'Capex_FO input'!$E$42:$E$497,$Z67) + SUMIFS('Capex_FO input'!Q$42:Q$497,'Capex_FO input'!$H$42:$H$497,$Z$59,'Capex_FO input'!$E$42:$E$497,$Z67)</f>
        <v>0</v>
      </c>
      <c r="AB67" s="1817">
        <f>SUMIFS('Capex_FO input'!R$42:R$497,'Capex_FO input'!$H$42:$H$497,$Z$58,'Capex_FO input'!$E$42:$E$497,$Z67) + SUMIFS('Capex_FO input'!R$42:R$497,'Capex_FO input'!$H$42:$H$497,$Z$59,'Capex_FO input'!$E$42:$E$497,$Z67)</f>
        <v>0</v>
      </c>
      <c r="AC67" s="1817">
        <f>SUMIFS('Capex_FO input'!S$42:S$497,'Capex_FO input'!$H$42:$H$497,$Z$58,'Capex_FO input'!$E$42:$E$497,$Z67) + SUMIFS('Capex_FO input'!S$42:S$497,'Capex_FO input'!$H$42:$H$497,$Z$59,'Capex_FO input'!$E$42:$E$497,$Z67)</f>
        <v>0</v>
      </c>
      <c r="AD67" s="1817">
        <f>SUMIFS('Capex_FO input'!T$42:T$497,'Capex_FO input'!$H$42:$H$497,$Z$58,'Capex_FO input'!$E$42:$E$497,$Z67) + SUMIFS('Capex_FO input'!T$42:T$497,'Capex_FO input'!$H$42:$H$497,$Z$59,'Capex_FO input'!$E$42:$E$497,$Z67)</f>
        <v>0</v>
      </c>
      <c r="AE67" s="1817">
        <f>SUMIFS('Capex_FO input'!U$42:U$497,'Capex_FO input'!$H$42:$H$497,$Z$58,'Capex_FO input'!$E$42:$E$497,$Z67) + SUMIFS('Capex_FO input'!U$42:U$497,'Capex_FO input'!$H$42:$H$497,$Z$59,'Capex_FO input'!$E$42:$E$497,$Z67)</f>
        <v>0</v>
      </c>
      <c r="AF67" s="1817">
        <f>SUMIFS('Capex_FO input'!V$42:V$497,'Capex_FO input'!$H$42:$H$497,$Z$58,'Capex_FO input'!$E$42:$E$497,$Z67) + SUMIFS('Capex_FO input'!V$42:V$497,'Capex_FO input'!$H$42:$H$497,$Z$59,'Capex_FO input'!$E$42:$E$497,$Z67)</f>
        <v>0</v>
      </c>
      <c r="AG67" s="1817">
        <f>SUMIFS('Capex_FO input'!W$42:W$497,'Capex_FO input'!$H$42:$H$497,$Z$58,'Capex_FO input'!$E$42:$E$497,$Z67) + SUMIFS('Capex_FO input'!W$42:W$497,'Capex_FO input'!$H$42:$H$497,$Z$59,'Capex_FO input'!$E$42:$E$497,$Z67)</f>
        <v>0</v>
      </c>
      <c r="AH67" s="1817">
        <f>SUMIFS('Capex_FO input'!X$42:X$497,'Capex_FO input'!$H$42:$H$497,$Z$58,'Capex_FO input'!$E$42:$E$497,$Z67) + SUMIFS('Capex_FO input'!X$42:X$497,'Capex_FO input'!$H$42:$H$497,$Z$59,'Capex_FO input'!$E$42:$E$497,$Z67)</f>
        <v>0</v>
      </c>
      <c r="AI67" s="1817">
        <f>SUMIFS('Capex_FO input'!Y$42:Y$497,'Capex_FO input'!$H$42:$H$497,$Z$58,'Capex_FO input'!$E$42:$E$497,$Z67) + SUMIFS('Capex_FO input'!Y$42:Y$497,'Capex_FO input'!$H$42:$H$497,$Z$59,'Capex_FO input'!$E$42:$E$497,$Z67)</f>
        <v>0</v>
      </c>
      <c r="AJ67" s="1817">
        <f>SUMIFS('Capex_FO input'!Z$42:Z$497,'Capex_FO input'!$H$42:$H$497,$Z$58,'Capex_FO input'!$E$42:$E$497,$Z67) + SUMIFS('Capex_FO input'!Z$42:Z$497,'Capex_FO input'!$H$42:$H$497,$Z$59,'Capex_FO input'!$E$42:$E$497,$Z67)</f>
        <v>0</v>
      </c>
    </row>
    <row r="68" spans="2:45" x14ac:dyDescent="0.3">
      <c r="C68" s="750" t="s">
        <v>753</v>
      </c>
      <c r="D68" s="1817">
        <f>Opex_Breakdown!X55</f>
        <v>12.905818695638398</v>
      </c>
      <c r="E68" s="1817">
        <f>Opex_Breakdown!Y55</f>
        <v>8.4222926555325941</v>
      </c>
      <c r="F68" s="1817">
        <f>Opex_Breakdown!Z55</f>
        <v>8.3797204116638078</v>
      </c>
      <c r="G68" s="1817">
        <f>Opex_Breakdown!AA55</f>
        <v>8.4635176157804466</v>
      </c>
      <c r="H68" s="1817">
        <f>Opex_Breakdown!AB55</f>
        <v>8.5481527919382518</v>
      </c>
      <c r="I68" s="1817">
        <f>Opex_Breakdown!AC55</f>
        <v>9.5421608065597798</v>
      </c>
      <c r="J68" s="1817">
        <f>Opex_Breakdown!AD55</f>
        <v>9.6974616535096008</v>
      </c>
      <c r="K68" s="1817">
        <f>Opex_Breakdown!AE55</f>
        <v>9.8905872334419733</v>
      </c>
      <c r="L68" s="1817">
        <f>Opex_Breakdown!AF55</f>
        <v>9.9525598080288713</v>
      </c>
      <c r="M68" s="1817">
        <f>Opex_Breakdown!AG55</f>
        <v>10.11160707751438</v>
      </c>
      <c r="N68" s="1817">
        <f>Opex_Breakdown!AH55</f>
        <v>9.9321205261728345</v>
      </c>
      <c r="O68" s="1817">
        <f>Opex_Breakdown!AI55</f>
        <v>10.050648029683359</v>
      </c>
      <c r="P68" s="1817">
        <f>Opex_Breakdown!AJ55</f>
        <v>10.170596848074121</v>
      </c>
      <c r="Q68" s="1817">
        <f>Opex_Breakdown!AK55</f>
        <v>10.29198405802571</v>
      </c>
      <c r="R68" s="1817">
        <f>Opex_Breakdown!AL55</f>
        <v>10.414826943136148</v>
      </c>
      <c r="S68" s="774"/>
      <c r="T68" s="774"/>
      <c r="U68" s="774"/>
      <c r="V68" s="774"/>
      <c r="W68" s="774"/>
      <c r="Z68" s="749" t="s">
        <v>754</v>
      </c>
      <c r="AA68" s="1821">
        <f t="shared" ref="AA68:AE68" si="23">SUM(AA63:AA67)</f>
        <v>20.108699999999999</v>
      </c>
      <c r="AB68" s="1821">
        <f t="shared" si="23"/>
        <v>18.838499999999996</v>
      </c>
      <c r="AC68" s="1821">
        <f t="shared" si="23"/>
        <v>23.0015</v>
      </c>
      <c r="AD68" s="1821">
        <f t="shared" si="23"/>
        <v>34.099500000000006</v>
      </c>
      <c r="AE68" s="1821">
        <f t="shared" si="23"/>
        <v>43.730500000000006</v>
      </c>
      <c r="AF68" s="1821">
        <f t="shared" ref="AF68:AJ68" si="24">SUM(AF63:AF67)</f>
        <v>83.367000000000004</v>
      </c>
      <c r="AG68" s="1821">
        <f t="shared" si="24"/>
        <v>81.167000000000002</v>
      </c>
      <c r="AH68" s="1821">
        <f t="shared" si="24"/>
        <v>63.137000000000008</v>
      </c>
      <c r="AI68" s="1821">
        <f t="shared" si="24"/>
        <v>54.082000000000008</v>
      </c>
      <c r="AJ68" s="1821">
        <f t="shared" si="24"/>
        <v>65.891999999999996</v>
      </c>
    </row>
    <row r="69" spans="2:45" x14ac:dyDescent="0.3">
      <c r="C69" s="750" t="s">
        <v>11</v>
      </c>
      <c r="D69" s="1817">
        <f>Opex_Breakdown!X56</f>
        <v>0.16856794061989228</v>
      </c>
      <c r="E69" s="1817">
        <f>Opex_Breakdown!Y56</f>
        <v>9.617640600236961E-3</v>
      </c>
      <c r="F69" s="1817">
        <f>Opex_Breakdown!Z56</f>
        <v>1.0158524871355061</v>
      </c>
      <c r="G69" s="1817">
        <f>Opex_Breakdown!AA56</f>
        <v>1.0260110120068613</v>
      </c>
      <c r="H69" s="1817">
        <f>Opex_Breakdown!AB56</f>
        <v>1.0362711221269298</v>
      </c>
      <c r="I69" s="1817">
        <f>Opex_Breakdown!AC56</f>
        <v>1.1567722205263951</v>
      </c>
      <c r="J69" s="1817">
        <f>Opex_Breakdown!AD56</f>
        <v>1.175598952669944</v>
      </c>
      <c r="K69" s="1817">
        <f>Opex_Breakdown!AE56</f>
        <v>1.1990110823193669</v>
      </c>
      <c r="L69" s="1817">
        <f>Opex_Breakdown!AF56</f>
        <v>1.206523862094294</v>
      </c>
      <c r="M69" s="1817">
        <f>Opex_Breakdown!AG56</f>
        <v>1.2258047636449085</v>
      </c>
      <c r="N69" s="1817">
        <f>Opex_Breakdown!AH56</f>
        <v>1.2040460592215614</v>
      </c>
      <c r="O69" s="1817">
        <f>Opex_Breakdown!AI56</f>
        <v>1.2184148511764257</v>
      </c>
      <c r="P69" s="1817">
        <f>Opex_Breakdown!AJ56</f>
        <v>1.2329559455692192</v>
      </c>
      <c r="Q69" s="1817">
        <f>Opex_Breakdown!AK56</f>
        <v>1.2476714125630968</v>
      </c>
      <c r="R69" s="1817">
        <f>Opex_Breakdown!AL56</f>
        <v>1.2625633474052955</v>
      </c>
      <c r="S69" s="774"/>
      <c r="T69" s="774"/>
      <c r="U69" s="774"/>
      <c r="V69" s="774"/>
      <c r="W69" s="774"/>
    </row>
    <row r="70" spans="2:45" ht="15.5" x14ac:dyDescent="0.35">
      <c r="C70" s="750" t="s">
        <v>392</v>
      </c>
      <c r="D70" s="1827">
        <f>Opex_Breakdown!X50</f>
        <v>0.7127739336500889</v>
      </c>
      <c r="E70" s="1827">
        <f>Opex_Breakdown!Y50</f>
        <v>0.6750461725766872</v>
      </c>
      <c r="F70" s="1827">
        <f>Opex_Breakdown!Z50</f>
        <v>0.66837993138936547</v>
      </c>
      <c r="G70" s="1827">
        <f>Opex_Breakdown!AA50</f>
        <v>0.57444212035623399</v>
      </c>
      <c r="H70" s="1827">
        <f>Opex_Breakdown!AB50</f>
        <v>0.58018654155979632</v>
      </c>
      <c r="I70" s="1827">
        <f>Opex_Breakdown!AC50</f>
        <v>0.64764458258572433</v>
      </c>
      <c r="J70" s="1827">
        <f>Opex_Breakdown!AD50</f>
        <v>0.65818373544172548</v>
      </c>
      <c r="K70" s="1827">
        <f>Opex_Breakdown!AE50</f>
        <v>0.67129085321641702</v>
      </c>
      <c r="L70" s="1827">
        <f>Opex_Breakdown!AF50</f>
        <v>0.6754975289275913</v>
      </c>
      <c r="M70" s="1827">
        <f>Opex_Breakdown!AG50</f>
        <v>0.68629202214934182</v>
      </c>
      <c r="N70" s="1827">
        <f>Opex_Breakdown!AH50</f>
        <v>0.67411240375302706</v>
      </c>
      <c r="O70" s="1827">
        <f>Opex_Breakdown!AI50</f>
        <v>0.68215706517938446</v>
      </c>
      <c r="P70" s="1827">
        <f>Opex_Breakdown!AJ50</f>
        <v>0.69029819230124045</v>
      </c>
      <c r="Q70" s="1827">
        <f>Opex_Breakdown!AK50</f>
        <v>0.69853694397551813</v>
      </c>
      <c r="R70" s="1827">
        <f>Opex_Breakdown!AL50</f>
        <v>0.70687449311089889</v>
      </c>
      <c r="S70" s="774"/>
      <c r="T70" s="774"/>
      <c r="U70" s="774"/>
      <c r="V70" s="774"/>
      <c r="W70" s="774"/>
      <c r="Y70" s="747" t="s">
        <v>755</v>
      </c>
    </row>
    <row r="71" spans="2:45" x14ac:dyDescent="0.3">
      <c r="C71" s="750" t="s">
        <v>747</v>
      </c>
      <c r="D71" s="1817">
        <f>Opex_Breakdown!X54</f>
        <v>0.13424333925399648</v>
      </c>
      <c r="E71" s="1817">
        <f>Opex_Breakdown!Y54</f>
        <v>5.7588148788505177E-2</v>
      </c>
      <c r="F71" s="1817">
        <f>Opex_Breakdown!Z54</f>
        <v>6.5881646655231565E-2</v>
      </c>
      <c r="G71" s="1817">
        <f>Opex_Breakdown!AA54</f>
        <v>6.6540463121783883E-2</v>
      </c>
      <c r="H71" s="1817">
        <f>Opex_Breakdown!AB54</f>
        <v>6.7205867753001719E-2</v>
      </c>
      <c r="I71" s="1817">
        <f>Opex_Breakdown!AC54</f>
        <v>7.5020792544598827E-2</v>
      </c>
      <c r="J71" s="1817">
        <f>Opex_Breakdown!AD54</f>
        <v>7.6241773081105149E-2</v>
      </c>
      <c r="K71" s="1817">
        <f>Opex_Breakdown!AE54</f>
        <v>7.7760132953766464E-2</v>
      </c>
      <c r="L71" s="1817">
        <f>Opex_Breakdown!AF54</f>
        <v>7.8247363441261736E-2</v>
      </c>
      <c r="M71" s="1817">
        <f>Opex_Breakdown!AG54</f>
        <v>7.9497798479063103E-2</v>
      </c>
      <c r="N71" s="1817">
        <f>Opex_Breakdown!AH54</f>
        <v>7.8086669112695392E-2</v>
      </c>
      <c r="O71" s="1817">
        <f>Opex_Breakdown!AI54</f>
        <v>7.9018536373366505E-2</v>
      </c>
      <c r="P71" s="1817">
        <f>Opex_Breakdown!AJ54</f>
        <v>7.9961578059928429E-2</v>
      </c>
      <c r="Q71" s="1817">
        <f>Opex_Breakdown!AK54</f>
        <v>8.0915928429824258E-2</v>
      </c>
      <c r="R71" s="1817">
        <f>Opex_Breakdown!AL54</f>
        <v>8.1881723367289022E-2</v>
      </c>
      <c r="S71" s="774"/>
      <c r="T71" s="774"/>
      <c r="U71" s="774"/>
      <c r="V71" s="774"/>
      <c r="W71" s="774"/>
      <c r="Z71" s="772"/>
      <c r="AA71" s="773"/>
      <c r="AB71" s="749"/>
    </row>
    <row r="72" spans="2:45" x14ac:dyDescent="0.3">
      <c r="C72" s="749" t="s">
        <v>756</v>
      </c>
      <c r="D72" s="1821">
        <f t="shared" ref="D72:M72" si="25">SUM(D64:D71)</f>
        <v>36.345914351280108</v>
      </c>
      <c r="E72" s="1821">
        <f t="shared" si="25"/>
        <v>33.594439234135379</v>
      </c>
      <c r="F72" s="1821">
        <f t="shared" si="25"/>
        <v>32.916383361921099</v>
      </c>
      <c r="G72" s="1821">
        <f t="shared" si="25"/>
        <v>39.490941274978148</v>
      </c>
      <c r="H72" s="1821">
        <f t="shared" si="25"/>
        <v>39.885850687727938</v>
      </c>
      <c r="I72" s="1821">
        <f t="shared" si="25"/>
        <v>37.369112520383872</v>
      </c>
      <c r="J72" s="1821">
        <f t="shared" si="25"/>
        <v>37.981950827712474</v>
      </c>
      <c r="K72" s="1821">
        <f t="shared" si="25"/>
        <v>38.733621738392294</v>
      </c>
      <c r="L72" s="1821">
        <f t="shared" si="25"/>
        <v>38.97631987917616</v>
      </c>
      <c r="M72" s="1821">
        <f t="shared" si="25"/>
        <v>39.599182155094603</v>
      </c>
      <c r="N72" s="1821">
        <f t="shared" ref="N72:R72" si="26">SUM(N64:N71)</f>
        <v>38.896277472012379</v>
      </c>
      <c r="O72" s="1821">
        <f t="shared" si="26"/>
        <v>39.360456127420143</v>
      </c>
      <c r="P72" s="1821">
        <f t="shared" si="26"/>
        <v>39.830200949764269</v>
      </c>
      <c r="Q72" s="1821">
        <f t="shared" si="26"/>
        <v>40.305578814754647</v>
      </c>
      <c r="R72" s="1821">
        <f t="shared" si="26"/>
        <v>40.786657408441336</v>
      </c>
      <c r="S72" s="774"/>
      <c r="T72" s="774"/>
      <c r="U72" s="774"/>
      <c r="V72" s="774"/>
      <c r="W72" s="774"/>
      <c r="Y72" s="759" t="s">
        <v>347</v>
      </c>
      <c r="AA72" s="2000" t="s">
        <v>737</v>
      </c>
      <c r="AB72" s="2000" t="s">
        <v>930</v>
      </c>
      <c r="AC72" s="774"/>
      <c r="AD72" s="774"/>
      <c r="AE72" s="774"/>
      <c r="AF72" s="774"/>
      <c r="AG72" s="774"/>
      <c r="AH72" s="775"/>
      <c r="AI72" s="774"/>
      <c r="AJ72" s="774"/>
      <c r="AK72" s="774"/>
      <c r="AL72" s="774"/>
      <c r="AM72" s="774"/>
      <c r="AN72" s="774"/>
      <c r="AO72" s="774"/>
      <c r="AP72" s="774"/>
      <c r="AQ72" s="774"/>
      <c r="AR72" s="774"/>
      <c r="AS72" s="774"/>
    </row>
    <row r="73" spans="2:45" x14ac:dyDescent="0.3">
      <c r="S73" s="774"/>
      <c r="T73" s="774"/>
      <c r="U73" s="774"/>
      <c r="V73" s="774"/>
      <c r="W73" s="774"/>
      <c r="Z73" s="750" t="s">
        <v>757</v>
      </c>
      <c r="AA73" s="1931">
        <f>SUM(Capex_FO_AC!X17:AB17)</f>
        <v>158.04067815295605</v>
      </c>
      <c r="AB73" s="1932">
        <f>SUM('Capex_FO input'!D16:H16)</f>
        <v>256.00369999999998</v>
      </c>
    </row>
    <row r="74" spans="2:45" x14ac:dyDescent="0.3">
      <c r="B74" s="749" t="s">
        <v>758</v>
      </c>
      <c r="D74" s="751" t="s">
        <v>358</v>
      </c>
      <c r="E74" s="751" t="s">
        <v>359</v>
      </c>
      <c r="F74" s="751" t="s">
        <v>360</v>
      </c>
      <c r="G74" s="751" t="s">
        <v>361</v>
      </c>
      <c r="H74" s="751" t="s">
        <v>362</v>
      </c>
      <c r="I74" s="751" t="s">
        <v>520</v>
      </c>
      <c r="J74" s="751" t="s">
        <v>521</v>
      </c>
      <c r="K74" s="751" t="s">
        <v>522</v>
      </c>
      <c r="L74" s="751" t="s">
        <v>523</v>
      </c>
      <c r="M74" s="751" t="s">
        <v>524</v>
      </c>
      <c r="N74" s="751" t="s">
        <v>920</v>
      </c>
      <c r="O74" s="751" t="s">
        <v>921</v>
      </c>
      <c r="P74" s="751" t="s">
        <v>922</v>
      </c>
      <c r="Q74" s="751" t="s">
        <v>923</v>
      </c>
      <c r="R74" s="751" t="s">
        <v>924</v>
      </c>
      <c r="S74" s="774"/>
      <c r="T74" s="774"/>
      <c r="U74" s="774"/>
      <c r="V74" s="774"/>
      <c r="W74" s="774"/>
      <c r="Z74" s="750" t="s">
        <v>759</v>
      </c>
      <c r="AA74" s="1933">
        <f>SUM(RollForward_FO!X17:AB17)</f>
        <v>97.400930096318802</v>
      </c>
      <c r="AB74" s="1934">
        <f>SUM(RollForward_FO!AC17:AG17)</f>
        <v>114.37029100245596</v>
      </c>
    </row>
    <row r="75" spans="2:45" x14ac:dyDescent="0.3">
      <c r="C75" s="750" t="s">
        <v>751</v>
      </c>
      <c r="D75" s="1817">
        <f>Opex_Breakdown!X60</f>
        <v>7.7167641686722339</v>
      </c>
      <c r="E75" s="1817">
        <f>Opex_Breakdown!Y60</f>
        <v>6.8856650225899045</v>
      </c>
      <c r="F75" s="1817">
        <f>Opex_Breakdown!Z60</f>
        <v>4.8199862778730704</v>
      </c>
      <c r="G75" s="1817">
        <f>Opex_Breakdown!AA60</f>
        <v>4.868186140651801</v>
      </c>
      <c r="H75" s="1817">
        <f>Opex_Breakdown!AB60</f>
        <v>4.9168680020583189</v>
      </c>
      <c r="I75" s="1817">
        <f>Opex_Breakdown!AC60</f>
        <v>5.4886179835854874</v>
      </c>
      <c r="J75" s="1817">
        <f>Opex_Breakdown!AD60</f>
        <v>5.5779464950950466</v>
      </c>
      <c r="K75" s="1817">
        <f>Opex_Breakdown!AE60</f>
        <v>5.6890316625529778</v>
      </c>
      <c r="L75" s="1817">
        <f>Opex_Breakdown!AF60</f>
        <v>5.7246780737026324</v>
      </c>
      <c r="M75" s="1817">
        <f>Opex_Breakdown!AG60</f>
        <v>5.8161615145327437</v>
      </c>
      <c r="N75" s="1817">
        <f>Opex_Breakdown!AH60</f>
        <v>5.7129214692771972</v>
      </c>
      <c r="O75" s="1817">
        <f>Opex_Breakdown!AI60</f>
        <v>5.7810980804772649</v>
      </c>
      <c r="P75" s="1817">
        <f>Opex_Breakdown!AJ60</f>
        <v>5.8500922270941169</v>
      </c>
      <c r="Q75" s="1817">
        <f>Opex_Breakdown!AK60</f>
        <v>5.9199137315755275</v>
      </c>
      <c r="R75" s="1817">
        <f>Opex_Breakdown!AL60</f>
        <v>5.990572535387467</v>
      </c>
      <c r="S75" s="774"/>
      <c r="T75" s="774"/>
      <c r="U75" s="774"/>
      <c r="V75" s="774"/>
      <c r="W75" s="774"/>
      <c r="Z75" s="776"/>
      <c r="AA75" s="777"/>
      <c r="AB75" s="777"/>
    </row>
    <row r="76" spans="2:45" ht="15.5" x14ac:dyDescent="0.35">
      <c r="C76" s="750" t="s">
        <v>6</v>
      </c>
      <c r="D76" s="1817">
        <f>Opex_Breakdown!X62</f>
        <v>6.2231902469105602</v>
      </c>
      <c r="E76" s="1817">
        <f>Opex_Breakdown!Y62</f>
        <v>8.242398450368098</v>
      </c>
      <c r="F76" s="1817">
        <f>Opex_Breakdown!Z62</f>
        <v>7.546636363636364</v>
      </c>
      <c r="G76" s="1817">
        <f>Opex_Breakdown!AA62</f>
        <v>7.6221027272727273</v>
      </c>
      <c r="H76" s="1817">
        <f>Opex_Breakdown!AB62</f>
        <v>7.6983237545454548</v>
      </c>
      <c r="I76" s="1817">
        <f>Opex_Breakdown!AC62</f>
        <v>8.5935107847054972</v>
      </c>
      <c r="J76" s="1817">
        <f>Opex_Breakdown!AD62</f>
        <v>8.7333721358388505</v>
      </c>
      <c r="K76" s="1817">
        <f>Opex_Breakdown!AE62</f>
        <v>8.9072978102846676</v>
      </c>
      <c r="L76" s="1817">
        <f>Opex_Breakdown!AF62</f>
        <v>8.9631092767716272</v>
      </c>
      <c r="M76" s="1817">
        <f>Opex_Breakdown!AG62</f>
        <v>9.1063445935210652</v>
      </c>
      <c r="N76" s="1817">
        <f>Opex_Breakdown!AH62</f>
        <v>8.9447020006187525</v>
      </c>
      <c r="O76" s="1817">
        <f>Opex_Breakdown!AI62</f>
        <v>9.0514458923169183</v>
      </c>
      <c r="P76" s="1817">
        <f>Opex_Breakdown!AJ62</f>
        <v>9.1594697964776088</v>
      </c>
      <c r="Q76" s="1817">
        <f>Opex_Breakdown!AK62</f>
        <v>9.2687890920743836</v>
      </c>
      <c r="R76" s="1817">
        <f>Opex_Breakdown!AL62</f>
        <v>9.3794193444272036</v>
      </c>
      <c r="S76" s="774"/>
      <c r="T76" s="774"/>
      <c r="U76" s="774"/>
      <c r="V76" s="774"/>
      <c r="W76" s="774"/>
      <c r="Y76" s="747" t="s">
        <v>760</v>
      </c>
    </row>
    <row r="77" spans="2:45" x14ac:dyDescent="0.3">
      <c r="C77" s="750" t="s">
        <v>752</v>
      </c>
      <c r="D77" s="1817">
        <f>Opex_Breakdown!X63</f>
        <v>1.965418055417401</v>
      </c>
      <c r="E77" s="1817">
        <f>Opex_Breakdown!Y63</f>
        <v>2.2896003182433207</v>
      </c>
      <c r="F77" s="1817">
        <f>Opex_Breakdown!Z63</f>
        <v>1.8733765008576329</v>
      </c>
      <c r="G77" s="1817">
        <f>Opex_Breakdown!AA63</f>
        <v>1.8921102658662092</v>
      </c>
      <c r="H77" s="1817">
        <f>Opex_Breakdown!AB63</f>
        <v>1.9110313685248714</v>
      </c>
      <c r="I77" s="1817">
        <f>Opex_Breakdown!AC63</f>
        <v>2.1332525363891568</v>
      </c>
      <c r="J77" s="1817">
        <f>Opex_Breakdown!AD63</f>
        <v>2.1679717087417476</v>
      </c>
      <c r="K77" s="1817">
        <f>Opex_Breakdown!AE63</f>
        <v>2.2111470064111334</v>
      </c>
      <c r="L77" s="1817">
        <f>Opex_Breakdown!AF63</f>
        <v>2.2250016410797486</v>
      </c>
      <c r="M77" s="1817">
        <f>Opex_Breakdown!AG63</f>
        <v>2.260558366428842</v>
      </c>
      <c r="N77" s="1817">
        <f>Opex_Breakdown!AH63</f>
        <v>2.2204322200916442</v>
      </c>
      <c r="O77" s="1817">
        <f>Opex_Breakdown!AI63</f>
        <v>2.2469303165523407</v>
      </c>
      <c r="P77" s="1817">
        <f>Opex_Breakdown!AJ63</f>
        <v>2.2737461632202223</v>
      </c>
      <c r="Q77" s="1817">
        <f>Opex_Breakdown!AK63</f>
        <v>2.3008835777706467</v>
      </c>
      <c r="R77" s="1817">
        <f>Opex_Breakdown!AL63</f>
        <v>2.3283464241375889</v>
      </c>
      <c r="S77" s="774"/>
      <c r="T77" s="774"/>
      <c r="U77" s="774"/>
      <c r="V77" s="774"/>
      <c r="W77" s="774"/>
    </row>
    <row r="78" spans="2:45" x14ac:dyDescent="0.3">
      <c r="C78" s="750" t="s">
        <v>8</v>
      </c>
      <c r="D78" s="1827">
        <f>Opex_Breakdown!X64</f>
        <v>0</v>
      </c>
      <c r="E78" s="1827">
        <f>Opex_Breakdown!Y64</f>
        <v>5.8251761049188085E-3</v>
      </c>
      <c r="F78" s="1827">
        <f>Opex_Breakdown!Z64</f>
        <v>2.1252144082332764E-3</v>
      </c>
      <c r="G78" s="1827">
        <f>Opex_Breakdown!AA64</f>
        <v>2.1464665523156091E-3</v>
      </c>
      <c r="H78" s="1827">
        <f>Opex_Breakdown!AB64</f>
        <v>2.1679312178387654E-3</v>
      </c>
      <c r="I78" s="1827">
        <f>Opex_Breakdown!AC64</f>
        <v>2.4200255659548014E-3</v>
      </c>
      <c r="J78" s="1827">
        <f>Opex_Breakdown!AD64</f>
        <v>2.4594120348743597E-3</v>
      </c>
      <c r="K78" s="1827">
        <f>Opex_Breakdown!AE64</f>
        <v>2.5083913856053701E-3</v>
      </c>
      <c r="L78" s="1827">
        <f>Opex_Breakdown!AF64</f>
        <v>2.5241084981052174E-3</v>
      </c>
      <c r="M78" s="1827">
        <f>Opex_Breakdown!AG64</f>
        <v>2.5644451122278423E-3</v>
      </c>
      <c r="N78" s="1827">
        <f>Opex_Breakdown!AH64</f>
        <v>2.5189248100869486E-3</v>
      </c>
      <c r="O78" s="1827">
        <f>Opex_Breakdown!AI64</f>
        <v>2.5489850443021459E-3</v>
      </c>
      <c r="P78" s="1827">
        <f>Opex_Breakdown!AJ64</f>
        <v>2.5794057438686593E-3</v>
      </c>
      <c r="Q78" s="1827">
        <f>Opex_Breakdown!AK64</f>
        <v>2.6101912396717503E-3</v>
      </c>
      <c r="R78" s="1827">
        <f>Opex_Breakdown!AL64</f>
        <v>2.6413459150738399E-3</v>
      </c>
      <c r="S78" s="774"/>
      <c r="T78" s="774"/>
      <c r="U78" s="774"/>
      <c r="V78" s="774"/>
      <c r="W78" s="774"/>
      <c r="AA78" s="751" t="s">
        <v>358</v>
      </c>
      <c r="AB78" s="751" t="s">
        <v>359</v>
      </c>
      <c r="AC78" s="751" t="s">
        <v>360</v>
      </c>
      <c r="AD78" s="751" t="s">
        <v>361</v>
      </c>
      <c r="AE78" s="751" t="s">
        <v>362</v>
      </c>
      <c r="AF78" s="751" t="s">
        <v>520</v>
      </c>
      <c r="AG78" s="751" t="s">
        <v>521</v>
      </c>
      <c r="AH78" s="751" t="s">
        <v>522</v>
      </c>
      <c r="AI78" s="751" t="s">
        <v>523</v>
      </c>
      <c r="AJ78" s="751" t="s">
        <v>524</v>
      </c>
      <c r="AK78" s="751" t="s">
        <v>920</v>
      </c>
      <c r="AL78" s="751" t="s">
        <v>921</v>
      </c>
      <c r="AM78" s="751" t="s">
        <v>922</v>
      </c>
      <c r="AN78" s="751" t="s">
        <v>923</v>
      </c>
      <c r="AO78" s="751" t="s">
        <v>924</v>
      </c>
    </row>
    <row r="79" spans="2:45" x14ac:dyDescent="0.3">
      <c r="C79" s="750" t="s">
        <v>753</v>
      </c>
      <c r="D79" s="1817">
        <f>Opex_Breakdown!X66</f>
        <v>11.057257461957359</v>
      </c>
      <c r="E79" s="1817">
        <f>Opex_Breakdown!Y66</f>
        <v>10.283652778538171</v>
      </c>
      <c r="F79" s="1817">
        <f>Opex_Breakdown!Z66</f>
        <v>9.9874451114922813</v>
      </c>
      <c r="G79" s="1817">
        <f>Opex_Breakdown!AA66</f>
        <v>10.087319562607204</v>
      </c>
      <c r="H79" s="1817">
        <f>Opex_Breakdown!AB66</f>
        <v>10.188192758233276</v>
      </c>
      <c r="I79" s="1817">
        <f>Opex_Breakdown!AC66</f>
        <v>11.372910147204585</v>
      </c>
      <c r="J79" s="1817">
        <f>Opex_Breakdown!AD66</f>
        <v>11.558006857892051</v>
      </c>
      <c r="K79" s="1817">
        <f>Opex_Breakdown!AE66</f>
        <v>11.788185316652433</v>
      </c>
      <c r="L79" s="1817">
        <f>Opex_Breakdown!AF66</f>
        <v>11.862047886845467</v>
      </c>
      <c r="M79" s="1817">
        <f>Opex_Breakdown!AG66</f>
        <v>12.051609804914742</v>
      </c>
      <c r="N79" s="1817">
        <f>Opex_Breakdown!AH66</f>
        <v>11.837687145003612</v>
      </c>
      <c r="O79" s="1817">
        <f>Opex_Breakdown!AI66</f>
        <v>11.978955215697933</v>
      </c>
      <c r="P79" s="1817">
        <f>Opex_Breakdown!AJ66</f>
        <v>12.121917293310762</v>
      </c>
      <c r="Q79" s="1817">
        <f>Opex_Breakdown!AK66</f>
        <v>12.266593730837387</v>
      </c>
      <c r="R79" s="1817">
        <f>Opex_Breakdown!AL66</f>
        <v>12.413005127889507</v>
      </c>
      <c r="S79" s="774"/>
      <c r="T79" s="774"/>
      <c r="U79" s="774"/>
      <c r="V79" s="774"/>
      <c r="W79" s="774"/>
      <c r="Z79" s="750" t="s">
        <v>761</v>
      </c>
      <c r="AA79" s="1828">
        <f>(Expenditure_Detail!X34*1000000)/Opex_FO!X15</f>
        <v>343.82300785318211</v>
      </c>
      <c r="AB79" s="1828">
        <f>(Expenditure_Detail!Y34*1000000)/Opex_FO!Y15</f>
        <v>345.91282165039928</v>
      </c>
      <c r="AC79" s="1828">
        <f>(Expenditure_Detail!Z34*1000000)/Opex_FO!Z15</f>
        <v>322.63268269075655</v>
      </c>
      <c r="AD79" s="1828">
        <f>(Expenditure_Detail!AA34*1000000)/Opex_FO!AA15</f>
        <v>346.60210341575856</v>
      </c>
      <c r="AE79" s="1828">
        <f>(Expenditure_Detail!AB34*1000000)/Opex_FO!AB15</f>
        <v>344.90639840883205</v>
      </c>
      <c r="AF79" s="1828">
        <f>(Expenditure_Detail!AC34*1000000)/Opex_FO!AC15</f>
        <v>343.21898941465963</v>
      </c>
      <c r="AG79" s="1828">
        <f>(Expenditure_Detail!AD34*1000000)/Opex_FO!AD15</f>
        <v>341.53983584609477</v>
      </c>
      <c r="AH79" s="1828">
        <f>(Expenditure_Detail!AE34*1000000)/Opex_FO!AE15</f>
        <v>339.86889731455807</v>
      </c>
      <c r="AI79" s="1828">
        <f>(Expenditure_Detail!AF34*1000000)/Opex_FO!AF15</f>
        <v>338.20613362906602</v>
      </c>
      <c r="AJ79" s="1828">
        <f>(Expenditure_Detail!AG34*1000000)/Opex_FO!AG15</f>
        <v>336.55150479526429</v>
      </c>
      <c r="AK79" s="1828">
        <f>(Expenditure_Detail!AH34*1000000)/Opex_FO!AH15</f>
        <v>334.9049710144655</v>
      </c>
      <c r="AL79" s="1828">
        <f>(Expenditure_Detail!AI34*1000000)/Opex_FO!AI15</f>
        <v>333.2664926826921</v>
      </c>
      <c r="AM79" s="1828">
        <f>(Expenditure_Detail!AJ34*1000000)/Opex_FO!AJ15</f>
        <v>331.63603038972394</v>
      </c>
      <c r="AN79" s="1828">
        <f>(Expenditure_Detail!AK34*1000000)/Opex_FO!AK15</f>
        <v>330.01354491814993</v>
      </c>
      <c r="AO79" s="1828">
        <f>(Expenditure_Detail!AL34*1000000)/Opex_FO!AL15</f>
        <v>328.39899724242503</v>
      </c>
    </row>
    <row r="80" spans="2:45" x14ac:dyDescent="0.3">
      <c r="C80" s="750" t="s">
        <v>11</v>
      </c>
      <c r="D80" s="1827">
        <f>Opex_Breakdown!X67</f>
        <v>5.7023888911337278E-2</v>
      </c>
      <c r="E80" s="1827">
        <f>Opex_Breakdown!Y67</f>
        <v>1.1678810964714124E-2</v>
      </c>
      <c r="F80" s="1827">
        <f>Opex_Breakdown!Z67</f>
        <v>1.1476157804459692</v>
      </c>
      <c r="G80" s="1827">
        <f>Opex_Breakdown!AA67</f>
        <v>1.159091938250429</v>
      </c>
      <c r="H80" s="1827">
        <f>Opex_Breakdown!AB67</f>
        <v>1.1706828576329333</v>
      </c>
      <c r="I80" s="1827">
        <f>Opex_Breakdown!AC67</f>
        <v>1.3068138056155925</v>
      </c>
      <c r="J80" s="1827">
        <f>Opex_Breakdown!AD67</f>
        <v>1.3280824988321545</v>
      </c>
      <c r="K80" s="1827">
        <f>Opex_Breakdown!AE67</f>
        <v>1.3545313482268997</v>
      </c>
      <c r="L80" s="1827">
        <f>Opex_Breakdown!AF67</f>
        <v>1.3630185889768176</v>
      </c>
      <c r="M80" s="1827">
        <f>Opex_Breakdown!AG67</f>
        <v>1.3848003606030346</v>
      </c>
      <c r="N80" s="1827">
        <f>Opex_Breakdown!AH67</f>
        <v>1.3602193974469521</v>
      </c>
      <c r="O80" s="1827">
        <f>Opex_Breakdown!AI67</f>
        <v>1.3764519239231585</v>
      </c>
      <c r="P80" s="1827">
        <f>Opex_Breakdown!AJ67</f>
        <v>1.3928791016890758</v>
      </c>
      <c r="Q80" s="1827">
        <f>Opex_Breakdown!AK67</f>
        <v>1.4095032694227447</v>
      </c>
      <c r="R80" s="1827">
        <f>Opex_Breakdown!AL67</f>
        <v>1.4263267941398732</v>
      </c>
      <c r="S80" s="774"/>
      <c r="T80" s="774"/>
      <c r="U80" s="774"/>
      <c r="V80" s="774"/>
      <c r="W80" s="774"/>
    </row>
    <row r="81" spans="2:41" x14ac:dyDescent="0.3">
      <c r="C81" s="750" t="s">
        <v>392</v>
      </c>
      <c r="D81" s="1827">
        <f>Opex_Breakdown!X61</f>
        <v>0</v>
      </c>
      <c r="E81" s="1827">
        <f>Opex_Breakdown!Y61</f>
        <v>0</v>
      </c>
      <c r="F81" s="1827">
        <f>Opex_Breakdown!Z61</f>
        <v>0</v>
      </c>
      <c r="G81" s="1827">
        <f>Opex_Breakdown!AA61</f>
        <v>-0.10101527066157762</v>
      </c>
      <c r="H81" s="1827">
        <f>Opex_Breakdown!AB61</f>
        <v>0</v>
      </c>
      <c r="I81" s="1827">
        <f>Opex_Breakdown!AC61</f>
        <v>0</v>
      </c>
      <c r="J81" s="1827">
        <f>Opex_Breakdown!AD61</f>
        <v>0</v>
      </c>
      <c r="K81" s="1827">
        <f>Opex_Breakdown!AE61</f>
        <v>0</v>
      </c>
      <c r="L81" s="1827">
        <f>Opex_Breakdown!AF61</f>
        <v>0</v>
      </c>
      <c r="M81" s="1827">
        <f>Opex_Breakdown!AG61</f>
        <v>0</v>
      </c>
      <c r="N81" s="1827">
        <f>Opex_Breakdown!AH61</f>
        <v>0</v>
      </c>
      <c r="O81" s="1827">
        <f>Opex_Breakdown!AI61</f>
        <v>0</v>
      </c>
      <c r="P81" s="1827">
        <f>Opex_Breakdown!AJ61</f>
        <v>0</v>
      </c>
      <c r="Q81" s="1827">
        <f>Opex_Breakdown!AK61</f>
        <v>0</v>
      </c>
      <c r="R81" s="1827">
        <f>Opex_Breakdown!AL61</f>
        <v>0</v>
      </c>
      <c r="S81" s="774"/>
      <c r="T81" s="774"/>
      <c r="U81" s="774"/>
      <c r="V81" s="774"/>
      <c r="W81" s="774"/>
      <c r="AA81" s="751" t="s">
        <v>358</v>
      </c>
      <c r="AB81" s="751" t="s">
        <v>359</v>
      </c>
      <c r="AC81" s="751" t="s">
        <v>360</v>
      </c>
      <c r="AD81" s="751" t="s">
        <v>361</v>
      </c>
      <c r="AE81" s="751" t="s">
        <v>362</v>
      </c>
      <c r="AF81" s="751" t="s">
        <v>520</v>
      </c>
      <c r="AG81" s="751" t="s">
        <v>521</v>
      </c>
      <c r="AH81" s="751" t="s">
        <v>522</v>
      </c>
      <c r="AI81" s="751" t="s">
        <v>523</v>
      </c>
      <c r="AJ81" s="751" t="s">
        <v>524</v>
      </c>
      <c r="AK81" s="751" t="s">
        <v>920</v>
      </c>
      <c r="AL81" s="751" t="s">
        <v>921</v>
      </c>
      <c r="AM81" s="751" t="s">
        <v>922</v>
      </c>
      <c r="AN81" s="751" t="s">
        <v>923</v>
      </c>
      <c r="AO81" s="751" t="s">
        <v>924</v>
      </c>
    </row>
    <row r="82" spans="2:41" x14ac:dyDescent="0.3">
      <c r="C82" s="750" t="s">
        <v>747</v>
      </c>
      <c r="D82" s="1817">
        <f>Opex_Breakdown!X65</f>
        <v>4.5114564831261111E-2</v>
      </c>
      <c r="E82" s="1817">
        <f>Opex_Breakdown!Y65</f>
        <v>0.21946938935842863</v>
      </c>
      <c r="F82" s="1817">
        <f>Opex_Breakdown!Z65</f>
        <v>0.24652487135506004</v>
      </c>
      <c r="G82" s="1817">
        <f>Opex_Breakdown!AA65</f>
        <v>0.24899012006861065</v>
      </c>
      <c r="H82" s="1817">
        <f>Opex_Breakdown!AB65</f>
        <v>0.25148002126929675</v>
      </c>
      <c r="I82" s="1817">
        <f>Opex_Breakdown!AC65</f>
        <v>0.28072296565075688</v>
      </c>
      <c r="J82" s="1817">
        <f>Opex_Breakdown!AD65</f>
        <v>0.28529179604542565</v>
      </c>
      <c r="K82" s="1817">
        <f>Opex_Breakdown!AE65</f>
        <v>0.29097340073022288</v>
      </c>
      <c r="L82" s="1817">
        <f>Opex_Breakdown!AF65</f>
        <v>0.29279658578020518</v>
      </c>
      <c r="M82" s="1817">
        <f>Opex_Breakdown!AG65</f>
        <v>0.29747563301842961</v>
      </c>
      <c r="N82" s="1817">
        <f>Opex_Breakdown!AH65</f>
        <v>0.29219527797008593</v>
      </c>
      <c r="O82" s="1817">
        <f>Opex_Breakdown!AI65</f>
        <v>0.29568226513904883</v>
      </c>
      <c r="P82" s="1817">
        <f>Opex_Breakdown!AJ65</f>
        <v>0.29921106628876432</v>
      </c>
      <c r="Q82" s="1817">
        <f>Opex_Breakdown!AK65</f>
        <v>0.3027821838019229</v>
      </c>
      <c r="R82" s="1817">
        <f>Opex_Breakdown!AL65</f>
        <v>0.30639612614856526</v>
      </c>
      <c r="S82" s="774"/>
      <c r="T82" s="774"/>
      <c r="U82" s="774"/>
      <c r="V82" s="774"/>
      <c r="W82" s="774"/>
      <c r="Z82" s="750" t="s">
        <v>762</v>
      </c>
      <c r="AA82" s="1828">
        <f>Expenditure_Detail!X33/Opex_FO!X15</f>
        <v>2.6834520224054944E-3</v>
      </c>
      <c r="AB82" s="1828">
        <f>Expenditure_Detail!Y33/Opex_FO!Y15</f>
        <v>2.5801353149955634E-3</v>
      </c>
      <c r="AC82" s="1828">
        <f>Expenditure_Detail!Z33/Opex_FO!Z15</f>
        <v>2.5622412217024249E-3</v>
      </c>
      <c r="AD82" s="1828">
        <f>Expenditure_Detail!AA33/Opex_FO!AA15</f>
        <v>2.5906328583403188E-3</v>
      </c>
      <c r="AE82" s="1828">
        <f>Expenditure_Detail!AB33/Opex_FO!AB15</f>
        <v>2.534865810509118E-3</v>
      </c>
      <c r="AF82" s="1828">
        <f>Expenditure_Detail!AC33/Opex_FO!AC15</f>
        <v>2.5053780872361228E-3</v>
      </c>
      <c r="AG82" s="1828">
        <f>Expenditure_Detail!AD33/Opex_FO!AD15</f>
        <v>2.4759852710060822E-3</v>
      </c>
      <c r="AH82" s="1828">
        <f>Expenditure_Detail!AE33/Opex_FO!AE15</f>
        <v>2.4466969400204399E-3</v>
      </c>
      <c r="AI82" s="1828">
        <f>Expenditure_Detail!AF33/Opex_FO!AF15</f>
        <v>2.4175222161332264E-3</v>
      </c>
      <c r="AJ82" s="1828">
        <f>Expenditure_Detail!AG33/Opex_FO!AG15</f>
        <v>2.3884697800596998E-3</v>
      </c>
      <c r="AK82" s="1828">
        <f>Expenditure_Detail!AH33/Opex_FO!AH15</f>
        <v>2.3370545793147744E-3</v>
      </c>
      <c r="AL82" s="1828">
        <f>Expenditure_Detail!AI33/Opex_FO!AI15</f>
        <v>2.2867461637130866E-3</v>
      </c>
      <c r="AM82" s="1828">
        <f>Expenditure_Detail!AJ33/Opex_FO!AJ15</f>
        <v>2.2375207081341358E-3</v>
      </c>
      <c r="AN82" s="1828">
        <f>Expenditure_Detail!AK33/Opex_FO!AK15</f>
        <v>2.1893549003269425E-3</v>
      </c>
      <c r="AO82" s="1828">
        <f>Expenditure_Detail!AL33/Opex_FO!AL15</f>
        <v>2.1422259298698068E-3</v>
      </c>
    </row>
    <row r="83" spans="2:41" x14ac:dyDescent="0.3">
      <c r="C83" s="749" t="s">
        <v>763</v>
      </c>
      <c r="D83" s="1821">
        <f t="shared" ref="D83:M83" si="27">SUM(D75:D82)</f>
        <v>27.064768386700155</v>
      </c>
      <c r="E83" s="1821">
        <f t="shared" si="27"/>
        <v>27.938289946167554</v>
      </c>
      <c r="F83" s="1821">
        <f t="shared" si="27"/>
        <v>25.623710120068612</v>
      </c>
      <c r="G83" s="1821">
        <f t="shared" si="27"/>
        <v>25.778931950607724</v>
      </c>
      <c r="H83" s="1821">
        <f t="shared" si="27"/>
        <v>26.138746693481991</v>
      </c>
      <c r="I83" s="1821">
        <f t="shared" si="27"/>
        <v>29.178248248717033</v>
      </c>
      <c r="J83" s="1821">
        <f t="shared" si="27"/>
        <v>29.653130904480147</v>
      </c>
      <c r="K83" s="1821">
        <f t="shared" si="27"/>
        <v>30.243674936243934</v>
      </c>
      <c r="L83" s="1821">
        <f t="shared" si="27"/>
        <v>30.433176161654604</v>
      </c>
      <c r="M83" s="1821">
        <f t="shared" si="27"/>
        <v>30.919514718131087</v>
      </c>
      <c r="N83" s="1821">
        <f t="shared" ref="N83:R83" si="28">SUM(N75:N82)</f>
        <v>30.370676435218332</v>
      </c>
      <c r="O83" s="1821">
        <f t="shared" si="28"/>
        <v>30.73311267915097</v>
      </c>
      <c r="P83" s="1821">
        <f t="shared" si="28"/>
        <v>31.099895053824419</v>
      </c>
      <c r="Q83" s="1821">
        <f t="shared" si="28"/>
        <v>31.471075776722291</v>
      </c>
      <c r="R83" s="1821">
        <f t="shared" si="28"/>
        <v>31.846707698045279</v>
      </c>
      <c r="S83" s="774"/>
      <c r="T83" s="774"/>
      <c r="U83" s="774"/>
      <c r="V83" s="774"/>
      <c r="W83" s="774"/>
    </row>
    <row r="84" spans="2:41" ht="11.25" customHeight="1" x14ac:dyDescent="0.3">
      <c r="S84" s="774"/>
      <c r="T84" s="774"/>
      <c r="U84" s="774"/>
      <c r="V84" s="774"/>
      <c r="W84" s="774"/>
      <c r="AA84" s="751" t="s">
        <v>358</v>
      </c>
      <c r="AB84" s="751" t="s">
        <v>359</v>
      </c>
      <c r="AC84" s="751" t="s">
        <v>360</v>
      </c>
      <c r="AD84" s="751" t="s">
        <v>361</v>
      </c>
      <c r="AE84" s="751" t="s">
        <v>362</v>
      </c>
      <c r="AF84" s="751" t="s">
        <v>520</v>
      </c>
      <c r="AG84" s="751" t="s">
        <v>521</v>
      </c>
      <c r="AH84" s="751" t="s">
        <v>522</v>
      </c>
      <c r="AI84" s="751" t="s">
        <v>523</v>
      </c>
      <c r="AJ84" s="751" t="s">
        <v>524</v>
      </c>
      <c r="AK84" s="751" t="s">
        <v>920</v>
      </c>
      <c r="AL84" s="751" t="s">
        <v>921</v>
      </c>
      <c r="AM84" s="751" t="s">
        <v>922</v>
      </c>
      <c r="AN84" s="751" t="s">
        <v>923</v>
      </c>
      <c r="AO84" s="751" t="s">
        <v>924</v>
      </c>
    </row>
    <row r="85" spans="2:41" x14ac:dyDescent="0.3">
      <c r="B85" s="749" t="s">
        <v>764</v>
      </c>
      <c r="D85" s="751" t="s">
        <v>358</v>
      </c>
      <c r="E85" s="751" t="s">
        <v>359</v>
      </c>
      <c r="F85" s="751" t="s">
        <v>360</v>
      </c>
      <c r="G85" s="751" t="s">
        <v>361</v>
      </c>
      <c r="H85" s="751" t="s">
        <v>362</v>
      </c>
      <c r="I85" s="751" t="s">
        <v>520</v>
      </c>
      <c r="J85" s="751" t="s">
        <v>521</v>
      </c>
      <c r="K85" s="751" t="s">
        <v>522</v>
      </c>
      <c r="L85" s="751" t="s">
        <v>523</v>
      </c>
      <c r="M85" s="751" t="s">
        <v>524</v>
      </c>
      <c r="N85" s="751" t="s">
        <v>920</v>
      </c>
      <c r="O85" s="751" t="s">
        <v>921</v>
      </c>
      <c r="P85" s="751" t="s">
        <v>922</v>
      </c>
      <c r="Q85" s="751" t="s">
        <v>923</v>
      </c>
      <c r="R85" s="751" t="s">
        <v>924</v>
      </c>
      <c r="S85" s="774"/>
      <c r="T85" s="774"/>
      <c r="U85" s="774"/>
      <c r="V85" s="774"/>
      <c r="W85" s="774"/>
      <c r="Z85" s="750" t="s">
        <v>765</v>
      </c>
      <c r="AA85" s="1828">
        <f>(Expenditure_Detail!X34*1000000)/Expenditure_Detail!X33</f>
        <v>128127.13064456916</v>
      </c>
      <c r="AB85" s="1828">
        <f>(Expenditure_Detail!Y34*1000000)/Expenditure_Detail!Y33</f>
        <v>134067.7055346588</v>
      </c>
      <c r="AC85" s="1828">
        <f>(Expenditure_Detail!Z34*1000000)/Expenditure_Detail!Z33</f>
        <v>125918.15320041974</v>
      </c>
      <c r="AD85" s="1828">
        <f>(Expenditure_Detail!AA34*1000000)/Expenditure_Detail!AA33</f>
        <v>133790.51466127398</v>
      </c>
      <c r="AE85" s="1828">
        <f>(Expenditure_Detail!AB34*1000000)/Expenditure_Detail!AB33</f>
        <v>136064.95341051562</v>
      </c>
      <c r="AF85" s="1828">
        <f>(Expenditure_Detail!AC34*1000000)/Expenditure_Detail!AC33</f>
        <v>136992.8918765675</v>
      </c>
      <c r="AG85" s="1828">
        <f>(Expenditure_Detail!AD34*1000000)/Expenditure_Detail!AD33</f>
        <v>137940.98044343971</v>
      </c>
      <c r="AH85" s="1828">
        <f>(Expenditure_Detail!AE34*1000000)/Expenditure_Detail!AE33</f>
        <v>138909.27468594405</v>
      </c>
      <c r="AI85" s="1828">
        <f>(Expenditure_Detail!AF34*1000000)/Expenditure_Detail!AF33</f>
        <v>139897.83894107051</v>
      </c>
      <c r="AJ85" s="1828">
        <f>(Expenditure_Detail!AG34*1000000)/Expenditure_Detail!AG33</f>
        <v>140906.74607021917</v>
      </c>
      <c r="AK85" s="1828">
        <f>(Expenditure_Detail!AH34*1000000)/Expenditure_Detail!AH33</f>
        <v>143302.16075341287</v>
      </c>
      <c r="AL85" s="1828">
        <f>(Expenditure_Detail!AI34*1000000)/Expenditure_Detail!AI33</f>
        <v>145738.29748622086</v>
      </c>
      <c r="AM85" s="1828">
        <f>(Expenditure_Detail!AJ34*1000000)/Expenditure_Detail!AJ33</f>
        <v>148215.84854348662</v>
      </c>
      <c r="AN85" s="1828">
        <f>(Expenditure_Detail!AK34*1000000)/Expenditure_Detail!AK33</f>
        <v>150735.51796872588</v>
      </c>
      <c r="AO85" s="1828">
        <f>(Expenditure_Detail!AL34*1000000)/Expenditure_Detail!AL33</f>
        <v>153298.0217741942</v>
      </c>
    </row>
    <row r="86" spans="2:41" x14ac:dyDescent="0.3">
      <c r="C86" s="748" t="s">
        <v>764</v>
      </c>
      <c r="D86" s="1830">
        <f>(Opex_Breakdown!X17*1000000)/Opex_FO!X15</f>
        <v>887.94263811434439</v>
      </c>
      <c r="E86" s="1830">
        <f>(Opex_Breakdown!Y17*1000000)/Opex_FO!Y15</f>
        <v>845.84542811246274</v>
      </c>
      <c r="F86" s="1830">
        <f>(Opex_Breakdown!Z17*1000000)/Opex_FO!Z15</f>
        <v>780.04236698388536</v>
      </c>
      <c r="G86" s="1830">
        <f>(Opex_Breakdown!AA17*1000000)/Opex_FO!AA15</f>
        <v>850.69238789991221</v>
      </c>
      <c r="H86" s="1830">
        <f>(Opex_Breakdown!AB17*1000000)/Opex_FO!AB15</f>
        <v>840.70382757232005</v>
      </c>
      <c r="I86" s="1830">
        <f>(Opex_Breakdown!AC17*1000000)/Opex_FO!AC15</f>
        <v>828.54493552541578</v>
      </c>
      <c r="J86" s="1830">
        <f>(Opex_Breakdown!AD17*1000000)/Opex_FO!AD15</f>
        <v>823.96084918594659</v>
      </c>
      <c r="K86" s="1830">
        <f>(Opex_Breakdown!AE17*1000000)/Opex_FO!AE15</f>
        <v>822.22300176169006</v>
      </c>
      <c r="L86" s="1830">
        <f>(Opex_Breakdown!AF17*1000000)/Opex_FO!AF15</f>
        <v>809.564479169224</v>
      </c>
      <c r="M86" s="1830">
        <f>(Opex_Breakdown!AG17*1000000)/Opex_FO!AG15</f>
        <v>804.79623859742867</v>
      </c>
      <c r="N86" s="1830">
        <f>(Opex_Breakdown!AH17*1000000)/Opex_FO!AH15</f>
        <v>773.49380192101239</v>
      </c>
      <c r="O86" s="1830">
        <f>(Opex_Breakdown!AI17*1000000)/Opex_FO!AI15</f>
        <v>765.87523313746351</v>
      </c>
      <c r="P86" s="1830">
        <f>(Opex_Breakdown!AJ17*1000000)/Opex_FO!AJ15</f>
        <v>758.33221359955667</v>
      </c>
      <c r="Q86" s="1830">
        <f>(Opex_Breakdown!AK17*1000000)/Opex_FO!AK15</f>
        <v>750.86398562907209</v>
      </c>
      <c r="R86" s="1830">
        <f>(Opex_Breakdown!AL17*1000000)/Opex_FO!AL15</f>
        <v>743.46979940045776</v>
      </c>
      <c r="S86" s="774"/>
      <c r="T86" s="774"/>
      <c r="U86" s="774"/>
      <c r="V86" s="774"/>
      <c r="W86" s="774"/>
    </row>
    <row r="87" spans="2:41" ht="15.5" x14ac:dyDescent="0.35">
      <c r="S87" s="774"/>
      <c r="T87" s="774"/>
      <c r="U87" s="774"/>
      <c r="V87" s="774"/>
      <c r="W87" s="774"/>
      <c r="Y87" s="747" t="s">
        <v>766</v>
      </c>
    </row>
    <row r="88" spans="2:41" x14ac:dyDescent="0.3">
      <c r="B88" s="749" t="s">
        <v>767</v>
      </c>
      <c r="D88" s="751" t="s">
        <v>358</v>
      </c>
      <c r="E88" s="751" t="s">
        <v>359</v>
      </c>
      <c r="F88" s="751" t="s">
        <v>360</v>
      </c>
      <c r="G88" s="751" t="s">
        <v>361</v>
      </c>
      <c r="H88" s="751" t="s">
        <v>362</v>
      </c>
      <c r="I88" s="751" t="s">
        <v>520</v>
      </c>
      <c r="J88" s="751" t="s">
        <v>521</v>
      </c>
      <c r="K88" s="751" t="s">
        <v>522</v>
      </c>
      <c r="L88" s="751" t="s">
        <v>523</v>
      </c>
      <c r="M88" s="751" t="s">
        <v>524</v>
      </c>
      <c r="N88" s="751" t="s">
        <v>920</v>
      </c>
      <c r="O88" s="751" t="s">
        <v>921</v>
      </c>
      <c r="P88" s="751" t="s">
        <v>922</v>
      </c>
      <c r="Q88" s="751" t="s">
        <v>923</v>
      </c>
      <c r="R88" s="751" t="s">
        <v>924</v>
      </c>
      <c r="S88" s="774"/>
      <c r="T88" s="774"/>
      <c r="U88" s="774"/>
      <c r="V88" s="774"/>
      <c r="W88" s="774"/>
    </row>
    <row r="89" spans="2:41" x14ac:dyDescent="0.3">
      <c r="C89" s="748" t="s">
        <v>767</v>
      </c>
      <c r="D89" s="1829">
        <f>(Opex_Breakdown!X12*1000000)/Opex_FO!X15</f>
        <v>499.60448501669168</v>
      </c>
      <c r="E89" s="1829">
        <f>(Opex_Breakdown!Y12*1000000)/Opex_FO!Y15</f>
        <v>455.60399446498155</v>
      </c>
      <c r="F89" s="1829">
        <f>(Opex_Breakdown!Z12*1000000)/Opex_FO!Z15</f>
        <v>432.62517857552973</v>
      </c>
      <c r="G89" s="1829">
        <f>(Opex_Breakdown!AA12*1000000)/Opex_FO!AA15</f>
        <v>508.82699459739291</v>
      </c>
      <c r="H89" s="1829">
        <f>(Opex_Breakdown!AB12*1000000)/Opex_FO!AB15</f>
        <v>502.85250933793219</v>
      </c>
      <c r="I89" s="1829">
        <f>(Opex_Breakdown!AC12*1000000)/Opex_FO!AC15</f>
        <v>459.52555381769258</v>
      </c>
      <c r="J89" s="1829">
        <f>(Opex_Breakdown!AD12*1000000)/Opex_FO!AD15</f>
        <v>457.00854346749088</v>
      </c>
      <c r="K89" s="1829">
        <f>(Opex_Breakdown!AE12*1000000)/Opex_FO!AE15</f>
        <v>456.01929846639717</v>
      </c>
      <c r="L89" s="1829">
        <f>(Opex_Breakdown!AF12*1000000)/Opex_FO!AF15</f>
        <v>448.99865980770073</v>
      </c>
      <c r="M89" s="1829">
        <f>(Opex_Breakdown!AG12*1000000)/Opex_FO!AG15</f>
        <v>446.35410995223555</v>
      </c>
      <c r="N89" s="1829">
        <f>(Opex_Breakdown!AH12*1000000)/Opex_FO!AH15</f>
        <v>428.99322953064222</v>
      </c>
      <c r="O89" s="1829">
        <f>(Opex_Breakdown!AI12*1000000)/Opex_FO!AI15</f>
        <v>424.76783765453558</v>
      </c>
      <c r="P89" s="1829">
        <f>(Opex_Breakdown!AJ12*1000000)/Opex_FO!AJ15</f>
        <v>420.5843467151862</v>
      </c>
      <c r="Q89" s="1829">
        <f>(Opex_Breakdown!AK12*1000000)/Opex_FO!AK15</f>
        <v>416.44233649096407</v>
      </c>
      <c r="R89" s="1829">
        <f>(Opex_Breakdown!AL12*1000000)/Opex_FO!AL15</f>
        <v>412.34139111546625</v>
      </c>
      <c r="S89" s="774"/>
      <c r="T89" s="774"/>
      <c r="U89" s="774"/>
      <c r="V89" s="774"/>
      <c r="W89" s="774"/>
      <c r="AA89" s="751" t="s">
        <v>358</v>
      </c>
      <c r="AB89" s="751" t="s">
        <v>359</v>
      </c>
      <c r="AC89" s="751" t="s">
        <v>360</v>
      </c>
      <c r="AD89" s="751" t="s">
        <v>361</v>
      </c>
      <c r="AE89" s="751" t="s">
        <v>362</v>
      </c>
      <c r="AF89" s="751" t="s">
        <v>520</v>
      </c>
      <c r="AG89" s="751" t="s">
        <v>521</v>
      </c>
      <c r="AH89" s="751" t="s">
        <v>522</v>
      </c>
      <c r="AI89" s="751" t="s">
        <v>523</v>
      </c>
      <c r="AJ89" s="751" t="s">
        <v>524</v>
      </c>
      <c r="AK89" s="751" t="s">
        <v>920</v>
      </c>
      <c r="AL89" s="751" t="s">
        <v>921</v>
      </c>
      <c r="AM89" s="751" t="s">
        <v>922</v>
      </c>
      <c r="AN89" s="751" t="s">
        <v>923</v>
      </c>
      <c r="AO89" s="751" t="s">
        <v>924</v>
      </c>
    </row>
    <row r="90" spans="2:41" x14ac:dyDescent="0.3">
      <c r="S90" s="774"/>
      <c r="T90" s="774"/>
      <c r="U90" s="774"/>
      <c r="V90" s="774"/>
      <c r="W90" s="774"/>
      <c r="Z90" s="748" t="s">
        <v>768</v>
      </c>
      <c r="AA90" s="1828">
        <f>(Expenditure_Detail!X114*1000000)/Opex_FO!X19</f>
        <v>29.17082660309546</v>
      </c>
      <c r="AB90" s="1828">
        <f>(Expenditure_Detail!Y114*1000000)/Opex_FO!Y19</f>
        <v>37.713408444358294</v>
      </c>
      <c r="AC90" s="1828">
        <f>(Expenditure_Detail!Z114*1000000)/Opex_FO!Z19</f>
        <v>38.166582159553982</v>
      </c>
      <c r="AD90" s="1828">
        <f>(Expenditure_Detail!AA114*1000000)/Opex_FO!AA19</f>
        <v>38.459972383732826</v>
      </c>
      <c r="AE90" s="1828">
        <f>(Expenditure_Detail!AB114*1000000)/Opex_FO!AB19</f>
        <v>38.384708249909472</v>
      </c>
      <c r="AF90" s="1828">
        <f>(Expenditure_Detail!AC114*1000000)/Opex_FO!AC19</f>
        <v>37.266542703799452</v>
      </c>
      <c r="AG90" s="1828">
        <f>(Expenditure_Detail!AD114*1000000)/Opex_FO!AD19</f>
        <v>37.268716011877522</v>
      </c>
      <c r="AH90" s="1828">
        <f>(Expenditure_Detail!AE114*1000000)/Opex_FO!AE19</f>
        <v>37.270864808953256</v>
      </c>
      <c r="AI90" s="1828">
        <f>(Expenditure_Detail!AF114*1000000)/Opex_FO!AF19</f>
        <v>37.272989066400569</v>
      </c>
      <c r="AJ90" s="1828">
        <f>(Expenditure_Detail!AG114*1000000)/Opex_FO!AG19</f>
        <v>37.504823439070492</v>
      </c>
      <c r="AK90" s="1828">
        <f>(Expenditure_Detail!AH114*1000000)/Opex_FO!AH19</f>
        <v>37.737239887633031</v>
      </c>
      <c r="AL90" s="1828">
        <f>(Expenditure_Detail!AI114*1000000)/Opex_FO!AI19</f>
        <v>37.970228925099072</v>
      </c>
      <c r="AM90" s="1828">
        <f>(Expenditure_Detail!AJ114*1000000)/Opex_FO!AJ19</f>
        <v>38.203780950912204</v>
      </c>
      <c r="AN90" s="1828">
        <f>(Expenditure_Detail!AK114*1000000)/Opex_FO!AK19</f>
        <v>38.437886252040869</v>
      </c>
      <c r="AO90" s="1828">
        <f>(Expenditure_Detail!AL114*1000000)/Opex_FO!AL19</f>
        <v>38.672535004109371</v>
      </c>
    </row>
    <row r="91" spans="2:41" x14ac:dyDescent="0.3">
      <c r="B91" s="749" t="s">
        <v>769</v>
      </c>
      <c r="D91" s="751" t="s">
        <v>358</v>
      </c>
      <c r="E91" s="751" t="s">
        <v>359</v>
      </c>
      <c r="F91" s="751" t="s">
        <v>360</v>
      </c>
      <c r="G91" s="751" t="s">
        <v>361</v>
      </c>
      <c r="H91" s="751" t="s">
        <v>362</v>
      </c>
      <c r="I91" s="751" t="s">
        <v>520</v>
      </c>
      <c r="J91" s="751" t="s">
        <v>521</v>
      </c>
      <c r="K91" s="751" t="s">
        <v>522</v>
      </c>
      <c r="L91" s="751" t="s">
        <v>523</v>
      </c>
      <c r="M91" s="751" t="s">
        <v>524</v>
      </c>
      <c r="N91" s="751" t="s">
        <v>920</v>
      </c>
      <c r="O91" s="751" t="s">
        <v>921</v>
      </c>
      <c r="P91" s="751" t="s">
        <v>922</v>
      </c>
      <c r="Q91" s="751" t="s">
        <v>923</v>
      </c>
      <c r="R91" s="751" t="s">
        <v>924</v>
      </c>
      <c r="S91" s="774"/>
      <c r="T91" s="774"/>
      <c r="U91" s="774"/>
      <c r="V91" s="774"/>
      <c r="W91" s="774"/>
    </row>
    <row r="92" spans="2:41" ht="12.75" customHeight="1" x14ac:dyDescent="0.35">
      <c r="C92" s="748" t="s">
        <v>769</v>
      </c>
      <c r="D92" s="1829">
        <f>(Opex_Breakdown!X13*1000000)/Opex_FO!X17</f>
        <v>441.81525642404489</v>
      </c>
      <c r="E92" s="1829">
        <f>(Opex_Breakdown!Y13*1000000)/Opex_FO!Y17</f>
        <v>443.67860034908563</v>
      </c>
      <c r="F92" s="1829">
        <f>(Opex_Breakdown!Z13*1000000)/Opex_FO!Z17</f>
        <v>395.17861701284005</v>
      </c>
      <c r="G92" s="1829">
        <f>(Opex_Breakdown!AA13*1000000)/Opex_FO!AA17</f>
        <v>387.29743727165237</v>
      </c>
      <c r="H92" s="1829">
        <f>(Opex_Breakdown!AB13*1000000)/Opex_FO!AB17</f>
        <v>382.74991354634932</v>
      </c>
      <c r="I92" s="1829">
        <f>(Opex_Breakdown!AC13*1000000)/Opex_FO!AC17</f>
        <v>418.06004245799636</v>
      </c>
      <c r="J92" s="1829">
        <f>(Opex_Breakdown!AD13*1000000)/Opex_FO!AD17</f>
        <v>415.71826335729463</v>
      </c>
      <c r="K92" s="1829">
        <f>(Opex_Breakdown!AE13*1000000)/Opex_FO!AE17</f>
        <v>414.87017575993502</v>
      </c>
      <c r="L92" s="1829">
        <f>(Opex_Breakdown!AF13*1000000)/Opex_FO!AF17</f>
        <v>408.48304783777115</v>
      </c>
      <c r="M92" s="1829">
        <f>(Opex_Breakdown!AG13*1000000)/Opex_FO!AG17</f>
        <v>406.07713022193224</v>
      </c>
      <c r="N92" s="1829">
        <f>(Opex_Breakdown!AH13*1000000)/Opex_FO!AH17</f>
        <v>390.28281727053786</v>
      </c>
      <c r="O92" s="1829">
        <f>(Opex_Breakdown!AI13*1000000)/Opex_FO!AI17</f>
        <v>386.4387056809839</v>
      </c>
      <c r="P92" s="1829">
        <f>(Opex_Breakdown!AJ13*1000000)/Opex_FO!AJ17</f>
        <v>382.63271407682407</v>
      </c>
      <c r="Q92" s="1829">
        <f>(Opex_Breakdown!AK13*1000000)/Opex_FO!AK17</f>
        <v>378.86446015533107</v>
      </c>
      <c r="R92" s="1829">
        <f>(Opex_Breakdown!AL13*1000000)/Opex_FO!AL17</f>
        <v>375.13356557600866</v>
      </c>
      <c r="S92" s="774"/>
      <c r="T92" s="774"/>
      <c r="U92" s="774"/>
      <c r="V92" s="774"/>
      <c r="W92" s="774"/>
      <c r="Y92" s="747" t="s">
        <v>770</v>
      </c>
    </row>
    <row r="93" spans="2:41" x14ac:dyDescent="0.3">
      <c r="S93" s="774"/>
      <c r="T93" s="774"/>
      <c r="U93" s="774"/>
      <c r="V93" s="774"/>
      <c r="W93" s="774"/>
    </row>
    <row r="94" spans="2:41" ht="15.5" x14ac:dyDescent="0.35">
      <c r="B94" s="747" t="s">
        <v>771</v>
      </c>
      <c r="S94" s="774"/>
      <c r="T94" s="774"/>
      <c r="U94" s="774"/>
      <c r="V94" s="774"/>
      <c r="W94" s="774"/>
      <c r="Y94" s="747"/>
      <c r="AA94" s="751" t="s">
        <v>358</v>
      </c>
      <c r="AB94" s="751" t="s">
        <v>359</v>
      </c>
      <c r="AC94" s="751" t="s">
        <v>360</v>
      </c>
      <c r="AD94" s="751" t="s">
        <v>361</v>
      </c>
      <c r="AE94" s="751" t="s">
        <v>362</v>
      </c>
      <c r="AF94" s="751" t="s">
        <v>520</v>
      </c>
      <c r="AG94" s="751" t="s">
        <v>521</v>
      </c>
      <c r="AH94" s="751" t="s">
        <v>522</v>
      </c>
      <c r="AI94" s="751" t="s">
        <v>523</v>
      </c>
      <c r="AJ94" s="751" t="s">
        <v>524</v>
      </c>
      <c r="AK94" s="751" t="s">
        <v>920</v>
      </c>
      <c r="AL94" s="751" t="s">
        <v>921</v>
      </c>
      <c r="AM94" s="751" t="s">
        <v>922</v>
      </c>
      <c r="AN94" s="751" t="s">
        <v>923</v>
      </c>
      <c r="AO94" s="751" t="s">
        <v>924</v>
      </c>
    </row>
    <row r="95" spans="2:41" ht="15.5" x14ac:dyDescent="0.35">
      <c r="B95" s="747"/>
      <c r="S95" s="774"/>
      <c r="T95" s="774"/>
      <c r="U95" s="774"/>
      <c r="V95" s="774"/>
      <c r="W95" s="774"/>
      <c r="Z95" s="748" t="s">
        <v>772</v>
      </c>
      <c r="AA95" s="1828">
        <f>(Expenditure_Detail!X92*1000000)/Opex_FO!X19</f>
        <v>436.21410639657455</v>
      </c>
      <c r="AB95" s="1828">
        <f>(Expenditure_Detail!Y92*1000000)/Opex_FO!Y19</f>
        <v>399.64054932358545</v>
      </c>
      <c r="AC95" s="1828">
        <f>(Expenditure_Detail!Z92*1000000)/Opex_FO!Z19</f>
        <v>377.16337562337179</v>
      </c>
      <c r="AD95" s="1828">
        <f>(Expenditure_Detail!AA92*1000000)/Opex_FO!AA19</f>
        <v>380.06266712564974</v>
      </c>
      <c r="AE95" s="1828">
        <f>(Expenditure_Detail!AB92*1000000)/Opex_FO!AB19</f>
        <v>379.31890456767388</v>
      </c>
      <c r="AF95" s="1828">
        <f>(Expenditure_Detail!AC92*1000000)/Opex_FO!AC19</f>
        <v>368.2691571704986</v>
      </c>
      <c r="AG95" s="1828">
        <f>(Expenditure_Detail!AD92*1000000)/Opex_FO!AD19</f>
        <v>368.29063386986803</v>
      </c>
      <c r="AH95" s="1828">
        <f>(Expenditure_Detail!AE92*1000000)/Opex_FO!AE19</f>
        <v>368.3118683507347</v>
      </c>
      <c r="AI95" s="1828">
        <f>(Expenditure_Detail!AF92*1000000)/Opex_FO!AF19</f>
        <v>368.33286033021488</v>
      </c>
      <c r="AJ95" s="1828">
        <f>(Expenditure_Detail!AG92*1000000)/Opex_FO!AG19</f>
        <v>370.62385495520323</v>
      </c>
      <c r="AK95" s="1828">
        <f>(Expenditure_Detail!AH92*1000000)/Opex_FO!AH19</f>
        <v>372.92060167262707</v>
      </c>
      <c r="AL95" s="1828">
        <f>(Expenditure_Detail!AI92*1000000)/Opex_FO!AI19</f>
        <v>375.22300673175909</v>
      </c>
      <c r="AM95" s="1828">
        <f>(Expenditure_Detail!AJ92*1000000)/Opex_FO!AJ19</f>
        <v>377.53097525959618</v>
      </c>
      <c r="AN95" s="1828">
        <f>(Expenditure_Detail!AK92*1000000)/Opex_FO!AK19</f>
        <v>379.84441127165223</v>
      </c>
      <c r="AO95" s="1828">
        <f>(Expenditure_Detail!AL92*1000000)/Opex_FO!AL19</f>
        <v>382.16321768313537</v>
      </c>
    </row>
    <row r="96" spans="2:41" x14ac:dyDescent="0.3">
      <c r="D96" s="751" t="s">
        <v>358</v>
      </c>
      <c r="E96" s="751" t="s">
        <v>359</v>
      </c>
      <c r="F96" s="751" t="s">
        <v>360</v>
      </c>
      <c r="G96" s="751" t="s">
        <v>361</v>
      </c>
      <c r="H96" s="751" t="s">
        <v>362</v>
      </c>
      <c r="I96" s="751" t="s">
        <v>520</v>
      </c>
      <c r="J96" s="751" t="s">
        <v>521</v>
      </c>
      <c r="K96" s="751" t="s">
        <v>522</v>
      </c>
      <c r="L96" s="751" t="s">
        <v>523</v>
      </c>
      <c r="M96" s="751" t="s">
        <v>524</v>
      </c>
      <c r="N96" s="751" t="s">
        <v>920</v>
      </c>
      <c r="O96" s="751" t="s">
        <v>921</v>
      </c>
      <c r="P96" s="751" t="s">
        <v>922</v>
      </c>
      <c r="Q96" s="751" t="s">
        <v>923</v>
      </c>
      <c r="R96" s="751" t="s">
        <v>924</v>
      </c>
      <c r="S96" s="774"/>
      <c r="T96" s="774"/>
      <c r="U96" s="774"/>
      <c r="V96" s="774"/>
      <c r="W96" s="774"/>
    </row>
    <row r="97" spans="2:41" ht="15.5" x14ac:dyDescent="0.35">
      <c r="C97" s="750" t="s">
        <v>773</v>
      </c>
      <c r="D97" s="1829">
        <f>(SUM(Capex_FO_AC!X17,Opex_Breakdown!X37)*1000000)/Opex_FO!X15</f>
        <v>1392.4949065211667</v>
      </c>
      <c r="E97" s="1829">
        <f>(SUM(Capex_FO_AC!Y17,Opex_Breakdown!Y37)*1000000)/Opex_FO!Y15</f>
        <v>1376.3264884300781</v>
      </c>
      <c r="F97" s="1829">
        <f>(SUM(Capex_FO_AC!Z17,Opex_Breakdown!Z37)*1000000)/Opex_FO!Z15</f>
        <v>1236.668322131924</v>
      </c>
      <c r="G97" s="1829">
        <f>(SUM(Capex_FO_AC!AA17,Opex_Breakdown!AA37)*1000000)/Opex_FO!AA15</f>
        <v>1306.0378327701717</v>
      </c>
      <c r="H97" s="1829">
        <f>(SUM(Capex_FO_AC!AB17,Opex_Breakdown!AB37)*1000000)/Opex_FO!AB15</f>
        <v>1393.5771708273978</v>
      </c>
      <c r="I97" s="1829">
        <f>(SUM(Capex_FO_AC!AC17,Opex_Breakdown!AC37)*1000000)/Opex_FO!AC15</f>
        <v>1481.6027490482056</v>
      </c>
      <c r="J97" s="1829">
        <f>(SUM(Capex_FO_AC!AD17,Opex_Breakdown!AD37)*1000000)/Opex_FO!AD15</f>
        <v>1501.7617410173129</v>
      </c>
      <c r="K97" s="1829">
        <f>(SUM(Capex_FO_AC!AE17,Opex_Breakdown!AE37)*1000000)/Opex_FO!AE15</f>
        <v>1509.0513496972906</v>
      </c>
      <c r="L97" s="1829">
        <f>(SUM(Capex_FO_AC!AF17,Opex_Breakdown!AF37)*1000000)/Opex_FO!AF15</f>
        <v>1526.9900957485384</v>
      </c>
      <c r="M97" s="1829">
        <f>(SUM(Capex_FO_AC!AG17,Opex_Breakdown!AG37)*1000000)/Opex_FO!AG15</f>
        <v>1551.6795350852813</v>
      </c>
      <c r="N97" s="1829">
        <f>(SUM(Capex_FO_AC!AH17,Opex_Breakdown!AH37)*1000000)/Opex_FO!AH15</f>
        <v>1957.6507234635001</v>
      </c>
      <c r="O97" s="1829">
        <f>(SUM(Capex_FO_AC!AI17,Opex_Breakdown!AI37)*1000000)/Opex_FO!AI15</f>
        <v>1886.1316224071963</v>
      </c>
      <c r="P97" s="1829">
        <f>(SUM(Capex_FO_AC!AJ17,Opex_Breakdown!AJ37)*1000000)/Opex_FO!AJ15</f>
        <v>1562.4739851288293</v>
      </c>
      <c r="Q97" s="1829">
        <f>(SUM(Capex_FO_AC!AK17,Opex_Breakdown!AK37)*1000000)/Opex_FO!AK15</f>
        <v>1399.2430809373909</v>
      </c>
      <c r="R97" s="1829">
        <f>(SUM(Capex_FO_AC!AL17,Opex_Breakdown!AL37)*1000000)/Opex_FO!AL15</f>
        <v>1498.7764928377837</v>
      </c>
      <c r="S97" s="774"/>
      <c r="T97" s="774"/>
      <c r="U97" s="774"/>
      <c r="V97" s="774"/>
      <c r="W97" s="774"/>
      <c r="Y97" s="747" t="s">
        <v>774</v>
      </c>
    </row>
    <row r="98" spans="2:41" x14ac:dyDescent="0.3">
      <c r="S98" s="774"/>
      <c r="T98" s="774"/>
      <c r="U98" s="774"/>
      <c r="V98" s="774"/>
      <c r="W98" s="774"/>
    </row>
    <row r="99" spans="2:41" ht="15.5" x14ac:dyDescent="0.35">
      <c r="B99" s="747" t="s">
        <v>775</v>
      </c>
      <c r="S99" s="774"/>
      <c r="T99" s="774"/>
      <c r="U99" s="774"/>
      <c r="V99" s="774"/>
      <c r="W99" s="774"/>
      <c r="Y99" s="749" t="s">
        <v>347</v>
      </c>
      <c r="AA99" s="751" t="s">
        <v>358</v>
      </c>
      <c r="AB99" s="751" t="s">
        <v>359</v>
      </c>
      <c r="AC99" s="751" t="s">
        <v>360</v>
      </c>
      <c r="AD99" s="751" t="s">
        <v>361</v>
      </c>
      <c r="AE99" s="751" t="s">
        <v>362</v>
      </c>
      <c r="AF99" s="751" t="s">
        <v>520</v>
      </c>
      <c r="AG99" s="751" t="s">
        <v>521</v>
      </c>
      <c r="AH99" s="751" t="s">
        <v>522</v>
      </c>
      <c r="AI99" s="751" t="s">
        <v>523</v>
      </c>
      <c r="AJ99" s="751" t="s">
        <v>524</v>
      </c>
      <c r="AK99" s="751" t="s">
        <v>920</v>
      </c>
      <c r="AL99" s="751" t="s">
        <v>921</v>
      </c>
      <c r="AM99" s="751" t="s">
        <v>922</v>
      </c>
      <c r="AN99" s="751" t="s">
        <v>923</v>
      </c>
      <c r="AO99" s="751" t="s">
        <v>924</v>
      </c>
    </row>
    <row r="100" spans="2:41" x14ac:dyDescent="0.3">
      <c r="D100" s="751" t="s">
        <v>358</v>
      </c>
      <c r="E100" s="751" t="s">
        <v>359</v>
      </c>
      <c r="F100" s="751" t="s">
        <v>360</v>
      </c>
      <c r="G100" s="751" t="s">
        <v>361</v>
      </c>
      <c r="H100" s="751" t="s">
        <v>362</v>
      </c>
      <c r="I100" s="751" t="s">
        <v>520</v>
      </c>
      <c r="J100" s="751" t="s">
        <v>521</v>
      </c>
      <c r="K100" s="751" t="s">
        <v>522</v>
      </c>
      <c r="L100" s="751" t="s">
        <v>523</v>
      </c>
      <c r="M100" s="751" t="s">
        <v>524</v>
      </c>
      <c r="N100" s="751" t="s">
        <v>920</v>
      </c>
      <c r="O100" s="751" t="s">
        <v>921</v>
      </c>
      <c r="P100" s="751" t="s">
        <v>922</v>
      </c>
      <c r="Q100" s="751" t="s">
        <v>923</v>
      </c>
      <c r="R100" s="751" t="s">
        <v>924</v>
      </c>
      <c r="S100" s="774"/>
      <c r="T100" s="774"/>
      <c r="U100" s="774"/>
      <c r="V100" s="774"/>
      <c r="W100" s="774"/>
      <c r="Z100" s="748" t="s">
        <v>776</v>
      </c>
      <c r="AA100" s="1817">
        <f>+'Rev&amp;RAV_FO'!X37</f>
        <v>381.77089091210621</v>
      </c>
      <c r="AB100" s="1817">
        <f>+'Rev&amp;RAV_FO'!Y37</f>
        <v>391.44541992819109</v>
      </c>
      <c r="AC100" s="1817">
        <f>+'Rev&amp;RAV_FO'!Z37</f>
        <v>401.74728460409568</v>
      </c>
      <c r="AD100" s="1817">
        <f>+'Rev&amp;RAV_FO'!AA37</f>
        <v>405.58945076821254</v>
      </c>
      <c r="AE100" s="1817">
        <f>+'Rev&amp;RAV_FO'!AB37</f>
        <v>409.3710695194622</v>
      </c>
      <c r="AF100" s="1817">
        <f>+'Rev&amp;RAV_FO'!AC37</f>
        <v>421.14965328812417</v>
      </c>
      <c r="AG100" s="1817">
        <f>+'Rev&amp;RAV_FO'!AD37</f>
        <v>400.95561958358235</v>
      </c>
      <c r="AH100" s="1817">
        <f>+'Rev&amp;RAV_FO'!AE37</f>
        <v>379.80908181675397</v>
      </c>
      <c r="AI100" s="1817">
        <f>+'Rev&amp;RAV_FO'!AF37</f>
        <v>357.73965413296656</v>
      </c>
      <c r="AJ100" s="1817">
        <f>+'Rev&amp;RAV_FO'!AG37</f>
        <v>334.78105162231714</v>
      </c>
      <c r="AK100" s="1817">
        <f>+'Rev&amp;RAV_FO'!AH37</f>
        <v>310.88304908166822</v>
      </c>
      <c r="AL100" s="1817">
        <f>+'Rev&amp;RAV_FO'!AI37</f>
        <v>286.01547002838981</v>
      </c>
      <c r="AM100" s="1817">
        <f>+'Rev&amp;RAV_FO'!AJ37</f>
        <v>258.61682156641507</v>
      </c>
      <c r="AN100" s="1817">
        <f>+'Rev&amp;RAV_FO'!AK37</f>
        <v>228.96198671755076</v>
      </c>
      <c r="AO100" s="1817">
        <f>+'Rev&amp;RAV_FO'!AL37</f>
        <v>198.39688394117462</v>
      </c>
    </row>
    <row r="101" spans="2:41" x14ac:dyDescent="0.3">
      <c r="C101" s="750" t="s">
        <v>777</v>
      </c>
      <c r="D101" s="1829">
        <f ca="1">Indicators_FO!X225</f>
        <v>3.9705213135419863</v>
      </c>
      <c r="E101" s="1829">
        <f ca="1">Indicators_FO!Y225</f>
        <v>4.5202338765719645</v>
      </c>
      <c r="F101" s="1829">
        <f ca="1">Indicators_FO!Z225</f>
        <v>4.5340223209272486</v>
      </c>
      <c r="G101" s="1829">
        <f ca="1">Indicators_FO!AA225</f>
        <v>3.8961290964137807</v>
      </c>
      <c r="H101" s="1829">
        <f ca="1">Indicators_FO!AB225</f>
        <v>4.2410092727136472</v>
      </c>
      <c r="I101" s="1829">
        <f ca="1">Indicators_FO!AC225</f>
        <v>4.0684341194253468</v>
      </c>
      <c r="J101" s="1829">
        <f ca="1">Indicators_FO!AD225</f>
        <v>3.857268513079692</v>
      </c>
      <c r="K101" s="1829">
        <f ca="1">Indicators_FO!AE225</f>
        <v>3.7767246428027152</v>
      </c>
      <c r="L101" s="1829">
        <f ca="1">Indicators_FO!AF225</f>
        <v>3.812447249670746</v>
      </c>
      <c r="M101" s="1829">
        <f ca="1">Indicators_FO!AG225</f>
        <v>3.8030390564786121</v>
      </c>
      <c r="N101" s="1829">
        <f ca="1">Indicators_FO!AH225</f>
        <v>4.1260322086519308</v>
      </c>
      <c r="O101" s="1829">
        <f ca="1">Indicators_FO!AI225</f>
        <v>3.587244622919461</v>
      </c>
      <c r="P101" s="1829">
        <f ca="1">Indicators_FO!AJ225</f>
        <v>3.2562262237409838</v>
      </c>
      <c r="Q101" s="1829">
        <f ca="1">Indicators_FO!AK225</f>
        <v>3.217797564816816</v>
      </c>
      <c r="R101" s="1829">
        <f ca="1">Indicators_FO!AL225</f>
        <v>3.3038423827455725</v>
      </c>
      <c r="S101" s="774"/>
      <c r="T101" s="774"/>
      <c r="U101" s="774"/>
      <c r="V101" s="774"/>
      <c r="W101" s="774"/>
      <c r="Z101" s="748" t="s">
        <v>778</v>
      </c>
      <c r="AA101" s="1817">
        <f>+'Rev&amp;RAV_FO'!X54</f>
        <v>0</v>
      </c>
      <c r="AB101" s="1817">
        <f>+'Rev&amp;RAV_FO'!Y54</f>
        <v>0</v>
      </c>
      <c r="AC101" s="1817">
        <f>+'Rev&amp;RAV_FO'!Z54</f>
        <v>0</v>
      </c>
      <c r="AD101" s="1817">
        <f>+'Rev&amp;RAV_FO'!AA54</f>
        <v>0</v>
      </c>
      <c r="AE101" s="1817">
        <f>+'Rev&amp;RAV_FO'!AB54</f>
        <v>0</v>
      </c>
      <c r="AF101" s="1817">
        <f>+'Rev&amp;RAV_FO'!AC54</f>
        <v>0</v>
      </c>
      <c r="AG101" s="1817">
        <f>+'Rev&amp;RAV_FO'!AD54</f>
        <v>40.374971200000005</v>
      </c>
      <c r="AH101" s="1817">
        <f>+'Rev&amp;RAV_FO'!AE54</f>
        <v>81.071507200000013</v>
      </c>
      <c r="AI101" s="1817">
        <f>+'Rev&amp;RAV_FO'!AF54</f>
        <v>121.97273120000003</v>
      </c>
      <c r="AJ101" s="1817">
        <f>+'Rev&amp;RAV_FO'!AG54</f>
        <v>164.83088320000005</v>
      </c>
      <c r="AK101" s="1817">
        <f>+'Rev&amp;RAV_FO'!AH54</f>
        <v>209.26961120000004</v>
      </c>
      <c r="AL101" s="1817">
        <f>+'Rev&amp;RAV_FO'!AI54</f>
        <v>287.9002832000001</v>
      </c>
      <c r="AM101" s="1817">
        <f>+'Rev&amp;RAV_FO'!AJ54</f>
        <v>363.21255520000011</v>
      </c>
      <c r="AN101" s="1817">
        <f>+'Rev&amp;RAV_FO'!AK54</f>
        <v>412.14354720000011</v>
      </c>
      <c r="AO101" s="1817">
        <f>+'Rev&amp;RAV_FO'!AL54</f>
        <v>448.33285920000014</v>
      </c>
    </row>
    <row r="102" spans="2:41" x14ac:dyDescent="0.3">
      <c r="S102" s="774"/>
      <c r="T102" s="774"/>
      <c r="U102" s="774"/>
      <c r="V102" s="774"/>
      <c r="W102" s="774"/>
      <c r="Z102" s="749" t="s">
        <v>687</v>
      </c>
      <c r="AA102" s="1821">
        <f t="shared" ref="AA102:AJ102" si="29">SUM(AA100,AA101)</f>
        <v>381.77089091210621</v>
      </c>
      <c r="AB102" s="1821">
        <f t="shared" si="29"/>
        <v>391.44541992819109</v>
      </c>
      <c r="AC102" s="1821">
        <f t="shared" si="29"/>
        <v>401.74728460409568</v>
      </c>
      <c r="AD102" s="1821">
        <f t="shared" si="29"/>
        <v>405.58945076821254</v>
      </c>
      <c r="AE102" s="1821">
        <f t="shared" si="29"/>
        <v>409.3710695194622</v>
      </c>
      <c r="AF102" s="1821">
        <f t="shared" si="29"/>
        <v>421.14965328812417</v>
      </c>
      <c r="AG102" s="1821">
        <f t="shared" si="29"/>
        <v>441.33059078358235</v>
      </c>
      <c r="AH102" s="1821">
        <f t="shared" si="29"/>
        <v>460.88058901675402</v>
      </c>
      <c r="AI102" s="1821">
        <f t="shared" si="29"/>
        <v>479.71238533296662</v>
      </c>
      <c r="AJ102" s="1821">
        <f t="shared" si="29"/>
        <v>499.61193482231715</v>
      </c>
      <c r="AK102" s="1821">
        <f t="shared" ref="AK102:AO102" si="30">SUM(AK100,AK101)</f>
        <v>520.1526602816682</v>
      </c>
      <c r="AL102" s="1821">
        <f t="shared" si="30"/>
        <v>573.91575322838992</v>
      </c>
      <c r="AM102" s="1821">
        <f t="shared" si="30"/>
        <v>621.82937676641518</v>
      </c>
      <c r="AN102" s="1821">
        <f t="shared" si="30"/>
        <v>641.10553391755093</v>
      </c>
      <c r="AO102" s="1821">
        <f t="shared" si="30"/>
        <v>646.72974314117482</v>
      </c>
    </row>
    <row r="103" spans="2:41" ht="15.5" x14ac:dyDescent="0.35">
      <c r="B103" s="747" t="s">
        <v>779</v>
      </c>
      <c r="S103" s="774"/>
      <c r="T103" s="774"/>
      <c r="U103" s="774"/>
      <c r="V103" s="774"/>
      <c r="W103" s="774"/>
    </row>
    <row r="104" spans="2:41" x14ac:dyDescent="0.3">
      <c r="D104" s="751" t="s">
        <v>358</v>
      </c>
      <c r="E104" s="751" t="s">
        <v>359</v>
      </c>
      <c r="F104" s="751" t="s">
        <v>360</v>
      </c>
      <c r="G104" s="751" t="s">
        <v>361</v>
      </c>
      <c r="H104" s="751" t="s">
        <v>362</v>
      </c>
      <c r="I104" s="751" t="s">
        <v>520</v>
      </c>
      <c r="J104" s="751" t="s">
        <v>521</v>
      </c>
      <c r="K104" s="751" t="s">
        <v>522</v>
      </c>
      <c r="L104" s="751" t="s">
        <v>523</v>
      </c>
      <c r="M104" s="751" t="s">
        <v>524</v>
      </c>
      <c r="N104" s="751" t="s">
        <v>920</v>
      </c>
      <c r="O104" s="751" t="s">
        <v>921</v>
      </c>
      <c r="P104" s="751" t="s">
        <v>922</v>
      </c>
      <c r="Q104" s="751" t="s">
        <v>923</v>
      </c>
      <c r="R104" s="751" t="s">
        <v>924</v>
      </c>
      <c r="S104" s="774"/>
      <c r="T104" s="774"/>
      <c r="U104" s="774"/>
      <c r="V104" s="774"/>
      <c r="W104" s="774"/>
    </row>
    <row r="105" spans="2:41" x14ac:dyDescent="0.3">
      <c r="C105" s="750" t="s">
        <v>780</v>
      </c>
      <c r="D105" s="1831">
        <f ca="1">Indicators_FO!X251</f>
        <v>0.7570780547013336</v>
      </c>
      <c r="E105" s="1831">
        <f ca="1">Indicators_FO!Y251</f>
        <v>0.84673693702753161</v>
      </c>
      <c r="F105" s="1831">
        <f ca="1">Indicators_FO!Z251</f>
        <v>0.9466287595006585</v>
      </c>
      <c r="G105" s="1831">
        <f ca="1">Indicators_FO!AA251</f>
        <v>0.77197506535415528</v>
      </c>
      <c r="H105" s="1831">
        <f ca="1">Indicators_FO!AB251</f>
        <v>0.65550562176008964</v>
      </c>
      <c r="I105" s="1831">
        <f ca="1">Indicators_FO!AC251</f>
        <v>0.53072579051352009</v>
      </c>
      <c r="J105" s="1831">
        <f ca="1">Indicators_FO!AD251</f>
        <v>0.55303099753440776</v>
      </c>
      <c r="K105" s="1831">
        <f ca="1">Indicators_FO!AE251</f>
        <v>0.59627793316666888</v>
      </c>
      <c r="L105" s="1831">
        <f ca="1">Indicators_FO!AF251</f>
        <v>0.63420659595897133</v>
      </c>
      <c r="M105" s="1831">
        <f ca="1">Indicators_FO!AG251</f>
        <v>0.66661548328791043</v>
      </c>
      <c r="N105" s="1831">
        <f ca="1">Indicators_FO!AH251</f>
        <v>0.4586341351692757</v>
      </c>
      <c r="O105" s="1831">
        <f ca="1">Indicators_FO!AI251</f>
        <v>0.48310999878253486</v>
      </c>
      <c r="P105" s="1831">
        <f ca="1">Indicators_FO!AJ251</f>
        <v>0.75127875438461378</v>
      </c>
      <c r="Q105" s="1831">
        <f ca="1">Indicators_FO!AK251</f>
        <v>1.0512490144541788</v>
      </c>
      <c r="R105" s="1831">
        <f ca="1">Indicators_FO!AL251</f>
        <v>0.84042737637344789</v>
      </c>
      <c r="S105" s="774"/>
      <c r="T105" s="774"/>
      <c r="U105" s="774"/>
      <c r="V105" s="774"/>
      <c r="W105" s="774"/>
    </row>
    <row r="106" spans="2:41" x14ac:dyDescent="0.3">
      <c r="S106" s="774"/>
      <c r="T106" s="774"/>
      <c r="U106" s="774"/>
      <c r="V106" s="774"/>
      <c r="W106" s="774"/>
    </row>
    <row r="107" spans="2:41" x14ac:dyDescent="0.3">
      <c r="S107" s="774"/>
      <c r="T107" s="774"/>
      <c r="U107" s="774"/>
      <c r="V107" s="774"/>
      <c r="W107" s="774"/>
    </row>
    <row r="108" spans="2:41" x14ac:dyDescent="0.3">
      <c r="S108" s="774"/>
      <c r="T108" s="774"/>
      <c r="U108" s="774"/>
      <c r="V108" s="774"/>
      <c r="W108" s="774"/>
    </row>
    <row r="109" spans="2:41" x14ac:dyDescent="0.3">
      <c r="S109" s="774"/>
      <c r="T109" s="774"/>
      <c r="U109" s="774"/>
      <c r="V109" s="774"/>
      <c r="W109" s="774"/>
    </row>
    <row r="110" spans="2:41" x14ac:dyDescent="0.3">
      <c r="S110" s="774"/>
      <c r="T110" s="774"/>
      <c r="U110" s="774"/>
      <c r="V110" s="774"/>
      <c r="W110" s="774"/>
    </row>
    <row r="111" spans="2:41" x14ac:dyDescent="0.3">
      <c r="S111" s="774"/>
      <c r="T111" s="774"/>
      <c r="U111" s="774"/>
      <c r="V111" s="774"/>
      <c r="W111" s="774"/>
    </row>
    <row r="112" spans="2:41" x14ac:dyDescent="0.3">
      <c r="S112" s="774"/>
      <c r="T112" s="774"/>
      <c r="U112" s="774"/>
      <c r="V112" s="774"/>
      <c r="W112" s="774"/>
    </row>
    <row r="113" spans="19:23" x14ac:dyDescent="0.3">
      <c r="S113" s="774"/>
      <c r="T113" s="774"/>
      <c r="U113" s="774"/>
      <c r="V113" s="774"/>
      <c r="W113" s="774"/>
    </row>
    <row r="114" spans="19:23" x14ac:dyDescent="0.3">
      <c r="S114" s="774"/>
      <c r="T114" s="774"/>
      <c r="U114" s="774"/>
      <c r="V114" s="774"/>
      <c r="W114" s="774"/>
    </row>
    <row r="115" spans="19:23" x14ac:dyDescent="0.3">
      <c r="S115" s="774"/>
      <c r="T115" s="774"/>
      <c r="U115" s="774"/>
      <c r="V115" s="774"/>
      <c r="W115" s="774"/>
    </row>
    <row r="116" spans="19:23" x14ac:dyDescent="0.3">
      <c r="S116" s="774"/>
      <c r="T116" s="774"/>
      <c r="U116" s="774"/>
      <c r="V116" s="774"/>
      <c r="W116" s="774"/>
    </row>
    <row r="117" spans="19:23" x14ac:dyDescent="0.3">
      <c r="S117" s="774"/>
      <c r="T117" s="774"/>
      <c r="U117" s="774"/>
      <c r="V117" s="774"/>
      <c r="W117" s="774"/>
    </row>
    <row r="118" spans="19:23" x14ac:dyDescent="0.3">
      <c r="S118" s="774"/>
      <c r="T118" s="774"/>
      <c r="U118" s="774"/>
      <c r="V118" s="774"/>
      <c r="W118" s="774"/>
    </row>
    <row r="119" spans="19:23" x14ac:dyDescent="0.3">
      <c r="S119" s="774"/>
      <c r="T119" s="774"/>
      <c r="U119" s="774"/>
      <c r="V119" s="774"/>
      <c r="W119" s="774"/>
    </row>
    <row r="120" spans="19:23" x14ac:dyDescent="0.3">
      <c r="S120" s="774"/>
      <c r="T120" s="774"/>
      <c r="U120" s="774"/>
      <c r="V120" s="774"/>
      <c r="W120" s="774"/>
    </row>
    <row r="121" spans="19:23" x14ac:dyDescent="0.3">
      <c r="S121" s="774"/>
      <c r="T121" s="774"/>
      <c r="U121" s="774"/>
      <c r="V121" s="774"/>
      <c r="W121" s="774"/>
    </row>
    <row r="122" spans="19:23" x14ac:dyDescent="0.3">
      <c r="S122" s="774"/>
      <c r="T122" s="774"/>
      <c r="U122" s="774"/>
      <c r="V122" s="774"/>
      <c r="W122" s="774"/>
    </row>
    <row r="123" spans="19:23" x14ac:dyDescent="0.3">
      <c r="S123" s="774"/>
      <c r="T123" s="774"/>
      <c r="U123" s="774"/>
      <c r="V123" s="774"/>
      <c r="W123" s="774"/>
    </row>
    <row r="124" spans="19:23" x14ac:dyDescent="0.3">
      <c r="S124" s="774"/>
      <c r="T124" s="774"/>
      <c r="U124" s="774"/>
      <c r="V124" s="774"/>
      <c r="W124" s="774"/>
    </row>
    <row r="125" spans="19:23" x14ac:dyDescent="0.3">
      <c r="S125" s="774"/>
      <c r="T125" s="774"/>
      <c r="U125" s="774"/>
      <c r="V125" s="774"/>
      <c r="W125" s="774"/>
    </row>
    <row r="126" spans="19:23" x14ac:dyDescent="0.3">
      <c r="S126" s="774"/>
      <c r="T126" s="774"/>
      <c r="U126" s="774"/>
      <c r="V126" s="774"/>
      <c r="W126" s="774"/>
    </row>
    <row r="127" spans="19:23" x14ac:dyDescent="0.3">
      <c r="S127" s="774"/>
      <c r="T127" s="774"/>
      <c r="U127" s="774"/>
      <c r="V127" s="774"/>
      <c r="W127" s="774"/>
    </row>
    <row r="128" spans="19:23" x14ac:dyDescent="0.3">
      <c r="S128" s="774"/>
      <c r="T128" s="774"/>
      <c r="U128" s="774"/>
      <c r="V128" s="774"/>
      <c r="W128" s="774"/>
    </row>
    <row r="129" spans="19:23" x14ac:dyDescent="0.3">
      <c r="S129" s="774"/>
      <c r="T129" s="774"/>
      <c r="U129" s="774"/>
      <c r="V129" s="774"/>
      <c r="W129" s="774"/>
    </row>
    <row r="130" spans="19:23" x14ac:dyDescent="0.3">
      <c r="S130" s="774"/>
      <c r="T130" s="774"/>
      <c r="U130" s="774"/>
      <c r="V130" s="774"/>
      <c r="W130" s="774"/>
    </row>
    <row r="131" spans="19:23" x14ac:dyDescent="0.3">
      <c r="S131" s="774"/>
      <c r="T131" s="774"/>
      <c r="U131" s="774"/>
      <c r="V131" s="774"/>
      <c r="W131" s="774"/>
    </row>
    <row r="132" spans="19:23" x14ac:dyDescent="0.3">
      <c r="S132" s="774"/>
      <c r="T132" s="774"/>
      <c r="U132" s="774"/>
      <c r="V132" s="774"/>
      <c r="W132" s="774"/>
    </row>
  </sheetData>
  <sheetProtection algorithmName="SHA-512" hashValue="zT5qvoKgbHdnnmFhLFRdYTfTgofHa4wDfce+9TyV5e6LUQWTJx7ZTn9aDchhcURR+p04cE/QDV7arsBqnZ15pA==" saltValue="mnSQsUGdLfmzwC8wkyzatQ==" spinCount="100000" sheet="1" objects="1" scenarios="1"/>
  <mergeCells count="1">
    <mergeCell ref="B3:F3"/>
  </mergeCells>
  <hyperlinks>
    <hyperlink ref="B3" location="HL_Home" tooltip="Go to Table of Contents" display="HL_Home" xr:uid="{00000000-0004-0000-1600-000000000000}"/>
  </hyperlinks>
  <pageMargins left="0.7" right="0.7" top="0.75" bottom="0.75" header="0.3" footer="0.3"/>
  <pageSetup paperSize="9" orientation="portrait" r:id="rId1"/>
  <headerFooter>
    <oddHeader>&amp;C&amp;B&amp;"Arial"&amp;12&amp;Kff0000​‌OFFICIAL‌​</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tabColor theme="0" tint="-4.9989318521683403E-2"/>
  </sheetPr>
  <dimension ref="B1:BX305"/>
  <sheetViews>
    <sheetView showGridLines="0" zoomScaleNormal="100" workbookViewId="0">
      <pane xSplit="3" topLeftCell="D1" activePane="topRight" state="frozen"/>
      <selection pane="topRight" activeCell="R13" sqref="R13"/>
    </sheetView>
  </sheetViews>
  <sheetFormatPr defaultColWidth="9.33203125" defaultRowHeight="10" x14ac:dyDescent="0.2"/>
  <cols>
    <col min="1" max="1" width="1.6640625" style="779" customWidth="1"/>
    <col min="2" max="2" width="26.33203125" style="779" bestFit="1" customWidth="1"/>
    <col min="3" max="3" width="8" style="779" bestFit="1" customWidth="1"/>
    <col min="4" max="4" width="20.33203125" style="779" bestFit="1" customWidth="1"/>
    <col min="5" max="5" width="39.109375" style="779" customWidth="1"/>
    <col min="6" max="6" width="64.77734375" style="779" customWidth="1"/>
    <col min="7" max="14" width="9.77734375" style="779" bestFit="1" customWidth="1"/>
    <col min="15" max="15" width="12.33203125" style="779" customWidth="1"/>
    <col min="16" max="16" width="9.77734375" style="779" customWidth="1"/>
    <col min="17" max="20" width="9.77734375" style="779" bestFit="1" customWidth="1"/>
    <col min="21" max="21" width="44.109375" style="779" customWidth="1"/>
    <col min="22" max="22" width="7.44140625" style="779" customWidth="1"/>
    <col min="23" max="27" width="9.77734375" style="779" bestFit="1" customWidth="1"/>
    <col min="28" max="76" width="9.77734375" style="779" customWidth="1"/>
    <col min="77" max="16384" width="9.33203125" style="779"/>
  </cols>
  <sheetData>
    <row r="1" spans="2:25" x14ac:dyDescent="0.2">
      <c r="F1" s="1213"/>
    </row>
    <row r="2" spans="2:25" ht="10.5" x14ac:dyDescent="0.25">
      <c r="B2" s="2039" t="str">
        <f>+KeyAssumptionsPriceControl_FO!B2</f>
        <v>Central Highlands Water</v>
      </c>
    </row>
    <row r="3" spans="2:25" ht="10.5" x14ac:dyDescent="0.25">
      <c r="B3" s="2040" t="str">
        <f>Expenditure_Detail!B6</f>
        <v>$m, 01/01/23</v>
      </c>
    </row>
    <row r="6" spans="2:25" ht="10.5" x14ac:dyDescent="0.25">
      <c r="B6" s="778" t="s">
        <v>917</v>
      </c>
      <c r="C6" s="778" t="s">
        <v>918</v>
      </c>
      <c r="D6" s="778" t="s">
        <v>915</v>
      </c>
      <c r="E6" s="778" t="s">
        <v>916</v>
      </c>
      <c r="F6" s="778" t="s">
        <v>913</v>
      </c>
      <c r="G6" s="778" t="s">
        <v>850</v>
      </c>
      <c r="H6" s="778" t="s">
        <v>914</v>
      </c>
      <c r="I6" s="1207" t="s">
        <v>294</v>
      </c>
      <c r="J6" s="1207" t="s">
        <v>334</v>
      </c>
      <c r="K6" s="1207" t="s">
        <v>335</v>
      </c>
      <c r="L6" s="1207" t="s">
        <v>336</v>
      </c>
      <c r="M6" s="1207" t="s">
        <v>337</v>
      </c>
      <c r="N6" s="1207" t="s">
        <v>358</v>
      </c>
      <c r="O6" s="1207" t="s">
        <v>359</v>
      </c>
      <c r="P6" s="1207" t="s">
        <v>360</v>
      </c>
      <c r="Q6" s="1207" t="s">
        <v>361</v>
      </c>
      <c r="R6" s="1207" t="s">
        <v>362</v>
      </c>
      <c r="U6" s="778" t="s">
        <v>595</v>
      </c>
    </row>
    <row r="7" spans="2:25" ht="10.5" x14ac:dyDescent="0.25">
      <c r="B7" s="778"/>
      <c r="C7" s="778"/>
      <c r="D7" s="778"/>
      <c r="E7" s="778"/>
      <c r="F7" s="778"/>
      <c r="G7" s="778"/>
      <c r="I7" s="1207"/>
      <c r="J7" s="1207"/>
      <c r="K7" s="1207"/>
      <c r="L7" s="1207"/>
      <c r="M7" s="1207"/>
      <c r="N7" s="1207"/>
      <c r="O7" s="1207"/>
      <c r="P7" s="1207"/>
      <c r="Q7" s="1207"/>
      <c r="R7" s="1207"/>
      <c r="U7" s="1212"/>
      <c r="W7" s="1216" t="s">
        <v>1004</v>
      </c>
      <c r="X7" s="1216" t="s">
        <v>981</v>
      </c>
      <c r="Y7" s="1216" t="s">
        <v>982</v>
      </c>
    </row>
    <row r="8" spans="2:25" x14ac:dyDescent="0.2">
      <c r="B8" s="2041" t="str">
        <f t="shared" ref="B8:B22" si="0">$B$2</f>
        <v>Central Highlands Water</v>
      </c>
      <c r="C8" s="2041" t="str">
        <f t="shared" ref="C8:C22" si="1">INDEX($C$25:$C$42,MATCH($B8,$B$25:$B$42,0))</f>
        <v>CHW</v>
      </c>
      <c r="D8" s="779" t="s">
        <v>909</v>
      </c>
      <c r="F8" s="2042" t="str">
        <f t="shared" ref="F8:F22" si="2">C8&amp;D8&amp;E8</f>
        <v>CHWRAV (Opening Base)</v>
      </c>
      <c r="G8" s="2041" t="str">
        <f>INDEX($D$25:$D$42,MATCH($B8,$B$25:$B$42,0))</f>
        <v>2017-18</v>
      </c>
      <c r="H8" s="2042">
        <f>INDEX(KeyAssumptionsPriceControl_FO!$S$15:$AB$15,MATCH($G8,KeyAssumptionsPriceControl_FO!$S$7:$AB$7,0))</f>
        <v>0.89184826472962064</v>
      </c>
      <c r="I8" s="1411">
        <f>INDEX($I$47:$R$305,MATCH($F8,$F$47:$F$305,0),MATCH(I$6,$I$46:$R$46,0))/$H8</f>
        <v>360.55918239568678</v>
      </c>
      <c r="J8" s="1411">
        <f t="shared" ref="I8:R18" si="3">INDEX($I$47:$R$305,MATCH($F8,$F$47:$F$305,0),MATCH(J$6,$I$46:$R$46,0))/$H8</f>
        <v>361.03398285767497</v>
      </c>
      <c r="K8" s="1411">
        <f t="shared" si="3"/>
        <v>364.12940096256432</v>
      </c>
      <c r="L8" s="1411">
        <f t="shared" si="3"/>
        <v>368.6147144933833</v>
      </c>
      <c r="M8" s="1411">
        <f t="shared" si="3"/>
        <v>375.63089945463219</v>
      </c>
      <c r="N8" s="1411">
        <f t="shared" si="3"/>
        <v>383.75301874391084</v>
      </c>
      <c r="O8" s="1411">
        <f t="shared" si="3"/>
        <v>394.06753534907563</v>
      </c>
      <c r="P8" s="1411">
        <f t="shared" si="3"/>
        <v>406.49943841099594</v>
      </c>
      <c r="Q8" s="1411">
        <f t="shared" si="3"/>
        <v>414.27095357494352</v>
      </c>
      <c r="R8" s="1411">
        <f t="shared" si="3"/>
        <v>420.37143603388841</v>
      </c>
      <c r="U8" s="1214" t="s">
        <v>51</v>
      </c>
      <c r="W8" s="2033">
        <f>INDEX($W$48:$BX$54,MATCH($U8,$U$48:$U$54,0),MATCH(W$7,$W$47:$BX$47,0))</f>
        <v>2.6700000000000002E-2</v>
      </c>
      <c r="X8" s="2033">
        <f t="shared" ref="W8:Y14" si="4">INDEX($W$48:$BX$54,MATCH($U8,$U$48:$U$54,0),MATCH(X$7,$W$47:$BX$47,0))</f>
        <v>3.2300000000000002E-2</v>
      </c>
      <c r="Y8" s="2033">
        <f t="shared" si="4"/>
        <v>5.9589999999999999E-3</v>
      </c>
    </row>
    <row r="9" spans="2:25" x14ac:dyDescent="0.2">
      <c r="B9" s="2041" t="str">
        <f t="shared" si="0"/>
        <v>Central Highlands Water</v>
      </c>
      <c r="C9" s="2041" t="str">
        <f t="shared" si="1"/>
        <v>CHW</v>
      </c>
      <c r="D9" s="779" t="s">
        <v>250</v>
      </c>
      <c r="F9" s="2042" t="str">
        <f t="shared" si="2"/>
        <v>CHWRoA</v>
      </c>
      <c r="G9" s="2041" t="str">
        <f t="shared" ref="G9:G18" si="5">INDEX($D$25:$D$42,MATCH($B9,$B$25:$B$42,0))</f>
        <v>2017-18</v>
      </c>
      <c r="H9" s="2042">
        <f>INDEX(KeyAssumptionsPriceControl_FO!$S$15:$AB$15,MATCH($G9,KeyAssumptionsPriceControl_FO!$S$7:$AB$7,0))</f>
        <v>0.89184826472962064</v>
      </c>
      <c r="I9" s="1411">
        <f t="shared" si="3"/>
        <v>16.868355205786234</v>
      </c>
      <c r="J9" s="1411">
        <f t="shared" si="3"/>
        <v>17.202554722451367</v>
      </c>
      <c r="K9" s="1411">
        <f t="shared" si="3"/>
        <v>17.44775215787692</v>
      </c>
      <c r="L9" s="1411">
        <f t="shared" si="3"/>
        <v>17.76242125044778</v>
      </c>
      <c r="M9" s="1411">
        <f t="shared" si="3"/>
        <v>18.033443326115805</v>
      </c>
      <c r="N9" s="1411">
        <f t="shared" si="3"/>
        <v>16.061994442020172</v>
      </c>
      <c r="O9" s="1411">
        <f t="shared" si="3"/>
        <v>16.531708008145479</v>
      </c>
      <c r="P9" s="1411">
        <f t="shared" si="3"/>
        <v>16.94890859450965</v>
      </c>
      <c r="Q9" s="1411">
        <f t="shared" si="3"/>
        <v>17.235365345422377</v>
      </c>
      <c r="R9" s="1411">
        <f t="shared" si="3"/>
        <v>17.382169930478227</v>
      </c>
      <c r="U9" s="1214" t="s">
        <v>52</v>
      </c>
      <c r="W9" s="2043">
        <f t="shared" si="4"/>
        <v>1.1599999999999999E-2</v>
      </c>
      <c r="X9" s="2043">
        <f t="shared" si="4"/>
        <v>1.7500000000000002E-2</v>
      </c>
      <c r="Y9" s="2043">
        <f t="shared" si="4"/>
        <v>3.9899999999999998E-2</v>
      </c>
    </row>
    <row r="10" spans="2:25" x14ac:dyDescent="0.2">
      <c r="B10" s="2041" t="str">
        <f t="shared" si="0"/>
        <v>Central Highlands Water</v>
      </c>
      <c r="C10" s="2041" t="str">
        <f t="shared" si="1"/>
        <v>CHW</v>
      </c>
      <c r="D10" s="779" t="s">
        <v>256</v>
      </c>
      <c r="F10" s="2042" t="str">
        <f t="shared" si="2"/>
        <v>CHWRevenue Req</v>
      </c>
      <c r="G10" s="2041" t="str">
        <f t="shared" si="5"/>
        <v>2017-18</v>
      </c>
      <c r="H10" s="2042">
        <f>INDEX(KeyAssumptionsPriceControl_FO!$S$15:$AB$15,MATCH($G10,KeyAssumptionsPriceControl_FO!$S$7:$AB$7,0))</f>
        <v>0.89184826472962064</v>
      </c>
      <c r="I10" s="1411">
        <f t="shared" si="3"/>
        <v>94.93158548525814</v>
      </c>
      <c r="J10" s="1411">
        <f t="shared" si="3"/>
        <v>95.947296711637904</v>
      </c>
      <c r="K10" s="1411">
        <f t="shared" si="3"/>
        <v>96.870493285336806</v>
      </c>
      <c r="L10" s="1411">
        <f t="shared" si="3"/>
        <v>97.772993913106973</v>
      </c>
      <c r="M10" s="1411">
        <f t="shared" si="3"/>
        <v>99.217006173245181</v>
      </c>
      <c r="N10" s="1411">
        <f t="shared" si="3"/>
        <v>98.241752731396645</v>
      </c>
      <c r="O10" s="1411">
        <f t="shared" si="3"/>
        <v>98.984695770949031</v>
      </c>
      <c r="P10" s="1411">
        <f t="shared" si="3"/>
        <v>99.050510493747737</v>
      </c>
      <c r="Q10" s="1411">
        <f t="shared" si="3"/>
        <v>99.811440983806364</v>
      </c>
      <c r="R10" s="1411">
        <f t="shared" si="3"/>
        <v>100.23147140236459</v>
      </c>
      <c r="U10" s="1214" t="s">
        <v>53</v>
      </c>
      <c r="W10" s="2043">
        <f t="shared" si="4"/>
        <v>0.06</v>
      </c>
      <c r="X10" s="2043">
        <f t="shared" si="4"/>
        <v>0.06</v>
      </c>
      <c r="Y10" s="2043">
        <f t="shared" si="4"/>
        <v>0.06</v>
      </c>
    </row>
    <row r="11" spans="2:25" x14ac:dyDescent="0.2">
      <c r="B11" s="2041" t="str">
        <f t="shared" si="0"/>
        <v>Central Highlands Water</v>
      </c>
      <c r="C11" s="2041" t="str">
        <f t="shared" si="1"/>
        <v>CHW</v>
      </c>
      <c r="D11" s="779" t="s">
        <v>248</v>
      </c>
      <c r="F11" s="2042" t="str">
        <f t="shared" si="2"/>
        <v>CHWRegDepEx</v>
      </c>
      <c r="G11" s="2041" t="str">
        <f t="shared" si="5"/>
        <v>2017-18</v>
      </c>
      <c r="H11" s="2042">
        <f>INDEX(KeyAssumptionsPriceControl_FO!$S$15:$AB$15,MATCH($G11,KeyAssumptionsPriceControl_FO!$S$7:$AB$7,0))</f>
        <v>0.89184826472962064</v>
      </c>
      <c r="I11" s="1411">
        <f>INDEX($I$47:$R$305,MATCH($F11,$F$47:$F$305,0),MATCH(I$6,$I$46:$R$46,0))/$H11</f>
        <v>14.631398020539539</v>
      </c>
      <c r="J11" s="1411">
        <f t="shared" si="3"/>
        <v>14.090036293779574</v>
      </c>
      <c r="K11" s="1411">
        <f t="shared" si="3"/>
        <v>13.568704950909728</v>
      </c>
      <c r="L11" s="1411">
        <f t="shared" si="3"/>
        <v>13.066662867726071</v>
      </c>
      <c r="M11" s="1411">
        <f t="shared" si="3"/>
        <v>12.583196341620209</v>
      </c>
      <c r="N11" s="1411">
        <f t="shared" si="3"/>
        <v>17.7223758959395</v>
      </c>
      <c r="O11" s="1411">
        <f t="shared" si="3"/>
        <v>17.7223758959395</v>
      </c>
      <c r="P11" s="1411">
        <f t="shared" si="3"/>
        <v>17.312273237879406</v>
      </c>
      <c r="Q11" s="1411">
        <f t="shared" si="3"/>
        <v>17.136092804773405</v>
      </c>
      <c r="R11" s="1411">
        <f t="shared" si="3"/>
        <v>16.575459320610509</v>
      </c>
      <c r="U11" s="1214" t="s">
        <v>54</v>
      </c>
      <c r="W11" s="2044">
        <f t="shared" si="4"/>
        <v>0.75</v>
      </c>
      <c r="X11" s="2044">
        <f t="shared" si="4"/>
        <v>0.65</v>
      </c>
      <c r="Y11" s="2044">
        <f t="shared" si="4"/>
        <v>0.65</v>
      </c>
    </row>
    <row r="12" spans="2:25" x14ac:dyDescent="0.2">
      <c r="B12" s="2041" t="str">
        <f t="shared" si="0"/>
        <v>Central Highlands Water</v>
      </c>
      <c r="C12" s="2041" t="str">
        <f t="shared" si="1"/>
        <v>CHW</v>
      </c>
      <c r="D12" s="779" t="s">
        <v>249</v>
      </c>
      <c r="F12" s="2042" t="str">
        <f t="shared" si="2"/>
        <v>CHWRegDepNew</v>
      </c>
      <c r="G12" s="2041" t="str">
        <f t="shared" si="5"/>
        <v>2017-18</v>
      </c>
      <c r="H12" s="2042">
        <f>INDEX(KeyAssumptionsPriceControl_FO!$S$15:$AB$15,MATCH($G12,KeyAssumptionsPriceControl_FO!$S$7:$AB$7,0))</f>
        <v>0.89184826472962064</v>
      </c>
      <c r="I12" s="1411">
        <f t="shared" si="3"/>
        <v>0.55114069726721904</v>
      </c>
      <c r="J12" s="1411">
        <f t="shared" si="3"/>
        <v>1.4677576060748758</v>
      </c>
      <c r="K12" s="1411">
        <f t="shared" si="3"/>
        <v>2.3234277583838208</v>
      </c>
      <c r="L12" s="1411">
        <f t="shared" si="3"/>
        <v>3.2910280185296683</v>
      </c>
      <c r="M12" s="1411">
        <f t="shared" si="3"/>
        <v>4.2526936488695917</v>
      </c>
      <c r="N12" s="1411">
        <f t="shared" si="3"/>
        <v>0.43729411764705883</v>
      </c>
      <c r="O12" s="1411">
        <f t="shared" si="3"/>
        <v>1.3118823529411765</v>
      </c>
      <c r="P12" s="1411">
        <f t="shared" si="3"/>
        <v>2.1864705882352942</v>
      </c>
      <c r="Q12" s="1411">
        <f t="shared" si="3"/>
        <v>3.0610588235294118</v>
      </c>
      <c r="R12" s="1411">
        <f t="shared" si="3"/>
        <v>3.9356470588235291</v>
      </c>
      <c r="U12" s="1214" t="s">
        <v>55</v>
      </c>
      <c r="W12" s="2043">
        <f t="shared" si="4"/>
        <v>0.6</v>
      </c>
      <c r="X12" s="2043">
        <f t="shared" si="4"/>
        <v>0.6</v>
      </c>
      <c r="Y12" s="2043">
        <f t="shared" si="4"/>
        <v>0.6</v>
      </c>
    </row>
    <row r="13" spans="2:25" x14ac:dyDescent="0.2">
      <c r="B13" s="2041" t="str">
        <f t="shared" si="0"/>
        <v>Central Highlands Water</v>
      </c>
      <c r="C13" s="2041" t="str">
        <f t="shared" si="1"/>
        <v>CHW</v>
      </c>
      <c r="D13" s="779" t="s">
        <v>513</v>
      </c>
      <c r="E13" s="779" t="s">
        <v>21</v>
      </c>
      <c r="F13" s="2042" t="str">
        <f t="shared" si="2"/>
        <v>CHWTotal prescribed capexWater</v>
      </c>
      <c r="G13" s="2041" t="str">
        <f t="shared" si="5"/>
        <v>2017-18</v>
      </c>
      <c r="H13" s="2042">
        <f>INDEX(KeyAssumptionsPriceControl_FO!$S$15:$AB$15,MATCH($G13,KeyAssumptionsPriceControl_FO!$S$7:$AB$7,0))</f>
        <v>0.89184826472962064</v>
      </c>
      <c r="I13" s="1411">
        <f t="shared" si="3"/>
        <v>9.04264761585938</v>
      </c>
      <c r="J13" s="1411">
        <f t="shared" si="3"/>
        <v>12.542817836812144</v>
      </c>
      <c r="K13" s="1411">
        <f t="shared" si="3"/>
        <v>13.002539325842696</v>
      </c>
      <c r="L13" s="1411">
        <f t="shared" si="3"/>
        <v>16.222655268022187</v>
      </c>
      <c r="M13" s="1411">
        <f t="shared" si="3"/>
        <v>15.582911061561564</v>
      </c>
      <c r="N13" s="1411">
        <f t="shared" si="3"/>
        <v>18.722952837339427</v>
      </c>
      <c r="O13" s="1411">
        <f t="shared" si="3"/>
        <v>16.389262488532186</v>
      </c>
      <c r="P13" s="1411">
        <f t="shared" si="3"/>
        <v>14.653198533785805</v>
      </c>
      <c r="Q13" s="1411">
        <f t="shared" si="3"/>
        <v>12.264025821005637</v>
      </c>
      <c r="R13" s="1411">
        <f>INDEX($I$47:$R$305,MATCH($F13,$F$47:$F$305,0),MATCH(R$6,$I$46:$R$46,0))/$H13</f>
        <v>13.521155448816476</v>
      </c>
      <c r="U13" s="1214" t="s">
        <v>56</v>
      </c>
      <c r="W13" s="2043">
        <f t="shared" si="4"/>
        <v>2.5499999999999998E-2</v>
      </c>
      <c r="X13" s="2043">
        <f t="shared" si="4"/>
        <v>2.9000000000000001E-2</v>
      </c>
      <c r="Y13" s="2043">
        <f t="shared" si="4"/>
        <v>2.75E-2</v>
      </c>
    </row>
    <row r="14" spans="2:25" x14ac:dyDescent="0.2">
      <c r="B14" s="2041" t="str">
        <f t="shared" si="0"/>
        <v>Central Highlands Water</v>
      </c>
      <c r="C14" s="2041" t="str">
        <f t="shared" si="1"/>
        <v>CHW</v>
      </c>
      <c r="D14" s="779" t="s">
        <v>513</v>
      </c>
      <c r="E14" s="779" t="s">
        <v>22</v>
      </c>
      <c r="F14" s="2042" t="str">
        <f t="shared" si="2"/>
        <v>CHWTotal prescribed capexSewerage</v>
      </c>
      <c r="G14" s="2041" t="str">
        <f t="shared" si="5"/>
        <v>2017-18</v>
      </c>
      <c r="H14" s="2042">
        <f>INDEX(KeyAssumptionsPriceControl_FO!$S$15:$AB$15,MATCH($G14,KeyAssumptionsPriceControl_FO!$S$7:$AB$7,0))</f>
        <v>0.89184826472962064</v>
      </c>
      <c r="I14" s="1411">
        <f>INDEX($I$47:$R$305,MATCH($F14,$F$47:$F$305,0),MATCH(I$6,$I$46:$R$46,0))/$H14</f>
        <v>9.7387653431250047</v>
      </c>
      <c r="J14" s="1411">
        <f t="shared" si="3"/>
        <v>9.341871916508536</v>
      </c>
      <c r="K14" s="1411">
        <f>INDEX($I$47:$R$305,MATCH($F14,$F$47:$F$305,0),MATCH(K$6,$I$46:$R$46,0))/$H14</f>
        <v>11.5709606741573</v>
      </c>
      <c r="L14" s="1411">
        <f t="shared" si="3"/>
        <v>9.7047365988909444</v>
      </c>
      <c r="M14" s="1411">
        <f t="shared" si="3"/>
        <v>11.44944210960961</v>
      </c>
      <c r="N14" s="1411">
        <f t="shared" si="3"/>
        <v>7.7001453735794829</v>
      </c>
      <c r="O14" s="1411">
        <f t="shared" si="3"/>
        <v>13.976107841154651</v>
      </c>
      <c r="P14" s="1411">
        <f t="shared" si="3"/>
        <v>11.724540733476053</v>
      </c>
      <c r="Q14" s="1411">
        <f t="shared" si="3"/>
        <v>14.794183539855675</v>
      </c>
      <c r="R14" s="1411">
        <f t="shared" si="3"/>
        <v>9.4072499151205271</v>
      </c>
      <c r="U14" s="1214" t="s">
        <v>57</v>
      </c>
      <c r="W14" s="2045">
        <f t="shared" si="4"/>
        <v>0.5</v>
      </c>
      <c r="X14" s="2045">
        <f t="shared" si="4"/>
        <v>0.5</v>
      </c>
      <c r="Y14" s="2046">
        <f t="shared" si="4"/>
        <v>0.5</v>
      </c>
    </row>
    <row r="15" spans="2:25" x14ac:dyDescent="0.2">
      <c r="B15" s="2041" t="str">
        <f t="shared" si="0"/>
        <v>Central Highlands Water</v>
      </c>
      <c r="C15" s="2041" t="str">
        <f t="shared" si="1"/>
        <v>CHW</v>
      </c>
      <c r="D15" s="779" t="s">
        <v>513</v>
      </c>
      <c r="E15" s="779" t="s">
        <v>275</v>
      </c>
      <c r="F15" s="2042" t="str">
        <f t="shared" si="2"/>
        <v>CHWTotal prescribed capexRecycled Water</v>
      </c>
      <c r="G15" s="2041" t="str">
        <f t="shared" si="5"/>
        <v>2017-18</v>
      </c>
      <c r="H15" s="2042">
        <f>INDEX(KeyAssumptionsPriceControl_FO!$S$15:$AB$15,MATCH($G15,KeyAssumptionsPriceControl_FO!$S$7:$AB$7,0))</f>
        <v>0.89184826472962064</v>
      </c>
      <c r="I15" s="1411">
        <f t="shared" si="3"/>
        <v>0</v>
      </c>
      <c r="J15" s="1411">
        <f t="shared" si="3"/>
        <v>1.4047485768500947</v>
      </c>
      <c r="K15" s="1411">
        <f t="shared" si="3"/>
        <v>9.4041745730550325E-2</v>
      </c>
      <c r="L15" s="1411">
        <f t="shared" si="3"/>
        <v>8.0157116451016613E-3</v>
      </c>
      <c r="M15" s="1411">
        <f t="shared" si="3"/>
        <v>0</v>
      </c>
      <c r="N15" s="1411">
        <f t="shared" si="3"/>
        <v>4.0989075379411766</v>
      </c>
      <c r="O15" s="1411">
        <f t="shared" si="3"/>
        <v>3.1779950941085975</v>
      </c>
      <c r="P15" s="1411">
        <f t="shared" si="3"/>
        <v>2.9996268937194568</v>
      </c>
      <c r="Q15" s="1411">
        <f t="shared" si="3"/>
        <v>1.4737626925791856</v>
      </c>
      <c r="R15" s="1411">
        <f t="shared" si="3"/>
        <v>0.86022071280542989</v>
      </c>
    </row>
    <row r="16" spans="2:25" x14ac:dyDescent="0.2">
      <c r="B16" s="2041" t="str">
        <f t="shared" si="0"/>
        <v>Central Highlands Water</v>
      </c>
      <c r="C16" s="2041" t="str">
        <f t="shared" si="1"/>
        <v>CHW</v>
      </c>
      <c r="D16" s="779" t="s">
        <v>513</v>
      </c>
      <c r="E16" s="779" t="s">
        <v>353</v>
      </c>
      <c r="F16" s="2042" t="str">
        <f t="shared" si="2"/>
        <v>CHWTotal prescribed capexRural Water</v>
      </c>
      <c r="G16" s="2041" t="str">
        <f t="shared" si="5"/>
        <v>2017-18</v>
      </c>
      <c r="H16" s="2042">
        <f>INDEX(KeyAssumptionsPriceControl_FO!$S$15:$AB$15,MATCH($G16,KeyAssumptionsPriceControl_FO!$S$7:$AB$7,0))</f>
        <v>0.89184826472962064</v>
      </c>
      <c r="I16" s="1411">
        <f t="shared" si="3"/>
        <v>0</v>
      </c>
      <c r="J16" s="1411">
        <f t="shared" si="3"/>
        <v>0</v>
      </c>
      <c r="K16" s="1411">
        <f t="shared" si="3"/>
        <v>0</v>
      </c>
      <c r="L16" s="1411">
        <f t="shared" si="3"/>
        <v>0</v>
      </c>
      <c r="M16" s="1411">
        <f t="shared" si="3"/>
        <v>0</v>
      </c>
      <c r="N16" s="1411">
        <f t="shared" si="3"/>
        <v>0</v>
      </c>
      <c r="O16" s="1411">
        <f t="shared" si="3"/>
        <v>0</v>
      </c>
      <c r="P16" s="1411">
        <f t="shared" si="3"/>
        <v>0</v>
      </c>
      <c r="Q16" s="1411">
        <f t="shared" si="3"/>
        <v>0</v>
      </c>
      <c r="R16" s="1411">
        <f t="shared" si="3"/>
        <v>0</v>
      </c>
    </row>
    <row r="17" spans="2:24" ht="10.5" x14ac:dyDescent="0.25">
      <c r="B17" s="2041" t="str">
        <f t="shared" si="0"/>
        <v>Central Highlands Water</v>
      </c>
      <c r="C17" s="2041" t="str">
        <f t="shared" si="1"/>
        <v>CHW</v>
      </c>
      <c r="D17" s="779" t="s">
        <v>513</v>
      </c>
      <c r="E17" s="779" t="s">
        <v>354</v>
      </c>
      <c r="F17" s="2042" t="str">
        <f t="shared" si="2"/>
        <v>CHWTotal prescribed capexBulk Water</v>
      </c>
      <c r="G17" s="2041" t="str">
        <f t="shared" si="5"/>
        <v>2017-18</v>
      </c>
      <c r="H17" s="2042">
        <f>INDEX(KeyAssumptionsPriceControl_FO!$S$15:$AB$15,MATCH($G17,KeyAssumptionsPriceControl_FO!$S$7:$AB$7,0))</f>
        <v>0.89184826472962064</v>
      </c>
      <c r="I17" s="1411">
        <f t="shared" si="3"/>
        <v>0</v>
      </c>
      <c r="J17" s="1411">
        <f t="shared" si="3"/>
        <v>0</v>
      </c>
      <c r="K17" s="1411">
        <f t="shared" si="3"/>
        <v>0</v>
      </c>
      <c r="L17" s="1411">
        <f t="shared" si="3"/>
        <v>0</v>
      </c>
      <c r="M17" s="1411">
        <f t="shared" si="3"/>
        <v>0</v>
      </c>
      <c r="N17" s="1411">
        <f t="shared" si="3"/>
        <v>0</v>
      </c>
      <c r="O17" s="1411">
        <f t="shared" si="3"/>
        <v>0</v>
      </c>
      <c r="P17" s="1411">
        <f t="shared" si="3"/>
        <v>0</v>
      </c>
      <c r="Q17" s="1411">
        <f t="shared" si="3"/>
        <v>0</v>
      </c>
      <c r="R17" s="1411">
        <f t="shared" si="3"/>
        <v>0</v>
      </c>
      <c r="U17" s="778" t="s">
        <v>617</v>
      </c>
    </row>
    <row r="18" spans="2:24" ht="10.5" x14ac:dyDescent="0.25">
      <c r="B18" s="2041" t="str">
        <f t="shared" si="0"/>
        <v>Central Highlands Water</v>
      </c>
      <c r="C18" s="2041" t="str">
        <f t="shared" si="1"/>
        <v>CHW</v>
      </c>
      <c r="D18" s="779" t="s">
        <v>911</v>
      </c>
      <c r="E18" s="778"/>
      <c r="F18" s="2042" t="str">
        <f t="shared" si="2"/>
        <v>CHWTotal controllable opex</v>
      </c>
      <c r="G18" s="2041" t="str">
        <f t="shared" si="5"/>
        <v>2017-18</v>
      </c>
      <c r="H18" s="2042">
        <f>INDEX(KeyAssumptionsPriceControl_FO!$S$15:$AB$15,MATCH($G18,KeyAssumptionsPriceControl_FO!$S$7:$AB$7,0))</f>
        <v>0.89184826472962064</v>
      </c>
      <c r="I18" s="1411">
        <f t="shared" si="3"/>
        <v>55.762471000605473</v>
      </c>
      <c r="J18" s="1411">
        <f t="shared" si="3"/>
        <v>52.672781783681209</v>
      </c>
      <c r="K18" s="1411">
        <f t="shared" si="3"/>
        <v>55.599544943820241</v>
      </c>
      <c r="L18" s="1411">
        <f t="shared" si="3"/>
        <v>56.463817929759706</v>
      </c>
      <c r="M18" s="1411">
        <f t="shared" si="3"/>
        <v>57.398777375565615</v>
      </c>
      <c r="N18" s="1411">
        <f t="shared" si="3"/>
        <v>58.4819212669683</v>
      </c>
      <c r="O18" s="1411">
        <f t="shared" si="3"/>
        <v>57.973987330316717</v>
      </c>
      <c r="P18" s="1411">
        <f t="shared" si="3"/>
        <v>57.253012669683237</v>
      </c>
      <c r="Q18" s="1411">
        <f t="shared" si="3"/>
        <v>57.126309502262437</v>
      </c>
      <c r="R18" s="1411">
        <f t="shared" si="3"/>
        <v>57.145371040723973</v>
      </c>
      <c r="U18" s="781"/>
      <c r="W18" s="1215" t="s">
        <v>982</v>
      </c>
      <c r="X18" s="1215" t="s">
        <v>1031</v>
      </c>
    </row>
    <row r="19" spans="2:24" x14ac:dyDescent="0.2">
      <c r="B19" s="1949"/>
      <c r="C19" s="1949"/>
      <c r="D19" s="1949"/>
      <c r="E19" s="1949"/>
      <c r="F19" s="1949"/>
      <c r="G19" s="1949"/>
      <c r="H19" s="1949"/>
      <c r="I19" s="1949"/>
      <c r="J19" s="1949"/>
      <c r="K19" s="1949"/>
      <c r="L19" s="1949"/>
      <c r="M19" s="1949"/>
      <c r="N19" s="1949"/>
      <c r="O19" s="1949"/>
      <c r="P19" s="1949"/>
      <c r="Q19" s="1949"/>
      <c r="R19" s="1949"/>
      <c r="S19" s="1949"/>
      <c r="T19" s="1949"/>
      <c r="U19" s="781" t="s">
        <v>271</v>
      </c>
      <c r="W19" s="2047">
        <f t="shared" ref="W19:X21" si="6">INDEX($W$59:$BX$61,MATCH($U19,$U$59:$U$61,0),MATCH(W$18,$W$58:$BX$58,0))</f>
        <v>0.65</v>
      </c>
      <c r="X19" s="2047">
        <f t="shared" si="6"/>
        <v>0</v>
      </c>
    </row>
    <row r="20" spans="2:24" x14ac:dyDescent="0.2">
      <c r="B20" s="2041" t="str">
        <f t="shared" si="0"/>
        <v>Central Highlands Water</v>
      </c>
      <c r="C20" s="2041" t="str">
        <f t="shared" si="1"/>
        <v>CHW</v>
      </c>
      <c r="D20" s="779" t="s">
        <v>717</v>
      </c>
      <c r="F20" s="2042" t="str">
        <f t="shared" si="2"/>
        <v>CHWWater customers (No.) - Residential &amp; Non-Residential - [BED 1]</v>
      </c>
      <c r="G20" s="779" t="s">
        <v>910</v>
      </c>
      <c r="I20" s="1411">
        <f t="shared" ref="I20:R22" si="7">INDEX($I$47:$R$305,MATCH($F20,$F$47:$F$305,0),MATCH(I$6,$I$46:$R$46,0))</f>
        <v>0</v>
      </c>
      <c r="J20" s="1411">
        <f t="shared" si="7"/>
        <v>0</v>
      </c>
      <c r="K20" s="1411">
        <f t="shared" si="7"/>
        <v>67022</v>
      </c>
      <c r="L20" s="1411">
        <f t="shared" si="7"/>
        <v>68251</v>
      </c>
      <c r="M20" s="1411">
        <f t="shared" si="7"/>
        <v>69565</v>
      </c>
      <c r="N20" s="1411">
        <f t="shared" si="7"/>
        <v>71054</v>
      </c>
      <c r="O20" s="1411">
        <f t="shared" si="7"/>
        <v>72128</v>
      </c>
      <c r="P20" s="1411">
        <f t="shared" si="7"/>
        <v>0</v>
      </c>
      <c r="Q20" s="1411">
        <f t="shared" si="7"/>
        <v>0</v>
      </c>
      <c r="R20" s="1411">
        <f t="shared" si="7"/>
        <v>0</v>
      </c>
      <c r="U20" s="781" t="s">
        <v>172</v>
      </c>
      <c r="W20" s="1961">
        <f t="shared" si="6"/>
        <v>6.5000000000000002E-2</v>
      </c>
      <c r="X20" s="1961">
        <f t="shared" si="6"/>
        <v>0.05</v>
      </c>
    </row>
    <row r="21" spans="2:24" x14ac:dyDescent="0.2">
      <c r="B21" s="2041" t="str">
        <f t="shared" si="0"/>
        <v>Central Highlands Water</v>
      </c>
      <c r="C21" s="2041" t="str">
        <f t="shared" si="1"/>
        <v>CHW</v>
      </c>
      <c r="D21" s="779" t="s">
        <v>718</v>
      </c>
      <c r="F21" s="2042" t="str">
        <f t="shared" si="2"/>
        <v>CHWSewer customers (No.) - Residential &amp; Non-Residential - [BED 2]</v>
      </c>
      <c r="G21" s="779" t="s">
        <v>910</v>
      </c>
      <c r="I21" s="1411">
        <f t="shared" si="7"/>
        <v>0</v>
      </c>
      <c r="J21" s="1411">
        <f t="shared" si="7"/>
        <v>0</v>
      </c>
      <c r="K21" s="1411">
        <f t="shared" si="7"/>
        <v>57448</v>
      </c>
      <c r="L21" s="1411">
        <f t="shared" si="7"/>
        <v>58830</v>
      </c>
      <c r="M21" s="1411">
        <f t="shared" si="7"/>
        <v>59932</v>
      </c>
      <c r="N21" s="1411">
        <f t="shared" si="7"/>
        <v>61156</v>
      </c>
      <c r="O21" s="1411">
        <f t="shared" si="7"/>
        <v>62475</v>
      </c>
      <c r="P21" s="1411">
        <f t="shared" si="7"/>
        <v>0</v>
      </c>
      <c r="Q21" s="1411">
        <f t="shared" si="7"/>
        <v>0</v>
      </c>
      <c r="R21" s="1411">
        <f t="shared" si="7"/>
        <v>0</v>
      </c>
      <c r="U21" s="781" t="s">
        <v>173</v>
      </c>
      <c r="W21" s="2048">
        <f t="shared" si="6"/>
        <v>4.4999999999999998E-2</v>
      </c>
      <c r="X21" s="2048">
        <f t="shared" si="6"/>
        <v>3.5000000000000003E-2</v>
      </c>
    </row>
    <row r="22" spans="2:24" x14ac:dyDescent="0.2">
      <c r="B22" s="2041" t="str">
        <f t="shared" si="0"/>
        <v>Central Highlands Water</v>
      </c>
      <c r="C22" s="2041" t="str">
        <f t="shared" si="1"/>
        <v>CHW</v>
      </c>
      <c r="D22" s="779" t="s">
        <v>709</v>
      </c>
      <c r="F22" s="2042" t="str">
        <f t="shared" si="2"/>
        <v>CHWTotal metered volume of water delivered to customers (ML) - [BED 10]</v>
      </c>
      <c r="G22" s="779" t="s">
        <v>912</v>
      </c>
      <c r="I22" s="1411">
        <f t="shared" si="7"/>
        <v>0</v>
      </c>
      <c r="J22" s="1411">
        <f t="shared" si="7"/>
        <v>0</v>
      </c>
      <c r="K22" s="1411">
        <f t="shared" si="7"/>
        <v>14728</v>
      </c>
      <c r="L22" s="1411">
        <f t="shared" si="7"/>
        <v>13416.7</v>
      </c>
      <c r="M22" s="1411">
        <f t="shared" si="7"/>
        <v>14454.43</v>
      </c>
      <c r="N22" s="1411">
        <f t="shared" si="7"/>
        <v>14930.759999999998</v>
      </c>
      <c r="O22" s="1411">
        <f t="shared" si="7"/>
        <v>14052</v>
      </c>
      <c r="P22" s="1411">
        <f t="shared" si="7"/>
        <v>0</v>
      </c>
      <c r="Q22" s="1411">
        <f t="shared" si="7"/>
        <v>0</v>
      </c>
      <c r="R22" s="1411">
        <f t="shared" si="7"/>
        <v>0</v>
      </c>
    </row>
    <row r="23" spans="2:24" ht="10.5" x14ac:dyDescent="0.25">
      <c r="U23" s="778" t="s">
        <v>617</v>
      </c>
    </row>
    <row r="24" spans="2:24" ht="10.5" x14ac:dyDescent="0.25">
      <c r="B24" s="778" t="s">
        <v>917</v>
      </c>
      <c r="C24" s="778" t="s">
        <v>918</v>
      </c>
      <c r="D24" s="778" t="s">
        <v>850</v>
      </c>
      <c r="U24" s="781"/>
      <c r="W24" s="1215" t="s">
        <v>1031</v>
      </c>
    </row>
    <row r="25" spans="2:24" x14ac:dyDescent="0.2">
      <c r="B25" s="1950" t="s">
        <v>377</v>
      </c>
      <c r="C25" s="1951" t="s">
        <v>440</v>
      </c>
      <c r="D25" s="1414" t="s">
        <v>337</v>
      </c>
      <c r="U25" s="779" t="s">
        <v>459</v>
      </c>
      <c r="W25" s="2033">
        <f>INDEX($W$65:$AO$69,MATCH($U25,$U$65:$U$69,0),MATCH(W$24,$W$64:$AO$64,0))</f>
        <v>3.6191615984567882E-2</v>
      </c>
      <c r="X25" s="2042"/>
    </row>
    <row r="26" spans="2:24" x14ac:dyDescent="0.2">
      <c r="B26" s="1952" t="s">
        <v>380</v>
      </c>
      <c r="C26" s="1953" t="s">
        <v>442</v>
      </c>
      <c r="D26" s="1415" t="s">
        <v>337</v>
      </c>
      <c r="U26" s="779" t="s">
        <v>460</v>
      </c>
      <c r="W26" s="2043">
        <f t="shared" ref="W26:W29" si="8">INDEX($W$65:$AO$69,MATCH($U26,$U$65:$U$69,0),MATCH(W$24,$W$64:$AO$64,0))</f>
        <v>4.9000000000000002E-2</v>
      </c>
    </row>
    <row r="27" spans="2:24" x14ac:dyDescent="0.2">
      <c r="B27" s="1952" t="s">
        <v>245</v>
      </c>
      <c r="C27" s="1953" t="s">
        <v>437</v>
      </c>
      <c r="D27" s="1415" t="s">
        <v>337</v>
      </c>
      <c r="U27" s="779" t="s">
        <v>98</v>
      </c>
      <c r="W27" s="2043">
        <f t="shared" si="8"/>
        <v>0.6</v>
      </c>
    </row>
    <row r="28" spans="2:24" x14ac:dyDescent="0.2">
      <c r="B28" s="1952" t="s">
        <v>378</v>
      </c>
      <c r="C28" s="1953" t="s">
        <v>443</v>
      </c>
      <c r="D28" s="1415" t="s">
        <v>337</v>
      </c>
      <c r="U28" s="779" t="s">
        <v>56</v>
      </c>
      <c r="W28" s="2043">
        <f t="shared" si="8"/>
        <v>2.3E-2</v>
      </c>
    </row>
    <row r="29" spans="2:24" x14ac:dyDescent="0.2">
      <c r="B29" s="1952" t="s">
        <v>381</v>
      </c>
      <c r="C29" s="1953" t="s">
        <v>444</v>
      </c>
      <c r="D29" s="1415" t="s">
        <v>337</v>
      </c>
      <c r="U29" s="779" t="s">
        <v>854</v>
      </c>
      <c r="W29" s="2049">
        <f t="shared" si="8"/>
        <v>4.1300000000000003E-2</v>
      </c>
    </row>
    <row r="30" spans="2:24" x14ac:dyDescent="0.2">
      <c r="B30" s="1952" t="s">
        <v>382</v>
      </c>
      <c r="C30" s="1953" t="s">
        <v>441</v>
      </c>
      <c r="D30" s="1415" t="s">
        <v>337</v>
      </c>
    </row>
    <row r="31" spans="2:24" ht="10.5" x14ac:dyDescent="0.25">
      <c r="B31" s="1952" t="s">
        <v>383</v>
      </c>
      <c r="C31" s="1953" t="s">
        <v>445</v>
      </c>
      <c r="D31" s="1415" t="s">
        <v>337</v>
      </c>
      <c r="U31" s="778" t="s">
        <v>966</v>
      </c>
    </row>
    <row r="32" spans="2:24" x14ac:dyDescent="0.2">
      <c r="B32" s="1952" t="s">
        <v>447</v>
      </c>
      <c r="C32" s="1953" t="s">
        <v>446</v>
      </c>
      <c r="D32" s="1415" t="s">
        <v>337</v>
      </c>
      <c r="W32" s="1215" t="s">
        <v>982</v>
      </c>
      <c r="X32" s="1215" t="s">
        <v>1031</v>
      </c>
    </row>
    <row r="33" spans="2:76" x14ac:dyDescent="0.2">
      <c r="B33" s="1952" t="s">
        <v>560</v>
      </c>
      <c r="C33" s="1953" t="s">
        <v>561</v>
      </c>
      <c r="D33" s="1415" t="s">
        <v>337</v>
      </c>
      <c r="U33" s="779" t="s">
        <v>576</v>
      </c>
      <c r="W33" s="2033">
        <f>INDEX($W$73:$AZ$74,MATCH($U33,$U$73:$U$74,0),MATCH(W$32,$W$72:$AZ$72,0))</f>
        <v>0.01</v>
      </c>
      <c r="X33" s="2033">
        <f>INDEX($W$73:$AZ$74,MATCH($U33,$U$73:$U$74,0),MATCH(X$32,$W$72:$AZ$72,0))</f>
        <v>1.6425244508275649E-2</v>
      </c>
    </row>
    <row r="34" spans="2:76" x14ac:dyDescent="0.2">
      <c r="B34" s="1952" t="s">
        <v>562</v>
      </c>
      <c r="C34" s="1953" t="s">
        <v>564</v>
      </c>
      <c r="D34" s="1415" t="s">
        <v>337</v>
      </c>
      <c r="U34" s="779" t="s">
        <v>491</v>
      </c>
      <c r="W34" s="2049">
        <f>INDEX($W$73:$AZ$74,MATCH($U34,$U$73:$U$74,0),MATCH(W$32,$W$72:$AZ$72,0))</f>
        <v>1.5569537430140997E-2</v>
      </c>
      <c r="X34" s="2049">
        <f>INDEX($W$73:$AZ$74,MATCH($U34,$U$73:$U$74,0),MATCH(X$32,$W$72:$AZ$72,0))</f>
        <v>1.6425244508275649E-2</v>
      </c>
    </row>
    <row r="35" spans="2:76" x14ac:dyDescent="0.2">
      <c r="B35" s="1952" t="s">
        <v>384</v>
      </c>
      <c r="C35" s="1953" t="s">
        <v>448</v>
      </c>
      <c r="D35" s="1415" t="s">
        <v>337</v>
      </c>
    </row>
    <row r="36" spans="2:76" x14ac:dyDescent="0.2">
      <c r="B36" s="1952" t="s">
        <v>246</v>
      </c>
      <c r="C36" s="1953" t="s">
        <v>438</v>
      </c>
      <c r="D36" s="1415" t="s">
        <v>337</v>
      </c>
    </row>
    <row r="37" spans="2:76" x14ac:dyDescent="0.2">
      <c r="B37" s="1952" t="s">
        <v>386</v>
      </c>
      <c r="C37" s="1953" t="s">
        <v>450</v>
      </c>
      <c r="D37" s="1415" t="s">
        <v>337</v>
      </c>
    </row>
    <row r="38" spans="2:76" x14ac:dyDescent="0.2">
      <c r="B38" s="1952" t="s">
        <v>452</v>
      </c>
      <c r="C38" s="1953" t="s">
        <v>451</v>
      </c>
      <c r="D38" s="1415" t="s">
        <v>337</v>
      </c>
    </row>
    <row r="39" spans="2:76" x14ac:dyDescent="0.2">
      <c r="B39" s="1952" t="s">
        <v>247</v>
      </c>
      <c r="C39" s="1953" t="s">
        <v>439</v>
      </c>
      <c r="D39" s="1415" t="s">
        <v>337</v>
      </c>
    </row>
    <row r="40" spans="2:76" x14ac:dyDescent="0.2">
      <c r="B40" s="1952" t="s">
        <v>563</v>
      </c>
      <c r="C40" s="1953" t="s">
        <v>454</v>
      </c>
      <c r="D40" s="1415" t="s">
        <v>337</v>
      </c>
    </row>
    <row r="41" spans="2:76" x14ac:dyDescent="0.2">
      <c r="B41" s="1952" t="s">
        <v>385</v>
      </c>
      <c r="C41" s="1953" t="s">
        <v>449</v>
      </c>
      <c r="D41" s="1415" t="s">
        <v>359</v>
      </c>
    </row>
    <row r="42" spans="2:76" x14ac:dyDescent="0.2">
      <c r="B42" s="1954" t="s">
        <v>387</v>
      </c>
      <c r="C42" s="1955" t="s">
        <v>453</v>
      </c>
      <c r="D42" s="1416" t="s">
        <v>359</v>
      </c>
    </row>
    <row r="46" spans="2:76" ht="10.5" x14ac:dyDescent="0.25">
      <c r="B46" s="778" t="s">
        <v>917</v>
      </c>
      <c r="C46" s="778" t="s">
        <v>918</v>
      </c>
      <c r="D46" s="778" t="s">
        <v>915</v>
      </c>
      <c r="E46" s="778" t="s">
        <v>916</v>
      </c>
      <c r="F46" s="778" t="s">
        <v>913</v>
      </c>
      <c r="G46" s="778" t="s">
        <v>850</v>
      </c>
      <c r="I46" s="1207" t="s">
        <v>294</v>
      </c>
      <c r="J46" s="1207" t="s">
        <v>334</v>
      </c>
      <c r="K46" s="1207" t="s">
        <v>335</v>
      </c>
      <c r="L46" s="1207" t="s">
        <v>336</v>
      </c>
      <c r="M46" s="1207" t="s">
        <v>337</v>
      </c>
      <c r="N46" s="1207" t="s">
        <v>358</v>
      </c>
      <c r="O46" s="1207" t="s">
        <v>359</v>
      </c>
      <c r="P46" s="1207" t="s">
        <v>360</v>
      </c>
      <c r="Q46" s="1207" t="s">
        <v>361</v>
      </c>
      <c r="R46" s="1207" t="s">
        <v>362</v>
      </c>
      <c r="U46" s="778" t="s">
        <v>595</v>
      </c>
      <c r="W46" s="2037"/>
    </row>
    <row r="47" spans="2:76" x14ac:dyDescent="0.2">
      <c r="B47" s="1949" t="s">
        <v>385</v>
      </c>
      <c r="C47" s="1949" t="s">
        <v>449</v>
      </c>
      <c r="D47" s="779" t="s">
        <v>909</v>
      </c>
      <c r="F47" s="2042" t="str">
        <f>C47&amp;D47&amp;E47</f>
        <v>SGWRAV (Opening Base)</v>
      </c>
      <c r="G47" s="779" t="s">
        <v>359</v>
      </c>
      <c r="I47" s="1956">
        <v>121.1032723217405</v>
      </c>
      <c r="J47" s="1956">
        <v>130.42501950294542</v>
      </c>
      <c r="K47" s="1956">
        <v>146.33465468090489</v>
      </c>
      <c r="L47" s="1956">
        <v>151.82282346638263</v>
      </c>
      <c r="M47" s="1956">
        <v>149.38102459807763</v>
      </c>
      <c r="N47" s="1956">
        <v>159.70116794996562</v>
      </c>
      <c r="O47" s="1956">
        <v>161.93044637381365</v>
      </c>
      <c r="P47" s="1956">
        <v>172.24541841070368</v>
      </c>
      <c r="Q47" s="1956">
        <v>178.04276522407611</v>
      </c>
      <c r="R47" s="1956">
        <v>182.7760238532544</v>
      </c>
      <c r="U47" s="1212"/>
      <c r="W47" s="1216" t="s">
        <v>1003</v>
      </c>
      <c r="X47" s="1216" t="s">
        <v>977</v>
      </c>
      <c r="Y47" s="1216" t="s">
        <v>978</v>
      </c>
      <c r="Z47" s="779" t="s">
        <v>1008</v>
      </c>
      <c r="AA47" s="779" t="s">
        <v>979</v>
      </c>
      <c r="AB47" s="779" t="s">
        <v>980</v>
      </c>
      <c r="AC47" s="1216" t="s">
        <v>1004</v>
      </c>
      <c r="AD47" s="1216" t="s">
        <v>981</v>
      </c>
      <c r="AE47" s="1216" t="s">
        <v>982</v>
      </c>
      <c r="AF47" s="779" t="s">
        <v>1006</v>
      </c>
      <c r="AG47" s="779" t="s">
        <v>983</v>
      </c>
      <c r="AH47" s="779" t="s">
        <v>984</v>
      </c>
      <c r="AI47" s="779" t="s">
        <v>1005</v>
      </c>
      <c r="AJ47" s="779" t="s">
        <v>971</v>
      </c>
      <c r="AK47" s="779" t="s">
        <v>972</v>
      </c>
      <c r="AL47" s="779" t="s">
        <v>1007</v>
      </c>
      <c r="AM47" s="779" t="s">
        <v>985</v>
      </c>
      <c r="AN47" s="779" t="s">
        <v>986</v>
      </c>
      <c r="AO47" s="779" t="s">
        <v>1009</v>
      </c>
      <c r="AP47" s="779" t="s">
        <v>987</v>
      </c>
      <c r="AQ47" s="779" t="s">
        <v>988</v>
      </c>
      <c r="AR47" s="779" t="s">
        <v>1010</v>
      </c>
      <c r="AS47" s="779" t="s">
        <v>1011</v>
      </c>
      <c r="AT47" s="779" t="s">
        <v>997</v>
      </c>
      <c r="AU47" s="779" t="s">
        <v>1013</v>
      </c>
      <c r="AV47" s="779" t="s">
        <v>999</v>
      </c>
      <c r="AW47" s="779" t="s">
        <v>1000</v>
      </c>
      <c r="AX47" s="779" t="s">
        <v>970</v>
      </c>
      <c r="AY47" s="779" t="s">
        <v>1012</v>
      </c>
      <c r="AZ47" s="779" t="s">
        <v>989</v>
      </c>
      <c r="BA47" s="779" t="s">
        <v>990</v>
      </c>
      <c r="BB47" s="779" t="s">
        <v>1014</v>
      </c>
      <c r="BC47" s="779" t="s">
        <v>991</v>
      </c>
      <c r="BD47" s="779" t="s">
        <v>992</v>
      </c>
      <c r="BE47" s="779" t="s">
        <v>1015</v>
      </c>
      <c r="BF47" s="779" t="s">
        <v>973</v>
      </c>
      <c r="BG47" s="779" t="s">
        <v>974</v>
      </c>
      <c r="BH47" s="779" t="s">
        <v>596</v>
      </c>
      <c r="BI47" s="779" t="s">
        <v>597</v>
      </c>
      <c r="BJ47" s="779" t="s">
        <v>598</v>
      </c>
      <c r="BK47" s="779" t="s">
        <v>1016</v>
      </c>
      <c r="BL47" s="779" t="s">
        <v>1001</v>
      </c>
      <c r="BM47" s="779" t="s">
        <v>1002</v>
      </c>
      <c r="BN47" s="779" t="s">
        <v>1017</v>
      </c>
      <c r="BO47" s="779" t="s">
        <v>993</v>
      </c>
      <c r="BP47" s="779" t="s">
        <v>994</v>
      </c>
      <c r="BQ47" s="779" t="s">
        <v>1018</v>
      </c>
      <c r="BR47" s="779" t="s">
        <v>995</v>
      </c>
      <c r="BS47" s="779" t="s">
        <v>996</v>
      </c>
      <c r="BT47" s="779" t="s">
        <v>599</v>
      </c>
      <c r="BU47" s="779" t="s">
        <v>600</v>
      </c>
      <c r="BV47" s="779" t="s">
        <v>601</v>
      </c>
      <c r="BW47" s="779" t="s">
        <v>1019</v>
      </c>
      <c r="BX47" s="779" t="s">
        <v>975</v>
      </c>
    </row>
    <row r="48" spans="2:76" x14ac:dyDescent="0.2">
      <c r="B48" s="1949" t="s">
        <v>385</v>
      </c>
      <c r="C48" s="1949" t="s">
        <v>449</v>
      </c>
      <c r="D48" s="779" t="s">
        <v>250</v>
      </c>
      <c r="F48" s="2042" t="str">
        <f t="shared" ref="F48:F57" si="9">C48&amp;D48&amp;E48</f>
        <v>SGWRoA</v>
      </c>
      <c r="G48" s="779" t="s">
        <v>359</v>
      </c>
      <c r="I48" s="1956">
        <v>5.9745388283995187</v>
      </c>
      <c r="J48" s="1956">
        <v>6.2551962764679665</v>
      </c>
      <c r="K48" s="1956">
        <v>6.4885180814527592</v>
      </c>
      <c r="L48" s="1956">
        <v>6.7156054535982275</v>
      </c>
      <c r="M48" s="1956">
        <v>6.8765483872963973</v>
      </c>
      <c r="N48" s="1956">
        <v>5.9605549378184302</v>
      </c>
      <c r="O48" s="1956">
        <v>6.4467503846668466</v>
      </c>
      <c r="P48" s="1956">
        <v>6.9357060359686411</v>
      </c>
      <c r="Q48" s="1956">
        <v>7.1442120237311446</v>
      </c>
      <c r="R48" s="1956">
        <v>7.3548679508470407</v>
      </c>
      <c r="U48" s="1214" t="s">
        <v>51</v>
      </c>
      <c r="W48" s="2050">
        <v>2.6700000000000002E-2</v>
      </c>
      <c r="X48" s="2050">
        <v>3.2300000000000002E-2</v>
      </c>
      <c r="Y48" s="2050">
        <v>5.9589999999999999E-3</v>
      </c>
      <c r="Z48" s="2050">
        <v>2.6700000000000002E-2</v>
      </c>
      <c r="AA48" s="2050">
        <v>3.2300000000000002E-2</v>
      </c>
      <c r="AB48" s="2050">
        <v>5.9589999999999999E-3</v>
      </c>
      <c r="AC48" s="2050">
        <v>2.6700000000000002E-2</v>
      </c>
      <c r="AD48" s="2050">
        <v>3.2300000000000002E-2</v>
      </c>
      <c r="AE48" s="2050">
        <v>5.9589999999999999E-3</v>
      </c>
      <c r="AF48" s="2050">
        <v>2.6700000000000002E-2</v>
      </c>
      <c r="AG48" s="2050">
        <v>3.2300000000000002E-2</v>
      </c>
      <c r="AH48" s="2050">
        <v>5.9589999999999999E-3</v>
      </c>
      <c r="AI48" s="2050">
        <v>2.6700000000000002E-2</v>
      </c>
      <c r="AJ48" s="2050">
        <v>2.2185E-2</v>
      </c>
      <c r="AK48" s="2050">
        <v>5.9589999999999999E-3</v>
      </c>
      <c r="AL48" s="2050">
        <v>2.6700000000000002E-2</v>
      </c>
      <c r="AM48" s="2050">
        <v>3.2300000000000002E-2</v>
      </c>
      <c r="AN48" s="2050">
        <v>5.9589999999999999E-3</v>
      </c>
      <c r="AO48" s="2050">
        <v>2.6700000000000002E-2</v>
      </c>
      <c r="AP48" s="2050">
        <v>3.2300000000000002E-2</v>
      </c>
      <c r="AQ48" s="2050">
        <v>5.9589999999999999E-3</v>
      </c>
      <c r="AR48" s="2050">
        <v>2.6700000000000002E-2</v>
      </c>
      <c r="AS48" s="2050">
        <v>3.2300000000000002E-2</v>
      </c>
      <c r="AT48" s="2050">
        <v>5.9589999999999999E-3</v>
      </c>
      <c r="AU48" s="2050">
        <v>2.6700000000000002E-2</v>
      </c>
      <c r="AV48" s="2050">
        <v>3.2300000000000002E-2</v>
      </c>
      <c r="AW48" s="2050">
        <v>9.1599999999999997E-3</v>
      </c>
      <c r="AX48" s="2116">
        <v>8.2000000000000007E-3</v>
      </c>
      <c r="AY48" s="2050">
        <v>2.6700000000000002E-2</v>
      </c>
      <c r="AZ48" s="2050">
        <v>3.2300000000000002E-2</v>
      </c>
      <c r="BA48" s="2050">
        <v>5.9589999999999999E-3</v>
      </c>
      <c r="BB48" s="2050">
        <v>2.6700000000000002E-2</v>
      </c>
      <c r="BC48" s="2050">
        <v>3.2300000000000002E-2</v>
      </c>
      <c r="BD48" s="2050">
        <v>5.9589999999999999E-3</v>
      </c>
      <c r="BE48" s="2050">
        <v>2.6700000000000002E-2</v>
      </c>
      <c r="BF48" s="2050">
        <v>2.2185E-2</v>
      </c>
      <c r="BG48" s="2050">
        <v>5.9589999999999999E-3</v>
      </c>
      <c r="BH48" s="2050">
        <v>2.6700000000000002E-2</v>
      </c>
      <c r="BI48" s="2050">
        <v>3.2300000000000002E-2</v>
      </c>
      <c r="BJ48" s="2050">
        <v>5.9589999999999999E-3</v>
      </c>
      <c r="BK48" s="2050">
        <v>2.6700000000000002E-2</v>
      </c>
      <c r="BL48" s="2050">
        <v>3.2300000000000002E-2</v>
      </c>
      <c r="BM48" s="2050">
        <v>9.1599999999999997E-3</v>
      </c>
      <c r="BN48" s="2050">
        <v>2.6700000000000002E-2</v>
      </c>
      <c r="BO48" s="2050">
        <v>3.2300000000000002E-2</v>
      </c>
      <c r="BP48" s="2050">
        <v>5.9589999999999999E-3</v>
      </c>
      <c r="BQ48" s="2050">
        <v>2.6700000000000002E-2</v>
      </c>
      <c r="BR48" s="2050">
        <v>3.2300000000000002E-2</v>
      </c>
      <c r="BS48" s="2050">
        <v>5.9589999999999999E-3</v>
      </c>
      <c r="BT48" s="2050">
        <v>2.6700000000000002E-2</v>
      </c>
      <c r="BU48" s="2050">
        <v>3.2300000000000002E-2</v>
      </c>
      <c r="BV48" s="2050">
        <v>5.9589999999999999E-3</v>
      </c>
      <c r="BW48" s="2050">
        <v>2.6700000000000002E-2</v>
      </c>
      <c r="BX48" s="2050">
        <v>2.2185E-2</v>
      </c>
    </row>
    <row r="49" spans="2:76" x14ac:dyDescent="0.2">
      <c r="B49" s="1949" t="s">
        <v>385</v>
      </c>
      <c r="C49" s="1949" t="s">
        <v>449</v>
      </c>
      <c r="D49" s="779" t="s">
        <v>256</v>
      </c>
      <c r="F49" s="2042" t="str">
        <f t="shared" si="9"/>
        <v>SGWRevenue Req</v>
      </c>
      <c r="G49" s="779" t="s">
        <v>359</v>
      </c>
      <c r="I49" s="1956">
        <v>28.389813769185761</v>
      </c>
      <c r="J49" s="1956">
        <v>28.724125563118065</v>
      </c>
      <c r="K49" s="1956">
        <v>29.21575454344331</v>
      </c>
      <c r="L49" s="1956">
        <v>28.969999356090131</v>
      </c>
      <c r="M49" s="1956">
        <v>29.280845442154124</v>
      </c>
      <c r="N49" s="1956">
        <v>30.272537771398909</v>
      </c>
      <c r="O49" s="1956">
        <v>31.12142821952995</v>
      </c>
      <c r="P49" s="1956">
        <v>32.262337614180723</v>
      </c>
      <c r="Q49" s="1956">
        <v>32.907958391095306</v>
      </c>
      <c r="R49" s="1956">
        <v>33.429662741528141</v>
      </c>
      <c r="U49" s="1214" t="s">
        <v>52</v>
      </c>
      <c r="W49" s="2051">
        <v>1.1599999999999999E-2</v>
      </c>
      <c r="X49" s="2051">
        <v>1.7500000000000002E-2</v>
      </c>
      <c r="Y49" s="2051">
        <v>3.9899999999999998E-2</v>
      </c>
      <c r="Z49" s="2051">
        <v>1.1599999999999999E-2</v>
      </c>
      <c r="AA49" s="2051">
        <v>1.7500000000000002E-2</v>
      </c>
      <c r="AB49" s="2051">
        <v>3.9899999999999998E-2</v>
      </c>
      <c r="AC49" s="2051">
        <v>1.1599999999999999E-2</v>
      </c>
      <c r="AD49" s="2051">
        <v>1.7500000000000002E-2</v>
      </c>
      <c r="AE49" s="2051">
        <v>3.9899999999999998E-2</v>
      </c>
      <c r="AF49" s="2051">
        <v>1.1599999999999999E-2</v>
      </c>
      <c r="AG49" s="2051">
        <v>1.7500000000000002E-2</v>
      </c>
      <c r="AH49" s="2051">
        <v>3.9899999999999998E-2</v>
      </c>
      <c r="AI49" s="2051">
        <v>1.1599999999999999E-2</v>
      </c>
      <c r="AJ49" s="2051">
        <v>2.2499999999999999E-2</v>
      </c>
      <c r="AK49" s="2051">
        <v>3.9899999999999998E-2</v>
      </c>
      <c r="AL49" s="2051">
        <v>1.1599999999999999E-2</v>
      </c>
      <c r="AM49" s="2051">
        <v>1.7500000000000002E-2</v>
      </c>
      <c r="AN49" s="2051">
        <v>3.9899999999999998E-2</v>
      </c>
      <c r="AO49" s="2051">
        <v>1.1599999999999999E-2</v>
      </c>
      <c r="AP49" s="2051">
        <v>1.7500000000000002E-2</v>
      </c>
      <c r="AQ49" s="2051">
        <v>3.9899999999999998E-2</v>
      </c>
      <c r="AR49" s="2051">
        <v>1.1599999999999999E-2</v>
      </c>
      <c r="AS49" s="2051">
        <v>1.7500000000000002E-2</v>
      </c>
      <c r="AT49" s="2051">
        <v>3.9899999999999998E-2</v>
      </c>
      <c r="AU49" s="2051">
        <v>1.1599999999999999E-2</v>
      </c>
      <c r="AV49" s="2051">
        <v>1.7500000000000002E-2</v>
      </c>
      <c r="AW49" s="2051">
        <v>3.1579999999999997E-2</v>
      </c>
      <c r="AX49" s="2118">
        <v>2.5000000000000001E-2</v>
      </c>
      <c r="AY49" s="2051">
        <v>1.1599999999999999E-2</v>
      </c>
      <c r="AZ49" s="2051">
        <v>1.7500000000000002E-2</v>
      </c>
      <c r="BA49" s="2051">
        <v>3.9899999999999998E-2</v>
      </c>
      <c r="BB49" s="2051">
        <v>1.1599999999999999E-2</v>
      </c>
      <c r="BC49" s="2051">
        <v>1.7500000000000002E-2</v>
      </c>
      <c r="BD49" s="2051">
        <v>3.9899999999999998E-2</v>
      </c>
      <c r="BE49" s="2051">
        <v>1.1599999999999999E-2</v>
      </c>
      <c r="BF49" s="2051">
        <v>2.2499999999999999E-2</v>
      </c>
      <c r="BG49" s="2051">
        <v>3.9899999999999998E-2</v>
      </c>
      <c r="BH49" s="2051">
        <v>1.1599999999999999E-2</v>
      </c>
      <c r="BI49" s="2051">
        <v>1.7500000000000002E-2</v>
      </c>
      <c r="BJ49" s="2051">
        <v>3.9899999999999998E-2</v>
      </c>
      <c r="BK49" s="2051">
        <v>1.1599999999999999E-2</v>
      </c>
      <c r="BL49" s="2051">
        <v>1.7500000000000002E-2</v>
      </c>
      <c r="BM49" s="2051">
        <v>3.1579999999999997E-2</v>
      </c>
      <c r="BN49" s="2051">
        <v>1.1599999999999999E-2</v>
      </c>
      <c r="BO49" s="2051">
        <v>1.7500000000000002E-2</v>
      </c>
      <c r="BP49" s="2051">
        <v>3.9899999999999998E-2</v>
      </c>
      <c r="BQ49" s="2051">
        <v>1.1599999999999999E-2</v>
      </c>
      <c r="BR49" s="2051">
        <v>1.7500000000000002E-2</v>
      </c>
      <c r="BS49" s="2051">
        <v>3.9899999999999998E-2</v>
      </c>
      <c r="BT49" s="2051">
        <v>1.1599999999999999E-2</v>
      </c>
      <c r="BU49" s="2051">
        <v>1.7500000000000002E-2</v>
      </c>
      <c r="BV49" s="2051">
        <v>3.9899999999999998E-2</v>
      </c>
      <c r="BW49" s="2051">
        <v>1.1599999999999999E-2</v>
      </c>
      <c r="BX49" s="2051">
        <v>2.2499999999999999E-2</v>
      </c>
    </row>
    <row r="50" spans="2:76" x14ac:dyDescent="0.2">
      <c r="B50" s="1949" t="s">
        <v>385</v>
      </c>
      <c r="C50" s="1949" t="s">
        <v>449</v>
      </c>
      <c r="D50" s="779" t="s">
        <v>248</v>
      </c>
      <c r="F50" s="2042" t="str">
        <f t="shared" si="9"/>
        <v>SGWRegDepEx</v>
      </c>
      <c r="G50" s="779" t="s">
        <v>359</v>
      </c>
      <c r="I50" s="1956">
        <v>3.597002700156414</v>
      </c>
      <c r="J50" s="1956">
        <v>3.597002700156414</v>
      </c>
      <c r="K50" s="1956">
        <v>3.597002700156414</v>
      </c>
      <c r="L50" s="1956">
        <v>3.597002700156414</v>
      </c>
      <c r="M50" s="1956">
        <v>3.597002700156414</v>
      </c>
      <c r="N50" s="1956">
        <v>4.0183195080085694</v>
      </c>
      <c r="O50" s="1956">
        <v>4.0183195080085694</v>
      </c>
      <c r="P50" s="1956">
        <v>4.6672097039840663</v>
      </c>
      <c r="Q50" s="1956">
        <v>4.6672097039840663</v>
      </c>
      <c r="R50" s="1956">
        <v>4.6672097039840663</v>
      </c>
      <c r="U50" s="1214" t="s">
        <v>53</v>
      </c>
      <c r="W50" s="2051">
        <v>0.06</v>
      </c>
      <c r="X50" s="2051">
        <v>0.06</v>
      </c>
      <c r="Y50" s="2051">
        <v>0.06</v>
      </c>
      <c r="Z50" s="2051">
        <v>0.06</v>
      </c>
      <c r="AA50" s="2051">
        <v>0.06</v>
      </c>
      <c r="AB50" s="2051">
        <v>0.06</v>
      </c>
      <c r="AC50" s="2051">
        <v>0.06</v>
      </c>
      <c r="AD50" s="2051">
        <v>0.06</v>
      </c>
      <c r="AE50" s="2051">
        <v>0.06</v>
      </c>
      <c r="AF50" s="2051">
        <v>0.06</v>
      </c>
      <c r="AG50" s="2051">
        <v>0.06</v>
      </c>
      <c r="AH50" s="2051">
        <v>0.06</v>
      </c>
      <c r="AI50" s="2051">
        <v>0.06</v>
      </c>
      <c r="AJ50" s="2051">
        <v>0.06</v>
      </c>
      <c r="AK50" s="2051">
        <v>0.06</v>
      </c>
      <c r="AL50" s="2051">
        <v>0.06</v>
      </c>
      <c r="AM50" s="2051">
        <v>0.06</v>
      </c>
      <c r="AN50" s="2051">
        <v>0.06</v>
      </c>
      <c r="AO50" s="2051">
        <v>0.06</v>
      </c>
      <c r="AP50" s="2051">
        <v>0.06</v>
      </c>
      <c r="AQ50" s="2051">
        <v>0.06</v>
      </c>
      <c r="AR50" s="2051">
        <v>0.06</v>
      </c>
      <c r="AS50" s="2051">
        <v>0.06</v>
      </c>
      <c r="AT50" s="2051">
        <v>0.06</v>
      </c>
      <c r="AU50" s="2051">
        <v>0.06</v>
      </c>
      <c r="AV50" s="2051">
        <v>0.06</v>
      </c>
      <c r="AW50" s="2051">
        <v>0.06</v>
      </c>
      <c r="AX50" s="2118">
        <v>0.06</v>
      </c>
      <c r="AY50" s="2051">
        <v>0.06</v>
      </c>
      <c r="AZ50" s="2051">
        <v>0.06</v>
      </c>
      <c r="BA50" s="2051">
        <v>0.06</v>
      </c>
      <c r="BB50" s="2051">
        <v>0.06</v>
      </c>
      <c r="BC50" s="2051">
        <v>0.06</v>
      </c>
      <c r="BD50" s="2051">
        <v>0.06</v>
      </c>
      <c r="BE50" s="2051">
        <v>0.06</v>
      </c>
      <c r="BF50" s="2051">
        <v>0.06</v>
      </c>
      <c r="BG50" s="2051">
        <v>0.06</v>
      </c>
      <c r="BH50" s="2051">
        <v>0.06</v>
      </c>
      <c r="BI50" s="2051">
        <v>0.06</v>
      </c>
      <c r="BJ50" s="2051">
        <v>0.06</v>
      </c>
      <c r="BK50" s="2051">
        <v>0.06</v>
      </c>
      <c r="BL50" s="2051">
        <v>0.06</v>
      </c>
      <c r="BM50" s="2051">
        <v>0.06</v>
      </c>
      <c r="BN50" s="2051">
        <v>0.06</v>
      </c>
      <c r="BO50" s="2051">
        <v>0.06</v>
      </c>
      <c r="BP50" s="2051">
        <v>0.06</v>
      </c>
      <c r="BQ50" s="2051">
        <v>0.06</v>
      </c>
      <c r="BR50" s="2051">
        <v>0.06</v>
      </c>
      <c r="BS50" s="2051">
        <v>0.06</v>
      </c>
      <c r="BT50" s="2051">
        <v>0.06</v>
      </c>
      <c r="BU50" s="2051">
        <v>0.06</v>
      </c>
      <c r="BV50" s="2051">
        <v>0.06</v>
      </c>
      <c r="BW50" s="2051">
        <v>0.06</v>
      </c>
      <c r="BX50" s="2051">
        <v>0.06</v>
      </c>
    </row>
    <row r="51" spans="2:76" x14ac:dyDescent="0.2">
      <c r="B51" s="1949" t="s">
        <v>385</v>
      </c>
      <c r="C51" s="1949" t="s">
        <v>449</v>
      </c>
      <c r="D51" s="779" t="s">
        <v>249</v>
      </c>
      <c r="F51" s="2042" t="str">
        <f t="shared" si="9"/>
        <v>SGWRegDepNew</v>
      </c>
      <c r="G51" s="779" t="s">
        <v>359</v>
      </c>
      <c r="I51" s="1956">
        <v>0.11065225340429827</v>
      </c>
      <c r="J51" s="1956">
        <v>0.26884502890499323</v>
      </c>
      <c r="K51" s="1956">
        <v>0.35680970631342174</v>
      </c>
      <c r="L51" s="1956">
        <v>0.42915183464811441</v>
      </c>
      <c r="M51" s="1956">
        <v>0.79046942802800302</v>
      </c>
      <c r="N51" s="1956">
        <v>0.1221506238538765</v>
      </c>
      <c r="O51" s="1956">
        <v>0.43788130745435921</v>
      </c>
      <c r="P51" s="1956">
        <v>0.17865946428571433</v>
      </c>
      <c r="Q51" s="1956">
        <v>0.54970410714285711</v>
      </c>
      <c r="R51" s="1956">
        <v>0.98835946428571431</v>
      </c>
      <c r="U51" s="1214" t="s">
        <v>54</v>
      </c>
      <c r="W51" s="2052">
        <v>0.75</v>
      </c>
      <c r="X51" s="2052">
        <v>0.65</v>
      </c>
      <c r="Y51" s="2052">
        <v>0.65</v>
      </c>
      <c r="Z51" s="2052">
        <v>0.75</v>
      </c>
      <c r="AA51" s="2052">
        <v>0.65</v>
      </c>
      <c r="AB51" s="2052">
        <v>0.65</v>
      </c>
      <c r="AC51" s="2052">
        <v>0.75</v>
      </c>
      <c r="AD51" s="2052">
        <v>0.65</v>
      </c>
      <c r="AE51" s="2052">
        <v>0.65</v>
      </c>
      <c r="AF51" s="2052">
        <v>0.75</v>
      </c>
      <c r="AG51" s="2052">
        <v>0.65</v>
      </c>
      <c r="AH51" s="2052">
        <v>0.65</v>
      </c>
      <c r="AI51" s="2052">
        <v>0.75</v>
      </c>
      <c r="AJ51" s="2052">
        <v>0.65</v>
      </c>
      <c r="AK51" s="2052">
        <v>0.65</v>
      </c>
      <c r="AL51" s="2052">
        <v>0.75</v>
      </c>
      <c r="AM51" s="2052">
        <v>0.65</v>
      </c>
      <c r="AN51" s="2052">
        <v>0.65</v>
      </c>
      <c r="AO51" s="2052">
        <v>0.75</v>
      </c>
      <c r="AP51" s="2052">
        <v>0.65</v>
      </c>
      <c r="AQ51" s="2052">
        <v>0.65</v>
      </c>
      <c r="AR51" s="2052">
        <v>0.75</v>
      </c>
      <c r="AS51" s="2052">
        <v>0.65</v>
      </c>
      <c r="AT51" s="2052">
        <v>0.65</v>
      </c>
      <c r="AU51" s="2052">
        <v>0.75</v>
      </c>
      <c r="AV51" s="2052">
        <v>0.7</v>
      </c>
      <c r="AW51" s="2052">
        <v>0.7</v>
      </c>
      <c r="AX51" s="2120">
        <v>0.7</v>
      </c>
      <c r="AY51" s="2052">
        <v>0.75</v>
      </c>
      <c r="AZ51" s="2052">
        <v>0.65</v>
      </c>
      <c r="BA51" s="2052">
        <v>0.65</v>
      </c>
      <c r="BB51" s="2052">
        <v>0.75</v>
      </c>
      <c r="BC51" s="2052">
        <v>0.65</v>
      </c>
      <c r="BD51" s="2052">
        <v>0.65</v>
      </c>
      <c r="BE51" s="2052">
        <v>0.75</v>
      </c>
      <c r="BF51" s="2052">
        <v>0.65</v>
      </c>
      <c r="BG51" s="2052">
        <v>0.65</v>
      </c>
      <c r="BH51" s="2052">
        <v>0.75</v>
      </c>
      <c r="BI51" s="2052">
        <v>0.65</v>
      </c>
      <c r="BJ51" s="2052">
        <v>0.65</v>
      </c>
      <c r="BK51" s="2052">
        <v>0.75</v>
      </c>
      <c r="BL51" s="2052">
        <v>0.65</v>
      </c>
      <c r="BM51" s="2052">
        <v>0.7</v>
      </c>
      <c r="BN51" s="2052">
        <v>0.75</v>
      </c>
      <c r="BO51" s="2052">
        <v>0.65</v>
      </c>
      <c r="BP51" s="2052">
        <v>0.65</v>
      </c>
      <c r="BQ51" s="2052">
        <v>0.75</v>
      </c>
      <c r="BR51" s="2052">
        <v>0.65</v>
      </c>
      <c r="BS51" s="2052">
        <v>0.65</v>
      </c>
      <c r="BT51" s="2052">
        <v>0.75</v>
      </c>
      <c r="BU51" s="2052">
        <v>0.65</v>
      </c>
      <c r="BV51" s="2052">
        <v>0.65</v>
      </c>
      <c r="BW51" s="2052">
        <v>0.75</v>
      </c>
      <c r="BX51" s="2052">
        <v>0.65</v>
      </c>
    </row>
    <row r="52" spans="2:76" ht="10.5" x14ac:dyDescent="0.25">
      <c r="B52" s="1949" t="s">
        <v>385</v>
      </c>
      <c r="C52" s="1949" t="s">
        <v>449</v>
      </c>
      <c r="D52" s="779" t="s">
        <v>513</v>
      </c>
      <c r="E52" s="779" t="s">
        <v>21</v>
      </c>
      <c r="F52" s="2042" t="str">
        <f t="shared" si="9"/>
        <v>SGWTotal prescribed capexWater</v>
      </c>
      <c r="G52" s="779" t="s">
        <v>359</v>
      </c>
      <c r="H52" s="1207"/>
      <c r="I52" s="1956">
        <v>3.4486279296874995</v>
      </c>
      <c r="J52" s="1956">
        <v>3.0928244781783678</v>
      </c>
      <c r="K52" s="1956">
        <v>3.5351769662921342</v>
      </c>
      <c r="L52" s="1956">
        <v>5.1545360443622918</v>
      </c>
      <c r="M52" s="1956">
        <v>30.393761381125898</v>
      </c>
      <c r="N52" s="1956">
        <v>8.9468659561367669</v>
      </c>
      <c r="O52" s="1956">
        <v>10.256825891402714</v>
      </c>
      <c r="P52" s="1956">
        <v>4.5439999999999996</v>
      </c>
      <c r="Q52" s="1956">
        <v>4.3130000000000006</v>
      </c>
      <c r="R52" s="1956">
        <v>3.8690000000000002</v>
      </c>
      <c r="U52" s="1214" t="s">
        <v>55</v>
      </c>
      <c r="W52" s="2051">
        <v>0.6</v>
      </c>
      <c r="X52" s="2051">
        <v>0.6</v>
      </c>
      <c r="Y52" s="2051">
        <v>0.6</v>
      </c>
      <c r="Z52" s="2051">
        <v>0.6</v>
      </c>
      <c r="AA52" s="2051">
        <v>0.6</v>
      </c>
      <c r="AB52" s="2051">
        <v>0.6</v>
      </c>
      <c r="AC52" s="2051">
        <v>0.6</v>
      </c>
      <c r="AD52" s="2051">
        <v>0.6</v>
      </c>
      <c r="AE52" s="2051">
        <v>0.6</v>
      </c>
      <c r="AF52" s="2051">
        <v>0.6</v>
      </c>
      <c r="AG52" s="2051">
        <v>0.6</v>
      </c>
      <c r="AH52" s="2051">
        <v>0.6</v>
      </c>
      <c r="AI52" s="2051">
        <v>0.6</v>
      </c>
      <c r="AJ52" s="2051">
        <v>0.6</v>
      </c>
      <c r="AK52" s="2051">
        <v>0.6</v>
      </c>
      <c r="AL52" s="2051">
        <v>0.6</v>
      </c>
      <c r="AM52" s="2051">
        <v>0.6</v>
      </c>
      <c r="AN52" s="2051">
        <v>0.6</v>
      </c>
      <c r="AO52" s="2051">
        <v>0.6</v>
      </c>
      <c r="AP52" s="2051">
        <v>0.6</v>
      </c>
      <c r="AQ52" s="2051">
        <v>0.6</v>
      </c>
      <c r="AR52" s="2051">
        <v>0.6</v>
      </c>
      <c r="AS52" s="2051">
        <v>0.6</v>
      </c>
      <c r="AT52" s="2051">
        <v>0.6</v>
      </c>
      <c r="AU52" s="2051">
        <v>0.6</v>
      </c>
      <c r="AV52" s="2051">
        <v>0.6</v>
      </c>
      <c r="AW52" s="2051">
        <v>0.6</v>
      </c>
      <c r="AX52" s="2118">
        <v>0.6</v>
      </c>
      <c r="AY52" s="2051">
        <v>0.6</v>
      </c>
      <c r="AZ52" s="2051">
        <v>0.6</v>
      </c>
      <c r="BA52" s="2051">
        <v>0.6</v>
      </c>
      <c r="BB52" s="2051">
        <v>0.6</v>
      </c>
      <c r="BC52" s="2051">
        <v>0.6</v>
      </c>
      <c r="BD52" s="2051">
        <v>0.6</v>
      </c>
      <c r="BE52" s="2051">
        <v>0.6</v>
      </c>
      <c r="BF52" s="2051">
        <v>0.6</v>
      </c>
      <c r="BG52" s="2051">
        <v>0.6</v>
      </c>
      <c r="BH52" s="2051">
        <v>0.6</v>
      </c>
      <c r="BI52" s="2051">
        <v>0.6</v>
      </c>
      <c r="BJ52" s="2051">
        <v>0.6</v>
      </c>
      <c r="BK52" s="2051">
        <v>0.6</v>
      </c>
      <c r="BL52" s="2051">
        <v>0.6</v>
      </c>
      <c r="BM52" s="2051">
        <v>0.6</v>
      </c>
      <c r="BN52" s="2051">
        <v>0.6</v>
      </c>
      <c r="BO52" s="2051">
        <v>0.6</v>
      </c>
      <c r="BP52" s="2051">
        <v>0.6</v>
      </c>
      <c r="BQ52" s="2051">
        <v>0.6</v>
      </c>
      <c r="BR52" s="2051">
        <v>0.6</v>
      </c>
      <c r="BS52" s="2051">
        <v>0.6</v>
      </c>
      <c r="BT52" s="2051">
        <v>0.6</v>
      </c>
      <c r="BU52" s="2051">
        <v>0.6</v>
      </c>
      <c r="BV52" s="2051">
        <v>0.6</v>
      </c>
      <c r="BW52" s="2051">
        <v>0.6</v>
      </c>
      <c r="BX52" s="2051">
        <v>0.6</v>
      </c>
    </row>
    <row r="53" spans="2:76" ht="10.5" x14ac:dyDescent="0.25">
      <c r="B53" s="1949" t="s">
        <v>385</v>
      </c>
      <c r="C53" s="1949" t="s">
        <v>449</v>
      </c>
      <c r="D53" s="779" t="s">
        <v>513</v>
      </c>
      <c r="E53" s="779" t="s">
        <v>22</v>
      </c>
      <c r="F53" s="2042" t="str">
        <f t="shared" si="9"/>
        <v>SGWTotal prescribed capexSewerage</v>
      </c>
      <c r="G53" s="779" t="s">
        <v>359</v>
      </c>
      <c r="H53" s="1207"/>
      <c r="I53" s="1956">
        <v>10.445052734375</v>
      </c>
      <c r="J53" s="1956">
        <v>18.003767552182161</v>
      </c>
      <c r="K53" s="1956">
        <v>7.5906413857677899</v>
      </c>
      <c r="L53" s="1956">
        <v>3.2890748613678369</v>
      </c>
      <c r="M53" s="1956">
        <v>3.0066350944216165</v>
      </c>
      <c r="N53" s="1956">
        <v>5.9556051056483126</v>
      </c>
      <c r="O53" s="1956">
        <v>6.9354667909502261</v>
      </c>
      <c r="P53" s="1956">
        <v>8.9109999999999996</v>
      </c>
      <c r="Q53" s="1956">
        <v>8.7040000000000006</v>
      </c>
      <c r="R53" s="1956">
        <v>10.652000000000001</v>
      </c>
      <c r="U53" s="1214" t="s">
        <v>56</v>
      </c>
      <c r="W53" s="2051">
        <v>2.5499999999999998E-2</v>
      </c>
      <c r="X53" s="2051">
        <v>2.5000000000000001E-2</v>
      </c>
      <c r="Y53" s="2051">
        <v>2.75E-2</v>
      </c>
      <c r="Z53" s="2051">
        <v>2.5499999999999998E-2</v>
      </c>
      <c r="AA53" s="2051">
        <v>2.9000000000000001E-2</v>
      </c>
      <c r="AB53" s="2051">
        <v>2.75E-2</v>
      </c>
      <c r="AC53" s="2051">
        <v>2.5499999999999998E-2</v>
      </c>
      <c r="AD53" s="2051">
        <v>2.9000000000000001E-2</v>
      </c>
      <c r="AE53" s="2051">
        <v>2.75E-2</v>
      </c>
      <c r="AF53" s="2051">
        <v>2.5499999999999998E-2</v>
      </c>
      <c r="AG53" s="2051">
        <v>2.5000000000000001E-2</v>
      </c>
      <c r="AH53" s="2051">
        <v>2.75E-2</v>
      </c>
      <c r="AI53" s="2051">
        <v>2.5499999999999998E-2</v>
      </c>
      <c r="AJ53" s="2051">
        <v>2.5000000000000001E-2</v>
      </c>
      <c r="AK53" s="2051">
        <v>2.75E-2</v>
      </c>
      <c r="AL53" s="2051">
        <v>2.5499999999999998E-2</v>
      </c>
      <c r="AM53" s="2051">
        <v>2.5000000000000001E-2</v>
      </c>
      <c r="AN53" s="2051">
        <v>2.75E-2</v>
      </c>
      <c r="AO53" s="2051">
        <v>2.5499999999999998E-2</v>
      </c>
      <c r="AP53" s="2051">
        <v>2.9000000000000001E-2</v>
      </c>
      <c r="AQ53" s="2051">
        <v>2.75E-2</v>
      </c>
      <c r="AR53" s="2051">
        <v>2.5499999999999998E-2</v>
      </c>
      <c r="AS53" s="2051">
        <v>2.9000000000000001E-2</v>
      </c>
      <c r="AT53" s="2051">
        <v>2.75E-2</v>
      </c>
      <c r="AU53" s="2051">
        <v>2.5499999999999998E-2</v>
      </c>
      <c r="AV53" s="2051">
        <v>2.9000000000000001E-2</v>
      </c>
      <c r="AW53" s="2051">
        <v>2.7E-2</v>
      </c>
      <c r="AX53" s="2118">
        <v>2.3E-2</v>
      </c>
      <c r="AY53" s="2051">
        <v>2.5499999999999998E-2</v>
      </c>
      <c r="AZ53" s="2051">
        <v>2.9000000000000001E-2</v>
      </c>
      <c r="BA53" s="2051">
        <v>2.75E-2</v>
      </c>
      <c r="BB53" s="2051">
        <v>2.5499999999999998E-2</v>
      </c>
      <c r="BC53" s="2051">
        <v>2.9000000000000001E-2</v>
      </c>
      <c r="BD53" s="2051">
        <v>2.75E-2</v>
      </c>
      <c r="BE53" s="2051">
        <v>2.5499999999999998E-2</v>
      </c>
      <c r="BF53" s="2051">
        <v>2.5000000000000001E-2</v>
      </c>
      <c r="BG53" s="2051">
        <v>2.75E-2</v>
      </c>
      <c r="BH53" s="2051">
        <v>2.5499999999999998E-2</v>
      </c>
      <c r="BI53" s="2051">
        <v>2.9000000000000001E-2</v>
      </c>
      <c r="BJ53" s="2051">
        <v>2.75E-2</v>
      </c>
      <c r="BK53" s="2051">
        <v>2.5499999999999998E-2</v>
      </c>
      <c r="BL53" s="2051">
        <v>2.9000000000000001E-2</v>
      </c>
      <c r="BM53" s="2051">
        <v>2.7E-2</v>
      </c>
      <c r="BN53" s="2051">
        <v>2.5499999999999998E-2</v>
      </c>
      <c r="BO53" s="2051">
        <v>2.5000000000000001E-2</v>
      </c>
      <c r="BP53" s="2051">
        <v>2.75E-2</v>
      </c>
      <c r="BQ53" s="2051">
        <v>2.5499999999999998E-2</v>
      </c>
      <c r="BR53" s="2051">
        <v>2.9000000000000001E-2</v>
      </c>
      <c r="BS53" s="2051">
        <v>2.75E-2</v>
      </c>
      <c r="BT53" s="2051">
        <v>2.5499999999999998E-2</v>
      </c>
      <c r="BU53" s="2051">
        <v>2.5000000000000001E-2</v>
      </c>
      <c r="BV53" s="2051">
        <v>2.75E-2</v>
      </c>
      <c r="BW53" s="2051">
        <v>2.5499999999999998E-2</v>
      </c>
      <c r="BX53" s="2051">
        <v>2.5000000000000001E-2</v>
      </c>
    </row>
    <row r="54" spans="2:76" ht="10.5" x14ac:dyDescent="0.25">
      <c r="B54" s="1949" t="s">
        <v>385</v>
      </c>
      <c r="C54" s="1949" t="s">
        <v>449</v>
      </c>
      <c r="D54" s="779" t="s">
        <v>513</v>
      </c>
      <c r="E54" s="779" t="s">
        <v>275</v>
      </c>
      <c r="F54" s="2042" t="str">
        <f t="shared" si="9"/>
        <v>SGWTotal prescribed capexRecycled Water</v>
      </c>
      <c r="G54" s="779" t="s">
        <v>359</v>
      </c>
      <c r="H54" s="1207"/>
      <c r="I54" s="1956">
        <v>0</v>
      </c>
      <c r="J54" s="1956">
        <v>0</v>
      </c>
      <c r="K54" s="1956">
        <v>0</v>
      </c>
      <c r="L54" s="1956">
        <v>0</v>
      </c>
      <c r="M54" s="1956">
        <v>0</v>
      </c>
      <c r="N54" s="1956">
        <v>0.21426861293072824</v>
      </c>
      <c r="O54" s="1956">
        <v>0</v>
      </c>
      <c r="P54" s="1956">
        <v>0</v>
      </c>
      <c r="Q54" s="1956">
        <v>0</v>
      </c>
      <c r="R54" s="1956">
        <v>0</v>
      </c>
      <c r="U54" s="1214" t="s">
        <v>57</v>
      </c>
      <c r="W54" s="2053">
        <v>0.5</v>
      </c>
      <c r="X54" s="2053">
        <v>0.5</v>
      </c>
      <c r="Y54" s="2053">
        <v>0.5</v>
      </c>
      <c r="Z54" s="2053">
        <v>0.5</v>
      </c>
      <c r="AA54" s="2053">
        <v>0.5</v>
      </c>
      <c r="AB54" s="2053">
        <v>0.5</v>
      </c>
      <c r="AC54" s="2053">
        <v>0.5</v>
      </c>
      <c r="AD54" s="2053">
        <v>0.5</v>
      </c>
      <c r="AE54" s="2053">
        <v>0.5</v>
      </c>
      <c r="AF54" s="2053">
        <v>0.5</v>
      </c>
      <c r="AG54" s="2053">
        <v>0.5</v>
      </c>
      <c r="AH54" s="2053">
        <v>0.5</v>
      </c>
      <c r="AI54" s="2053">
        <v>0.5</v>
      </c>
      <c r="AJ54" s="2053">
        <v>0.5</v>
      </c>
      <c r="AK54" s="2053">
        <v>0.5</v>
      </c>
      <c r="AL54" s="2053">
        <v>0.5</v>
      </c>
      <c r="AM54" s="2053">
        <v>0.5</v>
      </c>
      <c r="AN54" s="2053">
        <v>0.5</v>
      </c>
      <c r="AO54" s="2053">
        <v>0.5</v>
      </c>
      <c r="AP54" s="2053">
        <v>0.5</v>
      </c>
      <c r="AQ54" s="2053">
        <v>0.5</v>
      </c>
      <c r="AR54" s="2053">
        <v>0.5</v>
      </c>
      <c r="AS54" s="2053">
        <v>0.5</v>
      </c>
      <c r="AT54" s="2053">
        <v>0.5</v>
      </c>
      <c r="AU54" s="2053">
        <v>0.5</v>
      </c>
      <c r="AV54" s="2053">
        <v>0.5</v>
      </c>
      <c r="AW54" s="2053">
        <v>0.5</v>
      </c>
      <c r="AX54" s="2121">
        <v>0.5</v>
      </c>
      <c r="AY54" s="2053">
        <v>0.5</v>
      </c>
      <c r="AZ54" s="2053">
        <v>0.5</v>
      </c>
      <c r="BA54" s="2053">
        <v>0.5</v>
      </c>
      <c r="BB54" s="2053">
        <v>0.5</v>
      </c>
      <c r="BC54" s="2053">
        <v>0.5</v>
      </c>
      <c r="BD54" s="2053">
        <v>0.5</v>
      </c>
      <c r="BE54" s="2053">
        <v>0.5</v>
      </c>
      <c r="BF54" s="2053">
        <v>0.5</v>
      </c>
      <c r="BG54" s="2053">
        <v>0.5</v>
      </c>
      <c r="BH54" s="2053">
        <v>0.5</v>
      </c>
      <c r="BI54" s="2053">
        <v>0.5</v>
      </c>
      <c r="BJ54" s="2053">
        <v>0.5</v>
      </c>
      <c r="BK54" s="2053">
        <v>0.5</v>
      </c>
      <c r="BL54" s="2053">
        <v>0.5</v>
      </c>
      <c r="BM54" s="2053">
        <v>0.5</v>
      </c>
      <c r="BN54" s="2053">
        <v>0.5</v>
      </c>
      <c r="BO54" s="2053">
        <v>0.5</v>
      </c>
      <c r="BP54" s="2053">
        <v>0.5</v>
      </c>
      <c r="BQ54" s="2053">
        <v>0.5</v>
      </c>
      <c r="BR54" s="2053">
        <v>0.5</v>
      </c>
      <c r="BS54" s="2053">
        <v>0.5</v>
      </c>
      <c r="BT54" s="2053">
        <v>0.5</v>
      </c>
      <c r="BU54" s="2053">
        <v>0.5</v>
      </c>
      <c r="BV54" s="2053">
        <v>0.5</v>
      </c>
      <c r="BW54" s="2053">
        <v>0.5</v>
      </c>
      <c r="BX54" s="2053">
        <v>0.5</v>
      </c>
    </row>
    <row r="55" spans="2:76" ht="10.5" x14ac:dyDescent="0.25">
      <c r="B55" s="1949" t="s">
        <v>385</v>
      </c>
      <c r="C55" s="1949" t="s">
        <v>449</v>
      </c>
      <c r="D55" s="779" t="s">
        <v>513</v>
      </c>
      <c r="E55" s="779" t="s">
        <v>353</v>
      </c>
      <c r="F55" s="2042" t="str">
        <f t="shared" si="9"/>
        <v>SGWTotal prescribed capexRural Water</v>
      </c>
      <c r="G55" s="779" t="s">
        <v>359</v>
      </c>
      <c r="H55" s="1207"/>
      <c r="I55" s="1956">
        <v>0</v>
      </c>
      <c r="J55" s="1956">
        <v>0</v>
      </c>
      <c r="K55" s="1956">
        <v>0</v>
      </c>
      <c r="L55" s="1956">
        <v>0</v>
      </c>
      <c r="M55" s="1956">
        <v>0</v>
      </c>
      <c r="N55" s="1956">
        <v>0</v>
      </c>
      <c r="O55" s="1956">
        <v>0</v>
      </c>
      <c r="P55" s="1956">
        <v>0</v>
      </c>
      <c r="Q55" s="1956">
        <v>0</v>
      </c>
      <c r="R55" s="1956">
        <v>0</v>
      </c>
    </row>
    <row r="56" spans="2:76" ht="10.5" x14ac:dyDescent="0.25">
      <c r="B56" s="1949" t="s">
        <v>385</v>
      </c>
      <c r="C56" s="1949" t="s">
        <v>449</v>
      </c>
      <c r="D56" s="779" t="s">
        <v>513</v>
      </c>
      <c r="E56" s="779" t="s">
        <v>354</v>
      </c>
      <c r="F56" s="2042" t="str">
        <f t="shared" si="9"/>
        <v>SGWTotal prescribed capexBulk Water</v>
      </c>
      <c r="G56" s="779" t="s">
        <v>359</v>
      </c>
      <c r="H56" s="1207"/>
      <c r="I56" s="1956">
        <v>0</v>
      </c>
      <c r="J56" s="1956">
        <v>0</v>
      </c>
      <c r="K56" s="1956">
        <v>0</v>
      </c>
      <c r="L56" s="1956">
        <v>0</v>
      </c>
      <c r="M56" s="1956">
        <v>0</v>
      </c>
      <c r="N56" s="1956">
        <v>0</v>
      </c>
      <c r="O56" s="1956">
        <v>0</v>
      </c>
      <c r="P56" s="1956">
        <v>0</v>
      </c>
      <c r="Q56" s="1956">
        <v>0</v>
      </c>
      <c r="R56" s="1956">
        <v>0</v>
      </c>
    </row>
    <row r="57" spans="2:76" ht="10.5" x14ac:dyDescent="0.25">
      <c r="B57" s="1949" t="s">
        <v>385</v>
      </c>
      <c r="C57" s="1949" t="s">
        <v>449</v>
      </c>
      <c r="D57" s="779" t="s">
        <v>911</v>
      </c>
      <c r="E57" s="778"/>
      <c r="F57" s="2042" t="str">
        <f t="shared" si="9"/>
        <v>SGWTotal controllable opex</v>
      </c>
      <c r="G57" s="779" t="s">
        <v>359</v>
      </c>
      <c r="H57" s="1207"/>
      <c r="I57" s="1956">
        <v>18.182458984374996</v>
      </c>
      <c r="J57" s="1956">
        <v>18.172644212523718</v>
      </c>
      <c r="K57" s="1956">
        <v>19.867074906367041</v>
      </c>
      <c r="L57" s="1956">
        <v>19.516161737523106</v>
      </c>
      <c r="M57" s="1956">
        <v>19.519433430316742</v>
      </c>
      <c r="N57" s="1956">
        <v>24.093372621277204</v>
      </c>
      <c r="O57" s="1956">
        <v>20.848617793561235</v>
      </c>
      <c r="P57" s="1956">
        <v>20.652480809942308</v>
      </c>
      <c r="Q57" s="1956">
        <v>20.718550956237241</v>
      </c>
      <c r="R57" s="1956">
        <v>20.590944022411321</v>
      </c>
      <c r="U57" s="778" t="s">
        <v>617</v>
      </c>
    </row>
    <row r="58" spans="2:76" ht="10.5" x14ac:dyDescent="0.25">
      <c r="B58" s="778"/>
      <c r="C58" s="778"/>
      <c r="D58" s="778"/>
      <c r="E58" s="778"/>
      <c r="F58" s="778"/>
      <c r="G58" s="778"/>
      <c r="H58" s="1207"/>
      <c r="I58" s="1207"/>
      <c r="J58" s="1207"/>
      <c r="K58" s="1207"/>
      <c r="L58" s="1207"/>
      <c r="M58" s="1207"/>
      <c r="N58" s="1207"/>
      <c r="O58" s="1207"/>
      <c r="P58" s="1207"/>
      <c r="Q58" s="1207"/>
      <c r="R58" s="1207"/>
      <c r="U58" s="781"/>
      <c r="W58" s="1215" t="s">
        <v>977</v>
      </c>
      <c r="X58" s="1215" t="s">
        <v>978</v>
      </c>
      <c r="Y58" s="1215" t="s">
        <v>1033</v>
      </c>
      <c r="Z58" s="1215" t="s">
        <v>979</v>
      </c>
      <c r="AA58" s="1215" t="s">
        <v>980</v>
      </c>
      <c r="AB58" s="1215" t="s">
        <v>1032</v>
      </c>
      <c r="AC58" s="1215" t="s">
        <v>981</v>
      </c>
      <c r="AD58" s="1215" t="s">
        <v>982</v>
      </c>
      <c r="AE58" s="1215" t="s">
        <v>1031</v>
      </c>
      <c r="AF58" s="1215" t="s">
        <v>983</v>
      </c>
      <c r="AG58" s="1215" t="s">
        <v>984</v>
      </c>
      <c r="AH58" s="1215" t="s">
        <v>1030</v>
      </c>
      <c r="AI58" s="1215" t="s">
        <v>971</v>
      </c>
      <c r="AJ58" s="1215" t="s">
        <v>972</v>
      </c>
      <c r="AK58" s="1215" t="s">
        <v>1020</v>
      </c>
      <c r="AL58" s="1215" t="s">
        <v>985</v>
      </c>
      <c r="AM58" s="1215" t="s">
        <v>986</v>
      </c>
      <c r="AN58" s="1215" t="s">
        <v>1029</v>
      </c>
      <c r="AO58" s="1215" t="s">
        <v>987</v>
      </c>
      <c r="AP58" s="1215" t="s">
        <v>988</v>
      </c>
      <c r="AQ58" s="1215" t="s">
        <v>1028</v>
      </c>
      <c r="AR58" s="2036" t="s">
        <v>997</v>
      </c>
      <c r="AS58" s="2036" t="s">
        <v>998</v>
      </c>
      <c r="AT58" s="1215" t="s">
        <v>999</v>
      </c>
      <c r="AU58" s="1215" t="s">
        <v>1000</v>
      </c>
      <c r="AV58" s="1215" t="s">
        <v>970</v>
      </c>
      <c r="AW58" s="1215" t="s">
        <v>989</v>
      </c>
      <c r="AX58" s="1215" t="s">
        <v>990</v>
      </c>
      <c r="AY58" s="1215" t="s">
        <v>1027</v>
      </c>
      <c r="AZ58" s="1215" t="s">
        <v>991</v>
      </c>
      <c r="BA58" s="1215" t="s">
        <v>992</v>
      </c>
      <c r="BB58" s="1215" t="s">
        <v>973</v>
      </c>
      <c r="BC58" s="1215" t="s">
        <v>974</v>
      </c>
      <c r="BD58" s="1215" t="s">
        <v>1021</v>
      </c>
      <c r="BE58" s="1215" t="s">
        <v>597</v>
      </c>
      <c r="BF58" s="1215" t="s">
        <v>598</v>
      </c>
      <c r="BG58" s="1215" t="s">
        <v>941</v>
      </c>
      <c r="BH58" s="1215" t="s">
        <v>942</v>
      </c>
      <c r="BI58" s="1215" t="s">
        <v>1001</v>
      </c>
      <c r="BJ58" s="1215" t="s">
        <v>1002</v>
      </c>
      <c r="BK58" s="1215" t="s">
        <v>1023</v>
      </c>
      <c r="BL58" s="1215" t="s">
        <v>993</v>
      </c>
      <c r="BM58" s="1215" t="s">
        <v>994</v>
      </c>
      <c r="BN58" s="1215" t="s">
        <v>1025</v>
      </c>
      <c r="BO58" s="1215" t="s">
        <v>995</v>
      </c>
      <c r="BP58" s="1215" t="s">
        <v>996</v>
      </c>
      <c r="BQ58" s="1215" t="s">
        <v>1024</v>
      </c>
      <c r="BR58" s="1215" t="s">
        <v>600</v>
      </c>
      <c r="BS58" s="1215" t="s">
        <v>601</v>
      </c>
      <c r="BT58" s="1215" t="s">
        <v>943</v>
      </c>
      <c r="BU58" s="1215" t="s">
        <v>944</v>
      </c>
      <c r="BV58" s="1215" t="s">
        <v>975</v>
      </c>
      <c r="BW58" s="1215" t="s">
        <v>976</v>
      </c>
      <c r="BX58" s="1215" t="s">
        <v>1022</v>
      </c>
    </row>
    <row r="59" spans="2:76" x14ac:dyDescent="0.2">
      <c r="B59" s="1949" t="s">
        <v>377</v>
      </c>
      <c r="C59" s="1949" t="s">
        <v>440</v>
      </c>
      <c r="D59" s="779" t="s">
        <v>909</v>
      </c>
      <c r="F59" s="2042" t="str">
        <f>C59&amp;D59&amp;E59</f>
        <v>BWRAV (Opening Base)</v>
      </c>
      <c r="G59" s="779" t="s">
        <v>337</v>
      </c>
      <c r="I59" s="1412">
        <v>1198.5382457516466</v>
      </c>
      <c r="J59" s="1412">
        <v>1256.5183488738435</v>
      </c>
      <c r="K59" s="1412">
        <v>1274.210709204069</v>
      </c>
      <c r="L59" s="1412">
        <v>1305.8108191763256</v>
      </c>
      <c r="M59" s="1412">
        <v>1359.8884406686229</v>
      </c>
      <c r="N59" s="1412">
        <v>1334.5909897599724</v>
      </c>
      <c r="O59" s="1412">
        <v>1342.8874276685729</v>
      </c>
      <c r="P59" s="1412">
        <v>1363.9528735597069</v>
      </c>
      <c r="Q59" s="1412">
        <v>1377.8518693765282</v>
      </c>
      <c r="R59" s="1412">
        <v>1382.5250710288626</v>
      </c>
      <c r="U59" s="781" t="s">
        <v>271</v>
      </c>
      <c r="W59" s="1406">
        <v>0.65</v>
      </c>
      <c r="X59" s="1406">
        <v>0.75</v>
      </c>
      <c r="Y59" s="1406">
        <v>0</v>
      </c>
      <c r="Z59" s="1406">
        <v>0</v>
      </c>
      <c r="AA59" s="1406">
        <v>0.65</v>
      </c>
      <c r="AB59" s="1406">
        <v>0</v>
      </c>
      <c r="AC59" s="1406">
        <v>0</v>
      </c>
      <c r="AD59" s="1406">
        <v>0.65</v>
      </c>
      <c r="AE59" s="1406">
        <v>0</v>
      </c>
      <c r="AF59" s="1406">
        <v>0</v>
      </c>
      <c r="AG59" s="1406">
        <v>0.65</v>
      </c>
      <c r="AH59" s="1406">
        <v>0</v>
      </c>
      <c r="AI59" s="1406">
        <v>0.65</v>
      </c>
      <c r="AJ59" s="1406">
        <v>0.65</v>
      </c>
      <c r="AK59" s="1406">
        <v>0.65</v>
      </c>
      <c r="AL59" s="1406">
        <v>0</v>
      </c>
      <c r="AM59" s="1406">
        <v>0.65</v>
      </c>
      <c r="AN59" s="1406">
        <v>0</v>
      </c>
      <c r="AO59" s="1406">
        <v>0</v>
      </c>
      <c r="AP59" s="1406">
        <v>0</v>
      </c>
      <c r="AQ59" s="1406">
        <v>0</v>
      </c>
      <c r="AR59" s="1406">
        <v>0</v>
      </c>
      <c r="AS59" s="1406">
        <v>0.65</v>
      </c>
      <c r="AT59" s="1406">
        <v>0</v>
      </c>
      <c r="AU59" s="1406">
        <v>0.65</v>
      </c>
      <c r="AV59" s="1406">
        <v>0</v>
      </c>
      <c r="AW59" s="1406">
        <v>0</v>
      </c>
      <c r="AX59" s="1406">
        <v>0.65</v>
      </c>
      <c r="AY59" s="1406">
        <v>0</v>
      </c>
      <c r="AZ59" s="1406">
        <v>0</v>
      </c>
      <c r="BA59" s="1406">
        <v>0.65</v>
      </c>
      <c r="BB59" s="1406">
        <v>0.65</v>
      </c>
      <c r="BC59" s="1406">
        <v>0.65</v>
      </c>
      <c r="BD59" s="1406">
        <v>0.65</v>
      </c>
      <c r="BE59" s="1406">
        <v>0</v>
      </c>
      <c r="BF59" s="1406">
        <v>0</v>
      </c>
      <c r="BG59" s="1406">
        <v>0</v>
      </c>
      <c r="BH59" s="1406">
        <v>0</v>
      </c>
      <c r="BI59" s="1406">
        <v>0.65</v>
      </c>
      <c r="BJ59" s="1406">
        <v>0.65</v>
      </c>
      <c r="BK59" s="1406">
        <v>0</v>
      </c>
      <c r="BL59" s="1406">
        <v>0</v>
      </c>
      <c r="BM59" s="1406">
        <v>0</v>
      </c>
      <c r="BN59" s="1406">
        <v>0</v>
      </c>
      <c r="BO59" s="1406">
        <v>0</v>
      </c>
      <c r="BP59" s="1406">
        <v>0.65</v>
      </c>
      <c r="BQ59" s="1406">
        <v>0</v>
      </c>
      <c r="BR59" s="1406">
        <v>0</v>
      </c>
      <c r="BS59" s="1406">
        <v>0</v>
      </c>
      <c r="BT59" s="1406">
        <v>0</v>
      </c>
      <c r="BU59" s="1406">
        <v>0</v>
      </c>
      <c r="BV59" s="1406">
        <v>0.65</v>
      </c>
      <c r="BW59" s="1406">
        <v>0.65</v>
      </c>
      <c r="BX59" s="1406">
        <v>0.65</v>
      </c>
    </row>
    <row r="60" spans="2:76" x14ac:dyDescent="0.2">
      <c r="B60" s="1949" t="s">
        <v>377</v>
      </c>
      <c r="C60" s="1949" t="s">
        <v>440</v>
      </c>
      <c r="D60" s="779" t="s">
        <v>250</v>
      </c>
      <c r="F60" s="2042" t="str">
        <f t="shared" ref="F60:F69" si="10">C60&amp;D60&amp;E60</f>
        <v>BWRoA</v>
      </c>
      <c r="G60" s="779" t="s">
        <v>337</v>
      </c>
      <c r="I60" s="1412">
        <v>51.891163693954447</v>
      </c>
      <c r="J60" s="1412">
        <v>53.871279923905917</v>
      </c>
      <c r="K60" s="1412">
        <v>55.147271233143528</v>
      </c>
      <c r="L60" s="1412">
        <v>56.309468649821653</v>
      </c>
      <c r="M60" s="1412">
        <v>56.822824524228828</v>
      </c>
      <c r="N60" s="1412">
        <v>55.289929319899464</v>
      </c>
      <c r="O60" s="1412">
        <v>55.896252220363991</v>
      </c>
      <c r="P60" s="1412">
        <v>56.618267941633263</v>
      </c>
      <c r="Q60" s="1412">
        <v>57.001783819371326</v>
      </c>
      <c r="R60" s="1412">
        <v>57.30658550264004</v>
      </c>
      <c r="U60" s="781" t="s">
        <v>172</v>
      </c>
      <c r="W60" s="1408">
        <v>6.3300000000000009E-2</v>
      </c>
      <c r="X60" s="1408">
        <v>6.5000000000000002E-2</v>
      </c>
      <c r="Y60" s="1408">
        <v>0.05</v>
      </c>
      <c r="Z60" s="1408">
        <v>6.3300000000000009E-2</v>
      </c>
      <c r="AA60" s="1408">
        <v>6.5000000000000002E-2</v>
      </c>
      <c r="AB60" s="1408">
        <v>0.05</v>
      </c>
      <c r="AC60" s="1408">
        <v>6.3300000000000009E-2</v>
      </c>
      <c r="AD60" s="1408">
        <v>6.5000000000000002E-2</v>
      </c>
      <c r="AE60" s="1408">
        <v>0.05</v>
      </c>
      <c r="AF60" s="1408">
        <v>7.4999999999999997E-2</v>
      </c>
      <c r="AG60" s="1408">
        <v>6.5000000000000002E-2</v>
      </c>
      <c r="AH60" s="1408">
        <v>0.05</v>
      </c>
      <c r="AI60" s="1408">
        <v>6.7000000000000004E-2</v>
      </c>
      <c r="AJ60" s="1408">
        <v>6.5000000000000002E-2</v>
      </c>
      <c r="AK60" s="1408">
        <v>0.05</v>
      </c>
      <c r="AL60" s="1408">
        <v>6.3300000000000009E-2</v>
      </c>
      <c r="AM60" s="1408">
        <v>6.5000000000000002E-2</v>
      </c>
      <c r="AN60" s="1408">
        <v>0.05</v>
      </c>
      <c r="AO60" s="1408">
        <v>6.3300000000000009E-2</v>
      </c>
      <c r="AP60" s="1408">
        <v>6.5000000000000002E-2</v>
      </c>
      <c r="AQ60" s="1408">
        <v>0.05</v>
      </c>
      <c r="AR60" s="1408">
        <v>6.5000000000000002E-2</v>
      </c>
      <c r="AS60" s="1408">
        <v>0.05</v>
      </c>
      <c r="AT60" s="1408">
        <v>6.3299999999999995E-2</v>
      </c>
      <c r="AU60" s="1408">
        <v>6.5000000000000002E-2</v>
      </c>
      <c r="AV60" s="1408">
        <v>0.05</v>
      </c>
      <c r="AW60" s="1408">
        <v>6.3300000000000009E-2</v>
      </c>
      <c r="AX60" s="1408">
        <v>6.5000000000000002E-2</v>
      </c>
      <c r="AY60" s="1408">
        <v>0.05</v>
      </c>
      <c r="AZ60" s="1408">
        <v>6.3300000000000009E-2</v>
      </c>
      <c r="BA60" s="1408">
        <v>6.5000000000000002E-2</v>
      </c>
      <c r="BB60" s="1408">
        <v>6.7000000000000004E-2</v>
      </c>
      <c r="BC60" s="1408">
        <v>6.5000000000000002E-2</v>
      </c>
      <c r="BD60" s="1408">
        <v>0.05</v>
      </c>
      <c r="BE60" s="1408">
        <v>6.3300000000000009E-2</v>
      </c>
      <c r="BF60" s="1408">
        <v>6.5000000000000002E-2</v>
      </c>
      <c r="BG60" s="1408">
        <v>0.05</v>
      </c>
      <c r="BH60" s="1408">
        <v>0.05</v>
      </c>
      <c r="BI60" s="1408">
        <v>6.3300000000000009E-2</v>
      </c>
      <c r="BJ60" s="1408">
        <v>6.5000000000000002E-2</v>
      </c>
      <c r="BK60" s="1408">
        <v>0.05</v>
      </c>
      <c r="BL60" s="1408">
        <v>6.3300000000000009E-2</v>
      </c>
      <c r="BM60" s="1408">
        <v>6.5000000000000002E-2</v>
      </c>
      <c r="BN60" s="1408">
        <v>0.05</v>
      </c>
      <c r="BO60" s="1408">
        <v>6.3300000000000009E-2</v>
      </c>
      <c r="BP60" s="1408">
        <v>6.5000000000000002E-2</v>
      </c>
      <c r="BQ60" s="1408">
        <v>0.05</v>
      </c>
      <c r="BR60" s="1408">
        <v>6.3300000000000009E-2</v>
      </c>
      <c r="BS60" s="1408">
        <v>6.5000000000000002E-2</v>
      </c>
      <c r="BT60" s="1408">
        <v>0.05</v>
      </c>
      <c r="BU60" s="1408">
        <v>0.05</v>
      </c>
      <c r="BV60" s="1408">
        <v>6.7000000000000004E-2</v>
      </c>
      <c r="BW60" s="1408">
        <v>6.5000000000000002E-2</v>
      </c>
      <c r="BX60" s="1408">
        <v>0.05</v>
      </c>
    </row>
    <row r="61" spans="2:76" x14ac:dyDescent="0.2">
      <c r="B61" s="1949" t="s">
        <v>377</v>
      </c>
      <c r="C61" s="1949" t="s">
        <v>440</v>
      </c>
      <c r="D61" s="779" t="s">
        <v>256</v>
      </c>
      <c r="F61" s="2042" t="str">
        <f t="shared" si="10"/>
        <v>BWRevenue Req</v>
      </c>
      <c r="G61" s="779" t="s">
        <v>337</v>
      </c>
      <c r="I61" s="1412">
        <v>188.06608950920486</v>
      </c>
      <c r="J61" s="1412">
        <v>190.67832268547201</v>
      </c>
      <c r="K61" s="1412">
        <v>192.89671300390896</v>
      </c>
      <c r="L61" s="1412">
        <v>196.01667635646717</v>
      </c>
      <c r="M61" s="1412">
        <v>197.21799454974169</v>
      </c>
      <c r="N61" s="1412">
        <v>191.32885346794029</v>
      </c>
      <c r="O61" s="1412">
        <v>193.28009071239302</v>
      </c>
      <c r="P61" s="1412">
        <v>194.98360824210599</v>
      </c>
      <c r="Q61" s="1412">
        <v>197.29909286575983</v>
      </c>
      <c r="R61" s="1412">
        <v>196.48439834761638</v>
      </c>
      <c r="U61" s="781" t="s">
        <v>173</v>
      </c>
      <c r="W61" s="1409">
        <v>5.8300000000000012E-2</v>
      </c>
      <c r="X61" s="1409">
        <v>4.4999999999999998E-2</v>
      </c>
      <c r="Y61" s="1409">
        <v>3.5000000000000003E-2</v>
      </c>
      <c r="Z61" s="1409">
        <v>5.8300000000000012E-2</v>
      </c>
      <c r="AA61" s="1409">
        <v>4.4999999999999998E-2</v>
      </c>
      <c r="AB61" s="1409">
        <v>3.5000000000000003E-2</v>
      </c>
      <c r="AC61" s="1409">
        <v>5.8300000000000012E-2</v>
      </c>
      <c r="AD61" s="1409">
        <v>4.4999999999999998E-2</v>
      </c>
      <c r="AE61" s="1409">
        <v>3.5000000000000003E-2</v>
      </c>
      <c r="AF61" s="1409">
        <v>6.5000000000000002E-2</v>
      </c>
      <c r="AG61" s="1409">
        <v>4.4999999999999998E-2</v>
      </c>
      <c r="AH61" s="1409">
        <v>1.4999999999999999E-2</v>
      </c>
      <c r="AI61" s="1409">
        <v>0.05</v>
      </c>
      <c r="AJ61" s="1409">
        <v>4.4999999999999998E-2</v>
      </c>
      <c r="AK61" s="1409">
        <v>3.5000000000000003E-2</v>
      </c>
      <c r="AL61" s="1409">
        <v>5.8300000000000012E-2</v>
      </c>
      <c r="AM61" s="1409">
        <v>4.4999999999999998E-2</v>
      </c>
      <c r="AN61" s="1409">
        <v>3.5000000000000003E-2</v>
      </c>
      <c r="AO61" s="1409">
        <v>5.8300000000000012E-2</v>
      </c>
      <c r="AP61" s="1409">
        <v>4.4999999999999998E-2</v>
      </c>
      <c r="AQ61" s="1409">
        <v>3.5000000000000003E-2</v>
      </c>
      <c r="AR61" s="1409">
        <v>4.4999999999999998E-2</v>
      </c>
      <c r="AS61" s="1409">
        <v>3.5000000000000003E-2</v>
      </c>
      <c r="AT61" s="1409">
        <v>5.8299999999999998E-2</v>
      </c>
      <c r="AU61" s="1409">
        <v>4.4999999999999998E-2</v>
      </c>
      <c r="AV61" s="1409">
        <v>3.5000000000000003E-2</v>
      </c>
      <c r="AW61" s="1409">
        <v>5.8300000000000012E-2</v>
      </c>
      <c r="AX61" s="1409">
        <v>4.4999999999999998E-2</v>
      </c>
      <c r="AY61" s="1409">
        <v>3.5000000000000003E-2</v>
      </c>
      <c r="AZ61" s="1409">
        <v>5.8300000000000012E-2</v>
      </c>
      <c r="BA61" s="1409">
        <v>4.4999999999999998E-2</v>
      </c>
      <c r="BB61" s="1409">
        <v>0.05</v>
      </c>
      <c r="BC61" s="1409">
        <v>4.4999999999999998E-2</v>
      </c>
      <c r="BD61" s="1409">
        <v>3.5000000000000003E-2</v>
      </c>
      <c r="BE61" s="1409">
        <v>5.8300000000000012E-2</v>
      </c>
      <c r="BF61" s="1409">
        <v>4.4999999999999998E-2</v>
      </c>
      <c r="BG61" s="1409">
        <v>3.5000000000000003E-2</v>
      </c>
      <c r="BH61" s="1409">
        <v>3.5000000000000003E-2</v>
      </c>
      <c r="BI61" s="1409">
        <v>5.8300000000000012E-2</v>
      </c>
      <c r="BJ61" s="1409">
        <v>4.4999999999999998E-2</v>
      </c>
      <c r="BK61" s="1409">
        <v>3.5000000000000003E-2</v>
      </c>
      <c r="BL61" s="1409">
        <v>5.8300000000000012E-2</v>
      </c>
      <c r="BM61" s="1409">
        <v>4.4999999999999998E-2</v>
      </c>
      <c r="BN61" s="1409">
        <v>3.5000000000000003E-2</v>
      </c>
      <c r="BO61" s="1409">
        <v>5.8300000000000012E-2</v>
      </c>
      <c r="BP61" s="1409">
        <v>4.4999999999999998E-2</v>
      </c>
      <c r="BQ61" s="1409">
        <v>3.5000000000000003E-2</v>
      </c>
      <c r="BR61" s="1409">
        <v>5.8300000000000012E-2</v>
      </c>
      <c r="BS61" s="1409">
        <v>4.4999999999999998E-2</v>
      </c>
      <c r="BT61" s="1409">
        <v>3.5000000000000003E-2</v>
      </c>
      <c r="BU61" s="1409">
        <v>3.5000000000000003E-2</v>
      </c>
      <c r="BV61" s="1409">
        <v>0.05</v>
      </c>
      <c r="BW61" s="1409">
        <v>4.4999999999999998E-2</v>
      </c>
      <c r="BX61" s="1409">
        <v>3.5000000000000003E-2</v>
      </c>
    </row>
    <row r="62" spans="2:76" x14ac:dyDescent="0.2">
      <c r="B62" s="1949" t="s">
        <v>377</v>
      </c>
      <c r="C62" s="1949" t="s">
        <v>440</v>
      </c>
      <c r="D62" s="779" t="s">
        <v>248</v>
      </c>
      <c r="F62" s="2042" t="str">
        <f t="shared" si="10"/>
        <v>BWRegDepEx</v>
      </c>
      <c r="G62" s="779" t="s">
        <v>337</v>
      </c>
      <c r="I62" s="1412">
        <v>30.706158446557939</v>
      </c>
      <c r="J62" s="1412">
        <v>30.183681886673483</v>
      </c>
      <c r="K62" s="1412">
        <v>30.183681886673483</v>
      </c>
      <c r="L62" s="1412">
        <v>30.183681886673483</v>
      </c>
      <c r="M62" s="1412">
        <v>30.183681886673483</v>
      </c>
      <c r="N62" s="1412">
        <v>36.589297101260605</v>
      </c>
      <c r="O62" s="1412">
        <v>37.044297101260597</v>
      </c>
      <c r="P62" s="1412">
        <v>37.349859601260597</v>
      </c>
      <c r="Q62" s="1412">
        <v>37.56119320306459</v>
      </c>
      <c r="R62" s="1412">
        <v>36.623154760804326</v>
      </c>
    </row>
    <row r="63" spans="2:76" ht="10.5" x14ac:dyDescent="0.25">
      <c r="B63" s="1949" t="s">
        <v>377</v>
      </c>
      <c r="C63" s="1949" t="s">
        <v>440</v>
      </c>
      <c r="D63" s="779" t="s">
        <v>249</v>
      </c>
      <c r="F63" s="2042" t="str">
        <f t="shared" si="10"/>
        <v>BWRegDepNew</v>
      </c>
      <c r="G63" s="779" t="s">
        <v>337</v>
      </c>
      <c r="I63" s="1412">
        <v>0.69308010114915297</v>
      </c>
      <c r="J63" s="1412">
        <v>1.8266397064882134</v>
      </c>
      <c r="K63" s="1412">
        <v>2.8620854056298883</v>
      </c>
      <c r="L63" s="1412">
        <v>3.9777133330002239</v>
      </c>
      <c r="M63" s="1412">
        <v>4.9090690180231631</v>
      </c>
      <c r="N63" s="1412">
        <v>1.0868803026068981</v>
      </c>
      <c r="O63" s="1412">
        <v>3.2215111070199218</v>
      </c>
      <c r="P63" s="1412">
        <v>5.1572252522334869</v>
      </c>
      <c r="Q63" s="1412">
        <v>6.6800727953239827</v>
      </c>
      <c r="R63" s="1412">
        <v>7.1793383761372409</v>
      </c>
      <c r="U63" s="778" t="s">
        <v>940</v>
      </c>
    </row>
    <row r="64" spans="2:76" ht="10.5" x14ac:dyDescent="0.25">
      <c r="B64" s="1949" t="s">
        <v>377</v>
      </c>
      <c r="C64" s="1949" t="s">
        <v>440</v>
      </c>
      <c r="D64" s="779" t="s">
        <v>513</v>
      </c>
      <c r="E64" s="779" t="s">
        <v>21</v>
      </c>
      <c r="F64" s="2042" t="str">
        <f t="shared" si="10"/>
        <v>BWTotal prescribed capexWater</v>
      </c>
      <c r="G64" s="779" t="s">
        <v>337</v>
      </c>
      <c r="H64" s="1207"/>
      <c r="I64" s="1412">
        <v>65.582403293323992</v>
      </c>
      <c r="J64" s="1412">
        <v>29.867468423339673</v>
      </c>
      <c r="K64" s="1412">
        <v>35.75575021740157</v>
      </c>
      <c r="L64" s="1412">
        <v>73.928716507035162</v>
      </c>
      <c r="M64" s="1412">
        <v>24.95077872508859</v>
      </c>
      <c r="N64" s="1412">
        <v>44.738334081480005</v>
      </c>
      <c r="O64" s="1412">
        <v>41.803727161586011</v>
      </c>
      <c r="P64" s="1412">
        <v>46.215223137793075</v>
      </c>
      <c r="Q64" s="1412">
        <v>35.099354543518501</v>
      </c>
      <c r="R64" s="1412">
        <v>34.993666404892501</v>
      </c>
      <c r="V64" s="778"/>
      <c r="W64" s="1215" t="s">
        <v>1033</v>
      </c>
      <c r="X64" s="1215" t="s">
        <v>1032</v>
      </c>
      <c r="Y64" s="1215" t="s">
        <v>1031</v>
      </c>
      <c r="Z64" s="1215" t="s">
        <v>1030</v>
      </c>
      <c r="AA64" s="1215" t="s">
        <v>1020</v>
      </c>
      <c r="AB64" s="1215" t="s">
        <v>1029</v>
      </c>
      <c r="AC64" s="1215" t="s">
        <v>1028</v>
      </c>
      <c r="AD64" s="2036" t="s">
        <v>998</v>
      </c>
      <c r="AE64" s="1215" t="s">
        <v>1027</v>
      </c>
      <c r="AF64" s="1215" t="s">
        <v>1026</v>
      </c>
      <c r="AG64" s="1215" t="s">
        <v>1021</v>
      </c>
      <c r="AH64" s="1215" t="s">
        <v>941</v>
      </c>
      <c r="AI64" s="1215" t="s">
        <v>942</v>
      </c>
      <c r="AJ64" s="1215" t="s">
        <v>1023</v>
      </c>
      <c r="AK64" s="1215" t="s">
        <v>1025</v>
      </c>
      <c r="AL64" s="1215" t="s">
        <v>1024</v>
      </c>
      <c r="AM64" s="1215" t="s">
        <v>943</v>
      </c>
      <c r="AN64" s="1215" t="s">
        <v>944</v>
      </c>
      <c r="AO64" s="1215" t="s">
        <v>1022</v>
      </c>
    </row>
    <row r="65" spans="2:52" ht="10.5" x14ac:dyDescent="0.25">
      <c r="B65" s="1949" t="s">
        <v>377</v>
      </c>
      <c r="C65" s="1949" t="s">
        <v>440</v>
      </c>
      <c r="D65" s="779" t="s">
        <v>513</v>
      </c>
      <c r="E65" s="779" t="s">
        <v>22</v>
      </c>
      <c r="F65" s="2042" t="str">
        <f t="shared" si="10"/>
        <v>BWTotal prescribed capexSewerage</v>
      </c>
      <c r="G65" s="779" t="s">
        <v>337</v>
      </c>
      <c r="H65" s="1207"/>
      <c r="I65" s="1412">
        <v>20.352322611803455</v>
      </c>
      <c r="J65" s="1412">
        <v>32.041759190719041</v>
      </c>
      <c r="K65" s="1412">
        <v>44.631047951636553</v>
      </c>
      <c r="L65" s="1412">
        <v>26.709516438961835</v>
      </c>
      <c r="M65" s="1412">
        <v>25.029352933019517</v>
      </c>
      <c r="N65" s="1412">
        <v>36.202362691640005</v>
      </c>
      <c r="O65" s="1412">
        <v>32.689204916298003</v>
      </c>
      <c r="P65" s="1412">
        <v>15.168015010398001</v>
      </c>
      <c r="Q65" s="1412">
        <v>16.094176818277997</v>
      </c>
      <c r="R65" s="1412">
        <v>23.06997519526</v>
      </c>
      <c r="U65" s="779" t="s">
        <v>459</v>
      </c>
      <c r="W65" s="2115">
        <v>3.6189986789390227E-2</v>
      </c>
      <c r="X65" s="2115">
        <v>3.6189986789390227E-2</v>
      </c>
      <c r="Y65" s="2115">
        <v>3.6191615984567882E-2</v>
      </c>
      <c r="Z65" s="2115">
        <v>3.6189986789390227E-2</v>
      </c>
      <c r="AA65" s="2115">
        <v>3.6189986789390227E-2</v>
      </c>
      <c r="AB65" s="2115">
        <v>3.6191648568471457E-2</v>
      </c>
      <c r="AC65" s="2115">
        <v>3.6191615984567882E-2</v>
      </c>
      <c r="AD65" s="2115">
        <v>3.6189986789390227E-2</v>
      </c>
      <c r="AE65" s="2115">
        <v>3.6189986789390227E-2</v>
      </c>
      <c r="AF65" s="2115">
        <v>3.6189986789390227E-2</v>
      </c>
      <c r="AG65" s="2115">
        <v>3.6191648568471457E-2</v>
      </c>
      <c r="AH65" s="2116">
        <v>3.6189986789390227E-2</v>
      </c>
      <c r="AI65" s="2116">
        <v>3.6051485698385344E-2</v>
      </c>
      <c r="AJ65" s="2115">
        <v>3.6189986789390227E-2</v>
      </c>
      <c r="AK65" s="2115">
        <v>3.6189986789390227E-2</v>
      </c>
      <c r="AL65" s="2115">
        <v>3.6190019373294025E-2</v>
      </c>
      <c r="AM65" s="2115">
        <v>3.6189986789390227E-2</v>
      </c>
      <c r="AN65" s="2115">
        <v>3.6051190713134451E-2</v>
      </c>
      <c r="AO65" s="2115">
        <v>3.6190019373294025E-2</v>
      </c>
    </row>
    <row r="66" spans="2:52" ht="10.5" x14ac:dyDescent="0.25">
      <c r="B66" s="1949" t="s">
        <v>377</v>
      </c>
      <c r="C66" s="1949" t="s">
        <v>440</v>
      </c>
      <c r="D66" s="779" t="s">
        <v>513</v>
      </c>
      <c r="E66" s="779" t="s">
        <v>275</v>
      </c>
      <c r="F66" s="2042" t="str">
        <f t="shared" si="10"/>
        <v>BWTotal prescribed capexRecycled Water</v>
      </c>
      <c r="G66" s="779" t="s">
        <v>337</v>
      </c>
      <c r="H66" s="1207"/>
      <c r="I66" s="1412">
        <v>17.46762636497176</v>
      </c>
      <c r="J66" s="1412">
        <v>4.65997876578</v>
      </c>
      <c r="K66" s="1412">
        <v>2.2760141749225467</v>
      </c>
      <c r="L66" s="1412">
        <v>6.0706739741070415</v>
      </c>
      <c r="M66" s="1412">
        <v>0.64927733793793785</v>
      </c>
      <c r="N66" s="1412">
        <v>5.0960944868800002</v>
      </c>
      <c r="O66" s="1412">
        <v>4.5773665921160003</v>
      </c>
      <c r="P66" s="1412">
        <v>2.092630254316</v>
      </c>
      <c r="Q66" s="1412">
        <v>4.7484399612759995</v>
      </c>
      <c r="R66" s="1412">
        <v>2.9849790329199997</v>
      </c>
      <c r="U66" s="779" t="s">
        <v>460</v>
      </c>
      <c r="W66" s="2117">
        <v>4.9000000000000002E-2</v>
      </c>
      <c r="X66" s="2117">
        <v>4.4999999999999998E-2</v>
      </c>
      <c r="Y66" s="2117">
        <v>4.9000000000000002E-2</v>
      </c>
      <c r="Z66" s="2117">
        <v>4.9000000000000002E-2</v>
      </c>
      <c r="AA66" s="2117">
        <v>4.9000000000000002E-2</v>
      </c>
      <c r="AB66" s="2117">
        <v>4.4999999999999998E-2</v>
      </c>
      <c r="AC66" s="2117">
        <v>5.2999999999999999E-2</v>
      </c>
      <c r="AD66" s="2117">
        <v>4.9000000000000002E-2</v>
      </c>
      <c r="AE66" s="2117">
        <v>4.4999999999999998E-2</v>
      </c>
      <c r="AF66" s="2117">
        <v>4.9000000000000002E-2</v>
      </c>
      <c r="AG66" s="2117">
        <v>4.9000000000000002E-2</v>
      </c>
      <c r="AH66" s="2118">
        <v>4.4999999999999998E-2</v>
      </c>
      <c r="AI66" s="2118">
        <v>4.4999999999999998E-2</v>
      </c>
      <c r="AJ66" s="2117">
        <v>4.9000000000000002E-2</v>
      </c>
      <c r="AK66" s="2117">
        <v>3.9E-2</v>
      </c>
      <c r="AL66" s="2117">
        <v>4.4999999999999998E-2</v>
      </c>
      <c r="AM66" s="2117">
        <v>4.4999999999999998E-2</v>
      </c>
      <c r="AN66" s="2117">
        <v>3.9E-2</v>
      </c>
      <c r="AO66" s="2117">
        <v>4.9000000000000002E-2</v>
      </c>
    </row>
    <row r="67" spans="2:52" ht="10.5" x14ac:dyDescent="0.25">
      <c r="B67" s="1949" t="s">
        <v>377</v>
      </c>
      <c r="C67" s="1949" t="s">
        <v>440</v>
      </c>
      <c r="D67" s="779" t="s">
        <v>513</v>
      </c>
      <c r="E67" s="779" t="s">
        <v>353</v>
      </c>
      <c r="F67" s="2042" t="str">
        <f t="shared" si="10"/>
        <v>BWTotal prescribed capexRural Water</v>
      </c>
      <c r="G67" s="779" t="s">
        <v>337</v>
      </c>
      <c r="H67" s="1207"/>
      <c r="I67" s="1412">
        <v>0</v>
      </c>
      <c r="J67" s="1412">
        <v>0</v>
      </c>
      <c r="K67" s="1412">
        <v>0</v>
      </c>
      <c r="L67" s="1412">
        <v>0</v>
      </c>
      <c r="M67" s="1412">
        <v>0</v>
      </c>
      <c r="N67" s="1412">
        <v>0</v>
      </c>
      <c r="O67" s="1412">
        <v>0</v>
      </c>
      <c r="P67" s="1412">
        <v>0</v>
      </c>
      <c r="Q67" s="1412">
        <v>0</v>
      </c>
      <c r="R67" s="1412">
        <v>0</v>
      </c>
      <c r="U67" s="779" t="s">
        <v>98</v>
      </c>
      <c r="W67" s="2117">
        <v>0.6</v>
      </c>
      <c r="X67" s="2117">
        <v>0.6</v>
      </c>
      <c r="Y67" s="2117">
        <v>0.6</v>
      </c>
      <c r="Z67" s="2117">
        <v>0.6</v>
      </c>
      <c r="AA67" s="2117">
        <v>0.6</v>
      </c>
      <c r="AB67" s="2117">
        <v>0.6</v>
      </c>
      <c r="AC67" s="2117">
        <v>0.6</v>
      </c>
      <c r="AD67" s="2117">
        <v>0.6</v>
      </c>
      <c r="AE67" s="2117">
        <v>0.6</v>
      </c>
      <c r="AF67" s="2117">
        <v>0.6</v>
      </c>
      <c r="AG67" s="2117">
        <v>0.6</v>
      </c>
      <c r="AH67" s="2118">
        <v>0.6</v>
      </c>
      <c r="AI67" s="2118">
        <v>0.6</v>
      </c>
      <c r="AJ67" s="2117">
        <v>0.6</v>
      </c>
      <c r="AK67" s="2117">
        <v>0.6</v>
      </c>
      <c r="AL67" s="2117">
        <v>0.6</v>
      </c>
      <c r="AM67" s="2117">
        <v>0.6</v>
      </c>
      <c r="AN67" s="2117">
        <v>0.6</v>
      </c>
      <c r="AO67" s="2117">
        <v>0.6</v>
      </c>
    </row>
    <row r="68" spans="2:52" ht="10.5" x14ac:dyDescent="0.25">
      <c r="B68" s="1949" t="s">
        <v>377</v>
      </c>
      <c r="C68" s="1949" t="s">
        <v>440</v>
      </c>
      <c r="D68" s="779" t="s">
        <v>513</v>
      </c>
      <c r="E68" s="779" t="s">
        <v>354</v>
      </c>
      <c r="F68" s="2042" t="str">
        <f t="shared" si="10"/>
        <v>BWTotal prescribed capexBulk Water</v>
      </c>
      <c r="G68" s="779" t="s">
        <v>337</v>
      </c>
      <c r="H68" s="1207"/>
      <c r="I68" s="1412">
        <v>0</v>
      </c>
      <c r="J68" s="1412">
        <v>0</v>
      </c>
      <c r="K68" s="1412">
        <v>0</v>
      </c>
      <c r="L68" s="1412">
        <v>0</v>
      </c>
      <c r="M68" s="1412">
        <v>0</v>
      </c>
      <c r="N68" s="1412">
        <v>0</v>
      </c>
      <c r="O68" s="1412">
        <v>0</v>
      </c>
      <c r="P68" s="1412">
        <v>0</v>
      </c>
      <c r="Q68" s="1412">
        <v>0</v>
      </c>
      <c r="R68" s="1412">
        <v>0</v>
      </c>
      <c r="U68" s="779" t="s">
        <v>56</v>
      </c>
      <c r="W68" s="2117">
        <v>2.3E-2</v>
      </c>
      <c r="X68" s="2117">
        <v>2.3E-2</v>
      </c>
      <c r="Y68" s="2117">
        <v>2.3E-2</v>
      </c>
      <c r="Z68" s="2117">
        <v>2.3E-2</v>
      </c>
      <c r="AA68" s="2117">
        <v>2.3E-2</v>
      </c>
      <c r="AB68" s="2117">
        <v>2.3E-2</v>
      </c>
      <c r="AC68" s="2117">
        <v>2.3E-2</v>
      </c>
      <c r="AD68" s="2117">
        <v>2.3E-2</v>
      </c>
      <c r="AE68" s="2117">
        <v>2.3E-2</v>
      </c>
      <c r="AF68" s="2117">
        <v>2.3E-2</v>
      </c>
      <c r="AG68" s="2117">
        <v>2.3E-2</v>
      </c>
      <c r="AH68" s="2118">
        <v>2.3E-2</v>
      </c>
      <c r="AI68" s="2118">
        <v>1.7000000000000001E-2</v>
      </c>
      <c r="AJ68" s="2117">
        <v>2.3E-2</v>
      </c>
      <c r="AK68" s="2117">
        <v>2.3E-2</v>
      </c>
      <c r="AL68" s="2117">
        <v>2.3E-2</v>
      </c>
      <c r="AM68" s="2117">
        <v>2.3E-2</v>
      </c>
      <c r="AN68" s="2117">
        <v>1.7000000000000001E-2</v>
      </c>
      <c r="AO68" s="2117">
        <v>2.3E-2</v>
      </c>
    </row>
    <row r="69" spans="2:52" ht="10.5" x14ac:dyDescent="0.25">
      <c r="B69" s="1949" t="s">
        <v>377</v>
      </c>
      <c r="C69" s="1949" t="s">
        <v>440</v>
      </c>
      <c r="D69" s="779" t="s">
        <v>911</v>
      </c>
      <c r="E69" s="778"/>
      <c r="F69" s="2042" t="str">
        <f t="shared" si="10"/>
        <v>BWTotal controllable opex</v>
      </c>
      <c r="G69" s="779" t="s">
        <v>337</v>
      </c>
      <c r="H69" s="1207"/>
      <c r="I69" s="1412">
        <v>90.621503686189996</v>
      </c>
      <c r="J69" s="1412">
        <v>86.354309676307679</v>
      </c>
      <c r="K69" s="1412">
        <v>85.592348181466051</v>
      </c>
      <c r="L69" s="1412">
        <v>88.941347860778279</v>
      </c>
      <c r="M69" s="1412">
        <v>91.414888290000022</v>
      </c>
      <c r="N69" s="1412">
        <v>89.739498497606576</v>
      </c>
      <c r="O69" s="1412">
        <v>88.680336794017194</v>
      </c>
      <c r="P69" s="1412">
        <v>87.601944907410797</v>
      </c>
      <c r="Q69" s="1412">
        <v>87.977037438477666</v>
      </c>
      <c r="R69" s="1412">
        <v>87.41340025463802</v>
      </c>
      <c r="U69" s="779" t="s">
        <v>854</v>
      </c>
      <c r="W69" s="2119">
        <v>4.1300000000000003E-2</v>
      </c>
      <c r="X69" s="2119">
        <v>3.9699999999999999E-2</v>
      </c>
      <c r="Y69" s="2119">
        <v>4.1300000000000003E-2</v>
      </c>
      <c r="Z69" s="2119">
        <v>4.1300000000000003E-2</v>
      </c>
      <c r="AA69" s="2119">
        <v>4.1300000000000003E-2</v>
      </c>
      <c r="AB69" s="2119">
        <v>3.9699999999999999E-2</v>
      </c>
      <c r="AC69" s="2119">
        <v>4.2900000000000001E-2</v>
      </c>
      <c r="AD69" s="2119">
        <v>4.1300000000000003E-2</v>
      </c>
      <c r="AE69" s="2119">
        <v>3.9699999999999999E-2</v>
      </c>
      <c r="AF69" s="2119">
        <v>4.1300000000000003E-2</v>
      </c>
      <c r="AG69" s="2119">
        <v>4.1300000000000003E-2</v>
      </c>
      <c r="AH69" s="2119">
        <v>3.9699999999999999E-2</v>
      </c>
      <c r="AI69" s="2119">
        <v>3.9600000000000003E-2</v>
      </c>
      <c r="AJ69" s="2119">
        <v>4.1300000000000003E-2</v>
      </c>
      <c r="AK69" s="2119">
        <v>3.73E-2</v>
      </c>
      <c r="AL69" s="2119">
        <v>3.9699999999999999E-2</v>
      </c>
      <c r="AM69" s="2119">
        <v>3.9699999999999999E-2</v>
      </c>
      <c r="AN69" s="2119">
        <v>3.7199999999999997E-2</v>
      </c>
      <c r="AO69" s="2119">
        <v>4.1300000000000003E-2</v>
      </c>
    </row>
    <row r="70" spans="2:52" x14ac:dyDescent="0.2">
      <c r="B70" s="1949"/>
      <c r="C70" s="1949"/>
    </row>
    <row r="71" spans="2:52" ht="10.5" x14ac:dyDescent="0.25">
      <c r="B71" s="1949" t="s">
        <v>382</v>
      </c>
      <c r="C71" s="1949" t="s">
        <v>441</v>
      </c>
      <c r="D71" s="779" t="s">
        <v>909</v>
      </c>
      <c r="F71" s="2042" t="str">
        <f>C71&amp;D71&amp;E71</f>
        <v>CGWRAV (Opening Base)</v>
      </c>
      <c r="G71" s="779" t="s">
        <v>337</v>
      </c>
      <c r="I71" s="1412">
        <v>545.36165424204262</v>
      </c>
      <c r="J71" s="1412">
        <v>577.47001064561857</v>
      </c>
      <c r="K71" s="1412">
        <v>612.93539948220155</v>
      </c>
      <c r="L71" s="1412">
        <v>631.1666813493373</v>
      </c>
      <c r="M71" s="1412">
        <v>648.08868052644505</v>
      </c>
      <c r="N71" s="1412">
        <v>663.94923537982606</v>
      </c>
      <c r="O71" s="1412">
        <v>683.93833631246446</v>
      </c>
      <c r="P71" s="1412">
        <v>714.52172599744017</v>
      </c>
      <c r="Q71" s="1412">
        <v>741.58499066366005</v>
      </c>
      <c r="R71" s="1412">
        <v>758.25591379876892</v>
      </c>
      <c r="U71" s="778" t="s">
        <v>966</v>
      </c>
    </row>
    <row r="72" spans="2:52" x14ac:dyDescent="0.2">
      <c r="B72" s="1949" t="s">
        <v>382</v>
      </c>
      <c r="C72" s="1949" t="s">
        <v>441</v>
      </c>
      <c r="D72" s="779" t="s">
        <v>250</v>
      </c>
      <c r="F72" s="2042" t="str">
        <f t="shared" ref="F72:F81" si="11">C72&amp;D72&amp;E72</f>
        <v>CGWRoA</v>
      </c>
      <c r="G72" s="779" t="s">
        <v>337</v>
      </c>
      <c r="I72" s="1412">
        <v>24.745174038659698</v>
      </c>
      <c r="J72" s="1412">
        <v>26.311182079860558</v>
      </c>
      <c r="K72" s="1412">
        <v>27.779599710604863</v>
      </c>
      <c r="L72" s="1412">
        <v>28.49819888062973</v>
      </c>
      <c r="M72" s="1412">
        <v>29.136287731467554</v>
      </c>
      <c r="N72" s="1412">
        <v>26.755568298091966</v>
      </c>
      <c r="O72" s="1412">
        <v>27.759432236851605</v>
      </c>
      <c r="P72" s="1412">
        <v>28.903718325722835</v>
      </c>
      <c r="Q72" s="1412">
        <v>29.771841953579212</v>
      </c>
      <c r="R72" s="1412">
        <v>30.322268807212907</v>
      </c>
      <c r="W72" s="1215" t="s">
        <v>978</v>
      </c>
      <c r="X72" s="1215" t="s">
        <v>1033</v>
      </c>
      <c r="Y72" s="1215" t="s">
        <v>980</v>
      </c>
      <c r="Z72" s="1215" t="s">
        <v>1032</v>
      </c>
      <c r="AA72" s="779" t="s">
        <v>982</v>
      </c>
      <c r="AB72" s="779" t="s">
        <v>1031</v>
      </c>
      <c r="AC72" s="779" t="s">
        <v>984</v>
      </c>
      <c r="AD72" s="779" t="s">
        <v>1030</v>
      </c>
      <c r="AE72" s="779" t="s">
        <v>972</v>
      </c>
      <c r="AF72" s="779" t="s">
        <v>1020</v>
      </c>
      <c r="AG72" s="779" t="s">
        <v>986</v>
      </c>
      <c r="AH72" s="779" t="s">
        <v>1029</v>
      </c>
      <c r="AI72" s="779" t="s">
        <v>988</v>
      </c>
      <c r="AJ72" s="779" t="s">
        <v>1028</v>
      </c>
      <c r="AK72" s="779" t="s">
        <v>997</v>
      </c>
      <c r="AL72" s="779" t="s">
        <v>998</v>
      </c>
      <c r="AM72" s="779" t="s">
        <v>990</v>
      </c>
      <c r="AN72" s="779" t="s">
        <v>1027</v>
      </c>
      <c r="AO72" s="779" t="s">
        <v>974</v>
      </c>
      <c r="AP72" s="779" t="s">
        <v>1021</v>
      </c>
      <c r="AQ72" s="779" t="s">
        <v>941</v>
      </c>
      <c r="AR72" s="779" t="s">
        <v>942</v>
      </c>
      <c r="AS72" s="779" t="s">
        <v>994</v>
      </c>
      <c r="AT72" s="779" t="s">
        <v>1025</v>
      </c>
      <c r="AU72" s="779" t="s">
        <v>996</v>
      </c>
      <c r="AV72" s="779" t="s">
        <v>1024</v>
      </c>
      <c r="AW72" s="779" t="s">
        <v>943</v>
      </c>
      <c r="AX72" s="779" t="s">
        <v>943</v>
      </c>
      <c r="AY72" s="779" t="s">
        <v>976</v>
      </c>
      <c r="AZ72" s="779" t="s">
        <v>1022</v>
      </c>
    </row>
    <row r="73" spans="2:52" x14ac:dyDescent="0.2">
      <c r="B73" s="1949" t="s">
        <v>382</v>
      </c>
      <c r="C73" s="1949" t="s">
        <v>441</v>
      </c>
      <c r="D73" s="779" t="s">
        <v>256</v>
      </c>
      <c r="F73" s="2042" t="str">
        <f t="shared" si="11"/>
        <v>CGWRevenue Req</v>
      </c>
      <c r="G73" s="779" t="s">
        <v>337</v>
      </c>
      <c r="I73" s="1412">
        <v>116.31981058583483</v>
      </c>
      <c r="J73" s="1412">
        <v>118.28194608523799</v>
      </c>
      <c r="K73" s="1412">
        <v>121.39785016479165</v>
      </c>
      <c r="L73" s="1412">
        <v>122.65531648789015</v>
      </c>
      <c r="M73" s="1412">
        <v>124.23449224723136</v>
      </c>
      <c r="N73" s="1412">
        <v>121.59706060229658</v>
      </c>
      <c r="O73" s="1412">
        <v>122.76634799490935</v>
      </c>
      <c r="P73" s="1412">
        <v>123.75013398191739</v>
      </c>
      <c r="Q73" s="1412">
        <v>125.67928613620174</v>
      </c>
      <c r="R73" s="1412">
        <v>127.73813354730667</v>
      </c>
      <c r="U73" s="779" t="s">
        <v>576</v>
      </c>
      <c r="W73" s="2116">
        <v>0.01</v>
      </c>
      <c r="X73" s="2116">
        <v>2.2533892743973001E-2</v>
      </c>
      <c r="Y73" s="2116">
        <v>0.01</v>
      </c>
      <c r="Z73" s="2116">
        <v>1.0027421856949967E-2</v>
      </c>
      <c r="AA73" s="2116">
        <v>0.01</v>
      </c>
      <c r="AB73" s="2116">
        <v>1.6425244508275649E-2</v>
      </c>
      <c r="AC73" s="2116">
        <v>0.01</v>
      </c>
      <c r="AD73" s="2116">
        <v>1.4999999999999999E-2</v>
      </c>
      <c r="AE73" s="2116">
        <v>0.02</v>
      </c>
      <c r="AF73" s="2116">
        <v>0.02</v>
      </c>
      <c r="AG73" s="2116">
        <v>0.01</v>
      </c>
      <c r="AH73" s="2116">
        <v>1.15E-2</v>
      </c>
      <c r="AI73" s="2116">
        <v>0.01</v>
      </c>
      <c r="AJ73" s="2116">
        <v>3.1E-2</v>
      </c>
      <c r="AK73" s="2116">
        <v>0.02</v>
      </c>
      <c r="AL73" s="2116">
        <v>1.4999999999999999E-2</v>
      </c>
      <c r="AM73" s="2116">
        <v>0.01</v>
      </c>
      <c r="AN73" s="2116">
        <v>0.01</v>
      </c>
      <c r="AO73" s="2116">
        <v>0.01</v>
      </c>
      <c r="AP73" s="2116">
        <v>2.2953928107491972E-2</v>
      </c>
      <c r="AQ73" s="2116">
        <v>1.52E-2</v>
      </c>
      <c r="AR73" s="2116">
        <v>0.01</v>
      </c>
      <c r="AS73" s="2116">
        <v>0.01</v>
      </c>
      <c r="AT73" s="2116">
        <v>0.01</v>
      </c>
      <c r="AU73" s="2116">
        <v>0.01</v>
      </c>
      <c r="AV73" s="2116">
        <v>2.661221893821596E-2</v>
      </c>
      <c r="AW73" s="2116">
        <v>3.9890000000000002E-2</v>
      </c>
      <c r="AX73" s="2116">
        <v>0.02</v>
      </c>
      <c r="AY73" s="2116">
        <v>0.01</v>
      </c>
      <c r="AZ73" s="2116">
        <v>2.5000000000000001E-2</v>
      </c>
    </row>
    <row r="74" spans="2:52" x14ac:dyDescent="0.2">
      <c r="B74" s="1949" t="s">
        <v>382</v>
      </c>
      <c r="C74" s="1949" t="s">
        <v>441</v>
      </c>
      <c r="D74" s="779" t="s">
        <v>248</v>
      </c>
      <c r="F74" s="2042" t="str">
        <f t="shared" si="11"/>
        <v>CGWRegDepEx</v>
      </c>
      <c r="G74" s="779" t="s">
        <v>337</v>
      </c>
      <c r="I74" s="1412">
        <v>12.308811397928466</v>
      </c>
      <c r="J74" s="1412">
        <v>12.308811397928466</v>
      </c>
      <c r="K74" s="1412">
        <v>12.308811397928466</v>
      </c>
      <c r="L74" s="1412">
        <v>12.308811397928466</v>
      </c>
      <c r="M74" s="1412">
        <v>12.308811397928466</v>
      </c>
      <c r="N74" s="1412">
        <v>16.962620661309323</v>
      </c>
      <c r="O74" s="1412">
        <v>16.962620661309323</v>
      </c>
      <c r="P74" s="1412">
        <v>16.962620661309323</v>
      </c>
      <c r="Q74" s="1412">
        <v>16.962620661309323</v>
      </c>
      <c r="R74" s="1412">
        <v>16.962620661309323</v>
      </c>
      <c r="U74" s="779" t="s">
        <v>491</v>
      </c>
      <c r="W74" s="2119">
        <v>1.8579904845819784E-2</v>
      </c>
      <c r="X74" s="2119">
        <v>1.6251489620157898E-2</v>
      </c>
      <c r="Y74" s="2119">
        <v>1.3652458780887241E-2</v>
      </c>
      <c r="Z74" s="2119">
        <v>1.2299605412484291E-2</v>
      </c>
      <c r="AA74" s="2119">
        <v>1.5569537430140997E-2</v>
      </c>
      <c r="AB74" s="2119">
        <v>1.6425244508275649E-2</v>
      </c>
      <c r="AC74" s="2119">
        <v>1.5304775547447913E-2</v>
      </c>
      <c r="AD74" s="2119">
        <v>1.7204484275110496E-2</v>
      </c>
      <c r="AE74" s="2119">
        <v>3.4433828105757007E-2</v>
      </c>
      <c r="AF74" s="2119">
        <v>2.6166738923617004E-2</v>
      </c>
      <c r="AG74" s="2119">
        <v>1.311253308077307E-2</v>
      </c>
      <c r="AH74" s="2119">
        <v>1.2800000000000001E-2</v>
      </c>
      <c r="AI74" s="2119">
        <v>1.208877947061331E-2</v>
      </c>
      <c r="AJ74" s="2119">
        <v>1.32E-2</v>
      </c>
      <c r="AK74" s="2119">
        <v>4.6933759238713948E-3</v>
      </c>
      <c r="AL74" s="2119">
        <v>5.0000000000000001E-3</v>
      </c>
      <c r="AM74" s="2119">
        <v>1.3579884452245117E-2</v>
      </c>
      <c r="AN74" s="2119">
        <v>1.0599999999999988E-2</v>
      </c>
      <c r="AO74" s="2119">
        <v>2.2577868126224632E-2</v>
      </c>
      <c r="AP74" s="2119">
        <v>2.2953928107491972E-2</v>
      </c>
      <c r="AQ74" s="2119">
        <v>1.6047046332709092E-2</v>
      </c>
      <c r="AR74" s="2119">
        <v>1.6386258383069952E-2</v>
      </c>
      <c r="AS74" s="2119">
        <v>6.2434370732550966E-3</v>
      </c>
      <c r="AT74" s="2119">
        <v>8.0827417932984365E-3</v>
      </c>
      <c r="AU74" s="2119">
        <v>1.1884833771814068E-2</v>
      </c>
      <c r="AV74" s="2119">
        <v>1.8711999999999999E-2</v>
      </c>
      <c r="AW74" s="2119">
        <v>4.9198993398492541E-2</v>
      </c>
      <c r="AX74" s="2119">
        <v>4.8021178691686504E-2</v>
      </c>
      <c r="AY74" s="2119">
        <v>2.092397621798725E-2</v>
      </c>
      <c r="AZ74" s="2119">
        <v>1.738076755735176E-2</v>
      </c>
    </row>
    <row r="75" spans="2:52" x14ac:dyDescent="0.2">
      <c r="B75" s="1949" t="s">
        <v>382</v>
      </c>
      <c r="C75" s="1949" t="s">
        <v>441</v>
      </c>
      <c r="D75" s="779" t="s">
        <v>249</v>
      </c>
      <c r="F75" s="2042" t="str">
        <f t="shared" si="11"/>
        <v>CGWRegDepNew</v>
      </c>
      <c r="G75" s="779" t="s">
        <v>337</v>
      </c>
      <c r="I75" s="1412">
        <v>0.47812107544866278</v>
      </c>
      <c r="J75" s="1412">
        <v>1.4734408138756752</v>
      </c>
      <c r="K75" s="1412">
        <v>2.7406353325949024</v>
      </c>
      <c r="L75" s="1412">
        <v>3.9399226155367897</v>
      </c>
      <c r="M75" s="1412">
        <v>4.8748535338633943</v>
      </c>
      <c r="N75" s="1412">
        <v>0.40221784474229905</v>
      </c>
      <c r="O75" s="1412">
        <v>1.203773195051737</v>
      </c>
      <c r="P75" s="1412">
        <v>2.0421058267962104</v>
      </c>
      <c r="Q75" s="1412">
        <v>2.8816542982729776</v>
      </c>
      <c r="R75" s="1412">
        <v>3.8626660191388686</v>
      </c>
      <c r="AK75" s="2037"/>
    </row>
    <row r="76" spans="2:52" ht="10.5" x14ac:dyDescent="0.25">
      <c r="B76" s="1949" t="s">
        <v>382</v>
      </c>
      <c r="C76" s="1949" t="s">
        <v>441</v>
      </c>
      <c r="D76" s="779" t="s">
        <v>513</v>
      </c>
      <c r="E76" s="779" t="s">
        <v>21</v>
      </c>
      <c r="F76" s="2042" t="str">
        <f t="shared" si="11"/>
        <v>CGWTotal prescribed capexWater</v>
      </c>
      <c r="G76" s="779" t="s">
        <v>337</v>
      </c>
      <c r="H76" s="1207"/>
      <c r="I76" s="1412">
        <v>26.210297851562501</v>
      </c>
      <c r="J76" s="1412">
        <v>13.316612903225806</v>
      </c>
      <c r="K76" s="1412">
        <v>14.720917602996254</v>
      </c>
      <c r="L76" s="1412">
        <v>14.974808501640483</v>
      </c>
      <c r="M76" s="1412">
        <v>19.937863628802791</v>
      </c>
      <c r="N76" s="1412">
        <v>15.856822027873349</v>
      </c>
      <c r="O76" s="1412">
        <v>18.225644398491873</v>
      </c>
      <c r="P76" s="1412">
        <v>18.848381840433781</v>
      </c>
      <c r="Q76" s="1412">
        <v>17.368191530702369</v>
      </c>
      <c r="R76" s="1412">
        <v>16.165744555334989</v>
      </c>
    </row>
    <row r="77" spans="2:52" ht="10.5" x14ac:dyDescent="0.25">
      <c r="B77" s="1949" t="s">
        <v>382</v>
      </c>
      <c r="C77" s="1949" t="s">
        <v>441</v>
      </c>
      <c r="D77" s="779" t="s">
        <v>513</v>
      </c>
      <c r="E77" s="779" t="s">
        <v>22</v>
      </c>
      <c r="F77" s="2042" t="str">
        <f t="shared" si="11"/>
        <v>CGWTotal prescribed capexSewerage</v>
      </c>
      <c r="G77" s="779" t="s">
        <v>337</v>
      </c>
      <c r="H77" s="1207"/>
      <c r="I77" s="1412">
        <v>31.569116210937501</v>
      </c>
      <c r="J77" s="1412">
        <v>41.421774193548394</v>
      </c>
      <c r="K77" s="1412">
        <v>24.995969101123595</v>
      </c>
      <c r="L77" s="1412">
        <v>19.103692442352123</v>
      </c>
      <c r="M77" s="1412">
        <v>17.105761735255864</v>
      </c>
      <c r="N77" s="1412">
        <v>22.12302038094376</v>
      </c>
      <c r="O77" s="1412">
        <v>31.079726625387366</v>
      </c>
      <c r="P77" s="1412">
        <v>27.710594553156849</v>
      </c>
      <c r="Q77" s="1412">
        <v>19.537914156615901</v>
      </c>
      <c r="R77" s="1412">
        <v>21.005513215967213</v>
      </c>
    </row>
    <row r="78" spans="2:52" ht="10.5" x14ac:dyDescent="0.25">
      <c r="B78" s="1949" t="s">
        <v>382</v>
      </c>
      <c r="C78" s="1949" t="s">
        <v>441</v>
      </c>
      <c r="D78" s="779" t="s">
        <v>513</v>
      </c>
      <c r="E78" s="779" t="s">
        <v>275</v>
      </c>
      <c r="F78" s="2042" t="str">
        <f t="shared" si="11"/>
        <v>CGWTotal prescribed capexRecycled Water</v>
      </c>
      <c r="G78" s="779" t="s">
        <v>337</v>
      </c>
      <c r="H78" s="1207"/>
      <c r="I78" s="1412">
        <v>0</v>
      </c>
      <c r="J78" s="1412">
        <v>0</v>
      </c>
      <c r="K78" s="1412">
        <v>0</v>
      </c>
      <c r="L78" s="1412">
        <v>0</v>
      </c>
      <c r="M78" s="1412">
        <v>0</v>
      </c>
      <c r="N78" s="1412">
        <v>0</v>
      </c>
      <c r="O78" s="1412">
        <v>0</v>
      </c>
      <c r="P78" s="1412">
        <v>0</v>
      </c>
      <c r="Q78" s="1412">
        <v>0</v>
      </c>
      <c r="R78" s="1412">
        <v>0</v>
      </c>
      <c r="Y78" s="1215"/>
      <c r="Z78" s="1215"/>
      <c r="AA78" s="2036"/>
      <c r="AB78" s="1215"/>
      <c r="AC78" s="1215"/>
      <c r="AD78" s="1215"/>
      <c r="AE78" s="1215"/>
      <c r="AF78" s="1215"/>
      <c r="AG78" s="1215"/>
      <c r="AH78" s="1215"/>
      <c r="AI78" s="1215"/>
      <c r="AJ78" s="1215"/>
      <c r="AK78" s="1215"/>
      <c r="AL78" s="1215"/>
      <c r="AM78" s="1215"/>
      <c r="AN78" s="1215"/>
      <c r="AO78" s="1215"/>
    </row>
    <row r="79" spans="2:52" ht="10.5" x14ac:dyDescent="0.25">
      <c r="B79" s="1949" t="s">
        <v>382</v>
      </c>
      <c r="C79" s="1949" t="s">
        <v>441</v>
      </c>
      <c r="D79" s="779" t="s">
        <v>513</v>
      </c>
      <c r="E79" s="779" t="s">
        <v>353</v>
      </c>
      <c r="F79" s="2042" t="str">
        <f t="shared" si="11"/>
        <v>CGWTotal prescribed capexRural Water</v>
      </c>
      <c r="G79" s="779" t="s">
        <v>337</v>
      </c>
      <c r="H79" s="1207"/>
      <c r="I79" s="1412">
        <v>0</v>
      </c>
      <c r="J79" s="1412">
        <v>0</v>
      </c>
      <c r="K79" s="1412">
        <v>0</v>
      </c>
      <c r="L79" s="1412">
        <v>0</v>
      </c>
      <c r="M79" s="1412">
        <v>0</v>
      </c>
      <c r="N79" s="1412">
        <v>0</v>
      </c>
      <c r="O79" s="1412">
        <v>0</v>
      </c>
      <c r="P79" s="1412">
        <v>0</v>
      </c>
      <c r="Q79" s="1412">
        <v>0</v>
      </c>
      <c r="R79" s="1412">
        <v>0</v>
      </c>
    </row>
    <row r="80" spans="2:52" ht="10.5" x14ac:dyDescent="0.25">
      <c r="B80" s="1949" t="s">
        <v>382</v>
      </c>
      <c r="C80" s="1949" t="s">
        <v>441</v>
      </c>
      <c r="D80" s="779" t="s">
        <v>513</v>
      </c>
      <c r="E80" s="779" t="s">
        <v>354</v>
      </c>
      <c r="F80" s="2042" t="str">
        <f t="shared" si="11"/>
        <v>CGWTotal prescribed capexBulk Water</v>
      </c>
      <c r="G80" s="779" t="s">
        <v>337</v>
      </c>
      <c r="H80" s="1207"/>
      <c r="I80" s="1412">
        <v>0</v>
      </c>
      <c r="J80" s="1412">
        <v>0</v>
      </c>
      <c r="K80" s="1412">
        <v>0</v>
      </c>
      <c r="L80" s="1412">
        <v>0</v>
      </c>
      <c r="M80" s="1412">
        <v>0</v>
      </c>
      <c r="N80" s="1412">
        <v>0</v>
      </c>
      <c r="O80" s="1412">
        <v>0</v>
      </c>
      <c r="P80" s="1412">
        <v>0</v>
      </c>
      <c r="Q80" s="1412">
        <v>0</v>
      </c>
      <c r="R80" s="1412">
        <v>0</v>
      </c>
      <c r="AD80" s="1215"/>
      <c r="AE80" s="1215"/>
    </row>
    <row r="81" spans="2:31" ht="10.5" x14ac:dyDescent="0.25">
      <c r="B81" s="1949" t="s">
        <v>382</v>
      </c>
      <c r="C81" s="1949" t="s">
        <v>441</v>
      </c>
      <c r="D81" s="779" t="s">
        <v>911</v>
      </c>
      <c r="E81" s="778"/>
      <c r="F81" s="2042" t="str">
        <f t="shared" si="11"/>
        <v>CGWTotal controllable opex</v>
      </c>
      <c r="G81" s="779" t="s">
        <v>337</v>
      </c>
      <c r="H81" s="1207"/>
      <c r="I81" s="1412">
        <v>72.755202812499988</v>
      </c>
      <c r="J81" s="1412">
        <v>67.180148225806434</v>
      </c>
      <c r="K81" s="1412">
        <v>69.372637701310865</v>
      </c>
      <c r="L81" s="1412">
        <v>68.83632729279114</v>
      </c>
      <c r="M81" s="1412">
        <v>68.719993465523942</v>
      </c>
      <c r="N81" s="1412">
        <v>71.938418121049978</v>
      </c>
      <c r="O81" s="1412">
        <v>71.415765259877801</v>
      </c>
      <c r="P81" s="1412">
        <v>70.526633436367732</v>
      </c>
      <c r="Q81" s="1412">
        <v>70.858601960989375</v>
      </c>
      <c r="R81" s="1412">
        <v>71.459249006835208</v>
      </c>
    </row>
    <row r="82" spans="2:31" x14ac:dyDescent="0.2">
      <c r="B82" s="1949"/>
      <c r="C82" s="1949"/>
      <c r="AD82" s="1215"/>
      <c r="AE82" s="1215"/>
    </row>
    <row r="83" spans="2:31" x14ac:dyDescent="0.2">
      <c r="B83" s="1949" t="s">
        <v>380</v>
      </c>
      <c r="C83" s="1949" t="s">
        <v>442</v>
      </c>
      <c r="D83" s="779" t="s">
        <v>909</v>
      </c>
      <c r="F83" s="2042" t="str">
        <f>C83&amp;D83&amp;E83</f>
        <v>CHWRAV (Opening Base)</v>
      </c>
      <c r="G83" s="779" t="s">
        <v>337</v>
      </c>
      <c r="I83" s="1412">
        <v>321.56408115192403</v>
      </c>
      <c r="J83" s="1412">
        <v>321.98753112004101</v>
      </c>
      <c r="K83" s="1412">
        <v>324.74817438549923</v>
      </c>
      <c r="L83" s="1412">
        <v>328.74839347472846</v>
      </c>
      <c r="M83" s="1412">
        <v>335.00576585744034</v>
      </c>
      <c r="N83" s="1412">
        <v>342.24946385151048</v>
      </c>
      <c r="O83" s="1412">
        <v>351.44844758735155</v>
      </c>
      <c r="P83" s="1412">
        <v>362.53581876041204</v>
      </c>
      <c r="Q83" s="1412">
        <v>369.46683107369859</v>
      </c>
      <c r="R83" s="1412">
        <v>374.90753576872208</v>
      </c>
    </row>
    <row r="84" spans="2:31" x14ac:dyDescent="0.2">
      <c r="B84" s="1949" t="s">
        <v>380</v>
      </c>
      <c r="C84" s="1949" t="s">
        <v>442</v>
      </c>
      <c r="D84" s="779" t="s">
        <v>250</v>
      </c>
      <c r="F84" s="2042" t="str">
        <f t="shared" ref="F84:F93" si="12">C84&amp;D84&amp;E84</f>
        <v>CHWRoA</v>
      </c>
      <c r="G84" s="779" t="s">
        <v>337</v>
      </c>
      <c r="I84" s="1412">
        <v>15.044013319123314</v>
      </c>
      <c r="J84" s="1412">
        <v>15.342068578134592</v>
      </c>
      <c r="K84" s="1412">
        <v>15.560747485435025</v>
      </c>
      <c r="L84" s="1412">
        <v>15.841384569608392</v>
      </c>
      <c r="M84" s="1412">
        <v>16.08309513749634</v>
      </c>
      <c r="N84" s="1412">
        <v>14.324861871212502</v>
      </c>
      <c r="O84" s="1412">
        <v>14.743775100081319</v>
      </c>
      <c r="P84" s="1412">
        <v>15.115854719074385</v>
      </c>
      <c r="Q84" s="1412">
        <v>15.371330675295987</v>
      </c>
      <c r="R84" s="1412">
        <v>15.502258089732397</v>
      </c>
      <c r="AD84" s="1215"/>
      <c r="AE84" s="1215"/>
    </row>
    <row r="85" spans="2:31" x14ac:dyDescent="0.2">
      <c r="B85" s="1949" t="s">
        <v>380</v>
      </c>
      <c r="C85" s="1949" t="s">
        <v>442</v>
      </c>
      <c r="D85" s="779" t="s">
        <v>256</v>
      </c>
      <c r="F85" s="2042" t="str">
        <f t="shared" si="12"/>
        <v>CHWRevenue Req</v>
      </c>
      <c r="G85" s="779" t="s">
        <v>337</v>
      </c>
      <c r="I85" s="1412">
        <v>84.664569783059108</v>
      </c>
      <c r="J85" s="1412">
        <v>85.570430077772301</v>
      </c>
      <c r="K85" s="1412">
        <v>86.393781340030003</v>
      </c>
      <c r="L85" s="1412">
        <v>87.198674958824213</v>
      </c>
      <c r="M85" s="1412">
        <v>88.486514787276775</v>
      </c>
      <c r="N85" s="1412">
        <v>87.61673669749257</v>
      </c>
      <c r="O85" s="1412">
        <v>88.279329158110315</v>
      </c>
      <c r="P85" s="1412">
        <v>88.338025904432001</v>
      </c>
      <c r="Q85" s="1412">
        <v>89.01666044157065</v>
      </c>
      <c r="R85" s="1412">
        <v>89.391263841495459</v>
      </c>
    </row>
    <row r="86" spans="2:31" x14ac:dyDescent="0.2">
      <c r="B86" s="1949" t="s">
        <v>380</v>
      </c>
      <c r="C86" s="1949" t="s">
        <v>442</v>
      </c>
      <c r="D86" s="779" t="s">
        <v>248</v>
      </c>
      <c r="F86" s="2042" t="str">
        <f t="shared" si="12"/>
        <v>CHWRegDepEx</v>
      </c>
      <c r="G86" s="779" t="s">
        <v>337</v>
      </c>
      <c r="I86" s="1412">
        <v>13.048986935186594</v>
      </c>
      <c r="J86" s="1412">
        <v>12.566174418584689</v>
      </c>
      <c r="K86" s="1412">
        <v>12.101225965097054</v>
      </c>
      <c r="L86" s="1412">
        <v>11.653480604388465</v>
      </c>
      <c r="M86" s="1412">
        <v>11.222301822026093</v>
      </c>
      <c r="N86" s="1412">
        <v>15.8056701896797</v>
      </c>
      <c r="O86" s="1412">
        <v>15.8056701896797</v>
      </c>
      <c r="P86" s="1412">
        <v>15.4399208457278</v>
      </c>
      <c r="Q86" s="1412">
        <v>15.282794632182901</v>
      </c>
      <c r="R86" s="1412">
        <v>14.782794632182901</v>
      </c>
    </row>
    <row r="87" spans="2:31" x14ac:dyDescent="0.2">
      <c r="B87" s="1949" t="s">
        <v>380</v>
      </c>
      <c r="C87" s="1949" t="s">
        <v>442</v>
      </c>
      <c r="D87" s="779" t="s">
        <v>249</v>
      </c>
      <c r="F87" s="2042" t="str">
        <f t="shared" si="12"/>
        <v>CHWRegDepNew</v>
      </c>
      <c r="G87" s="779" t="s">
        <v>337</v>
      </c>
      <c r="I87" s="1412">
        <v>0.49153387447964247</v>
      </c>
      <c r="J87" s="1412">
        <v>1.3090170740215801</v>
      </c>
      <c r="K87" s="1412">
        <v>2.072145014539243</v>
      </c>
      <c r="L87" s="1412">
        <v>2.9350976275022465</v>
      </c>
      <c r="M87" s="1412">
        <v>3.7927574511710236</v>
      </c>
      <c r="N87" s="1412">
        <v>0.39</v>
      </c>
      <c r="O87" s="1412">
        <v>1.17</v>
      </c>
      <c r="P87" s="1412">
        <v>1.9500000000000002</v>
      </c>
      <c r="Q87" s="1412">
        <v>2.73</v>
      </c>
      <c r="R87" s="1412">
        <v>3.51</v>
      </c>
    </row>
    <row r="88" spans="2:31" ht="10.5" x14ac:dyDescent="0.25">
      <c r="B88" s="1949" t="s">
        <v>380</v>
      </c>
      <c r="C88" s="1949" t="s">
        <v>442</v>
      </c>
      <c r="D88" s="779" t="s">
        <v>513</v>
      </c>
      <c r="E88" s="779" t="s">
        <v>21</v>
      </c>
      <c r="F88" s="2042" t="str">
        <f t="shared" si="12"/>
        <v>CHWTotal prescribed capexWater</v>
      </c>
      <c r="G88" s="779" t="s">
        <v>337</v>
      </c>
      <c r="H88" s="1207"/>
      <c r="I88" s="1412">
        <v>8.06466958476563</v>
      </c>
      <c r="J88" s="1412">
        <v>11.186290322580644</v>
      </c>
      <c r="K88" s="1412">
        <v>11.59629213483146</v>
      </c>
      <c r="L88" s="1412">
        <v>14.468146950092425</v>
      </c>
      <c r="M88" s="1412">
        <v>13.897592189689691</v>
      </c>
      <c r="N88" s="1412">
        <v>16.698032998595696</v>
      </c>
      <c r="O88" s="1412">
        <v>14.616735310595695</v>
      </c>
      <c r="P88" s="1412">
        <v>13.068429685095492</v>
      </c>
      <c r="Q88" s="1412">
        <v>10.937650147063138</v>
      </c>
      <c r="R88" s="1412">
        <v>12.058819024166429</v>
      </c>
    </row>
    <row r="89" spans="2:31" ht="10.5" x14ac:dyDescent="0.25">
      <c r="B89" s="1949" t="s">
        <v>380</v>
      </c>
      <c r="C89" s="1949" t="s">
        <v>442</v>
      </c>
      <c r="D89" s="779" t="s">
        <v>513</v>
      </c>
      <c r="E89" s="779" t="s">
        <v>22</v>
      </c>
      <c r="F89" s="2042" t="str">
        <f t="shared" si="12"/>
        <v>CHWTotal prescribed capexSewerage</v>
      </c>
      <c r="G89" s="779" t="s">
        <v>337</v>
      </c>
      <c r="H89" s="1207"/>
      <c r="I89" s="1412">
        <v>8.6855009718750047</v>
      </c>
      <c r="J89" s="1412">
        <v>8.331532258064513</v>
      </c>
      <c r="K89" s="1412">
        <v>10.31954119850187</v>
      </c>
      <c r="L89" s="1412">
        <v>8.6551524953789301</v>
      </c>
      <c r="M89" s="1412">
        <v>10.211165077577578</v>
      </c>
      <c r="N89" s="1412">
        <v>6.8673612895926786</v>
      </c>
      <c r="O89" s="1412">
        <v>12.464567525807819</v>
      </c>
      <c r="P89" s="1412">
        <v>10.456511307902371</v>
      </c>
      <c r="Q89" s="1412">
        <v>13.194166918111801</v>
      </c>
      <c r="R89" s="1412">
        <v>8.3898395126781136</v>
      </c>
    </row>
    <row r="90" spans="2:31" ht="10.5" x14ac:dyDescent="0.25">
      <c r="B90" s="1949" t="s">
        <v>380</v>
      </c>
      <c r="C90" s="1949" t="s">
        <v>442</v>
      </c>
      <c r="D90" s="779" t="s">
        <v>513</v>
      </c>
      <c r="E90" s="779" t="s">
        <v>275</v>
      </c>
      <c r="F90" s="2042" t="str">
        <f t="shared" si="12"/>
        <v>CHWTotal prescribed capexRecycled Water</v>
      </c>
      <c r="G90" s="779" t="s">
        <v>337</v>
      </c>
      <c r="H90" s="1207"/>
      <c r="I90" s="1412">
        <v>0</v>
      </c>
      <c r="J90" s="1412">
        <v>1.2528225806451612</v>
      </c>
      <c r="K90" s="1412">
        <v>8.3870967741935518E-2</v>
      </c>
      <c r="L90" s="1412">
        <v>7.1487985212569296E-3</v>
      </c>
      <c r="M90" s="1412">
        <v>0</v>
      </c>
      <c r="N90" s="1412">
        <v>3.6556035749999998</v>
      </c>
      <c r="O90" s="1412">
        <v>2.8342894100000002</v>
      </c>
      <c r="P90" s="1412">
        <v>2.6752120399999999</v>
      </c>
      <c r="Q90" s="1412">
        <v>1.3143727000000001</v>
      </c>
      <c r="R90" s="1412">
        <v>0.76718635000000002</v>
      </c>
    </row>
    <row r="91" spans="2:31" ht="10.5" x14ac:dyDescent="0.25">
      <c r="B91" s="1949" t="s">
        <v>380</v>
      </c>
      <c r="C91" s="1949" t="s">
        <v>442</v>
      </c>
      <c r="D91" s="779" t="s">
        <v>513</v>
      </c>
      <c r="E91" s="779" t="s">
        <v>353</v>
      </c>
      <c r="F91" s="2042" t="str">
        <f t="shared" si="12"/>
        <v>CHWTotal prescribed capexRural Water</v>
      </c>
      <c r="G91" s="779" t="s">
        <v>337</v>
      </c>
      <c r="H91" s="1207"/>
      <c r="I91" s="1412">
        <v>0</v>
      </c>
      <c r="J91" s="1412">
        <v>0</v>
      </c>
      <c r="K91" s="1412">
        <v>0</v>
      </c>
      <c r="L91" s="1412">
        <v>0</v>
      </c>
      <c r="M91" s="1412">
        <v>0</v>
      </c>
      <c r="N91" s="1412">
        <v>0</v>
      </c>
      <c r="O91" s="1412">
        <v>0</v>
      </c>
      <c r="P91" s="1412">
        <v>0</v>
      </c>
      <c r="Q91" s="1412">
        <v>0</v>
      </c>
      <c r="R91" s="1412">
        <v>0</v>
      </c>
    </row>
    <row r="92" spans="2:31" ht="10.5" x14ac:dyDescent="0.25">
      <c r="B92" s="1949" t="s">
        <v>380</v>
      </c>
      <c r="C92" s="1949" t="s">
        <v>442</v>
      </c>
      <c r="D92" s="779" t="s">
        <v>513</v>
      </c>
      <c r="E92" s="779" t="s">
        <v>354</v>
      </c>
      <c r="F92" s="2042" t="str">
        <f t="shared" si="12"/>
        <v>CHWTotal prescribed capexBulk Water</v>
      </c>
      <c r="G92" s="779" t="s">
        <v>337</v>
      </c>
      <c r="H92" s="1207"/>
      <c r="I92" s="1412">
        <v>0</v>
      </c>
      <c r="J92" s="1412">
        <v>0</v>
      </c>
      <c r="K92" s="1412">
        <v>0</v>
      </c>
      <c r="L92" s="1412">
        <v>0</v>
      </c>
      <c r="M92" s="1412">
        <v>0</v>
      </c>
      <c r="N92" s="1412">
        <v>0</v>
      </c>
      <c r="O92" s="1412">
        <v>0</v>
      </c>
      <c r="P92" s="1412">
        <v>0</v>
      </c>
      <c r="Q92" s="1412">
        <v>0</v>
      </c>
      <c r="R92" s="1412">
        <v>0</v>
      </c>
    </row>
    <row r="93" spans="2:31" ht="10.5" x14ac:dyDescent="0.25">
      <c r="B93" s="1949" t="s">
        <v>380</v>
      </c>
      <c r="C93" s="1949" t="s">
        <v>442</v>
      </c>
      <c r="D93" s="779" t="s">
        <v>911</v>
      </c>
      <c r="E93" s="778"/>
      <c r="F93" s="2042" t="str">
        <f t="shared" si="12"/>
        <v>CHWTotal controllable opex</v>
      </c>
      <c r="G93" s="779" t="s">
        <v>337</v>
      </c>
      <c r="H93" s="1207"/>
      <c r="I93" s="1412">
        <v>49.731662998925785</v>
      </c>
      <c r="J93" s="1412">
        <v>46.976129032258058</v>
      </c>
      <c r="K93" s="1412">
        <v>49.586357677902633</v>
      </c>
      <c r="L93" s="1412">
        <v>50.357158040665432</v>
      </c>
      <c r="M93" s="1412">
        <v>51.191000000000003</v>
      </c>
      <c r="N93" s="1412">
        <v>52.156999999999975</v>
      </c>
      <c r="O93" s="1412">
        <v>51.703999999999979</v>
      </c>
      <c r="P93" s="1412">
        <v>51.060999999999979</v>
      </c>
      <c r="Q93" s="1412">
        <v>50.947999999999993</v>
      </c>
      <c r="R93" s="1412">
        <v>50.964999999999989</v>
      </c>
    </row>
    <row r="94" spans="2:31" x14ac:dyDescent="0.2">
      <c r="B94" s="1949"/>
      <c r="C94" s="1949"/>
    </row>
    <row r="95" spans="2:31" x14ac:dyDescent="0.2">
      <c r="B95" s="1949" t="s">
        <v>245</v>
      </c>
      <c r="C95" s="1949" t="s">
        <v>437</v>
      </c>
      <c r="D95" s="779" t="s">
        <v>909</v>
      </c>
      <c r="F95" s="2042" t="str">
        <f>C95&amp;D95&amp;E95</f>
        <v>CWWRAV (Opening Base)</v>
      </c>
      <c r="G95" s="779" t="s">
        <v>337</v>
      </c>
      <c r="I95" s="1412">
        <v>1796.1559735379567</v>
      </c>
      <c r="J95" s="1412">
        <v>1865.2286636357612</v>
      </c>
      <c r="K95" s="1412">
        <v>1868.7987780177928</v>
      </c>
      <c r="L95" s="1412">
        <v>1846.0533251208687</v>
      </c>
      <c r="M95" s="1412">
        <v>1846.1316751164693</v>
      </c>
      <c r="N95" s="1412">
        <v>1874.3347586898367</v>
      </c>
      <c r="O95" s="1412">
        <v>1893.6443985468034</v>
      </c>
      <c r="P95" s="1412">
        <v>1915.8204959410514</v>
      </c>
      <c r="Q95" s="1412">
        <v>1916.2600587584768</v>
      </c>
      <c r="R95" s="1412">
        <v>1903.5174962884416</v>
      </c>
    </row>
    <row r="96" spans="2:31" x14ac:dyDescent="0.2">
      <c r="B96" s="1949" t="s">
        <v>245</v>
      </c>
      <c r="C96" s="1949" t="s">
        <v>437</v>
      </c>
      <c r="D96" s="779" t="s">
        <v>250</v>
      </c>
      <c r="F96" s="2042" t="str">
        <f t="shared" ref="F96:F105" si="13">C96&amp;D96&amp;E96</f>
        <v>CWWRoA</v>
      </c>
      <c r="G96" s="779" t="s">
        <v>337</v>
      </c>
      <c r="I96" s="1412">
        <v>78.181339291018574</v>
      </c>
      <c r="J96" s="1412">
        <v>82.327115561950791</v>
      </c>
      <c r="K96" s="1412">
        <v>84.591612109803577</v>
      </c>
      <c r="L96" s="1412">
        <v>87.300621639268584</v>
      </c>
      <c r="M96" s="1412">
        <v>90.397905298560019</v>
      </c>
      <c r="N96" s="1412">
        <v>77.808769596936614</v>
      </c>
      <c r="O96" s="1412">
        <v>78.665450071174206</v>
      </c>
      <c r="P96" s="1412">
        <v>79.13246345454526</v>
      </c>
      <c r="Q96" s="1412">
        <v>78.878406511718879</v>
      </c>
      <c r="R96" s="1412">
        <v>78.629640871839726</v>
      </c>
      <c r="AD96" s="1215"/>
      <c r="AE96" s="1215"/>
    </row>
    <row r="97" spans="2:31" x14ac:dyDescent="0.2">
      <c r="B97" s="1949" t="s">
        <v>245</v>
      </c>
      <c r="C97" s="1949" t="s">
        <v>437</v>
      </c>
      <c r="D97" s="779" t="s">
        <v>256</v>
      </c>
      <c r="F97" s="2042" t="str">
        <f t="shared" si="13"/>
        <v>CWWRevenue Req</v>
      </c>
      <c r="G97" s="779" t="s">
        <v>337</v>
      </c>
      <c r="I97" s="1412">
        <v>617.8609881377655</v>
      </c>
      <c r="J97" s="1412">
        <v>641.11602016087147</v>
      </c>
      <c r="K97" s="1412">
        <v>648.44350944356734</v>
      </c>
      <c r="L97" s="1412">
        <v>652.96182483728239</v>
      </c>
      <c r="M97" s="1412">
        <v>663.06427611878939</v>
      </c>
      <c r="N97" s="1412">
        <v>649.5061207740689</v>
      </c>
      <c r="O97" s="1412">
        <v>644.21557407571709</v>
      </c>
      <c r="P97" s="1412">
        <v>636.40586129524161</v>
      </c>
      <c r="Q97" s="1412">
        <v>638.81984596864652</v>
      </c>
      <c r="R97" s="1412">
        <v>622.28546935855957</v>
      </c>
    </row>
    <row r="98" spans="2:31" x14ac:dyDescent="0.2">
      <c r="B98" s="1949" t="s">
        <v>245</v>
      </c>
      <c r="C98" s="1949" t="s">
        <v>437</v>
      </c>
      <c r="D98" s="779" t="s">
        <v>248</v>
      </c>
      <c r="F98" s="2042" t="str">
        <f t="shared" si="13"/>
        <v>CWWRegDepEx</v>
      </c>
      <c r="G98" s="779" t="s">
        <v>337</v>
      </c>
      <c r="I98" s="1412">
        <v>37.384265101836533</v>
      </c>
      <c r="J98" s="1412">
        <v>36.38686049061009</v>
      </c>
      <c r="K98" s="1412">
        <v>35.180919973383077</v>
      </c>
      <c r="L98" s="1412">
        <v>34.074813867276966</v>
      </c>
      <c r="M98" s="1412">
        <v>33.291404581193511</v>
      </c>
      <c r="N98" s="1412">
        <v>75</v>
      </c>
      <c r="O98" s="1412">
        <v>69.792610096566762</v>
      </c>
      <c r="P98" s="1412">
        <v>66.879971682664845</v>
      </c>
      <c r="Q98" s="1412">
        <v>66.879971682664845</v>
      </c>
      <c r="R98" s="1412">
        <v>49.476220176127597</v>
      </c>
    </row>
    <row r="99" spans="2:31" x14ac:dyDescent="0.2">
      <c r="B99" s="1949" t="s">
        <v>245</v>
      </c>
      <c r="C99" s="1949" t="s">
        <v>437</v>
      </c>
      <c r="D99" s="779" t="s">
        <v>249</v>
      </c>
      <c r="F99" s="2042" t="str">
        <f t="shared" si="13"/>
        <v>CWWRegDepNew</v>
      </c>
      <c r="G99" s="779" t="s">
        <v>337</v>
      </c>
      <c r="I99" s="1412">
        <v>4.618495456120697</v>
      </c>
      <c r="J99" s="1412">
        <v>13.737813268487503</v>
      </c>
      <c r="K99" s="1412">
        <v>19.832857562117642</v>
      </c>
      <c r="L99" s="1412">
        <v>23.138848900200102</v>
      </c>
      <c r="M99" s="1412">
        <v>26.309205845439148</v>
      </c>
      <c r="N99" s="1412">
        <v>1.8138396380598072</v>
      </c>
      <c r="O99" s="1412">
        <v>5.8554442367989452</v>
      </c>
      <c r="P99" s="1412">
        <v>9.3381107976221447</v>
      </c>
      <c r="Q99" s="1412">
        <v>11.765135183477419</v>
      </c>
      <c r="R99" s="1412">
        <v>15.657996873879602</v>
      </c>
    </row>
    <row r="100" spans="2:31" ht="10.5" x14ac:dyDescent="0.25">
      <c r="B100" s="1949" t="s">
        <v>245</v>
      </c>
      <c r="C100" s="1949" t="s">
        <v>437</v>
      </c>
      <c r="D100" s="779" t="s">
        <v>513</v>
      </c>
      <c r="E100" s="779" t="s">
        <v>21</v>
      </c>
      <c r="F100" s="2042" t="str">
        <f t="shared" si="13"/>
        <v>CWWTotal prescribed capexWater</v>
      </c>
      <c r="G100" s="779" t="s">
        <v>337</v>
      </c>
      <c r="H100" s="1207"/>
      <c r="I100" s="1412">
        <v>63.896840820312498</v>
      </c>
      <c r="J100" s="1412">
        <v>37.832096774193545</v>
      </c>
      <c r="K100" s="1412">
        <v>34.718515701508473</v>
      </c>
      <c r="L100" s="1412">
        <v>37.424784023644733</v>
      </c>
      <c r="M100" s="1412">
        <v>39.716200582518177</v>
      </c>
      <c r="N100" s="1412">
        <v>49.344267023750135</v>
      </c>
      <c r="O100" s="1412">
        <v>45.981941067973196</v>
      </c>
      <c r="P100" s="1412">
        <v>50.271791633292878</v>
      </c>
      <c r="Q100" s="1412">
        <v>45.698180636257682</v>
      </c>
      <c r="R100" s="1412">
        <v>43.17951152039354</v>
      </c>
    </row>
    <row r="101" spans="2:31" ht="10.5" x14ac:dyDescent="0.25">
      <c r="B101" s="1949" t="s">
        <v>245</v>
      </c>
      <c r="C101" s="1949" t="s">
        <v>437</v>
      </c>
      <c r="D101" s="779" t="s">
        <v>513</v>
      </c>
      <c r="E101" s="779" t="s">
        <v>22</v>
      </c>
      <c r="F101" s="2042" t="str">
        <f t="shared" si="13"/>
        <v>CWWTotal prescribed capexSewerage</v>
      </c>
      <c r="G101" s="779" t="s">
        <v>337</v>
      </c>
      <c r="H101" s="1207"/>
      <c r="I101" s="1412">
        <v>38.666367187500001</v>
      </c>
      <c r="J101" s="1412">
        <v>19.116290322580646</v>
      </c>
      <c r="K101" s="1412">
        <v>20.849225182457101</v>
      </c>
      <c r="L101" s="1412">
        <v>29.214221684575392</v>
      </c>
      <c r="M101" s="1412">
        <v>44.403743310885773</v>
      </c>
      <c r="N101" s="1412">
        <v>54.705503916985606</v>
      </c>
      <c r="O101" s="1412">
        <v>63.25982845924996</v>
      </c>
      <c r="P101" s="1412">
        <v>43.274614867950604</v>
      </c>
      <c r="Q101" s="1412">
        <v>37.587734929802849</v>
      </c>
      <c r="R101" s="1412">
        <v>40.391844737717847</v>
      </c>
    </row>
    <row r="102" spans="2:31" ht="10.5" x14ac:dyDescent="0.25">
      <c r="B102" s="1949" t="s">
        <v>245</v>
      </c>
      <c r="C102" s="1949" t="s">
        <v>437</v>
      </c>
      <c r="D102" s="779" t="s">
        <v>513</v>
      </c>
      <c r="E102" s="779" t="s">
        <v>275</v>
      </c>
      <c r="F102" s="2042" t="str">
        <f t="shared" si="13"/>
        <v>CWWTotal prescribed capexRecycled Water</v>
      </c>
      <c r="G102" s="779" t="s">
        <v>337</v>
      </c>
      <c r="H102" s="1207"/>
      <c r="I102" s="1412">
        <v>27.565649414062499</v>
      </c>
      <c r="J102" s="1412">
        <v>23.996532258064516</v>
      </c>
      <c r="K102" s="1412">
        <v>23.719709065753531</v>
      </c>
      <c r="L102" s="1412">
        <v>25.879615887112625</v>
      </c>
      <c r="M102" s="1412">
        <v>25.398743106596054</v>
      </c>
      <c r="N102" s="1412">
        <v>16.895200554290767</v>
      </c>
      <c r="O102" s="1412">
        <v>13.542810200390559</v>
      </c>
      <c r="P102" s="1412">
        <v>7.8528767964688324</v>
      </c>
      <c r="Q102" s="1412">
        <v>7.2717508300465097</v>
      </c>
      <c r="R102" s="1412">
        <v>6.5513960401804781</v>
      </c>
    </row>
    <row r="103" spans="2:31" ht="10.5" x14ac:dyDescent="0.25">
      <c r="B103" s="1949" t="s">
        <v>245</v>
      </c>
      <c r="C103" s="1949" t="s">
        <v>437</v>
      </c>
      <c r="D103" s="779" t="s">
        <v>513</v>
      </c>
      <c r="E103" s="779" t="s">
        <v>353</v>
      </c>
      <c r="F103" s="2042" t="str">
        <f t="shared" si="13"/>
        <v>CWWTotal prescribed capexRural Water</v>
      </c>
      <c r="G103" s="779" t="s">
        <v>337</v>
      </c>
      <c r="H103" s="1207"/>
      <c r="I103" s="1412">
        <v>0</v>
      </c>
      <c r="J103" s="1412">
        <v>0</v>
      </c>
      <c r="K103" s="1412">
        <v>0</v>
      </c>
      <c r="L103" s="1412">
        <v>0</v>
      </c>
      <c r="M103" s="1412">
        <v>0</v>
      </c>
      <c r="N103" s="1412">
        <v>0</v>
      </c>
      <c r="O103" s="1412">
        <v>0</v>
      </c>
      <c r="P103" s="1412">
        <v>0</v>
      </c>
      <c r="Q103" s="1412">
        <v>0</v>
      </c>
      <c r="R103" s="1412">
        <v>0</v>
      </c>
    </row>
    <row r="104" spans="2:31" ht="10.5" x14ac:dyDescent="0.25">
      <c r="B104" s="1949" t="s">
        <v>245</v>
      </c>
      <c r="C104" s="1949" t="s">
        <v>437</v>
      </c>
      <c r="D104" s="779" t="s">
        <v>513</v>
      </c>
      <c r="E104" s="779" t="s">
        <v>354</v>
      </c>
      <c r="F104" s="2042" t="str">
        <f t="shared" si="13"/>
        <v>CWWTotal prescribed capexBulk Water</v>
      </c>
      <c r="G104" s="779" t="s">
        <v>337</v>
      </c>
      <c r="H104" s="1207"/>
      <c r="I104" s="1412">
        <v>0</v>
      </c>
      <c r="J104" s="1412">
        <v>0</v>
      </c>
      <c r="K104" s="1412">
        <v>0</v>
      </c>
      <c r="L104" s="1412">
        <v>0</v>
      </c>
      <c r="M104" s="1412">
        <v>0</v>
      </c>
      <c r="N104" s="1412">
        <v>0</v>
      </c>
      <c r="O104" s="1412">
        <v>0</v>
      </c>
      <c r="P104" s="1412">
        <v>0</v>
      </c>
      <c r="Q104" s="1412">
        <v>0</v>
      </c>
      <c r="R104" s="1412">
        <v>0</v>
      </c>
    </row>
    <row r="105" spans="2:31" ht="10.5" x14ac:dyDescent="0.25">
      <c r="B105" s="1949" t="s">
        <v>245</v>
      </c>
      <c r="C105" s="1949" t="s">
        <v>437</v>
      </c>
      <c r="D105" s="779" t="s">
        <v>911</v>
      </c>
      <c r="E105" s="778"/>
      <c r="F105" s="2042" t="str">
        <f t="shared" si="13"/>
        <v>CWWTotal controllable opex</v>
      </c>
      <c r="G105" s="779" t="s">
        <v>337</v>
      </c>
      <c r="H105" s="1207"/>
      <c r="I105" s="1412">
        <v>100.8868986632813</v>
      </c>
      <c r="J105" s="1412">
        <v>101.01620191209682</v>
      </c>
      <c r="K105" s="1412">
        <v>104.37890725337088</v>
      </c>
      <c r="L105" s="1412">
        <v>99.07038007687072</v>
      </c>
      <c r="M105" s="1412">
        <v>101.40513774087813</v>
      </c>
      <c r="N105" s="1412">
        <v>105.0890108447815</v>
      </c>
      <c r="O105" s="1412">
        <v>105.91594979386188</v>
      </c>
      <c r="P105" s="1412">
        <v>106.30948732268172</v>
      </c>
      <c r="Q105" s="1412">
        <v>106.98487083571646</v>
      </c>
      <c r="R105" s="1412">
        <v>107.33864046525851</v>
      </c>
    </row>
    <row r="106" spans="2:31" x14ac:dyDescent="0.2">
      <c r="B106" s="1949"/>
      <c r="C106" s="1949"/>
    </row>
    <row r="107" spans="2:31" x14ac:dyDescent="0.2">
      <c r="B107" s="1949" t="s">
        <v>378</v>
      </c>
      <c r="C107" s="1949" t="s">
        <v>443</v>
      </c>
      <c r="D107" s="779" t="s">
        <v>909</v>
      </c>
      <c r="F107" s="2042" t="str">
        <f>C107&amp;D107&amp;E107</f>
        <v>CWRAV (Opening Base)</v>
      </c>
      <c r="G107" s="779" t="s">
        <v>337</v>
      </c>
      <c r="I107" s="1412">
        <v>358.57726467025662</v>
      </c>
      <c r="J107" s="1412">
        <v>396.1935323233007</v>
      </c>
      <c r="K107" s="1412">
        <v>419.90931385764389</v>
      </c>
      <c r="L107" s="1412">
        <v>466.59234447571095</v>
      </c>
      <c r="M107" s="1412">
        <v>481.43511636484953</v>
      </c>
      <c r="N107" s="1412">
        <v>496.30395179633865</v>
      </c>
      <c r="O107" s="1412">
        <v>496.14936404736767</v>
      </c>
      <c r="P107" s="1412">
        <v>495.00958982830406</v>
      </c>
      <c r="Q107" s="1412">
        <v>494.39015446957944</v>
      </c>
      <c r="R107" s="1412">
        <v>496.62570599440465</v>
      </c>
    </row>
    <row r="108" spans="2:31" x14ac:dyDescent="0.2">
      <c r="B108" s="1949" t="s">
        <v>378</v>
      </c>
      <c r="C108" s="1949" t="s">
        <v>443</v>
      </c>
      <c r="D108" s="779" t="s">
        <v>250</v>
      </c>
      <c r="F108" s="2042" t="str">
        <f t="shared" ref="F108:F117" si="14">C108&amp;D108&amp;E108</f>
        <v>CWRoA</v>
      </c>
      <c r="G108" s="779" t="s">
        <v>337</v>
      </c>
      <c r="I108" s="1412">
        <v>17.66505143047161</v>
      </c>
      <c r="J108" s="1412">
        <v>19.582312438188168</v>
      </c>
      <c r="K108" s="1412">
        <v>20.717276701607972</v>
      </c>
      <c r="L108" s="1412">
        <v>21.505754538151027</v>
      </c>
      <c r="M108" s="1412">
        <v>22.222947078965582</v>
      </c>
      <c r="N108" s="1412">
        <v>20.494160972172537</v>
      </c>
      <c r="O108" s="1412">
        <v>20.467432397532626</v>
      </c>
      <c r="P108" s="1412">
        <v>20.431104719751303</v>
      </c>
      <c r="Q108" s="1412">
        <v>20.46447751858128</v>
      </c>
      <c r="R108" s="1412">
        <v>20.519939201818804</v>
      </c>
      <c r="AD108" s="1215"/>
      <c r="AE108" s="1215"/>
    </row>
    <row r="109" spans="2:31" x14ac:dyDescent="0.2">
      <c r="B109" s="1949" t="s">
        <v>378</v>
      </c>
      <c r="C109" s="1949" t="s">
        <v>443</v>
      </c>
      <c r="D109" s="779" t="s">
        <v>256</v>
      </c>
      <c r="F109" s="2042" t="str">
        <f t="shared" si="14"/>
        <v>CWRevenue Req</v>
      </c>
      <c r="G109" s="779" t="s">
        <v>337</v>
      </c>
      <c r="I109" s="1412">
        <v>104.68897419604183</v>
      </c>
      <c r="J109" s="1412">
        <v>108.38774947594857</v>
      </c>
      <c r="K109" s="1412">
        <v>111.74137211264414</v>
      </c>
      <c r="L109" s="1412">
        <v>114.07390756715945</v>
      </c>
      <c r="M109" s="1412">
        <v>115.13806489992817</v>
      </c>
      <c r="N109" s="1412">
        <v>119.32300464685233</v>
      </c>
      <c r="O109" s="1412">
        <v>120.07057701844843</v>
      </c>
      <c r="P109" s="1412">
        <v>121.19975964044042</v>
      </c>
      <c r="Q109" s="1412">
        <v>121.85837494233627</v>
      </c>
      <c r="R109" s="1412">
        <v>123.24348563945017</v>
      </c>
    </row>
    <row r="110" spans="2:31" x14ac:dyDescent="0.2">
      <c r="B110" s="1949" t="s">
        <v>378</v>
      </c>
      <c r="C110" s="1949" t="s">
        <v>443</v>
      </c>
      <c r="D110" s="779" t="s">
        <v>248</v>
      </c>
      <c r="F110" s="2042" t="str">
        <f t="shared" si="14"/>
        <v>CWRegDepEx</v>
      </c>
      <c r="G110" s="779" t="s">
        <v>337</v>
      </c>
      <c r="I110" s="1412">
        <v>11.851425395290761</v>
      </c>
      <c r="J110" s="1412">
        <v>11.851425395290761</v>
      </c>
      <c r="K110" s="1412">
        <v>11.851425395290761</v>
      </c>
      <c r="L110" s="1412">
        <v>11.851425395290761</v>
      </c>
      <c r="M110" s="1412">
        <v>11.851425395290761</v>
      </c>
      <c r="N110" s="1412">
        <v>30.989961195015617</v>
      </c>
      <c r="O110" s="1412">
        <v>30.989961195015617</v>
      </c>
      <c r="P110" s="1412">
        <v>30.989961195015617</v>
      </c>
      <c r="Q110" s="1412">
        <v>30.989961195015617</v>
      </c>
      <c r="R110" s="1412">
        <v>30.989961195015617</v>
      </c>
    </row>
    <row r="111" spans="2:31" x14ac:dyDescent="0.2">
      <c r="B111" s="1949" t="s">
        <v>378</v>
      </c>
      <c r="C111" s="1949" t="s">
        <v>443</v>
      </c>
      <c r="D111" s="779" t="s">
        <v>249</v>
      </c>
      <c r="F111" s="2042" t="str">
        <f t="shared" si="14"/>
        <v>CWRegDepNew</v>
      </c>
      <c r="G111" s="779" t="s">
        <v>337</v>
      </c>
      <c r="I111" s="1412">
        <v>0.56317684355967823</v>
      </c>
      <c r="J111" s="1412">
        <v>1.8286153695595433</v>
      </c>
      <c r="K111" s="1412">
        <v>3.2543597177283075</v>
      </c>
      <c r="L111" s="1412">
        <v>4.3850770483340327</v>
      </c>
      <c r="M111" s="1412">
        <v>5.3751722961837904</v>
      </c>
      <c r="N111" s="1412">
        <v>0.53737415345156037</v>
      </c>
      <c r="O111" s="1412">
        <v>1.5932010871963045</v>
      </c>
      <c r="P111" s="1412">
        <v>2.6056560766399146</v>
      </c>
      <c r="Q111" s="1412">
        <v>3.6690449101383349</v>
      </c>
      <c r="R111" s="1412">
        <v>4.9795732829834041</v>
      </c>
    </row>
    <row r="112" spans="2:31" ht="10.5" x14ac:dyDescent="0.25">
      <c r="B112" s="1949" t="s">
        <v>378</v>
      </c>
      <c r="C112" s="1949" t="s">
        <v>443</v>
      </c>
      <c r="D112" s="779" t="s">
        <v>513</v>
      </c>
      <c r="E112" s="779" t="s">
        <v>21</v>
      </c>
      <c r="F112" s="2042" t="str">
        <f t="shared" si="14"/>
        <v>CWTotal prescribed capexWater</v>
      </c>
      <c r="G112" s="779" t="s">
        <v>337</v>
      </c>
      <c r="H112" s="1207"/>
      <c r="I112" s="1412">
        <v>25.482590543959962</v>
      </c>
      <c r="J112" s="1412">
        <v>21.410042214516125</v>
      </c>
      <c r="K112" s="1412">
        <v>20.697794185079591</v>
      </c>
      <c r="L112" s="1412">
        <v>18.221303211677444</v>
      </c>
      <c r="M112" s="1412">
        <v>16.15570928466245</v>
      </c>
      <c r="N112" s="1412">
        <v>18.658963313066781</v>
      </c>
      <c r="O112" s="1412">
        <v>24.083128700189125</v>
      </c>
      <c r="P112" s="1412">
        <v>22.399436958866215</v>
      </c>
      <c r="Q112" s="1412">
        <v>20.113521678011317</v>
      </c>
      <c r="R112" s="1412">
        <v>22.568765612601013</v>
      </c>
    </row>
    <row r="113" spans="2:31" ht="10.5" x14ac:dyDescent="0.25">
      <c r="B113" s="1949" t="s">
        <v>378</v>
      </c>
      <c r="C113" s="1949" t="s">
        <v>443</v>
      </c>
      <c r="D113" s="779" t="s">
        <v>513</v>
      </c>
      <c r="E113" s="779" t="s">
        <v>22</v>
      </c>
      <c r="F113" s="2042" t="str">
        <f t="shared" si="14"/>
        <v>CWTotal prescribed capexSewerage</v>
      </c>
      <c r="G113" s="779" t="s">
        <v>337</v>
      </c>
      <c r="H113" s="1207"/>
      <c r="I113" s="1412">
        <v>17.561112783461912</v>
      </c>
      <c r="J113" s="1412">
        <v>15.680727903225808</v>
      </c>
      <c r="K113" s="1412">
        <v>24.363238188682118</v>
      </c>
      <c r="L113" s="1412">
        <v>13.802239359098891</v>
      </c>
      <c r="M113" s="1412">
        <v>10.936188297086002</v>
      </c>
      <c r="N113" s="1412">
        <v>15.559597931486577</v>
      </c>
      <c r="O113" s="1412">
        <v>10.37600344153776</v>
      </c>
      <c r="P113" s="1412">
        <v>13.976730049095032</v>
      </c>
      <c r="Q113" s="1412">
        <v>18.937501699110012</v>
      </c>
      <c r="R113" s="1412">
        <v>18.838216750316253</v>
      </c>
    </row>
    <row r="114" spans="2:31" ht="10.5" x14ac:dyDescent="0.25">
      <c r="B114" s="1949" t="s">
        <v>378</v>
      </c>
      <c r="C114" s="1949" t="s">
        <v>443</v>
      </c>
      <c r="D114" s="779" t="s">
        <v>513</v>
      </c>
      <c r="E114" s="779" t="s">
        <v>275</v>
      </c>
      <c r="F114" s="2042" t="str">
        <f t="shared" si="14"/>
        <v>CWTotal prescribed capexRecycled Water</v>
      </c>
      <c r="G114" s="779" t="s">
        <v>337</v>
      </c>
      <c r="H114" s="1207"/>
      <c r="I114" s="1412">
        <v>2.0117780826025391</v>
      </c>
      <c r="J114" s="1412">
        <v>0.78314516129032252</v>
      </c>
      <c r="K114" s="1412">
        <v>0.62184878863529969</v>
      </c>
      <c r="L114" s="1412">
        <v>0.78319233184380777</v>
      </c>
      <c r="M114" s="1412">
        <v>1.7373335434017685</v>
      </c>
      <c r="N114" s="1412">
        <v>1.8126980799999999</v>
      </c>
      <c r="O114" s="1412">
        <v>0.81350447999999997</v>
      </c>
      <c r="P114" s="1412">
        <v>0.18949648000000002</v>
      </c>
      <c r="Q114" s="1412">
        <v>2.0296688000000001</v>
      </c>
      <c r="R114" s="1412">
        <v>0.18342079999999999</v>
      </c>
    </row>
    <row r="115" spans="2:31" ht="10.5" x14ac:dyDescent="0.25">
      <c r="B115" s="1949" t="s">
        <v>378</v>
      </c>
      <c r="C115" s="1949" t="s">
        <v>443</v>
      </c>
      <c r="D115" s="779" t="s">
        <v>513</v>
      </c>
      <c r="E115" s="779" t="s">
        <v>353</v>
      </c>
      <c r="F115" s="2042" t="str">
        <f t="shared" si="14"/>
        <v>CWTotal prescribed capexRural Water</v>
      </c>
      <c r="G115" s="779" t="s">
        <v>337</v>
      </c>
      <c r="H115" s="1207"/>
      <c r="I115" s="1412">
        <v>12.642405083432617</v>
      </c>
      <c r="J115" s="1412">
        <v>9.4008870967741931</v>
      </c>
      <c r="K115" s="1412">
        <v>19.750054069672284</v>
      </c>
      <c r="L115" s="1412">
        <v>3.8751544769547133</v>
      </c>
      <c r="M115" s="1412">
        <v>9.2001098381913327</v>
      </c>
      <c r="N115" s="1412">
        <v>0.74593733468972534</v>
      </c>
      <c r="O115" s="1412">
        <v>1.8775358468972536</v>
      </c>
      <c r="P115" s="1412">
        <v>1.9590118468972535</v>
      </c>
      <c r="Q115" s="1412">
        <v>1.4348216754832148</v>
      </c>
      <c r="R115" s="1412">
        <v>0.524451</v>
      </c>
    </row>
    <row r="116" spans="2:31" ht="10.5" x14ac:dyDescent="0.25">
      <c r="B116" s="1949" t="s">
        <v>378</v>
      </c>
      <c r="C116" s="1949" t="s">
        <v>443</v>
      </c>
      <c r="D116" s="779" t="s">
        <v>513</v>
      </c>
      <c r="E116" s="779" t="s">
        <v>354</v>
      </c>
      <c r="F116" s="2042" t="str">
        <f t="shared" si="14"/>
        <v>CWTotal prescribed capexBulk Water</v>
      </c>
      <c r="G116" s="779" t="s">
        <v>337</v>
      </c>
      <c r="H116" s="1207"/>
      <c r="I116" s="1412">
        <v>0</v>
      </c>
      <c r="J116" s="1412">
        <v>0</v>
      </c>
      <c r="K116" s="1412">
        <v>0</v>
      </c>
      <c r="L116" s="1412">
        <v>0</v>
      </c>
      <c r="M116" s="1412">
        <v>0</v>
      </c>
      <c r="N116" s="1412">
        <v>0</v>
      </c>
      <c r="O116" s="1412">
        <v>0</v>
      </c>
      <c r="P116" s="1412">
        <v>0</v>
      </c>
      <c r="Q116" s="1412">
        <v>0</v>
      </c>
      <c r="R116" s="1412">
        <v>0</v>
      </c>
    </row>
    <row r="117" spans="2:31" ht="10.5" x14ac:dyDescent="0.25">
      <c r="B117" s="1949" t="s">
        <v>378</v>
      </c>
      <c r="C117" s="1949" t="s">
        <v>443</v>
      </c>
      <c r="D117" s="779" t="s">
        <v>911</v>
      </c>
      <c r="E117" s="778"/>
      <c r="F117" s="2042" t="str">
        <f t="shared" si="14"/>
        <v>CWTotal controllable opex</v>
      </c>
      <c r="G117" s="779" t="s">
        <v>337</v>
      </c>
      <c r="H117" s="1207"/>
      <c r="I117" s="1412">
        <v>56.105192089843747</v>
      </c>
      <c r="J117" s="1412">
        <v>54.622578814516132</v>
      </c>
      <c r="K117" s="1412">
        <v>58.373198805038754</v>
      </c>
      <c r="L117" s="1412">
        <v>57.104309721950095</v>
      </c>
      <c r="M117" s="1412">
        <v>60.236634309999999</v>
      </c>
      <c r="N117" s="1412">
        <v>59.663399621726924</v>
      </c>
      <c r="O117" s="1412">
        <v>59.494678316573825</v>
      </c>
      <c r="P117" s="1412">
        <v>59.758000125383795</v>
      </c>
      <c r="Q117" s="1412">
        <v>59.429088502611194</v>
      </c>
      <c r="R117" s="1412">
        <v>59.518803132497283</v>
      </c>
    </row>
    <row r="118" spans="2:31" x14ac:dyDescent="0.2">
      <c r="B118" s="1949"/>
      <c r="C118" s="1949"/>
    </row>
    <row r="119" spans="2:31" x14ac:dyDescent="0.2">
      <c r="B119" s="1949" t="s">
        <v>381</v>
      </c>
      <c r="C119" s="1949" t="s">
        <v>444</v>
      </c>
      <c r="D119" s="779" t="s">
        <v>909</v>
      </c>
      <c r="F119" s="2042" t="str">
        <f>C119&amp;D119&amp;E119</f>
        <v>EGWRAV (Opening Base)</v>
      </c>
      <c r="G119" s="779" t="s">
        <v>337</v>
      </c>
      <c r="I119" s="1412">
        <v>140.24954630692699</v>
      </c>
      <c r="J119" s="1412">
        <v>144.59772643909923</v>
      </c>
      <c r="K119" s="1412">
        <v>143.14901726937674</v>
      </c>
      <c r="L119" s="1412">
        <v>144.11166289912367</v>
      </c>
      <c r="M119" s="1412">
        <v>145.50298635219031</v>
      </c>
      <c r="N119" s="1412">
        <v>146.72630855713402</v>
      </c>
      <c r="O119" s="1412">
        <v>149.02498426515353</v>
      </c>
      <c r="P119" s="1412">
        <v>156.9116178898397</v>
      </c>
      <c r="Q119" s="1412">
        <v>160.06312609785923</v>
      </c>
      <c r="R119" s="1412">
        <v>162.51451284541989</v>
      </c>
    </row>
    <row r="120" spans="2:31" x14ac:dyDescent="0.2">
      <c r="B120" s="1949" t="s">
        <v>381</v>
      </c>
      <c r="C120" s="1949" t="s">
        <v>444</v>
      </c>
      <c r="D120" s="779" t="s">
        <v>250</v>
      </c>
      <c r="F120" s="2042" t="str">
        <f t="shared" ref="F120:F129" si="15">C120&amp;D120&amp;E120</f>
        <v>EGWRoA</v>
      </c>
      <c r="G120" s="779" t="s">
        <v>337</v>
      </c>
      <c r="I120" s="1412">
        <v>6.1203336188143256</v>
      </c>
      <c r="J120" s="1412">
        <v>6.3511870943748718</v>
      </c>
      <c r="K120" s="1412">
        <v>6.5209200636187274</v>
      </c>
      <c r="L120" s="1412">
        <v>6.5346030439938279</v>
      </c>
      <c r="M120" s="1412">
        <v>6.5423381507463994</v>
      </c>
      <c r="N120" s="1412">
        <v>5.8706631625224075</v>
      </c>
      <c r="O120" s="1412">
        <v>6.0728415527766151</v>
      </c>
      <c r="P120" s="1412">
        <v>6.2919486681558228</v>
      </c>
      <c r="Q120" s="1412">
        <v>6.4031661330240892</v>
      </c>
      <c r="R120" s="1412">
        <v>6.5542119402315073</v>
      </c>
      <c r="AD120" s="1215"/>
      <c r="AE120" s="1215"/>
    </row>
    <row r="121" spans="2:31" x14ac:dyDescent="0.2">
      <c r="B121" s="1949" t="s">
        <v>381</v>
      </c>
      <c r="C121" s="1949" t="s">
        <v>444</v>
      </c>
      <c r="D121" s="779" t="s">
        <v>256</v>
      </c>
      <c r="F121" s="2042" t="str">
        <f t="shared" si="15"/>
        <v>EGWRevenue Req</v>
      </c>
      <c r="G121" s="779" t="s">
        <v>337</v>
      </c>
      <c r="I121" s="1412">
        <v>31.263057290839239</v>
      </c>
      <c r="J121" s="1412">
        <v>32.237048766012045</v>
      </c>
      <c r="K121" s="1412">
        <v>33.317467513850417</v>
      </c>
      <c r="L121" s="1412">
        <v>33.762609126666653</v>
      </c>
      <c r="M121" s="1412">
        <v>34.33846413420283</v>
      </c>
      <c r="N121" s="1412">
        <v>32.478474114106696</v>
      </c>
      <c r="O121" s="1412">
        <v>33.190621273043121</v>
      </c>
      <c r="P121" s="1412">
        <v>33.962686130417843</v>
      </c>
      <c r="Q121" s="1412">
        <v>34.990664369842172</v>
      </c>
      <c r="R121" s="1412">
        <v>35.287511119822597</v>
      </c>
    </row>
    <row r="122" spans="2:31" x14ac:dyDescent="0.2">
      <c r="B122" s="1949" t="s">
        <v>381</v>
      </c>
      <c r="C122" s="1949" t="s">
        <v>444</v>
      </c>
      <c r="D122" s="779" t="s">
        <v>248</v>
      </c>
      <c r="F122" s="2042" t="str">
        <f t="shared" si="15"/>
        <v>EGWRegDepEx</v>
      </c>
      <c r="G122" s="779" t="s">
        <v>337</v>
      </c>
      <c r="I122" s="1412">
        <v>6.2605605605605605</v>
      </c>
      <c r="J122" s="1412">
        <v>6.2605605605605605</v>
      </c>
      <c r="K122" s="1412">
        <v>6.2605605605605605</v>
      </c>
      <c r="L122" s="1412">
        <v>6.2605605605605605</v>
      </c>
      <c r="M122" s="1412">
        <v>6.2605605605605605</v>
      </c>
      <c r="N122" s="1412">
        <v>6.731126375313826</v>
      </c>
      <c r="O122" s="1412">
        <v>6.731126375313826</v>
      </c>
      <c r="P122" s="1412">
        <v>6.731126375313826</v>
      </c>
      <c r="Q122" s="1412">
        <v>6.6429103357726733</v>
      </c>
      <c r="R122" s="1412">
        <v>6.1850128496218746</v>
      </c>
    </row>
    <row r="123" spans="2:31" x14ac:dyDescent="0.2">
      <c r="B123" s="1949" t="s">
        <v>381</v>
      </c>
      <c r="C123" s="1949" t="s">
        <v>444</v>
      </c>
      <c r="D123" s="779" t="s">
        <v>249</v>
      </c>
      <c r="F123" s="2042" t="str">
        <f t="shared" si="15"/>
        <v>EGWRegDepNew</v>
      </c>
      <c r="G123" s="779" t="s">
        <v>337</v>
      </c>
      <c r="I123" s="1412">
        <v>0.22425930726719212</v>
      </c>
      <c r="J123" s="1412">
        <v>0.74058655982606802</v>
      </c>
      <c r="K123" s="1412">
        <v>1.2496938096925088</v>
      </c>
      <c r="L123" s="1412">
        <v>1.6522559863728215</v>
      </c>
      <c r="M123" s="1412">
        <v>2.0250647694926038</v>
      </c>
      <c r="N123" s="1412">
        <v>0.26319791666666664</v>
      </c>
      <c r="O123" s="1412">
        <v>0.82523999999999997</v>
      </c>
      <c r="P123" s="1412">
        <v>1.5133654166666661</v>
      </c>
      <c r="Q123" s="1412">
        <v>2.1397029166666663</v>
      </c>
      <c r="R123" s="1412">
        <v>2.6210133333333334</v>
      </c>
    </row>
    <row r="124" spans="2:31" ht="10.5" x14ac:dyDescent="0.25">
      <c r="B124" s="1949" t="s">
        <v>381</v>
      </c>
      <c r="C124" s="1949" t="s">
        <v>444</v>
      </c>
      <c r="D124" s="779" t="s">
        <v>513</v>
      </c>
      <c r="E124" s="779" t="s">
        <v>21</v>
      </c>
      <c r="F124" s="2042" t="str">
        <f t="shared" si="15"/>
        <v>EGWTotal prescribed capexWater</v>
      </c>
      <c r="G124" s="779" t="s">
        <v>337</v>
      </c>
      <c r="H124" s="1207"/>
      <c r="I124" s="1412">
        <v>6.351</v>
      </c>
      <c r="J124" s="1412">
        <v>3.0494000000000003</v>
      </c>
      <c r="K124" s="1412">
        <v>3.625</v>
      </c>
      <c r="L124" s="1412">
        <v>2.5419100000000001</v>
      </c>
      <c r="M124" s="1412">
        <v>2.8952327327327323</v>
      </c>
      <c r="N124" s="1412">
        <v>5.6355000000000004</v>
      </c>
      <c r="O124" s="1412">
        <v>10.076499999999999</v>
      </c>
      <c r="P124" s="1412">
        <v>6.1260000000000003</v>
      </c>
      <c r="Q124" s="1412">
        <v>5.7695000000000007</v>
      </c>
      <c r="R124" s="1412">
        <v>8.6045000000000016</v>
      </c>
    </row>
    <row r="125" spans="2:31" ht="10.5" x14ac:dyDescent="0.25">
      <c r="B125" s="1949" t="s">
        <v>381</v>
      </c>
      <c r="C125" s="1949" t="s">
        <v>444</v>
      </c>
      <c r="D125" s="779" t="s">
        <v>513</v>
      </c>
      <c r="E125" s="779" t="s">
        <v>22</v>
      </c>
      <c r="F125" s="2042" t="str">
        <f t="shared" si="15"/>
        <v>EGWTotal prescribed capexSewerage</v>
      </c>
      <c r="G125" s="779" t="s">
        <v>337</v>
      </c>
      <c r="H125" s="1207"/>
      <c r="I125" s="1412">
        <v>5.1989999999999998</v>
      </c>
      <c r="J125" s="1412">
        <v>3.3484411764705877</v>
      </c>
      <c r="K125" s="1412">
        <v>5.3908999999999994</v>
      </c>
      <c r="L125" s="1412">
        <v>7.0313400000000001</v>
      </c>
      <c r="M125" s="1412">
        <v>6.713714802264132</v>
      </c>
      <c r="N125" s="1412">
        <v>2.9365000000000001</v>
      </c>
      <c r="O125" s="1412">
        <v>3.6105</v>
      </c>
      <c r="P125" s="1412">
        <v>2.9819999999999998</v>
      </c>
      <c r="Q125" s="1412">
        <v>3.6095000000000002</v>
      </c>
      <c r="R125" s="1412">
        <v>3.1955</v>
      </c>
    </row>
    <row r="126" spans="2:31" ht="10.5" x14ac:dyDescent="0.25">
      <c r="B126" s="1949" t="s">
        <v>381</v>
      </c>
      <c r="C126" s="1949" t="s">
        <v>444</v>
      </c>
      <c r="D126" s="779" t="s">
        <v>513</v>
      </c>
      <c r="E126" s="779" t="s">
        <v>275</v>
      </c>
      <c r="F126" s="2042" t="str">
        <f t="shared" si="15"/>
        <v>EGWTotal prescribed capexRecycled Water</v>
      </c>
      <c r="G126" s="779" t="s">
        <v>337</v>
      </c>
      <c r="H126" s="1207"/>
      <c r="I126" s="1412">
        <v>0</v>
      </c>
      <c r="J126" s="1412">
        <v>0</v>
      </c>
      <c r="K126" s="1412">
        <v>0</v>
      </c>
      <c r="L126" s="1412">
        <v>0</v>
      </c>
      <c r="M126" s="1412">
        <v>0</v>
      </c>
      <c r="N126" s="1412">
        <v>0.82099999999999995</v>
      </c>
      <c r="O126" s="1412">
        <v>1.8559999999999999</v>
      </c>
      <c r="P126" s="1412">
        <v>2.3879999999999999</v>
      </c>
      <c r="Q126" s="1412">
        <v>1.9550000000000001</v>
      </c>
      <c r="R126" s="1412">
        <v>2.2640000000000002</v>
      </c>
    </row>
    <row r="127" spans="2:31" ht="10.5" x14ac:dyDescent="0.25">
      <c r="B127" s="1949" t="s">
        <v>381</v>
      </c>
      <c r="C127" s="1949" t="s">
        <v>444</v>
      </c>
      <c r="D127" s="779" t="s">
        <v>513</v>
      </c>
      <c r="E127" s="779" t="s">
        <v>353</v>
      </c>
      <c r="F127" s="2042" t="str">
        <f t="shared" si="15"/>
        <v>EGWTotal prescribed capexRural Water</v>
      </c>
      <c r="G127" s="779" t="s">
        <v>337</v>
      </c>
      <c r="H127" s="1207"/>
      <c r="I127" s="1412">
        <v>0</v>
      </c>
      <c r="J127" s="1412">
        <v>0</v>
      </c>
      <c r="K127" s="1412">
        <v>0</v>
      </c>
      <c r="L127" s="1412">
        <v>0</v>
      </c>
      <c r="M127" s="1412">
        <v>0</v>
      </c>
      <c r="N127" s="1412">
        <v>0</v>
      </c>
      <c r="O127" s="1412">
        <v>0</v>
      </c>
      <c r="P127" s="1412">
        <v>0</v>
      </c>
      <c r="Q127" s="1412">
        <v>0</v>
      </c>
      <c r="R127" s="1412">
        <v>0</v>
      </c>
    </row>
    <row r="128" spans="2:31" ht="10.5" x14ac:dyDescent="0.25">
      <c r="B128" s="1949" t="s">
        <v>381</v>
      </c>
      <c r="C128" s="1949" t="s">
        <v>444</v>
      </c>
      <c r="D128" s="779" t="s">
        <v>513</v>
      </c>
      <c r="E128" s="779" t="s">
        <v>354</v>
      </c>
      <c r="F128" s="2042" t="str">
        <f t="shared" si="15"/>
        <v>EGWTotal prescribed capexBulk Water</v>
      </c>
      <c r="G128" s="779" t="s">
        <v>337</v>
      </c>
      <c r="H128" s="1207"/>
      <c r="I128" s="1412">
        <v>0</v>
      </c>
      <c r="J128" s="1412">
        <v>0</v>
      </c>
      <c r="K128" s="1412">
        <v>0</v>
      </c>
      <c r="L128" s="1412">
        <v>0</v>
      </c>
      <c r="M128" s="1412">
        <v>0</v>
      </c>
      <c r="N128" s="1412">
        <v>0</v>
      </c>
      <c r="O128" s="1412">
        <v>0</v>
      </c>
      <c r="P128" s="1412">
        <v>0</v>
      </c>
      <c r="Q128" s="1412">
        <v>0</v>
      </c>
      <c r="R128" s="1412">
        <v>0</v>
      </c>
    </row>
    <row r="129" spans="2:31" ht="10.5" x14ac:dyDescent="0.25">
      <c r="B129" s="1949" t="s">
        <v>381</v>
      </c>
      <c r="C129" s="1949" t="s">
        <v>444</v>
      </c>
      <c r="D129" s="779" t="s">
        <v>911</v>
      </c>
      <c r="E129" s="778"/>
      <c r="F129" s="2042" t="str">
        <f t="shared" si="15"/>
        <v>EGWTotal controllable opex</v>
      </c>
      <c r="G129" s="779" t="s">
        <v>337</v>
      </c>
      <c r="H129" s="1207"/>
      <c r="I129" s="1412">
        <v>17.573</v>
      </c>
      <c r="J129" s="1412">
        <v>17.167999999999999</v>
      </c>
      <c r="K129" s="1412">
        <v>17.915299999999998</v>
      </c>
      <c r="L129" s="1412">
        <v>18.771720000000002</v>
      </c>
      <c r="M129" s="1412">
        <v>19.380000000000003</v>
      </c>
      <c r="N129" s="1412">
        <v>18.260999999999999</v>
      </c>
      <c r="O129" s="1412">
        <v>18.242000000000001</v>
      </c>
      <c r="P129" s="1412">
        <v>17.757000000000001</v>
      </c>
      <c r="Q129" s="1412">
        <v>17.754000000000001</v>
      </c>
      <c r="R129" s="1412">
        <v>17.912000000000003</v>
      </c>
    </row>
    <row r="130" spans="2:31" x14ac:dyDescent="0.2">
      <c r="B130" s="1949"/>
      <c r="C130" s="1949"/>
    </row>
    <row r="131" spans="2:31" x14ac:dyDescent="0.2">
      <c r="B131" s="1949" t="s">
        <v>383</v>
      </c>
      <c r="C131" s="1949" t="s">
        <v>445</v>
      </c>
      <c r="D131" s="779" t="s">
        <v>909</v>
      </c>
      <c r="F131" s="2042" t="str">
        <f>C131&amp;D131&amp;E131</f>
        <v>GVWRAV (Opening Base)</v>
      </c>
      <c r="G131" s="779" t="s">
        <v>337</v>
      </c>
      <c r="I131" s="1412">
        <v>277.81255069037621</v>
      </c>
      <c r="J131" s="1412">
        <v>289.77026521991598</v>
      </c>
      <c r="K131" s="1412">
        <v>307.85270312099397</v>
      </c>
      <c r="L131" s="1412">
        <v>320.20551595616513</v>
      </c>
      <c r="M131" s="1412">
        <v>337.88409652998399</v>
      </c>
      <c r="N131" s="1412">
        <v>351.42037257343918</v>
      </c>
      <c r="O131" s="1412">
        <v>367.29395148720687</v>
      </c>
      <c r="P131" s="1412">
        <v>384.89393939643583</v>
      </c>
      <c r="Q131" s="1412">
        <v>401.02523566336106</v>
      </c>
      <c r="R131" s="1412">
        <v>409.35018478124323</v>
      </c>
    </row>
    <row r="132" spans="2:31" x14ac:dyDescent="0.2">
      <c r="B132" s="1949" t="s">
        <v>383</v>
      </c>
      <c r="C132" s="1949" t="s">
        <v>445</v>
      </c>
      <c r="D132" s="779" t="s">
        <v>250</v>
      </c>
      <c r="F132" s="2042" t="str">
        <f t="shared" ref="F132:F141" si="16">C132&amp;D132&amp;E132</f>
        <v>GVWRoA</v>
      </c>
      <c r="G132" s="779" t="s">
        <v>337</v>
      </c>
      <c r="I132" s="1412">
        <v>12.809298857981942</v>
      </c>
      <c r="J132" s="1412">
        <v>13.70377359577895</v>
      </c>
      <c r="K132" s="1412">
        <v>14.596709348042753</v>
      </c>
      <c r="L132" s="1412">
        <v>15.423509767087371</v>
      </c>
      <c r="M132" s="1412">
        <v>16.098250926561619</v>
      </c>
      <c r="N132" s="1412">
        <v>15.41642225110086</v>
      </c>
      <c r="O132" s="1412">
        <v>16.134430259454135</v>
      </c>
      <c r="P132" s="1412">
        <v>16.857966305032644</v>
      </c>
      <c r="Q132" s="1412">
        <v>17.382552768536762</v>
      </c>
      <c r="R132" s="1412">
        <v>17.813777703218015</v>
      </c>
      <c r="AD132" s="1215"/>
      <c r="AE132" s="1215"/>
    </row>
    <row r="133" spans="2:31" x14ac:dyDescent="0.2">
      <c r="B133" s="1949" t="s">
        <v>383</v>
      </c>
      <c r="C133" s="1949" t="s">
        <v>445</v>
      </c>
      <c r="D133" s="779" t="s">
        <v>256</v>
      </c>
      <c r="F133" s="2042" t="str">
        <f t="shared" si="16"/>
        <v>GVWRevenue Req</v>
      </c>
      <c r="G133" s="779" t="s">
        <v>337</v>
      </c>
      <c r="I133" s="1412">
        <v>69.501488030189378</v>
      </c>
      <c r="J133" s="1412">
        <v>70.093984290521064</v>
      </c>
      <c r="K133" s="1412">
        <v>71.146702175381108</v>
      </c>
      <c r="L133" s="1412">
        <v>73.474224601859021</v>
      </c>
      <c r="M133" s="1412">
        <v>74.75931245447623</v>
      </c>
      <c r="N133" s="1412">
        <v>72.317814166927676</v>
      </c>
      <c r="O133" s="1412">
        <v>73.89689943630222</v>
      </c>
      <c r="P133" s="1412">
        <v>75.518159966708637</v>
      </c>
      <c r="Q133" s="1412">
        <v>77.078090279992125</v>
      </c>
      <c r="R133" s="1412">
        <v>76.359575545372778</v>
      </c>
    </row>
    <row r="134" spans="2:31" x14ac:dyDescent="0.2">
      <c r="B134" s="1949" t="s">
        <v>383</v>
      </c>
      <c r="C134" s="1949" t="s">
        <v>445</v>
      </c>
      <c r="D134" s="779" t="s">
        <v>248</v>
      </c>
      <c r="F134" s="2042" t="str">
        <f t="shared" si="16"/>
        <v>GVWRegDepEx</v>
      </c>
      <c r="G134" s="779" t="s">
        <v>337</v>
      </c>
      <c r="I134" s="1412">
        <v>9.1528084335066406</v>
      </c>
      <c r="J134" s="1412">
        <v>9.1528084335066406</v>
      </c>
      <c r="K134" s="1412">
        <v>9.1528084335066406</v>
      </c>
      <c r="L134" s="1412">
        <v>9.1528084335066406</v>
      </c>
      <c r="M134" s="1412">
        <v>9.1528084335066406</v>
      </c>
      <c r="N134" s="1412">
        <v>10.675951548638302</v>
      </c>
      <c r="O134" s="1412">
        <v>10.675951548638302</v>
      </c>
      <c r="P134" s="1412">
        <v>10.630085681234032</v>
      </c>
      <c r="Q134" s="1412">
        <v>10.584219813829762</v>
      </c>
      <c r="R134" s="1412">
        <v>9.2830604548433815</v>
      </c>
    </row>
    <row r="135" spans="2:31" x14ac:dyDescent="0.2">
      <c r="B135" s="1949" t="s">
        <v>383</v>
      </c>
      <c r="C135" s="1949" t="s">
        <v>445</v>
      </c>
      <c r="D135" s="779" t="s">
        <v>249</v>
      </c>
      <c r="F135" s="2042" t="str">
        <f t="shared" si="16"/>
        <v>GVWRegDepNew</v>
      </c>
      <c r="G135" s="779" t="s">
        <v>337</v>
      </c>
      <c r="I135" s="1412">
        <v>0.39165703695362031</v>
      </c>
      <c r="J135" s="1412">
        <v>1.0701436654154153</v>
      </c>
      <c r="K135" s="1412">
        <v>1.9507987313222315</v>
      </c>
      <c r="L135" s="1412">
        <v>2.8820809926744926</v>
      </c>
      <c r="M135" s="1412">
        <v>3.6920336411563079</v>
      </c>
      <c r="N135" s="1412">
        <v>0.37127953759398508</v>
      </c>
      <c r="O135" s="1412">
        <v>1.1823305421327714</v>
      </c>
      <c r="P135" s="1412">
        <v>2.279858051840729</v>
      </c>
      <c r="Q135" s="1412">
        <v>3.4297910682880985</v>
      </c>
      <c r="R135" s="1412">
        <v>4.3209621044723097</v>
      </c>
    </row>
    <row r="136" spans="2:31" ht="10.5" x14ac:dyDescent="0.25">
      <c r="B136" s="1949" t="s">
        <v>383</v>
      </c>
      <c r="C136" s="1949" t="s">
        <v>445</v>
      </c>
      <c r="D136" s="779" t="s">
        <v>513</v>
      </c>
      <c r="E136" s="779" t="s">
        <v>21</v>
      </c>
      <c r="F136" s="2042" t="str">
        <f t="shared" si="16"/>
        <v>GVWTotal prescribed capexWater</v>
      </c>
      <c r="G136" s="779" t="s">
        <v>337</v>
      </c>
      <c r="H136" s="1207"/>
      <c r="I136" s="1412">
        <v>13.631209999999999</v>
      </c>
      <c r="J136" s="1412">
        <v>25.209510000000002</v>
      </c>
      <c r="K136" s="1412">
        <v>14.92061</v>
      </c>
      <c r="L136" s="1412">
        <v>20.732530000000001</v>
      </c>
      <c r="M136" s="1412">
        <v>21.584554554554554</v>
      </c>
      <c r="N136" s="1412">
        <v>16.208000000000002</v>
      </c>
      <c r="O136" s="1412">
        <v>15.466000000000001</v>
      </c>
      <c r="P136" s="1412">
        <v>16.762</v>
      </c>
      <c r="Q136" s="1412">
        <v>17.462</v>
      </c>
      <c r="R136" s="1412">
        <v>16.535000000000004</v>
      </c>
    </row>
    <row r="137" spans="2:31" ht="10.5" x14ac:dyDescent="0.25">
      <c r="B137" s="1949" t="s">
        <v>383</v>
      </c>
      <c r="C137" s="1949" t="s">
        <v>445</v>
      </c>
      <c r="D137" s="779" t="s">
        <v>513</v>
      </c>
      <c r="E137" s="779" t="s">
        <v>22</v>
      </c>
      <c r="F137" s="2042" t="str">
        <f t="shared" si="16"/>
        <v>GVWTotal prescribed capexSewerage</v>
      </c>
      <c r="G137" s="779" t="s">
        <v>337</v>
      </c>
      <c r="H137" s="1207"/>
      <c r="I137" s="1412">
        <v>10.34535</v>
      </c>
      <c r="J137" s="1412">
        <v>6.7641900000000001</v>
      </c>
      <c r="K137" s="1412">
        <v>11.83323</v>
      </c>
      <c r="L137" s="1412">
        <v>13.445870000000001</v>
      </c>
      <c r="M137" s="1412">
        <v>7.4385635635635632</v>
      </c>
      <c r="N137" s="1412">
        <v>12.922000000000001</v>
      </c>
      <c r="O137" s="1412">
        <v>16.706</v>
      </c>
      <c r="P137" s="1412">
        <v>14.548999999999999</v>
      </c>
      <c r="Q137" s="1412">
        <v>7.1869999999999994</v>
      </c>
      <c r="R137" s="1412">
        <v>11.213000000000001</v>
      </c>
    </row>
    <row r="138" spans="2:31" ht="10.5" x14ac:dyDescent="0.25">
      <c r="B138" s="1949" t="s">
        <v>383</v>
      </c>
      <c r="C138" s="1949" t="s">
        <v>445</v>
      </c>
      <c r="D138" s="779" t="s">
        <v>513</v>
      </c>
      <c r="E138" s="779" t="s">
        <v>275</v>
      </c>
      <c r="F138" s="2042" t="str">
        <f t="shared" si="16"/>
        <v>GVWTotal prescribed capexRecycled Water</v>
      </c>
      <c r="G138" s="779" t="s">
        <v>337</v>
      </c>
      <c r="H138" s="1207"/>
      <c r="I138" s="1412">
        <v>0</v>
      </c>
      <c r="J138" s="1412">
        <v>0</v>
      </c>
      <c r="K138" s="1412">
        <v>0</v>
      </c>
      <c r="L138" s="1412">
        <v>0</v>
      </c>
      <c r="M138" s="1412">
        <v>0</v>
      </c>
      <c r="N138" s="1412">
        <v>0</v>
      </c>
      <c r="O138" s="1412">
        <v>0</v>
      </c>
      <c r="P138" s="1412">
        <v>0</v>
      </c>
      <c r="Q138" s="1412">
        <v>0</v>
      </c>
      <c r="R138" s="1412">
        <v>0</v>
      </c>
    </row>
    <row r="139" spans="2:31" ht="10.5" x14ac:dyDescent="0.25">
      <c r="B139" s="1949" t="s">
        <v>383</v>
      </c>
      <c r="C139" s="1949" t="s">
        <v>445</v>
      </c>
      <c r="D139" s="779" t="s">
        <v>513</v>
      </c>
      <c r="E139" s="779" t="s">
        <v>353</v>
      </c>
      <c r="F139" s="2042" t="str">
        <f t="shared" si="16"/>
        <v>GVWTotal prescribed capexRural Water</v>
      </c>
      <c r="G139" s="779" t="s">
        <v>337</v>
      </c>
      <c r="H139" s="1207"/>
      <c r="I139" s="1412">
        <v>0</v>
      </c>
      <c r="J139" s="1412">
        <v>0</v>
      </c>
      <c r="K139" s="1412">
        <v>0</v>
      </c>
      <c r="L139" s="1412">
        <v>0</v>
      </c>
      <c r="M139" s="1412">
        <v>0</v>
      </c>
      <c r="N139" s="1412">
        <v>0</v>
      </c>
      <c r="O139" s="1412">
        <v>0</v>
      </c>
      <c r="P139" s="1412">
        <v>0</v>
      </c>
      <c r="Q139" s="1412">
        <v>0</v>
      </c>
      <c r="R139" s="1412">
        <v>0</v>
      </c>
    </row>
    <row r="140" spans="2:31" ht="10.5" x14ac:dyDescent="0.25">
      <c r="B140" s="1949" t="s">
        <v>383</v>
      </c>
      <c r="C140" s="1949" t="s">
        <v>445</v>
      </c>
      <c r="D140" s="779" t="s">
        <v>513</v>
      </c>
      <c r="E140" s="779" t="s">
        <v>354</v>
      </c>
      <c r="F140" s="2042" t="str">
        <f t="shared" si="16"/>
        <v>GVWTotal prescribed capexBulk Water</v>
      </c>
      <c r="G140" s="779" t="s">
        <v>337</v>
      </c>
      <c r="H140" s="1207"/>
      <c r="I140" s="1412">
        <v>0</v>
      </c>
      <c r="J140" s="1412">
        <v>0</v>
      </c>
      <c r="K140" s="1412">
        <v>0</v>
      </c>
      <c r="L140" s="1412">
        <v>0</v>
      </c>
      <c r="M140" s="1412">
        <v>0</v>
      </c>
      <c r="N140" s="1412">
        <v>0</v>
      </c>
      <c r="O140" s="1412">
        <v>0</v>
      </c>
      <c r="P140" s="1412">
        <v>0</v>
      </c>
      <c r="Q140" s="1412">
        <v>0</v>
      </c>
      <c r="R140" s="1412">
        <v>0</v>
      </c>
    </row>
    <row r="141" spans="2:31" ht="10.5" x14ac:dyDescent="0.25">
      <c r="B141" s="1949" t="s">
        <v>383</v>
      </c>
      <c r="C141" s="1949" t="s">
        <v>445</v>
      </c>
      <c r="D141" s="779" t="s">
        <v>911</v>
      </c>
      <c r="E141" s="778"/>
      <c r="F141" s="2042" t="str">
        <f t="shared" si="16"/>
        <v>GVWTotal controllable opex</v>
      </c>
      <c r="G141" s="779" t="s">
        <v>337</v>
      </c>
      <c r="H141" s="1207"/>
      <c r="I141" s="1412">
        <v>39.341900000000003</v>
      </c>
      <c r="J141" s="1412">
        <v>39.232759999999999</v>
      </c>
      <c r="K141" s="1412">
        <v>41.796510000000005</v>
      </c>
      <c r="L141" s="1412">
        <v>44.222469999999994</v>
      </c>
      <c r="M141" s="1412">
        <v>43.455039999999997</v>
      </c>
      <c r="N141" s="1412">
        <v>41.754677805685795</v>
      </c>
      <c r="O141" s="1412">
        <v>41.871783207210129</v>
      </c>
      <c r="P141" s="1412">
        <v>41.754706133009918</v>
      </c>
      <c r="Q141" s="1412">
        <v>41.742251473498591</v>
      </c>
      <c r="R141" s="1412">
        <v>41.095263257479935</v>
      </c>
    </row>
    <row r="142" spans="2:31" x14ac:dyDescent="0.2">
      <c r="B142" s="1949"/>
      <c r="C142" s="1949"/>
    </row>
    <row r="143" spans="2:31" x14ac:dyDescent="0.2">
      <c r="B143" s="1949" t="s">
        <v>246</v>
      </c>
      <c r="C143" s="1949" t="s">
        <v>438</v>
      </c>
      <c r="D143" s="779" t="s">
        <v>909</v>
      </c>
      <c r="F143" s="2042" t="str">
        <f>C143&amp;D143&amp;E143</f>
        <v>SEWRAV (Opening Base)</v>
      </c>
      <c r="G143" s="779" t="s">
        <v>337</v>
      </c>
      <c r="I143" s="1412">
        <v>2903.9747410494479</v>
      </c>
      <c r="J143" s="1412">
        <v>3061.6826088475927</v>
      </c>
      <c r="K143" s="1412">
        <v>3204.407563373084</v>
      </c>
      <c r="L143" s="1412">
        <v>3239.8224923135085</v>
      </c>
      <c r="M143" s="1412">
        <v>3289.8638001535178</v>
      </c>
      <c r="N143" s="1412">
        <v>3342.7940731897165</v>
      </c>
      <c r="O143" s="1412">
        <v>3468.9613884142459</v>
      </c>
      <c r="P143" s="1412">
        <v>3592.9131951538402</v>
      </c>
      <c r="Q143" s="1412">
        <v>3661.9896417420714</v>
      </c>
      <c r="R143" s="1412">
        <v>3762.6670447002816</v>
      </c>
    </row>
    <row r="144" spans="2:31" x14ac:dyDescent="0.2">
      <c r="B144" s="1949" t="s">
        <v>246</v>
      </c>
      <c r="C144" s="1949" t="s">
        <v>438</v>
      </c>
      <c r="D144" s="779" t="s">
        <v>250</v>
      </c>
      <c r="F144" s="2042" t="str">
        <f t="shared" ref="F144:F153" si="17">C144&amp;D144&amp;E144</f>
        <v>SEWRoA</v>
      </c>
      <c r="G144" s="779" t="s">
        <v>337</v>
      </c>
      <c r="I144" s="1412">
        <v>134.49139494858747</v>
      </c>
      <c r="J144" s="1412">
        <v>144.05577499556179</v>
      </c>
      <c r="K144" s="1412">
        <v>152.03188211903958</v>
      </c>
      <c r="L144" s="1412">
        <v>158.38671713066927</v>
      </c>
      <c r="M144" s="1412">
        <v>163.85386297002691</v>
      </c>
      <c r="N144" s="1412">
        <v>140.66275028212183</v>
      </c>
      <c r="O144" s="1412">
        <v>145.82771015068101</v>
      </c>
      <c r="P144" s="1412">
        <v>149.81374358190061</v>
      </c>
      <c r="Q144" s="1412">
        <v>153.31916057503463</v>
      </c>
      <c r="R144" s="1412">
        <v>156.83984493667941</v>
      </c>
      <c r="AD144" s="1215"/>
      <c r="AE144" s="1215"/>
    </row>
    <row r="145" spans="2:31" x14ac:dyDescent="0.2">
      <c r="B145" s="1949" t="s">
        <v>246</v>
      </c>
      <c r="C145" s="1949" t="s">
        <v>438</v>
      </c>
      <c r="D145" s="779" t="s">
        <v>256</v>
      </c>
      <c r="F145" s="2042" t="str">
        <f t="shared" si="17"/>
        <v>SEWRevenue Req</v>
      </c>
      <c r="G145" s="779" t="s">
        <v>337</v>
      </c>
      <c r="I145" s="1412">
        <v>904.10460252591952</v>
      </c>
      <c r="J145" s="1412">
        <v>920.06871698861664</v>
      </c>
      <c r="K145" s="1412">
        <v>931.19140233456312</v>
      </c>
      <c r="L145" s="1412">
        <v>944.48812507055766</v>
      </c>
      <c r="M145" s="1412">
        <v>953.42102840445784</v>
      </c>
      <c r="N145" s="1412">
        <v>880.48000400369085</v>
      </c>
      <c r="O145" s="1412">
        <v>889.57751189153271</v>
      </c>
      <c r="P145" s="1412">
        <v>892.76023205778642</v>
      </c>
      <c r="Q145" s="1412">
        <v>904.21383242554077</v>
      </c>
      <c r="R145" s="1412">
        <v>916.01734070498844</v>
      </c>
    </row>
    <row r="146" spans="2:31" x14ac:dyDescent="0.2">
      <c r="B146" s="1949" t="s">
        <v>246</v>
      </c>
      <c r="C146" s="1949" t="s">
        <v>438</v>
      </c>
      <c r="D146" s="779" t="s">
        <v>248</v>
      </c>
      <c r="F146" s="2042" t="str">
        <f t="shared" si="17"/>
        <v>SEWRegDepEx</v>
      </c>
      <c r="G146" s="779" t="s">
        <v>337</v>
      </c>
      <c r="I146" s="1412">
        <v>42.622553714371932</v>
      </c>
      <c r="J146" s="1412">
        <v>42.622553714371932</v>
      </c>
      <c r="K146" s="1412">
        <v>42.622553714371932</v>
      </c>
      <c r="L146" s="1412">
        <v>42.622553714371932</v>
      </c>
      <c r="M146" s="1412">
        <v>42.622553714371932</v>
      </c>
      <c r="N146" s="1412">
        <v>54.971124374111433</v>
      </c>
      <c r="O146" s="1412">
        <v>54.971124374111433</v>
      </c>
      <c r="P146" s="1412">
        <v>54.971124374111433</v>
      </c>
      <c r="Q146" s="1412">
        <v>54.971124374111433</v>
      </c>
      <c r="R146" s="1412">
        <v>54.971124374111433</v>
      </c>
    </row>
    <row r="147" spans="2:31" x14ac:dyDescent="0.2">
      <c r="B147" s="1949" t="s">
        <v>246</v>
      </c>
      <c r="C147" s="1949" t="s">
        <v>438</v>
      </c>
      <c r="D147" s="779" t="s">
        <v>249</v>
      </c>
      <c r="F147" s="2042" t="str">
        <f t="shared" si="17"/>
        <v>SEWRegDepNew</v>
      </c>
      <c r="G147" s="779" t="s">
        <v>337</v>
      </c>
      <c r="I147" s="1412">
        <v>4.5371538428543028</v>
      </c>
      <c r="J147" s="1412">
        <v>13.610360872233764</v>
      </c>
      <c r="K147" s="1412">
        <v>21.998650617160479</v>
      </c>
      <c r="L147" s="1412">
        <v>28.508273380923765</v>
      </c>
      <c r="M147" s="1412">
        <v>32.715023799101346</v>
      </c>
      <c r="N147" s="1412">
        <v>3.9759139403939687</v>
      </c>
      <c r="O147" s="1412">
        <v>12.04179852332105</v>
      </c>
      <c r="P147" s="1412">
        <v>20.496290105562544</v>
      </c>
      <c r="Q147" s="1412">
        <v>28.514928927660328</v>
      </c>
      <c r="R147" s="1412">
        <v>35.82023179344727</v>
      </c>
    </row>
    <row r="148" spans="2:31" ht="10.5" x14ac:dyDescent="0.25">
      <c r="B148" s="1949" t="s">
        <v>246</v>
      </c>
      <c r="C148" s="1949" t="s">
        <v>438</v>
      </c>
      <c r="D148" s="779" t="s">
        <v>513</v>
      </c>
      <c r="E148" s="779" t="s">
        <v>21</v>
      </c>
      <c r="F148" s="2042" t="str">
        <f t="shared" si="17"/>
        <v>SEWTotal prescribed capexWater</v>
      </c>
      <c r="G148" s="779" t="s">
        <v>337</v>
      </c>
      <c r="H148" s="1207"/>
      <c r="I148" s="1412">
        <v>48.16138183593749</v>
      </c>
      <c r="J148" s="1412">
        <v>49.884354838709676</v>
      </c>
      <c r="K148" s="1412">
        <v>33.307265917602997</v>
      </c>
      <c r="L148" s="1412">
        <v>35.189450092421438</v>
      </c>
      <c r="M148" s="1412">
        <v>42.64818397120537</v>
      </c>
      <c r="N148" s="1412">
        <v>72.727703282711147</v>
      </c>
      <c r="O148" s="1412">
        <v>59.389348458834775</v>
      </c>
      <c r="P148" s="1412">
        <v>56.429474989563467</v>
      </c>
      <c r="Q148" s="1412">
        <v>62.968783720714541</v>
      </c>
      <c r="R148" s="1412">
        <v>58.894867538868922</v>
      </c>
    </row>
    <row r="149" spans="2:31" ht="10.5" x14ac:dyDescent="0.25">
      <c r="B149" s="1949" t="s">
        <v>246</v>
      </c>
      <c r="C149" s="1949" t="s">
        <v>438</v>
      </c>
      <c r="D149" s="779" t="s">
        <v>513</v>
      </c>
      <c r="E149" s="779" t="s">
        <v>22</v>
      </c>
      <c r="F149" s="2042" t="str">
        <f t="shared" si="17"/>
        <v>SEWTotal prescribed capexSewerage</v>
      </c>
      <c r="G149" s="779" t="s">
        <v>337</v>
      </c>
      <c r="H149" s="1207"/>
      <c r="I149" s="1412">
        <v>165.8935205078125</v>
      </c>
      <c r="J149" s="1412">
        <v>167.30895161290323</v>
      </c>
      <c r="K149" s="1412">
        <v>110.14615168539326</v>
      </c>
      <c r="L149" s="1412">
        <v>125.10805914972272</v>
      </c>
      <c r="M149" s="1412">
        <v>121.44841376336056</v>
      </c>
      <c r="N149" s="1412">
        <v>169.17350198165505</v>
      </c>
      <c r="O149" s="1412">
        <v>180.85656473570418</v>
      </c>
      <c r="P149" s="1412">
        <v>129.68952825370999</v>
      </c>
      <c r="Q149" s="1412">
        <v>112.1851611739994</v>
      </c>
      <c r="R149" s="1412">
        <v>122.76894894966878</v>
      </c>
    </row>
    <row r="150" spans="2:31" ht="10.5" x14ac:dyDescent="0.25">
      <c r="B150" s="1949" t="s">
        <v>246</v>
      </c>
      <c r="C150" s="1949" t="s">
        <v>438</v>
      </c>
      <c r="D150" s="779" t="s">
        <v>513</v>
      </c>
      <c r="E150" s="779" t="s">
        <v>275</v>
      </c>
      <c r="F150" s="2042" t="str">
        <f t="shared" si="17"/>
        <v>SEWTotal prescribed capexRecycled Water</v>
      </c>
      <c r="G150" s="779" t="s">
        <v>337</v>
      </c>
      <c r="H150" s="1207"/>
      <c r="I150" s="1412">
        <v>15.299501953124999</v>
      </c>
      <c r="J150" s="1412">
        <v>15.508790322580644</v>
      </c>
      <c r="K150" s="1412">
        <v>6.1168164794007485</v>
      </c>
      <c r="L150" s="1412">
        <v>9.16169593345656</v>
      </c>
      <c r="M150" s="1412">
        <v>4.3893114154340607</v>
      </c>
      <c r="N150" s="1412">
        <v>8.0369864866960778</v>
      </c>
      <c r="O150" s="1412">
        <v>12.773734057045582</v>
      </c>
      <c r="P150" s="1412">
        <v>7.5932316294663327</v>
      </c>
      <c r="Q150" s="1412">
        <v>44.356135046792311</v>
      </c>
      <c r="R150" s="1412">
        <v>14.190697442358744</v>
      </c>
    </row>
    <row r="151" spans="2:31" ht="10.5" x14ac:dyDescent="0.25">
      <c r="B151" s="1949" t="s">
        <v>246</v>
      </c>
      <c r="C151" s="1949" t="s">
        <v>438</v>
      </c>
      <c r="D151" s="779" t="s">
        <v>513</v>
      </c>
      <c r="E151" s="779" t="s">
        <v>353</v>
      </c>
      <c r="F151" s="2042" t="str">
        <f t="shared" si="17"/>
        <v>SEWTotal prescribed capexRural Water</v>
      </c>
      <c r="G151" s="779" t="s">
        <v>337</v>
      </c>
      <c r="H151" s="1207"/>
      <c r="I151" s="1412">
        <v>0</v>
      </c>
      <c r="J151" s="1412">
        <v>0</v>
      </c>
      <c r="K151" s="1412">
        <v>0</v>
      </c>
      <c r="L151" s="1412">
        <v>0</v>
      </c>
      <c r="M151" s="1412">
        <v>0</v>
      </c>
      <c r="N151" s="1412">
        <v>0</v>
      </c>
      <c r="O151" s="1412">
        <v>0</v>
      </c>
      <c r="P151" s="1412">
        <v>0</v>
      </c>
      <c r="Q151" s="1412">
        <v>0</v>
      </c>
      <c r="R151" s="1412">
        <v>0</v>
      </c>
    </row>
    <row r="152" spans="2:31" ht="10.5" x14ac:dyDescent="0.25">
      <c r="B152" s="1949" t="s">
        <v>246</v>
      </c>
      <c r="C152" s="1949" t="s">
        <v>438</v>
      </c>
      <c r="D152" s="779" t="s">
        <v>513</v>
      </c>
      <c r="E152" s="779" t="s">
        <v>354</v>
      </c>
      <c r="F152" s="2042" t="str">
        <f t="shared" si="17"/>
        <v>SEWTotal prescribed capexBulk Water</v>
      </c>
      <c r="G152" s="779" t="s">
        <v>337</v>
      </c>
      <c r="H152" s="1207"/>
      <c r="I152" s="1412">
        <v>0</v>
      </c>
      <c r="J152" s="1412">
        <v>0</v>
      </c>
      <c r="K152" s="1412">
        <v>0</v>
      </c>
      <c r="L152" s="1412">
        <v>0</v>
      </c>
      <c r="M152" s="1412">
        <v>0</v>
      </c>
      <c r="N152" s="1412">
        <v>0</v>
      </c>
      <c r="O152" s="1412">
        <v>0</v>
      </c>
      <c r="P152" s="1412">
        <v>0</v>
      </c>
      <c r="Q152" s="1412">
        <v>0</v>
      </c>
      <c r="R152" s="1412">
        <v>0</v>
      </c>
    </row>
    <row r="153" spans="2:31" ht="10.5" x14ac:dyDescent="0.25">
      <c r="B153" s="1949" t="s">
        <v>246</v>
      </c>
      <c r="C153" s="1949" t="s">
        <v>438</v>
      </c>
      <c r="D153" s="779" t="s">
        <v>911</v>
      </c>
      <c r="E153" s="778"/>
      <c r="F153" s="2042" t="str">
        <f t="shared" si="17"/>
        <v>SEWTotal controllable opex</v>
      </c>
      <c r="G153" s="779" t="s">
        <v>337</v>
      </c>
      <c r="H153" s="1207"/>
      <c r="I153" s="1412">
        <v>120.88851074218749</v>
      </c>
      <c r="J153" s="1412">
        <v>114.40419354838713</v>
      </c>
      <c r="K153" s="1412">
        <v>113.48184456928831</v>
      </c>
      <c r="L153" s="1412">
        <v>120.16238752695347</v>
      </c>
      <c r="M153" s="1412">
        <v>122.68150240639829</v>
      </c>
      <c r="N153" s="1412">
        <v>123.71226319800121</v>
      </c>
      <c r="O153" s="1412">
        <v>124.02018819800114</v>
      </c>
      <c r="P153" s="1412">
        <v>125.05499319800121</v>
      </c>
      <c r="Q153" s="1412">
        <v>125.38155319800127</v>
      </c>
      <c r="R153" s="1412">
        <v>125.38155319800121</v>
      </c>
    </row>
    <row r="154" spans="2:31" x14ac:dyDescent="0.2">
      <c r="B154" s="1949"/>
      <c r="C154" s="1949"/>
    </row>
    <row r="155" spans="2:31" x14ac:dyDescent="0.2">
      <c r="B155" s="1949" t="s">
        <v>386</v>
      </c>
      <c r="C155" s="1949" t="s">
        <v>450</v>
      </c>
      <c r="D155" s="779" t="s">
        <v>909</v>
      </c>
      <c r="F155" s="2042" t="str">
        <f>C155&amp;D155&amp;E155</f>
        <v>WNWRAV (Opening Base)</v>
      </c>
      <c r="G155" s="779" t="s">
        <v>337</v>
      </c>
      <c r="I155" s="1412">
        <v>285.82141610491237</v>
      </c>
      <c r="J155" s="1412">
        <v>296.82089561290155</v>
      </c>
      <c r="K155" s="1412">
        <v>302.96015231278307</v>
      </c>
      <c r="L155" s="1412">
        <v>310.00565420234688</v>
      </c>
      <c r="M155" s="1412">
        <v>320.17937163608167</v>
      </c>
      <c r="N155" s="1412">
        <v>329.59261092160091</v>
      </c>
      <c r="O155" s="1412">
        <v>339.14183666550713</v>
      </c>
      <c r="P155" s="1412">
        <v>365.01092999182413</v>
      </c>
      <c r="Q155" s="1412">
        <v>398.56841071345161</v>
      </c>
      <c r="R155" s="1412">
        <v>408.71978730357279</v>
      </c>
    </row>
    <row r="156" spans="2:31" x14ac:dyDescent="0.2">
      <c r="B156" s="1949" t="s">
        <v>386</v>
      </c>
      <c r="C156" s="1949" t="s">
        <v>450</v>
      </c>
      <c r="D156" s="779" t="s">
        <v>250</v>
      </c>
      <c r="F156" s="2042" t="str">
        <f t="shared" ref="F156:F165" si="18">C156&amp;D156&amp;E156</f>
        <v>WNWRoA</v>
      </c>
      <c r="G156" s="779" t="s">
        <v>337</v>
      </c>
      <c r="I156" s="1412">
        <v>13.05475436377818</v>
      </c>
      <c r="J156" s="1412">
        <v>13.735484375491085</v>
      </c>
      <c r="K156" s="1412">
        <v>14.428948286019192</v>
      </c>
      <c r="L156" s="1412">
        <v>15.039317092860431</v>
      </c>
      <c r="M156" s="1412">
        <v>15.569594134705289</v>
      </c>
      <c r="N156" s="1412">
        <v>12.471897447499565</v>
      </c>
      <c r="O156" s="1412">
        <v>13.132449098159224</v>
      </c>
      <c r="P156" s="1412">
        <v>14.240754704153389</v>
      </c>
      <c r="Q156" s="1412">
        <v>15.055924893017501</v>
      </c>
      <c r="R156" s="1412">
        <v>15.230837393037437</v>
      </c>
      <c r="AD156" s="1215"/>
      <c r="AE156" s="1215"/>
    </row>
    <row r="157" spans="2:31" x14ac:dyDescent="0.2">
      <c r="B157" s="1949" t="s">
        <v>386</v>
      </c>
      <c r="C157" s="1949" t="s">
        <v>450</v>
      </c>
      <c r="D157" s="779" t="s">
        <v>256</v>
      </c>
      <c r="F157" s="2042" t="str">
        <f t="shared" si="18"/>
        <v>WNWRevenue Req</v>
      </c>
      <c r="G157" s="779" t="s">
        <v>337</v>
      </c>
      <c r="I157" s="1412">
        <v>68.769719877288225</v>
      </c>
      <c r="J157" s="1412">
        <v>70.167016359144128</v>
      </c>
      <c r="K157" s="1412">
        <v>70.818177592135271</v>
      </c>
      <c r="L157" s="1412">
        <v>71.523290324400392</v>
      </c>
      <c r="M157" s="1412">
        <v>71.227358489396124</v>
      </c>
      <c r="N157" s="1412">
        <v>64.230924939780735</v>
      </c>
      <c r="O157" s="1412">
        <v>65.833294324062365</v>
      </c>
      <c r="P157" s="1412">
        <v>66.001592963980372</v>
      </c>
      <c r="Q157" s="1412">
        <v>67.505669321634798</v>
      </c>
      <c r="R157" s="1412">
        <v>67.866045810229451</v>
      </c>
    </row>
    <row r="158" spans="2:31" x14ac:dyDescent="0.2">
      <c r="B158" s="1949" t="s">
        <v>386</v>
      </c>
      <c r="C158" s="1949" t="s">
        <v>450</v>
      </c>
      <c r="D158" s="779" t="s">
        <v>248</v>
      </c>
      <c r="F158" s="2042" t="str">
        <f t="shared" si="18"/>
        <v>WNWRegDepEx</v>
      </c>
      <c r="G158" s="779" t="s">
        <v>337</v>
      </c>
      <c r="I158" s="1412">
        <v>7.3619775184683256</v>
      </c>
      <c r="J158" s="1412">
        <v>6.4382038489198532</v>
      </c>
      <c r="K158" s="1412">
        <v>5.82620379284399</v>
      </c>
      <c r="L158" s="1412">
        <v>5.7954113371923741</v>
      </c>
      <c r="M158" s="1412">
        <v>5.7578830318669683</v>
      </c>
      <c r="N158" s="1412">
        <v>9.2465253361761963</v>
      </c>
      <c r="O158" s="1412">
        <v>8.5340307470379848</v>
      </c>
      <c r="P158" s="1412">
        <v>7.7333088868752142</v>
      </c>
      <c r="Q158" s="1412">
        <v>7.22552267748679</v>
      </c>
      <c r="R158" s="1412">
        <v>6.8184091826367421</v>
      </c>
    </row>
    <row r="159" spans="2:31" x14ac:dyDescent="0.2">
      <c r="B159" s="1949" t="s">
        <v>386</v>
      </c>
      <c r="C159" s="1949" t="s">
        <v>450</v>
      </c>
      <c r="D159" s="779" t="s">
        <v>249</v>
      </c>
      <c r="F159" s="2042" t="str">
        <f t="shared" si="18"/>
        <v>WNWRegDepNew</v>
      </c>
      <c r="G159" s="779" t="s">
        <v>337</v>
      </c>
      <c r="I159" s="1412">
        <v>0.87497971670656116</v>
      </c>
      <c r="J159" s="1412">
        <v>2.3453841286179955</v>
      </c>
      <c r="K159" s="1412">
        <v>3.5132746546708478</v>
      </c>
      <c r="L159" s="1412">
        <v>3.8526180590173569</v>
      </c>
      <c r="M159" s="1412">
        <v>3.6737241683326478</v>
      </c>
      <c r="N159" s="1412">
        <v>0.62265177939474403</v>
      </c>
      <c r="O159" s="1412">
        <v>1.8613830692104103</v>
      </c>
      <c r="P159" s="1412">
        <v>3.3892562554678998</v>
      </c>
      <c r="Q159" s="1412">
        <v>5.1250432773267294</v>
      </c>
      <c r="R159" s="1412">
        <v>5.8972612672462219</v>
      </c>
    </row>
    <row r="160" spans="2:31" ht="10.5" x14ac:dyDescent="0.25">
      <c r="B160" s="1949" t="s">
        <v>386</v>
      </c>
      <c r="C160" s="1949" t="s">
        <v>450</v>
      </c>
      <c r="D160" s="779" t="s">
        <v>513</v>
      </c>
      <c r="E160" s="779" t="s">
        <v>21</v>
      </c>
      <c r="F160" s="2042" t="str">
        <f t="shared" si="18"/>
        <v>WNWTotal prescribed capexWater</v>
      </c>
      <c r="G160" s="779" t="s">
        <v>337</v>
      </c>
      <c r="H160" s="1207"/>
      <c r="I160" s="1412">
        <v>9.2155273437500007</v>
      </c>
      <c r="J160" s="1412">
        <v>8.5433064516129029</v>
      </c>
      <c r="K160" s="1412">
        <v>11.800117041198501</v>
      </c>
      <c r="L160" s="1412">
        <v>12.124000000000001</v>
      </c>
      <c r="M160" s="1412">
        <v>10.582263796677266</v>
      </c>
      <c r="N160" s="1412">
        <v>10.337579248366008</v>
      </c>
      <c r="O160" s="1412">
        <v>11.840127267156863</v>
      </c>
      <c r="P160" s="1412">
        <v>13.722682843137257</v>
      </c>
      <c r="Q160" s="1412">
        <v>15.154464685457517</v>
      </c>
      <c r="R160" s="1412">
        <v>5.9955014399509761</v>
      </c>
    </row>
    <row r="161" spans="2:31" ht="10.5" x14ac:dyDescent="0.25">
      <c r="B161" s="1949" t="s">
        <v>386</v>
      </c>
      <c r="C161" s="1949" t="s">
        <v>450</v>
      </c>
      <c r="D161" s="779" t="s">
        <v>513</v>
      </c>
      <c r="E161" s="779" t="s">
        <v>22</v>
      </c>
      <c r="F161" s="2042" t="str">
        <f t="shared" si="18"/>
        <v>WNWTotal prescribed capexSewerage</v>
      </c>
      <c r="G161" s="779" t="s">
        <v>337</v>
      </c>
      <c r="H161" s="1207"/>
      <c r="I161" s="1412">
        <v>11.271215820312499</v>
      </c>
      <c r="J161" s="1412">
        <v>8.8190322580645155</v>
      </c>
      <c r="K161" s="1412">
        <v>5.8115964419475654</v>
      </c>
      <c r="L161" s="1412">
        <v>9.4250000000000007</v>
      </c>
      <c r="M161" s="1412">
        <v>9.8125826890416157</v>
      </c>
      <c r="N161" s="1412">
        <v>10.597923611111115</v>
      </c>
      <c r="O161" s="1412">
        <v>26.028059875408502</v>
      </c>
      <c r="P161" s="1412">
        <v>32.536263020833339</v>
      </c>
      <c r="Q161" s="1412">
        <v>8.8505778594771236</v>
      </c>
      <c r="R161" s="1412">
        <v>7.3366787479575208</v>
      </c>
    </row>
    <row r="162" spans="2:31" ht="10.5" x14ac:dyDescent="0.25">
      <c r="B162" s="1949" t="s">
        <v>386</v>
      </c>
      <c r="C162" s="1949" t="s">
        <v>450</v>
      </c>
      <c r="D162" s="779" t="s">
        <v>513</v>
      </c>
      <c r="E162" s="779" t="s">
        <v>275</v>
      </c>
      <c r="F162" s="2042" t="str">
        <f t="shared" si="18"/>
        <v>WNWTotal prescribed capexRecycled Water</v>
      </c>
      <c r="G162" s="779" t="s">
        <v>337</v>
      </c>
      <c r="H162" s="1207"/>
      <c r="I162" s="1412">
        <v>0</v>
      </c>
      <c r="J162" s="1412">
        <v>0</v>
      </c>
      <c r="K162" s="1412">
        <v>0</v>
      </c>
      <c r="L162" s="1412">
        <v>0</v>
      </c>
      <c r="M162" s="1412">
        <v>0</v>
      </c>
      <c r="N162" s="1412">
        <v>0</v>
      </c>
      <c r="O162" s="1412">
        <v>0</v>
      </c>
      <c r="P162" s="1412">
        <v>0</v>
      </c>
      <c r="Q162" s="1412">
        <v>0</v>
      </c>
      <c r="R162" s="1412">
        <v>0</v>
      </c>
    </row>
    <row r="163" spans="2:31" ht="10.5" x14ac:dyDescent="0.25">
      <c r="B163" s="1949" t="s">
        <v>386</v>
      </c>
      <c r="C163" s="1949" t="s">
        <v>450</v>
      </c>
      <c r="D163" s="779" t="s">
        <v>513</v>
      </c>
      <c r="E163" s="779" t="s">
        <v>353</v>
      </c>
      <c r="F163" s="2042" t="str">
        <f t="shared" si="18"/>
        <v>WNWTotal prescribed capexRural Water</v>
      </c>
      <c r="G163" s="779" t="s">
        <v>337</v>
      </c>
      <c r="H163" s="1207"/>
      <c r="I163" s="1412">
        <v>0</v>
      </c>
      <c r="J163" s="1412">
        <v>0</v>
      </c>
      <c r="K163" s="1412">
        <v>0</v>
      </c>
      <c r="L163" s="1412">
        <v>0</v>
      </c>
      <c r="M163" s="1412">
        <v>0</v>
      </c>
      <c r="N163" s="1412">
        <v>0</v>
      </c>
      <c r="O163" s="1412">
        <v>0</v>
      </c>
      <c r="P163" s="1412">
        <v>0</v>
      </c>
      <c r="Q163" s="1412">
        <v>0</v>
      </c>
      <c r="R163" s="1412">
        <v>0</v>
      </c>
    </row>
    <row r="164" spans="2:31" ht="10.5" x14ac:dyDescent="0.25">
      <c r="B164" s="1949" t="s">
        <v>386</v>
      </c>
      <c r="C164" s="1949" t="s">
        <v>450</v>
      </c>
      <c r="D164" s="779" t="s">
        <v>513</v>
      </c>
      <c r="E164" s="779" t="s">
        <v>354</v>
      </c>
      <c r="F164" s="2042" t="str">
        <f t="shared" si="18"/>
        <v>WNWTotal prescribed capexBulk Water</v>
      </c>
      <c r="G164" s="779" t="s">
        <v>337</v>
      </c>
      <c r="H164" s="1207"/>
      <c r="I164" s="1412">
        <v>0</v>
      </c>
      <c r="J164" s="1412">
        <v>0</v>
      </c>
      <c r="K164" s="1412">
        <v>0</v>
      </c>
      <c r="L164" s="1412">
        <v>0</v>
      </c>
      <c r="M164" s="1412">
        <v>0</v>
      </c>
      <c r="N164" s="1412">
        <v>0</v>
      </c>
      <c r="O164" s="1412">
        <v>0</v>
      </c>
      <c r="P164" s="1412">
        <v>0</v>
      </c>
      <c r="Q164" s="1412">
        <v>0</v>
      </c>
      <c r="R164" s="1412">
        <v>0</v>
      </c>
    </row>
    <row r="165" spans="2:31" ht="10.5" x14ac:dyDescent="0.25">
      <c r="B165" s="1949" t="s">
        <v>386</v>
      </c>
      <c r="C165" s="1949" t="s">
        <v>450</v>
      </c>
      <c r="D165" s="779" t="s">
        <v>911</v>
      </c>
      <c r="E165" s="778"/>
      <c r="F165" s="2042" t="str">
        <f t="shared" si="18"/>
        <v>WNWTotal controllable opex</v>
      </c>
      <c r="G165" s="779" t="s">
        <v>337</v>
      </c>
      <c r="H165" s="1207"/>
      <c r="I165" s="1412">
        <v>37.330439453124995</v>
      </c>
      <c r="J165" s="1412">
        <v>35.943469354838705</v>
      </c>
      <c r="K165" s="1412">
        <v>34.816811797752813</v>
      </c>
      <c r="L165" s="1412">
        <v>36.311700000000002</v>
      </c>
      <c r="M165" s="1412">
        <v>38.827995000000001</v>
      </c>
      <c r="N165" s="1412">
        <v>37.95369495090867</v>
      </c>
      <c r="O165" s="1412">
        <v>38.442141665963021</v>
      </c>
      <c r="P165" s="1412">
        <v>36.846402840935681</v>
      </c>
      <c r="Q165" s="1412">
        <v>36.386672657733243</v>
      </c>
      <c r="R165" s="1412">
        <v>36.254232044171722</v>
      </c>
    </row>
    <row r="166" spans="2:31" x14ac:dyDescent="0.2">
      <c r="B166" s="1949"/>
      <c r="C166" s="1949"/>
    </row>
    <row r="167" spans="2:31" x14ac:dyDescent="0.2">
      <c r="B167" s="1949" t="s">
        <v>452</v>
      </c>
      <c r="C167" s="1949" t="s">
        <v>451</v>
      </c>
      <c r="D167" s="779" t="s">
        <v>909</v>
      </c>
      <c r="F167" s="2042" t="str">
        <f>C167&amp;D167&amp;E167</f>
        <v>WPWRAV (Opening Base)</v>
      </c>
      <c r="G167" s="779" t="s">
        <v>337</v>
      </c>
      <c r="I167" s="1412">
        <v>109.4974191677727</v>
      </c>
      <c r="J167" s="1412">
        <v>110.89180079273756</v>
      </c>
      <c r="K167" s="1412">
        <v>113.81094913460961</v>
      </c>
      <c r="L167" s="1412">
        <v>115.28759725982846</v>
      </c>
      <c r="M167" s="1412">
        <v>117.08759826920013</v>
      </c>
      <c r="N167" s="1412">
        <v>120.43155716823556</v>
      </c>
      <c r="O167" s="1412">
        <v>122.81004692093403</v>
      </c>
      <c r="P167" s="1412">
        <v>125.18063015763767</v>
      </c>
      <c r="Q167" s="1412">
        <v>127.1574894865643</v>
      </c>
      <c r="R167" s="1412">
        <v>128.29919162569232</v>
      </c>
    </row>
    <row r="168" spans="2:31" x14ac:dyDescent="0.2">
      <c r="B168" s="1949" t="s">
        <v>452</v>
      </c>
      <c r="C168" s="1949" t="s">
        <v>451</v>
      </c>
      <c r="D168" s="779" t="s">
        <v>250</v>
      </c>
      <c r="F168" s="2042" t="str">
        <f t="shared" ref="F168:F177" si="19">C168&amp;D168&amp;E168</f>
        <v>WPWRoA</v>
      </c>
      <c r="G168" s="779" t="s">
        <v>337</v>
      </c>
      <c r="I168" s="1412">
        <v>4.9333324830537082</v>
      </c>
      <c r="J168" s="1412">
        <v>5.0769005247640742</v>
      </c>
      <c r="K168" s="1412">
        <v>5.1253694882066574</v>
      </c>
      <c r="L168" s="1412">
        <v>5.2296762049915673</v>
      </c>
      <c r="M168" s="1412">
        <v>5.3717396925667202</v>
      </c>
      <c r="N168" s="1412">
        <v>4.8283458411700169</v>
      </c>
      <c r="O168" s="1412">
        <v>4.9226149400096482</v>
      </c>
      <c r="P168" s="1412">
        <v>5.0089116749374094</v>
      </c>
      <c r="Q168" s="1412">
        <v>5.0708151200782936</v>
      </c>
      <c r="R168" s="1412">
        <v>5.1241653735387782</v>
      </c>
      <c r="AD168" s="1215"/>
      <c r="AE168" s="1215"/>
    </row>
    <row r="169" spans="2:31" x14ac:dyDescent="0.2">
      <c r="B169" s="1949" t="s">
        <v>452</v>
      </c>
      <c r="C169" s="1949" t="s">
        <v>451</v>
      </c>
      <c r="D169" s="779" t="s">
        <v>256</v>
      </c>
      <c r="F169" s="2042" t="str">
        <f t="shared" si="19"/>
        <v>WPWRevenue Req</v>
      </c>
      <c r="G169" s="779" t="s">
        <v>337</v>
      </c>
      <c r="I169" s="1412">
        <v>20.547732462124777</v>
      </c>
      <c r="J169" s="1412">
        <v>20.858029190096534</v>
      </c>
      <c r="K169" s="1412">
        <v>21.113012709870109</v>
      </c>
      <c r="L169" s="1412">
        <v>21.417617131973724</v>
      </c>
      <c r="M169" s="1412">
        <v>21.665606252105956</v>
      </c>
      <c r="N169" s="1412">
        <v>21.959608132726206</v>
      </c>
      <c r="O169" s="1412">
        <v>22.274848238263871</v>
      </c>
      <c r="P169" s="1412">
        <v>22.573460265714573</v>
      </c>
      <c r="Q169" s="1412">
        <v>22.648800088036577</v>
      </c>
      <c r="R169" s="1412">
        <v>22.948324187338077</v>
      </c>
    </row>
    <row r="170" spans="2:31" x14ac:dyDescent="0.2">
      <c r="B170" s="1949" t="s">
        <v>452</v>
      </c>
      <c r="C170" s="1949" t="s">
        <v>451</v>
      </c>
      <c r="D170" s="779" t="s">
        <v>248</v>
      </c>
      <c r="F170" s="2042" t="str">
        <f t="shared" si="19"/>
        <v>WPWRegDepEx</v>
      </c>
      <c r="G170" s="779" t="s">
        <v>337</v>
      </c>
      <c r="I170" s="1412">
        <v>1.7272469647547348</v>
      </c>
      <c r="J170" s="1412">
        <v>1.7272469647547348</v>
      </c>
      <c r="K170" s="1412">
        <v>1.7272469647547348</v>
      </c>
      <c r="L170" s="1412">
        <v>1.7272469647547348</v>
      </c>
      <c r="M170" s="1412">
        <v>1.638323279729234</v>
      </c>
      <c r="N170" s="1412">
        <v>2.1827844425517395</v>
      </c>
      <c r="O170" s="1412">
        <v>2.1827844425517395</v>
      </c>
      <c r="P170" s="1412">
        <v>2.1827844425517395</v>
      </c>
      <c r="Q170" s="1412">
        <v>2.1827844425517395</v>
      </c>
      <c r="R170" s="1412">
        <v>2.1827844425517395</v>
      </c>
    </row>
    <row r="171" spans="2:31" x14ac:dyDescent="0.2">
      <c r="B171" s="1949" t="s">
        <v>452</v>
      </c>
      <c r="C171" s="1949" t="s">
        <v>451</v>
      </c>
      <c r="D171" s="779" t="s">
        <v>249</v>
      </c>
      <c r="F171" s="2042" t="str">
        <f t="shared" si="19"/>
        <v>WPWRegDepNew</v>
      </c>
      <c r="G171" s="779" t="s">
        <v>337</v>
      </c>
      <c r="I171" s="1412">
        <v>0.14289580881557901</v>
      </c>
      <c r="J171" s="1412">
        <v>0.36235974337320437</v>
      </c>
      <c r="K171" s="1412">
        <v>0.56843015295713262</v>
      </c>
      <c r="L171" s="1412">
        <v>0.77045377134494786</v>
      </c>
      <c r="M171" s="1412">
        <v>0.96177190078317698</v>
      </c>
      <c r="N171" s="1412">
        <v>9.850220157596018E-2</v>
      </c>
      <c r="O171" s="1412">
        <v>0.34016840147741606</v>
      </c>
      <c r="P171" s="1412">
        <v>0.60179578968407632</v>
      </c>
      <c r="Q171" s="1412">
        <v>0.86560424392507518</v>
      </c>
      <c r="R171" s="1412">
        <v>1.1557014773166099</v>
      </c>
    </row>
    <row r="172" spans="2:31" ht="10.5" x14ac:dyDescent="0.25">
      <c r="B172" s="1949" t="s">
        <v>452</v>
      </c>
      <c r="C172" s="1949" t="s">
        <v>451</v>
      </c>
      <c r="D172" s="779" t="s">
        <v>513</v>
      </c>
      <c r="E172" s="779" t="s">
        <v>21</v>
      </c>
      <c r="F172" s="2042" t="str">
        <f t="shared" si="19"/>
        <v>WPWTotal prescribed capexWater</v>
      </c>
      <c r="G172" s="779" t="s">
        <v>337</v>
      </c>
      <c r="H172" s="1207"/>
      <c r="I172" s="1412">
        <v>2.2658107680761721</v>
      </c>
      <c r="J172" s="1412">
        <v>1.1452056975806451</v>
      </c>
      <c r="K172" s="1412">
        <v>1.451531267406367</v>
      </c>
      <c r="L172" s="1412">
        <v>2.978490857301292</v>
      </c>
      <c r="M172" s="1412">
        <v>2.5604093192472468</v>
      </c>
      <c r="N172" s="1412">
        <v>3.1131982917883523</v>
      </c>
      <c r="O172" s="1412">
        <v>3.0669103320680309</v>
      </c>
      <c r="P172" s="1412">
        <v>2.2682007676383211</v>
      </c>
      <c r="Q172" s="1412">
        <v>2.1216826030704463</v>
      </c>
      <c r="R172" s="1412">
        <v>3.1252237162897591</v>
      </c>
    </row>
    <row r="173" spans="2:31" ht="10.5" x14ac:dyDescent="0.25">
      <c r="B173" s="1949" t="s">
        <v>452</v>
      </c>
      <c r="C173" s="1949" t="s">
        <v>451</v>
      </c>
      <c r="D173" s="779" t="s">
        <v>513</v>
      </c>
      <c r="E173" s="779" t="s">
        <v>22</v>
      </c>
      <c r="F173" s="2042" t="str">
        <f t="shared" si="19"/>
        <v>WPWTotal prescribed capexSewerage</v>
      </c>
      <c r="G173" s="779" t="s">
        <v>337</v>
      </c>
      <c r="H173" s="1207"/>
      <c r="I173" s="1412">
        <v>2.1333976984658203</v>
      </c>
      <c r="J173" s="1412">
        <v>4.2635760222983858</v>
      </c>
      <c r="K173" s="1412">
        <v>2.7282362543595502</v>
      </c>
      <c r="L173" s="1412">
        <v>2.2760971987985212</v>
      </c>
      <c r="M173" s="1412">
        <v>3.4393222240643557</v>
      </c>
      <c r="N173" s="1412">
        <v>2.1291103071201585</v>
      </c>
      <c r="O173" s="1412">
        <v>2.4437363814598831</v>
      </c>
      <c r="P173" s="1412">
        <v>3.0265748678168669</v>
      </c>
      <c r="Q173" s="1412">
        <v>2.3195713652289429</v>
      </c>
      <c r="R173" s="1412">
        <v>1.9856837399248239</v>
      </c>
    </row>
    <row r="174" spans="2:31" ht="10.5" x14ac:dyDescent="0.25">
      <c r="B174" s="1949" t="s">
        <v>452</v>
      </c>
      <c r="C174" s="1949" t="s">
        <v>451</v>
      </c>
      <c r="D174" s="779" t="s">
        <v>513</v>
      </c>
      <c r="E174" s="779" t="s">
        <v>275</v>
      </c>
      <c r="F174" s="2042" t="str">
        <f t="shared" si="19"/>
        <v>WPWTotal prescribed capexRecycled Water</v>
      </c>
      <c r="G174" s="779" t="s">
        <v>337</v>
      </c>
      <c r="H174" s="1207"/>
      <c r="I174" s="1412">
        <v>5.9996624619140628E-3</v>
      </c>
      <c r="J174" s="1412">
        <v>6.1929268951612894E-3</v>
      </c>
      <c r="K174" s="1412">
        <v>9.7302683711610494E-2</v>
      </c>
      <c r="L174" s="1412">
        <v>9.9212864140480594E-3</v>
      </c>
      <c r="M174" s="1412">
        <v>0.58623623623623622</v>
      </c>
      <c r="N174" s="1412">
        <v>4.5791401091489159E-2</v>
      </c>
      <c r="O174" s="1412">
        <v>2.5453286472085831E-2</v>
      </c>
      <c r="P174" s="1412">
        <v>0.12022436454481249</v>
      </c>
      <c r="Q174" s="1412">
        <v>0.37274603170061071</v>
      </c>
      <c r="R174" s="1412">
        <v>0.365092543785417</v>
      </c>
    </row>
    <row r="175" spans="2:31" ht="10.5" x14ac:dyDescent="0.25">
      <c r="B175" s="1949" t="s">
        <v>452</v>
      </c>
      <c r="C175" s="1949" t="s">
        <v>451</v>
      </c>
      <c r="D175" s="779" t="s">
        <v>513</v>
      </c>
      <c r="E175" s="779" t="s">
        <v>353</v>
      </c>
      <c r="F175" s="2042" t="str">
        <f t="shared" si="19"/>
        <v>WPWTotal prescribed capexRural Water</v>
      </c>
      <c r="G175" s="779" t="s">
        <v>337</v>
      </c>
      <c r="H175" s="1207"/>
      <c r="I175" s="1412">
        <v>0</v>
      </c>
      <c r="J175" s="1412">
        <v>0</v>
      </c>
      <c r="K175" s="1412">
        <v>0</v>
      </c>
      <c r="L175" s="1412">
        <v>0</v>
      </c>
      <c r="M175" s="1412">
        <v>0</v>
      </c>
      <c r="N175" s="1412">
        <v>0</v>
      </c>
      <c r="O175" s="1412">
        <v>0</v>
      </c>
      <c r="P175" s="1412">
        <v>0</v>
      </c>
      <c r="Q175" s="1412">
        <v>0</v>
      </c>
      <c r="R175" s="1412">
        <v>0</v>
      </c>
    </row>
    <row r="176" spans="2:31" ht="10.5" x14ac:dyDescent="0.25">
      <c r="B176" s="1949" t="s">
        <v>452</v>
      </c>
      <c r="C176" s="1949" t="s">
        <v>451</v>
      </c>
      <c r="D176" s="779" t="s">
        <v>513</v>
      </c>
      <c r="E176" s="779" t="s">
        <v>354</v>
      </c>
      <c r="F176" s="2042" t="str">
        <f t="shared" si="19"/>
        <v>WPWTotal prescribed capexBulk Water</v>
      </c>
      <c r="G176" s="779" t="s">
        <v>337</v>
      </c>
      <c r="H176" s="1207"/>
      <c r="I176" s="1412">
        <v>0</v>
      </c>
      <c r="J176" s="1412">
        <v>0</v>
      </c>
      <c r="K176" s="1412">
        <v>0</v>
      </c>
      <c r="L176" s="1412">
        <v>0</v>
      </c>
      <c r="M176" s="1412">
        <v>0</v>
      </c>
      <c r="N176" s="1412">
        <v>0</v>
      </c>
      <c r="O176" s="1412">
        <v>0</v>
      </c>
      <c r="P176" s="1412">
        <v>0</v>
      </c>
      <c r="Q176" s="1412">
        <v>0</v>
      </c>
      <c r="R176" s="1412">
        <v>0</v>
      </c>
    </row>
    <row r="177" spans="2:31" ht="10.5" x14ac:dyDescent="0.25">
      <c r="B177" s="1949" t="s">
        <v>452</v>
      </c>
      <c r="C177" s="1949" t="s">
        <v>451</v>
      </c>
      <c r="D177" s="779" t="s">
        <v>911</v>
      </c>
      <c r="E177" s="778"/>
      <c r="F177" s="2042" t="str">
        <f t="shared" si="19"/>
        <v>WPWTotal controllable opex</v>
      </c>
      <c r="G177" s="779" t="s">
        <v>337</v>
      </c>
      <c r="H177" s="1207"/>
      <c r="I177" s="1412">
        <v>12.872602539062498</v>
      </c>
      <c r="J177" s="1412">
        <v>12.409758064516129</v>
      </c>
      <c r="K177" s="1412">
        <v>14.356722846441947</v>
      </c>
      <c r="L177" s="1412">
        <v>13.745410568391867</v>
      </c>
      <c r="M177" s="1412">
        <v>13.768871060999999</v>
      </c>
      <c r="N177" s="1412">
        <v>13.254741394007992</v>
      </c>
      <c r="O177" s="1412">
        <v>13.253995986057483</v>
      </c>
      <c r="P177" s="1412">
        <v>13.224137959047187</v>
      </c>
      <c r="Q177" s="1412">
        <v>13.223450199361139</v>
      </c>
      <c r="R177" s="1412">
        <v>13.193504281476422</v>
      </c>
    </row>
    <row r="178" spans="2:31" x14ac:dyDescent="0.2">
      <c r="B178" s="1949"/>
      <c r="C178" s="1949"/>
    </row>
    <row r="179" spans="2:31" x14ac:dyDescent="0.2">
      <c r="B179" s="1949" t="s">
        <v>247</v>
      </c>
      <c r="C179" s="1949" t="s">
        <v>439</v>
      </c>
      <c r="D179" s="779" t="s">
        <v>909</v>
      </c>
      <c r="F179" s="2042" t="str">
        <f>C179&amp;D179&amp;E179</f>
        <v>YVWRAV (Opening Base)</v>
      </c>
      <c r="G179" s="779" t="s">
        <v>337</v>
      </c>
      <c r="I179" s="1412">
        <v>3579.6767410959183</v>
      </c>
      <c r="J179" s="1412">
        <v>3660.5309429729464</v>
      </c>
      <c r="K179" s="1412">
        <v>3717.1517149236588</v>
      </c>
      <c r="L179" s="1412">
        <v>3841.8854198759932</v>
      </c>
      <c r="M179" s="1412">
        <v>3938.4216356039456</v>
      </c>
      <c r="N179" s="1412">
        <v>4058.0603250275967</v>
      </c>
      <c r="O179" s="1412">
        <v>4153.6692306824343</v>
      </c>
      <c r="P179" s="1412">
        <v>4251.8535713884603</v>
      </c>
      <c r="Q179" s="1412">
        <v>4374.7585499578099</v>
      </c>
      <c r="R179" s="1412">
        <v>4448.7225259153356</v>
      </c>
    </row>
    <row r="180" spans="2:31" x14ac:dyDescent="0.2">
      <c r="B180" s="1949" t="s">
        <v>247</v>
      </c>
      <c r="C180" s="1949" t="s">
        <v>439</v>
      </c>
      <c r="D180" s="779" t="s">
        <v>250</v>
      </c>
      <c r="F180" s="2042" t="str">
        <f t="shared" ref="F180:F189" si="20">C180&amp;D180&amp;E180</f>
        <v>YVWRoA</v>
      </c>
      <c r="G180" s="779" t="s">
        <v>337</v>
      </c>
      <c r="I180" s="1412">
        <v>163.96295512860442</v>
      </c>
      <c r="J180" s="1412">
        <v>170.43119624983137</v>
      </c>
      <c r="K180" s="1412">
        <v>177.26542959377107</v>
      </c>
      <c r="L180" s="1412">
        <v>184.01670553857147</v>
      </c>
      <c r="M180" s="1412">
        <v>190.46747208743523</v>
      </c>
      <c r="N180" s="1412">
        <v>169.57221532541215</v>
      </c>
      <c r="O180" s="1412">
        <v>173.57404586276397</v>
      </c>
      <c r="P180" s="1412">
        <v>178.13954030580047</v>
      </c>
      <c r="Q180" s="1412">
        <v>182.20488421678047</v>
      </c>
      <c r="R180" s="1412">
        <v>184.81018519798482</v>
      </c>
      <c r="AD180" s="1215"/>
      <c r="AE180" s="1215"/>
    </row>
    <row r="181" spans="2:31" x14ac:dyDescent="0.2">
      <c r="B181" s="1949" t="s">
        <v>247</v>
      </c>
      <c r="C181" s="1949" t="s">
        <v>439</v>
      </c>
      <c r="D181" s="779" t="s">
        <v>256</v>
      </c>
      <c r="F181" s="2042" t="str">
        <f t="shared" si="20"/>
        <v>YVWRevenue Req</v>
      </c>
      <c r="G181" s="779" t="s">
        <v>337</v>
      </c>
      <c r="I181" s="1412">
        <v>1019.0800467996735</v>
      </c>
      <c r="J181" s="1412">
        <v>1005.1526196772246</v>
      </c>
      <c r="K181" s="1412">
        <v>999.84065046889782</v>
      </c>
      <c r="L181" s="1412">
        <v>1010.2999022245964</v>
      </c>
      <c r="M181" s="1412">
        <v>1018.778385427715</v>
      </c>
      <c r="N181" s="1412">
        <v>951.51215400889896</v>
      </c>
      <c r="O181" s="1412">
        <v>952.16034135135158</v>
      </c>
      <c r="P181" s="1412">
        <v>952.21469524801421</v>
      </c>
      <c r="Q181" s="1412">
        <v>955.98136412452436</v>
      </c>
      <c r="R181" s="1412">
        <v>959.99587253004995</v>
      </c>
    </row>
    <row r="182" spans="2:31" x14ac:dyDescent="0.2">
      <c r="B182" s="1949" t="s">
        <v>247</v>
      </c>
      <c r="C182" s="1949" t="s">
        <v>439</v>
      </c>
      <c r="D182" s="779" t="s">
        <v>248</v>
      </c>
      <c r="F182" s="2042" t="str">
        <f t="shared" si="20"/>
        <v>YVWRegDepEx</v>
      </c>
      <c r="G182" s="779" t="s">
        <v>337</v>
      </c>
      <c r="I182" s="1412">
        <v>94.296316235659617</v>
      </c>
      <c r="J182" s="1412">
        <v>74.526699692647142</v>
      </c>
      <c r="K182" s="1412">
        <v>60.778842420216954</v>
      </c>
      <c r="L182" s="1412">
        <v>60.778842420216954</v>
      </c>
      <c r="M182" s="1412">
        <v>60.778842420216954</v>
      </c>
      <c r="N182" s="1412">
        <v>93.869704030062053</v>
      </c>
      <c r="O182" s="1412">
        <v>92.938230534704743</v>
      </c>
      <c r="P182" s="1412">
        <v>84.31957157199534</v>
      </c>
      <c r="Q182" s="1412">
        <v>80.420288194591109</v>
      </c>
      <c r="R182" s="1412">
        <v>79.224660010558281</v>
      </c>
    </row>
    <row r="183" spans="2:31" x14ac:dyDescent="0.2">
      <c r="B183" s="1949" t="s">
        <v>247</v>
      </c>
      <c r="C183" s="1949" t="s">
        <v>439</v>
      </c>
      <c r="D183" s="779" t="s">
        <v>249</v>
      </c>
      <c r="F183" s="2042" t="str">
        <f t="shared" si="20"/>
        <v>YVWRegDepNew</v>
      </c>
      <c r="G183" s="779" t="s">
        <v>337</v>
      </c>
      <c r="I183" s="1412">
        <v>3.5799945826244679</v>
      </c>
      <c r="J183" s="1412">
        <v>9.8018831953500403</v>
      </c>
      <c r="K183" s="1412">
        <v>15.162902065650739</v>
      </c>
      <c r="L183" s="1412">
        <v>20.820745918373987</v>
      </c>
      <c r="M183" s="1412">
        <v>24.15730994355523</v>
      </c>
      <c r="N183" s="1412">
        <v>2.2034384913032423</v>
      </c>
      <c r="O183" s="1412">
        <v>6.7023084373029249</v>
      </c>
      <c r="P183" s="1412">
        <v>11.424049607314769</v>
      </c>
      <c r="Q183" s="1412">
        <v>16.554367677734447</v>
      </c>
      <c r="R183" s="1412">
        <v>20.081971157613108</v>
      </c>
    </row>
    <row r="184" spans="2:31" ht="10.5" x14ac:dyDescent="0.25">
      <c r="B184" s="1949" t="s">
        <v>247</v>
      </c>
      <c r="C184" s="1949" t="s">
        <v>439</v>
      </c>
      <c r="D184" s="779" t="s">
        <v>513</v>
      </c>
      <c r="E184" s="779" t="s">
        <v>21</v>
      </c>
      <c r="F184" s="2042" t="str">
        <f t="shared" si="20"/>
        <v>YVWTotal prescribed capexWater</v>
      </c>
      <c r="G184" s="779" t="s">
        <v>337</v>
      </c>
      <c r="H184" s="1207"/>
      <c r="I184" s="1412">
        <v>114.2196630859375</v>
      </c>
      <c r="J184" s="1412">
        <v>64.67604838709677</v>
      </c>
      <c r="K184" s="1412">
        <v>72.614433520599249</v>
      </c>
      <c r="L184" s="1412">
        <v>74.624265249537885</v>
      </c>
      <c r="M184" s="1412">
        <v>91.606699978965267</v>
      </c>
      <c r="N184" s="1412">
        <v>83.272286676939288</v>
      </c>
      <c r="O184" s="1412">
        <v>85.563726216318557</v>
      </c>
      <c r="P184" s="1412">
        <v>77.198188760895704</v>
      </c>
      <c r="Q184" s="1412">
        <v>73.135298691166909</v>
      </c>
      <c r="R184" s="1412">
        <v>78.082807379369257</v>
      </c>
    </row>
    <row r="185" spans="2:31" ht="10.5" x14ac:dyDescent="0.25">
      <c r="B185" s="1949" t="s">
        <v>247</v>
      </c>
      <c r="C185" s="1949" t="s">
        <v>439</v>
      </c>
      <c r="D185" s="779" t="s">
        <v>513</v>
      </c>
      <c r="E185" s="779" t="s">
        <v>22</v>
      </c>
      <c r="F185" s="2042" t="str">
        <f t="shared" si="20"/>
        <v>YVWTotal prescribed capexSewerage</v>
      </c>
      <c r="G185" s="779" t="s">
        <v>337</v>
      </c>
      <c r="H185" s="1207"/>
      <c r="I185" s="1412">
        <v>92.53187988281249</v>
      </c>
      <c r="J185" s="1412">
        <v>108.92217741935484</v>
      </c>
      <c r="K185" s="1412">
        <v>171.12083801498125</v>
      </c>
      <c r="L185" s="1412">
        <v>145.83038354898338</v>
      </c>
      <c r="M185" s="1412">
        <v>146.48157632632632</v>
      </c>
      <c r="N185" s="1412">
        <v>139.82406045180042</v>
      </c>
      <c r="O185" s="1412">
        <v>151.73254228860333</v>
      </c>
      <c r="P185" s="1412">
        <v>182.24378911538921</v>
      </c>
      <c r="Q185" s="1412">
        <v>135.01597833264481</v>
      </c>
      <c r="R185" s="1412">
        <v>110.03267706906175</v>
      </c>
    </row>
    <row r="186" spans="2:31" ht="10.5" x14ac:dyDescent="0.25">
      <c r="B186" s="1949" t="s">
        <v>247</v>
      </c>
      <c r="C186" s="1949" t="s">
        <v>439</v>
      </c>
      <c r="D186" s="779" t="s">
        <v>513</v>
      </c>
      <c r="E186" s="779" t="s">
        <v>275</v>
      </c>
      <c r="F186" s="2042" t="str">
        <f t="shared" si="20"/>
        <v>YVWTotal prescribed capexRecycled Water</v>
      </c>
      <c r="G186" s="779" t="s">
        <v>337</v>
      </c>
      <c r="H186" s="1207"/>
      <c r="I186" s="1412">
        <v>4.3574121093749998</v>
      </c>
      <c r="J186" s="1412">
        <v>7.5693548387096774</v>
      </c>
      <c r="K186" s="1412">
        <v>13.343806179775282</v>
      </c>
      <c r="L186" s="1412">
        <v>6.9516959334565609</v>
      </c>
      <c r="M186" s="1412">
        <v>10.202833333333334</v>
      </c>
      <c r="N186" s="1412">
        <v>15.693584938405728</v>
      </c>
      <c r="O186" s="1412">
        <v>8.540392393074951</v>
      </c>
      <c r="P186" s="1412">
        <v>4.0002964195098887</v>
      </c>
      <c r="Q186" s="1412">
        <v>6.2826962247089337</v>
      </c>
      <c r="R186" s="1412">
        <v>6.2490445545647342</v>
      </c>
    </row>
    <row r="187" spans="2:31" ht="10.5" x14ac:dyDescent="0.25">
      <c r="B187" s="1949" t="s">
        <v>247</v>
      </c>
      <c r="C187" s="1949" t="s">
        <v>439</v>
      </c>
      <c r="D187" s="779" t="s">
        <v>513</v>
      </c>
      <c r="E187" s="779" t="s">
        <v>353</v>
      </c>
      <c r="F187" s="2042" t="str">
        <f t="shared" si="20"/>
        <v>YVWTotal prescribed capexRural Water</v>
      </c>
      <c r="G187" s="779" t="s">
        <v>337</v>
      </c>
      <c r="H187" s="1207"/>
      <c r="I187" s="1412">
        <v>0</v>
      </c>
      <c r="J187" s="1412">
        <v>0</v>
      </c>
      <c r="K187" s="1412">
        <v>0</v>
      </c>
      <c r="L187" s="1412">
        <v>0</v>
      </c>
      <c r="M187" s="1412">
        <v>0</v>
      </c>
      <c r="N187" s="1412">
        <v>0</v>
      </c>
      <c r="O187" s="1412">
        <v>0</v>
      </c>
      <c r="P187" s="1412">
        <v>0</v>
      </c>
      <c r="Q187" s="1412">
        <v>0</v>
      </c>
      <c r="R187" s="1412">
        <v>0</v>
      </c>
    </row>
    <row r="188" spans="2:31" ht="10.5" x14ac:dyDescent="0.25">
      <c r="B188" s="1949" t="s">
        <v>247</v>
      </c>
      <c r="C188" s="1949" t="s">
        <v>439</v>
      </c>
      <c r="D188" s="779" t="s">
        <v>513</v>
      </c>
      <c r="E188" s="779" t="s">
        <v>354</v>
      </c>
      <c r="F188" s="2042" t="str">
        <f t="shared" si="20"/>
        <v>YVWTotal prescribed capexBulk Water</v>
      </c>
      <c r="G188" s="779" t="s">
        <v>337</v>
      </c>
      <c r="H188" s="1207"/>
      <c r="I188" s="1412">
        <v>0</v>
      </c>
      <c r="J188" s="1412">
        <v>0</v>
      </c>
      <c r="K188" s="1412">
        <v>0</v>
      </c>
      <c r="L188" s="1412">
        <v>0</v>
      </c>
      <c r="M188" s="1412">
        <v>0</v>
      </c>
      <c r="N188" s="1412">
        <v>0</v>
      </c>
      <c r="O188" s="1412">
        <v>0</v>
      </c>
      <c r="P188" s="1412">
        <v>0</v>
      </c>
      <c r="Q188" s="1412">
        <v>0</v>
      </c>
      <c r="R188" s="1412">
        <v>0</v>
      </c>
    </row>
    <row r="189" spans="2:31" ht="10.5" x14ac:dyDescent="0.25">
      <c r="B189" s="1949" t="s">
        <v>247</v>
      </c>
      <c r="C189" s="1949" t="s">
        <v>439</v>
      </c>
      <c r="D189" s="779" t="s">
        <v>911</v>
      </c>
      <c r="E189" s="778"/>
      <c r="F189" s="2042" t="str">
        <f t="shared" si="20"/>
        <v>YVWTotal controllable opex</v>
      </c>
      <c r="G189" s="779" t="s">
        <v>337</v>
      </c>
      <c r="H189" s="1207"/>
      <c r="I189" s="1412">
        <v>137.03294921875002</v>
      </c>
      <c r="J189" s="1412">
        <v>131.32201612903231</v>
      </c>
      <c r="K189" s="1412">
        <v>132.66725187265911</v>
      </c>
      <c r="L189" s="1412">
        <v>140.34929759704249</v>
      </c>
      <c r="M189" s="1412">
        <v>137.10627579881077</v>
      </c>
      <c r="N189" s="1412">
        <v>136.89649575553767</v>
      </c>
      <c r="O189" s="1412">
        <v>135.97099680230104</v>
      </c>
      <c r="P189" s="1412">
        <v>134.97734624197889</v>
      </c>
      <c r="Q189" s="1412">
        <v>133.88705627665351</v>
      </c>
      <c r="R189" s="1412">
        <v>132.69768636453068</v>
      </c>
    </row>
    <row r="190" spans="2:31" x14ac:dyDescent="0.2">
      <c r="B190" s="1949"/>
      <c r="C190" s="1949"/>
    </row>
    <row r="191" spans="2:31" x14ac:dyDescent="0.2">
      <c r="B191" s="1949" t="s">
        <v>387</v>
      </c>
      <c r="C191" s="1949" t="s">
        <v>453</v>
      </c>
      <c r="D191" s="779" t="s">
        <v>909</v>
      </c>
      <c r="F191" s="2042" t="str">
        <f>C191&amp;D191&amp;E191</f>
        <v>WWRAV (Opening Base)</v>
      </c>
      <c r="G191" s="779" t="s">
        <v>359</v>
      </c>
      <c r="I191" s="1956">
        <v>322.6689130326701</v>
      </c>
      <c r="J191" s="1956">
        <v>333.87145758698011</v>
      </c>
      <c r="K191" s="1956">
        <v>340.98342220609499</v>
      </c>
      <c r="L191" s="1956">
        <v>364.72894759275408</v>
      </c>
      <c r="M191" s="1956">
        <v>416.79975664831113</v>
      </c>
      <c r="N191" s="1956">
        <v>458.39638531495171</v>
      </c>
      <c r="O191" s="1956">
        <v>501.688836526817</v>
      </c>
      <c r="P191" s="1956">
        <v>539.52821761097834</v>
      </c>
      <c r="Q191" s="1956">
        <v>593.05276037302292</v>
      </c>
      <c r="R191" s="1956">
        <v>654.79995350149068</v>
      </c>
    </row>
    <row r="192" spans="2:31" x14ac:dyDescent="0.2">
      <c r="B192" s="1949" t="s">
        <v>387</v>
      </c>
      <c r="C192" s="1949" t="s">
        <v>453</v>
      </c>
      <c r="D192" s="779" t="s">
        <v>250</v>
      </c>
      <c r="F192" s="2042" t="str">
        <f t="shared" ref="F192:F201" si="21">C192&amp;D192&amp;E192</f>
        <v>WWRoA</v>
      </c>
      <c r="G192" s="779" t="s">
        <v>359</v>
      </c>
      <c r="I192" s="1956">
        <v>14.640297931657098</v>
      </c>
      <c r="J192" s="1956">
        <v>15.455694590054335</v>
      </c>
      <c r="K192" s="1956">
        <v>16.664110059184083</v>
      </c>
      <c r="L192" s="1956">
        <v>18.708896452589286</v>
      </c>
      <c r="M192" s="1956">
        <v>21.172133347766518</v>
      </c>
      <c r="N192" s="1956">
        <v>19.450366477887123</v>
      </c>
      <c r="O192" s="1956">
        <v>21.450845191577709</v>
      </c>
      <c r="P192" s="1956">
        <v>21.066006190502421</v>
      </c>
      <c r="Q192" s="1956">
        <v>23.210060478065952</v>
      </c>
      <c r="R192" s="1956">
        <v>25.655669042622481</v>
      </c>
    </row>
    <row r="193" spans="2:18" x14ac:dyDescent="0.2">
      <c r="B193" s="1949" t="s">
        <v>387</v>
      </c>
      <c r="C193" s="1949" t="s">
        <v>453</v>
      </c>
      <c r="D193" s="779" t="s">
        <v>256</v>
      </c>
      <c r="F193" s="2042" t="str">
        <f t="shared" si="21"/>
        <v>WWRevenue Req</v>
      </c>
      <c r="G193" s="779" t="s">
        <v>359</v>
      </c>
      <c r="I193" s="1956">
        <v>71.808324208367395</v>
      </c>
      <c r="J193" s="1956">
        <v>75.479082085038684</v>
      </c>
      <c r="K193" s="1956">
        <v>77.98049867418365</v>
      </c>
      <c r="L193" s="1956">
        <v>95.245586399282402</v>
      </c>
      <c r="M193" s="1956">
        <v>100.22493837459284</v>
      </c>
      <c r="N193" s="1956">
        <v>83.303136431523711</v>
      </c>
      <c r="O193" s="1956">
        <v>87.249987801196411</v>
      </c>
      <c r="P193" s="1956">
        <v>96.714502628955074</v>
      </c>
      <c r="Q193" s="1956">
        <v>100.19764480971078</v>
      </c>
      <c r="R193" s="1956">
        <v>105.00380157946171</v>
      </c>
    </row>
    <row r="194" spans="2:18" x14ac:dyDescent="0.2">
      <c r="B194" s="1949" t="s">
        <v>387</v>
      </c>
      <c r="C194" s="1949" t="s">
        <v>453</v>
      </c>
      <c r="D194" s="779" t="s">
        <v>248</v>
      </c>
      <c r="F194" s="2042" t="str">
        <f t="shared" si="21"/>
        <v>WWRegDepEx</v>
      </c>
      <c r="G194" s="779" t="s">
        <v>359</v>
      </c>
      <c r="I194" s="1956">
        <v>4.7622999989010779</v>
      </c>
      <c r="J194" s="1956">
        <v>4.7622999989010779</v>
      </c>
      <c r="K194" s="1956">
        <v>4.7622999989010779</v>
      </c>
      <c r="L194" s="1956">
        <v>4.7622999989010779</v>
      </c>
      <c r="M194" s="1956">
        <v>4.7622999989010779</v>
      </c>
      <c r="N194" s="1956">
        <v>5.9828859713948406</v>
      </c>
      <c r="O194" s="1956">
        <v>5.9828859713948406</v>
      </c>
      <c r="P194" s="1956">
        <v>12.350999999999999</v>
      </c>
      <c r="Q194" s="1956">
        <v>11.157999999999999</v>
      </c>
      <c r="R194" s="1956">
        <v>10.651999999999999</v>
      </c>
    </row>
    <row r="195" spans="2:18" x14ac:dyDescent="0.2">
      <c r="B195" s="1949" t="s">
        <v>387</v>
      </c>
      <c r="C195" s="1949" t="s">
        <v>453</v>
      </c>
      <c r="D195" s="779" t="s">
        <v>249</v>
      </c>
      <c r="F195" s="2042" t="str">
        <f t="shared" si="21"/>
        <v>WWRegDepNew</v>
      </c>
      <c r="G195" s="779" t="s">
        <v>359</v>
      </c>
      <c r="I195" s="1956">
        <v>7.009952667175201E-2</v>
      </c>
      <c r="J195" s="1956">
        <v>0.3809412945077596</v>
      </c>
      <c r="K195" s="1956">
        <v>0.80340395057232883</v>
      </c>
      <c r="L195" s="1956">
        <v>1.6029505909737169</v>
      </c>
      <c r="M195" s="1956">
        <v>2.685805768712465</v>
      </c>
      <c r="N195" s="1956">
        <v>0.75614093856084863</v>
      </c>
      <c r="O195" s="1956">
        <v>2.2817188504265187</v>
      </c>
      <c r="P195" s="1956">
        <v>0.6463565071283881</v>
      </c>
      <c r="Q195" s="1956">
        <v>2.2678989209137992</v>
      </c>
      <c r="R195" s="1956">
        <v>4.531408050917296</v>
      </c>
    </row>
    <row r="196" spans="2:18" ht="10.5" x14ac:dyDescent="0.25">
      <c r="B196" s="1949" t="s">
        <v>387</v>
      </c>
      <c r="C196" s="1949" t="s">
        <v>453</v>
      </c>
      <c r="D196" s="779" t="s">
        <v>513</v>
      </c>
      <c r="E196" s="779" t="s">
        <v>21</v>
      </c>
      <c r="F196" s="2042" t="str">
        <f t="shared" si="21"/>
        <v>WWTotal prescribed capexWater</v>
      </c>
      <c r="G196" s="779" t="s">
        <v>359</v>
      </c>
      <c r="H196" s="1207"/>
      <c r="I196" s="1956">
        <v>8.1628796003906245</v>
      </c>
      <c r="J196" s="1956">
        <v>7.7259433440227703</v>
      </c>
      <c r="K196" s="1956">
        <v>11.358478188764046</v>
      </c>
      <c r="L196" s="1956">
        <v>27.168142596137152</v>
      </c>
      <c r="M196" s="1956">
        <v>15.009252695746609</v>
      </c>
      <c r="N196" s="1956">
        <v>32.120596700000007</v>
      </c>
      <c r="O196" s="1956">
        <v>25.2454753269474</v>
      </c>
      <c r="P196" s="1956">
        <v>36.174054288534649</v>
      </c>
      <c r="Q196" s="1956">
        <v>29.13575306468055</v>
      </c>
      <c r="R196" s="1956">
        <v>32.815674084564641</v>
      </c>
    </row>
    <row r="197" spans="2:18" ht="10.5" x14ac:dyDescent="0.25">
      <c r="B197" s="1949" t="s">
        <v>387</v>
      </c>
      <c r="C197" s="1949" t="s">
        <v>453</v>
      </c>
      <c r="D197" s="779" t="s">
        <v>513</v>
      </c>
      <c r="E197" s="779" t="s">
        <v>22</v>
      </c>
      <c r="F197" s="2042" t="str">
        <f t="shared" si="21"/>
        <v>WWTotal prescribed capexSewerage</v>
      </c>
      <c r="G197" s="779" t="s">
        <v>359</v>
      </c>
      <c r="H197" s="1207"/>
      <c r="I197" s="1956">
        <v>11.198053505859376</v>
      </c>
      <c r="J197" s="1956">
        <v>10.575135284819734</v>
      </c>
      <c r="K197" s="1956">
        <v>21.321718180149816</v>
      </c>
      <c r="L197" s="1956">
        <v>39.70954316136784</v>
      </c>
      <c r="M197" s="1956">
        <v>43.134048026425347</v>
      </c>
      <c r="N197" s="1956">
        <v>31.675758000000002</v>
      </c>
      <c r="O197" s="1956">
        <v>32.031847246687796</v>
      </c>
      <c r="P197" s="1956">
        <v>43.533629934702603</v>
      </c>
      <c r="Q197" s="1956">
        <v>52.494441391290806</v>
      </c>
      <c r="R197" s="1956">
        <v>54.864523588825577</v>
      </c>
    </row>
    <row r="198" spans="2:18" ht="10.5" x14ac:dyDescent="0.25">
      <c r="B198" s="1949" t="s">
        <v>387</v>
      </c>
      <c r="C198" s="1949" t="s">
        <v>453</v>
      </c>
      <c r="D198" s="779" t="s">
        <v>513</v>
      </c>
      <c r="E198" s="779" t="s">
        <v>275</v>
      </c>
      <c r="F198" s="2042" t="str">
        <f t="shared" si="21"/>
        <v>WWTotal prescribed capexRecycled Water</v>
      </c>
      <c r="G198" s="779" t="s">
        <v>359</v>
      </c>
      <c r="H198" s="1207"/>
      <c r="I198" s="1956">
        <v>2.3610622267578125</v>
      </c>
      <c r="J198" s="1956">
        <v>0.68306995237191648</v>
      </c>
      <c r="K198" s="1956">
        <v>5.333100368539327</v>
      </c>
      <c r="L198" s="1956">
        <v>6.4261612987060994</v>
      </c>
      <c r="M198" s="1956">
        <v>6.6310828847058829</v>
      </c>
      <c r="N198" s="1956">
        <v>7.1650443000000008</v>
      </c>
      <c r="O198" s="1956">
        <v>17.422807755054059</v>
      </c>
      <c r="P198" s="1956">
        <v>10.609490352324061</v>
      </c>
      <c r="Q198" s="1956">
        <v>12.082039089595886</v>
      </c>
      <c r="R198" s="1956">
        <v>10.617225865050546</v>
      </c>
    </row>
    <row r="199" spans="2:18" ht="10.5" x14ac:dyDescent="0.25">
      <c r="B199" s="1949" t="s">
        <v>387</v>
      </c>
      <c r="C199" s="1949" t="s">
        <v>453</v>
      </c>
      <c r="D199" s="779" t="s">
        <v>513</v>
      </c>
      <c r="E199" s="779" t="s">
        <v>353</v>
      </c>
      <c r="F199" s="2042" t="str">
        <f t="shared" si="21"/>
        <v>WWTotal prescribed capexRural Water</v>
      </c>
      <c r="G199" s="779" t="s">
        <v>359</v>
      </c>
      <c r="H199" s="1207"/>
      <c r="I199" s="1956">
        <v>0</v>
      </c>
      <c r="J199" s="1956">
        <v>0</v>
      </c>
      <c r="K199" s="1956">
        <v>0</v>
      </c>
      <c r="L199" s="1956">
        <v>0</v>
      </c>
      <c r="M199" s="1956">
        <v>0</v>
      </c>
      <c r="N199" s="1956">
        <v>0</v>
      </c>
      <c r="O199" s="1956">
        <v>0</v>
      </c>
      <c r="P199" s="1956">
        <v>0</v>
      </c>
      <c r="Q199" s="1956">
        <v>0</v>
      </c>
      <c r="R199" s="1956">
        <v>0</v>
      </c>
    </row>
    <row r="200" spans="2:18" ht="10.5" x14ac:dyDescent="0.25">
      <c r="B200" s="1949" t="s">
        <v>387</v>
      </c>
      <c r="C200" s="1949" t="s">
        <v>453</v>
      </c>
      <c r="D200" s="779" t="s">
        <v>513</v>
      </c>
      <c r="E200" s="779" t="s">
        <v>354</v>
      </c>
      <c r="F200" s="2042" t="str">
        <f t="shared" si="21"/>
        <v>WWTotal prescribed capexBulk Water</v>
      </c>
      <c r="G200" s="779" t="s">
        <v>359</v>
      </c>
      <c r="H200" s="1207"/>
      <c r="I200" s="1956">
        <v>0</v>
      </c>
      <c r="J200" s="1956">
        <v>0</v>
      </c>
      <c r="K200" s="1956">
        <v>0</v>
      </c>
      <c r="L200" s="1956">
        <v>0</v>
      </c>
      <c r="M200" s="1956">
        <v>0</v>
      </c>
      <c r="N200" s="1956">
        <v>0</v>
      </c>
      <c r="O200" s="1956">
        <v>0</v>
      </c>
      <c r="P200" s="1956">
        <v>0</v>
      </c>
      <c r="Q200" s="1956">
        <v>0</v>
      </c>
      <c r="R200" s="1956">
        <v>0</v>
      </c>
    </row>
    <row r="201" spans="2:18" ht="10.5" x14ac:dyDescent="0.25">
      <c r="B201" s="1949" t="s">
        <v>387</v>
      </c>
      <c r="C201" s="1949" t="s">
        <v>453</v>
      </c>
      <c r="D201" s="779" t="s">
        <v>911</v>
      </c>
      <c r="E201" s="778"/>
      <c r="F201" s="2042" t="str">
        <f t="shared" si="21"/>
        <v>WWTotal controllable opex</v>
      </c>
      <c r="G201" s="779" t="s">
        <v>359</v>
      </c>
      <c r="H201" s="1207"/>
      <c r="I201" s="1956">
        <v>52.437400974609361</v>
      </c>
      <c r="J201" s="1956">
        <v>44.154662831283112</v>
      </c>
      <c r="K201" s="1956">
        <v>56.682215365481611</v>
      </c>
      <c r="L201" s="1956">
        <v>54.735202900184845</v>
      </c>
      <c r="M201" s="1956">
        <v>55.340996057013569</v>
      </c>
      <c r="N201" s="1956">
        <v>59.626162665807584</v>
      </c>
      <c r="O201" s="1956">
        <v>59.1338662693896</v>
      </c>
      <c r="P201" s="1956">
        <v>61.374041615800941</v>
      </c>
      <c r="Q201" s="1956">
        <v>63.08227113569226</v>
      </c>
      <c r="R201" s="1956">
        <v>64.224724485921939</v>
      </c>
    </row>
    <row r="202" spans="2:18" ht="10.5" x14ac:dyDescent="0.25">
      <c r="B202" s="778"/>
      <c r="C202" s="778"/>
      <c r="D202" s="778"/>
      <c r="E202" s="778"/>
      <c r="F202" s="778"/>
      <c r="G202" s="778"/>
      <c r="H202" s="1207"/>
      <c r="I202" s="1207"/>
      <c r="J202" s="1207"/>
      <c r="K202" s="1207"/>
      <c r="L202" s="1207"/>
      <c r="M202" s="1207"/>
      <c r="N202" s="1207"/>
      <c r="O202" s="1207"/>
      <c r="P202" s="1207"/>
      <c r="Q202" s="1207"/>
      <c r="R202" s="1207"/>
    </row>
    <row r="203" spans="2:18" x14ac:dyDescent="0.2">
      <c r="B203" s="1407" t="s">
        <v>447</v>
      </c>
      <c r="C203" s="1407" t="s">
        <v>446</v>
      </c>
      <c r="D203" s="1407" t="s">
        <v>909</v>
      </c>
      <c r="E203" s="1407"/>
      <c r="F203" s="2054" t="str">
        <f>C203&amp;D203&amp;E203</f>
        <v>GWMWRAV (Opening Base)</v>
      </c>
      <c r="G203" s="779" t="s">
        <v>337</v>
      </c>
      <c r="H203" s="1407"/>
      <c r="I203" s="1956">
        <v>337.16639941828373</v>
      </c>
      <c r="J203" s="1956">
        <v>352.21887248552895</v>
      </c>
      <c r="K203" s="1956">
        <v>357.23813631681088</v>
      </c>
      <c r="L203" s="1956">
        <v>363.21772938205032</v>
      </c>
      <c r="M203" s="1956">
        <v>358.91392287149341</v>
      </c>
      <c r="N203" s="1956">
        <v>402.13130095953261</v>
      </c>
      <c r="O203" s="1956">
        <v>401.7378044042888</v>
      </c>
      <c r="P203" s="1956">
        <v>405.73068156837752</v>
      </c>
      <c r="Q203" s="1956">
        <v>411.14478565207332</v>
      </c>
      <c r="R203" s="1956">
        <v>412.75041605681906</v>
      </c>
    </row>
    <row r="204" spans="2:18" x14ac:dyDescent="0.2">
      <c r="B204" s="1407" t="s">
        <v>447</v>
      </c>
      <c r="C204" s="1407" t="s">
        <v>446</v>
      </c>
      <c r="D204" s="1407" t="s">
        <v>250</v>
      </c>
      <c r="E204" s="1407"/>
      <c r="F204" s="2054" t="str">
        <f t="shared" ref="F204:F215" si="22">C204&amp;D204&amp;E204</f>
        <v>GWMWRoA</v>
      </c>
      <c r="G204" s="779" t="s">
        <v>337</v>
      </c>
      <c r="H204" s="1407"/>
      <c r="I204" s="1956">
        <v>15.291003087527343</v>
      </c>
      <c r="J204" s="1956">
        <v>15.968995787889257</v>
      </c>
      <c r="K204" s="1956">
        <v>16.251929400516559</v>
      </c>
      <c r="L204" s="1956">
        <v>16.223100518373784</v>
      </c>
      <c r="M204" s="1956">
        <v>16.095090687139415</v>
      </c>
      <c r="N204" s="1956">
        <v>16.599897025762914</v>
      </c>
      <c r="O204" s="1956">
        <v>16.674224235335561</v>
      </c>
      <c r="P204" s="1956">
        <v>16.868478398102312</v>
      </c>
      <c r="Q204" s="1956">
        <v>17.013435915288628</v>
      </c>
      <c r="R204" s="1956">
        <v>17.019820291140206</v>
      </c>
    </row>
    <row r="205" spans="2:18" x14ac:dyDescent="0.2">
      <c r="B205" s="1407" t="s">
        <v>447</v>
      </c>
      <c r="C205" s="1407" t="s">
        <v>446</v>
      </c>
      <c r="D205" s="1407" t="s">
        <v>256</v>
      </c>
      <c r="E205" s="1407"/>
      <c r="F205" s="2054" t="str">
        <f t="shared" si="22"/>
        <v>GWMWRevenue Req</v>
      </c>
      <c r="G205" s="779" t="s">
        <v>337</v>
      </c>
      <c r="H205" s="1407"/>
      <c r="I205" s="1956">
        <v>61.000745325041848</v>
      </c>
      <c r="J205" s="1956">
        <v>61.686216899603217</v>
      </c>
      <c r="K205" s="1956">
        <v>62.616014541380409</v>
      </c>
      <c r="L205" s="1956">
        <v>62.599445801498099</v>
      </c>
      <c r="M205" s="1956">
        <v>62.346372144649379</v>
      </c>
      <c r="N205" s="1956">
        <v>62.49492241191578</v>
      </c>
      <c r="O205" s="1956">
        <v>63.061404856117029</v>
      </c>
      <c r="P205" s="1956">
        <v>63.477905501457684</v>
      </c>
      <c r="Q205" s="1956">
        <v>64.004751155170766</v>
      </c>
      <c r="R205" s="1956">
        <v>64.228813695156774</v>
      </c>
    </row>
    <row r="206" spans="2:18" x14ac:dyDescent="0.2">
      <c r="B206" s="1407" t="s">
        <v>447</v>
      </c>
      <c r="C206" s="1407" t="s">
        <v>446</v>
      </c>
      <c r="D206" s="1407" t="s">
        <v>248</v>
      </c>
      <c r="E206" s="1407"/>
      <c r="F206" s="2054" t="str">
        <f t="shared" si="22"/>
        <v>GWMWRegDepEx</v>
      </c>
      <c r="G206" s="779" t="s">
        <v>337</v>
      </c>
      <c r="H206" s="1407"/>
      <c r="I206" s="1956">
        <v>10.122012173972797</v>
      </c>
      <c r="J206" s="1956">
        <v>10.122012173972797</v>
      </c>
      <c r="K206" s="1956">
        <v>10.122012173972797</v>
      </c>
      <c r="L206" s="1956">
        <v>10.122012173972797</v>
      </c>
      <c r="M206" s="1956">
        <v>10.122012173972797</v>
      </c>
      <c r="N206" s="1956">
        <v>12.07689918140523</v>
      </c>
      <c r="O206" s="1956">
        <v>12.07689918140523</v>
      </c>
      <c r="P206" s="1956">
        <v>12.07689918140523</v>
      </c>
      <c r="Q206" s="1956">
        <v>12.07689918140523</v>
      </c>
      <c r="R206" s="1956">
        <v>12.07689918140523</v>
      </c>
    </row>
    <row r="207" spans="2:18" x14ac:dyDescent="0.2">
      <c r="B207" s="1407" t="s">
        <v>447</v>
      </c>
      <c r="C207" s="1407" t="s">
        <v>446</v>
      </c>
      <c r="D207" s="1407" t="s">
        <v>249</v>
      </c>
      <c r="E207" s="1407"/>
      <c r="F207" s="2054" t="str">
        <f t="shared" si="22"/>
        <v>GWMWRegDepNew</v>
      </c>
      <c r="G207" s="779" t="s">
        <v>337</v>
      </c>
      <c r="H207" s="1407"/>
      <c r="I207" s="1956">
        <v>0.40417887704371036</v>
      </c>
      <c r="J207" s="1956">
        <v>1.3852527399065733</v>
      </c>
      <c r="K207" s="1956">
        <v>2.2129902288121457</v>
      </c>
      <c r="L207" s="1956">
        <v>2.667741171129463</v>
      </c>
      <c r="M207" s="1956">
        <v>3.1042720202702703</v>
      </c>
      <c r="N207" s="1956">
        <v>0.14161422383860328</v>
      </c>
      <c r="O207" s="1956">
        <v>0.68358906450605372</v>
      </c>
      <c r="P207" s="1956">
        <v>1.2822944348989713</v>
      </c>
      <c r="Q207" s="1956">
        <v>1.7615811138490063</v>
      </c>
      <c r="R207" s="1956">
        <v>2.2392741299227841</v>
      </c>
    </row>
    <row r="208" spans="2:18" ht="10.5" x14ac:dyDescent="0.25">
      <c r="B208" s="1407" t="s">
        <v>447</v>
      </c>
      <c r="C208" s="1407" t="s">
        <v>446</v>
      </c>
      <c r="D208" s="1407" t="s">
        <v>513</v>
      </c>
      <c r="E208" s="1407" t="s">
        <v>947</v>
      </c>
      <c r="F208" s="2054" t="str">
        <f t="shared" si="22"/>
        <v>GWMWTotal prescribed capexUrban Water</v>
      </c>
      <c r="G208" s="779" t="s">
        <v>337</v>
      </c>
      <c r="H208" s="1957"/>
      <c r="I208" s="1956">
        <v>16.210970091652495</v>
      </c>
      <c r="J208" s="1956">
        <v>5.0720967741935477</v>
      </c>
      <c r="K208" s="1956">
        <v>6.3264208528145405</v>
      </c>
      <c r="L208" s="1956">
        <v>4.882755662507444</v>
      </c>
      <c r="M208" s="1956">
        <v>22.336852338338339</v>
      </c>
      <c r="N208" s="1956">
        <v>9.3384775228727488</v>
      </c>
      <c r="O208" s="1956">
        <v>11.659873132319976</v>
      </c>
      <c r="P208" s="1956">
        <v>12.450641287023245</v>
      </c>
      <c r="Q208" s="1956">
        <v>6.7309062552052872</v>
      </c>
      <c r="R208" s="1956">
        <v>10.261389561360906</v>
      </c>
    </row>
    <row r="209" spans="2:18" ht="10.5" x14ac:dyDescent="0.25">
      <c r="B209" s="1407" t="s">
        <v>447</v>
      </c>
      <c r="C209" s="1407" t="s">
        <v>446</v>
      </c>
      <c r="D209" s="1407" t="s">
        <v>513</v>
      </c>
      <c r="E209" s="1407" t="s">
        <v>22</v>
      </c>
      <c r="F209" s="2054" t="str">
        <f t="shared" si="22"/>
        <v>GWMWTotal prescribed capexSewerage</v>
      </c>
      <c r="G209" s="779" t="s">
        <v>337</v>
      </c>
      <c r="H209" s="1957"/>
      <c r="I209" s="1956">
        <v>3.2260638919552318</v>
      </c>
      <c r="J209" s="1956">
        <v>5.4295967741935485</v>
      </c>
      <c r="K209" s="1956">
        <v>2.8225434458297767</v>
      </c>
      <c r="L209" s="1956">
        <v>4.401259092488691</v>
      </c>
      <c r="M209" s="1956">
        <v>2.2226444408908907</v>
      </c>
      <c r="N209" s="1956">
        <v>5.899759610113402</v>
      </c>
      <c r="O209" s="1956">
        <v>4.1975288324173388</v>
      </c>
      <c r="P209" s="1956">
        <v>5.9033659482257672</v>
      </c>
      <c r="Q209" s="1956">
        <v>3.063543582243236</v>
      </c>
      <c r="R209" s="1956">
        <v>3.3423758941549075</v>
      </c>
    </row>
    <row r="210" spans="2:18" ht="10.5" x14ac:dyDescent="0.25">
      <c r="B210" s="1407" t="s">
        <v>447</v>
      </c>
      <c r="C210" s="1407" t="s">
        <v>446</v>
      </c>
      <c r="D210" s="1407" t="s">
        <v>513</v>
      </c>
      <c r="E210" s="1407" t="s">
        <v>275</v>
      </c>
      <c r="F210" s="2054" t="str">
        <f t="shared" si="22"/>
        <v>GWMWTotal prescribed capexRecycled Water</v>
      </c>
      <c r="G210" s="779" t="s">
        <v>337</v>
      </c>
      <c r="H210" s="1957"/>
      <c r="I210" s="1956">
        <v>0.16645246134516012</v>
      </c>
      <c r="J210" s="1956">
        <v>1.2580645161290323E-2</v>
      </c>
      <c r="K210" s="1956">
        <v>-7.1524977211848552E-5</v>
      </c>
      <c r="L210" s="1956">
        <v>9.9454775031398253E-4</v>
      </c>
      <c r="M210" s="1956">
        <v>3.8273981231231234E-2</v>
      </c>
      <c r="N210" s="1956">
        <v>0</v>
      </c>
      <c r="O210" s="1956">
        <v>0.17399999999999999</v>
      </c>
      <c r="P210" s="1956">
        <v>0</v>
      </c>
      <c r="Q210" s="1956">
        <v>0</v>
      </c>
      <c r="R210" s="1956">
        <v>0</v>
      </c>
    </row>
    <row r="211" spans="2:18" ht="10.5" x14ac:dyDescent="0.25">
      <c r="B211" s="1407" t="s">
        <v>447</v>
      </c>
      <c r="C211" s="1407" t="s">
        <v>446</v>
      </c>
      <c r="D211" s="1407" t="s">
        <v>513</v>
      </c>
      <c r="E211" s="1407" t="s">
        <v>948</v>
      </c>
      <c r="F211" s="2054" t="str">
        <f t="shared" si="22"/>
        <v>GWMWTotal prescribed capexBulk water - headworks</v>
      </c>
      <c r="G211" s="779" t="s">
        <v>337</v>
      </c>
      <c r="H211" s="1957"/>
      <c r="I211" s="1956">
        <v>3.247949969299265</v>
      </c>
      <c r="J211" s="1956">
        <v>0.53258064516129022</v>
      </c>
      <c r="K211" s="1956">
        <v>0.687935840313597</v>
      </c>
      <c r="L211" s="1956">
        <v>1.3448761624655494</v>
      </c>
      <c r="M211" s="1956">
        <v>0.76288165790790796</v>
      </c>
      <c r="N211" s="1956">
        <v>0.75209106284273286</v>
      </c>
      <c r="O211" s="1956">
        <v>1.8985197453352964</v>
      </c>
      <c r="P211" s="1956">
        <v>1.7871632643719022</v>
      </c>
      <c r="Q211" s="1956">
        <v>7.0587182465184064</v>
      </c>
      <c r="R211" s="1956">
        <v>0.69298395061890372</v>
      </c>
    </row>
    <row r="212" spans="2:18" ht="10.5" x14ac:dyDescent="0.25">
      <c r="B212" s="1407" t="s">
        <v>447</v>
      </c>
      <c r="C212" s="1407" t="s">
        <v>446</v>
      </c>
      <c r="D212" s="1407" t="s">
        <v>513</v>
      </c>
      <c r="E212" s="1407" t="s">
        <v>949</v>
      </c>
      <c r="F212" s="2054" t="str">
        <f t="shared" si="22"/>
        <v>GWMWTotal prescribed capexDomestic and stock</v>
      </c>
      <c r="G212" s="779" t="s">
        <v>337</v>
      </c>
      <c r="H212" s="1957"/>
      <c r="I212" s="1956">
        <v>7.9579485067871021</v>
      </c>
      <c r="J212" s="1956">
        <v>9.2866129032258069</v>
      </c>
      <c r="K212" s="1956">
        <v>12.734097025446365</v>
      </c>
      <c r="L212" s="1956">
        <v>11.655261266322976</v>
      </c>
      <c r="M212" s="1956">
        <v>83.402419457857846</v>
      </c>
      <c r="N212" s="1956">
        <v>0.422031350792057</v>
      </c>
      <c r="O212" s="1956">
        <v>0.57441933456991801</v>
      </c>
      <c r="P212" s="1956">
        <v>0.43245332572218698</v>
      </c>
      <c r="Q212" s="1956">
        <v>0.42580892850585245</v>
      </c>
      <c r="R212" s="1956">
        <v>0.55897527050546647</v>
      </c>
    </row>
    <row r="213" spans="2:18" ht="10.5" x14ac:dyDescent="0.25">
      <c r="B213" s="1407" t="s">
        <v>447</v>
      </c>
      <c r="C213" s="1407" t="s">
        <v>446</v>
      </c>
      <c r="D213" s="1407" t="s">
        <v>513</v>
      </c>
      <c r="E213" s="1407" t="s">
        <v>950</v>
      </c>
      <c r="F213" s="2054" t="str">
        <f>C213&amp;D213&amp;E213</f>
        <v>GWMWTotal prescribed capexSurface water diversions</v>
      </c>
      <c r="G213" s="779" t="s">
        <v>337</v>
      </c>
      <c r="H213" s="1957"/>
      <c r="I213" s="1956">
        <v>7.1874269745976728E-3</v>
      </c>
      <c r="J213" s="1956">
        <v>1.1532258064516127E-2</v>
      </c>
      <c r="K213" s="1956">
        <v>2.4521067415730349E-4</v>
      </c>
      <c r="L213" s="1956">
        <v>8.9372779461068582E-3</v>
      </c>
      <c r="M213" s="1956">
        <v>6.3918188538538534E-2</v>
      </c>
      <c r="N213" s="1956">
        <v>6.1685806025590035E-3</v>
      </c>
      <c r="O213" s="1956">
        <v>5.1500055096497816E-3</v>
      </c>
      <c r="P213" s="1956">
        <v>4.1767678627610844E-3</v>
      </c>
      <c r="Q213" s="1956">
        <v>6.6107701958525037E-3</v>
      </c>
      <c r="R213" s="1956">
        <v>4.6727587581431159E-3</v>
      </c>
    </row>
    <row r="214" spans="2:18" ht="10.5" x14ac:dyDescent="0.25">
      <c r="B214" s="1407" t="s">
        <v>447</v>
      </c>
      <c r="C214" s="1407" t="s">
        <v>446</v>
      </c>
      <c r="D214" s="1407" t="s">
        <v>513</v>
      </c>
      <c r="E214" s="1407" t="s">
        <v>951</v>
      </c>
      <c r="F214" s="2054" t="str">
        <f>C214&amp;D214&amp;E214</f>
        <v>GWMWTotal prescribed capexGroundwater diversions</v>
      </c>
      <c r="G214" s="779" t="s">
        <v>337</v>
      </c>
      <c r="H214" s="1957"/>
      <c r="I214" s="1956">
        <v>0.11220427273809994</v>
      </c>
      <c r="J214" s="1956">
        <v>7.2338709677419344E-2</v>
      </c>
      <c r="K214" s="1956">
        <v>1.1360579301890388</v>
      </c>
      <c r="L214" s="1956">
        <v>0.17327161360403759</v>
      </c>
      <c r="M214" s="1956">
        <v>0.15977421751751752</v>
      </c>
      <c r="N214" s="1956">
        <v>0.11327527277649295</v>
      </c>
      <c r="O214" s="1956">
        <v>9.5343489847822885E-2</v>
      </c>
      <c r="P214" s="1956">
        <v>7.7958756794137399E-2</v>
      </c>
      <c r="Q214" s="1956">
        <v>0.1244011173313662</v>
      </c>
      <c r="R214" s="1956">
        <v>8.8654044601673268E-2</v>
      </c>
    </row>
    <row r="215" spans="2:18" ht="10.5" x14ac:dyDescent="0.25">
      <c r="B215" s="1407" t="s">
        <v>447</v>
      </c>
      <c r="C215" s="1407" t="s">
        <v>446</v>
      </c>
      <c r="D215" s="1407" t="s">
        <v>911</v>
      </c>
      <c r="E215" s="1958"/>
      <c r="F215" s="2054" t="str">
        <f t="shared" si="22"/>
        <v>GWMWTotal controllable opex</v>
      </c>
      <c r="G215" s="779" t="s">
        <v>337</v>
      </c>
      <c r="H215" s="1957"/>
      <c r="I215" s="1956">
        <v>32.511062023407227</v>
      </c>
      <c r="J215" s="1956">
        <v>31.757741935483871</v>
      </c>
      <c r="K215" s="1956">
        <v>32.542454054206225</v>
      </c>
      <c r="L215" s="1956">
        <v>31.200713744060195</v>
      </c>
      <c r="M215" s="1956">
        <v>32.760163930000004</v>
      </c>
      <c r="N215" s="1956">
        <v>31.128800164481504</v>
      </c>
      <c r="O215" s="1956">
        <v>31.128800134481505</v>
      </c>
      <c r="P215" s="1956">
        <v>30.801040734481496</v>
      </c>
      <c r="Q215" s="1956">
        <v>30.751246774481501</v>
      </c>
      <c r="R215" s="1956">
        <v>30.520571854481503</v>
      </c>
    </row>
    <row r="216" spans="2:18" ht="10.5" x14ac:dyDescent="0.25">
      <c r="B216" s="778"/>
      <c r="C216" s="778"/>
      <c r="D216" s="778"/>
      <c r="E216" s="778"/>
      <c r="F216" s="778"/>
      <c r="G216" s="778"/>
      <c r="H216" s="1207"/>
      <c r="I216" s="1207"/>
      <c r="J216" s="1207"/>
      <c r="K216" s="1207"/>
      <c r="L216" s="1207"/>
      <c r="M216" s="1207"/>
      <c r="N216" s="1207"/>
      <c r="O216" s="1207"/>
      <c r="P216" s="1207"/>
      <c r="Q216" s="1207"/>
      <c r="R216" s="1207"/>
    </row>
    <row r="217" spans="2:18" x14ac:dyDescent="0.2">
      <c r="B217" s="1407" t="s">
        <v>560</v>
      </c>
      <c r="C217" s="1407" t="s">
        <v>561</v>
      </c>
      <c r="D217" s="1407" t="s">
        <v>909</v>
      </c>
      <c r="E217" s="1407"/>
      <c r="F217" s="2054" t="str">
        <f t="shared" ref="F217:F227" si="23">C217&amp;D217&amp;E217</f>
        <v>LMW-URAV (Opening Base)</v>
      </c>
      <c r="G217" s="1407" t="s">
        <v>337</v>
      </c>
      <c r="H217" s="1407"/>
      <c r="I217" s="1956">
        <v>147.99365101211072</v>
      </c>
      <c r="J217" s="1956">
        <v>152.94668271018222</v>
      </c>
      <c r="K217" s="1956">
        <v>153.84467162716021</v>
      </c>
      <c r="L217" s="1956">
        <v>157.39740560141473</v>
      </c>
      <c r="M217" s="1956">
        <v>154.96390335163301</v>
      </c>
      <c r="N217" s="1956">
        <v>156.09742923481821</v>
      </c>
      <c r="O217" s="1956">
        <v>167.96214324316173</v>
      </c>
      <c r="P217" s="1956">
        <v>170.6710321274856</v>
      </c>
      <c r="Q217" s="1956">
        <v>175.81058409263935</v>
      </c>
      <c r="R217" s="1956">
        <v>177.66993728961546</v>
      </c>
    </row>
    <row r="218" spans="2:18" x14ac:dyDescent="0.2">
      <c r="B218" s="1407" t="s">
        <v>560</v>
      </c>
      <c r="C218" s="1407" t="s">
        <v>561</v>
      </c>
      <c r="D218" s="1407" t="s">
        <v>250</v>
      </c>
      <c r="E218" s="1407"/>
      <c r="F218" s="2054" t="str">
        <f t="shared" si="23"/>
        <v>LMW-URoA</v>
      </c>
      <c r="G218" s="1407" t="s">
        <v>337</v>
      </c>
      <c r="H218" s="1407"/>
      <c r="I218" s="1956">
        <v>7.0744233371768361</v>
      </c>
      <c r="J218" s="1956">
        <v>7.4393697138446617</v>
      </c>
      <c r="K218" s="1956">
        <v>7.629629469782957</v>
      </c>
      <c r="L218" s="1956">
        <v>7.6484992579226869</v>
      </c>
      <c r="M218" s="1956">
        <v>7.6197277142635711</v>
      </c>
      <c r="N218" s="1956">
        <v>6.4325825136879011</v>
      </c>
      <c r="O218" s="1956">
        <v>6.7218685311073489</v>
      </c>
      <c r="P218" s="1956">
        <v>6.8776600819694789</v>
      </c>
      <c r="Q218" s="1956">
        <v>7.0165883494377574</v>
      </c>
      <c r="R218" s="1956">
        <v>7.0951920275894018</v>
      </c>
    </row>
    <row r="219" spans="2:18" x14ac:dyDescent="0.2">
      <c r="B219" s="1407" t="s">
        <v>560</v>
      </c>
      <c r="C219" s="1407" t="s">
        <v>561</v>
      </c>
      <c r="D219" s="1407" t="s">
        <v>256</v>
      </c>
      <c r="E219" s="1407"/>
      <c r="F219" s="2054" t="str">
        <f t="shared" si="23"/>
        <v>LMW-URevenue Req</v>
      </c>
      <c r="G219" s="1407" t="s">
        <v>337</v>
      </c>
      <c r="H219" s="1407"/>
      <c r="I219" s="1956">
        <v>33.651945929434184</v>
      </c>
      <c r="J219" s="1956">
        <v>34.712157249405301</v>
      </c>
      <c r="K219" s="1956">
        <v>35.775102144991848</v>
      </c>
      <c r="L219" s="1956">
        <v>35.601340348467865</v>
      </c>
      <c r="M219" s="1956">
        <v>36.061149626284006</v>
      </c>
      <c r="N219" s="1956">
        <v>37.899134311694937</v>
      </c>
      <c r="O219" s="1956">
        <v>37.38896106583109</v>
      </c>
      <c r="P219" s="1956">
        <v>37.050660939461658</v>
      </c>
      <c r="Q219" s="1956">
        <v>37.504169903643252</v>
      </c>
      <c r="R219" s="1956">
        <v>37.712740340225714</v>
      </c>
    </row>
    <row r="220" spans="2:18" x14ac:dyDescent="0.2">
      <c r="B220" s="1407" t="s">
        <v>560</v>
      </c>
      <c r="C220" s="1407" t="s">
        <v>561</v>
      </c>
      <c r="D220" s="1407" t="s">
        <v>248</v>
      </c>
      <c r="E220" s="1407"/>
      <c r="F220" s="2054" t="str">
        <f t="shared" si="23"/>
        <v>LMW-URegDepEx</v>
      </c>
      <c r="G220" s="1407" t="s">
        <v>337</v>
      </c>
      <c r="H220" s="1407"/>
      <c r="I220" s="1956">
        <v>5.4640365989815258</v>
      </c>
      <c r="J220" s="1956">
        <v>5.4640365989815258</v>
      </c>
      <c r="K220" s="1956">
        <v>5.4318558372220433</v>
      </c>
      <c r="L220" s="1956">
        <v>5.3445081535701657</v>
      </c>
      <c r="M220" s="1956">
        <v>5.3433546883585752</v>
      </c>
      <c r="N220" s="1956">
        <v>7.8536032833231433</v>
      </c>
      <c r="O220" s="1956">
        <v>7.5879368274816903</v>
      </c>
      <c r="P220" s="1956">
        <v>7.171608920262913</v>
      </c>
      <c r="Q220" s="1956">
        <v>6.9430009176072245</v>
      </c>
      <c r="R220" s="1956">
        <v>6.6602401493054684</v>
      </c>
    </row>
    <row r="221" spans="2:18" x14ac:dyDescent="0.2">
      <c r="B221" s="1407" t="s">
        <v>560</v>
      </c>
      <c r="C221" s="1407" t="s">
        <v>561</v>
      </c>
      <c r="D221" s="1407" t="s">
        <v>249</v>
      </c>
      <c r="E221" s="1407"/>
      <c r="F221" s="2054" t="str">
        <f t="shared" si="23"/>
        <v>LMW-URegDepNew</v>
      </c>
      <c r="G221" s="1407" t="s">
        <v>337</v>
      </c>
      <c r="H221" s="1407"/>
      <c r="I221" s="1956">
        <v>0.3393049304860416</v>
      </c>
      <c r="J221" s="1956">
        <v>0.92789222597597598</v>
      </c>
      <c r="K221" s="1956">
        <v>1.3920978898342784</v>
      </c>
      <c r="L221" s="1956">
        <v>1.7616549759481703</v>
      </c>
      <c r="M221" s="1956">
        <v>2.1084261226504277</v>
      </c>
      <c r="N221" s="1956">
        <v>0.28723270833333336</v>
      </c>
      <c r="O221" s="1956">
        <v>0.86704928819444449</v>
      </c>
      <c r="P221" s="1956">
        <v>1.3921641145833339</v>
      </c>
      <c r="Q221" s="1956">
        <v>1.8017458854166668</v>
      </c>
      <c r="R221" s="1956">
        <v>2.323905017361112</v>
      </c>
    </row>
    <row r="222" spans="2:18" ht="10.5" x14ac:dyDescent="0.25">
      <c r="B222" s="1407" t="s">
        <v>560</v>
      </c>
      <c r="C222" s="1407" t="s">
        <v>561</v>
      </c>
      <c r="D222" s="1407" t="s">
        <v>513</v>
      </c>
      <c r="E222" s="1407" t="s">
        <v>21</v>
      </c>
      <c r="F222" s="2054" t="str">
        <f t="shared" si="23"/>
        <v>LMW-UTotal prescribed capexWater</v>
      </c>
      <c r="G222" s="1407" t="s">
        <v>337</v>
      </c>
      <c r="H222" s="1957"/>
      <c r="I222" s="1956">
        <v>5.8210596069335931</v>
      </c>
      <c r="J222" s="1956">
        <v>6.3659112903225807</v>
      </c>
      <c r="K222" s="1956">
        <v>9.2923340262172296</v>
      </c>
      <c r="L222" s="1956">
        <v>3.5084830004736598</v>
      </c>
      <c r="M222" s="1956">
        <v>4.2423846338838835</v>
      </c>
      <c r="N222" s="1956">
        <v>11.719196999999999</v>
      </c>
      <c r="O222" s="1956">
        <v>5.9570924999999999</v>
      </c>
      <c r="P222" s="1956">
        <v>11.1123955</v>
      </c>
      <c r="Q222" s="1956">
        <v>8.1818139999999993</v>
      </c>
      <c r="R222" s="1956">
        <v>9.0815245000000004</v>
      </c>
    </row>
    <row r="223" spans="2:18" ht="10.5" x14ac:dyDescent="0.25">
      <c r="B223" s="1407" t="s">
        <v>560</v>
      </c>
      <c r="C223" s="1407" t="s">
        <v>561</v>
      </c>
      <c r="D223" s="1407" t="s">
        <v>513</v>
      </c>
      <c r="E223" s="1407" t="s">
        <v>22</v>
      </c>
      <c r="F223" s="2054" t="str">
        <f t="shared" si="23"/>
        <v>LMW-UTotal prescribed capexSewerage</v>
      </c>
      <c r="G223" s="1407" t="s">
        <v>337</v>
      </c>
      <c r="H223" s="1957"/>
      <c r="I223" s="1956">
        <v>7.1180425659179694</v>
      </c>
      <c r="J223" s="1956">
        <v>3.0590887096774195</v>
      </c>
      <c r="K223" s="1956">
        <v>2.1696612921348319</v>
      </c>
      <c r="L223" s="1956">
        <v>2.9294929947897415</v>
      </c>
      <c r="M223" s="1956">
        <v>5.5679220603103099</v>
      </c>
      <c r="N223" s="1956">
        <v>9.4613530000000008</v>
      </c>
      <c r="O223" s="1956">
        <v>6.3817824999999999</v>
      </c>
      <c r="P223" s="1956">
        <v>3.7659294999999999</v>
      </c>
      <c r="Q223" s="1956">
        <v>3.597286</v>
      </c>
      <c r="R223" s="1956">
        <v>3.1781504999999997</v>
      </c>
    </row>
    <row r="224" spans="2:18" ht="10.5" x14ac:dyDescent="0.25">
      <c r="B224" s="1407" t="s">
        <v>560</v>
      </c>
      <c r="C224" s="1407" t="s">
        <v>561</v>
      </c>
      <c r="D224" s="1407" t="s">
        <v>513</v>
      </c>
      <c r="E224" s="1407" t="s">
        <v>275</v>
      </c>
      <c r="F224" s="2054" t="str">
        <f t="shared" si="23"/>
        <v>LMW-UTotal prescribed capexRecycled Water</v>
      </c>
      <c r="G224" s="1407" t="s">
        <v>337</v>
      </c>
      <c r="H224" s="1957"/>
      <c r="I224" s="1956">
        <v>7.2299804687500011E-2</v>
      </c>
      <c r="J224" s="1956">
        <v>2.0967741935483874E-3</v>
      </c>
      <c r="K224" s="1956">
        <v>0</v>
      </c>
      <c r="L224" s="1956">
        <v>0</v>
      </c>
      <c r="M224" s="1956">
        <v>0</v>
      </c>
      <c r="N224" s="1956">
        <v>0</v>
      </c>
      <c r="O224" s="1956">
        <v>0</v>
      </c>
      <c r="P224" s="1956">
        <v>0</v>
      </c>
      <c r="Q224" s="1956">
        <v>0</v>
      </c>
      <c r="R224" s="1956">
        <v>0</v>
      </c>
    </row>
    <row r="225" spans="2:18" ht="10.5" x14ac:dyDescent="0.25">
      <c r="B225" s="1407" t="s">
        <v>560</v>
      </c>
      <c r="C225" s="1407" t="s">
        <v>561</v>
      </c>
      <c r="D225" s="1407" t="s">
        <v>513</v>
      </c>
      <c r="E225" s="1407" t="s">
        <v>353</v>
      </c>
      <c r="F225" s="2054" t="str">
        <f t="shared" si="23"/>
        <v>LMW-UTotal prescribed capexRural Water</v>
      </c>
      <c r="G225" s="1407" t="s">
        <v>337</v>
      </c>
      <c r="H225" s="1957"/>
      <c r="I225" s="1956">
        <v>0</v>
      </c>
      <c r="J225" s="1956">
        <v>0</v>
      </c>
      <c r="K225" s="1956">
        <v>0</v>
      </c>
      <c r="L225" s="1956">
        <v>0</v>
      </c>
      <c r="M225" s="1956">
        <v>0</v>
      </c>
      <c r="N225" s="1956">
        <v>0</v>
      </c>
      <c r="O225" s="1956">
        <v>0</v>
      </c>
      <c r="P225" s="1956">
        <v>0</v>
      </c>
      <c r="Q225" s="1956">
        <v>0</v>
      </c>
      <c r="R225" s="1956">
        <v>0</v>
      </c>
    </row>
    <row r="226" spans="2:18" ht="10.5" x14ac:dyDescent="0.25">
      <c r="B226" s="1407" t="s">
        <v>560</v>
      </c>
      <c r="C226" s="1407" t="s">
        <v>561</v>
      </c>
      <c r="D226" s="1407" t="s">
        <v>513</v>
      </c>
      <c r="E226" s="1407" t="s">
        <v>354</v>
      </c>
      <c r="F226" s="2054" t="str">
        <f t="shared" si="23"/>
        <v>LMW-UTotal prescribed capexBulk Water</v>
      </c>
      <c r="G226" s="1407" t="s">
        <v>337</v>
      </c>
      <c r="H226" s="1957"/>
      <c r="I226" s="1956">
        <v>0</v>
      </c>
      <c r="J226" s="1956">
        <v>0</v>
      </c>
      <c r="K226" s="1956">
        <v>0</v>
      </c>
      <c r="L226" s="1956">
        <v>0</v>
      </c>
      <c r="M226" s="1956">
        <v>0</v>
      </c>
      <c r="N226" s="1956">
        <v>0</v>
      </c>
      <c r="O226" s="1956">
        <v>0</v>
      </c>
      <c r="P226" s="1956">
        <v>0</v>
      </c>
      <c r="Q226" s="1956">
        <v>0</v>
      </c>
      <c r="R226" s="1956">
        <v>0</v>
      </c>
    </row>
    <row r="227" spans="2:18" ht="10.5" x14ac:dyDescent="0.25">
      <c r="B227" s="1407" t="s">
        <v>560</v>
      </c>
      <c r="C227" s="1407" t="s">
        <v>561</v>
      </c>
      <c r="D227" s="1407" t="s">
        <v>911</v>
      </c>
      <c r="E227" s="1958"/>
      <c r="F227" s="2054" t="str">
        <f t="shared" si="23"/>
        <v>LMW-UTotal controllable opex</v>
      </c>
      <c r="G227" s="1407" t="s">
        <v>337</v>
      </c>
      <c r="H227" s="1957"/>
      <c r="I227" s="1956">
        <v>17.514843280057377</v>
      </c>
      <c r="J227" s="1956">
        <v>19.236620237197581</v>
      </c>
      <c r="K227" s="1956">
        <v>20.618262272048224</v>
      </c>
      <c r="L227" s="1956">
        <v>22.052535388816999</v>
      </c>
      <c r="M227" s="1956">
        <v>20.42741384</v>
      </c>
      <c r="N227" s="1956">
        <v>21.709389050965612</v>
      </c>
      <c r="O227" s="1956">
        <v>20.647721418498332</v>
      </c>
      <c r="P227" s="1956">
        <v>20.096369037688572</v>
      </c>
      <c r="Q227" s="1956">
        <v>20.281116906861776</v>
      </c>
      <c r="R227" s="1956">
        <v>20.212614595240836</v>
      </c>
    </row>
    <row r="228" spans="2:18" ht="10.5" x14ac:dyDescent="0.25">
      <c r="B228" s="778"/>
      <c r="C228" s="778"/>
      <c r="D228" s="778"/>
      <c r="E228" s="778"/>
      <c r="F228" s="778"/>
      <c r="G228" s="778"/>
      <c r="H228" s="1207"/>
      <c r="I228" s="1207"/>
      <c r="J228" s="1207"/>
      <c r="K228" s="1207"/>
      <c r="L228" s="1207"/>
      <c r="M228" s="1207"/>
      <c r="N228" s="1207"/>
      <c r="O228" s="1207"/>
      <c r="P228" s="1207"/>
      <c r="Q228" s="1207"/>
      <c r="R228" s="1207"/>
    </row>
    <row r="229" spans="2:18" x14ac:dyDescent="0.2">
      <c r="B229" s="1407" t="s">
        <v>562</v>
      </c>
      <c r="C229" s="1407" t="s">
        <v>564</v>
      </c>
      <c r="D229" s="1407" t="s">
        <v>909</v>
      </c>
      <c r="E229" s="1407"/>
      <c r="F229" s="1407" t="s">
        <v>1059</v>
      </c>
      <c r="G229" s="1407" t="s">
        <v>337</v>
      </c>
      <c r="H229" s="1407"/>
      <c r="I229" s="1956">
        <v>78.16451380685244</v>
      </c>
      <c r="J229" s="1956">
        <v>54.615451445294255</v>
      </c>
      <c r="K229" s="1956">
        <v>45.004300659725672</v>
      </c>
      <c r="L229" s="1956">
        <v>74.129038682507499</v>
      </c>
      <c r="M229" s="1956">
        <v>84.563004282445903</v>
      </c>
      <c r="N229" s="1956">
        <v>73.967290303616394</v>
      </c>
      <c r="O229" s="1956">
        <v>83.91813398940495</v>
      </c>
      <c r="P229" s="1956">
        <v>86.765719781068285</v>
      </c>
      <c r="Q229" s="1956">
        <v>88.715143233430439</v>
      </c>
      <c r="R229" s="1956">
        <v>89.818773162219827</v>
      </c>
    </row>
    <row r="230" spans="2:18" x14ac:dyDescent="0.2">
      <c r="B230" s="1407" t="s">
        <v>562</v>
      </c>
      <c r="C230" s="1407" t="s">
        <v>564</v>
      </c>
      <c r="D230" s="1407" t="s">
        <v>250</v>
      </c>
      <c r="E230" s="1407"/>
      <c r="F230" s="1407" t="s">
        <v>1060</v>
      </c>
      <c r="G230" s="1407" t="s">
        <v>337</v>
      </c>
      <c r="H230" s="1407"/>
      <c r="I230" s="1956">
        <v>3.7162770897817885</v>
      </c>
      <c r="J230" s="1956">
        <v>4.2531999023026428</v>
      </c>
      <c r="K230" s="1956">
        <v>4.4034819129746774</v>
      </c>
      <c r="L230" s="1956">
        <v>4.3838836019396989</v>
      </c>
      <c r="M230" s="1956">
        <v>4.3591154644523948</v>
      </c>
      <c r="N230" s="1956">
        <v>3.1577084858604265</v>
      </c>
      <c r="O230" s="1956">
        <v>3.4136770754094643</v>
      </c>
      <c r="P230" s="1956">
        <v>3.509617260289974</v>
      </c>
      <c r="Q230" s="1956">
        <v>3.5706783279130052</v>
      </c>
      <c r="R230" s="1956">
        <v>3.6234965250539704</v>
      </c>
    </row>
    <row r="231" spans="2:18" x14ac:dyDescent="0.2">
      <c r="B231" s="1407" t="s">
        <v>562</v>
      </c>
      <c r="C231" s="1407" t="s">
        <v>564</v>
      </c>
      <c r="D231" s="1407" t="s">
        <v>256</v>
      </c>
      <c r="E231" s="1407"/>
      <c r="F231" s="1407" t="s">
        <v>1061</v>
      </c>
      <c r="G231" s="1407" t="s">
        <v>337</v>
      </c>
      <c r="H231" s="1407"/>
      <c r="I231" s="1956">
        <v>29.517785287345259</v>
      </c>
      <c r="J231" s="1956">
        <v>30.229937175960739</v>
      </c>
      <c r="K231" s="1956">
        <v>30.583799863396589</v>
      </c>
      <c r="L231" s="1956">
        <v>30.715983992118431</v>
      </c>
      <c r="M231" s="1956">
        <v>30.752115539161508</v>
      </c>
      <c r="N231" s="1956">
        <v>25.874875434588006</v>
      </c>
      <c r="O231" s="1956">
        <v>25.630721185349259</v>
      </c>
      <c r="P231" s="1956">
        <v>25.611108558090091</v>
      </c>
      <c r="Q231" s="1956">
        <v>25.578625219150897</v>
      </c>
      <c r="R231" s="1956">
        <v>25.567097548376612</v>
      </c>
    </row>
    <row r="232" spans="2:18" x14ac:dyDescent="0.2">
      <c r="B232" s="1407" t="s">
        <v>562</v>
      </c>
      <c r="C232" s="1407" t="s">
        <v>564</v>
      </c>
      <c r="D232" s="1407" t="s">
        <v>248</v>
      </c>
      <c r="E232" s="1407"/>
      <c r="F232" s="1407" t="s">
        <v>1062</v>
      </c>
      <c r="G232" s="1407" t="s">
        <v>337</v>
      </c>
      <c r="H232" s="1407"/>
      <c r="I232" s="1956">
        <v>2.1921977020095618</v>
      </c>
      <c r="J232" s="1956">
        <v>2.0652491101266515</v>
      </c>
      <c r="K232" s="1956">
        <v>1.902386722701183</v>
      </c>
      <c r="L232" s="1956">
        <v>1.7520383829129891</v>
      </c>
      <c r="M232" s="1956">
        <v>1.6527015150323752</v>
      </c>
      <c r="N232" s="1956">
        <v>2.0215081892114446</v>
      </c>
      <c r="O232" s="1956">
        <v>1.8556119687533355</v>
      </c>
      <c r="P232" s="1956">
        <v>1.7157017733322892</v>
      </c>
      <c r="Q232" s="1956">
        <v>1.5977758177383832</v>
      </c>
      <c r="R232" s="1956">
        <v>1.5121087002133717</v>
      </c>
    </row>
    <row r="233" spans="2:18" x14ac:dyDescent="0.2">
      <c r="B233" s="1407" t="s">
        <v>562</v>
      </c>
      <c r="C233" s="1407" t="s">
        <v>564</v>
      </c>
      <c r="D233" s="1407" t="s">
        <v>249</v>
      </c>
      <c r="E233" s="1407"/>
      <c r="F233" s="1407" t="s">
        <v>1063</v>
      </c>
      <c r="G233" s="1407" t="s">
        <v>337</v>
      </c>
      <c r="H233" s="1407"/>
      <c r="I233" s="1956">
        <v>0.2623917502224446</v>
      </c>
      <c r="J233" s="1956">
        <v>0.66582677705483251</v>
      </c>
      <c r="K233" s="1956">
        <v>0.87627778167055947</v>
      </c>
      <c r="L233" s="1956">
        <v>1.0159376882437994</v>
      </c>
      <c r="M233" s="1956">
        <v>1.1584866825158491</v>
      </c>
      <c r="N233" s="1956">
        <v>0.21409812499999997</v>
      </c>
      <c r="O233" s="1956">
        <v>0.56792723958333335</v>
      </c>
      <c r="P233" s="1956">
        <v>0.80954977430555553</v>
      </c>
      <c r="Q233" s="1956">
        <v>0.99349425347222231</v>
      </c>
      <c r="R233" s="1956">
        <v>1.2129363715277783</v>
      </c>
    </row>
    <row r="234" spans="2:18" ht="10.5" x14ac:dyDescent="0.25">
      <c r="B234" s="1407" t="s">
        <v>562</v>
      </c>
      <c r="C234" s="1407" t="s">
        <v>564</v>
      </c>
      <c r="D234" s="1407" t="s">
        <v>513</v>
      </c>
      <c r="E234" s="2035" t="s">
        <v>967</v>
      </c>
      <c r="F234" s="1407" t="s">
        <v>1064</v>
      </c>
      <c r="G234" s="1407" t="s">
        <v>337</v>
      </c>
      <c r="H234" s="1957"/>
      <c r="I234" s="1956">
        <v>11.606141967773434</v>
      </c>
      <c r="J234" s="1956">
        <v>45.48008064516128</v>
      </c>
      <c r="K234" s="1956">
        <v>53.037723782771543</v>
      </c>
      <c r="L234" s="1956">
        <v>13.18690979031885</v>
      </c>
      <c r="M234" s="1956">
        <v>2.2416595220220219</v>
      </c>
      <c r="N234" s="1956">
        <v>13.466449999999996</v>
      </c>
      <c r="O234" s="1956">
        <v>5.5011250000000009</v>
      </c>
      <c r="P234" s="1956">
        <v>4.7546750000000007</v>
      </c>
      <c r="Q234" s="1956">
        <v>3.9149000000000003</v>
      </c>
      <c r="R234" s="1956">
        <v>4.4823250000000003</v>
      </c>
    </row>
    <row r="235" spans="2:18" ht="10.5" x14ac:dyDescent="0.25">
      <c r="B235" s="1407" t="s">
        <v>562</v>
      </c>
      <c r="C235" s="1407" t="s">
        <v>564</v>
      </c>
      <c r="D235" s="1407" t="s">
        <v>513</v>
      </c>
      <c r="E235" s="2035" t="s">
        <v>968</v>
      </c>
      <c r="F235" s="1407" t="s">
        <v>1065</v>
      </c>
      <c r="G235" s="1407" t="s">
        <v>337</v>
      </c>
      <c r="H235" s="1957"/>
      <c r="I235" s="1956">
        <v>0.34962890625000004</v>
      </c>
      <c r="J235" s="1956">
        <v>0.22540322580645158</v>
      </c>
      <c r="K235" s="1956">
        <v>0.19761704119850187</v>
      </c>
      <c r="L235" s="1956">
        <v>7.70344316081331E-2</v>
      </c>
      <c r="M235" s="1956">
        <v>0.2101601601601602</v>
      </c>
      <c r="N235" s="1956">
        <v>0.22</v>
      </c>
      <c r="O235" s="1956">
        <v>0.22</v>
      </c>
      <c r="P235" s="1956">
        <v>0.22</v>
      </c>
      <c r="Q235" s="1956">
        <v>0.28000000000000003</v>
      </c>
      <c r="R235" s="1956">
        <v>0.28000000000000003</v>
      </c>
    </row>
    <row r="236" spans="2:18" ht="10.5" x14ac:dyDescent="0.25">
      <c r="B236" s="1407" t="s">
        <v>562</v>
      </c>
      <c r="C236" s="1407" t="s">
        <v>564</v>
      </c>
      <c r="D236" s="1407" t="s">
        <v>513</v>
      </c>
      <c r="E236" s="2035" t="s">
        <v>949</v>
      </c>
      <c r="F236" s="1407" t="s">
        <v>1066</v>
      </c>
      <c r="G236" s="1407" t="s">
        <v>337</v>
      </c>
      <c r="H236" s="1957"/>
      <c r="I236" s="1956">
        <v>0.14028320312500001</v>
      </c>
      <c r="J236" s="1956">
        <v>1.5725806451612902E-2</v>
      </c>
      <c r="K236" s="1956">
        <v>0</v>
      </c>
      <c r="L236" s="1956">
        <v>1.4093345656192235E-3</v>
      </c>
      <c r="M236" s="1956">
        <v>5.8623623623623625E-2</v>
      </c>
      <c r="N236" s="1956">
        <v>6.0000000000000005E-2</v>
      </c>
      <c r="O236" s="1956">
        <v>6.0000000000000005E-2</v>
      </c>
      <c r="P236" s="1956">
        <v>6.0000000000000005E-2</v>
      </c>
      <c r="Q236" s="1956">
        <v>6.0000000000000005E-2</v>
      </c>
      <c r="R236" s="1956">
        <v>6.0000000000000005E-2</v>
      </c>
    </row>
    <row r="237" spans="2:18" ht="10.5" x14ac:dyDescent="0.25">
      <c r="B237" s="1407" t="s">
        <v>562</v>
      </c>
      <c r="C237" s="1407" t="s">
        <v>564</v>
      </c>
      <c r="D237" s="1407" t="s">
        <v>513</v>
      </c>
      <c r="E237" s="2035" t="s">
        <v>950</v>
      </c>
      <c r="F237" s="1407" t="s">
        <v>1067</v>
      </c>
      <c r="G237" s="1407" t="s">
        <v>337</v>
      </c>
      <c r="H237" s="1957"/>
      <c r="I237" s="1956">
        <v>0.25574707031249999</v>
      </c>
      <c r="J237" s="1956">
        <v>0.1142741935483871</v>
      </c>
      <c r="K237" s="1956">
        <v>0.11381086142322097</v>
      </c>
      <c r="L237" s="1956">
        <v>0.17207055914972272</v>
      </c>
      <c r="M237" s="1956">
        <v>9.2912912912912912E-2</v>
      </c>
      <c r="N237" s="1956">
        <v>0.17</v>
      </c>
      <c r="O237" s="1956">
        <v>0.17</v>
      </c>
      <c r="P237" s="1956">
        <v>0.12000000000000001</v>
      </c>
      <c r="Q237" s="1956">
        <v>0.12000000000000001</v>
      </c>
      <c r="R237" s="1956">
        <v>0.12000000000000001</v>
      </c>
    </row>
    <row r="238" spans="2:18" ht="10.5" x14ac:dyDescent="0.25">
      <c r="B238" s="1407" t="s">
        <v>562</v>
      </c>
      <c r="C238" s="1407" t="s">
        <v>564</v>
      </c>
      <c r="D238" s="1407" t="s">
        <v>513</v>
      </c>
      <c r="E238" s="2035" t="s">
        <v>951</v>
      </c>
      <c r="F238" s="1407" t="s">
        <v>1068</v>
      </c>
      <c r="G238" s="1407" t="s">
        <v>337</v>
      </c>
      <c r="H238" s="1957"/>
      <c r="I238" s="1956">
        <v>0</v>
      </c>
      <c r="J238" s="1956">
        <v>0</v>
      </c>
      <c r="K238" s="1956">
        <v>0</v>
      </c>
      <c r="L238" s="1956">
        <v>0</v>
      </c>
      <c r="M238" s="1956">
        <v>0</v>
      </c>
      <c r="N238" s="1956">
        <v>0</v>
      </c>
      <c r="O238" s="1956">
        <v>0</v>
      </c>
      <c r="P238" s="1956">
        <v>0</v>
      </c>
      <c r="Q238" s="1956">
        <v>0</v>
      </c>
      <c r="R238" s="1956">
        <v>0</v>
      </c>
    </row>
    <row r="239" spans="2:18" ht="10.5" x14ac:dyDescent="0.25">
      <c r="B239" s="1407" t="s">
        <v>562</v>
      </c>
      <c r="C239" s="1407" t="s">
        <v>564</v>
      </c>
      <c r="D239" s="1407" t="s">
        <v>513</v>
      </c>
      <c r="E239" s="2035" t="s">
        <v>969</v>
      </c>
      <c r="F239" s="1407" t="s">
        <v>1069</v>
      </c>
      <c r="G239" s="1407" t="s">
        <v>337</v>
      </c>
      <c r="H239" s="1957"/>
      <c r="I239" s="1956">
        <v>0</v>
      </c>
      <c r="J239" s="1956">
        <v>0</v>
      </c>
      <c r="K239" s="1956">
        <v>0</v>
      </c>
      <c r="L239" s="1956">
        <v>0</v>
      </c>
      <c r="M239" s="1956">
        <v>0</v>
      </c>
      <c r="N239" s="1956">
        <v>0</v>
      </c>
      <c r="O239" s="1956">
        <v>0</v>
      </c>
      <c r="P239" s="1956">
        <v>0</v>
      </c>
      <c r="Q239" s="1956">
        <v>0</v>
      </c>
      <c r="R239" s="1956">
        <v>0</v>
      </c>
    </row>
    <row r="240" spans="2:18" ht="10.5" x14ac:dyDescent="0.25">
      <c r="B240" s="1407" t="s">
        <v>562</v>
      </c>
      <c r="C240" s="1407" t="s">
        <v>564</v>
      </c>
      <c r="D240" s="1407" t="s">
        <v>911</v>
      </c>
      <c r="E240" s="2035"/>
      <c r="F240" s="1407" t="s">
        <v>1070</v>
      </c>
      <c r="G240" s="1407" t="s">
        <v>337</v>
      </c>
      <c r="H240" s="1957"/>
      <c r="I240" s="1956">
        <v>16.502812681248056</v>
      </c>
      <c r="J240" s="1956">
        <v>18.132274110320687</v>
      </c>
      <c r="K240" s="1956">
        <v>18.891043756934376</v>
      </c>
      <c r="L240" s="1956">
        <v>19.142645655348968</v>
      </c>
      <c r="M240" s="1956">
        <v>15.895781367016131</v>
      </c>
      <c r="N240" s="1956">
        <v>16.771588869516133</v>
      </c>
      <c r="O240" s="1956">
        <v>16.094851879516128</v>
      </c>
      <c r="P240" s="1956">
        <v>15.888650992897368</v>
      </c>
      <c r="Q240" s="1956">
        <v>15.739903570897368</v>
      </c>
      <c r="R240" s="1956">
        <v>15.539748609516129</v>
      </c>
    </row>
    <row r="241" spans="2:18" ht="10.5" x14ac:dyDescent="0.25">
      <c r="B241" s="778"/>
      <c r="C241" s="778"/>
      <c r="D241" s="778"/>
      <c r="E241" s="778"/>
      <c r="F241" s="778"/>
      <c r="G241" s="778"/>
      <c r="H241" s="1207"/>
      <c r="I241" s="1207"/>
      <c r="J241" s="1207"/>
      <c r="K241" s="1207"/>
      <c r="L241" s="1207"/>
      <c r="M241" s="1207"/>
      <c r="N241" s="1207"/>
      <c r="O241" s="1207"/>
      <c r="P241" s="1207"/>
      <c r="Q241" s="1207"/>
      <c r="R241" s="1207"/>
    </row>
    <row r="242" spans="2:18" x14ac:dyDescent="0.2">
      <c r="B242" s="1407" t="s">
        <v>563</v>
      </c>
      <c r="C242" s="1407" t="s">
        <v>454</v>
      </c>
      <c r="D242" s="1407" t="s">
        <v>909</v>
      </c>
      <c r="E242" s="1407"/>
      <c r="F242" s="2054" t="str">
        <f t="shared" ref="F242:F254" si="24">C242&amp;D242&amp;E242</f>
        <v>SRWRAV (Opening Base)</v>
      </c>
      <c r="G242" s="1407" t="s">
        <v>337</v>
      </c>
      <c r="H242" s="1407"/>
      <c r="I242" s="1956">
        <v>45.915120646316403</v>
      </c>
      <c r="J242" s="1956">
        <v>47.297775529124536</v>
      </c>
      <c r="K242" s="1956">
        <v>44.519656047146967</v>
      </c>
      <c r="L242" s="1956">
        <v>48.202610062562073</v>
      </c>
      <c r="M242" s="1956">
        <v>44.100288163423073</v>
      </c>
      <c r="N242" s="1956">
        <v>61.297264158062973</v>
      </c>
      <c r="O242" s="1956">
        <v>71.641021290559422</v>
      </c>
      <c r="P242" s="1956">
        <v>84.773986310616834</v>
      </c>
      <c r="Q242" s="1956">
        <v>91.114860607446445</v>
      </c>
      <c r="R242" s="1956">
        <v>91.572218630522997</v>
      </c>
    </row>
    <row r="243" spans="2:18" x14ac:dyDescent="0.2">
      <c r="B243" s="1407" t="s">
        <v>563</v>
      </c>
      <c r="C243" s="1407" t="s">
        <v>454</v>
      </c>
      <c r="D243" s="1407" t="s">
        <v>250</v>
      </c>
      <c r="E243" s="1407"/>
      <c r="F243" s="2054" t="str">
        <f t="shared" si="24"/>
        <v>SRWRoA</v>
      </c>
      <c r="G243" s="1407" t="s">
        <v>337</v>
      </c>
      <c r="H243" s="1407"/>
      <c r="I243" s="1956">
        <v>2.0286702302075734</v>
      </c>
      <c r="J243" s="1956">
        <v>2.3261905707018342</v>
      </c>
      <c r="K243" s="1956">
        <v>2.6118828155160689</v>
      </c>
      <c r="L243" s="1956">
        <v>2.769194006945134</v>
      </c>
      <c r="M243" s="1956">
        <v>2.8032701491009258</v>
      </c>
      <c r="N243" s="1956">
        <v>2.7451755945140528</v>
      </c>
      <c r="O243" s="1956">
        <v>3.2299699069642904</v>
      </c>
      <c r="P243" s="1956">
        <v>3.632104688858008</v>
      </c>
      <c r="Q243" s="1956">
        <v>3.77248818626407</v>
      </c>
      <c r="R243" s="1956">
        <v>3.7811210259861703</v>
      </c>
    </row>
    <row r="244" spans="2:18" x14ac:dyDescent="0.2">
      <c r="B244" s="1407" t="s">
        <v>563</v>
      </c>
      <c r="C244" s="1407" t="s">
        <v>454</v>
      </c>
      <c r="D244" s="1407" t="s">
        <v>256</v>
      </c>
      <c r="E244" s="1407"/>
      <c r="F244" s="2054" t="str">
        <f t="shared" si="24"/>
        <v>SRWRevenue Req</v>
      </c>
      <c r="G244" s="1407" t="s">
        <v>337</v>
      </c>
      <c r="H244" s="1407"/>
      <c r="I244" s="1956">
        <v>30.870401567045977</v>
      </c>
      <c r="J244" s="1956">
        <v>31.285637784973236</v>
      </c>
      <c r="K244" s="1956">
        <v>31.787373099722977</v>
      </c>
      <c r="L244" s="1956">
        <v>31.812077276232657</v>
      </c>
      <c r="M244" s="1956">
        <v>31.256622750033756</v>
      </c>
      <c r="N244" s="1956">
        <v>28.422791356922669</v>
      </c>
      <c r="O244" s="1956">
        <v>29.494625267049329</v>
      </c>
      <c r="P244" s="1956">
        <v>30.633752512240086</v>
      </c>
      <c r="Q244" s="1956">
        <v>31.405317561147466</v>
      </c>
      <c r="R244" s="1956">
        <v>32.097871295340667</v>
      </c>
    </row>
    <row r="245" spans="2:18" x14ac:dyDescent="0.2">
      <c r="B245" s="1407" t="s">
        <v>563</v>
      </c>
      <c r="C245" s="1407" t="s">
        <v>454</v>
      </c>
      <c r="D245" s="1407" t="s">
        <v>248</v>
      </c>
      <c r="E245" s="1407"/>
      <c r="F245" s="2054" t="str">
        <f t="shared" si="24"/>
        <v>SRWRegDepEx</v>
      </c>
      <c r="G245" s="1407" t="s">
        <v>337</v>
      </c>
      <c r="H245" s="1407"/>
      <c r="I245" s="1956">
        <v>3.0852921753379245</v>
      </c>
      <c r="J245" s="1956">
        <v>2.7643038929036745</v>
      </c>
      <c r="K245" s="1956">
        <v>2.4209518400148742</v>
      </c>
      <c r="L245" s="1956">
        <v>1.9781350453183979</v>
      </c>
      <c r="M245" s="1956">
        <v>1.1056344729733738</v>
      </c>
      <c r="N245" s="1956">
        <v>3.3936697978885388</v>
      </c>
      <c r="O245" s="1956">
        <v>3.3936697978885388</v>
      </c>
      <c r="P245" s="1956">
        <v>3.3936697978885388</v>
      </c>
      <c r="Q245" s="1956">
        <v>3.3936697978885388</v>
      </c>
      <c r="R245" s="1956">
        <v>3.3936697978885393</v>
      </c>
    </row>
    <row r="246" spans="2:18" x14ac:dyDescent="0.2">
      <c r="B246" s="1407" t="s">
        <v>563</v>
      </c>
      <c r="C246" s="1407" t="s">
        <v>454</v>
      </c>
      <c r="D246" s="1407" t="s">
        <v>249</v>
      </c>
      <c r="E246" s="1407"/>
      <c r="F246" s="2054" t="str">
        <f t="shared" si="24"/>
        <v>SRWRegDepNew</v>
      </c>
      <c r="G246" s="1407" t="s">
        <v>337</v>
      </c>
      <c r="H246" s="1407"/>
      <c r="I246" s="1956">
        <v>0.49507964226192169</v>
      </c>
      <c r="J246" s="1956">
        <v>1.3780009410251819</v>
      </c>
      <c r="K246" s="1956">
        <v>2.1246570031107774</v>
      </c>
      <c r="L246" s="1956">
        <v>2.7119256325340753</v>
      </c>
      <c r="M246" s="1956">
        <v>3.4150122639402913</v>
      </c>
      <c r="N246" s="1956">
        <v>0.42239647428737193</v>
      </c>
      <c r="O246" s="1956">
        <v>1.2633000635747265</v>
      </c>
      <c r="P246" s="1956">
        <v>2.0016010402285294</v>
      </c>
      <c r="Q246" s="1956">
        <v>2.5205441692431449</v>
      </c>
      <c r="R246" s="1956">
        <v>2.8878296370011141</v>
      </c>
    </row>
    <row r="247" spans="2:18" ht="10.5" x14ac:dyDescent="0.25">
      <c r="B247" s="1407" t="s">
        <v>563</v>
      </c>
      <c r="C247" s="1407" t="s">
        <v>454</v>
      </c>
      <c r="D247" s="1407" t="s">
        <v>513</v>
      </c>
      <c r="E247" s="1407" t="s">
        <v>967</v>
      </c>
      <c r="F247" s="2054" t="str">
        <f t="shared" si="24"/>
        <v>SRWTotal prescribed capexIrrigation</v>
      </c>
      <c r="G247" s="1407" t="s">
        <v>337</v>
      </c>
      <c r="H247" s="1957"/>
      <c r="I247" s="1956">
        <v>10.955757062851728</v>
      </c>
      <c r="J247" s="1956">
        <v>10.493673681460786</v>
      </c>
      <c r="K247" s="1956">
        <v>14.143805849910059</v>
      </c>
      <c r="L247" s="1956">
        <v>17.266086833125652</v>
      </c>
      <c r="M247" s="1956">
        <v>32.629996861530948</v>
      </c>
      <c r="N247" s="1956">
        <v>36.251616336475436</v>
      </c>
      <c r="O247" s="1956">
        <v>22.008674736496271</v>
      </c>
      <c r="P247" s="1956">
        <v>10.869860613014305</v>
      </c>
      <c r="Q247" s="1956">
        <v>4.6547756254055619</v>
      </c>
      <c r="R247" s="1956">
        <v>3.2677770078991406</v>
      </c>
    </row>
    <row r="248" spans="2:18" ht="10.5" x14ac:dyDescent="0.25">
      <c r="B248" s="1407" t="s">
        <v>563</v>
      </c>
      <c r="C248" s="1407" t="s">
        <v>454</v>
      </c>
      <c r="D248" s="1407" t="s">
        <v>513</v>
      </c>
      <c r="E248" s="1407" t="s">
        <v>968</v>
      </c>
      <c r="F248" s="2054" t="str">
        <f t="shared" si="24"/>
        <v>SRWTotal prescribed capexDrainage</v>
      </c>
      <c r="G248" s="1407" t="s">
        <v>337</v>
      </c>
      <c r="H248" s="1957"/>
      <c r="I248" s="1956">
        <v>0</v>
      </c>
      <c r="J248" s="1956">
        <v>0</v>
      </c>
      <c r="K248" s="1956">
        <v>0</v>
      </c>
      <c r="L248" s="1956">
        <v>0</v>
      </c>
      <c r="M248" s="1956">
        <v>0</v>
      </c>
      <c r="N248" s="1956">
        <v>0</v>
      </c>
      <c r="O248" s="1956">
        <v>0</v>
      </c>
      <c r="P248" s="1956">
        <v>0</v>
      </c>
      <c r="Q248" s="1956">
        <v>0</v>
      </c>
      <c r="R248" s="1956">
        <v>0</v>
      </c>
    </row>
    <row r="249" spans="2:18" ht="10.5" x14ac:dyDescent="0.25">
      <c r="B249" s="1407" t="s">
        <v>563</v>
      </c>
      <c r="C249" s="1407" t="s">
        <v>454</v>
      </c>
      <c r="D249" s="1407" t="s">
        <v>513</v>
      </c>
      <c r="E249" s="1407" t="s">
        <v>949</v>
      </c>
      <c r="F249" s="2054" t="str">
        <f t="shared" si="24"/>
        <v>SRWTotal prescribed capexDomestic and stock</v>
      </c>
      <c r="G249" s="1407" t="s">
        <v>337</v>
      </c>
      <c r="H249" s="1957"/>
      <c r="I249" s="1956">
        <v>0</v>
      </c>
      <c r="J249" s="1956">
        <v>0</v>
      </c>
      <c r="K249" s="1956">
        <v>0</v>
      </c>
      <c r="L249" s="1956">
        <v>0</v>
      </c>
      <c r="M249" s="1956">
        <v>0</v>
      </c>
      <c r="N249" s="1956">
        <v>0</v>
      </c>
      <c r="O249" s="1956">
        <v>0</v>
      </c>
      <c r="P249" s="1956">
        <v>0</v>
      </c>
      <c r="Q249" s="1956">
        <v>0</v>
      </c>
      <c r="R249" s="1956">
        <v>0</v>
      </c>
    </row>
    <row r="250" spans="2:18" ht="10.5" x14ac:dyDescent="0.25">
      <c r="B250" s="1407" t="s">
        <v>563</v>
      </c>
      <c r="C250" s="1407" t="s">
        <v>454</v>
      </c>
      <c r="D250" s="1407" t="s">
        <v>513</v>
      </c>
      <c r="E250" s="1407" t="s">
        <v>950</v>
      </c>
      <c r="F250" s="2054" t="str">
        <f t="shared" si="24"/>
        <v>SRWTotal prescribed capexSurface water diversions</v>
      </c>
      <c r="G250" s="1407" t="s">
        <v>337</v>
      </c>
      <c r="H250" s="1957"/>
      <c r="I250" s="1956">
        <v>0.41159088312706016</v>
      </c>
      <c r="J250" s="1956">
        <v>0.50526701120672413</v>
      </c>
      <c r="K250" s="1956">
        <v>0.23796953287787068</v>
      </c>
      <c r="L250" s="1956">
        <v>0.49377580822612405</v>
      </c>
      <c r="M250" s="1956">
        <v>9.0060934064264478E-2</v>
      </c>
      <c r="N250" s="1956">
        <v>6.4930348715958708E-2</v>
      </c>
      <c r="O250" s="1956">
        <v>6.4429715359366951E-2</v>
      </c>
      <c r="P250" s="1956">
        <v>1.451383755013373E-2</v>
      </c>
      <c r="Q250" s="1956">
        <v>1.4431951003895408E-2</v>
      </c>
      <c r="R250" s="1956">
        <v>1.4351905504151198E-2</v>
      </c>
    </row>
    <row r="251" spans="2:18" ht="10.5" x14ac:dyDescent="0.25">
      <c r="B251" s="1407" t="s">
        <v>563</v>
      </c>
      <c r="C251" s="1407" t="s">
        <v>454</v>
      </c>
      <c r="D251" s="1407" t="s">
        <v>513</v>
      </c>
      <c r="E251" s="1407" t="s">
        <v>951</v>
      </c>
      <c r="F251" s="2054" t="str">
        <f t="shared" si="24"/>
        <v>SRWTotal prescribed capexGroundwater diversions</v>
      </c>
      <c r="G251" s="1407" t="s">
        <v>337</v>
      </c>
      <c r="H251" s="1957"/>
      <c r="I251" s="1956">
        <v>0.7118209444291419</v>
      </c>
      <c r="J251" s="1956">
        <v>0.51446299388579542</v>
      </c>
      <c r="K251" s="1956">
        <v>0.27489087729028239</v>
      </c>
      <c r="L251" s="1956">
        <v>0.56980980360226119</v>
      </c>
      <c r="M251" s="1956">
        <v>0.71129921692881237</v>
      </c>
      <c r="N251" s="1956">
        <v>0.86481234047249567</v>
      </c>
      <c r="O251" s="1956">
        <v>0.91049568127612912</v>
      </c>
      <c r="P251" s="1956">
        <v>0.89674435550851439</v>
      </c>
      <c r="Q251" s="1956">
        <v>0.56626965206025648</v>
      </c>
      <c r="R251" s="1956">
        <v>0.56316397503293247</v>
      </c>
    </row>
    <row r="252" spans="2:18" ht="10.5" x14ac:dyDescent="0.25">
      <c r="B252" s="1407" t="s">
        <v>563</v>
      </c>
      <c r="C252" s="1407" t="s">
        <v>454</v>
      </c>
      <c r="D252" s="1407" t="s">
        <v>513</v>
      </c>
      <c r="E252" s="1407" t="s">
        <v>969</v>
      </c>
      <c r="F252" s="2054" t="str">
        <f t="shared" si="24"/>
        <v>SRWTotal prescribed capexBulk water services</v>
      </c>
      <c r="G252" s="1407" t="s">
        <v>337</v>
      </c>
      <c r="H252" s="1957"/>
      <c r="I252" s="1956">
        <v>7.5025400350983817</v>
      </c>
      <c r="J252" s="1956">
        <v>3.1625665771715417</v>
      </c>
      <c r="K252" s="1956">
        <v>3.015182708522762</v>
      </c>
      <c r="L252" s="1956">
        <v>2.7210294860903916</v>
      </c>
      <c r="M252" s="1956">
        <v>6.6515525174759711</v>
      </c>
      <c r="N252" s="1956">
        <v>7.2712854797271991</v>
      </c>
      <c r="O252" s="1956">
        <v>4.3933207059908321</v>
      </c>
      <c r="P252" s="1956">
        <v>3.6004531259781265</v>
      </c>
      <c r="Q252" s="1956">
        <v>3.0704294552396485</v>
      </c>
      <c r="R252" s="1956">
        <v>3.9465182995978134</v>
      </c>
    </row>
    <row r="253" spans="2:18" ht="10.5" x14ac:dyDescent="0.25">
      <c r="B253" s="1407" t="s">
        <v>563</v>
      </c>
      <c r="C253" s="1407" t="s">
        <v>454</v>
      </c>
      <c r="D253" s="1407" t="s">
        <v>513</v>
      </c>
      <c r="E253" s="1407" t="s">
        <v>1034</v>
      </c>
      <c r="F253" s="2054" t="str">
        <f t="shared" si="24"/>
        <v>SRWTotal prescribed capexLicence applications</v>
      </c>
      <c r="G253" s="1407" t="s">
        <v>337</v>
      </c>
      <c r="H253" s="1957"/>
      <c r="I253" s="1956">
        <v>0.23226955996026086</v>
      </c>
      <c r="J253" s="1956">
        <v>0.15633835758128325</v>
      </c>
      <c r="K253" s="1956">
        <v>0.12511554977124481</v>
      </c>
      <c r="L253" s="1956">
        <v>0.26618258016186597</v>
      </c>
      <c r="M253" s="1956">
        <v>0</v>
      </c>
      <c r="N253" s="1956">
        <v>0</v>
      </c>
      <c r="O253" s="1956">
        <v>0</v>
      </c>
      <c r="P253" s="1956">
        <v>0</v>
      </c>
      <c r="Q253" s="1956">
        <v>0</v>
      </c>
      <c r="R253" s="1956">
        <v>0</v>
      </c>
    </row>
    <row r="254" spans="2:18" ht="10.5" x14ac:dyDescent="0.25">
      <c r="B254" s="1407" t="s">
        <v>563</v>
      </c>
      <c r="C254" s="1407" t="s">
        <v>454</v>
      </c>
      <c r="D254" s="1407" t="s">
        <v>911</v>
      </c>
      <c r="E254" s="1958"/>
      <c r="F254" s="2054" t="str">
        <f t="shared" si="24"/>
        <v>SRWTotal controllable opex</v>
      </c>
      <c r="G254" s="1407" t="s">
        <v>337</v>
      </c>
      <c r="H254" s="1957"/>
      <c r="I254" s="1956">
        <v>22.657168185658808</v>
      </c>
      <c r="J254" s="1956">
        <v>22.371259627006758</v>
      </c>
      <c r="K254" s="1956">
        <v>21.840586696305962</v>
      </c>
      <c r="L254" s="1956">
        <v>22.622950131779753</v>
      </c>
      <c r="M254" s="1956">
        <v>21.873748805005487</v>
      </c>
      <c r="N254" s="1956">
        <v>19.646841604120446</v>
      </c>
      <c r="O254" s="1956">
        <v>19.655306075241047</v>
      </c>
      <c r="P254" s="1956">
        <v>19.668090731430816</v>
      </c>
      <c r="Q254" s="1956">
        <v>19.672049338266774</v>
      </c>
      <c r="R254" s="1956">
        <v>19.671733314989236</v>
      </c>
    </row>
    <row r="255" spans="2:18" ht="10.5" x14ac:dyDescent="0.25">
      <c r="B255" s="778"/>
      <c r="C255" s="778"/>
      <c r="D255" s="778"/>
      <c r="E255" s="778"/>
      <c r="F255" s="778"/>
      <c r="G255" s="778"/>
      <c r="H255" s="1207"/>
      <c r="I255" s="1207"/>
      <c r="J255" s="1207"/>
      <c r="K255" s="1207"/>
      <c r="L255" s="1207"/>
      <c r="M255" s="1207"/>
      <c r="N255" s="1207"/>
      <c r="O255" s="1207"/>
      <c r="P255" s="1207"/>
      <c r="Q255" s="1207"/>
      <c r="R255" s="1207"/>
    </row>
    <row r="256" spans="2:18" ht="10.5" x14ac:dyDescent="0.25">
      <c r="B256" s="779" t="str">
        <f t="shared" ref="B256:B305" si="25">INDEX($B$25:$B$42,MATCH(C256,$C$25:$C$42,0))</f>
        <v>City West Water</v>
      </c>
      <c r="C256" s="779" t="s">
        <v>437</v>
      </c>
      <c r="D256" s="779" t="s">
        <v>709</v>
      </c>
      <c r="E256" s="778"/>
      <c r="F256" s="2042" t="str">
        <f t="shared" ref="F256:F271" si="26">C256&amp;D256&amp;E256</f>
        <v>CWWTotal metered volume of water delivered to customers (ML) - [BED 10]</v>
      </c>
      <c r="G256" s="779" t="s">
        <v>912</v>
      </c>
      <c r="H256" s="1207"/>
      <c r="I256" s="2038"/>
      <c r="J256" s="2038"/>
      <c r="K256" s="1956">
        <v>101082</v>
      </c>
      <c r="L256" s="1956">
        <v>102600</v>
      </c>
      <c r="M256" s="1956">
        <v>102031</v>
      </c>
      <c r="N256" s="1956">
        <v>105302.25</v>
      </c>
      <c r="O256" s="1956">
        <v>103119.53200000001</v>
      </c>
      <c r="P256" s="2038"/>
      <c r="Q256" s="2038"/>
      <c r="R256" s="2038"/>
    </row>
    <row r="257" spans="2:18" ht="10.5" x14ac:dyDescent="0.25">
      <c r="B257" s="779" t="str">
        <f t="shared" si="25"/>
        <v>South East Water</v>
      </c>
      <c r="C257" s="779" t="s">
        <v>438</v>
      </c>
      <c r="D257" s="779" t="s">
        <v>709</v>
      </c>
      <c r="E257" s="778"/>
      <c r="F257" s="2042" t="str">
        <f t="shared" si="26"/>
        <v>SEWTotal metered volume of water delivered to customers (ML) - [BED 10]</v>
      </c>
      <c r="G257" s="779" t="s">
        <v>912</v>
      </c>
      <c r="H257" s="1207"/>
      <c r="I257" s="2038"/>
      <c r="J257" s="2038"/>
      <c r="K257" s="1956">
        <v>136500</v>
      </c>
      <c r="L257" s="1956">
        <v>134648</v>
      </c>
      <c r="M257" s="1956">
        <v>140358</v>
      </c>
      <c r="N257" s="1956">
        <v>140418</v>
      </c>
      <c r="O257" s="1956">
        <v>136326.70000000001</v>
      </c>
      <c r="P257" s="2038"/>
      <c r="Q257" s="2038"/>
      <c r="R257" s="2038"/>
    </row>
    <row r="258" spans="2:18" ht="10.5" x14ac:dyDescent="0.25">
      <c r="B258" s="779" t="str">
        <f t="shared" si="25"/>
        <v>Yarra Valley Water</v>
      </c>
      <c r="C258" s="779" t="s">
        <v>439</v>
      </c>
      <c r="D258" s="779" t="s">
        <v>709</v>
      </c>
      <c r="E258" s="778"/>
      <c r="F258" s="2042" t="str">
        <f t="shared" si="26"/>
        <v>YVWTotal metered volume of water delivered to customers (ML) - [BED 10]</v>
      </c>
      <c r="G258" s="779" t="s">
        <v>912</v>
      </c>
      <c r="H258" s="1207"/>
      <c r="I258" s="2038"/>
      <c r="J258" s="2038"/>
      <c r="K258" s="1956">
        <v>140354</v>
      </c>
      <c r="L258" s="1956">
        <v>136002</v>
      </c>
      <c r="M258" s="1956">
        <v>143156</v>
      </c>
      <c r="N258" s="1956">
        <v>150068</v>
      </c>
      <c r="O258" s="1956">
        <v>143427</v>
      </c>
      <c r="P258" s="2038"/>
      <c r="Q258" s="2038"/>
      <c r="R258" s="2038"/>
    </row>
    <row r="259" spans="2:18" ht="10.5" x14ac:dyDescent="0.25">
      <c r="B259" s="779" t="str">
        <f t="shared" si="25"/>
        <v>Barwon Water</v>
      </c>
      <c r="C259" s="779" t="s">
        <v>440</v>
      </c>
      <c r="D259" s="779" t="s">
        <v>709</v>
      </c>
      <c r="E259" s="778"/>
      <c r="F259" s="2042" t="str">
        <f t="shared" si="26"/>
        <v>BWTotal metered volume of water delivered to customers (ML) - [BED 10]</v>
      </c>
      <c r="G259" s="779" t="s">
        <v>912</v>
      </c>
      <c r="H259" s="1207"/>
      <c r="I259" s="2038"/>
      <c r="J259" s="2038"/>
      <c r="K259" s="1956">
        <v>33670</v>
      </c>
      <c r="L259" s="1956">
        <v>31729.496154</v>
      </c>
      <c r="M259" s="1956">
        <v>33488</v>
      </c>
      <c r="N259" s="1956">
        <v>36057.089810000005</v>
      </c>
      <c r="O259" s="1956">
        <v>34053.313959999999</v>
      </c>
      <c r="P259" s="2038"/>
      <c r="Q259" s="2038"/>
      <c r="R259" s="2038"/>
    </row>
    <row r="260" spans="2:18" ht="10.5" x14ac:dyDescent="0.25">
      <c r="B260" s="779" t="str">
        <f t="shared" si="25"/>
        <v>Central Highlands Water</v>
      </c>
      <c r="C260" s="779" t="s">
        <v>442</v>
      </c>
      <c r="D260" s="779" t="s">
        <v>709</v>
      </c>
      <c r="E260" s="778"/>
      <c r="F260" s="2042" t="str">
        <f t="shared" si="26"/>
        <v>CHWTotal metered volume of water delivered to customers (ML) - [BED 10]</v>
      </c>
      <c r="G260" s="779" t="s">
        <v>912</v>
      </c>
      <c r="H260" s="1207"/>
      <c r="I260" s="2038"/>
      <c r="J260" s="2038"/>
      <c r="K260" s="1956">
        <v>14728</v>
      </c>
      <c r="L260" s="1956">
        <v>13416.7</v>
      </c>
      <c r="M260" s="1956">
        <v>14454.43</v>
      </c>
      <c r="N260" s="1956">
        <v>14930.759999999998</v>
      </c>
      <c r="O260" s="1956">
        <v>14052</v>
      </c>
      <c r="P260" s="2038"/>
      <c r="Q260" s="2038"/>
      <c r="R260" s="2038"/>
    </row>
    <row r="261" spans="2:18" ht="10.5" x14ac:dyDescent="0.25">
      <c r="B261" s="779" t="str">
        <f t="shared" si="25"/>
        <v>Coliban Water</v>
      </c>
      <c r="C261" s="779" t="s">
        <v>443</v>
      </c>
      <c r="D261" s="779" t="s">
        <v>709</v>
      </c>
      <c r="E261" s="778"/>
      <c r="F261" s="2042" t="str">
        <f t="shared" si="26"/>
        <v>CWTotal metered volume of water delivered to customers (ML) - [BED 10]</v>
      </c>
      <c r="G261" s="779" t="s">
        <v>912</v>
      </c>
      <c r="H261" s="1207"/>
      <c r="I261" s="2038"/>
      <c r="J261" s="2038"/>
      <c r="K261" s="1956">
        <v>21195</v>
      </c>
      <c r="L261" s="1956">
        <v>18990</v>
      </c>
      <c r="M261" s="1956">
        <v>20447</v>
      </c>
      <c r="N261" s="1956">
        <v>21301</v>
      </c>
      <c r="O261" s="1956">
        <v>20304</v>
      </c>
      <c r="P261" s="2038"/>
      <c r="Q261" s="2038"/>
      <c r="R261" s="2038"/>
    </row>
    <row r="262" spans="2:18" ht="10.5" x14ac:dyDescent="0.25">
      <c r="B262" s="779" t="str">
        <f t="shared" si="25"/>
        <v>East Gippsland Water</v>
      </c>
      <c r="C262" s="779" t="s">
        <v>444</v>
      </c>
      <c r="D262" s="779" t="s">
        <v>709</v>
      </c>
      <c r="E262" s="778"/>
      <c r="F262" s="2042" t="str">
        <f t="shared" si="26"/>
        <v>EGWTotal metered volume of water delivered to customers (ML) - [BED 10]</v>
      </c>
      <c r="G262" s="779" t="s">
        <v>912</v>
      </c>
      <c r="H262" s="1207"/>
      <c r="I262" s="2038"/>
      <c r="J262" s="2038"/>
      <c r="K262" s="1956">
        <v>4663</v>
      </c>
      <c r="L262" s="1956">
        <v>4671</v>
      </c>
      <c r="M262" s="1956">
        <v>5002</v>
      </c>
      <c r="N262" s="1956">
        <v>5093</v>
      </c>
      <c r="O262" s="1956">
        <v>4878</v>
      </c>
      <c r="P262" s="2038"/>
      <c r="Q262" s="2038"/>
      <c r="R262" s="2038"/>
    </row>
    <row r="263" spans="2:18" ht="10.5" x14ac:dyDescent="0.25">
      <c r="B263" s="779" t="str">
        <f t="shared" si="25"/>
        <v>Gippsland Water</v>
      </c>
      <c r="C263" s="779" t="s">
        <v>441</v>
      </c>
      <c r="D263" s="779" t="s">
        <v>709</v>
      </c>
      <c r="E263" s="778"/>
      <c r="F263" s="2042" t="str">
        <f t="shared" si="26"/>
        <v>CGWTotal metered volume of water delivered to customers (ML) - [BED 10]</v>
      </c>
      <c r="G263" s="779" t="s">
        <v>912</v>
      </c>
      <c r="H263" s="1207"/>
      <c r="I263" s="2038"/>
      <c r="J263" s="2038"/>
      <c r="K263" s="1956">
        <v>15441</v>
      </c>
      <c r="L263" s="1956">
        <v>15365.3</v>
      </c>
      <c r="M263" s="1956">
        <v>15875</v>
      </c>
      <c r="N263" s="1956">
        <v>16882</v>
      </c>
      <c r="O263" s="1956">
        <v>15527.5</v>
      </c>
      <c r="P263" s="2038"/>
      <c r="Q263" s="2038"/>
      <c r="R263" s="2038"/>
    </row>
    <row r="264" spans="2:18" ht="10.5" x14ac:dyDescent="0.25">
      <c r="B264" s="779" t="str">
        <f t="shared" si="25"/>
        <v>Goulburn Valley Water</v>
      </c>
      <c r="C264" s="779" t="s">
        <v>445</v>
      </c>
      <c r="D264" s="779" t="s">
        <v>709</v>
      </c>
      <c r="E264" s="778"/>
      <c r="F264" s="2042" t="str">
        <f t="shared" si="26"/>
        <v>GVWTotal metered volume of water delivered to customers (ML) - [BED 10]</v>
      </c>
      <c r="G264" s="779" t="s">
        <v>912</v>
      </c>
      <c r="H264" s="1207"/>
      <c r="I264" s="2038"/>
      <c r="J264" s="2038"/>
      <c r="K264" s="1956">
        <v>26256</v>
      </c>
      <c r="L264" s="1956">
        <v>22438</v>
      </c>
      <c r="M264" s="1956">
        <v>24037</v>
      </c>
      <c r="N264" s="1956">
        <v>26296</v>
      </c>
      <c r="O264" s="1956">
        <v>25546</v>
      </c>
      <c r="P264" s="2038"/>
      <c r="Q264" s="2038"/>
      <c r="R264" s="2038"/>
    </row>
    <row r="265" spans="2:18" ht="10.5" x14ac:dyDescent="0.25">
      <c r="B265" s="779" t="str">
        <f t="shared" si="25"/>
        <v>GWM Water</v>
      </c>
      <c r="C265" s="779" t="s">
        <v>446</v>
      </c>
      <c r="D265" s="779" t="s">
        <v>709</v>
      </c>
      <c r="E265" s="778"/>
      <c r="F265" s="2042" t="str">
        <f t="shared" si="26"/>
        <v>GWMWTotal metered volume of water delivered to customers (ML) - [BED 10]</v>
      </c>
      <c r="G265" s="779" t="s">
        <v>912</v>
      </c>
      <c r="H265" s="1207"/>
      <c r="I265" s="2038"/>
      <c r="J265" s="2038"/>
      <c r="K265" s="1956">
        <v>10201.1</v>
      </c>
      <c r="L265" s="1956">
        <v>8359.5999999999985</v>
      </c>
      <c r="M265" s="1956">
        <v>9296.0194797562654</v>
      </c>
      <c r="N265" s="1956">
        <v>10138.799999999999</v>
      </c>
      <c r="O265" s="1956">
        <v>9769.25</v>
      </c>
      <c r="P265" s="2038"/>
      <c r="Q265" s="2038"/>
      <c r="R265" s="2038"/>
    </row>
    <row r="266" spans="2:18" ht="10.5" x14ac:dyDescent="0.25">
      <c r="B266" s="779" t="str">
        <f t="shared" si="25"/>
        <v>Lower Murray Water - Urban</v>
      </c>
      <c r="C266" s="779" t="s">
        <v>561</v>
      </c>
      <c r="D266" s="779" t="s">
        <v>709</v>
      </c>
      <c r="E266" s="778"/>
      <c r="F266" s="2042" t="str">
        <f t="shared" si="26"/>
        <v>LMW-UTotal metered volume of water delivered to customers (ML) - [BED 10]</v>
      </c>
      <c r="G266" s="779" t="s">
        <v>912</v>
      </c>
      <c r="H266" s="1207"/>
      <c r="I266" s="2038"/>
      <c r="J266" s="2038"/>
      <c r="K266" s="1956">
        <v>19397</v>
      </c>
      <c r="L266" s="1956">
        <v>17033</v>
      </c>
      <c r="M266" s="1956">
        <v>19223</v>
      </c>
      <c r="N266" s="1956">
        <v>20508.905999999999</v>
      </c>
      <c r="O266" s="1956">
        <v>19452</v>
      </c>
      <c r="P266" s="2038"/>
      <c r="Q266" s="2038"/>
      <c r="R266" s="2038"/>
    </row>
    <row r="267" spans="2:18" ht="10.5" x14ac:dyDescent="0.25">
      <c r="B267" s="779" t="str">
        <f t="shared" si="25"/>
        <v>North East Water</v>
      </c>
      <c r="C267" s="779" t="s">
        <v>448</v>
      </c>
      <c r="D267" s="779" t="s">
        <v>709</v>
      </c>
      <c r="E267" s="778"/>
      <c r="F267" s="2042" t="str">
        <f t="shared" si="26"/>
        <v>NEWTotal metered volume of water delivered to customers (ML) - [BED 10]</v>
      </c>
      <c r="G267" s="779" t="s">
        <v>912</v>
      </c>
      <c r="H267" s="1207"/>
      <c r="I267" s="2038"/>
      <c r="J267" s="2038"/>
      <c r="K267" s="1956">
        <v>14762</v>
      </c>
      <c r="L267" s="1956">
        <v>13823</v>
      </c>
      <c r="M267" s="1956">
        <v>14581.754000000001</v>
      </c>
      <c r="N267" s="1956">
        <v>15440.29</v>
      </c>
      <c r="O267" s="1956">
        <v>15072.308000000001</v>
      </c>
      <c r="P267" s="2038"/>
      <c r="Q267" s="2038"/>
      <c r="R267" s="2038"/>
    </row>
    <row r="268" spans="2:18" ht="10.5" x14ac:dyDescent="0.25">
      <c r="B268" s="779" t="str">
        <f t="shared" si="25"/>
        <v>South Gippsland Water</v>
      </c>
      <c r="C268" s="779" t="s">
        <v>449</v>
      </c>
      <c r="D268" s="779" t="s">
        <v>709</v>
      </c>
      <c r="E268" s="778"/>
      <c r="F268" s="2042" t="str">
        <f t="shared" si="26"/>
        <v>SGWTotal metered volume of water delivered to customers (ML) - [BED 10]</v>
      </c>
      <c r="G268" s="779" t="s">
        <v>912</v>
      </c>
      <c r="H268" s="1207"/>
      <c r="I268" s="2038"/>
      <c r="J268" s="2038"/>
      <c r="K268" s="1956">
        <v>4771</v>
      </c>
      <c r="L268" s="1956">
        <v>4613</v>
      </c>
      <c r="M268" s="1956">
        <v>4530</v>
      </c>
      <c r="N268" s="1956">
        <v>4642</v>
      </c>
      <c r="O268" s="1956">
        <v>4726</v>
      </c>
      <c r="P268" s="2038"/>
      <c r="Q268" s="2038"/>
      <c r="R268" s="2038"/>
    </row>
    <row r="269" spans="2:18" ht="10.5" x14ac:dyDescent="0.25">
      <c r="B269" s="779" t="str">
        <f t="shared" si="25"/>
        <v>Wannon Water</v>
      </c>
      <c r="C269" s="779" t="s">
        <v>450</v>
      </c>
      <c r="D269" s="779" t="s">
        <v>709</v>
      </c>
      <c r="E269" s="778"/>
      <c r="F269" s="2042" t="str">
        <f t="shared" si="26"/>
        <v>WNWTotal metered volume of water delivered to customers (ML) - [BED 10]</v>
      </c>
      <c r="G269" s="779" t="s">
        <v>912</v>
      </c>
      <c r="H269" s="1207"/>
      <c r="I269" s="2038"/>
      <c r="J269" s="2038"/>
      <c r="K269" s="1956">
        <v>11975</v>
      </c>
      <c r="L269" s="1956">
        <v>10737</v>
      </c>
      <c r="M269" s="1956">
        <v>12033</v>
      </c>
      <c r="N269" s="1956">
        <v>11986</v>
      </c>
      <c r="O269" s="1956">
        <v>11469</v>
      </c>
      <c r="P269" s="2038"/>
      <c r="Q269" s="2038"/>
      <c r="R269" s="2038"/>
    </row>
    <row r="270" spans="2:18" ht="10.5" x14ac:dyDescent="0.25">
      <c r="B270" s="779" t="str">
        <f t="shared" si="25"/>
        <v>Western Water</v>
      </c>
      <c r="C270" s="779" t="s">
        <v>453</v>
      </c>
      <c r="D270" s="779" t="s">
        <v>709</v>
      </c>
      <c r="E270" s="778"/>
      <c r="F270" s="2042" t="str">
        <f t="shared" si="26"/>
        <v>WWTotal metered volume of water delivered to customers (ML) - [BED 10]</v>
      </c>
      <c r="G270" s="779" t="s">
        <v>912</v>
      </c>
      <c r="H270" s="1207"/>
      <c r="I270" s="2038"/>
      <c r="J270" s="2038"/>
      <c r="K270" s="1956">
        <v>13054</v>
      </c>
      <c r="L270" s="1956">
        <v>12555</v>
      </c>
      <c r="M270" s="1956">
        <v>13539.466</v>
      </c>
      <c r="N270" s="1956">
        <v>14718</v>
      </c>
      <c r="O270" s="1956">
        <v>14687.5</v>
      </c>
      <c r="P270" s="2038"/>
      <c r="Q270" s="2038"/>
      <c r="R270" s="2038"/>
    </row>
    <row r="271" spans="2:18" ht="10.5" x14ac:dyDescent="0.25">
      <c r="B271" s="779" t="str">
        <f t="shared" si="25"/>
        <v>Westernport Water</v>
      </c>
      <c r="C271" s="779" t="s">
        <v>451</v>
      </c>
      <c r="D271" s="779" t="s">
        <v>709</v>
      </c>
      <c r="E271" s="778"/>
      <c r="F271" s="2042" t="str">
        <f t="shared" si="26"/>
        <v>WPWTotal metered volume of water delivered to customers (ML) - [BED 10]</v>
      </c>
      <c r="G271" s="779" t="s">
        <v>912</v>
      </c>
      <c r="H271" s="1207"/>
      <c r="I271" s="2038"/>
      <c r="J271" s="2038"/>
      <c r="K271" s="1956">
        <v>1819</v>
      </c>
      <c r="L271" s="1956">
        <v>2004</v>
      </c>
      <c r="M271" s="1956">
        <v>1973</v>
      </c>
      <c r="N271" s="1956">
        <v>2232</v>
      </c>
      <c r="O271" s="1956">
        <v>2047</v>
      </c>
      <c r="P271" s="2038"/>
      <c r="Q271" s="2038"/>
      <c r="R271" s="2038"/>
    </row>
    <row r="272" spans="2:18" ht="10.5" x14ac:dyDescent="0.25">
      <c r="E272" s="778"/>
      <c r="F272" s="778"/>
      <c r="G272" s="778"/>
      <c r="H272" s="1207"/>
      <c r="I272" s="1957"/>
      <c r="J272" s="1957"/>
      <c r="K272" s="1957"/>
      <c r="L272" s="1957"/>
      <c r="M272" s="1957"/>
      <c r="N272" s="1957"/>
      <c r="O272" s="1957"/>
      <c r="P272" s="1957"/>
      <c r="Q272" s="1957"/>
      <c r="R272" s="1957"/>
    </row>
    <row r="273" spans="2:18" ht="10.5" x14ac:dyDescent="0.25">
      <c r="B273" s="779" t="str">
        <f t="shared" si="25"/>
        <v>City West Water</v>
      </c>
      <c r="C273" s="779" t="s">
        <v>437</v>
      </c>
      <c r="D273" s="779" t="s">
        <v>717</v>
      </c>
      <c r="E273" s="778"/>
      <c r="F273" s="2042" t="str">
        <f t="shared" ref="F273:F288" si="27">C273&amp;D273&amp;E273</f>
        <v>CWWWater customers (No.) - Residential &amp; Non-Residential - [BED 1]</v>
      </c>
      <c r="G273" s="779" t="s">
        <v>910</v>
      </c>
      <c r="H273" s="1207"/>
      <c r="I273" s="2038"/>
      <c r="J273" s="2038"/>
      <c r="K273" s="1956">
        <v>429233</v>
      </c>
      <c r="L273" s="1956">
        <v>444681</v>
      </c>
      <c r="M273" s="1956">
        <v>459044</v>
      </c>
      <c r="N273" s="1956">
        <v>473135</v>
      </c>
      <c r="O273" s="1956">
        <v>488191</v>
      </c>
      <c r="P273" s="2038"/>
      <c r="Q273" s="2038"/>
      <c r="R273" s="2038"/>
    </row>
    <row r="274" spans="2:18" ht="10.5" x14ac:dyDescent="0.25">
      <c r="B274" s="779" t="str">
        <f t="shared" si="25"/>
        <v>South East Water</v>
      </c>
      <c r="C274" s="779" t="s">
        <v>438</v>
      </c>
      <c r="D274" s="779" t="s">
        <v>717</v>
      </c>
      <c r="E274" s="778"/>
      <c r="F274" s="2042" t="str">
        <f t="shared" si="27"/>
        <v>SEWWater customers (No.) - Residential &amp; Non-Residential - [BED 1]</v>
      </c>
      <c r="G274" s="779" t="s">
        <v>910</v>
      </c>
      <c r="H274" s="1207"/>
      <c r="I274" s="2038"/>
      <c r="J274" s="2038"/>
      <c r="K274" s="1956">
        <v>727106</v>
      </c>
      <c r="L274" s="1956">
        <v>743040</v>
      </c>
      <c r="M274" s="1956">
        <v>762245</v>
      </c>
      <c r="N274" s="1956">
        <v>778018</v>
      </c>
      <c r="O274" s="1956">
        <v>792546</v>
      </c>
      <c r="P274" s="2038"/>
      <c r="Q274" s="2038"/>
      <c r="R274" s="2038"/>
    </row>
    <row r="275" spans="2:18" ht="10.5" x14ac:dyDescent="0.25">
      <c r="B275" s="779" t="str">
        <f t="shared" si="25"/>
        <v>Yarra Valley Water</v>
      </c>
      <c r="C275" s="779" t="s">
        <v>439</v>
      </c>
      <c r="D275" s="779" t="s">
        <v>717</v>
      </c>
      <c r="E275" s="778"/>
      <c r="F275" s="2042" t="str">
        <f t="shared" si="27"/>
        <v>YVWWater customers (No.) - Residential &amp; Non-Residential - [BED 1]</v>
      </c>
      <c r="G275" s="779" t="s">
        <v>910</v>
      </c>
      <c r="H275" s="1207"/>
      <c r="I275" s="2038"/>
      <c r="J275" s="2038"/>
      <c r="K275" s="1956">
        <v>765287</v>
      </c>
      <c r="L275" s="1956">
        <v>783886</v>
      </c>
      <c r="M275" s="1956">
        <v>802130</v>
      </c>
      <c r="N275" s="1956">
        <v>821734</v>
      </c>
      <c r="O275" s="1956">
        <v>839516</v>
      </c>
      <c r="P275" s="2038"/>
      <c r="Q275" s="2038"/>
      <c r="R275" s="2038"/>
    </row>
    <row r="276" spans="2:18" ht="10.5" x14ac:dyDescent="0.25">
      <c r="B276" s="779" t="str">
        <f t="shared" si="25"/>
        <v>Barwon Water</v>
      </c>
      <c r="C276" s="779" t="s">
        <v>440</v>
      </c>
      <c r="D276" s="779" t="s">
        <v>717</v>
      </c>
      <c r="E276" s="778"/>
      <c r="F276" s="2042" t="str">
        <f t="shared" si="27"/>
        <v>BWWater customers (No.) - Residential &amp; Non-Residential - [BED 1]</v>
      </c>
      <c r="G276" s="779" t="s">
        <v>910</v>
      </c>
      <c r="H276" s="1207"/>
      <c r="I276" s="2038"/>
      <c r="J276" s="2038"/>
      <c r="K276" s="1956">
        <v>151418</v>
      </c>
      <c r="L276" s="1956">
        <v>154266</v>
      </c>
      <c r="M276" s="1956">
        <v>158109</v>
      </c>
      <c r="N276" s="1956">
        <v>161695</v>
      </c>
      <c r="O276" s="1956">
        <v>165804</v>
      </c>
      <c r="P276" s="2038"/>
      <c r="Q276" s="2038"/>
      <c r="R276" s="2038"/>
    </row>
    <row r="277" spans="2:18" ht="10.5" x14ac:dyDescent="0.25">
      <c r="B277" s="779" t="str">
        <f t="shared" si="25"/>
        <v>Central Highlands Water</v>
      </c>
      <c r="C277" s="779" t="s">
        <v>442</v>
      </c>
      <c r="D277" s="779" t="s">
        <v>717</v>
      </c>
      <c r="E277" s="778"/>
      <c r="F277" s="2042" t="str">
        <f t="shared" si="27"/>
        <v>CHWWater customers (No.) - Residential &amp; Non-Residential - [BED 1]</v>
      </c>
      <c r="G277" s="779" t="s">
        <v>910</v>
      </c>
      <c r="H277" s="1207"/>
      <c r="I277" s="2038"/>
      <c r="J277" s="2038"/>
      <c r="K277" s="1956">
        <v>67022</v>
      </c>
      <c r="L277" s="1956">
        <v>68251</v>
      </c>
      <c r="M277" s="1956">
        <v>69565</v>
      </c>
      <c r="N277" s="1956">
        <v>71054</v>
      </c>
      <c r="O277" s="1956">
        <v>72128</v>
      </c>
      <c r="P277" s="2038"/>
      <c r="Q277" s="2038"/>
      <c r="R277" s="2038"/>
    </row>
    <row r="278" spans="2:18" ht="10.5" x14ac:dyDescent="0.25">
      <c r="B278" s="779" t="str">
        <f t="shared" si="25"/>
        <v>Coliban Water</v>
      </c>
      <c r="C278" s="779" t="s">
        <v>443</v>
      </c>
      <c r="D278" s="779" t="s">
        <v>717</v>
      </c>
      <c r="E278" s="778"/>
      <c r="F278" s="2042" t="str">
        <f t="shared" si="27"/>
        <v>CWWater customers (No.) - Residential &amp; Non-Residential - [BED 1]</v>
      </c>
      <c r="G278" s="779" t="s">
        <v>910</v>
      </c>
      <c r="H278" s="1207"/>
      <c r="I278" s="2038"/>
      <c r="J278" s="2038"/>
      <c r="K278" s="1956">
        <v>73228</v>
      </c>
      <c r="L278" s="1956">
        <v>74163</v>
      </c>
      <c r="M278" s="1956">
        <v>75238</v>
      </c>
      <c r="N278" s="1956">
        <v>76478</v>
      </c>
      <c r="O278" s="1956">
        <v>77709</v>
      </c>
      <c r="P278" s="2038"/>
      <c r="Q278" s="2038"/>
      <c r="R278" s="2038"/>
    </row>
    <row r="279" spans="2:18" ht="10.5" x14ac:dyDescent="0.25">
      <c r="B279" s="779" t="str">
        <f t="shared" si="25"/>
        <v>East Gippsland Water</v>
      </c>
      <c r="C279" s="779" t="s">
        <v>444</v>
      </c>
      <c r="D279" s="779" t="s">
        <v>717</v>
      </c>
      <c r="E279" s="778"/>
      <c r="F279" s="2042" t="str">
        <f t="shared" si="27"/>
        <v>EGWWater customers (No.) - Residential &amp; Non-Residential - [BED 1]</v>
      </c>
      <c r="G279" s="779" t="s">
        <v>910</v>
      </c>
      <c r="H279" s="1207"/>
      <c r="I279" s="2038"/>
      <c r="J279" s="2038"/>
      <c r="K279" s="1956">
        <v>23157</v>
      </c>
      <c r="L279" s="1956">
        <v>23460</v>
      </c>
      <c r="M279" s="1956">
        <v>23760</v>
      </c>
      <c r="N279" s="1956">
        <v>24128</v>
      </c>
      <c r="O279" s="1956">
        <v>24448</v>
      </c>
      <c r="P279" s="2038"/>
      <c r="Q279" s="2038"/>
      <c r="R279" s="2038"/>
    </row>
    <row r="280" spans="2:18" ht="10.5" x14ac:dyDescent="0.25">
      <c r="B280" s="779" t="str">
        <f t="shared" si="25"/>
        <v>Gippsland Water</v>
      </c>
      <c r="C280" s="779" t="s">
        <v>441</v>
      </c>
      <c r="D280" s="779" t="s">
        <v>717</v>
      </c>
      <c r="E280" s="778"/>
      <c r="F280" s="2042" t="str">
        <f t="shared" si="27"/>
        <v>CGWWater customers (No.) - Residential &amp; Non-Residential - [BED 1]</v>
      </c>
      <c r="G280" s="779" t="s">
        <v>910</v>
      </c>
      <c r="H280" s="1207"/>
      <c r="I280" s="2038"/>
      <c r="J280" s="2038"/>
      <c r="K280" s="1956">
        <v>67930</v>
      </c>
      <c r="L280" s="1956">
        <v>68772</v>
      </c>
      <c r="M280" s="1956">
        <v>69788</v>
      </c>
      <c r="N280" s="1956">
        <v>70906</v>
      </c>
      <c r="O280" s="1956">
        <v>71963</v>
      </c>
      <c r="P280" s="2038"/>
      <c r="Q280" s="2038"/>
      <c r="R280" s="2038"/>
    </row>
    <row r="281" spans="2:18" ht="10.5" x14ac:dyDescent="0.25">
      <c r="B281" s="779" t="str">
        <f t="shared" si="25"/>
        <v>Goulburn Valley Water</v>
      </c>
      <c r="C281" s="779" t="s">
        <v>445</v>
      </c>
      <c r="D281" s="779" t="s">
        <v>717</v>
      </c>
      <c r="E281" s="778"/>
      <c r="F281" s="2042" t="str">
        <f t="shared" si="27"/>
        <v>GVWWater customers (No.) - Residential &amp; Non-Residential - [BED 1]</v>
      </c>
      <c r="G281" s="779" t="s">
        <v>910</v>
      </c>
      <c r="H281" s="1207"/>
      <c r="I281" s="2038"/>
      <c r="J281" s="2038"/>
      <c r="K281" s="1956">
        <v>57236</v>
      </c>
      <c r="L281" s="1956">
        <v>57873</v>
      </c>
      <c r="M281" s="1956">
        <v>58662</v>
      </c>
      <c r="N281" s="1956">
        <v>59499</v>
      </c>
      <c r="O281" s="1956">
        <v>60279</v>
      </c>
      <c r="P281" s="2038"/>
      <c r="Q281" s="2038"/>
      <c r="R281" s="2038"/>
    </row>
    <row r="282" spans="2:18" ht="10.5" x14ac:dyDescent="0.25">
      <c r="B282" s="779" t="str">
        <f t="shared" si="25"/>
        <v>GWM Water</v>
      </c>
      <c r="C282" s="779" t="s">
        <v>446</v>
      </c>
      <c r="D282" s="779" t="s">
        <v>717</v>
      </c>
      <c r="E282" s="778"/>
      <c r="F282" s="2042" t="str">
        <f t="shared" si="27"/>
        <v>GWMWWater customers (No.) - Residential &amp; Non-Residential - [BED 1]</v>
      </c>
      <c r="G282" s="779" t="s">
        <v>910</v>
      </c>
      <c r="H282" s="1207"/>
      <c r="I282" s="2038"/>
      <c r="J282" s="2038"/>
      <c r="K282" s="1956">
        <v>31613</v>
      </c>
      <c r="L282" s="1956">
        <v>31728</v>
      </c>
      <c r="M282" s="1956">
        <v>31826</v>
      </c>
      <c r="N282" s="1956">
        <v>31947</v>
      </c>
      <c r="O282" s="1956">
        <v>32052</v>
      </c>
      <c r="P282" s="2038"/>
      <c r="Q282" s="2038"/>
      <c r="R282" s="2038"/>
    </row>
    <row r="283" spans="2:18" ht="10.5" x14ac:dyDescent="0.25">
      <c r="B283" s="779" t="str">
        <f t="shared" si="25"/>
        <v>Lower Murray Water - Urban</v>
      </c>
      <c r="C283" s="779" t="s">
        <v>561</v>
      </c>
      <c r="D283" s="779" t="s">
        <v>717</v>
      </c>
      <c r="E283" s="778"/>
      <c r="F283" s="2042" t="str">
        <f t="shared" si="27"/>
        <v>LMW-UWater customers (No.) - Residential &amp; Non-Residential - [BED 1]</v>
      </c>
      <c r="G283" s="779" t="s">
        <v>910</v>
      </c>
      <c r="H283" s="1207"/>
      <c r="I283" s="2038"/>
      <c r="J283" s="2038"/>
      <c r="K283" s="1956">
        <v>33244</v>
      </c>
      <c r="L283" s="1956">
        <v>33395</v>
      </c>
      <c r="M283" s="1956">
        <v>33719</v>
      </c>
      <c r="N283" s="1956">
        <v>34040</v>
      </c>
      <c r="O283" s="1956">
        <v>34311</v>
      </c>
      <c r="P283" s="2038"/>
      <c r="Q283" s="2038"/>
      <c r="R283" s="2038"/>
    </row>
    <row r="284" spans="2:18" ht="10.5" x14ac:dyDescent="0.25">
      <c r="B284" s="779" t="str">
        <f t="shared" si="25"/>
        <v>North East Water</v>
      </c>
      <c r="C284" s="779" t="s">
        <v>448</v>
      </c>
      <c r="D284" s="779" t="s">
        <v>717</v>
      </c>
      <c r="E284" s="778"/>
      <c r="F284" s="2042" t="str">
        <f t="shared" si="27"/>
        <v>NEWWater customers (No.) - Residential &amp; Non-Residential - [BED 1]</v>
      </c>
      <c r="G284" s="779" t="s">
        <v>910</v>
      </c>
      <c r="H284" s="1207"/>
      <c r="I284" s="2038"/>
      <c r="J284" s="2038"/>
      <c r="K284" s="1956">
        <v>49576</v>
      </c>
      <c r="L284" s="1956">
        <v>50273</v>
      </c>
      <c r="M284" s="1956">
        <v>51094</v>
      </c>
      <c r="N284" s="1956">
        <v>51923</v>
      </c>
      <c r="O284" s="1956">
        <v>52707</v>
      </c>
      <c r="P284" s="2038"/>
      <c r="Q284" s="2038"/>
      <c r="R284" s="2038"/>
    </row>
    <row r="285" spans="2:18" ht="10.5" x14ac:dyDescent="0.25">
      <c r="B285" s="779" t="str">
        <f t="shared" si="25"/>
        <v>South Gippsland Water</v>
      </c>
      <c r="C285" s="779" t="s">
        <v>449</v>
      </c>
      <c r="D285" s="779" t="s">
        <v>717</v>
      </c>
      <c r="E285" s="778"/>
      <c r="F285" s="2042" t="str">
        <f t="shared" si="27"/>
        <v>SGWWater customers (No.) - Residential &amp; Non-Residential - [BED 1]</v>
      </c>
      <c r="G285" s="779" t="s">
        <v>910</v>
      </c>
      <c r="H285" s="1207"/>
      <c r="I285" s="2038"/>
      <c r="J285" s="2038"/>
      <c r="K285" s="1956">
        <v>19829</v>
      </c>
      <c r="L285" s="1956">
        <v>20048</v>
      </c>
      <c r="M285" s="1956">
        <v>20372</v>
      </c>
      <c r="N285" s="1956">
        <v>20692</v>
      </c>
      <c r="O285" s="1956">
        <v>20956</v>
      </c>
      <c r="P285" s="2038"/>
      <c r="Q285" s="2038"/>
      <c r="R285" s="2038"/>
    </row>
    <row r="286" spans="2:18" ht="10.5" x14ac:dyDescent="0.25">
      <c r="B286" s="779" t="str">
        <f t="shared" si="25"/>
        <v>Wannon Water</v>
      </c>
      <c r="C286" s="779" t="s">
        <v>450</v>
      </c>
      <c r="D286" s="779" t="s">
        <v>717</v>
      </c>
      <c r="E286" s="778"/>
      <c r="F286" s="2042" t="str">
        <f t="shared" si="27"/>
        <v>WNWWater customers (No.) - Residential &amp; Non-Residential - [BED 1]</v>
      </c>
      <c r="G286" s="779" t="s">
        <v>910</v>
      </c>
      <c r="H286" s="1207"/>
      <c r="I286" s="2038"/>
      <c r="J286" s="2038"/>
      <c r="K286" s="1956">
        <v>42466</v>
      </c>
      <c r="L286" s="1956">
        <v>42766</v>
      </c>
      <c r="M286" s="1956">
        <v>43070</v>
      </c>
      <c r="N286" s="1956">
        <v>43302</v>
      </c>
      <c r="O286" s="1956">
        <v>43603</v>
      </c>
      <c r="P286" s="2038"/>
      <c r="Q286" s="2038"/>
      <c r="R286" s="2038"/>
    </row>
    <row r="287" spans="2:18" ht="10.5" x14ac:dyDescent="0.25">
      <c r="B287" s="779" t="str">
        <f t="shared" si="25"/>
        <v>Western Water</v>
      </c>
      <c r="C287" s="779" t="s">
        <v>453</v>
      </c>
      <c r="D287" s="779" t="s">
        <v>717</v>
      </c>
      <c r="E287" s="778"/>
      <c r="F287" s="2042" t="str">
        <f t="shared" si="27"/>
        <v>WWWater customers (No.) - Residential &amp; Non-Residential - [BED 1]</v>
      </c>
      <c r="G287" s="779" t="s">
        <v>910</v>
      </c>
      <c r="H287" s="1207"/>
      <c r="I287" s="2038"/>
      <c r="J287" s="2038"/>
      <c r="K287" s="1956">
        <v>60158</v>
      </c>
      <c r="L287" s="1956">
        <v>62234</v>
      </c>
      <c r="M287" s="1956">
        <v>64981</v>
      </c>
      <c r="N287" s="1956">
        <v>68031</v>
      </c>
      <c r="O287" s="1956">
        <v>72286</v>
      </c>
      <c r="P287" s="2038"/>
      <c r="Q287" s="2038"/>
      <c r="R287" s="2038"/>
    </row>
    <row r="288" spans="2:18" ht="10.5" x14ac:dyDescent="0.25">
      <c r="B288" s="779" t="str">
        <f t="shared" si="25"/>
        <v>Westernport Water</v>
      </c>
      <c r="C288" s="779" t="s">
        <v>451</v>
      </c>
      <c r="D288" s="779" t="s">
        <v>717</v>
      </c>
      <c r="E288" s="778"/>
      <c r="F288" s="2042" t="str">
        <f t="shared" si="27"/>
        <v>WPWWater customers (No.) - Residential &amp; Non-Residential - [BED 1]</v>
      </c>
      <c r="G288" s="779" t="s">
        <v>910</v>
      </c>
      <c r="H288" s="1207"/>
      <c r="I288" s="2038"/>
      <c r="J288" s="2038"/>
      <c r="K288" s="1956">
        <v>15972</v>
      </c>
      <c r="L288" s="1956">
        <v>16320</v>
      </c>
      <c r="M288" s="1956">
        <v>16529</v>
      </c>
      <c r="N288" s="1956">
        <v>16948</v>
      </c>
      <c r="O288" s="1956">
        <v>17256</v>
      </c>
      <c r="P288" s="2038"/>
      <c r="Q288" s="2038"/>
      <c r="R288" s="2038"/>
    </row>
    <row r="289" spans="2:18" ht="10.5" x14ac:dyDescent="0.25">
      <c r="E289" s="778"/>
      <c r="F289" s="778"/>
      <c r="G289" s="778"/>
      <c r="H289" s="1207"/>
      <c r="I289" s="1957"/>
      <c r="J289" s="1957"/>
      <c r="K289" s="1957"/>
      <c r="L289" s="1957"/>
      <c r="M289" s="1957"/>
      <c r="N289" s="1957"/>
      <c r="O289" s="1957"/>
      <c r="P289" s="1957"/>
      <c r="Q289" s="1957"/>
      <c r="R289" s="1957"/>
    </row>
    <row r="290" spans="2:18" ht="10.5" x14ac:dyDescent="0.25">
      <c r="B290" s="779" t="str">
        <f t="shared" si="25"/>
        <v>City West Water</v>
      </c>
      <c r="C290" s="779" t="s">
        <v>437</v>
      </c>
      <c r="D290" s="779" t="s">
        <v>718</v>
      </c>
      <c r="E290" s="778"/>
      <c r="F290" s="2042" t="str">
        <f t="shared" ref="F290:F305" si="28">C290&amp;D290&amp;E290</f>
        <v>CWWSewer customers (No.) - Residential &amp; Non-Residential - [BED 2]</v>
      </c>
      <c r="G290" s="779" t="s">
        <v>910</v>
      </c>
      <c r="H290" s="1207"/>
      <c r="I290" s="2038"/>
      <c r="J290" s="2038"/>
      <c r="K290" s="1956">
        <v>425764</v>
      </c>
      <c r="L290" s="1956">
        <v>441214</v>
      </c>
      <c r="M290" s="1956">
        <v>455602</v>
      </c>
      <c r="N290" s="1956">
        <v>469686</v>
      </c>
      <c r="O290" s="1956">
        <v>484744</v>
      </c>
      <c r="P290" s="2038"/>
      <c r="Q290" s="2038"/>
      <c r="R290" s="2038"/>
    </row>
    <row r="291" spans="2:18" ht="10.5" x14ac:dyDescent="0.25">
      <c r="B291" s="779" t="str">
        <f t="shared" si="25"/>
        <v>South East Water</v>
      </c>
      <c r="C291" s="779" t="s">
        <v>438</v>
      </c>
      <c r="D291" s="779" t="s">
        <v>718</v>
      </c>
      <c r="E291" s="778"/>
      <c r="F291" s="2042" t="str">
        <f t="shared" si="28"/>
        <v>SEWSewer customers (No.) - Residential &amp; Non-Residential - [BED 2]</v>
      </c>
      <c r="G291" s="779" t="s">
        <v>910</v>
      </c>
      <c r="H291" s="1207"/>
      <c r="I291" s="2038"/>
      <c r="J291" s="2038"/>
      <c r="K291" s="1956">
        <v>697973</v>
      </c>
      <c r="L291" s="1956">
        <v>714354</v>
      </c>
      <c r="M291" s="1956">
        <v>734766</v>
      </c>
      <c r="N291" s="1956">
        <v>751488</v>
      </c>
      <c r="O291" s="1956">
        <v>766516</v>
      </c>
      <c r="P291" s="2038"/>
      <c r="Q291" s="2038"/>
      <c r="R291" s="2038"/>
    </row>
    <row r="292" spans="2:18" ht="10.5" x14ac:dyDescent="0.25">
      <c r="B292" s="779" t="str">
        <f t="shared" si="25"/>
        <v>Yarra Valley Water</v>
      </c>
      <c r="C292" s="779" t="s">
        <v>439</v>
      </c>
      <c r="D292" s="779" t="s">
        <v>718</v>
      </c>
      <c r="E292" s="778"/>
      <c r="F292" s="2042" t="str">
        <f t="shared" si="28"/>
        <v>YVWSewer customers (No.) - Residential &amp; Non-Residential - [BED 2]</v>
      </c>
      <c r="G292" s="779" t="s">
        <v>910</v>
      </c>
      <c r="H292" s="1207"/>
      <c r="I292" s="2038"/>
      <c r="J292" s="2038"/>
      <c r="K292" s="1956">
        <v>722699</v>
      </c>
      <c r="L292" s="1956">
        <v>726808</v>
      </c>
      <c r="M292" s="1956">
        <v>745096</v>
      </c>
      <c r="N292" s="1956">
        <v>764990</v>
      </c>
      <c r="O292" s="1956">
        <v>782501</v>
      </c>
      <c r="P292" s="2038"/>
      <c r="Q292" s="2038"/>
      <c r="R292" s="2038"/>
    </row>
    <row r="293" spans="2:18" ht="10.5" x14ac:dyDescent="0.25">
      <c r="B293" s="779" t="str">
        <f t="shared" si="25"/>
        <v>Barwon Water</v>
      </c>
      <c r="C293" s="779" t="s">
        <v>440</v>
      </c>
      <c r="D293" s="779" t="s">
        <v>718</v>
      </c>
      <c r="E293" s="778"/>
      <c r="F293" s="2042" t="str">
        <f t="shared" si="28"/>
        <v>BWSewer customers (No.) - Residential &amp; Non-Residential - [BED 2]</v>
      </c>
      <c r="G293" s="779" t="s">
        <v>910</v>
      </c>
      <c r="H293" s="1207"/>
      <c r="I293" s="2038"/>
      <c r="J293" s="2038"/>
      <c r="K293" s="1956">
        <v>135561</v>
      </c>
      <c r="L293" s="1956">
        <v>137852</v>
      </c>
      <c r="M293" s="1956">
        <v>141376</v>
      </c>
      <c r="N293" s="1956">
        <v>146272</v>
      </c>
      <c r="O293" s="1956">
        <v>150417</v>
      </c>
      <c r="P293" s="2038"/>
      <c r="Q293" s="2038"/>
      <c r="R293" s="2038"/>
    </row>
    <row r="294" spans="2:18" ht="10.5" x14ac:dyDescent="0.25">
      <c r="B294" s="779" t="str">
        <f t="shared" si="25"/>
        <v>Central Highlands Water</v>
      </c>
      <c r="C294" s="779" t="s">
        <v>442</v>
      </c>
      <c r="D294" s="779" t="s">
        <v>718</v>
      </c>
      <c r="E294" s="778"/>
      <c r="F294" s="2042" t="str">
        <f t="shared" si="28"/>
        <v>CHWSewer customers (No.) - Residential &amp; Non-Residential - [BED 2]</v>
      </c>
      <c r="G294" s="779" t="s">
        <v>910</v>
      </c>
      <c r="H294" s="1207"/>
      <c r="I294" s="2038"/>
      <c r="J294" s="2038"/>
      <c r="K294" s="1956">
        <v>57448</v>
      </c>
      <c r="L294" s="1956">
        <v>58830</v>
      </c>
      <c r="M294" s="1956">
        <v>59932</v>
      </c>
      <c r="N294" s="1956">
        <v>61156</v>
      </c>
      <c r="O294" s="1956">
        <v>62475</v>
      </c>
      <c r="P294" s="2038"/>
      <c r="Q294" s="2038"/>
      <c r="R294" s="2038"/>
    </row>
    <row r="295" spans="2:18" ht="10.5" x14ac:dyDescent="0.25">
      <c r="B295" s="779" t="str">
        <f t="shared" si="25"/>
        <v>Coliban Water</v>
      </c>
      <c r="C295" s="779" t="s">
        <v>443</v>
      </c>
      <c r="D295" s="779" t="s">
        <v>718</v>
      </c>
      <c r="E295" s="778"/>
      <c r="F295" s="2042" t="str">
        <f t="shared" si="28"/>
        <v>CWSewer customers (No.) - Residential &amp; Non-Residential - [BED 2]</v>
      </c>
      <c r="G295" s="779" t="s">
        <v>910</v>
      </c>
      <c r="H295" s="1207"/>
      <c r="I295" s="2038"/>
      <c r="J295" s="2038"/>
      <c r="K295" s="1956">
        <v>66088</v>
      </c>
      <c r="L295" s="1956">
        <v>67055</v>
      </c>
      <c r="M295" s="1956">
        <v>67996</v>
      </c>
      <c r="N295" s="1956">
        <v>69173</v>
      </c>
      <c r="O295" s="1956">
        <v>70474</v>
      </c>
      <c r="P295" s="2038"/>
      <c r="Q295" s="2038"/>
      <c r="R295" s="2038"/>
    </row>
    <row r="296" spans="2:18" ht="10.5" x14ac:dyDescent="0.25">
      <c r="B296" s="779" t="str">
        <f t="shared" si="25"/>
        <v>East Gippsland Water</v>
      </c>
      <c r="C296" s="779" t="s">
        <v>444</v>
      </c>
      <c r="D296" s="779" t="s">
        <v>718</v>
      </c>
      <c r="E296" s="778"/>
      <c r="F296" s="2042" t="str">
        <f t="shared" si="28"/>
        <v>EGWSewer customers (No.) - Residential &amp; Non-Residential - [BED 2]</v>
      </c>
      <c r="G296" s="779" t="s">
        <v>910</v>
      </c>
      <c r="H296" s="1207"/>
      <c r="I296" s="2038"/>
      <c r="J296" s="2038"/>
      <c r="K296" s="1956">
        <v>19356</v>
      </c>
      <c r="L296" s="1956">
        <v>19599</v>
      </c>
      <c r="M296" s="1956">
        <v>19832</v>
      </c>
      <c r="N296" s="1956">
        <v>20090</v>
      </c>
      <c r="O296" s="1956">
        <v>20206</v>
      </c>
      <c r="P296" s="2038"/>
      <c r="Q296" s="2038"/>
      <c r="R296" s="2038"/>
    </row>
    <row r="297" spans="2:18" ht="10.5" x14ac:dyDescent="0.25">
      <c r="B297" s="779" t="str">
        <f t="shared" si="25"/>
        <v>Gippsland Water</v>
      </c>
      <c r="C297" s="779" t="s">
        <v>441</v>
      </c>
      <c r="D297" s="779" t="s">
        <v>718</v>
      </c>
      <c r="E297" s="778"/>
      <c r="F297" s="2042" t="str">
        <f t="shared" si="28"/>
        <v>CGWSewer customers (No.) - Residential &amp; Non-Residential - [BED 2]</v>
      </c>
      <c r="G297" s="779" t="s">
        <v>910</v>
      </c>
      <c r="H297" s="1207"/>
      <c r="I297" s="2038"/>
      <c r="J297" s="2038"/>
      <c r="K297" s="1956">
        <v>60311</v>
      </c>
      <c r="L297" s="1956">
        <v>61492</v>
      </c>
      <c r="M297" s="1956">
        <v>62469</v>
      </c>
      <c r="N297" s="1956">
        <v>63600</v>
      </c>
      <c r="O297" s="1956">
        <v>64559</v>
      </c>
      <c r="P297" s="2038"/>
      <c r="Q297" s="2038"/>
      <c r="R297" s="2038"/>
    </row>
    <row r="298" spans="2:18" ht="10.5" x14ac:dyDescent="0.25">
      <c r="B298" s="779" t="str">
        <f t="shared" si="25"/>
        <v>Goulburn Valley Water</v>
      </c>
      <c r="C298" s="779" t="s">
        <v>445</v>
      </c>
      <c r="D298" s="779" t="s">
        <v>718</v>
      </c>
      <c r="E298" s="778"/>
      <c r="F298" s="2042" t="str">
        <f t="shared" si="28"/>
        <v>GVWSewer customers (No.) - Residential &amp; Non-Residential - [BED 2]</v>
      </c>
      <c r="G298" s="779" t="s">
        <v>910</v>
      </c>
      <c r="H298" s="1207"/>
      <c r="I298" s="2038"/>
      <c r="J298" s="2038"/>
      <c r="K298" s="1956">
        <v>50348</v>
      </c>
      <c r="L298" s="1956">
        <v>50940</v>
      </c>
      <c r="M298" s="1956">
        <v>51667</v>
      </c>
      <c r="N298" s="1956">
        <v>52492</v>
      </c>
      <c r="O298" s="1956">
        <v>53206</v>
      </c>
      <c r="P298" s="2038"/>
      <c r="Q298" s="2038"/>
      <c r="R298" s="2038"/>
    </row>
    <row r="299" spans="2:18" ht="10.5" x14ac:dyDescent="0.25">
      <c r="B299" s="779" t="str">
        <f t="shared" si="25"/>
        <v>GWM Water</v>
      </c>
      <c r="C299" s="779" t="s">
        <v>446</v>
      </c>
      <c r="D299" s="779" t="s">
        <v>718</v>
      </c>
      <c r="E299" s="778"/>
      <c r="F299" s="2042" t="str">
        <f t="shared" si="28"/>
        <v>GWMWSewer customers (No.) - Residential &amp; Non-Residential - [BED 2]</v>
      </c>
      <c r="G299" s="779" t="s">
        <v>910</v>
      </c>
      <c r="H299" s="1207"/>
      <c r="I299" s="2038"/>
      <c r="J299" s="2038"/>
      <c r="K299" s="1956">
        <v>25565</v>
      </c>
      <c r="L299" s="1956">
        <v>25755</v>
      </c>
      <c r="M299" s="1956">
        <v>25833</v>
      </c>
      <c r="N299" s="1956">
        <v>26043</v>
      </c>
      <c r="O299" s="1956">
        <v>26126</v>
      </c>
      <c r="P299" s="2038"/>
      <c r="Q299" s="2038"/>
      <c r="R299" s="2038"/>
    </row>
    <row r="300" spans="2:18" ht="10.5" x14ac:dyDescent="0.25">
      <c r="B300" s="779" t="str">
        <f t="shared" si="25"/>
        <v>Lower Murray Water - Urban</v>
      </c>
      <c r="C300" s="779" t="s">
        <v>561</v>
      </c>
      <c r="D300" s="779" t="s">
        <v>718</v>
      </c>
      <c r="E300" s="778"/>
      <c r="F300" s="2042" t="str">
        <f t="shared" si="28"/>
        <v>LMW-USewer customers (No.) - Residential &amp; Non-Residential - [BED 2]</v>
      </c>
      <c r="G300" s="779" t="s">
        <v>910</v>
      </c>
      <c r="H300" s="1207"/>
      <c r="I300" s="2038"/>
      <c r="J300" s="2038"/>
      <c r="K300" s="1956">
        <v>28691</v>
      </c>
      <c r="L300" s="1956">
        <v>28980</v>
      </c>
      <c r="M300" s="1956">
        <v>29295</v>
      </c>
      <c r="N300" s="1956">
        <v>29612</v>
      </c>
      <c r="O300" s="1956">
        <v>29868</v>
      </c>
      <c r="P300" s="2038"/>
      <c r="Q300" s="2038"/>
      <c r="R300" s="2038"/>
    </row>
    <row r="301" spans="2:18" ht="10.5" x14ac:dyDescent="0.25">
      <c r="B301" s="779" t="str">
        <f t="shared" si="25"/>
        <v>North East Water</v>
      </c>
      <c r="C301" s="779" t="s">
        <v>448</v>
      </c>
      <c r="D301" s="779" t="s">
        <v>718</v>
      </c>
      <c r="E301" s="778"/>
      <c r="F301" s="2042" t="str">
        <f t="shared" si="28"/>
        <v>NEWSewer customers (No.) - Residential &amp; Non-Residential - [BED 2]</v>
      </c>
      <c r="G301" s="779" t="s">
        <v>910</v>
      </c>
      <c r="H301" s="1207"/>
      <c r="I301" s="2038"/>
      <c r="J301" s="2038"/>
      <c r="K301" s="1956">
        <v>44780</v>
      </c>
      <c r="L301" s="1956">
        <v>45517</v>
      </c>
      <c r="M301" s="1956">
        <v>46323</v>
      </c>
      <c r="N301" s="1956">
        <v>47129</v>
      </c>
      <c r="O301" s="1956">
        <v>47852</v>
      </c>
      <c r="P301" s="2038"/>
      <c r="Q301" s="2038"/>
      <c r="R301" s="2038"/>
    </row>
    <row r="302" spans="2:18" ht="10.5" x14ac:dyDescent="0.25">
      <c r="B302" s="779" t="str">
        <f t="shared" si="25"/>
        <v>South Gippsland Water</v>
      </c>
      <c r="C302" s="779" t="s">
        <v>449</v>
      </c>
      <c r="D302" s="779" t="s">
        <v>718</v>
      </c>
      <c r="E302" s="778"/>
      <c r="F302" s="2042" t="str">
        <f t="shared" si="28"/>
        <v>SGWSewer customers (No.) - Residential &amp; Non-Residential - [BED 2]</v>
      </c>
      <c r="G302" s="779" t="s">
        <v>910</v>
      </c>
      <c r="H302" s="1207"/>
      <c r="I302" s="2038"/>
      <c r="J302" s="2038"/>
      <c r="K302" s="1956">
        <v>17181</v>
      </c>
      <c r="L302" s="1956">
        <v>17725</v>
      </c>
      <c r="M302" s="1956">
        <v>17954</v>
      </c>
      <c r="N302" s="1956">
        <v>18257</v>
      </c>
      <c r="O302" s="1956">
        <v>18517</v>
      </c>
      <c r="P302" s="2038"/>
      <c r="Q302" s="2038"/>
      <c r="R302" s="2038"/>
    </row>
    <row r="303" spans="2:18" ht="10.5" x14ac:dyDescent="0.25">
      <c r="B303" s="779" t="str">
        <f t="shared" si="25"/>
        <v>Wannon Water</v>
      </c>
      <c r="C303" s="779" t="s">
        <v>450</v>
      </c>
      <c r="D303" s="779" t="s">
        <v>718</v>
      </c>
      <c r="E303" s="778"/>
      <c r="F303" s="2042" t="str">
        <f t="shared" si="28"/>
        <v>WNWSewer customers (No.) - Residential &amp; Non-Residential - [BED 2]</v>
      </c>
      <c r="G303" s="779" t="s">
        <v>910</v>
      </c>
      <c r="H303" s="1207"/>
      <c r="I303" s="2038"/>
      <c r="J303" s="2038"/>
      <c r="K303" s="1956">
        <v>36146</v>
      </c>
      <c r="L303" s="1956">
        <v>36492</v>
      </c>
      <c r="M303" s="1956">
        <v>36816</v>
      </c>
      <c r="N303" s="1956">
        <v>37038</v>
      </c>
      <c r="O303" s="1956">
        <v>37321</v>
      </c>
      <c r="P303" s="2038"/>
      <c r="Q303" s="2038"/>
      <c r="R303" s="2038"/>
    </row>
    <row r="304" spans="2:18" ht="10.5" x14ac:dyDescent="0.25">
      <c r="B304" s="779" t="str">
        <f t="shared" si="25"/>
        <v>Western Water</v>
      </c>
      <c r="C304" s="779" t="s">
        <v>453</v>
      </c>
      <c r="D304" s="779" t="s">
        <v>718</v>
      </c>
      <c r="E304" s="778"/>
      <c r="F304" s="2042" t="str">
        <f t="shared" si="28"/>
        <v>WWSewer customers (No.) - Residential &amp; Non-Residential - [BED 2]</v>
      </c>
      <c r="G304" s="779" t="s">
        <v>910</v>
      </c>
      <c r="H304" s="1207"/>
      <c r="I304" s="2038"/>
      <c r="J304" s="2038"/>
      <c r="K304" s="1956">
        <v>54197</v>
      </c>
      <c r="L304" s="1956">
        <v>56264</v>
      </c>
      <c r="M304" s="1956">
        <v>58966</v>
      </c>
      <c r="N304" s="1956">
        <v>62005</v>
      </c>
      <c r="O304" s="1956">
        <v>66238</v>
      </c>
      <c r="P304" s="2038"/>
      <c r="Q304" s="2038"/>
      <c r="R304" s="2038"/>
    </row>
    <row r="305" spans="2:18" ht="10.5" x14ac:dyDescent="0.25">
      <c r="B305" s="779" t="str">
        <f t="shared" si="25"/>
        <v>Westernport Water</v>
      </c>
      <c r="C305" s="779" t="s">
        <v>451</v>
      </c>
      <c r="D305" s="779" t="s">
        <v>718</v>
      </c>
      <c r="E305" s="778"/>
      <c r="F305" s="2042" t="str">
        <f t="shared" si="28"/>
        <v>WPWSewer customers (No.) - Residential &amp; Non-Residential - [BED 2]</v>
      </c>
      <c r="G305" s="779" t="s">
        <v>910</v>
      </c>
      <c r="H305" s="1207"/>
      <c r="I305" s="2038"/>
      <c r="J305" s="2038"/>
      <c r="K305" s="1956">
        <v>14439</v>
      </c>
      <c r="L305" s="1956">
        <v>14753</v>
      </c>
      <c r="M305" s="1956">
        <v>15046</v>
      </c>
      <c r="N305" s="1956">
        <v>15497</v>
      </c>
      <c r="O305" s="1956">
        <v>15794</v>
      </c>
      <c r="P305" s="2038"/>
      <c r="Q305" s="2038"/>
      <c r="R305" s="2038"/>
    </row>
  </sheetData>
  <sheetProtection algorithmName="SHA-512" hashValue="umhVK57qXlymCdsFB8w6BRPqOuC0z4v+YSahrDS0UVQi3XJdHb6Nza1HdZ8IL8GZeJkqTpNFWjYHvFixzNBUXg==" saltValue="wsnTl5sGJv0iODKp73gqkQ==" spinCount="100000" sheet="1" objects="1" scenarios="1"/>
  <sortState xmlns:xlrd2="http://schemas.microsoft.com/office/spreadsheetml/2017/richdata2" columnSort="1" ref="W72:AZ74">
    <sortCondition ref="W72:AZ72"/>
  </sortState>
  <phoneticPr fontId="2" type="noConversion"/>
  <pageMargins left="0.7" right="0.7" top="0.75" bottom="0.75" header="0.3" footer="0.3"/>
  <pageSetup paperSize="9" orientation="portrait" r:id="rId1"/>
  <headerFooter>
    <oddHeader>&amp;C&amp;B&amp;"Arial"&amp;12&amp;Kff0000​‌OFFICIAL‌​</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0" tint="-4.9989318521683403E-2"/>
    <pageSetUpPr autoPageBreaks="0"/>
  </sheetPr>
  <dimension ref="A1:I75"/>
  <sheetViews>
    <sheetView showGridLines="0" zoomScaleNormal="100" workbookViewId="0"/>
  </sheetViews>
  <sheetFormatPr defaultColWidth="3.77734375" defaultRowHeight="10" x14ac:dyDescent="0.2"/>
  <cols>
    <col min="1" max="2" width="3.77734375" style="780" customWidth="1"/>
    <col min="3" max="3" width="30.77734375" style="780" customWidth="1"/>
    <col min="4" max="5" width="3.77734375" style="780" customWidth="1"/>
    <col min="6" max="6" width="30.77734375" style="780" customWidth="1"/>
    <col min="7" max="8" width="3.77734375" style="780" customWidth="1"/>
    <col min="9" max="9" width="30.77734375" style="780" customWidth="1"/>
    <col min="10" max="10" width="3.77734375" style="780" customWidth="1"/>
    <col min="11" max="11" width="30.77734375" style="780" customWidth="1"/>
    <col min="12" max="12" width="3.77734375" style="780" customWidth="1"/>
    <col min="13" max="13" width="30.77734375" style="780" customWidth="1"/>
    <col min="14" max="14" width="3.77734375" style="780" customWidth="1"/>
    <col min="15" max="15" width="30.77734375" style="780" customWidth="1"/>
    <col min="16" max="16" width="3.77734375" style="780" customWidth="1"/>
    <col min="17" max="17" width="30.77734375" style="780" customWidth="1"/>
    <col min="18" max="18" width="3.77734375" style="780" customWidth="1"/>
    <col min="19" max="19" width="30.77734375" style="780" customWidth="1"/>
    <col min="20" max="20" width="3.77734375" style="780" customWidth="1"/>
    <col min="21" max="21" width="30.77734375" style="780" customWidth="1"/>
    <col min="22" max="22" width="3.77734375" style="780" customWidth="1"/>
    <col min="23" max="23" width="30.77734375" style="780" customWidth="1"/>
    <col min="24" max="24" width="3.77734375" style="780" customWidth="1"/>
    <col min="25" max="25" width="30.77734375" style="780" customWidth="1"/>
    <col min="26" max="26" width="3.77734375" style="780" customWidth="1"/>
    <col min="27" max="27" width="30.77734375" style="780" customWidth="1"/>
    <col min="28" max="28" width="3.77734375" style="780" customWidth="1"/>
    <col min="29" max="29" width="30.77734375" style="780" customWidth="1"/>
    <col min="30" max="30" width="3.77734375" style="780" customWidth="1"/>
    <col min="31" max="31" width="30.77734375" style="780" customWidth="1"/>
    <col min="32" max="32" width="3.77734375" style="780" customWidth="1"/>
    <col min="33" max="33" width="30.77734375" style="780" customWidth="1"/>
    <col min="34" max="34" width="3.77734375" style="780" customWidth="1"/>
    <col min="35" max="35" width="30.77734375" style="780" customWidth="1"/>
    <col min="36" max="36" width="3.77734375" style="780" customWidth="1"/>
    <col min="37" max="37" width="30.77734375" style="780" customWidth="1"/>
    <col min="38" max="38" width="3.77734375" style="780" customWidth="1"/>
    <col min="39" max="39" width="30.77734375" style="780" customWidth="1"/>
    <col min="40" max="40" width="3.77734375" style="780" customWidth="1"/>
    <col min="41" max="41" width="30.77734375" style="780" customWidth="1"/>
    <col min="42" max="42" width="3.77734375" style="780" customWidth="1"/>
    <col min="43" max="43" width="30.77734375" style="780" customWidth="1"/>
    <col min="44" max="44" width="3.77734375" style="780" customWidth="1"/>
    <col min="45" max="45" width="30.77734375" style="780" customWidth="1"/>
    <col min="46" max="46" width="3.77734375" style="780" customWidth="1"/>
    <col min="47" max="47" width="30.77734375" style="780" customWidth="1"/>
    <col min="48" max="48" width="3.77734375" style="780" customWidth="1"/>
    <col min="49" max="49" width="30.77734375" style="780" customWidth="1"/>
    <col min="50" max="50" width="3.77734375" style="780" customWidth="1"/>
    <col min="51" max="51" width="30.77734375" style="780" customWidth="1"/>
    <col min="52" max="52" width="3.77734375" style="780" customWidth="1"/>
    <col min="53" max="53" width="30.77734375" style="780" customWidth="1"/>
    <col min="54" max="54" width="3.77734375" style="780" customWidth="1"/>
    <col min="55" max="55" width="30.77734375" style="780" customWidth="1"/>
    <col min="56" max="56" width="3.77734375" style="780" customWidth="1"/>
    <col min="57" max="57" width="30.77734375" style="780" customWidth="1"/>
    <col min="58" max="58" width="3.77734375" style="780" customWidth="1"/>
    <col min="59" max="59" width="30.77734375" style="780" customWidth="1"/>
    <col min="60" max="60" width="3.77734375" style="780" customWidth="1"/>
    <col min="61" max="61" width="30.77734375" style="780" customWidth="1"/>
    <col min="62" max="62" width="3.77734375" style="780" customWidth="1"/>
    <col min="63" max="63" width="30.77734375" style="780" customWidth="1"/>
    <col min="64" max="64" width="3.77734375" style="780" customWidth="1"/>
    <col min="65" max="65" width="30.77734375" style="780" customWidth="1"/>
    <col min="66" max="66" width="3.77734375" style="780" customWidth="1"/>
    <col min="67" max="67" width="30.77734375" style="780" customWidth="1"/>
    <col min="68" max="68" width="3.77734375" style="780" customWidth="1"/>
    <col min="69" max="69" width="30.77734375" style="780" customWidth="1"/>
    <col min="70" max="70" width="3.77734375" style="780" customWidth="1"/>
    <col min="71" max="71" width="30.77734375" style="780" customWidth="1"/>
    <col min="72" max="72" width="3.77734375" style="780" customWidth="1"/>
    <col min="73" max="73" width="30.77734375" style="780" customWidth="1"/>
    <col min="74" max="74" width="3.77734375" style="780" customWidth="1"/>
    <col min="75" max="75" width="30.77734375" style="780" customWidth="1"/>
    <col min="76" max="76" width="3.77734375" style="780" customWidth="1"/>
    <col min="77" max="77" width="30.77734375" style="780" customWidth="1"/>
    <col min="78" max="78" width="3.77734375" style="780" customWidth="1"/>
    <col min="79" max="79" width="30.77734375" style="780" customWidth="1"/>
    <col min="80" max="80" width="3.77734375" style="780" customWidth="1"/>
    <col min="81" max="81" width="30.77734375" style="780" customWidth="1"/>
    <col min="82" max="82" width="3.77734375" style="780" customWidth="1"/>
    <col min="83" max="83" width="30.77734375" style="780" customWidth="1"/>
    <col min="84" max="84" width="3.77734375" style="780" customWidth="1"/>
    <col min="85" max="85" width="30.77734375" style="780" customWidth="1"/>
    <col min="86" max="86" width="3.77734375" style="780" customWidth="1"/>
    <col min="87" max="87" width="30.77734375" style="780" customWidth="1"/>
    <col min="88" max="88" width="3.77734375" style="780" customWidth="1"/>
    <col min="89" max="89" width="30.77734375" style="780" customWidth="1"/>
    <col min="90" max="90" width="3.77734375" style="780" customWidth="1"/>
    <col min="91" max="91" width="30.77734375" style="780" customWidth="1"/>
    <col min="92" max="92" width="3.77734375" style="780" customWidth="1"/>
    <col min="93" max="93" width="30.77734375" style="780" customWidth="1"/>
    <col min="94" max="94" width="3.77734375" style="780" customWidth="1"/>
    <col min="95" max="95" width="30.77734375" style="780" customWidth="1"/>
    <col min="96" max="96" width="3.77734375" style="780" customWidth="1"/>
    <col min="97" max="97" width="30.77734375" style="780" customWidth="1"/>
    <col min="98" max="98" width="3.77734375" style="780" customWidth="1"/>
    <col min="99" max="99" width="30.77734375" style="780" customWidth="1"/>
    <col min="100" max="100" width="3.77734375" style="780" customWidth="1"/>
    <col min="101" max="101" width="30.77734375" style="780" customWidth="1"/>
    <col min="102" max="102" width="3.77734375" style="780" customWidth="1"/>
    <col min="103" max="103" width="30.77734375" style="780" customWidth="1"/>
    <col min="104" max="104" width="3.77734375" style="780" customWidth="1"/>
    <col min="105" max="105" width="30.77734375" style="780" customWidth="1"/>
    <col min="106" max="106" width="3.77734375" style="780" customWidth="1"/>
    <col min="107" max="107" width="30.77734375" style="780" customWidth="1"/>
    <col min="108" max="108" width="3.77734375" style="780" customWidth="1"/>
    <col min="109" max="109" width="30.77734375" style="780" customWidth="1"/>
    <col min="110" max="110" width="3.77734375" style="780" customWidth="1"/>
    <col min="111" max="111" width="30.77734375" style="780" customWidth="1"/>
    <col min="112" max="112" width="3.77734375" style="780" customWidth="1"/>
    <col min="113" max="113" width="30.77734375" style="780" customWidth="1"/>
    <col min="114" max="114" width="3.77734375" style="780" customWidth="1"/>
    <col min="115" max="115" width="30.77734375" style="780" customWidth="1"/>
    <col min="116" max="116" width="3.77734375" style="780" customWidth="1"/>
    <col min="117" max="117" width="30.77734375" style="780" customWidth="1"/>
    <col min="118" max="118" width="3.77734375" style="780" customWidth="1"/>
    <col min="119" max="119" width="30.77734375" style="780" customWidth="1"/>
    <col min="120" max="120" width="3.77734375" style="780" customWidth="1"/>
    <col min="121" max="121" width="30.77734375" style="780" customWidth="1"/>
    <col min="122" max="122" width="3.77734375" style="780" customWidth="1"/>
    <col min="123" max="123" width="30.77734375" style="780" customWidth="1"/>
    <col min="124" max="124" width="3.77734375" style="780" customWidth="1"/>
    <col min="125" max="125" width="30.77734375" style="780" customWidth="1"/>
    <col min="126" max="126" width="3.77734375" style="780" customWidth="1"/>
    <col min="127" max="127" width="30.77734375" style="780" customWidth="1"/>
    <col min="128" max="128" width="3.77734375" style="780" customWidth="1"/>
    <col min="129" max="129" width="30.77734375" style="780" customWidth="1"/>
    <col min="130" max="130" width="3.77734375" style="780" customWidth="1"/>
    <col min="131" max="131" width="30.77734375" style="780" customWidth="1"/>
    <col min="132" max="132" width="3.77734375" style="780" customWidth="1"/>
    <col min="133" max="133" width="30.77734375" style="780" customWidth="1"/>
    <col min="134" max="134" width="3.77734375" style="780" customWidth="1"/>
    <col min="135" max="135" width="30.77734375" style="780" customWidth="1"/>
    <col min="136" max="136" width="3.77734375" style="780" customWidth="1"/>
    <col min="137" max="137" width="30.77734375" style="780" customWidth="1"/>
    <col min="138" max="138" width="3.77734375" style="780" customWidth="1"/>
    <col min="139" max="139" width="30.77734375" style="780" customWidth="1"/>
    <col min="140" max="140" width="3.77734375" style="780" customWidth="1"/>
    <col min="141" max="141" width="30.77734375" style="780" customWidth="1"/>
    <col min="142" max="142" width="3.77734375" style="780" customWidth="1"/>
    <col min="143" max="143" width="30.77734375" style="780" customWidth="1"/>
    <col min="144" max="144" width="3.77734375" style="780" customWidth="1"/>
    <col min="145" max="145" width="30.77734375" style="780" customWidth="1"/>
    <col min="146" max="146" width="3.77734375" style="780" customWidth="1"/>
    <col min="147" max="147" width="30.77734375" style="780" customWidth="1"/>
    <col min="148" max="148" width="3.77734375" style="780" customWidth="1"/>
    <col min="149" max="149" width="30.77734375" style="780" customWidth="1"/>
    <col min="150" max="150" width="3.77734375" style="780" customWidth="1"/>
    <col min="151" max="151" width="30.77734375" style="780" customWidth="1"/>
    <col min="152" max="152" width="3.77734375" style="780" customWidth="1"/>
    <col min="153" max="153" width="30.77734375" style="780" customWidth="1"/>
    <col min="154" max="154" width="3.77734375" style="780" customWidth="1"/>
    <col min="155" max="155" width="30.77734375" style="780" customWidth="1"/>
    <col min="156" max="156" width="3.77734375" style="780" customWidth="1"/>
    <col min="157" max="157" width="30.77734375" style="780" customWidth="1"/>
    <col min="158" max="158" width="3.77734375" style="780" customWidth="1"/>
    <col min="159" max="159" width="30.77734375" style="780" customWidth="1"/>
    <col min="160" max="160" width="3.77734375" style="780" customWidth="1"/>
    <col min="161" max="161" width="30.77734375" style="780" customWidth="1"/>
    <col min="162" max="162" width="3.77734375" style="780" customWidth="1"/>
    <col min="163" max="163" width="30.77734375" style="780" customWidth="1"/>
    <col min="164" max="164" width="3.77734375" style="780" customWidth="1"/>
    <col min="165" max="165" width="30.77734375" style="780" customWidth="1"/>
    <col min="166" max="166" width="3.77734375" style="780" customWidth="1"/>
    <col min="167" max="167" width="30.77734375" style="780" customWidth="1"/>
    <col min="168" max="168" width="3.77734375" style="780" customWidth="1"/>
    <col min="169" max="169" width="30.77734375" style="780" customWidth="1"/>
    <col min="170" max="170" width="3.77734375" style="780" customWidth="1"/>
    <col min="171" max="171" width="30.77734375" style="780" customWidth="1"/>
    <col min="172" max="172" width="3.77734375" style="780" customWidth="1"/>
    <col min="173" max="173" width="30.77734375" style="780" customWidth="1"/>
    <col min="174" max="174" width="3.77734375" style="780" customWidth="1"/>
    <col min="175" max="175" width="30.77734375" style="780" customWidth="1"/>
    <col min="176" max="176" width="3.77734375" style="780" customWidth="1"/>
    <col min="177" max="177" width="30.77734375" style="780" customWidth="1"/>
    <col min="178" max="178" width="3.77734375" style="780" customWidth="1"/>
    <col min="179" max="179" width="30.77734375" style="780" customWidth="1"/>
    <col min="180" max="180" width="3.77734375" style="780" customWidth="1"/>
    <col min="181" max="181" width="30.77734375" style="780" customWidth="1"/>
    <col min="182" max="182" width="3.77734375" style="780" customWidth="1"/>
    <col min="183" max="183" width="30.77734375" style="780" customWidth="1"/>
    <col min="184" max="184" width="3.77734375" style="780" customWidth="1"/>
    <col min="185" max="185" width="30.77734375" style="780" customWidth="1"/>
    <col min="186" max="186" width="3.77734375" style="780" customWidth="1"/>
    <col min="187" max="187" width="30.77734375" style="780" customWidth="1"/>
    <col min="188" max="188" width="3.77734375" style="780" customWidth="1"/>
    <col min="189" max="189" width="30.77734375" style="780" customWidth="1"/>
    <col min="190" max="190" width="3.77734375" style="780" customWidth="1"/>
    <col min="191" max="191" width="30.77734375" style="780" customWidth="1"/>
    <col min="192" max="192" width="3.77734375" style="780" customWidth="1"/>
    <col min="193" max="193" width="30.77734375" style="780" customWidth="1"/>
    <col min="194" max="194" width="3.77734375" style="780" customWidth="1"/>
    <col min="195" max="195" width="30.77734375" style="780" customWidth="1"/>
    <col min="196" max="196" width="3.77734375" style="780" customWidth="1"/>
    <col min="197" max="197" width="30.77734375" style="780" customWidth="1"/>
    <col min="198" max="198" width="3.77734375" style="780" customWidth="1"/>
    <col min="199" max="199" width="30.77734375" style="780" customWidth="1"/>
    <col min="200" max="200" width="3.77734375" style="780" customWidth="1"/>
    <col min="201" max="201" width="30.77734375" style="780" customWidth="1"/>
    <col min="202" max="202" width="3.77734375" style="780" customWidth="1"/>
    <col min="203" max="203" width="30.77734375" style="780" customWidth="1"/>
    <col min="204" max="204" width="3.77734375" style="780" customWidth="1"/>
    <col min="205" max="205" width="30.77734375" style="780" customWidth="1"/>
    <col min="206" max="206" width="3.77734375" style="780" customWidth="1"/>
    <col min="207" max="207" width="30.77734375" style="780" customWidth="1"/>
    <col min="208" max="208" width="3.77734375" style="780" customWidth="1"/>
    <col min="209" max="209" width="30.77734375" style="780" customWidth="1"/>
    <col min="210" max="210" width="3.77734375" style="780" customWidth="1"/>
    <col min="211" max="211" width="30.77734375" style="780" customWidth="1"/>
    <col min="212" max="212" width="3.77734375" style="780" customWidth="1"/>
    <col min="213" max="213" width="30.77734375" style="780" customWidth="1"/>
    <col min="214" max="214" width="3.77734375" style="780" customWidth="1"/>
    <col min="215" max="215" width="30.77734375" style="780" customWidth="1"/>
    <col min="216" max="216" width="3.77734375" style="780" customWidth="1"/>
    <col min="217" max="217" width="30.77734375" style="780" customWidth="1"/>
    <col min="218" max="218" width="3.77734375" style="780" customWidth="1"/>
    <col min="219" max="219" width="30.77734375" style="780" customWidth="1"/>
    <col min="220" max="220" width="3.77734375" style="780" customWidth="1"/>
    <col min="221" max="221" width="30.77734375" style="780" customWidth="1"/>
    <col min="222" max="222" width="3.77734375" style="780" customWidth="1"/>
    <col min="223" max="223" width="30.77734375" style="780" customWidth="1"/>
    <col min="224" max="224" width="3.77734375" style="780" customWidth="1"/>
    <col min="225" max="225" width="30.77734375" style="780" customWidth="1"/>
    <col min="226" max="226" width="3.77734375" style="780" customWidth="1"/>
    <col min="227" max="227" width="30.77734375" style="780" customWidth="1"/>
    <col min="228" max="228" width="3.77734375" style="780" customWidth="1"/>
    <col min="229" max="229" width="30.77734375" style="780" customWidth="1"/>
    <col min="230" max="230" width="3.77734375" style="780" customWidth="1"/>
    <col min="231" max="231" width="30.77734375" style="780" customWidth="1"/>
    <col min="232" max="232" width="3.77734375" style="780" customWidth="1"/>
    <col min="233" max="233" width="30.77734375" style="780" customWidth="1"/>
    <col min="234" max="234" width="3.77734375" style="780" customWidth="1"/>
    <col min="235" max="235" width="30.77734375" style="780" customWidth="1"/>
    <col min="236" max="236" width="3.77734375" style="780" customWidth="1"/>
    <col min="237" max="237" width="30.77734375" style="780" customWidth="1"/>
    <col min="238" max="238" width="3.77734375" style="780" customWidth="1"/>
    <col min="239" max="239" width="30.77734375" style="780" customWidth="1"/>
    <col min="240" max="240" width="3.77734375" style="780" customWidth="1"/>
    <col min="241" max="241" width="30.77734375" style="780" customWidth="1"/>
    <col min="242" max="242" width="3.77734375" style="780" customWidth="1"/>
    <col min="243" max="243" width="30.77734375" style="780" customWidth="1"/>
    <col min="244" max="244" width="3.77734375" style="780" customWidth="1"/>
    <col min="245" max="245" width="30.77734375" style="780" customWidth="1"/>
    <col min="246" max="246" width="3.77734375" style="780" customWidth="1"/>
    <col min="247" max="247" width="30.77734375" style="780" customWidth="1"/>
    <col min="248" max="248" width="3.77734375" style="780" customWidth="1"/>
    <col min="249" max="249" width="30.77734375" style="780" customWidth="1"/>
    <col min="250" max="250" width="3.77734375" style="780" customWidth="1"/>
    <col min="251" max="251" width="30.77734375" style="780" customWidth="1"/>
    <col min="252" max="252" width="3.77734375" style="780" customWidth="1"/>
    <col min="253" max="253" width="30.77734375" style="780" customWidth="1"/>
    <col min="254" max="16384" width="3.77734375" style="780"/>
  </cols>
  <sheetData>
    <row r="1" spans="1:9" ht="18" x14ac:dyDescent="0.2">
      <c r="A1" s="782" t="s">
        <v>277</v>
      </c>
      <c r="B1" s="783" t="s">
        <v>326</v>
      </c>
    </row>
    <row r="2" spans="1:9" ht="15.5" x14ac:dyDescent="0.2">
      <c r="B2" s="784" t="str">
        <f>Model_Name</f>
        <v>Central Highlands Water</v>
      </c>
    </row>
    <row r="3" spans="1:9" ht="10.5" x14ac:dyDescent="0.2">
      <c r="B3" s="2435" t="s">
        <v>0</v>
      </c>
      <c r="C3" s="2435"/>
    </row>
    <row r="4" spans="1:9" ht="12.5" x14ac:dyDescent="0.2">
      <c r="A4" s="785"/>
      <c r="B4" s="786"/>
      <c r="C4" s="787"/>
    </row>
    <row r="7" spans="1:9" ht="13" x14ac:dyDescent="0.2">
      <c r="B7" s="788" t="s">
        <v>280</v>
      </c>
      <c r="E7" s="788" t="s">
        <v>281</v>
      </c>
      <c r="I7" s="788" t="s">
        <v>526</v>
      </c>
    </row>
    <row r="9" spans="1:9" ht="10.5" x14ac:dyDescent="0.2">
      <c r="C9" s="789" t="s">
        <v>278</v>
      </c>
      <c r="F9" s="789" t="s">
        <v>28</v>
      </c>
      <c r="I9" s="790" t="s">
        <v>559</v>
      </c>
    </row>
    <row r="10" spans="1:9" x14ac:dyDescent="0.2">
      <c r="C10" s="791" t="s">
        <v>279</v>
      </c>
      <c r="F10" s="791" t="s">
        <v>21</v>
      </c>
      <c r="I10" s="792" t="s">
        <v>13</v>
      </c>
    </row>
    <row r="11" spans="1:9" x14ac:dyDescent="0.2">
      <c r="C11" s="791" t="s">
        <v>64</v>
      </c>
      <c r="F11" s="791" t="s">
        <v>22</v>
      </c>
      <c r="I11" s="792" t="s">
        <v>14</v>
      </c>
    </row>
    <row r="12" spans="1:9" x14ac:dyDescent="0.2">
      <c r="C12" s="793"/>
      <c r="F12" s="791" t="s">
        <v>275</v>
      </c>
      <c r="I12" s="792" t="s">
        <v>6</v>
      </c>
    </row>
    <row r="13" spans="1:9" x14ac:dyDescent="0.2">
      <c r="C13" s="793"/>
      <c r="F13" s="791" t="s">
        <v>352</v>
      </c>
      <c r="I13" s="792" t="s">
        <v>10</v>
      </c>
    </row>
    <row r="14" spans="1:9" x14ac:dyDescent="0.2">
      <c r="C14" s="793"/>
      <c r="F14" s="791" t="s">
        <v>354</v>
      </c>
      <c r="I14" s="793"/>
    </row>
    <row r="15" spans="1:9" x14ac:dyDescent="0.2">
      <c r="C15" s="793"/>
      <c r="F15" s="794"/>
      <c r="I15" s="793"/>
    </row>
    <row r="16" spans="1:9" x14ac:dyDescent="0.2">
      <c r="C16" s="793"/>
      <c r="F16" s="794"/>
      <c r="I16" s="793"/>
    </row>
    <row r="17" spans="2:9" x14ac:dyDescent="0.2">
      <c r="C17" s="793"/>
      <c r="F17" s="793"/>
      <c r="I17" s="793"/>
    </row>
    <row r="18" spans="2:9" x14ac:dyDescent="0.2">
      <c r="C18" s="793"/>
      <c r="F18" s="793"/>
      <c r="I18" s="793"/>
    </row>
    <row r="19" spans="2:9" x14ac:dyDescent="0.2">
      <c r="C19" s="793"/>
      <c r="F19" s="793"/>
      <c r="I19" s="793"/>
    </row>
    <row r="20" spans="2:9" x14ac:dyDescent="0.2">
      <c r="F20" s="793"/>
      <c r="I20" s="793"/>
    </row>
    <row r="22" spans="2:9" ht="13" x14ac:dyDescent="0.2">
      <c r="B22" s="788" t="s">
        <v>282</v>
      </c>
      <c r="E22" s="788" t="s">
        <v>292</v>
      </c>
      <c r="I22" s="788" t="s">
        <v>527</v>
      </c>
    </row>
    <row r="24" spans="2:9" ht="10.5" x14ac:dyDescent="0.2">
      <c r="C24" s="789" t="s">
        <v>570</v>
      </c>
      <c r="F24" s="790" t="s">
        <v>295</v>
      </c>
      <c r="I24" s="790" t="s">
        <v>529</v>
      </c>
    </row>
    <row r="25" spans="2:9" x14ac:dyDescent="0.2">
      <c r="C25" s="791" t="s">
        <v>239</v>
      </c>
      <c r="F25" s="792" t="s">
        <v>296</v>
      </c>
      <c r="I25" s="792" t="s">
        <v>514</v>
      </c>
    </row>
    <row r="26" spans="2:9" x14ac:dyDescent="0.2">
      <c r="C26" s="791" t="s">
        <v>12</v>
      </c>
      <c r="F26" s="792" t="s">
        <v>520</v>
      </c>
      <c r="I26" s="792" t="s">
        <v>515</v>
      </c>
    </row>
    <row r="27" spans="2:9" x14ac:dyDescent="0.2">
      <c r="C27" s="791" t="s">
        <v>512</v>
      </c>
      <c r="F27" s="792" t="s">
        <v>521</v>
      </c>
      <c r="I27" s="792" t="s">
        <v>516</v>
      </c>
    </row>
    <row r="28" spans="2:9" x14ac:dyDescent="0.2">
      <c r="C28" s="793"/>
      <c r="F28" s="792" t="s">
        <v>522</v>
      </c>
      <c r="I28" s="792" t="s">
        <v>517</v>
      </c>
    </row>
    <row r="29" spans="2:9" x14ac:dyDescent="0.2">
      <c r="C29" s="793"/>
      <c r="F29" s="792" t="s">
        <v>523</v>
      </c>
      <c r="I29" s="793"/>
    </row>
    <row r="30" spans="2:9" x14ac:dyDescent="0.2">
      <c r="C30" s="793"/>
      <c r="F30" s="792" t="s">
        <v>524</v>
      </c>
      <c r="I30" s="793"/>
    </row>
    <row r="31" spans="2:9" x14ac:dyDescent="0.2">
      <c r="C31" s="793"/>
      <c r="F31" s="792" t="s">
        <v>920</v>
      </c>
      <c r="I31" s="793"/>
    </row>
    <row r="32" spans="2:9" x14ac:dyDescent="0.2">
      <c r="C32" s="793"/>
      <c r="F32" s="792" t="s">
        <v>921</v>
      </c>
      <c r="I32" s="793"/>
    </row>
    <row r="33" spans="2:9" x14ac:dyDescent="0.2">
      <c r="C33" s="793"/>
      <c r="F33" s="792" t="s">
        <v>922</v>
      </c>
      <c r="I33" s="793"/>
    </row>
    <row r="34" spans="2:9" x14ac:dyDescent="0.2">
      <c r="C34" s="793"/>
      <c r="F34" s="792" t="s">
        <v>923</v>
      </c>
      <c r="I34" s="793"/>
    </row>
    <row r="35" spans="2:9" x14ac:dyDescent="0.2">
      <c r="C35" s="793"/>
      <c r="F35" s="792" t="s">
        <v>924</v>
      </c>
      <c r="I35" s="793"/>
    </row>
    <row r="38" spans="2:9" ht="13" x14ac:dyDescent="0.2">
      <c r="B38" s="788" t="s">
        <v>316</v>
      </c>
      <c r="E38" s="788" t="s">
        <v>318</v>
      </c>
    </row>
    <row r="40" spans="2:9" ht="10.5" x14ac:dyDescent="0.2">
      <c r="C40" s="789" t="s">
        <v>28</v>
      </c>
      <c r="F40" s="789" t="s">
        <v>319</v>
      </c>
    </row>
    <row r="41" spans="2:9" x14ac:dyDescent="0.2">
      <c r="C41" s="791" t="s">
        <v>21</v>
      </c>
      <c r="F41" s="791" t="s">
        <v>320</v>
      </c>
    </row>
    <row r="42" spans="2:9" x14ac:dyDescent="0.2">
      <c r="C42" s="791" t="s">
        <v>22</v>
      </c>
      <c r="F42" s="791" t="s">
        <v>321</v>
      </c>
    </row>
    <row r="43" spans="2:9" x14ac:dyDescent="0.2">
      <c r="C43" s="791" t="s">
        <v>275</v>
      </c>
      <c r="F43" s="793"/>
    </row>
    <row r="44" spans="2:9" x14ac:dyDescent="0.2">
      <c r="C44" s="791" t="s">
        <v>317</v>
      </c>
      <c r="F44" s="793"/>
    </row>
    <row r="45" spans="2:9" x14ac:dyDescent="0.2">
      <c r="C45" s="791" t="s">
        <v>353</v>
      </c>
      <c r="F45" s="793"/>
    </row>
    <row r="46" spans="2:9" x14ac:dyDescent="0.2">
      <c r="C46" s="791" t="s">
        <v>354</v>
      </c>
      <c r="F46" s="793"/>
    </row>
    <row r="47" spans="2:9" x14ac:dyDescent="0.2">
      <c r="C47" s="793"/>
      <c r="F47" s="793"/>
    </row>
    <row r="48" spans="2:9" x14ac:dyDescent="0.2">
      <c r="C48" s="793"/>
      <c r="F48" s="793"/>
    </row>
    <row r="49" spans="2:9" x14ac:dyDescent="0.2">
      <c r="C49" s="793"/>
      <c r="F49" s="793"/>
    </row>
    <row r="50" spans="2:9" x14ac:dyDescent="0.2">
      <c r="C50" s="793"/>
      <c r="F50" s="793"/>
    </row>
    <row r="53" spans="2:9" ht="13" x14ac:dyDescent="0.2">
      <c r="B53" s="788" t="s">
        <v>322</v>
      </c>
      <c r="E53" s="795"/>
      <c r="F53" s="795"/>
      <c r="G53" s="795"/>
      <c r="H53" s="795"/>
      <c r="I53" s="795"/>
    </row>
    <row r="54" spans="2:9" ht="13" x14ac:dyDescent="0.2">
      <c r="E54" s="796" t="s">
        <v>273</v>
      </c>
      <c r="F54" s="795"/>
      <c r="G54" s="797"/>
      <c r="H54" s="795"/>
      <c r="I54" s="795"/>
    </row>
    <row r="55" spans="2:9" ht="13" x14ac:dyDescent="0.2">
      <c r="C55" s="798" t="s">
        <v>323</v>
      </c>
      <c r="E55" s="795"/>
      <c r="F55" s="796"/>
      <c r="G55" s="797"/>
      <c r="H55" s="795"/>
      <c r="I55" s="795"/>
    </row>
    <row r="56" spans="2:9" ht="10.5" x14ac:dyDescent="0.2">
      <c r="C56" s="793" t="s">
        <v>48</v>
      </c>
      <c r="E56" s="795"/>
      <c r="F56" s="799" t="s">
        <v>357</v>
      </c>
      <c r="G56" s="795"/>
      <c r="H56" s="795"/>
      <c r="I56" s="795"/>
    </row>
    <row r="57" spans="2:9" ht="10.5" x14ac:dyDescent="0.2">
      <c r="C57" s="793" t="s">
        <v>324</v>
      </c>
      <c r="E57" s="795"/>
      <c r="F57" s="799" t="s">
        <v>238</v>
      </c>
      <c r="G57" s="795"/>
      <c r="H57" s="795"/>
      <c r="I57" s="795"/>
    </row>
    <row r="58" spans="2:9" ht="10.5" x14ac:dyDescent="0.2">
      <c r="C58" s="793" t="s">
        <v>222</v>
      </c>
      <c r="E58" s="795"/>
      <c r="F58" s="799" t="s">
        <v>356</v>
      </c>
      <c r="G58" s="795"/>
      <c r="H58" s="795"/>
      <c r="I58" s="795"/>
    </row>
    <row r="59" spans="2:9" x14ac:dyDescent="0.2">
      <c r="C59" s="793" t="s">
        <v>388</v>
      </c>
      <c r="E59" s="795"/>
      <c r="F59" s="795"/>
      <c r="G59" s="795"/>
      <c r="H59" s="795"/>
      <c r="I59" s="795"/>
    </row>
    <row r="60" spans="2:9" x14ac:dyDescent="0.2">
      <c r="C60" s="793"/>
      <c r="E60" s="795"/>
      <c r="F60" s="795"/>
      <c r="G60" s="795"/>
      <c r="H60" s="795"/>
      <c r="I60" s="795"/>
    </row>
    <row r="61" spans="2:9" ht="13" x14ac:dyDescent="0.2">
      <c r="C61" s="793"/>
      <c r="E61" s="800" t="s">
        <v>318</v>
      </c>
      <c r="F61" s="795"/>
      <c r="G61" s="797"/>
      <c r="H61" s="795"/>
      <c r="I61" s="795"/>
    </row>
    <row r="62" spans="2:9" ht="13" x14ac:dyDescent="0.2">
      <c r="C62" s="793"/>
      <c r="E62" s="795"/>
      <c r="F62" s="796"/>
      <c r="G62" s="797"/>
      <c r="H62" s="795"/>
      <c r="I62" s="795"/>
    </row>
    <row r="63" spans="2:9" ht="10.5" x14ac:dyDescent="0.2">
      <c r="C63" s="793"/>
      <c r="E63" s="795"/>
      <c r="F63" s="789" t="s">
        <v>319</v>
      </c>
      <c r="G63" s="795"/>
      <c r="H63" s="795"/>
      <c r="I63" s="795"/>
    </row>
    <row r="64" spans="2:9" x14ac:dyDescent="0.2">
      <c r="C64" s="793"/>
      <c r="E64" s="795"/>
      <c r="F64" s="791" t="s">
        <v>555</v>
      </c>
      <c r="G64" s="795"/>
      <c r="H64" s="795"/>
      <c r="I64" s="795"/>
    </row>
    <row r="65" spans="3:9" x14ac:dyDescent="0.2">
      <c r="C65" s="793"/>
      <c r="E65" s="795"/>
      <c r="F65" s="791" t="s">
        <v>556</v>
      </c>
      <c r="G65" s="795"/>
      <c r="H65" s="795"/>
      <c r="I65" s="795"/>
    </row>
    <row r="66" spans="3:9" x14ac:dyDescent="0.2">
      <c r="E66" s="795"/>
      <c r="F66" s="791" t="s">
        <v>557</v>
      </c>
      <c r="G66" s="795"/>
      <c r="H66" s="795"/>
      <c r="I66" s="795"/>
    </row>
    <row r="67" spans="3:9" x14ac:dyDescent="0.2">
      <c r="E67" s="795"/>
      <c r="F67" s="791" t="s">
        <v>558</v>
      </c>
      <c r="G67" s="795"/>
      <c r="H67" s="795"/>
      <c r="I67" s="795"/>
    </row>
    <row r="68" spans="3:9" x14ac:dyDescent="0.2">
      <c r="E68" s="795"/>
      <c r="F68" s="801"/>
      <c r="G68" s="795"/>
      <c r="H68" s="795"/>
      <c r="I68" s="795"/>
    </row>
    <row r="69" spans="3:9" x14ac:dyDescent="0.2">
      <c r="E69" s="795"/>
      <c r="F69" s="801"/>
      <c r="G69" s="795"/>
      <c r="H69" s="795"/>
      <c r="I69" s="795"/>
    </row>
    <row r="70" spans="3:9" x14ac:dyDescent="0.2">
      <c r="E70" s="795"/>
      <c r="F70" s="801"/>
      <c r="G70" s="795"/>
      <c r="H70" s="795"/>
      <c r="I70" s="795"/>
    </row>
    <row r="71" spans="3:9" x14ac:dyDescent="0.2">
      <c r="E71" s="795"/>
      <c r="F71" s="801"/>
      <c r="G71" s="795"/>
      <c r="H71" s="795"/>
      <c r="I71" s="795"/>
    </row>
    <row r="72" spans="3:9" x14ac:dyDescent="0.2">
      <c r="E72" s="795"/>
      <c r="F72" s="801"/>
      <c r="G72" s="795"/>
      <c r="H72" s="795"/>
      <c r="I72" s="795"/>
    </row>
    <row r="73" spans="3:9" x14ac:dyDescent="0.2">
      <c r="E73" s="795"/>
      <c r="F73" s="801"/>
      <c r="G73" s="795"/>
      <c r="H73" s="795"/>
      <c r="I73" s="795"/>
    </row>
    <row r="74" spans="3:9" x14ac:dyDescent="0.2">
      <c r="E74" s="795"/>
      <c r="F74" s="795"/>
      <c r="G74" s="795"/>
      <c r="H74" s="795"/>
      <c r="I74" s="795"/>
    </row>
    <row r="75" spans="3:9" x14ac:dyDescent="0.2">
      <c r="E75" s="795"/>
      <c r="F75" s="795"/>
      <c r="G75" s="795"/>
      <c r="H75" s="795"/>
      <c r="I75" s="795"/>
    </row>
  </sheetData>
  <sheetProtection algorithmName="SHA-512" hashValue="GXZ7CLw5MV3LOShwETnYhXVqjfKMeQjP/OomtE8QCwIy0nqjmp3AA/MRtC055x8hEdQT6aLoj6qaorpCdPoz0Q==" saltValue="UuWdNyUlSa8QGn977jKTFw==" spinCount="100000" sheet="1" objects="1" scenarios="1"/>
  <mergeCells count="1">
    <mergeCell ref="B3:C3"/>
  </mergeCells>
  <phoneticPr fontId="20" type="noConversion"/>
  <hyperlinks>
    <hyperlink ref="B3" location="HL_Home" tooltip="Go to Table of Contents" display="HL_Home" xr:uid="{00000000-0004-0000-1900-000000000000}"/>
  </hyperlinks>
  <pageMargins left="0.39370078740157499" right="0.39370078740157499" top="0.59055118110236249" bottom="0.98425196850393748" header="0" footer="0.31496062992125973"/>
  <pageSetup paperSize="9" orientation="landscape" r:id="rId1"/>
  <headerFooter alignWithMargins="0">
    <oddHeader>&amp;C&amp;B&amp;"Arial"&amp;12&amp;Kff0000​‌OFFICIAL‌​</oddHeader>
    <oddFooter>&amp;C&amp;"Arial,Bold"&amp;10Page &amp;P of &amp;N&amp;L&amp;"Arial,Bold"&amp;7&amp;F
&amp;A
Printed: &amp;T on &amp;D</oddFooter>
  </headerFooter>
  <rowBreaks count="1" manualBreakCount="1">
    <brk id="36" min="1"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tabColor theme="0" tint="-4.9989318521683403E-2"/>
  </sheetPr>
  <dimension ref="A1:AL60"/>
  <sheetViews>
    <sheetView showGridLines="0" zoomScaleNormal="100" workbookViewId="0">
      <selection activeCell="AO37" sqref="AO37"/>
    </sheetView>
  </sheetViews>
  <sheetFormatPr defaultColWidth="10.77734375" defaultRowHeight="12" outlineLevelCol="1" x14ac:dyDescent="0.3"/>
  <cols>
    <col min="1" max="5" width="3.77734375" style="73" customWidth="1"/>
    <col min="6" max="6" width="5.109375" style="73" customWidth="1"/>
    <col min="7" max="7" width="14.109375" style="73" customWidth="1"/>
    <col min="8" max="8" width="17.44140625" style="321" customWidth="1"/>
    <col min="9" max="9" width="14.109375" style="321" customWidth="1"/>
    <col min="10" max="21" width="10.77734375" style="73" hidden="1" customWidth="1" outlineLevel="1"/>
    <col min="22" max="22" width="10.77734375" style="73" customWidth="1" collapsed="1"/>
    <col min="23" max="23" width="10.77734375" style="73" customWidth="1"/>
    <col min="24" max="24" width="13.44140625" style="73" customWidth="1"/>
    <col min="25" max="37" width="10.77734375" style="73" customWidth="1"/>
    <col min="38" max="38" width="4.44140625" style="73" customWidth="1"/>
    <col min="39" max="47" width="10.77734375" style="73"/>
    <col min="48" max="48" width="3.77734375" style="73" customWidth="1"/>
    <col min="49" max="16384" width="10.77734375" style="73"/>
  </cols>
  <sheetData>
    <row r="1" spans="1:38" ht="14.5" x14ac:dyDescent="0.3">
      <c r="A1" s="1358">
        <v>80</v>
      </c>
      <c r="B1" s="158" t="s">
        <v>868</v>
      </c>
    </row>
    <row r="2" spans="1:38" ht="13" x14ac:dyDescent="0.3">
      <c r="B2" s="1359" t="str">
        <f>+Contents!H7</f>
        <v>Central Highlands Water</v>
      </c>
    </row>
    <row r="3" spans="1:38" x14ac:dyDescent="0.3">
      <c r="B3" s="2357" t="s">
        <v>0</v>
      </c>
      <c r="C3" s="2357"/>
      <c r="D3" s="2357"/>
      <c r="E3" s="2357"/>
      <c r="F3" s="2357"/>
      <c r="G3" s="439"/>
    </row>
    <row r="4" spans="1:38" x14ac:dyDescent="0.3">
      <c r="A4" s="165"/>
      <c r="B4" s="75"/>
      <c r="C4" s="76"/>
      <c r="F4" s="63"/>
      <c r="J4" s="64"/>
      <c r="K4" s="1267" t="s">
        <v>60</v>
      </c>
      <c r="L4" s="65"/>
      <c r="M4" s="66"/>
      <c r="N4" s="67"/>
      <c r="O4" s="1267" t="s">
        <v>61</v>
      </c>
      <c r="P4" s="67"/>
      <c r="Q4" s="65"/>
      <c r="R4" s="1202"/>
      <c r="S4" s="1203"/>
      <c r="T4" s="1572" t="s">
        <v>274</v>
      </c>
      <c r="U4" s="1203"/>
      <c r="V4" s="1204"/>
      <c r="W4" s="1944"/>
      <c r="X4" s="1575"/>
      <c r="Y4" s="1575" t="s">
        <v>1072</v>
      </c>
      <c r="Z4" s="1575"/>
      <c r="AA4" s="1574"/>
      <c r="AB4" s="1573"/>
      <c r="AC4" s="1575"/>
      <c r="AD4" s="1575" t="s">
        <v>457</v>
      </c>
      <c r="AE4" s="1575"/>
      <c r="AF4" s="1574"/>
      <c r="AG4" s="1573"/>
      <c r="AH4" s="1575"/>
      <c r="AI4" s="1575" t="s">
        <v>903</v>
      </c>
      <c r="AJ4" s="1575"/>
      <c r="AK4" s="1574"/>
    </row>
    <row r="6" spans="1:38" x14ac:dyDescent="0.3">
      <c r="B6" s="166"/>
      <c r="F6" s="167" t="s">
        <v>63</v>
      </c>
      <c r="J6" s="1360">
        <v>2006</v>
      </c>
      <c r="K6" s="1360">
        <v>2007</v>
      </c>
      <c r="L6" s="1360">
        <v>2008</v>
      </c>
      <c r="M6" s="1360">
        <v>2009</v>
      </c>
      <c r="N6" s="1360">
        <v>2010</v>
      </c>
      <c r="O6" s="1360">
        <v>2011</v>
      </c>
      <c r="P6" s="1360">
        <v>2012</v>
      </c>
      <c r="Q6" s="1360">
        <v>2013</v>
      </c>
      <c r="R6" s="1360">
        <v>2014</v>
      </c>
      <c r="S6" s="1360">
        <v>2015</v>
      </c>
      <c r="T6" s="1360">
        <v>2016</v>
      </c>
      <c r="U6" s="1360">
        <v>2017</v>
      </c>
      <c r="V6" s="1360">
        <v>2018</v>
      </c>
      <c r="W6" s="1360">
        <v>2019</v>
      </c>
      <c r="X6" s="1360">
        <v>2020</v>
      </c>
      <c r="Y6" s="1360">
        <v>2021</v>
      </c>
      <c r="Z6" s="1360">
        <v>2022</v>
      </c>
      <c r="AA6" s="1360">
        <v>2023</v>
      </c>
      <c r="AB6" s="1420">
        <v>2024</v>
      </c>
      <c r="AC6" s="1420">
        <v>2025</v>
      </c>
      <c r="AD6" s="1420">
        <v>2026</v>
      </c>
      <c r="AE6" s="1420">
        <v>2027</v>
      </c>
      <c r="AF6" s="1420">
        <v>2028</v>
      </c>
      <c r="AG6" s="1420">
        <v>2029</v>
      </c>
      <c r="AH6" s="1420">
        <v>2030</v>
      </c>
      <c r="AI6" s="1420">
        <v>2031</v>
      </c>
      <c r="AJ6" s="1420">
        <v>2032</v>
      </c>
      <c r="AK6" s="1420">
        <v>2033</v>
      </c>
    </row>
    <row r="7" spans="1:38" x14ac:dyDescent="0.3">
      <c r="A7" s="78"/>
      <c r="B7" s="1271"/>
      <c r="C7" s="78"/>
      <c r="D7" s="78"/>
      <c r="E7" s="78"/>
      <c r="F7" s="169" t="s">
        <v>64</v>
      </c>
      <c r="G7" s="78"/>
      <c r="H7" s="440"/>
      <c r="I7" s="440"/>
      <c r="J7" s="1319" t="str">
        <f t="shared" ref="J7:V7" si="0">+CONCATENATE(J6-1,"-",RIGHT(J6,2))</f>
        <v>2005-06</v>
      </c>
      <c r="K7" s="1319" t="str">
        <f t="shared" si="0"/>
        <v>2006-07</v>
      </c>
      <c r="L7" s="1319" t="str">
        <f t="shared" si="0"/>
        <v>2007-08</v>
      </c>
      <c r="M7" s="1319" t="str">
        <f t="shared" si="0"/>
        <v>2008-09</v>
      </c>
      <c r="N7" s="1319" t="str">
        <f t="shared" si="0"/>
        <v>2009-10</v>
      </c>
      <c r="O7" s="1319" t="str">
        <f t="shared" si="0"/>
        <v>2010-11</v>
      </c>
      <c r="P7" s="1319" t="str">
        <f t="shared" si="0"/>
        <v>2011-12</v>
      </c>
      <c r="Q7" s="1319" t="str">
        <f t="shared" si="0"/>
        <v>2012-13</v>
      </c>
      <c r="R7" s="1319" t="str">
        <f t="shared" si="0"/>
        <v>2013-14</v>
      </c>
      <c r="S7" s="1319" t="str">
        <f t="shared" si="0"/>
        <v>2014-15</v>
      </c>
      <c r="T7" s="1319" t="str">
        <f t="shared" si="0"/>
        <v>2015-16</v>
      </c>
      <c r="U7" s="1319" t="str">
        <f t="shared" si="0"/>
        <v>2016-17</v>
      </c>
      <c r="V7" s="1319" t="str">
        <f t="shared" si="0"/>
        <v>2017-18</v>
      </c>
      <c r="W7" s="1319" t="str">
        <f t="shared" ref="W7:AE7" si="1">+CONCATENATE(W6-1,"-",RIGHT(W6,2))</f>
        <v>2018-19</v>
      </c>
      <c r="X7" s="1319" t="str">
        <f t="shared" si="1"/>
        <v>2019-20</v>
      </c>
      <c r="Y7" s="1319" t="str">
        <f t="shared" si="1"/>
        <v>2020-21</v>
      </c>
      <c r="Z7" s="1319" t="str">
        <f t="shared" si="1"/>
        <v>2021-22</v>
      </c>
      <c r="AA7" s="1319" t="str">
        <f t="shared" si="1"/>
        <v>2022-23</v>
      </c>
      <c r="AB7" s="1319" t="str">
        <f t="shared" si="1"/>
        <v>2023-24</v>
      </c>
      <c r="AC7" s="1319" t="str">
        <f t="shared" si="1"/>
        <v>2024-25</v>
      </c>
      <c r="AD7" s="1319" t="str">
        <f t="shared" si="1"/>
        <v>2025-26</v>
      </c>
      <c r="AE7" s="1319" t="str">
        <f t="shared" si="1"/>
        <v>2026-27</v>
      </c>
      <c r="AF7" s="1319" t="str">
        <f t="shared" ref="AF7:AK7" si="2">+CONCATENATE(AF6-1,"-",RIGHT(AF6,2))</f>
        <v>2027-28</v>
      </c>
      <c r="AG7" s="1319" t="str">
        <f t="shared" si="2"/>
        <v>2028-29</v>
      </c>
      <c r="AH7" s="1319" t="str">
        <f t="shared" si="2"/>
        <v>2029-30</v>
      </c>
      <c r="AI7" s="1319" t="str">
        <f t="shared" si="2"/>
        <v>2030-31</v>
      </c>
      <c r="AJ7" s="1319" t="str">
        <f t="shared" si="2"/>
        <v>2031-32</v>
      </c>
      <c r="AK7" s="1319" t="str">
        <f t="shared" si="2"/>
        <v>2032-33</v>
      </c>
    </row>
    <row r="8" spans="1:38" ht="12.5" thickBot="1" x14ac:dyDescent="0.35">
      <c r="C8" s="126"/>
      <c r="D8" s="126"/>
      <c r="E8" s="126"/>
      <c r="F8" s="126"/>
      <c r="G8" s="126"/>
      <c r="H8" s="441"/>
      <c r="I8" s="441"/>
      <c r="J8" s="126"/>
      <c r="K8" s="126"/>
      <c r="L8" s="126"/>
      <c r="M8" s="126"/>
      <c r="N8" s="126"/>
      <c r="O8" s="126"/>
      <c r="P8" s="126"/>
      <c r="Q8" s="126"/>
      <c r="R8" s="126"/>
      <c r="S8" s="126"/>
      <c r="T8" s="126"/>
      <c r="U8" s="126"/>
      <c r="V8" s="126"/>
      <c r="W8" s="126"/>
      <c r="X8" s="126"/>
      <c r="Y8" s="126"/>
      <c r="Z8" s="126"/>
      <c r="AA8" s="126"/>
      <c r="AB8" s="126"/>
      <c r="AC8" s="126"/>
      <c r="AD8" s="126"/>
      <c r="AG8" s="126"/>
      <c r="AH8" s="126"/>
      <c r="AI8" s="126"/>
    </row>
    <row r="9" spans="1:38" ht="15" thickBot="1" x14ac:dyDescent="0.35">
      <c r="C9" s="102"/>
      <c r="D9" s="1272" t="s">
        <v>874</v>
      </c>
      <c r="E9" s="1273"/>
      <c r="F9" s="1274"/>
      <c r="G9" s="1274"/>
      <c r="H9" s="1275"/>
      <c r="I9" s="1942">
        <f ca="1">SUM(AA15:AK49)</f>
        <v>2</v>
      </c>
      <c r="J9" s="102"/>
      <c r="K9" s="102"/>
      <c r="L9" s="102"/>
      <c r="M9" s="102"/>
      <c r="N9" s="102"/>
      <c r="O9" s="102"/>
      <c r="P9" s="102"/>
      <c r="Q9" s="102"/>
      <c r="R9" s="102" t="s">
        <v>899</v>
      </c>
      <c r="S9" s="102"/>
      <c r="U9" s="102"/>
      <c r="V9" s="102"/>
      <c r="W9" s="102"/>
      <c r="X9" s="102"/>
      <c r="Y9" s="102"/>
      <c r="Z9" s="102"/>
      <c r="AA9" s="102"/>
      <c r="AB9" s="102"/>
      <c r="AC9" s="126"/>
      <c r="AD9" s="126"/>
      <c r="AG9" s="102"/>
      <c r="AH9" s="126"/>
      <c r="AI9" s="126"/>
    </row>
    <row r="10" spans="1:38" ht="12.5" thickBot="1" x14ac:dyDescent="0.35">
      <c r="C10" s="102"/>
      <c r="D10" s="102"/>
      <c r="E10" s="102"/>
      <c r="F10" s="102"/>
      <c r="G10" s="102"/>
      <c r="H10" s="223"/>
      <c r="I10" s="223"/>
      <c r="J10" s="102"/>
      <c r="K10" s="102"/>
      <c r="L10" s="102"/>
      <c r="M10" s="102"/>
      <c r="N10" s="102"/>
      <c r="O10" s="102"/>
      <c r="P10" s="102"/>
      <c r="Q10" s="102"/>
      <c r="R10" s="102"/>
      <c r="S10" s="102"/>
      <c r="T10" s="102"/>
      <c r="U10" s="102"/>
      <c r="V10" s="102"/>
      <c r="W10" s="102"/>
      <c r="X10" s="102"/>
      <c r="Y10" s="102"/>
      <c r="Z10" s="102"/>
      <c r="AA10" s="102"/>
      <c r="AB10" s="102"/>
      <c r="AC10" s="126"/>
      <c r="AD10" s="126"/>
      <c r="AG10" s="102"/>
      <c r="AH10" s="126"/>
      <c r="AI10" s="126"/>
    </row>
    <row r="11" spans="1:38" ht="15" thickBot="1" x14ac:dyDescent="0.35">
      <c r="D11" s="1272" t="s">
        <v>958</v>
      </c>
      <c r="E11" s="1273"/>
      <c r="F11" s="1274"/>
      <c r="G11" s="1274"/>
      <c r="H11" s="1275"/>
      <c r="I11" s="1942">
        <f ca="1">SUM(AB54:AK59)</f>
        <v>0</v>
      </c>
    </row>
    <row r="12" spans="1:38" ht="12.5" thickBot="1" x14ac:dyDescent="0.35"/>
    <row r="13" spans="1:38" x14ac:dyDescent="0.3">
      <c r="C13" s="102"/>
      <c r="D13" s="442"/>
      <c r="E13" s="443"/>
      <c r="F13" s="443"/>
      <c r="G13" s="443"/>
      <c r="H13" s="444"/>
      <c r="I13" s="444"/>
      <c r="J13" s="443"/>
      <c r="K13" s="443"/>
      <c r="L13" s="443"/>
      <c r="M13" s="443"/>
      <c r="N13" s="443"/>
      <c r="O13" s="443"/>
      <c r="P13" s="443"/>
      <c r="Q13" s="443"/>
      <c r="R13" s="443"/>
      <c r="S13" s="443"/>
      <c r="T13" s="443"/>
      <c r="U13" s="443"/>
      <c r="V13" s="443"/>
      <c r="W13" s="443"/>
      <c r="X13" s="443"/>
      <c r="Y13" s="443"/>
      <c r="Z13" s="443"/>
      <c r="AA13" s="443"/>
      <c r="AB13" s="443"/>
      <c r="AC13" s="443"/>
      <c r="AD13" s="443"/>
      <c r="AE13" s="443"/>
      <c r="AF13" s="443"/>
      <c r="AG13" s="443"/>
      <c r="AH13" s="443"/>
      <c r="AI13" s="443"/>
      <c r="AJ13" s="443"/>
      <c r="AK13" s="443"/>
      <c r="AL13" s="172"/>
    </row>
    <row r="14" spans="1:38" x14ac:dyDescent="0.3">
      <c r="C14" s="102"/>
      <c r="D14" s="222"/>
      <c r="E14" s="1276" t="s">
        <v>875</v>
      </c>
      <c r="F14" s="447" t="s">
        <v>877</v>
      </c>
      <c r="G14" s="102"/>
      <c r="H14" s="223"/>
      <c r="I14" s="223"/>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175"/>
    </row>
    <row r="15" spans="1:38" x14ac:dyDescent="0.3">
      <c r="C15" s="102"/>
      <c r="D15" s="222"/>
      <c r="E15" s="102"/>
      <c r="F15" s="102"/>
      <c r="G15" s="1936" t="s">
        <v>945</v>
      </c>
      <c r="H15" s="102"/>
      <c r="I15" s="223"/>
      <c r="J15" s="297"/>
      <c r="K15" s="297"/>
      <c r="L15" s="297"/>
      <c r="M15" s="297"/>
      <c r="N15" s="297"/>
      <c r="O15" s="297"/>
      <c r="P15" s="297"/>
      <c r="Q15" s="297"/>
      <c r="R15" s="297"/>
      <c r="S15" s="297"/>
      <c r="T15" s="297"/>
      <c r="U15" s="297"/>
      <c r="V15" s="297"/>
      <c r="W15" s="297"/>
      <c r="X15" s="297"/>
      <c r="Y15" s="1277"/>
      <c r="Z15" s="1277"/>
      <c r="AA15" s="1277"/>
      <c r="AB15" s="1935">
        <f>Opex_FO!AC100</f>
        <v>0</v>
      </c>
      <c r="AC15" s="1935">
        <f>Opex_FO!AD100</f>
        <v>0</v>
      </c>
      <c r="AD15" s="1935">
        <f>Opex_FO!AE100</f>
        <v>0</v>
      </c>
      <c r="AE15" s="1935">
        <f>Opex_FO!AF100</f>
        <v>0</v>
      </c>
      <c r="AF15" s="1935">
        <f>Opex_FO!AG100</f>
        <v>0</v>
      </c>
      <c r="AG15" s="1935">
        <f>Opex_FO!AH100</f>
        <v>0</v>
      </c>
      <c r="AH15" s="1935">
        <f>Opex_FO!AI100</f>
        <v>0</v>
      </c>
      <c r="AI15" s="1935">
        <f>Opex_FO!AJ100</f>
        <v>0</v>
      </c>
      <c r="AJ15" s="1935">
        <f>Opex_FO!AK100</f>
        <v>0</v>
      </c>
      <c r="AK15" s="1935">
        <f>Opex_FO!AL100</f>
        <v>0</v>
      </c>
      <c r="AL15" s="175"/>
    </row>
    <row r="16" spans="1:38" x14ac:dyDescent="0.3">
      <c r="B16" s="450"/>
      <c r="C16" s="102"/>
      <c r="D16" s="222"/>
      <c r="E16" s="102"/>
      <c r="F16" s="102"/>
      <c r="G16" s="102"/>
      <c r="H16" s="223"/>
      <c r="I16" s="223"/>
      <c r="J16" s="297"/>
      <c r="K16" s="297"/>
      <c r="L16" s="297"/>
      <c r="M16" s="297"/>
      <c r="N16" s="297"/>
      <c r="O16" s="297"/>
      <c r="P16" s="297"/>
      <c r="Q16" s="297"/>
      <c r="R16" s="297"/>
      <c r="S16" s="297"/>
      <c r="T16" s="297"/>
      <c r="U16" s="297"/>
      <c r="V16" s="297"/>
      <c r="W16" s="297"/>
      <c r="X16" s="297"/>
      <c r="Y16" s="1277"/>
      <c r="Z16" s="1277"/>
      <c r="AA16" s="1277"/>
      <c r="AB16" s="297"/>
      <c r="AC16" s="297"/>
      <c r="AD16" s="297"/>
      <c r="AE16" s="297"/>
      <c r="AF16" s="297"/>
      <c r="AG16" s="297"/>
      <c r="AH16" s="297"/>
      <c r="AI16" s="297"/>
      <c r="AJ16" s="297"/>
      <c r="AK16" s="297"/>
      <c r="AL16" s="175"/>
    </row>
    <row r="17" spans="3:38" x14ac:dyDescent="0.3">
      <c r="C17" s="102"/>
      <c r="D17" s="222"/>
      <c r="E17" s="1276" t="s">
        <v>876</v>
      </c>
      <c r="F17" s="447" t="s">
        <v>879</v>
      </c>
      <c r="G17" s="102"/>
      <c r="H17" s="223"/>
      <c r="I17" s="223"/>
      <c r="J17" s="297"/>
      <c r="K17" s="297"/>
      <c r="L17" s="297"/>
      <c r="M17" s="297"/>
      <c r="N17" s="297"/>
      <c r="O17" s="297"/>
      <c r="P17" s="297"/>
      <c r="Q17" s="297"/>
      <c r="R17" s="297"/>
      <c r="S17" s="297"/>
      <c r="T17" s="297"/>
      <c r="U17" s="297"/>
      <c r="V17" s="297"/>
      <c r="W17" s="297"/>
      <c r="X17" s="297"/>
      <c r="Y17" s="1277"/>
      <c r="Z17" s="1277"/>
      <c r="AA17" s="1277"/>
      <c r="AB17" s="297"/>
      <c r="AC17" s="297"/>
      <c r="AD17" s="297"/>
      <c r="AE17" s="297"/>
      <c r="AF17" s="297"/>
      <c r="AG17" s="297"/>
      <c r="AH17" s="297"/>
      <c r="AI17" s="297"/>
      <c r="AJ17" s="297"/>
      <c r="AK17" s="297"/>
      <c r="AL17" s="175"/>
    </row>
    <row r="18" spans="3:38" x14ac:dyDescent="0.3">
      <c r="C18" s="102"/>
      <c r="D18" s="222"/>
      <c r="E18" s="102"/>
      <c r="F18" s="102"/>
      <c r="G18" s="1936" t="s">
        <v>946</v>
      </c>
      <c r="H18" s="223"/>
      <c r="I18" s="223"/>
      <c r="J18" s="297"/>
      <c r="K18" s="297"/>
      <c r="L18" s="297"/>
      <c r="M18" s="297"/>
      <c r="N18" s="297"/>
      <c r="O18" s="297"/>
      <c r="P18" s="297"/>
      <c r="Q18" s="297"/>
      <c r="R18" s="297"/>
      <c r="S18" s="297"/>
      <c r="T18" s="297"/>
      <c r="U18" s="297"/>
      <c r="V18" s="297"/>
      <c r="W18" s="297"/>
      <c r="X18" s="297"/>
      <c r="Y18" s="1277"/>
      <c r="Z18" s="1277"/>
      <c r="AA18" s="1277"/>
      <c r="AB18" s="1935">
        <f>Opex_Breakdown!AC42</f>
        <v>0</v>
      </c>
      <c r="AC18" s="1935">
        <f>Opex_Breakdown!AD42</f>
        <v>0</v>
      </c>
      <c r="AD18" s="1935">
        <f>Opex_Breakdown!AE42</f>
        <v>0</v>
      </c>
      <c r="AE18" s="1935">
        <f>Opex_Breakdown!AF42</f>
        <v>0</v>
      </c>
      <c r="AF18" s="1935">
        <f>Opex_Breakdown!AG42</f>
        <v>0</v>
      </c>
      <c r="AG18" s="1935">
        <f>Opex_Breakdown!AH42</f>
        <v>0</v>
      </c>
      <c r="AH18" s="1935">
        <f>Opex_Breakdown!AI42</f>
        <v>0</v>
      </c>
      <c r="AI18" s="1935">
        <f>Opex_Breakdown!AJ42</f>
        <v>0</v>
      </c>
      <c r="AJ18" s="1935">
        <f>Opex_Breakdown!AK42</f>
        <v>0</v>
      </c>
      <c r="AK18" s="1935">
        <f>Opex_Breakdown!AL42</f>
        <v>0</v>
      </c>
      <c r="AL18" s="175"/>
    </row>
    <row r="19" spans="3:38" ht="6" customHeight="1" x14ac:dyDescent="0.3">
      <c r="C19" s="102"/>
      <c r="D19" s="222"/>
      <c r="E19" s="102"/>
      <c r="F19" s="102"/>
      <c r="G19" s="72"/>
      <c r="H19" s="178"/>
      <c r="I19" s="178"/>
      <c r="J19" s="72"/>
      <c r="K19" s="72"/>
      <c r="L19" s="72"/>
      <c r="M19" s="72"/>
      <c r="N19" s="72"/>
      <c r="O19" s="72"/>
      <c r="P19" s="72"/>
      <c r="Q19" s="72"/>
      <c r="R19" s="297"/>
      <c r="S19" s="297"/>
      <c r="T19" s="297"/>
      <c r="U19" s="297"/>
      <c r="V19" s="297"/>
      <c r="W19" s="297"/>
      <c r="X19" s="297"/>
      <c r="Y19" s="1277"/>
      <c r="Z19" s="1277"/>
      <c r="AA19" s="1277"/>
      <c r="AB19" s="72"/>
      <c r="AC19" s="72"/>
      <c r="AD19" s="72"/>
      <c r="AE19" s="72"/>
      <c r="AF19" s="72"/>
      <c r="AG19" s="72"/>
      <c r="AH19" s="72"/>
      <c r="AI19" s="72"/>
      <c r="AJ19" s="72"/>
      <c r="AK19" s="72"/>
      <c r="AL19" s="175"/>
    </row>
    <row r="20" spans="3:38" x14ac:dyDescent="0.3">
      <c r="C20" s="102"/>
      <c r="D20" s="222"/>
      <c r="E20" s="102"/>
      <c r="F20" s="102"/>
      <c r="G20" s="102" t="s">
        <v>880</v>
      </c>
      <c r="H20" s="223"/>
      <c r="I20" s="223"/>
      <c r="J20" s="297"/>
      <c r="K20" s="297"/>
      <c r="L20" s="297"/>
      <c r="M20" s="297"/>
      <c r="N20" s="297"/>
      <c r="O20" s="297"/>
      <c r="P20" s="297"/>
      <c r="Q20" s="297"/>
      <c r="R20" s="297"/>
      <c r="S20" s="297"/>
      <c r="T20" s="297"/>
      <c r="U20" s="297"/>
      <c r="V20" s="297"/>
      <c r="W20" s="297"/>
      <c r="X20" s="297"/>
      <c r="Y20" s="1277"/>
      <c r="Z20" s="1277"/>
      <c r="AA20" s="1277"/>
      <c r="AB20" s="1935">
        <f>Opex_Breakdown!AC27</f>
        <v>0</v>
      </c>
      <c r="AC20" s="1935">
        <f>Opex_Breakdown!AD27</f>
        <v>0</v>
      </c>
      <c r="AD20" s="1935">
        <f>Opex_Breakdown!AE27</f>
        <v>0</v>
      </c>
      <c r="AE20" s="1935">
        <f>Opex_Breakdown!AF27</f>
        <v>0</v>
      </c>
      <c r="AF20" s="1935">
        <f>Opex_Breakdown!AG27</f>
        <v>0</v>
      </c>
      <c r="AG20" s="1935">
        <f>Opex_Breakdown!AH27</f>
        <v>0</v>
      </c>
      <c r="AH20" s="1935">
        <f>Opex_Breakdown!AI27</f>
        <v>0</v>
      </c>
      <c r="AI20" s="1935">
        <f>Opex_Breakdown!AJ27</f>
        <v>0</v>
      </c>
      <c r="AJ20" s="1935">
        <f>Opex_Breakdown!AK27</f>
        <v>0</v>
      </c>
      <c r="AK20" s="1935">
        <f>Opex_Breakdown!AL27</f>
        <v>0</v>
      </c>
      <c r="AL20" s="175"/>
    </row>
    <row r="21" spans="3:38" x14ac:dyDescent="0.3">
      <c r="C21" s="102"/>
      <c r="D21" s="222"/>
      <c r="E21" s="102"/>
      <c r="F21" s="102"/>
      <c r="G21" s="102"/>
      <c r="H21" s="223"/>
      <c r="I21" s="223"/>
      <c r="J21" s="297"/>
      <c r="K21" s="297"/>
      <c r="L21" s="297"/>
      <c r="M21" s="297"/>
      <c r="N21" s="297"/>
      <c r="O21" s="297"/>
      <c r="P21" s="297"/>
      <c r="Q21" s="297"/>
      <c r="R21" s="297"/>
      <c r="S21" s="297"/>
      <c r="T21" s="297"/>
      <c r="U21" s="297"/>
      <c r="V21" s="297"/>
      <c r="W21" s="297"/>
      <c r="X21" s="297"/>
      <c r="Y21" s="1277"/>
      <c r="Z21" s="1277"/>
      <c r="AA21" s="1277"/>
      <c r="AB21" s="297"/>
      <c r="AC21" s="297"/>
      <c r="AD21" s="297"/>
      <c r="AE21" s="297"/>
      <c r="AF21" s="297"/>
      <c r="AG21" s="297"/>
      <c r="AH21" s="297"/>
      <c r="AI21" s="297"/>
      <c r="AJ21" s="297"/>
      <c r="AK21" s="297"/>
      <c r="AL21" s="175"/>
    </row>
    <row r="22" spans="3:38" x14ac:dyDescent="0.3">
      <c r="C22" s="102"/>
      <c r="D22" s="222"/>
      <c r="E22" s="1276" t="s">
        <v>878</v>
      </c>
      <c r="F22" s="447" t="s">
        <v>882</v>
      </c>
      <c r="G22" s="102"/>
      <c r="H22" s="223"/>
      <c r="I22" s="223"/>
      <c r="J22" s="297"/>
      <c r="K22" s="297"/>
      <c r="L22" s="297"/>
      <c r="M22" s="297"/>
      <c r="N22" s="297"/>
      <c r="O22" s="297"/>
      <c r="P22" s="297"/>
      <c r="Q22" s="297"/>
      <c r="R22" s="297"/>
      <c r="S22" s="297"/>
      <c r="T22" s="297"/>
      <c r="U22" s="297"/>
      <c r="V22" s="297"/>
      <c r="W22" s="297"/>
      <c r="X22" s="297"/>
      <c r="Y22" s="1277"/>
      <c r="Z22" s="1277"/>
      <c r="AA22" s="1277"/>
      <c r="AB22" s="297"/>
      <c r="AC22" s="297"/>
      <c r="AD22" s="297"/>
      <c r="AE22" s="297"/>
      <c r="AF22" s="297"/>
      <c r="AG22" s="297"/>
      <c r="AH22" s="297"/>
      <c r="AI22" s="297"/>
      <c r="AJ22" s="297"/>
      <c r="AK22" s="297"/>
      <c r="AL22" s="175"/>
    </row>
    <row r="23" spans="3:38" x14ac:dyDescent="0.3">
      <c r="C23" s="102"/>
      <c r="D23" s="222"/>
      <c r="E23" s="102"/>
      <c r="F23" s="447"/>
      <c r="G23" s="102" t="s">
        <v>883</v>
      </c>
      <c r="H23" s="223"/>
      <c r="I23" s="223"/>
      <c r="J23" s="297"/>
      <c r="K23" s="297"/>
      <c r="L23" s="297"/>
      <c r="M23" s="297"/>
      <c r="N23" s="297"/>
      <c r="O23" s="297"/>
      <c r="P23" s="297"/>
      <c r="Q23" s="297"/>
      <c r="R23" s="297"/>
      <c r="S23" s="297"/>
      <c r="T23" s="297"/>
      <c r="U23" s="297"/>
      <c r="V23" s="297"/>
      <c r="W23" s="297"/>
      <c r="X23" s="297"/>
      <c r="Y23" s="1277"/>
      <c r="Z23" s="1277"/>
      <c r="AA23" s="1277"/>
      <c r="AB23" s="1935">
        <f>'Capex_FO input'!D26</f>
        <v>0</v>
      </c>
      <c r="AC23" s="1935">
        <f>'Capex_FO input'!E26</f>
        <v>0</v>
      </c>
      <c r="AD23" s="1935">
        <f>'Capex_FO input'!F26</f>
        <v>0</v>
      </c>
      <c r="AE23" s="1935">
        <f>'Capex_FO input'!G26</f>
        <v>0</v>
      </c>
      <c r="AF23" s="1935">
        <f>'Capex_FO input'!H26</f>
        <v>0</v>
      </c>
      <c r="AG23" s="1935">
        <f>'Capex_FO input'!I26</f>
        <v>0</v>
      </c>
      <c r="AH23" s="1935">
        <f>'Capex_FO input'!J26</f>
        <v>0</v>
      </c>
      <c r="AI23" s="1935">
        <f>'Capex_FO input'!K26</f>
        <v>0</v>
      </c>
      <c r="AJ23" s="1935">
        <f>'Capex_FO input'!L26</f>
        <v>0</v>
      </c>
      <c r="AK23" s="1935">
        <f>'Capex_FO input'!M26</f>
        <v>0</v>
      </c>
      <c r="AL23" s="175"/>
    </row>
    <row r="24" spans="3:38" x14ac:dyDescent="0.3">
      <c r="C24" s="102"/>
      <c r="D24" s="222"/>
      <c r="E24" s="102"/>
      <c r="F24" s="102"/>
      <c r="G24" s="102"/>
      <c r="H24" s="223"/>
      <c r="I24" s="223"/>
      <c r="J24" s="297"/>
      <c r="K24" s="297"/>
      <c r="L24" s="297"/>
      <c r="M24" s="297"/>
      <c r="N24" s="297"/>
      <c r="O24" s="297"/>
      <c r="P24" s="297"/>
      <c r="Q24" s="297"/>
      <c r="R24" s="297"/>
      <c r="S24" s="297"/>
      <c r="T24" s="297"/>
      <c r="U24" s="297"/>
      <c r="V24" s="297"/>
      <c r="W24" s="297"/>
      <c r="X24" s="297"/>
      <c r="Y24" s="1277"/>
      <c r="Z24" s="1277"/>
      <c r="AA24" s="1277"/>
      <c r="AB24" s="297"/>
      <c r="AC24" s="297"/>
      <c r="AD24" s="297"/>
      <c r="AE24" s="297"/>
      <c r="AF24" s="297"/>
      <c r="AG24" s="297"/>
      <c r="AH24" s="297"/>
      <c r="AI24" s="297"/>
      <c r="AJ24" s="297"/>
      <c r="AK24" s="297"/>
      <c r="AL24" s="175"/>
    </row>
    <row r="25" spans="3:38" x14ac:dyDescent="0.3">
      <c r="C25" s="102"/>
      <c r="D25" s="222"/>
      <c r="E25" s="1276" t="s">
        <v>881</v>
      </c>
      <c r="F25" s="447" t="s">
        <v>885</v>
      </c>
      <c r="G25" s="102"/>
      <c r="H25" s="223"/>
      <c r="I25" s="223"/>
      <c r="J25" s="297"/>
      <c r="K25" s="297"/>
      <c r="L25" s="297"/>
      <c r="M25" s="297"/>
      <c r="N25" s="297"/>
      <c r="O25" s="297"/>
      <c r="P25" s="297"/>
      <c r="Q25" s="297"/>
      <c r="R25" s="297"/>
      <c r="S25" s="297"/>
      <c r="T25" s="297"/>
      <c r="U25" s="297"/>
      <c r="V25" s="297"/>
      <c r="W25" s="297"/>
      <c r="X25" s="297"/>
      <c r="Y25" s="1277"/>
      <c r="Z25" s="1277"/>
      <c r="AA25" s="1277"/>
      <c r="AB25" s="297"/>
      <c r="AC25" s="297"/>
      <c r="AD25" s="297"/>
      <c r="AE25" s="297"/>
      <c r="AF25" s="297"/>
      <c r="AG25" s="297"/>
      <c r="AH25" s="297"/>
      <c r="AI25" s="297"/>
      <c r="AJ25" s="297"/>
      <c r="AK25" s="297"/>
      <c r="AL25" s="175"/>
    </row>
    <row r="26" spans="3:38" x14ac:dyDescent="0.3">
      <c r="C26" s="102"/>
      <c r="D26" s="222"/>
      <c r="E26" s="102"/>
      <c r="F26" s="447"/>
      <c r="G26" s="102" t="s">
        <v>1071</v>
      </c>
      <c r="H26" s="223"/>
      <c r="I26" s="223"/>
      <c r="J26" s="297"/>
      <c r="K26" s="297"/>
      <c r="L26" s="297"/>
      <c r="M26" s="297"/>
      <c r="N26" s="297"/>
      <c r="O26" s="297"/>
      <c r="P26" s="297"/>
      <c r="Q26" s="297"/>
      <c r="R26" s="297"/>
      <c r="S26" s="297"/>
      <c r="T26" s="297"/>
      <c r="U26" s="297"/>
      <c r="V26" s="297"/>
      <c r="W26" s="297"/>
      <c r="X26" s="297"/>
      <c r="Y26" s="1277"/>
      <c r="Z26" s="1277"/>
      <c r="AA26" s="1935">
        <f>Capex_FO_AC!AB30</f>
        <v>1</v>
      </c>
      <c r="AB26" s="1935">
        <f>Capex_FO_AC!AC30</f>
        <v>0</v>
      </c>
      <c r="AC26" s="1935">
        <f>Capex_FO_AC!AD30</f>
        <v>0</v>
      </c>
      <c r="AD26" s="1935">
        <f>Capex_FO_AC!AE30</f>
        <v>0</v>
      </c>
      <c r="AE26" s="1935">
        <f>Capex_FO_AC!AF30</f>
        <v>0</v>
      </c>
      <c r="AF26" s="1935">
        <f>Capex_FO_AC!AG30</f>
        <v>0</v>
      </c>
      <c r="AG26" s="1935">
        <f>Capex_FO_AC!AH30</f>
        <v>0</v>
      </c>
      <c r="AH26" s="1935">
        <f>Capex_FO_AC!AI30</f>
        <v>0</v>
      </c>
      <c r="AI26" s="1935">
        <f>Capex_FO_AC!AJ30</f>
        <v>0</v>
      </c>
      <c r="AJ26" s="1935">
        <f>Capex_FO_AC!AK30</f>
        <v>0</v>
      </c>
      <c r="AK26" s="1935">
        <f>Capex_FO_AC!AL30</f>
        <v>0</v>
      </c>
      <c r="AL26" s="175"/>
    </row>
    <row r="27" spans="3:38" x14ac:dyDescent="0.3">
      <c r="C27" s="102"/>
      <c r="D27" s="222"/>
      <c r="E27" s="102"/>
      <c r="F27" s="102"/>
      <c r="G27" s="102"/>
      <c r="H27" s="223"/>
      <c r="I27" s="223"/>
      <c r="J27" s="102"/>
      <c r="K27" s="102"/>
      <c r="L27" s="102"/>
      <c r="M27" s="102"/>
      <c r="N27" s="102"/>
      <c r="O27" s="102"/>
      <c r="P27" s="102"/>
      <c r="Q27" s="102"/>
      <c r="R27" s="297"/>
      <c r="S27" s="297"/>
      <c r="T27" s="297"/>
      <c r="U27" s="297"/>
      <c r="V27" s="297"/>
      <c r="W27" s="297"/>
      <c r="X27" s="297"/>
      <c r="Y27" s="1277"/>
      <c r="Z27" s="1277"/>
      <c r="AA27" s="1277"/>
      <c r="AB27" s="102"/>
      <c r="AC27" s="102"/>
      <c r="AD27" s="102"/>
      <c r="AE27" s="72"/>
      <c r="AF27" s="72"/>
      <c r="AG27" s="102"/>
      <c r="AH27" s="102"/>
      <c r="AI27" s="102"/>
      <c r="AJ27" s="72"/>
      <c r="AK27" s="72"/>
      <c r="AL27" s="175"/>
    </row>
    <row r="28" spans="3:38" x14ac:dyDescent="0.3">
      <c r="C28" s="102"/>
      <c r="D28" s="222"/>
      <c r="E28" s="1276" t="s">
        <v>884</v>
      </c>
      <c r="F28" s="447" t="s">
        <v>887</v>
      </c>
      <c r="G28" s="102"/>
      <c r="H28" s="223"/>
      <c r="I28" s="223"/>
      <c r="J28" s="297"/>
      <c r="K28" s="297"/>
      <c r="L28" s="297"/>
      <c r="M28" s="297"/>
      <c r="N28" s="297"/>
      <c r="O28" s="297"/>
      <c r="P28" s="297"/>
      <c r="Q28" s="297"/>
      <c r="R28" s="297"/>
      <c r="S28" s="297"/>
      <c r="T28" s="297"/>
      <c r="U28" s="297"/>
      <c r="V28" s="297"/>
      <c r="W28" s="297"/>
      <c r="X28" s="297"/>
      <c r="Y28" s="1277"/>
      <c r="Z28" s="1277"/>
      <c r="AA28" s="1277"/>
      <c r="AB28" s="297"/>
      <c r="AC28" s="297"/>
      <c r="AD28" s="297"/>
      <c r="AE28" s="297"/>
      <c r="AF28" s="297"/>
      <c r="AG28" s="297"/>
      <c r="AH28" s="297"/>
      <c r="AI28" s="297"/>
      <c r="AJ28" s="297"/>
      <c r="AK28" s="297"/>
      <c r="AL28" s="175"/>
    </row>
    <row r="29" spans="3:38" x14ac:dyDescent="0.3">
      <c r="C29" s="102"/>
      <c r="D29" s="222"/>
      <c r="E29" s="102"/>
      <c r="F29" s="447"/>
      <c r="G29" s="102" t="s">
        <v>888</v>
      </c>
      <c r="H29" s="223"/>
      <c r="I29" s="223"/>
      <c r="J29" s="297"/>
      <c r="K29" s="297"/>
      <c r="L29" s="297"/>
      <c r="M29" s="297"/>
      <c r="N29" s="297"/>
      <c r="O29" s="297"/>
      <c r="P29" s="297"/>
      <c r="Q29" s="297"/>
      <c r="R29" s="297"/>
      <c r="S29" s="297"/>
      <c r="T29" s="297"/>
      <c r="U29" s="297"/>
      <c r="V29" s="297"/>
      <c r="W29" s="297"/>
      <c r="X29" s="297"/>
      <c r="Y29" s="1277"/>
      <c r="Z29" s="1277"/>
      <c r="AA29" s="1277"/>
      <c r="AB29" s="1935">
        <f>IF(ROUND(RollForward_FO!G84,2)=ROUND(RollForward_FO!G82,2),0,1)</f>
        <v>1</v>
      </c>
      <c r="AC29" s="1277"/>
      <c r="AD29" s="1277"/>
      <c r="AE29" s="1277"/>
      <c r="AF29" s="1277"/>
      <c r="AG29" s="1277"/>
      <c r="AH29" s="1277"/>
      <c r="AI29" s="1277"/>
      <c r="AJ29" s="1277"/>
      <c r="AK29" s="1277"/>
      <c r="AL29" s="175"/>
    </row>
    <row r="30" spans="3:38" x14ac:dyDescent="0.3">
      <c r="C30" s="102"/>
      <c r="D30" s="222"/>
      <c r="E30" s="102"/>
      <c r="F30" s="102"/>
      <c r="G30" s="102"/>
      <c r="H30" s="223"/>
      <c r="I30" s="223"/>
      <c r="J30" s="102"/>
      <c r="K30" s="102"/>
      <c r="L30" s="102"/>
      <c r="M30" s="102"/>
      <c r="N30" s="102"/>
      <c r="O30" s="102"/>
      <c r="P30" s="102"/>
      <c r="Q30" s="102"/>
      <c r="R30" s="297"/>
      <c r="S30" s="297"/>
      <c r="T30" s="297"/>
      <c r="U30" s="297"/>
      <c r="V30" s="297"/>
      <c r="W30" s="297"/>
      <c r="X30" s="297"/>
      <c r="Y30" s="1277"/>
      <c r="Z30" s="1277"/>
      <c r="AA30" s="1277"/>
      <c r="AB30" s="102"/>
      <c r="AC30" s="102"/>
      <c r="AD30" s="102"/>
      <c r="AE30" s="72"/>
      <c r="AF30" s="72"/>
      <c r="AG30" s="102"/>
      <c r="AH30" s="102"/>
      <c r="AI30" s="102"/>
      <c r="AJ30" s="72"/>
      <c r="AK30" s="72"/>
      <c r="AL30" s="175"/>
    </row>
    <row r="31" spans="3:38" x14ac:dyDescent="0.3">
      <c r="C31" s="102"/>
      <c r="D31" s="222"/>
      <c r="E31" s="1276" t="s">
        <v>886</v>
      </c>
      <c r="F31" s="447" t="s">
        <v>890</v>
      </c>
      <c r="G31" s="102"/>
      <c r="H31" s="223"/>
      <c r="I31" s="223"/>
      <c r="J31" s="297"/>
      <c r="K31" s="297"/>
      <c r="L31" s="297"/>
      <c r="M31" s="297"/>
      <c r="N31" s="297"/>
      <c r="O31" s="297"/>
      <c r="P31" s="297"/>
      <c r="Q31" s="297"/>
      <c r="R31" s="297"/>
      <c r="S31" s="297"/>
      <c r="T31" s="297"/>
      <c r="U31" s="297"/>
      <c r="V31" s="297"/>
      <c r="W31" s="297"/>
      <c r="X31" s="297"/>
      <c r="Y31" s="1277"/>
      <c r="Z31" s="1277"/>
      <c r="AA31" s="1277"/>
      <c r="AB31" s="297"/>
      <c r="AC31" s="297"/>
      <c r="AD31" s="297"/>
      <c r="AE31" s="297"/>
      <c r="AF31" s="297"/>
      <c r="AG31" s="297"/>
      <c r="AH31" s="297"/>
      <c r="AI31" s="297"/>
      <c r="AJ31" s="297"/>
      <c r="AK31" s="297"/>
      <c r="AL31" s="175"/>
    </row>
    <row r="32" spans="3:38" x14ac:dyDescent="0.3">
      <c r="C32" s="126"/>
      <c r="D32" s="222"/>
      <c r="E32" s="102"/>
      <c r="F32" s="447"/>
      <c r="G32" s="1936" t="s">
        <v>553</v>
      </c>
      <c r="H32" s="223"/>
      <c r="I32" s="223"/>
      <c r="J32" s="297"/>
      <c r="K32" s="297"/>
      <c r="L32" s="297"/>
      <c r="M32" s="297"/>
      <c r="N32" s="297"/>
      <c r="O32" s="297"/>
      <c r="P32" s="297"/>
      <c r="Q32" s="297"/>
      <c r="R32" s="297"/>
      <c r="S32" s="297"/>
      <c r="T32" s="297"/>
      <c r="U32" s="297"/>
      <c r="V32" s="297"/>
      <c r="W32" s="297"/>
      <c r="X32" s="297"/>
      <c r="Y32" s="1277"/>
      <c r="Z32" s="1277"/>
      <c r="AA32" s="1277"/>
      <c r="AB32" s="1935">
        <f>IF(KeyAssumptionsPriceControl_FO!I48=1,IF(RevenuePriceCap_FO!AD34="PRICE CONTROL OK",0,1),0)</f>
        <v>0</v>
      </c>
      <c r="AC32" s="2122" t="str">
        <f>IF(KeyAssumptionsPriceControl_FO!I48=1,RevenuePriceCap_FO!AD34,"")</f>
        <v>PRICE CONTROL OK</v>
      </c>
      <c r="AD32" s="1277"/>
      <c r="AE32" s="1277"/>
      <c r="AF32" s="1277"/>
      <c r="AG32" s="1277"/>
      <c r="AH32" s="1277"/>
      <c r="AI32" s="1277"/>
      <c r="AJ32" s="1277"/>
      <c r="AK32" s="1277"/>
      <c r="AL32" s="175"/>
    </row>
    <row r="33" spans="3:38" ht="6" customHeight="1" x14ac:dyDescent="0.3">
      <c r="C33" s="102"/>
      <c r="D33" s="222"/>
      <c r="E33" s="102"/>
      <c r="F33" s="102"/>
      <c r="G33" s="1936"/>
      <c r="H33" s="178"/>
      <c r="I33" s="178"/>
      <c r="J33" s="72"/>
      <c r="K33" s="72"/>
      <c r="L33" s="72"/>
      <c r="M33" s="72"/>
      <c r="N33" s="72"/>
      <c r="O33" s="72"/>
      <c r="P33" s="72"/>
      <c r="Q33" s="72"/>
      <c r="R33" s="297"/>
      <c r="S33" s="297"/>
      <c r="T33" s="297"/>
      <c r="U33" s="297"/>
      <c r="V33" s="297"/>
      <c r="W33" s="297"/>
      <c r="X33" s="297"/>
      <c r="Y33" s="1277"/>
      <c r="Z33" s="1277"/>
      <c r="AA33" s="1277"/>
      <c r="AB33" s="1936"/>
      <c r="AC33" s="208"/>
      <c r="AD33" s="72"/>
      <c r="AE33" s="72"/>
      <c r="AF33" s="72"/>
      <c r="AG33" s="72"/>
      <c r="AH33" s="72"/>
      <c r="AI33" s="72"/>
      <c r="AJ33" s="72"/>
      <c r="AK33" s="72"/>
      <c r="AL33" s="175"/>
    </row>
    <row r="34" spans="3:38" x14ac:dyDescent="0.3">
      <c r="C34" s="126"/>
      <c r="D34" s="222"/>
      <c r="E34" s="102"/>
      <c r="F34" s="102"/>
      <c r="G34" s="1936" t="s">
        <v>927</v>
      </c>
      <c r="H34" s="223"/>
      <c r="I34" s="223"/>
      <c r="J34" s="102"/>
      <c r="K34" s="102"/>
      <c r="L34" s="102"/>
      <c r="M34" s="102"/>
      <c r="N34" s="102"/>
      <c r="O34" s="102"/>
      <c r="P34" s="102"/>
      <c r="Q34" s="102"/>
      <c r="R34" s="297"/>
      <c r="S34" s="297"/>
      <c r="T34" s="297"/>
      <c r="U34" s="297"/>
      <c r="V34" s="297"/>
      <c r="W34" s="297"/>
      <c r="X34" s="297"/>
      <c r="Y34" s="1277"/>
      <c r="Z34" s="1277"/>
      <c r="AA34" s="1277"/>
      <c r="AB34" s="1935">
        <f ca="1">IF(KeyAssumptionsPriceControl_FO!I48=1,IF(RevenuePriceCap_FO!AI34="PRICE CONTROL OK",0,1),0)</f>
        <v>0</v>
      </c>
      <c r="AC34" s="2122" t="str">
        <f ca="1">IF(KeyAssumptionsPriceControl_FO!I48=1,RevenuePriceCap_FO!AI34,"")</f>
        <v>PRICE CONTROL OK</v>
      </c>
      <c r="AD34" s="102"/>
      <c r="AE34" s="72"/>
      <c r="AF34" s="72"/>
      <c r="AG34" s="102"/>
      <c r="AH34" s="102"/>
      <c r="AI34" s="102"/>
      <c r="AJ34" s="72"/>
      <c r="AK34" s="72"/>
      <c r="AL34" s="175"/>
    </row>
    <row r="35" spans="3:38" ht="6" customHeight="1" x14ac:dyDescent="0.3">
      <c r="C35" s="102"/>
      <c r="D35" s="222"/>
      <c r="E35" s="102"/>
      <c r="F35" s="102"/>
      <c r="G35" s="1936"/>
      <c r="H35" s="178"/>
      <c r="I35" s="178"/>
      <c r="J35" s="72"/>
      <c r="K35" s="72"/>
      <c r="L35" s="72"/>
      <c r="M35" s="72"/>
      <c r="N35" s="72"/>
      <c r="O35" s="72"/>
      <c r="P35" s="72"/>
      <c r="Q35" s="72"/>
      <c r="R35" s="297"/>
      <c r="S35" s="297"/>
      <c r="T35" s="297"/>
      <c r="U35" s="297"/>
      <c r="V35" s="297"/>
      <c r="W35" s="297"/>
      <c r="X35" s="297"/>
      <c r="Y35" s="1277"/>
      <c r="Z35" s="1277"/>
      <c r="AA35" s="1277"/>
      <c r="AB35" s="1936"/>
      <c r="AC35" s="72"/>
      <c r="AD35" s="72"/>
      <c r="AE35" s="72"/>
      <c r="AF35" s="72"/>
      <c r="AG35" s="72"/>
      <c r="AH35" s="72"/>
      <c r="AI35" s="72"/>
      <c r="AJ35" s="72"/>
      <c r="AK35" s="72"/>
      <c r="AL35" s="175"/>
    </row>
    <row r="36" spans="3:38" x14ac:dyDescent="0.3">
      <c r="C36" s="126"/>
      <c r="D36" s="222"/>
      <c r="E36" s="102"/>
      <c r="F36" s="102"/>
      <c r="G36" s="1936" t="s">
        <v>891</v>
      </c>
      <c r="H36" s="223"/>
      <c r="I36" s="223"/>
      <c r="J36" s="102"/>
      <c r="K36" s="102"/>
      <c r="L36" s="102"/>
      <c r="M36" s="102"/>
      <c r="N36" s="102"/>
      <c r="O36" s="102"/>
      <c r="P36" s="102"/>
      <c r="Q36" s="102"/>
      <c r="R36" s="297"/>
      <c r="S36" s="297"/>
      <c r="T36" s="297"/>
      <c r="U36" s="297"/>
      <c r="V36" s="297"/>
      <c r="W36" s="297"/>
      <c r="X36" s="297"/>
      <c r="Y36" s="1277"/>
      <c r="Z36" s="1277"/>
      <c r="AA36" s="1277"/>
      <c r="AB36" s="1935">
        <f>RevenuePriceCap_FO!AC458</f>
        <v>0</v>
      </c>
      <c r="AC36" s="1935">
        <f>RevenuePriceCap_FO!AD458</f>
        <v>0</v>
      </c>
      <c r="AD36" s="1935">
        <f>RevenuePriceCap_FO!AE458</f>
        <v>0</v>
      </c>
      <c r="AE36" s="1935">
        <f>RevenuePriceCap_FO!AF458</f>
        <v>0</v>
      </c>
      <c r="AF36" s="1935">
        <f>RevenuePriceCap_FO!AG458</f>
        <v>0</v>
      </c>
      <c r="AG36" s="1935">
        <f>RevenuePriceCap_FO!AH458</f>
        <v>0</v>
      </c>
      <c r="AH36" s="1935">
        <f>RevenuePriceCap_FO!AI458</f>
        <v>0</v>
      </c>
      <c r="AI36" s="1935">
        <f>RevenuePriceCap_FO!AJ458</f>
        <v>0</v>
      </c>
      <c r="AJ36" s="1935">
        <f>RevenuePriceCap_FO!AK458</f>
        <v>0</v>
      </c>
      <c r="AK36" s="1935">
        <f>RevenuePriceCap_FO!AL458</f>
        <v>0</v>
      </c>
      <c r="AL36" s="175"/>
    </row>
    <row r="37" spans="3:38" x14ac:dyDescent="0.3">
      <c r="D37" s="173"/>
      <c r="E37" s="72"/>
      <c r="F37" s="72"/>
      <c r="G37" s="1936"/>
      <c r="H37" s="178"/>
      <c r="I37" s="178"/>
      <c r="J37" s="72"/>
      <c r="K37" s="72"/>
      <c r="L37" s="72"/>
      <c r="M37" s="72"/>
      <c r="N37" s="72"/>
      <c r="O37" s="72"/>
      <c r="P37" s="72"/>
      <c r="Q37" s="72"/>
      <c r="R37" s="297"/>
      <c r="S37" s="297"/>
      <c r="T37" s="297"/>
      <c r="U37" s="297"/>
      <c r="V37" s="297"/>
      <c r="W37" s="297"/>
      <c r="X37" s="297"/>
      <c r="Y37" s="1277"/>
      <c r="Z37" s="1277"/>
      <c r="AA37" s="1277"/>
      <c r="AB37" s="72"/>
      <c r="AC37" s="72"/>
      <c r="AD37" s="72"/>
      <c r="AE37" s="72"/>
      <c r="AF37" s="72"/>
      <c r="AG37" s="72"/>
      <c r="AH37" s="72"/>
      <c r="AI37" s="72"/>
      <c r="AJ37" s="72"/>
      <c r="AK37" s="72"/>
      <c r="AL37" s="175"/>
    </row>
    <row r="38" spans="3:38" x14ac:dyDescent="0.3">
      <c r="C38" s="102"/>
      <c r="D38" s="222"/>
      <c r="E38" s="1276" t="s">
        <v>889</v>
      </c>
      <c r="F38" s="447" t="s">
        <v>893</v>
      </c>
      <c r="G38" s="1936"/>
      <c r="H38" s="223"/>
      <c r="I38" s="223"/>
      <c r="J38" s="297"/>
      <c r="K38" s="297"/>
      <c r="L38" s="297"/>
      <c r="M38" s="297"/>
      <c r="N38" s="297"/>
      <c r="O38" s="297"/>
      <c r="P38" s="297"/>
      <c r="Q38" s="297"/>
      <c r="R38" s="297"/>
      <c r="S38" s="297"/>
      <c r="T38" s="297"/>
      <c r="U38" s="297"/>
      <c r="V38" s="297"/>
      <c r="W38" s="297"/>
      <c r="X38" s="297"/>
      <c r="Y38" s="1277"/>
      <c r="Z38" s="1277"/>
      <c r="AA38" s="1277"/>
      <c r="AB38" s="297"/>
      <c r="AC38" s="297"/>
      <c r="AD38" s="297"/>
      <c r="AE38" s="297"/>
      <c r="AF38" s="297"/>
      <c r="AG38" s="297"/>
      <c r="AH38" s="297"/>
      <c r="AI38" s="297"/>
      <c r="AJ38" s="297"/>
      <c r="AK38" s="297"/>
      <c r="AL38" s="175"/>
    </row>
    <row r="39" spans="3:38" x14ac:dyDescent="0.3">
      <c r="C39" s="126"/>
      <c r="D39" s="222"/>
      <c r="E39" s="102"/>
      <c r="F39" s="447"/>
      <c r="G39" s="1936" t="s">
        <v>553</v>
      </c>
      <c r="H39" s="223"/>
      <c r="I39" s="223"/>
      <c r="J39" s="297"/>
      <c r="K39" s="297"/>
      <c r="L39" s="297"/>
      <c r="M39" s="297"/>
      <c r="N39" s="297"/>
      <c r="O39" s="297"/>
      <c r="P39" s="297"/>
      <c r="Q39" s="297"/>
      <c r="R39" s="297"/>
      <c r="S39" s="297"/>
      <c r="T39" s="297"/>
      <c r="U39" s="297"/>
      <c r="V39" s="297"/>
      <c r="W39" s="297"/>
      <c r="X39" s="297"/>
      <c r="Y39" s="1277"/>
      <c r="Z39" s="1277"/>
      <c r="AA39" s="1277"/>
      <c r="AB39" s="1935">
        <f>IF(KeyAssumptionsPriceControl_FO!I48=2,IF(RevenueTariffBasket_FO!AD34="PRICE CONTROL OK",0,1),0)</f>
        <v>0</v>
      </c>
      <c r="AC39" s="2122" t="str">
        <f>IF(KeyAssumptionsPriceControl_FO!I48=2,RevenueTariffBasket_FO!AD34,"")</f>
        <v/>
      </c>
      <c r="AD39" s="1277"/>
      <c r="AE39" s="1277"/>
      <c r="AF39" s="1277"/>
      <c r="AG39" s="1277"/>
      <c r="AH39" s="1277"/>
      <c r="AI39" s="1277"/>
      <c r="AJ39" s="1277"/>
      <c r="AK39" s="1277"/>
      <c r="AL39" s="175"/>
    </row>
    <row r="40" spans="3:38" ht="6" customHeight="1" x14ac:dyDescent="0.3">
      <c r="C40" s="102"/>
      <c r="D40" s="222"/>
      <c r="E40" s="102"/>
      <c r="F40" s="102"/>
      <c r="G40" s="1936"/>
      <c r="H40" s="178"/>
      <c r="I40" s="178"/>
      <c r="J40" s="72"/>
      <c r="K40" s="72"/>
      <c r="L40" s="72"/>
      <c r="M40" s="72"/>
      <c r="N40" s="72"/>
      <c r="O40" s="72"/>
      <c r="P40" s="72"/>
      <c r="Q40" s="72"/>
      <c r="R40" s="297"/>
      <c r="S40" s="297"/>
      <c r="T40" s="297"/>
      <c r="U40" s="297"/>
      <c r="V40" s="297"/>
      <c r="W40" s="297"/>
      <c r="X40" s="297"/>
      <c r="Y40" s="1277"/>
      <c r="Z40" s="1277"/>
      <c r="AA40" s="1277"/>
      <c r="AB40" s="1936"/>
      <c r="AC40" s="208"/>
      <c r="AD40" s="72"/>
      <c r="AE40" s="72"/>
      <c r="AF40" s="72"/>
      <c r="AG40" s="72"/>
      <c r="AH40" s="72"/>
      <c r="AI40" s="72"/>
      <c r="AJ40" s="72"/>
      <c r="AK40" s="72"/>
      <c r="AL40" s="175"/>
    </row>
    <row r="41" spans="3:38" x14ac:dyDescent="0.3">
      <c r="C41" s="126"/>
      <c r="D41" s="222"/>
      <c r="E41" s="102"/>
      <c r="F41" s="102"/>
      <c r="G41" s="1936" t="s">
        <v>927</v>
      </c>
      <c r="H41" s="223"/>
      <c r="I41" s="223"/>
      <c r="J41" s="102"/>
      <c r="K41" s="102"/>
      <c r="L41" s="102"/>
      <c r="M41" s="102"/>
      <c r="N41" s="102"/>
      <c r="O41" s="102"/>
      <c r="P41" s="102"/>
      <c r="Q41" s="102"/>
      <c r="R41" s="297"/>
      <c r="S41" s="297"/>
      <c r="T41" s="297"/>
      <c r="U41" s="297"/>
      <c r="V41" s="297"/>
      <c r="W41" s="297"/>
      <c r="X41" s="297"/>
      <c r="Y41" s="1277"/>
      <c r="Z41" s="1277"/>
      <c r="AA41" s="1277"/>
      <c r="AB41" s="1935">
        <f>IF(KeyAssumptionsPriceControl_FO!I48=2,IF(RevenueTariffBasket_FO!AI41="PRICE CONTROL OK",0,1),0)</f>
        <v>0</v>
      </c>
      <c r="AC41" s="2122" t="str">
        <f>IF(KeyAssumptionsPriceControl_FO!I48=2,RevenueTariffBasket_FO!AI34,"")</f>
        <v/>
      </c>
      <c r="AD41" s="102"/>
      <c r="AE41" s="72"/>
      <c r="AF41" s="72"/>
      <c r="AG41" s="102"/>
      <c r="AH41" s="102"/>
      <c r="AI41" s="102"/>
      <c r="AJ41" s="72"/>
      <c r="AK41" s="72"/>
      <c r="AL41" s="175"/>
    </row>
    <row r="42" spans="3:38" ht="6" customHeight="1" x14ac:dyDescent="0.3">
      <c r="C42" s="102"/>
      <c r="D42" s="222"/>
      <c r="E42" s="102"/>
      <c r="F42" s="102"/>
      <c r="G42" s="1936"/>
      <c r="H42" s="178"/>
      <c r="I42" s="178"/>
      <c r="J42" s="72"/>
      <c r="K42" s="72"/>
      <c r="L42" s="72"/>
      <c r="M42" s="72"/>
      <c r="N42" s="72"/>
      <c r="O42" s="72"/>
      <c r="P42" s="72"/>
      <c r="Q42" s="72"/>
      <c r="R42" s="297"/>
      <c r="S42" s="297"/>
      <c r="T42" s="297"/>
      <c r="U42" s="297"/>
      <c r="V42" s="297"/>
      <c r="W42" s="297"/>
      <c r="X42" s="297"/>
      <c r="Y42" s="1277"/>
      <c r="Z42" s="1277"/>
      <c r="AA42" s="1277"/>
      <c r="AB42" s="1936"/>
      <c r="AC42" s="72"/>
      <c r="AD42" s="72"/>
      <c r="AE42" s="72"/>
      <c r="AF42" s="72"/>
      <c r="AG42" s="72"/>
      <c r="AH42" s="72"/>
      <c r="AI42" s="72"/>
      <c r="AJ42" s="72"/>
      <c r="AK42" s="72"/>
      <c r="AL42" s="175"/>
    </row>
    <row r="43" spans="3:38" x14ac:dyDescent="0.3">
      <c r="C43" s="126"/>
      <c r="D43" s="222"/>
      <c r="E43" s="102"/>
      <c r="F43" s="102"/>
      <c r="G43" s="1936" t="s">
        <v>891</v>
      </c>
      <c r="H43" s="223"/>
      <c r="I43" s="223"/>
      <c r="J43" s="102"/>
      <c r="K43" s="102"/>
      <c r="L43" s="102"/>
      <c r="M43" s="102"/>
      <c r="N43" s="102"/>
      <c r="O43" s="102"/>
      <c r="P43" s="102"/>
      <c r="Q43" s="102"/>
      <c r="R43" s="297"/>
      <c r="S43" s="297"/>
      <c r="T43" s="297"/>
      <c r="U43" s="297"/>
      <c r="V43" s="297"/>
      <c r="W43" s="297"/>
      <c r="X43" s="297"/>
      <c r="Y43" s="1277"/>
      <c r="Z43" s="1277"/>
      <c r="AA43" s="1277"/>
      <c r="AB43" s="1935">
        <f>RevenueTariffBasket_FO!AC458</f>
        <v>0</v>
      </c>
      <c r="AC43" s="1935">
        <f>RevenueTariffBasket_FO!AD458</f>
        <v>0</v>
      </c>
      <c r="AD43" s="1935">
        <f>RevenueTariffBasket_FO!AE458</f>
        <v>0</v>
      </c>
      <c r="AE43" s="1935">
        <f>RevenueTariffBasket_FO!AF458</f>
        <v>0</v>
      </c>
      <c r="AF43" s="1935">
        <f>RevenueTariffBasket_FO!AG458</f>
        <v>0</v>
      </c>
      <c r="AG43" s="1935">
        <f>RevenueTariffBasket_FO!AH458</f>
        <v>0</v>
      </c>
      <c r="AH43" s="1935">
        <f>RevenueTariffBasket_FO!AI458</f>
        <v>0</v>
      </c>
      <c r="AI43" s="1935">
        <f>RevenueTariffBasket_FO!AJ458</f>
        <v>0</v>
      </c>
      <c r="AJ43" s="1935">
        <f>RevenueTariffBasket_FO!AK458</f>
        <v>0</v>
      </c>
      <c r="AK43" s="1935">
        <f>RevenueTariffBasket_FO!AL458</f>
        <v>0</v>
      </c>
      <c r="AL43" s="175"/>
    </row>
    <row r="44" spans="3:38" x14ac:dyDescent="0.3">
      <c r="D44" s="173"/>
      <c r="E44" s="72"/>
      <c r="F44" s="72"/>
      <c r="G44" s="72"/>
      <c r="H44" s="178"/>
      <c r="I44" s="178"/>
      <c r="J44" s="72"/>
      <c r="K44" s="72"/>
      <c r="L44" s="72"/>
      <c r="M44" s="72"/>
      <c r="N44" s="72"/>
      <c r="O44" s="72"/>
      <c r="P44" s="72"/>
      <c r="Q44" s="72"/>
      <c r="R44" s="297"/>
      <c r="S44" s="297"/>
      <c r="T44" s="297"/>
      <c r="U44" s="297"/>
      <c r="V44" s="297"/>
      <c r="W44" s="297"/>
      <c r="X44" s="297"/>
      <c r="Y44" s="1277"/>
      <c r="Z44" s="1277"/>
      <c r="AA44" s="1277"/>
      <c r="AB44" s="1277"/>
      <c r="AC44" s="1277"/>
      <c r="AD44" s="72"/>
      <c r="AE44" s="72"/>
      <c r="AF44" s="72"/>
      <c r="AG44" s="72"/>
      <c r="AH44" s="72"/>
      <c r="AI44" s="72"/>
      <c r="AJ44" s="72"/>
      <c r="AK44" s="72"/>
      <c r="AL44" s="175"/>
    </row>
    <row r="45" spans="3:38" x14ac:dyDescent="0.3">
      <c r="C45" s="102"/>
      <c r="D45" s="222"/>
      <c r="E45" s="1276" t="s">
        <v>892</v>
      </c>
      <c r="F45" s="447" t="s">
        <v>895</v>
      </c>
      <c r="G45" s="102"/>
      <c r="H45" s="223"/>
      <c r="I45" s="223"/>
      <c r="J45" s="297"/>
      <c r="K45" s="297"/>
      <c r="L45" s="297"/>
      <c r="M45" s="297"/>
      <c r="N45" s="297"/>
      <c r="O45" s="297"/>
      <c r="P45" s="297"/>
      <c r="Q45" s="297"/>
      <c r="R45" s="297"/>
      <c r="S45" s="297"/>
      <c r="T45" s="297"/>
      <c r="U45" s="297"/>
      <c r="V45" s="297"/>
      <c r="W45" s="297"/>
      <c r="X45" s="297"/>
      <c r="Y45" s="1277"/>
      <c r="Z45" s="1277"/>
      <c r="AA45" s="1277"/>
      <c r="AB45" s="72"/>
      <c r="AC45" s="72"/>
      <c r="AD45" s="297"/>
      <c r="AE45" s="297"/>
      <c r="AF45" s="297"/>
      <c r="AG45" s="297"/>
      <c r="AH45" s="297"/>
      <c r="AI45" s="297"/>
      <c r="AJ45" s="297"/>
      <c r="AK45" s="297"/>
      <c r="AL45" s="175"/>
    </row>
    <row r="46" spans="3:38" x14ac:dyDescent="0.3">
      <c r="C46" s="102"/>
      <c r="D46" s="222"/>
      <c r="E46" s="102"/>
      <c r="F46" s="447"/>
      <c r="G46" s="102" t="s">
        <v>896</v>
      </c>
      <c r="H46" s="223"/>
      <c r="I46" s="223"/>
      <c r="J46" s="297"/>
      <c r="K46" s="297"/>
      <c r="L46" s="297"/>
      <c r="M46" s="297"/>
      <c r="N46" s="297"/>
      <c r="O46" s="297"/>
      <c r="P46" s="297"/>
      <c r="Q46" s="297"/>
      <c r="R46" s="297"/>
      <c r="S46" s="297"/>
      <c r="T46" s="297"/>
      <c r="U46" s="297"/>
      <c r="V46" s="297"/>
      <c r="W46" s="297"/>
      <c r="X46" s="297"/>
      <c r="Y46" s="1277"/>
      <c r="Z46" s="1277"/>
      <c r="AA46" s="1277"/>
      <c r="AB46" s="1935">
        <f>'Rev&amp;RAV_FO'!AC80</f>
        <v>0</v>
      </c>
      <c r="AC46" s="1935">
        <f>'Rev&amp;RAV_FO'!AD80</f>
        <v>0</v>
      </c>
      <c r="AD46" s="1935">
        <f>'Rev&amp;RAV_FO'!AE80</f>
        <v>0</v>
      </c>
      <c r="AE46" s="1935">
        <f>'Rev&amp;RAV_FO'!AF80</f>
        <v>0</v>
      </c>
      <c r="AF46" s="1935">
        <f>'Rev&amp;RAV_FO'!AG80</f>
        <v>0</v>
      </c>
      <c r="AG46" s="1935">
        <f>'Rev&amp;RAV_FO'!AH80</f>
        <v>0</v>
      </c>
      <c r="AH46" s="1935">
        <f>'Rev&amp;RAV_FO'!AI80</f>
        <v>0</v>
      </c>
      <c r="AI46" s="1935">
        <f>'Rev&amp;RAV_FO'!AJ80</f>
        <v>0</v>
      </c>
      <c r="AJ46" s="1935">
        <f>'Rev&amp;RAV_FO'!AK80</f>
        <v>0</v>
      </c>
      <c r="AK46" s="1935">
        <f>'Rev&amp;RAV_FO'!AL80</f>
        <v>0</v>
      </c>
      <c r="AL46" s="175"/>
    </row>
    <row r="47" spans="3:38" x14ac:dyDescent="0.3">
      <c r="D47" s="173"/>
      <c r="E47" s="72"/>
      <c r="F47" s="72"/>
      <c r="G47" s="72"/>
      <c r="H47" s="178"/>
      <c r="I47" s="178"/>
      <c r="J47" s="72"/>
      <c r="K47" s="72"/>
      <c r="L47" s="72"/>
      <c r="M47" s="72"/>
      <c r="N47" s="72"/>
      <c r="O47" s="72"/>
      <c r="P47" s="72"/>
      <c r="Q47" s="72"/>
      <c r="R47" s="297"/>
      <c r="S47" s="297"/>
      <c r="T47" s="297"/>
      <c r="U47" s="297"/>
      <c r="V47" s="297"/>
      <c r="W47" s="297"/>
      <c r="X47" s="297"/>
      <c r="Y47" s="1277"/>
      <c r="Z47" s="1277"/>
      <c r="AA47" s="1277"/>
      <c r="AB47" s="72"/>
      <c r="AC47" s="72"/>
      <c r="AD47" s="72"/>
      <c r="AE47" s="72"/>
      <c r="AF47" s="72"/>
      <c r="AG47" s="72"/>
      <c r="AH47" s="72"/>
      <c r="AI47" s="72"/>
      <c r="AJ47" s="72"/>
      <c r="AK47" s="72"/>
      <c r="AL47" s="175"/>
    </row>
    <row r="48" spans="3:38" x14ac:dyDescent="0.3">
      <c r="C48" s="102"/>
      <c r="D48" s="222"/>
      <c r="E48" s="1276" t="s">
        <v>894</v>
      </c>
      <c r="F48" s="447" t="s">
        <v>897</v>
      </c>
      <c r="G48" s="102"/>
      <c r="H48" s="223"/>
      <c r="I48" s="223"/>
      <c r="J48" s="297"/>
      <c r="K48" s="297"/>
      <c r="L48" s="297"/>
      <c r="M48" s="297"/>
      <c r="N48" s="297"/>
      <c r="O48" s="297"/>
      <c r="P48" s="297"/>
      <c r="Q48" s="297"/>
      <c r="R48" s="297"/>
      <c r="S48" s="297"/>
      <c r="T48" s="297"/>
      <c r="U48" s="297"/>
      <c r="V48" s="297"/>
      <c r="W48" s="297"/>
      <c r="X48" s="297"/>
      <c r="Y48" s="1277"/>
      <c r="Z48" s="1277"/>
      <c r="AA48" s="1277"/>
      <c r="AB48" s="297"/>
      <c r="AC48" s="297"/>
      <c r="AD48" s="297"/>
      <c r="AE48" s="297"/>
      <c r="AF48" s="297"/>
      <c r="AG48" s="297"/>
      <c r="AH48" s="297"/>
      <c r="AI48" s="297"/>
      <c r="AJ48" s="297"/>
      <c r="AK48" s="297"/>
      <c r="AL48" s="175"/>
    </row>
    <row r="49" spans="3:38" x14ac:dyDescent="0.3">
      <c r="C49" s="102"/>
      <c r="D49" s="222"/>
      <c r="E49" s="102"/>
      <c r="F49" s="102"/>
      <c r="G49" s="102" t="s">
        <v>898</v>
      </c>
      <c r="H49" s="223"/>
      <c r="I49" s="223"/>
      <c r="J49" s="297"/>
      <c r="K49" s="297"/>
      <c r="L49" s="297"/>
      <c r="M49" s="297"/>
      <c r="N49" s="297"/>
      <c r="O49" s="297"/>
      <c r="P49" s="297"/>
      <c r="Q49" s="297"/>
      <c r="R49" s="297"/>
      <c r="S49" s="297"/>
      <c r="T49" s="297"/>
      <c r="U49" s="297"/>
      <c r="V49" s="297"/>
      <c r="W49" s="297"/>
      <c r="X49" s="297"/>
      <c r="Y49" s="1277"/>
      <c r="Z49" s="1277"/>
      <c r="AA49" s="1277"/>
      <c r="AB49" s="1935">
        <f>IF(ROUND(GSL!AC40,2)=ROUND(GSL!AC39,2),0,1)</f>
        <v>0</v>
      </c>
      <c r="AC49" s="1935">
        <f>IF(ROUND(GSL!AD40,2)=ROUND(GSL!AD39,2),0,1)</f>
        <v>0</v>
      </c>
      <c r="AD49" s="1935">
        <f>IF(ROUND(GSL!AE40,2)=ROUND(GSL!AE39,2),0,1)</f>
        <v>0</v>
      </c>
      <c r="AE49" s="1935">
        <f>IF(ROUND(GSL!AF40,2)=ROUND(GSL!AF39,2),0,1)</f>
        <v>0</v>
      </c>
      <c r="AF49" s="1935">
        <f>IF(ROUND(GSL!AG40,2)=ROUND(GSL!AG39,2),0,1)</f>
        <v>0</v>
      </c>
      <c r="AG49" s="1935">
        <f>IF(ROUND(GSL!AH40,2)=ROUND(GSL!AH39,2),0,1)</f>
        <v>0</v>
      </c>
      <c r="AH49" s="1935">
        <f>IF(ROUND(GSL!AI40,2)=ROUND(GSL!AI39,2),0,1)</f>
        <v>0</v>
      </c>
      <c r="AI49" s="1935">
        <f>IF(ROUND(GSL!AJ40,2)=ROUND(GSL!AJ39,2),0,1)</f>
        <v>0</v>
      </c>
      <c r="AJ49" s="1935">
        <f>IF(ROUND(GSL!AK40,2)=ROUND(GSL!AK39,2),0,1)</f>
        <v>0</v>
      </c>
      <c r="AK49" s="1935">
        <f>IF(ROUND(GSL!AL40,2)=ROUND(GSL!AL39,2),0,1)</f>
        <v>0</v>
      </c>
      <c r="AL49" s="175"/>
    </row>
    <row r="50" spans="3:38" ht="12.5" thickBot="1" x14ac:dyDescent="0.35">
      <c r="D50" s="179"/>
      <c r="E50" s="180"/>
      <c r="F50" s="180"/>
      <c r="G50" s="180"/>
      <c r="H50" s="181"/>
      <c r="I50" s="181"/>
      <c r="J50" s="180"/>
      <c r="K50" s="180"/>
      <c r="L50" s="180"/>
      <c r="M50" s="180"/>
      <c r="N50" s="180"/>
      <c r="O50" s="180"/>
      <c r="P50" s="180"/>
      <c r="Q50" s="180"/>
      <c r="R50" s="180"/>
      <c r="S50" s="180"/>
      <c r="T50" s="180"/>
      <c r="U50" s="180"/>
      <c r="V50" s="180"/>
      <c r="W50" s="180"/>
      <c r="X50" s="180"/>
      <c r="Y50" s="180"/>
      <c r="Z50" s="180"/>
      <c r="AA50" s="180"/>
      <c r="AB50" s="180"/>
      <c r="AC50" s="180"/>
      <c r="AD50" s="180"/>
      <c r="AE50" s="180"/>
      <c r="AF50" s="180"/>
      <c r="AG50" s="180"/>
      <c r="AH50" s="180"/>
      <c r="AI50" s="180"/>
      <c r="AJ50" s="180"/>
      <c r="AK50" s="180"/>
      <c r="AL50" s="182"/>
    </row>
    <row r="51" spans="3:38" ht="12.5" thickBot="1" x14ac:dyDescent="0.35"/>
    <row r="52" spans="3:38" x14ac:dyDescent="0.3">
      <c r="D52" s="442"/>
      <c r="E52" s="443"/>
      <c r="F52" s="443"/>
      <c r="G52" s="443"/>
      <c r="H52" s="444"/>
      <c r="I52" s="444"/>
      <c r="J52" s="443"/>
      <c r="K52" s="443"/>
      <c r="L52" s="443"/>
      <c r="M52" s="443"/>
      <c r="N52" s="443"/>
      <c r="O52" s="443"/>
      <c r="P52" s="443"/>
      <c r="Q52" s="443"/>
      <c r="R52" s="443"/>
      <c r="S52" s="443"/>
      <c r="T52" s="443"/>
      <c r="U52" s="443"/>
      <c r="V52" s="443"/>
      <c r="W52" s="443"/>
      <c r="X52" s="443"/>
      <c r="Y52" s="443"/>
      <c r="Z52" s="443"/>
      <c r="AA52" s="443"/>
      <c r="AB52" s="443"/>
      <c r="AC52" s="443"/>
      <c r="AD52" s="443"/>
      <c r="AE52" s="443"/>
      <c r="AF52" s="443"/>
      <c r="AG52" s="443"/>
      <c r="AH52" s="443"/>
      <c r="AI52" s="443"/>
      <c r="AJ52" s="443"/>
      <c r="AK52" s="443"/>
      <c r="AL52" s="172"/>
    </row>
    <row r="53" spans="3:38" x14ac:dyDescent="0.3">
      <c r="D53" s="222"/>
      <c r="E53" s="1276" t="s">
        <v>875</v>
      </c>
      <c r="F53" s="447" t="s">
        <v>604</v>
      </c>
      <c r="G53" s="102"/>
      <c r="H53" s="223"/>
      <c r="I53" s="223"/>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c r="AG53" s="297"/>
      <c r="AH53" s="297"/>
      <c r="AI53" s="297"/>
      <c r="AJ53" s="297"/>
      <c r="AK53" s="297"/>
      <c r="AL53" s="175"/>
    </row>
    <row r="54" spans="3:38" x14ac:dyDescent="0.3">
      <c r="D54" s="222"/>
      <c r="E54" s="102"/>
      <c r="F54" s="102"/>
      <c r="G54" s="1936" t="s">
        <v>955</v>
      </c>
      <c r="H54" s="102"/>
      <c r="I54" s="223"/>
      <c r="J54" s="297"/>
      <c r="K54" s="297"/>
      <c r="L54" s="297"/>
      <c r="M54" s="297"/>
      <c r="N54" s="297"/>
      <c r="O54" s="297"/>
      <c r="P54" s="297"/>
      <c r="Q54" s="297"/>
      <c r="R54" s="297"/>
      <c r="S54" s="297"/>
      <c r="T54" s="297"/>
      <c r="U54" s="297"/>
      <c r="V54" s="297"/>
      <c r="W54" s="297"/>
      <c r="X54" s="297"/>
      <c r="Y54" s="1277"/>
      <c r="Z54" s="1277"/>
      <c r="AA54" s="1277"/>
      <c r="AB54" s="1935">
        <f ca="1">Indicators_FO!AC$226</f>
        <v>0</v>
      </c>
      <c r="AC54" s="1935">
        <f ca="1">Indicators_FO!AD$226</f>
        <v>0</v>
      </c>
      <c r="AD54" s="1935">
        <f ca="1">Indicators_FO!AE$226</f>
        <v>0</v>
      </c>
      <c r="AE54" s="1935">
        <f ca="1">Indicators_FO!AF$226</f>
        <v>0</v>
      </c>
      <c r="AF54" s="1935">
        <f ca="1">Indicators_FO!AG$226</f>
        <v>0</v>
      </c>
      <c r="AG54" s="1935">
        <f ca="1">Indicators_FO!AH$226</f>
        <v>0</v>
      </c>
      <c r="AH54" s="1935">
        <f ca="1">Indicators_FO!AI$226</f>
        <v>0</v>
      </c>
      <c r="AI54" s="1935">
        <f ca="1">Indicators_FO!AJ$226</f>
        <v>0</v>
      </c>
      <c r="AJ54" s="1935">
        <f ca="1">Indicators_FO!AK$226</f>
        <v>0</v>
      </c>
      <c r="AK54" s="1935">
        <f ca="1">Indicators_FO!AL$226</f>
        <v>0</v>
      </c>
      <c r="AL54" s="175"/>
    </row>
    <row r="55" spans="3:38" x14ac:dyDescent="0.3">
      <c r="D55" s="222"/>
      <c r="E55" s="102"/>
      <c r="F55" s="102"/>
      <c r="G55" s="102"/>
      <c r="H55" s="223"/>
      <c r="I55" s="223"/>
      <c r="J55" s="297"/>
      <c r="K55" s="297"/>
      <c r="L55" s="297"/>
      <c r="M55" s="297"/>
      <c r="N55" s="297"/>
      <c r="O55" s="297"/>
      <c r="P55" s="297"/>
      <c r="Q55" s="297"/>
      <c r="R55" s="297"/>
      <c r="S55" s="297"/>
      <c r="T55" s="297"/>
      <c r="U55" s="297"/>
      <c r="V55" s="297"/>
      <c r="W55" s="297"/>
      <c r="X55" s="297"/>
      <c r="Y55" s="1277"/>
      <c r="Z55" s="1277"/>
      <c r="AA55" s="1277"/>
      <c r="AB55" s="297"/>
      <c r="AC55" s="297"/>
      <c r="AD55" s="297"/>
      <c r="AE55" s="297"/>
      <c r="AF55" s="297"/>
      <c r="AG55" s="297"/>
      <c r="AH55" s="297"/>
      <c r="AI55" s="297"/>
      <c r="AJ55" s="297"/>
      <c r="AK55" s="297"/>
      <c r="AL55" s="175"/>
    </row>
    <row r="56" spans="3:38" x14ac:dyDescent="0.3">
      <c r="D56" s="222"/>
      <c r="E56" s="1276" t="s">
        <v>876</v>
      </c>
      <c r="F56" s="447" t="s">
        <v>954</v>
      </c>
      <c r="G56" s="102"/>
      <c r="H56" s="223"/>
      <c r="I56" s="223"/>
      <c r="J56" s="297"/>
      <c r="K56" s="297"/>
      <c r="L56" s="297"/>
      <c r="M56" s="297"/>
      <c r="N56" s="297"/>
      <c r="O56" s="297"/>
      <c r="P56" s="297"/>
      <c r="Q56" s="297"/>
      <c r="R56" s="297"/>
      <c r="S56" s="297"/>
      <c r="T56" s="297"/>
      <c r="U56" s="297"/>
      <c r="V56" s="297"/>
      <c r="W56" s="297"/>
      <c r="X56" s="297"/>
      <c r="Y56" s="1277"/>
      <c r="Z56" s="1277"/>
      <c r="AA56" s="1277"/>
      <c r="AB56" s="297"/>
      <c r="AC56" s="297"/>
      <c r="AD56" s="297"/>
      <c r="AE56" s="297"/>
      <c r="AF56" s="297"/>
      <c r="AG56" s="297"/>
      <c r="AH56" s="297"/>
      <c r="AI56" s="297"/>
      <c r="AJ56" s="297"/>
      <c r="AK56" s="297"/>
      <c r="AL56" s="175"/>
    </row>
    <row r="57" spans="3:38" x14ac:dyDescent="0.3">
      <c r="D57" s="222"/>
      <c r="E57" s="102"/>
      <c r="F57" s="102"/>
      <c r="G57" s="102" t="s">
        <v>956</v>
      </c>
      <c r="H57" s="223"/>
      <c r="I57" s="223"/>
      <c r="J57" s="297"/>
      <c r="K57" s="297"/>
      <c r="L57" s="297"/>
      <c r="M57" s="297"/>
      <c r="N57" s="297"/>
      <c r="O57" s="297"/>
      <c r="P57" s="297"/>
      <c r="Q57" s="297"/>
      <c r="R57" s="297"/>
      <c r="S57" s="297"/>
      <c r="T57" s="297"/>
      <c r="U57" s="297"/>
      <c r="V57" s="297"/>
      <c r="W57" s="297"/>
      <c r="X57" s="297"/>
      <c r="Y57" s="1277"/>
      <c r="Z57" s="1277"/>
      <c r="AA57" s="1277"/>
      <c r="AB57" s="1935">
        <f ca="1">Indicators_FO!AC$235</f>
        <v>0</v>
      </c>
      <c r="AC57" s="1935">
        <f ca="1">Indicators_FO!AD$235</f>
        <v>0</v>
      </c>
      <c r="AD57" s="1935">
        <f ca="1">Indicators_FO!AE$235</f>
        <v>0</v>
      </c>
      <c r="AE57" s="1935">
        <f ca="1">Indicators_FO!AF$235</f>
        <v>0</v>
      </c>
      <c r="AF57" s="1935">
        <f ca="1">Indicators_FO!AG$235</f>
        <v>0</v>
      </c>
      <c r="AG57" s="1935">
        <f ca="1">Indicators_FO!AH$235</f>
        <v>0</v>
      </c>
      <c r="AH57" s="1935">
        <f ca="1">Indicators_FO!AI$235</f>
        <v>0</v>
      </c>
      <c r="AI57" s="1935">
        <f ca="1">Indicators_FO!AJ$235</f>
        <v>0</v>
      </c>
      <c r="AJ57" s="1935">
        <f ca="1">Indicators_FO!AK$235</f>
        <v>0</v>
      </c>
      <c r="AK57" s="1935">
        <f ca="1">Indicators_FO!AL$235</f>
        <v>0</v>
      </c>
      <c r="AL57" s="175"/>
    </row>
    <row r="58" spans="3:38" x14ac:dyDescent="0.3">
      <c r="D58" s="222"/>
      <c r="E58" s="102"/>
      <c r="F58" s="102"/>
      <c r="G58" s="102" t="s">
        <v>957</v>
      </c>
      <c r="H58" s="223"/>
      <c r="I58" s="223"/>
      <c r="J58" s="297"/>
      <c r="K58" s="297"/>
      <c r="L58" s="297"/>
      <c r="M58" s="297"/>
      <c r="N58" s="297"/>
      <c r="O58" s="297"/>
      <c r="P58" s="297"/>
      <c r="Q58" s="297"/>
      <c r="R58" s="297"/>
      <c r="S58" s="297"/>
      <c r="T58" s="297"/>
      <c r="U58" s="297"/>
      <c r="V58" s="297"/>
      <c r="W58" s="297"/>
      <c r="X58" s="297"/>
      <c r="Y58" s="1277"/>
      <c r="Z58" s="1277"/>
      <c r="AA58" s="1277"/>
      <c r="AB58" s="1935">
        <f ca="1">Indicators_FO!AC$243</f>
        <v>0</v>
      </c>
      <c r="AC58" s="1935">
        <f ca="1">Indicators_FO!AD$243</f>
        <v>0</v>
      </c>
      <c r="AD58" s="1935">
        <f ca="1">Indicators_FO!AE$243</f>
        <v>0</v>
      </c>
      <c r="AE58" s="1935">
        <f ca="1">Indicators_FO!AF$243</f>
        <v>0</v>
      </c>
      <c r="AF58" s="1935">
        <f ca="1">Indicators_FO!AG$243</f>
        <v>0</v>
      </c>
      <c r="AG58" s="1935">
        <f ca="1">Indicators_FO!AH$243</f>
        <v>0</v>
      </c>
      <c r="AH58" s="1935">
        <f ca="1">Indicators_FO!AI$243</f>
        <v>0</v>
      </c>
      <c r="AI58" s="1935">
        <f ca="1">Indicators_FO!AJ$243</f>
        <v>0</v>
      </c>
      <c r="AJ58" s="1935">
        <f ca="1">Indicators_FO!AK$243</f>
        <v>0</v>
      </c>
      <c r="AK58" s="1935">
        <f ca="1">Indicators_FO!AL$243</f>
        <v>0</v>
      </c>
      <c r="AL58" s="175"/>
    </row>
    <row r="59" spans="3:38" x14ac:dyDescent="0.3">
      <c r="D59" s="222"/>
      <c r="E59" s="102"/>
      <c r="F59" s="102"/>
      <c r="G59" s="102" t="s">
        <v>780</v>
      </c>
      <c r="H59" s="223"/>
      <c r="I59" s="223"/>
      <c r="J59" s="297"/>
      <c r="K59" s="297"/>
      <c r="L59" s="297"/>
      <c r="M59" s="297"/>
      <c r="N59" s="297"/>
      <c r="O59" s="297"/>
      <c r="P59" s="297"/>
      <c r="Q59" s="297"/>
      <c r="R59" s="297"/>
      <c r="S59" s="297"/>
      <c r="T59" s="297"/>
      <c r="U59" s="297"/>
      <c r="V59" s="297"/>
      <c r="W59" s="297"/>
      <c r="X59" s="297"/>
      <c r="Y59" s="1277"/>
      <c r="Z59" s="1277"/>
      <c r="AA59" s="1277"/>
      <c r="AB59" s="1935">
        <f ca="1">Indicators_FO!AC$252</f>
        <v>0</v>
      </c>
      <c r="AC59" s="1935">
        <f ca="1">Indicators_FO!AD$252</f>
        <v>0</v>
      </c>
      <c r="AD59" s="1935">
        <f ca="1">Indicators_FO!AE$252</f>
        <v>0</v>
      </c>
      <c r="AE59" s="1935">
        <f ca="1">Indicators_FO!AF$252</f>
        <v>0</v>
      </c>
      <c r="AF59" s="1935">
        <f ca="1">Indicators_FO!AG$252</f>
        <v>0</v>
      </c>
      <c r="AG59" s="1935">
        <f ca="1">Indicators_FO!AH$252</f>
        <v>0</v>
      </c>
      <c r="AH59" s="1935">
        <f ca="1">Indicators_FO!AI$252</f>
        <v>0</v>
      </c>
      <c r="AI59" s="1935">
        <f ca="1">Indicators_FO!AJ$252</f>
        <v>0</v>
      </c>
      <c r="AJ59" s="1935">
        <f ca="1">Indicators_FO!AK$252</f>
        <v>0</v>
      </c>
      <c r="AK59" s="1935">
        <f ca="1">Indicators_FO!AL$252</f>
        <v>0</v>
      </c>
      <c r="AL59" s="175"/>
    </row>
    <row r="60" spans="3:38" ht="12.5" thickBot="1" x14ac:dyDescent="0.35">
      <c r="D60" s="179"/>
      <c r="E60" s="180"/>
      <c r="F60" s="180"/>
      <c r="G60" s="180"/>
      <c r="H60" s="181"/>
      <c r="I60" s="181"/>
      <c r="J60" s="180"/>
      <c r="K60" s="180"/>
      <c r="L60" s="180"/>
      <c r="M60" s="180"/>
      <c r="N60" s="180"/>
      <c r="O60" s="180"/>
      <c r="P60" s="180"/>
      <c r="Q60" s="180"/>
      <c r="R60" s="180"/>
      <c r="S60" s="180"/>
      <c r="T60" s="180"/>
      <c r="U60" s="180"/>
      <c r="V60" s="180"/>
      <c r="W60" s="180"/>
      <c r="X60" s="180"/>
      <c r="Y60" s="180"/>
      <c r="Z60" s="180"/>
      <c r="AA60" s="180"/>
      <c r="AB60" s="180"/>
      <c r="AC60" s="180"/>
      <c r="AD60" s="180"/>
      <c r="AE60" s="180"/>
      <c r="AF60" s="180"/>
      <c r="AG60" s="180"/>
      <c r="AH60" s="180"/>
      <c r="AI60" s="180"/>
      <c r="AJ60" s="180"/>
      <c r="AK60" s="180"/>
      <c r="AL60" s="182"/>
    </row>
  </sheetData>
  <sheetProtection algorithmName="SHA-512" hashValue="szbX7jGGDW4VK6DTcKxNBvUjPOyHX8aXEgqh4xXgQsiRSn90G8WUI7Ux2Xtjcjo/QNvqOszGEQF831vp8CBzpQ==" saltValue="jOZPhAA4z/QrNERtSfcw7w==" spinCount="100000" sheet="1" objects="1" scenarios="1"/>
  <mergeCells count="1">
    <mergeCell ref="B3:F3"/>
  </mergeCells>
  <conditionalFormatting sqref="AC32:AF32 AC29:AF29">
    <cfRule type="containsText" dxfId="328" priority="143" operator="containsText" text="FALSE">
      <formula>NOT(ISERROR(SEARCH("FALSE",AC29)))</formula>
    </cfRule>
    <cfRule type="containsText" dxfId="327" priority="144" operator="containsText" text="TRUE">
      <formula>NOT(ISERROR(SEARCH("TRUE",AC29)))</formula>
    </cfRule>
  </conditionalFormatting>
  <conditionalFormatting sqref="Y15:AA25 Y27:AA49 Y26:Z26">
    <cfRule type="containsText" dxfId="326" priority="141" operator="containsText" text="FALSE">
      <formula>NOT(ISERROR(SEARCH("FALSE",Y15)))</formula>
    </cfRule>
    <cfRule type="containsText" dxfId="325" priority="142" operator="containsText" text="TRUE">
      <formula>NOT(ISERROR(SEARCH("TRUE",Y15)))</formula>
    </cfRule>
  </conditionalFormatting>
  <conditionalFormatting sqref="AG32:AK32 AG29:AK29">
    <cfRule type="containsText" dxfId="324" priority="107" operator="containsText" text="FALSE">
      <formula>NOT(ISERROR(SEARCH("FALSE",AG29)))</formula>
    </cfRule>
    <cfRule type="containsText" dxfId="323" priority="108" operator="containsText" text="TRUE">
      <formula>NOT(ISERROR(SEARCH("TRUE",AG29)))</formula>
    </cfRule>
  </conditionalFormatting>
  <conditionalFormatting sqref="AB18:AK18">
    <cfRule type="containsText" dxfId="322" priority="69" operator="containsText" text="FALSE">
      <formula>NOT(ISERROR(SEARCH("FALSE",AB18)))</formula>
    </cfRule>
    <cfRule type="containsText" dxfId="321" priority="70" operator="containsText" text="TRUE">
      <formula>NOT(ISERROR(SEARCH("TRUE",AB18)))</formula>
    </cfRule>
  </conditionalFormatting>
  <conditionalFormatting sqref="AB23:AK23">
    <cfRule type="containsText" dxfId="320" priority="65" operator="containsText" text="FALSE">
      <formula>NOT(ISERROR(SEARCH("FALSE",AB23)))</formula>
    </cfRule>
    <cfRule type="containsText" dxfId="319" priority="66" operator="containsText" text="TRUE">
      <formula>NOT(ISERROR(SEARCH("TRUE",AB23)))</formula>
    </cfRule>
  </conditionalFormatting>
  <conditionalFormatting sqref="AA26:AK26">
    <cfRule type="containsText" dxfId="318" priority="63" operator="containsText" text="FALSE">
      <formula>NOT(ISERROR(SEARCH("FALSE",AA26)))</formula>
    </cfRule>
    <cfRule type="containsText" dxfId="317" priority="64" operator="containsText" text="TRUE">
      <formula>NOT(ISERROR(SEARCH("TRUE",AA26)))</formula>
    </cfRule>
  </conditionalFormatting>
  <conditionalFormatting sqref="AB46:AK46">
    <cfRule type="containsText" dxfId="316" priority="57" operator="containsText" text="FALSE">
      <formula>NOT(ISERROR(SEARCH("FALSE",AB46)))</formula>
    </cfRule>
    <cfRule type="containsText" dxfId="315" priority="58" operator="containsText" text="TRUE">
      <formula>NOT(ISERROR(SEARCH("TRUE",AB46)))</formula>
    </cfRule>
  </conditionalFormatting>
  <conditionalFormatting sqref="AB49:AK49">
    <cfRule type="containsText" dxfId="314" priority="55" operator="containsText" text="FALSE">
      <formula>NOT(ISERROR(SEARCH("FALSE",AB49)))</formula>
    </cfRule>
    <cfRule type="containsText" dxfId="313" priority="56" operator="containsText" text="TRUE">
      <formula>NOT(ISERROR(SEARCH("TRUE",AB49)))</formula>
    </cfRule>
  </conditionalFormatting>
  <conditionalFormatting sqref="AB41">
    <cfRule type="containsText" dxfId="312" priority="37" operator="containsText" text="FALSE">
      <formula>NOT(ISERROR(SEARCH("FALSE",AB41)))</formula>
    </cfRule>
    <cfRule type="containsText" dxfId="311" priority="38" operator="containsText" text="TRUE">
      <formula>NOT(ISERROR(SEARCH("TRUE",AB41)))</formula>
    </cfRule>
  </conditionalFormatting>
  <conditionalFormatting sqref="AC41">
    <cfRule type="containsText" dxfId="310" priority="29" operator="containsText" text="FALSE">
      <formula>NOT(ISERROR(SEARCH("FALSE",AC41)))</formula>
    </cfRule>
    <cfRule type="containsText" dxfId="309" priority="30" operator="containsText" text="TRUE">
      <formula>NOT(ISERROR(SEARCH("TRUE",AC41)))</formula>
    </cfRule>
  </conditionalFormatting>
  <conditionalFormatting sqref="AG39:AK39">
    <cfRule type="containsText" dxfId="308" priority="43" operator="containsText" text="FALSE">
      <formula>NOT(ISERROR(SEARCH("FALSE",AG39)))</formula>
    </cfRule>
    <cfRule type="containsText" dxfId="307" priority="44" operator="containsText" text="TRUE">
      <formula>NOT(ISERROR(SEARCH("TRUE",AG39)))</formula>
    </cfRule>
  </conditionalFormatting>
  <conditionalFormatting sqref="AB15:AK15">
    <cfRule type="containsText" dxfId="306" priority="71" operator="containsText" text="FALSE">
      <formula>NOT(ISERROR(SEARCH("FALSE",AB15)))</formula>
    </cfRule>
    <cfRule type="containsText" dxfId="305" priority="72" operator="containsText" text="TRUE">
      <formula>NOT(ISERROR(SEARCH("TRUE",AB15)))</formula>
    </cfRule>
  </conditionalFormatting>
  <conditionalFormatting sqref="AB20:AK20">
    <cfRule type="containsText" dxfId="304" priority="67" operator="containsText" text="FALSE">
      <formula>NOT(ISERROR(SEARCH("FALSE",AB20)))</formula>
    </cfRule>
    <cfRule type="containsText" dxfId="303" priority="68" operator="containsText" text="TRUE">
      <formula>NOT(ISERROR(SEARCH("TRUE",AB20)))</formula>
    </cfRule>
  </conditionalFormatting>
  <conditionalFormatting sqref="AC36:AK36">
    <cfRule type="containsText" dxfId="302" priority="61" operator="containsText" text="FALSE">
      <formula>NOT(ISERROR(SEARCH("FALSE",AC36)))</formula>
    </cfRule>
    <cfRule type="containsText" dxfId="301" priority="62" operator="containsText" text="TRUE">
      <formula>NOT(ISERROR(SEARCH("TRUE",AC36)))</formula>
    </cfRule>
  </conditionalFormatting>
  <conditionalFormatting sqref="AB44:AC44">
    <cfRule type="containsText" dxfId="300" priority="27" operator="containsText" text="FALSE">
      <formula>NOT(ISERROR(SEARCH("FALSE",AB44)))</formula>
    </cfRule>
    <cfRule type="containsText" dxfId="299" priority="28" operator="containsText" text="TRUE">
      <formula>NOT(ISERROR(SEARCH("TRUE",AB44)))</formula>
    </cfRule>
  </conditionalFormatting>
  <conditionalFormatting sqref="AB29">
    <cfRule type="containsText" dxfId="298" priority="53" operator="containsText" text="FALSE">
      <formula>NOT(ISERROR(SEARCH("FALSE",AB29)))</formula>
    </cfRule>
    <cfRule type="containsText" dxfId="297" priority="54" operator="containsText" text="TRUE">
      <formula>NOT(ISERROR(SEARCH("TRUE",AB29)))</formula>
    </cfRule>
  </conditionalFormatting>
  <conditionalFormatting sqref="AB32">
    <cfRule type="containsText" dxfId="296" priority="51" operator="containsText" text="FALSE">
      <formula>NOT(ISERROR(SEARCH("FALSE",AB32)))</formula>
    </cfRule>
    <cfRule type="containsText" dxfId="295" priority="52" operator="containsText" text="TRUE">
      <formula>NOT(ISERROR(SEARCH("TRUE",AB32)))</formula>
    </cfRule>
  </conditionalFormatting>
  <conditionalFormatting sqref="AB34">
    <cfRule type="containsText" dxfId="294" priority="49" operator="containsText" text="FALSE">
      <formula>NOT(ISERROR(SEARCH("FALSE",AB34)))</formula>
    </cfRule>
    <cfRule type="containsText" dxfId="293" priority="50" operator="containsText" text="TRUE">
      <formula>NOT(ISERROR(SEARCH("TRUE",AB34)))</formula>
    </cfRule>
  </conditionalFormatting>
  <conditionalFormatting sqref="AB36:AK36">
    <cfRule type="containsText" dxfId="292" priority="47" operator="containsText" text="FALSE">
      <formula>NOT(ISERROR(SEARCH("FALSE",AB36)))</formula>
    </cfRule>
    <cfRule type="containsText" dxfId="291" priority="48" operator="containsText" text="TRUE">
      <formula>NOT(ISERROR(SEARCH("TRUE",AB36)))</formula>
    </cfRule>
  </conditionalFormatting>
  <conditionalFormatting sqref="AD39:AF39">
    <cfRule type="containsText" dxfId="290" priority="45" operator="containsText" text="FALSE">
      <formula>NOT(ISERROR(SEARCH("FALSE",AD39)))</formula>
    </cfRule>
    <cfRule type="containsText" dxfId="289" priority="46" operator="containsText" text="TRUE">
      <formula>NOT(ISERROR(SEARCH("TRUE",AD39)))</formula>
    </cfRule>
  </conditionalFormatting>
  <conditionalFormatting sqref="AC43:AK43">
    <cfRule type="containsText" dxfId="288" priority="41" operator="containsText" text="FALSE">
      <formula>NOT(ISERROR(SEARCH("FALSE",AC43)))</formula>
    </cfRule>
    <cfRule type="containsText" dxfId="287" priority="42" operator="containsText" text="TRUE">
      <formula>NOT(ISERROR(SEARCH("TRUE",AC43)))</formula>
    </cfRule>
  </conditionalFormatting>
  <conditionalFormatting sqref="AB39">
    <cfRule type="containsText" dxfId="286" priority="39" operator="containsText" text="FALSE">
      <formula>NOT(ISERROR(SEARCH("FALSE",AB39)))</formula>
    </cfRule>
    <cfRule type="containsText" dxfId="285" priority="40" operator="containsText" text="TRUE">
      <formula>NOT(ISERROR(SEARCH("TRUE",AB39)))</formula>
    </cfRule>
  </conditionalFormatting>
  <conditionalFormatting sqref="AB43:AK43">
    <cfRule type="containsText" dxfId="284" priority="35" operator="containsText" text="FALSE">
      <formula>NOT(ISERROR(SEARCH("FALSE",AB43)))</formula>
    </cfRule>
    <cfRule type="containsText" dxfId="283" priority="36" operator="containsText" text="TRUE">
      <formula>NOT(ISERROR(SEARCH("TRUE",AB43)))</formula>
    </cfRule>
  </conditionalFormatting>
  <conditionalFormatting sqref="AC34">
    <cfRule type="containsText" dxfId="282" priority="33" operator="containsText" text="FALSE">
      <formula>NOT(ISERROR(SEARCH("FALSE",AC34)))</formula>
    </cfRule>
    <cfRule type="containsText" dxfId="281" priority="34" operator="containsText" text="TRUE">
      <formula>NOT(ISERROR(SEARCH("TRUE",AC34)))</formula>
    </cfRule>
  </conditionalFormatting>
  <conditionalFormatting sqref="AC39">
    <cfRule type="containsText" dxfId="280" priority="31" operator="containsText" text="FALSE">
      <formula>NOT(ISERROR(SEARCH("FALSE",AC39)))</formula>
    </cfRule>
    <cfRule type="containsText" dxfId="279" priority="32" operator="containsText" text="TRUE">
      <formula>NOT(ISERROR(SEARCH("TRUE",AC39)))</formula>
    </cfRule>
  </conditionalFormatting>
  <conditionalFormatting sqref="I9">
    <cfRule type="containsText" dxfId="278" priority="25" operator="containsText" text="YES">
      <formula>NOT(ISERROR(SEARCH("YES",I9)))</formula>
    </cfRule>
    <cfRule type="containsText" dxfId="277" priority="26" operator="containsText" text="NO">
      <formula>NOT(ISERROR(SEARCH("NO",I9)))</formula>
    </cfRule>
  </conditionalFormatting>
  <conditionalFormatting sqref="I11">
    <cfRule type="containsText" dxfId="276" priority="23" operator="containsText" text="YES">
      <formula>NOT(ISERROR(SEARCH("YES",I11)))</formula>
    </cfRule>
    <cfRule type="containsText" dxfId="275" priority="24" operator="containsText" text="NO">
      <formula>NOT(ISERROR(SEARCH("NO",I11)))</formula>
    </cfRule>
  </conditionalFormatting>
  <conditionalFormatting sqref="Y54:AA55">
    <cfRule type="containsText" dxfId="274" priority="21" operator="containsText" text="FALSE">
      <formula>NOT(ISERROR(SEARCH("FALSE",Y54)))</formula>
    </cfRule>
    <cfRule type="containsText" dxfId="273" priority="22" operator="containsText" text="TRUE">
      <formula>NOT(ISERROR(SEARCH("TRUE",Y54)))</formula>
    </cfRule>
  </conditionalFormatting>
  <conditionalFormatting sqref="AB54:AK54">
    <cfRule type="containsText" dxfId="272" priority="19" operator="containsText" text="FALSE">
      <formula>NOT(ISERROR(SEARCH("FALSE",AB54)))</formula>
    </cfRule>
    <cfRule type="containsText" dxfId="271" priority="20" operator="containsText" text="TRUE">
      <formula>NOT(ISERROR(SEARCH("TRUE",AB54)))</formula>
    </cfRule>
  </conditionalFormatting>
  <conditionalFormatting sqref="Y56:AA56 Y59:AA59">
    <cfRule type="containsText" dxfId="270" priority="17" operator="containsText" text="FALSE">
      <formula>NOT(ISERROR(SEARCH("FALSE",Y56)))</formula>
    </cfRule>
    <cfRule type="containsText" dxfId="269" priority="18" operator="containsText" text="TRUE">
      <formula>NOT(ISERROR(SEARCH("TRUE",Y56)))</formula>
    </cfRule>
  </conditionalFormatting>
  <conditionalFormatting sqref="AC59:AK59">
    <cfRule type="containsText" dxfId="268" priority="15" operator="containsText" text="FALSE">
      <formula>NOT(ISERROR(SEARCH("FALSE",AC59)))</formula>
    </cfRule>
    <cfRule type="containsText" dxfId="267" priority="16" operator="containsText" text="TRUE">
      <formula>NOT(ISERROR(SEARCH("TRUE",AC59)))</formula>
    </cfRule>
  </conditionalFormatting>
  <conditionalFormatting sqref="Y58:AA58">
    <cfRule type="containsText" dxfId="266" priority="13" operator="containsText" text="FALSE">
      <formula>NOT(ISERROR(SEARCH("FALSE",Y58)))</formula>
    </cfRule>
    <cfRule type="containsText" dxfId="265" priority="14" operator="containsText" text="TRUE">
      <formula>NOT(ISERROR(SEARCH("TRUE",Y58)))</formula>
    </cfRule>
  </conditionalFormatting>
  <conditionalFormatting sqref="AC58:AK58">
    <cfRule type="containsText" dxfId="264" priority="11" operator="containsText" text="FALSE">
      <formula>NOT(ISERROR(SEARCH("FALSE",AC58)))</formula>
    </cfRule>
    <cfRule type="containsText" dxfId="263" priority="12" operator="containsText" text="TRUE">
      <formula>NOT(ISERROR(SEARCH("TRUE",AC58)))</formula>
    </cfRule>
  </conditionalFormatting>
  <conditionalFormatting sqref="Y57:AA57">
    <cfRule type="containsText" dxfId="262" priority="9" operator="containsText" text="FALSE">
      <formula>NOT(ISERROR(SEARCH("FALSE",Y57)))</formula>
    </cfRule>
    <cfRule type="containsText" dxfId="261" priority="10" operator="containsText" text="TRUE">
      <formula>NOT(ISERROR(SEARCH("TRUE",Y57)))</formula>
    </cfRule>
  </conditionalFormatting>
  <conditionalFormatting sqref="AC57:AK57">
    <cfRule type="containsText" dxfId="260" priority="7" operator="containsText" text="FALSE">
      <formula>NOT(ISERROR(SEARCH("FALSE",AC57)))</formula>
    </cfRule>
    <cfRule type="containsText" dxfId="259" priority="8" operator="containsText" text="TRUE">
      <formula>NOT(ISERROR(SEARCH("TRUE",AC57)))</formula>
    </cfRule>
  </conditionalFormatting>
  <conditionalFormatting sqref="AB57:AK57">
    <cfRule type="containsText" dxfId="258" priority="5" operator="containsText" text="FALSE">
      <formula>NOT(ISERROR(SEARCH("FALSE",AB57)))</formula>
    </cfRule>
    <cfRule type="containsText" dxfId="257" priority="6" operator="containsText" text="TRUE">
      <formula>NOT(ISERROR(SEARCH("TRUE",AB57)))</formula>
    </cfRule>
  </conditionalFormatting>
  <conditionalFormatting sqref="AB59:AK59">
    <cfRule type="containsText" dxfId="256" priority="3" operator="containsText" text="FALSE">
      <formula>NOT(ISERROR(SEARCH("FALSE",AB59)))</formula>
    </cfRule>
    <cfRule type="containsText" dxfId="255" priority="4" operator="containsText" text="TRUE">
      <formula>NOT(ISERROR(SEARCH("TRUE",AB59)))</formula>
    </cfRule>
  </conditionalFormatting>
  <conditionalFormatting sqref="AB58:AK58">
    <cfRule type="containsText" dxfId="254" priority="1" operator="containsText" text="FALSE">
      <formula>NOT(ISERROR(SEARCH("FALSE",AB58)))</formula>
    </cfRule>
    <cfRule type="containsText" dxfId="253" priority="2" operator="containsText" text="TRUE">
      <formula>NOT(ISERROR(SEARCH("TRUE",AB58)))</formula>
    </cfRule>
  </conditionalFormatting>
  <hyperlinks>
    <hyperlink ref="B3" location="HL_Home" tooltip="Go to Table of Contents" display="HL_Home" xr:uid="{00000000-0004-0000-0100-000000000000}"/>
  </hyperlinks>
  <pageMargins left="0.7" right="0.7" top="0.75" bottom="0.75" header="0.3" footer="0.3"/>
  <pageSetup paperSize="9" orientation="portrait" r:id="rId1"/>
  <headerFooter>
    <oddHeader>&amp;C&amp;B&amp;"Arial"&amp;12&amp;Kff0000​‌OFFICIAL‌​</oddHeader>
  </headerFooter>
  <ignoredErrors>
    <ignoredError sqref="E15:E16 E20:E21 E34 E36:E37 E41 E43:E44 E46:E47 E39 E32 E29:E30 E26:E27 E23:E24 E18" numberStoredAsText="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4">
    <tabColor theme="0" tint="-4.9989318521683403E-2"/>
    <pageSetUpPr autoPageBreaks="0"/>
  </sheetPr>
  <dimension ref="A1:AP85"/>
  <sheetViews>
    <sheetView showGridLines="0" zoomScaleNormal="100" workbookViewId="0">
      <pane ySplit="7" topLeftCell="A8" activePane="bottomLeft" state="frozen"/>
      <selection pane="bottomLeft" activeCell="AC32" sqref="AC32"/>
    </sheetView>
  </sheetViews>
  <sheetFormatPr defaultColWidth="10.77734375" defaultRowHeight="12" outlineLevelCol="1" x14ac:dyDescent="0.3"/>
  <cols>
    <col min="1" max="3" width="2.44140625" style="73" customWidth="1"/>
    <col min="4" max="5" width="3.77734375" style="73" customWidth="1"/>
    <col min="6" max="6" width="17.33203125" style="73" customWidth="1"/>
    <col min="7" max="8" width="10.33203125" style="73" customWidth="1"/>
    <col min="9" max="14" width="10.33203125" style="73" customWidth="1" outlineLevel="1"/>
    <col min="15" max="15" width="13.6640625" style="73" customWidth="1" outlineLevel="1"/>
    <col min="16" max="16" width="10.33203125" style="73" customWidth="1" outlineLevel="1"/>
    <col min="17" max="17" width="13" style="73" customWidth="1" outlineLevel="1"/>
    <col min="18" max="22" width="10.33203125" style="73" customWidth="1" outlineLevel="1"/>
    <col min="23" max="23" width="12.44140625" style="73" customWidth="1" outlineLevel="1"/>
    <col min="24" max="27" width="12.77734375" style="73" customWidth="1"/>
    <col min="28" max="28" width="13.6640625" style="73" customWidth="1"/>
    <col min="29" max="29" width="14.33203125" style="73" customWidth="1"/>
    <col min="30" max="38" width="12.77734375" style="73" customWidth="1"/>
    <col min="39" max="16384" width="10.77734375" style="73"/>
  </cols>
  <sheetData>
    <row r="1" spans="1:39" ht="14.5" x14ac:dyDescent="0.3">
      <c r="A1" s="1358">
        <v>80</v>
      </c>
      <c r="B1" s="158" t="s">
        <v>376</v>
      </c>
      <c r="R1" s="159"/>
    </row>
    <row r="2" spans="1:39" ht="13" x14ac:dyDescent="0.3">
      <c r="B2" s="1359" t="str">
        <f>+Contents!H7</f>
        <v>Central Highlands Water</v>
      </c>
      <c r="N2" s="161"/>
      <c r="O2" s="161"/>
      <c r="P2" s="161"/>
      <c r="Q2" s="161"/>
      <c r="R2" s="162"/>
      <c r="S2" s="163"/>
      <c r="V2" s="126"/>
      <c r="W2" s="126"/>
      <c r="X2" s="126"/>
      <c r="Y2" s="126"/>
      <c r="Z2" s="126"/>
    </row>
    <row r="3" spans="1:39" x14ac:dyDescent="0.3">
      <c r="B3" s="2357" t="s">
        <v>0</v>
      </c>
      <c r="C3" s="2357"/>
      <c r="D3" s="2357"/>
      <c r="E3" s="2357"/>
      <c r="F3" s="2357"/>
      <c r="G3" s="164"/>
      <c r="H3" s="164"/>
    </row>
    <row r="4" spans="1:39" x14ac:dyDescent="0.3">
      <c r="A4" s="165"/>
      <c r="B4" s="75"/>
      <c r="C4" s="76"/>
      <c r="F4" s="63"/>
      <c r="K4" s="66"/>
      <c r="L4" s="155" t="s">
        <v>60</v>
      </c>
      <c r="M4" s="65"/>
      <c r="N4" s="66"/>
      <c r="O4" s="67"/>
      <c r="P4" s="155" t="s">
        <v>61</v>
      </c>
      <c r="Q4" s="67"/>
      <c r="R4" s="65"/>
      <c r="S4" s="1202"/>
      <c r="T4" s="1203"/>
      <c r="U4" s="1572" t="s">
        <v>274</v>
      </c>
      <c r="V4" s="1203"/>
      <c r="W4" s="1204"/>
      <c r="X4" s="1944"/>
      <c r="Y4" s="1575"/>
      <c r="Z4" s="1575" t="s">
        <v>1072</v>
      </c>
      <c r="AA4" s="1575"/>
      <c r="AB4" s="1574"/>
      <c r="AC4" s="1573"/>
      <c r="AD4" s="1575"/>
      <c r="AE4" s="1575" t="s">
        <v>457</v>
      </c>
      <c r="AF4" s="1575"/>
      <c r="AG4" s="1574"/>
      <c r="AH4" s="1573"/>
      <c r="AI4" s="1575"/>
      <c r="AJ4" s="1575" t="s">
        <v>903</v>
      </c>
      <c r="AK4" s="1575"/>
      <c r="AL4" s="1574"/>
    </row>
    <row r="6" spans="1:39" x14ac:dyDescent="0.3">
      <c r="B6" s="166"/>
      <c r="F6" s="167" t="s">
        <v>63</v>
      </c>
      <c r="K6" s="1360">
        <v>2006</v>
      </c>
      <c r="L6" s="1360">
        <v>2007</v>
      </c>
      <c r="M6" s="1360">
        <v>2008</v>
      </c>
      <c r="N6" s="1360">
        <v>2009</v>
      </c>
      <c r="O6" s="1360">
        <v>2010</v>
      </c>
      <c r="P6" s="1360">
        <v>2011</v>
      </c>
      <c r="Q6" s="1360">
        <v>2012</v>
      </c>
      <c r="R6" s="1360">
        <v>2013</v>
      </c>
      <c r="S6" s="1360">
        <v>2014</v>
      </c>
      <c r="T6" s="1360">
        <v>2015</v>
      </c>
      <c r="U6" s="1360">
        <v>2016</v>
      </c>
      <c r="V6" s="1360">
        <v>2017</v>
      </c>
      <c r="W6" s="1360">
        <v>2018</v>
      </c>
      <c r="X6" s="1360">
        <v>2019</v>
      </c>
      <c r="Y6" s="1360">
        <v>2020</v>
      </c>
      <c r="Z6" s="1360">
        <v>2021</v>
      </c>
      <c r="AA6" s="1360">
        <v>2022</v>
      </c>
      <c r="AB6" s="1360">
        <v>2023</v>
      </c>
      <c r="AC6" s="1361">
        <v>2024</v>
      </c>
      <c r="AD6" s="1361">
        <v>2025</v>
      </c>
      <c r="AE6" s="1361">
        <v>2026</v>
      </c>
      <c r="AF6" s="1361">
        <v>2027</v>
      </c>
      <c r="AG6" s="1361">
        <v>2028</v>
      </c>
      <c r="AH6" s="1361">
        <v>2029</v>
      </c>
      <c r="AI6" s="1361">
        <v>2030</v>
      </c>
      <c r="AJ6" s="1361">
        <v>2031</v>
      </c>
      <c r="AK6" s="1361">
        <v>2032</v>
      </c>
      <c r="AL6" s="1361">
        <v>2033</v>
      </c>
    </row>
    <row r="7" spans="1:39" x14ac:dyDescent="0.3">
      <c r="A7" s="78"/>
      <c r="B7" s="168"/>
      <c r="C7" s="78"/>
      <c r="D7" s="78"/>
      <c r="E7" s="78"/>
      <c r="F7" s="169" t="s">
        <v>64</v>
      </c>
      <c r="G7" s="78"/>
      <c r="H7" s="78"/>
      <c r="I7" s="70" t="s">
        <v>221</v>
      </c>
      <c r="J7" s="70" t="s">
        <v>89</v>
      </c>
      <c r="K7" s="1319" t="str">
        <f>+CONCATENATE(K6-1,"-",RIGHT(K6,2))</f>
        <v>2005-06</v>
      </c>
      <c r="L7" s="1319" t="str">
        <f t="shared" ref="L7:AG7" si="0">+CONCATENATE(L6-1,"-",RIGHT(L6,2))</f>
        <v>2006-07</v>
      </c>
      <c r="M7" s="1319" t="str">
        <f t="shared" si="0"/>
        <v>2007-08</v>
      </c>
      <c r="N7" s="1319" t="str">
        <f t="shared" si="0"/>
        <v>2008-09</v>
      </c>
      <c r="O7" s="1319" t="str">
        <f t="shared" si="0"/>
        <v>2009-10</v>
      </c>
      <c r="P7" s="1319" t="str">
        <f t="shared" si="0"/>
        <v>2010-11</v>
      </c>
      <c r="Q7" s="1319" t="str">
        <f t="shared" si="0"/>
        <v>2011-12</v>
      </c>
      <c r="R7" s="1319" t="str">
        <f t="shared" si="0"/>
        <v>2012-13</v>
      </c>
      <c r="S7" s="1319" t="str">
        <f t="shared" si="0"/>
        <v>2013-14</v>
      </c>
      <c r="T7" s="1319" t="str">
        <f t="shared" si="0"/>
        <v>2014-15</v>
      </c>
      <c r="U7" s="1319" t="str">
        <f t="shared" si="0"/>
        <v>2015-16</v>
      </c>
      <c r="V7" s="1319" t="str">
        <f t="shared" si="0"/>
        <v>2016-17</v>
      </c>
      <c r="W7" s="1319" t="str">
        <f t="shared" si="0"/>
        <v>2017-18</v>
      </c>
      <c r="X7" s="1319" t="str">
        <f t="shared" si="0"/>
        <v>2018-19</v>
      </c>
      <c r="Y7" s="1319" t="str">
        <f t="shared" si="0"/>
        <v>2019-20</v>
      </c>
      <c r="Z7" s="1319" t="str">
        <f t="shared" si="0"/>
        <v>2020-21</v>
      </c>
      <c r="AA7" s="1319" t="str">
        <f t="shared" si="0"/>
        <v>2021-22</v>
      </c>
      <c r="AB7" s="1319" t="str">
        <f t="shared" si="0"/>
        <v>2022-23</v>
      </c>
      <c r="AC7" s="1319" t="str">
        <f t="shared" si="0"/>
        <v>2023-24</v>
      </c>
      <c r="AD7" s="1319" t="str">
        <f t="shared" si="0"/>
        <v>2024-25</v>
      </c>
      <c r="AE7" s="1319" t="str">
        <f t="shared" si="0"/>
        <v>2025-26</v>
      </c>
      <c r="AF7" s="1319" t="str">
        <f t="shared" si="0"/>
        <v>2026-27</v>
      </c>
      <c r="AG7" s="1319" t="str">
        <f t="shared" si="0"/>
        <v>2027-28</v>
      </c>
      <c r="AH7" s="1319" t="str">
        <f>+CONCATENATE(AH6-1,"-",RIGHT(AH6,2))</f>
        <v>2028-29</v>
      </c>
      <c r="AI7" s="1319" t="str">
        <f>+CONCATENATE(AI6-1,"-",RIGHT(AI6,2))</f>
        <v>2029-30</v>
      </c>
      <c r="AJ7" s="1319" t="str">
        <f>+CONCATENATE(AJ6-1,"-",RIGHT(AJ6,2))</f>
        <v>2030-31</v>
      </c>
      <c r="AK7" s="1319" t="str">
        <f>+CONCATENATE(AK6-1,"-",RIGHT(AK6,2))</f>
        <v>2031-32</v>
      </c>
      <c r="AL7" s="1319" t="str">
        <f>+CONCATENATE(AL6-1,"-",RIGHT(AL6,2))</f>
        <v>2032-33</v>
      </c>
    </row>
    <row r="9" spans="1:39" ht="12.5" thickBot="1" x14ac:dyDescent="0.35"/>
    <row r="10" spans="1:39" x14ac:dyDescent="0.3">
      <c r="D10" s="170"/>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2"/>
    </row>
    <row r="11" spans="1:39" x14ac:dyDescent="0.3">
      <c r="D11" s="173"/>
      <c r="E11" s="174" t="s">
        <v>49</v>
      </c>
      <c r="F11" s="72"/>
      <c r="G11" s="72"/>
      <c r="H11" s="72"/>
      <c r="I11" s="72"/>
      <c r="J11" s="72"/>
      <c r="K11" s="72"/>
      <c r="L11" s="72"/>
      <c r="M11" s="72"/>
      <c r="N11" s="72"/>
      <c r="O11" s="72"/>
      <c r="P11" s="72"/>
      <c r="Q11" s="72"/>
      <c r="R11" s="72"/>
      <c r="Z11" s="72"/>
      <c r="AA11" s="72"/>
      <c r="AB11" s="72"/>
      <c r="AC11" s="72"/>
      <c r="AD11" s="72"/>
      <c r="AE11" s="72"/>
      <c r="AF11" s="72"/>
      <c r="AG11" s="72"/>
      <c r="AH11" s="72"/>
      <c r="AI11" s="72"/>
      <c r="AJ11" s="72"/>
      <c r="AK11" s="72"/>
      <c r="AL11" s="72"/>
      <c r="AM11" s="175"/>
    </row>
    <row r="12" spans="1:39" x14ac:dyDescent="0.3">
      <c r="D12" s="173"/>
      <c r="E12" s="72"/>
      <c r="F12" s="72"/>
      <c r="G12" s="72"/>
      <c r="H12" s="72"/>
      <c r="I12" s="72"/>
      <c r="J12" s="72"/>
      <c r="K12" s="72"/>
      <c r="L12" s="72"/>
      <c r="M12" s="72"/>
      <c r="N12" s="72"/>
      <c r="O12" s="72"/>
      <c r="P12" s="72"/>
      <c r="Q12" s="72"/>
      <c r="R12" s="72"/>
      <c r="S12" s="72"/>
      <c r="T12" s="72"/>
      <c r="U12" s="72"/>
      <c r="V12" s="72"/>
      <c r="W12" s="72"/>
      <c r="X12" s="72"/>
      <c r="Y12" s="72"/>
      <c r="Z12" s="72"/>
      <c r="AA12" s="72"/>
      <c r="AB12" s="1526" t="s">
        <v>959</v>
      </c>
      <c r="AC12" s="72"/>
      <c r="AD12" s="72"/>
      <c r="AE12" s="72"/>
      <c r="AF12" s="72"/>
      <c r="AG12" s="72"/>
      <c r="AH12" s="72"/>
      <c r="AI12" s="72"/>
      <c r="AJ12" s="72"/>
      <c r="AK12" s="72"/>
      <c r="AL12" s="72"/>
      <c r="AM12" s="175"/>
    </row>
    <row r="13" spans="1:39" x14ac:dyDescent="0.3">
      <c r="D13" s="173"/>
      <c r="E13" s="72"/>
      <c r="F13" s="72" t="s">
        <v>79</v>
      </c>
      <c r="G13" s="72"/>
      <c r="H13" s="72"/>
      <c r="I13" s="1362">
        <v>141.30000000000001</v>
      </c>
      <c r="J13" s="1363">
        <v>144.1</v>
      </c>
      <c r="K13" s="1363">
        <v>147.5</v>
      </c>
      <c r="L13" s="1363">
        <v>151.9</v>
      </c>
      <c r="M13" s="1363">
        <v>155.6</v>
      </c>
      <c r="N13" s="1363">
        <v>162.19999999999999</v>
      </c>
      <c r="O13" s="1363">
        <v>166.2</v>
      </c>
      <c r="P13" s="1363">
        <v>171</v>
      </c>
      <c r="Q13" s="1363">
        <v>176.7</v>
      </c>
      <c r="R13" s="1364">
        <v>99.9</v>
      </c>
      <c r="S13" s="1365">
        <v>102.4</v>
      </c>
      <c r="T13" s="1365">
        <v>105.4</v>
      </c>
      <c r="U13" s="1365">
        <v>106.8</v>
      </c>
      <c r="V13" s="1365">
        <v>108.2</v>
      </c>
      <c r="W13" s="1365">
        <v>110.5</v>
      </c>
      <c r="X13" s="2208">
        <v>112.6</v>
      </c>
      <c r="Y13" s="1365">
        <v>114.1</v>
      </c>
      <c r="Z13" s="2171">
        <v>116.6</v>
      </c>
      <c r="AA13" s="2226">
        <v>117.9</v>
      </c>
      <c r="AB13" s="1943">
        <v>123.9</v>
      </c>
      <c r="AC13" s="72"/>
      <c r="AD13" s="72"/>
      <c r="AE13" s="72"/>
      <c r="AF13" s="72"/>
      <c r="AG13" s="72"/>
      <c r="AH13" s="72"/>
      <c r="AI13" s="72"/>
      <c r="AJ13" s="72"/>
      <c r="AK13" s="72"/>
      <c r="AL13" s="72"/>
      <c r="AM13" s="175"/>
    </row>
    <row r="14" spans="1:39" x14ac:dyDescent="0.3">
      <c r="D14" s="173"/>
      <c r="E14" s="72"/>
      <c r="F14" s="72" t="s">
        <v>80</v>
      </c>
      <c r="G14" s="72"/>
      <c r="H14" s="72"/>
      <c r="I14" s="176"/>
      <c r="J14" s="1366">
        <f>+J13/I13-1</f>
        <v>1.9815994338287179E-2</v>
      </c>
      <c r="K14" s="1366">
        <v>2.3594725884802159E-2</v>
      </c>
      <c r="L14" s="1366">
        <v>2.9830508474576245E-2</v>
      </c>
      <c r="M14" s="1366">
        <v>2.4358130348913765E-2</v>
      </c>
      <c r="N14" s="1366">
        <v>4.2416452442159303E-2</v>
      </c>
      <c r="O14" s="1366">
        <v>2.4660912453760897E-2</v>
      </c>
      <c r="P14" s="1366">
        <v>2.8880866425992746E-2</v>
      </c>
      <c r="Q14" s="1366">
        <v>3.3333333333333215E-2</v>
      </c>
      <c r="R14" s="1367">
        <v>1.5846066779853007E-2</v>
      </c>
      <c r="S14" s="177">
        <f t="shared" ref="S14:AB14" si="1">+IF(S13=0,$Z$44,S13/R13-1)</f>
        <v>2.5025025025025016E-2</v>
      </c>
      <c r="T14" s="177">
        <f t="shared" si="1"/>
        <v>2.9296875E-2</v>
      </c>
      <c r="U14" s="1157">
        <f t="shared" si="1"/>
        <v>1.3282732447817747E-2</v>
      </c>
      <c r="V14" s="1157">
        <f t="shared" si="1"/>
        <v>1.3108614232209881E-2</v>
      </c>
      <c r="W14" s="1157">
        <f t="shared" si="1"/>
        <v>2.1256931608133023E-2</v>
      </c>
      <c r="X14" s="1157">
        <f t="shared" si="1"/>
        <v>1.9004524886877761E-2</v>
      </c>
      <c r="Y14" s="1157">
        <f t="shared" si="1"/>
        <v>1.3321492007104752E-2</v>
      </c>
      <c r="Z14" s="1157">
        <f t="shared" si="1"/>
        <v>2.1910604732690686E-2</v>
      </c>
      <c r="AA14" s="1157">
        <f t="shared" si="1"/>
        <v>1.1149228130360234E-2</v>
      </c>
      <c r="AB14" s="1157">
        <f t="shared" si="1"/>
        <v>5.0890585241730291E-2</v>
      </c>
      <c r="AC14" s="1399">
        <f t="shared" ref="AC14:AL14" si="2">+IF(AC13=0,$AC$44,AC13/AB13-1)</f>
        <v>0.03</v>
      </c>
      <c r="AD14" s="1157">
        <f t="shared" si="2"/>
        <v>0.03</v>
      </c>
      <c r="AE14" s="1157">
        <f t="shared" si="2"/>
        <v>0.03</v>
      </c>
      <c r="AF14" s="1157">
        <f t="shared" si="2"/>
        <v>0.03</v>
      </c>
      <c r="AG14" s="1157">
        <f t="shared" si="2"/>
        <v>0.03</v>
      </c>
      <c r="AH14" s="1157">
        <f t="shared" si="2"/>
        <v>0.03</v>
      </c>
      <c r="AI14" s="1157">
        <f t="shared" si="2"/>
        <v>0.03</v>
      </c>
      <c r="AJ14" s="1157">
        <f t="shared" si="2"/>
        <v>0.03</v>
      </c>
      <c r="AK14" s="1157">
        <f t="shared" si="2"/>
        <v>0.03</v>
      </c>
      <c r="AL14" s="1157">
        <f t="shared" si="2"/>
        <v>0.03</v>
      </c>
      <c r="AM14" s="175"/>
    </row>
    <row r="15" spans="1:39" x14ac:dyDescent="0.3">
      <c r="D15" s="173"/>
      <c r="E15" s="72"/>
      <c r="F15" s="72" t="s">
        <v>50</v>
      </c>
      <c r="G15" s="72"/>
      <c r="H15" s="72"/>
      <c r="I15" s="1368">
        <v>0.78718662952646246</v>
      </c>
      <c r="J15" s="1368">
        <v>0.80278551532033426</v>
      </c>
      <c r="K15" s="1368">
        <v>0.82172701949860727</v>
      </c>
      <c r="L15" s="1368">
        <v>0.84623955431754883</v>
      </c>
      <c r="M15" s="1368">
        <v>0.86685236768802221</v>
      </c>
      <c r="N15" s="1368">
        <v>0.90362116991643449</v>
      </c>
      <c r="O15" s="1368">
        <v>0.92590529247910858</v>
      </c>
      <c r="P15" s="1368">
        <v>0.9526462395543176</v>
      </c>
      <c r="Q15" s="1368">
        <v>0.98440111420612808</v>
      </c>
      <c r="R15" s="1369">
        <f t="shared" ref="R15:AB15" si="3">+R13/$AB$13</f>
        <v>0.80629539951573848</v>
      </c>
      <c r="S15" s="1369">
        <f t="shared" si="3"/>
        <v>0.82647296206618237</v>
      </c>
      <c r="T15" s="1369">
        <f t="shared" si="3"/>
        <v>0.85068603712671509</v>
      </c>
      <c r="U15" s="1369">
        <f t="shared" si="3"/>
        <v>0.86198547215496357</v>
      </c>
      <c r="V15" s="1369">
        <f t="shared" si="3"/>
        <v>0.87328490718321228</v>
      </c>
      <c r="W15" s="1369">
        <f t="shared" si="3"/>
        <v>0.89184826472962064</v>
      </c>
      <c r="X15" s="1369">
        <f t="shared" si="3"/>
        <v>0.90879741727199348</v>
      </c>
      <c r="Y15" s="1369">
        <f t="shared" si="3"/>
        <v>0.92090395480225984</v>
      </c>
      <c r="Z15" s="1369">
        <f t="shared" si="3"/>
        <v>0.94108151735270373</v>
      </c>
      <c r="AA15" s="1369">
        <f t="shared" si="3"/>
        <v>0.95157384987893467</v>
      </c>
      <c r="AB15" s="1369">
        <f t="shared" si="3"/>
        <v>1</v>
      </c>
      <c r="AC15" s="2114">
        <f t="shared" ref="AC15:AL15" si="4">+AB15*(1+AC14)</f>
        <v>1.03</v>
      </c>
      <c r="AD15" s="1369">
        <f t="shared" si="4"/>
        <v>1.0609</v>
      </c>
      <c r="AE15" s="1369">
        <f t="shared" si="4"/>
        <v>1.092727</v>
      </c>
      <c r="AF15" s="1369">
        <f t="shared" si="4"/>
        <v>1.1255088100000001</v>
      </c>
      <c r="AG15" s="1369">
        <f t="shared" si="4"/>
        <v>1.1592740743000001</v>
      </c>
      <c r="AH15" s="1369">
        <f t="shared" si="4"/>
        <v>1.1940522965290001</v>
      </c>
      <c r="AI15" s="1369">
        <f t="shared" si="4"/>
        <v>1.2298738654248702</v>
      </c>
      <c r="AJ15" s="1369">
        <f t="shared" si="4"/>
        <v>1.2667700813876164</v>
      </c>
      <c r="AK15" s="1369">
        <f t="shared" si="4"/>
        <v>1.3047731838292449</v>
      </c>
      <c r="AL15" s="1369">
        <f t="shared" si="4"/>
        <v>1.3439163793441222</v>
      </c>
      <c r="AM15" s="175"/>
    </row>
    <row r="16" spans="1:39" x14ac:dyDescent="0.3">
      <c r="D16" s="173"/>
      <c r="E16" s="72"/>
      <c r="F16" s="72"/>
      <c r="G16" s="72"/>
      <c r="H16" s="72"/>
      <c r="I16" s="72" t="s">
        <v>781</v>
      </c>
      <c r="J16" s="72"/>
      <c r="K16" s="178"/>
      <c r="L16" s="178"/>
      <c r="M16" s="178"/>
      <c r="N16" s="178"/>
      <c r="O16" s="178"/>
      <c r="P16" s="178"/>
      <c r="Q16" s="178"/>
      <c r="R16" s="178"/>
      <c r="S16" s="178"/>
      <c r="T16" s="178"/>
      <c r="U16" s="178"/>
      <c r="V16" s="178"/>
      <c r="W16" s="178"/>
      <c r="X16" s="178"/>
      <c r="Y16" s="178"/>
      <c r="Z16" s="178"/>
      <c r="AA16" s="178"/>
      <c r="AB16" s="1158"/>
      <c r="AC16" s="72"/>
      <c r="AD16" s="72"/>
      <c r="AE16" s="72"/>
      <c r="AF16" s="72"/>
      <c r="AG16" s="72"/>
      <c r="AH16" s="72"/>
      <c r="AI16" s="72"/>
      <c r="AJ16" s="72"/>
      <c r="AK16" s="72"/>
      <c r="AL16" s="72"/>
      <c r="AM16" s="175"/>
    </row>
    <row r="17" spans="4:42" ht="12.5" thickBot="1" x14ac:dyDescent="0.35">
      <c r="D17" s="179"/>
      <c r="E17" s="180"/>
      <c r="F17" s="180"/>
      <c r="G17" s="180"/>
      <c r="H17" s="180"/>
      <c r="I17" s="180"/>
      <c r="J17" s="180"/>
      <c r="K17" s="180"/>
      <c r="L17" s="181"/>
      <c r="M17" s="181"/>
      <c r="N17" s="181"/>
      <c r="O17" s="181"/>
      <c r="P17" s="181"/>
      <c r="Q17" s="181"/>
      <c r="R17" s="181"/>
      <c r="S17" s="181"/>
      <c r="T17" s="181"/>
      <c r="U17" s="181"/>
      <c r="V17" s="181"/>
      <c r="W17" s="181"/>
      <c r="X17" s="181"/>
      <c r="Y17" s="181"/>
      <c r="Z17" s="181"/>
      <c r="AA17" s="181"/>
      <c r="AB17" s="1159"/>
      <c r="AC17" s="180"/>
      <c r="AD17" s="180"/>
      <c r="AE17" s="180"/>
      <c r="AF17" s="180"/>
      <c r="AG17" s="180"/>
      <c r="AH17" s="180"/>
      <c r="AI17" s="180"/>
      <c r="AJ17" s="180"/>
      <c r="AK17" s="180"/>
      <c r="AL17" s="180"/>
      <c r="AM17" s="182"/>
    </row>
    <row r="19" spans="4:42" ht="12.5" thickBot="1" x14ac:dyDescent="0.35"/>
    <row r="20" spans="4:42" x14ac:dyDescent="0.3">
      <c r="D20" s="170"/>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2"/>
    </row>
    <row r="21" spans="4:42" x14ac:dyDescent="0.3">
      <c r="D21" s="173"/>
      <c r="E21" s="174" t="s">
        <v>579</v>
      </c>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175"/>
    </row>
    <row r="22" spans="4:42" x14ac:dyDescent="0.3">
      <c r="D22" s="173"/>
      <c r="E22" s="72"/>
      <c r="F22" s="72"/>
      <c r="G22" s="72"/>
      <c r="H22" s="72"/>
      <c r="I22" s="72"/>
      <c r="J22" s="72"/>
      <c r="K22" s="72"/>
      <c r="L22" s="72"/>
      <c r="M22" s="72"/>
      <c r="N22" s="72"/>
      <c r="O22" s="72"/>
      <c r="P22" s="72"/>
      <c r="Q22" s="72"/>
      <c r="R22" s="72"/>
      <c r="S22" s="72"/>
      <c r="T22" s="72"/>
      <c r="U22" s="72"/>
      <c r="V22" s="72"/>
      <c r="W22" s="1160"/>
      <c r="X22" s="1314"/>
      <c r="Y22" s="1160"/>
      <c r="Z22" s="1160"/>
      <c r="AA22" s="1526" t="s">
        <v>959</v>
      </c>
      <c r="AB22" s="1526" t="s">
        <v>959</v>
      </c>
      <c r="AC22" s="1526" t="s">
        <v>959</v>
      </c>
      <c r="AD22" s="1526" t="s">
        <v>959</v>
      </c>
      <c r="AE22" s="1526" t="s">
        <v>959</v>
      </c>
      <c r="AF22" s="1526" t="s">
        <v>959</v>
      </c>
      <c r="AG22" s="1526" t="s">
        <v>959</v>
      </c>
      <c r="AH22" s="1526" t="s">
        <v>959</v>
      </c>
      <c r="AI22" s="1526" t="s">
        <v>959</v>
      </c>
      <c r="AJ22" s="1526" t="s">
        <v>959</v>
      </c>
      <c r="AK22" s="1526" t="s">
        <v>959</v>
      </c>
      <c r="AL22" s="1526" t="s">
        <v>959</v>
      </c>
      <c r="AM22" s="175"/>
    </row>
    <row r="23" spans="4:42" s="187" customFormat="1" x14ac:dyDescent="0.3">
      <c r="D23" s="183"/>
      <c r="E23" s="184" t="s">
        <v>571</v>
      </c>
      <c r="F23" s="185"/>
      <c r="G23" s="186"/>
      <c r="H23" s="186"/>
      <c r="I23" s="186"/>
      <c r="J23" s="186"/>
      <c r="K23" s="72"/>
      <c r="L23" s="1370">
        <v>6.981666666666668E-2</v>
      </c>
      <c r="M23" s="1371">
        <v>7.4139999999999984E-2</v>
      </c>
      <c r="N23" s="1371">
        <v>6.9152578800222353E-2</v>
      </c>
      <c r="O23" s="1371">
        <v>7.3618709835995999E-2</v>
      </c>
      <c r="P23" s="1371">
        <v>7.0467841422711647E-2</v>
      </c>
      <c r="Q23" s="1371">
        <v>6.3088879406120971E-2</v>
      </c>
      <c r="R23" s="1371">
        <v>5.2694504596907034E-2</v>
      </c>
      <c r="S23" s="1371">
        <v>7.0525000000000004E-2</v>
      </c>
      <c r="T23" s="1371">
        <v>5.360833333333332E-2</v>
      </c>
      <c r="U23" s="1372">
        <v>5.2701384126838099E-2</v>
      </c>
      <c r="V23" s="1372">
        <v>4.9083333333333298E-2</v>
      </c>
      <c r="W23" s="1372">
        <v>4.5282999999999997E-2</v>
      </c>
      <c r="X23" s="2209">
        <v>4.6133E-2</v>
      </c>
      <c r="Y23" s="2204">
        <v>3.3058333333333301E-2</v>
      </c>
      <c r="Z23" s="2227">
        <v>3.0450000000000001E-2</v>
      </c>
      <c r="AA23" s="2205">
        <v>3.7532999999999997E-2</v>
      </c>
      <c r="AB23" s="2206">
        <f t="shared" ref="AB23" si="5">AA23</f>
        <v>3.7532999999999997E-2</v>
      </c>
      <c r="AC23" s="2207">
        <f t="shared" ref="AC23" si="6">AB23</f>
        <v>3.7532999999999997E-2</v>
      </c>
      <c r="AD23" s="2205">
        <f t="shared" ref="AD23" si="7">AC23</f>
        <v>3.7532999999999997E-2</v>
      </c>
      <c r="AE23" s="2205">
        <f t="shared" ref="AE23" si="8">AD23</f>
        <v>3.7532999999999997E-2</v>
      </c>
      <c r="AF23" s="2205">
        <f t="shared" ref="AF23" si="9">AE23</f>
        <v>3.7532999999999997E-2</v>
      </c>
      <c r="AG23" s="2206">
        <f t="shared" ref="AG23" si="10">AF23</f>
        <v>3.7532999999999997E-2</v>
      </c>
      <c r="AH23" s="2205">
        <f t="shared" ref="AH23" si="11">AG23</f>
        <v>3.7532999999999997E-2</v>
      </c>
      <c r="AI23" s="2205">
        <f t="shared" ref="AI23" si="12">AH23</f>
        <v>3.7532999999999997E-2</v>
      </c>
      <c r="AJ23" s="2205">
        <f t="shared" ref="AJ23" si="13">AI23</f>
        <v>3.7532999999999997E-2</v>
      </c>
      <c r="AK23" s="2205">
        <f t="shared" ref="AK23" si="14">AJ23</f>
        <v>3.7532999999999997E-2</v>
      </c>
      <c r="AL23" s="2206">
        <f t="shared" ref="AL23" si="15">AK23</f>
        <v>3.7532999999999997E-2</v>
      </c>
      <c r="AM23" s="1161"/>
    </row>
    <row r="24" spans="4:42" s="77" customFormat="1" x14ac:dyDescent="0.3">
      <c r="D24" s="188"/>
      <c r="E24" s="189" t="s">
        <v>572</v>
      </c>
      <c r="F24" s="190"/>
      <c r="G24" s="84"/>
      <c r="H24" s="84"/>
      <c r="I24" s="84"/>
      <c r="J24" s="84"/>
      <c r="K24" s="72"/>
      <c r="L24" s="1373">
        <f>1/10</f>
        <v>0.1</v>
      </c>
      <c r="M24" s="1373">
        <f>1/10</f>
        <v>0.1</v>
      </c>
      <c r="N24" s="1373">
        <f>1/10</f>
        <v>0.1</v>
      </c>
      <c r="O24" s="1373">
        <f>1/10</f>
        <v>0.1</v>
      </c>
      <c r="P24" s="1373">
        <f t="shared" ref="P24:AL24" si="16">1/10</f>
        <v>0.1</v>
      </c>
      <c r="Q24" s="1373">
        <f t="shared" si="16"/>
        <v>0.1</v>
      </c>
      <c r="R24" s="1373">
        <f t="shared" si="16"/>
        <v>0.1</v>
      </c>
      <c r="S24" s="1373">
        <f t="shared" si="16"/>
        <v>0.1</v>
      </c>
      <c r="T24" s="1373">
        <f t="shared" si="16"/>
        <v>0.1</v>
      </c>
      <c r="U24" s="1373">
        <f t="shared" si="16"/>
        <v>0.1</v>
      </c>
      <c r="V24" s="191">
        <f t="shared" si="16"/>
        <v>0.1</v>
      </c>
      <c r="W24" s="191">
        <f t="shared" si="16"/>
        <v>0.1</v>
      </c>
      <c r="X24" s="191">
        <f t="shared" si="16"/>
        <v>0.1</v>
      </c>
      <c r="Y24" s="191">
        <f t="shared" si="16"/>
        <v>0.1</v>
      </c>
      <c r="Z24" s="191">
        <f t="shared" si="16"/>
        <v>0.1</v>
      </c>
      <c r="AA24" s="191">
        <f t="shared" si="16"/>
        <v>0.1</v>
      </c>
      <c r="AB24" s="191">
        <f t="shared" si="16"/>
        <v>0.1</v>
      </c>
      <c r="AC24" s="191">
        <f t="shared" si="16"/>
        <v>0.1</v>
      </c>
      <c r="AD24" s="191">
        <f t="shared" si="16"/>
        <v>0.1</v>
      </c>
      <c r="AE24" s="191">
        <f t="shared" si="16"/>
        <v>0.1</v>
      </c>
      <c r="AF24" s="191">
        <f t="shared" si="16"/>
        <v>0.1</v>
      </c>
      <c r="AG24" s="191">
        <f t="shared" si="16"/>
        <v>0.1</v>
      </c>
      <c r="AH24" s="191">
        <f t="shared" si="16"/>
        <v>0.1</v>
      </c>
      <c r="AI24" s="191">
        <f t="shared" si="16"/>
        <v>0.1</v>
      </c>
      <c r="AJ24" s="191">
        <f t="shared" si="16"/>
        <v>0.1</v>
      </c>
      <c r="AK24" s="191">
        <f t="shared" si="16"/>
        <v>0.1</v>
      </c>
      <c r="AL24" s="191">
        <f t="shared" si="16"/>
        <v>0.1</v>
      </c>
      <c r="AM24" s="192"/>
    </row>
    <row r="25" spans="4:42" s="77" customFormat="1" x14ac:dyDescent="0.3">
      <c r="D25" s="188"/>
      <c r="E25" s="193"/>
      <c r="F25" s="190"/>
      <c r="G25" s="84"/>
      <c r="H25" s="84"/>
      <c r="I25" s="84"/>
      <c r="J25" s="8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2"/>
    </row>
    <row r="26" spans="4:42" s="77" customFormat="1" x14ac:dyDescent="0.3">
      <c r="D26" s="188"/>
      <c r="E26" s="195" t="s">
        <v>573</v>
      </c>
      <c r="F26" s="190"/>
      <c r="G26" s="84"/>
      <c r="H26" s="84"/>
      <c r="I26" s="84"/>
      <c r="J26" s="84"/>
      <c r="K26" s="194"/>
      <c r="L26" s="194"/>
      <c r="M26" s="194"/>
      <c r="N26" s="194"/>
      <c r="O26" s="194"/>
      <c r="P26" s="194"/>
      <c r="Q26" s="194"/>
      <c r="R26" s="194"/>
      <c r="S26" s="194"/>
      <c r="T26" s="194"/>
      <c r="U26" s="194"/>
      <c r="V26" s="1296">
        <f t="shared" ref="V26:AA26" si="17">IF(U23&lt;&gt;"",SUMPRODUCT(L23:U23,L24:U24),"")</f>
        <v>6.4981389818879617E-2</v>
      </c>
      <c r="W26" s="1297">
        <f t="shared" si="17"/>
        <v>6.2908056485546288E-2</v>
      </c>
      <c r="X26" s="1296">
        <f t="shared" si="17"/>
        <v>6.0022356485546283E-2</v>
      </c>
      <c r="Y26" s="1297">
        <f t="shared" si="17"/>
        <v>5.772039860552404E-2</v>
      </c>
      <c r="Z26" s="1297">
        <f t="shared" si="17"/>
        <v>5.366436095525777E-2</v>
      </c>
      <c r="AA26" s="1297">
        <f t="shared" si="17"/>
        <v>4.9662576812986602E-2</v>
      </c>
      <c r="AB26" s="1356">
        <f>IF(AA23&lt;&gt;"",SUMPRODUCT(R23:AA23,R24:AA24),"")</f>
        <v>4.7106988872374508E-2</v>
      </c>
      <c r="AC26" s="1296">
        <f>IF(AB23&lt;&gt;"",SUMPRODUCT(S23:AB23,S24:AB24),"")</f>
        <v>4.5590838412683798E-2</v>
      </c>
      <c r="AD26" s="1297">
        <f t="shared" ref="AD26:AL26" si="18">IF(AC23&lt;&gt;"",SUMPRODUCT(T23:AC23,T24:AC24),"")</f>
        <v>4.2291638412683803E-2</v>
      </c>
      <c r="AE26" s="1297">
        <f t="shared" si="18"/>
        <v>4.0684105079350476E-2</v>
      </c>
      <c r="AF26" s="1297">
        <f t="shared" si="18"/>
        <v>3.9167266666666666E-2</v>
      </c>
      <c r="AG26" s="1356">
        <f t="shared" si="18"/>
        <v>3.8012233333333333E-2</v>
      </c>
      <c r="AH26" s="1297">
        <f t="shared" si="18"/>
        <v>3.7237233333333335E-2</v>
      </c>
      <c r="AI26" s="1297">
        <f t="shared" si="18"/>
        <v>3.6377233333333335E-2</v>
      </c>
      <c r="AJ26" s="1297">
        <f t="shared" si="18"/>
        <v>3.6824700000000002E-2</v>
      </c>
      <c r="AK26" s="1297">
        <f t="shared" si="18"/>
        <v>3.7533000000000004E-2</v>
      </c>
      <c r="AL26" s="1356">
        <f t="shared" si="18"/>
        <v>3.7533000000000004E-2</v>
      </c>
      <c r="AM26" s="192"/>
    </row>
    <row r="27" spans="4:42" s="77" customFormat="1" ht="12.5" thickBot="1" x14ac:dyDescent="0.35">
      <c r="D27" s="196"/>
      <c r="E27" s="197"/>
      <c r="F27" s="198"/>
      <c r="G27" s="197"/>
      <c r="H27" s="197"/>
      <c r="I27" s="197"/>
      <c r="J27" s="197"/>
      <c r="K27" s="197"/>
      <c r="L27" s="197"/>
      <c r="M27" s="197"/>
      <c r="N27" s="197"/>
      <c r="O27" s="197"/>
      <c r="P27" s="197"/>
      <c r="Q27" s="197"/>
      <c r="R27" s="197"/>
      <c r="S27" s="197"/>
      <c r="T27" s="197"/>
      <c r="U27" s="197"/>
      <c r="V27" s="197"/>
      <c r="W27" s="197"/>
      <c r="X27" s="197"/>
      <c r="Y27" s="197"/>
      <c r="Z27" s="197"/>
      <c r="AA27" s="197"/>
      <c r="AB27" s="197"/>
      <c r="AC27" s="197"/>
      <c r="AD27" s="197"/>
      <c r="AE27" s="197"/>
      <c r="AF27" s="197"/>
      <c r="AG27" s="197"/>
      <c r="AH27" s="197"/>
      <c r="AI27" s="197"/>
      <c r="AJ27" s="197"/>
      <c r="AK27" s="197"/>
      <c r="AL27" s="197"/>
      <c r="AM27" s="199"/>
    </row>
    <row r="28" spans="4:42" s="77" customFormat="1" ht="12.5" thickBot="1" x14ac:dyDescent="0.35">
      <c r="F28" s="200"/>
    </row>
    <row r="29" spans="4:42" x14ac:dyDescent="0.3">
      <c r="D29" s="170"/>
      <c r="E29" s="171"/>
      <c r="F29" s="171"/>
      <c r="G29" s="171"/>
      <c r="H29" s="171"/>
      <c r="I29" s="171"/>
      <c r="J29" s="171"/>
      <c r="K29" s="171"/>
      <c r="L29" s="171"/>
      <c r="M29" s="171"/>
      <c r="N29" s="171"/>
      <c r="O29" s="171"/>
      <c r="P29" s="172"/>
      <c r="Z29" s="1162"/>
      <c r="AA29" s="1163"/>
      <c r="AB29" s="1163"/>
      <c r="AC29" s="1163"/>
      <c r="AD29" s="1163"/>
      <c r="AE29" s="1163"/>
      <c r="AF29" s="1163"/>
      <c r="AG29" s="1163"/>
      <c r="AH29" s="1163"/>
      <c r="AI29" s="1163"/>
      <c r="AJ29" s="1163"/>
      <c r="AK29" s="1163"/>
      <c r="AL29" s="1163"/>
      <c r="AM29" s="1164"/>
      <c r="AN29" s="77"/>
      <c r="AO29" s="77"/>
      <c r="AP29" s="1123"/>
    </row>
    <row r="30" spans="4:42" x14ac:dyDescent="0.3">
      <c r="D30" s="173"/>
      <c r="E30" s="174" t="s">
        <v>580</v>
      </c>
      <c r="F30" s="72"/>
      <c r="G30" s="72"/>
      <c r="H30" s="72"/>
      <c r="I30" s="72"/>
      <c r="J30" s="72"/>
      <c r="K30" s="72"/>
      <c r="L30" s="72"/>
      <c r="M30" s="72"/>
      <c r="N30" s="72"/>
      <c r="O30" s="72"/>
      <c r="P30" s="175"/>
      <c r="Z30" s="201" t="s">
        <v>581</v>
      </c>
      <c r="AA30" s="1165"/>
      <c r="AB30" s="1166"/>
      <c r="AC30" s="1166"/>
      <c r="AD30" s="1166"/>
      <c r="AE30" s="1166"/>
      <c r="AF30" s="1166"/>
      <c r="AG30" s="1166"/>
      <c r="AH30" s="1166"/>
      <c r="AI30" s="1166"/>
      <c r="AJ30" s="1166"/>
      <c r="AK30" s="1166"/>
      <c r="AL30" s="1166"/>
      <c r="AM30" s="1197"/>
      <c r="AN30" s="77"/>
      <c r="AO30" s="77"/>
      <c r="AP30" s="1123"/>
    </row>
    <row r="31" spans="4:42" x14ac:dyDescent="0.3">
      <c r="D31" s="173"/>
      <c r="E31" s="72"/>
      <c r="F31" s="72"/>
      <c r="G31" s="72"/>
      <c r="H31" s="72"/>
      <c r="I31" s="72"/>
      <c r="J31" s="72"/>
      <c r="K31" s="72"/>
      <c r="L31" s="72"/>
      <c r="M31" s="72"/>
      <c r="N31" s="72"/>
      <c r="O31" s="72"/>
      <c r="P31" s="175"/>
      <c r="Z31" s="1168"/>
      <c r="AA31" s="1166"/>
      <c r="AB31" s="1166"/>
      <c r="AC31" s="1166"/>
      <c r="AD31" s="1166"/>
      <c r="AE31" s="1166"/>
      <c r="AF31" s="1166"/>
      <c r="AG31" s="1166"/>
      <c r="AH31" s="1166"/>
      <c r="AI31" s="1166"/>
      <c r="AJ31" s="1166"/>
      <c r="AK31" s="1166"/>
      <c r="AL31" s="1166"/>
      <c r="AM31" s="1167"/>
      <c r="AN31" s="77"/>
      <c r="AO31" s="77"/>
      <c r="AP31" s="1123"/>
    </row>
    <row r="32" spans="4:42" x14ac:dyDescent="0.3">
      <c r="D32" s="173"/>
      <c r="E32" s="72"/>
      <c r="F32" s="72"/>
      <c r="G32" s="72"/>
      <c r="H32" s="72"/>
      <c r="I32" s="72"/>
      <c r="J32" s="72"/>
      <c r="K32" s="202" t="s">
        <v>235</v>
      </c>
      <c r="L32" s="72"/>
      <c r="M32" s="202" t="s">
        <v>329</v>
      </c>
      <c r="N32" s="72"/>
      <c r="O32" s="202" t="s">
        <v>458</v>
      </c>
      <c r="P32" s="175"/>
      <c r="Z32" s="1551" t="s">
        <v>459</v>
      </c>
      <c r="AA32" s="1169"/>
      <c r="AB32" s="1169"/>
      <c r="AC32" s="2212">
        <f>+AC26</f>
        <v>4.5590838412683798E-2</v>
      </c>
      <c r="AD32" s="2210">
        <f t="shared" ref="AD32:AL32" si="19">+AD26</f>
        <v>4.2291638412683803E-2</v>
      </c>
      <c r="AE32" s="2210">
        <f t="shared" si="19"/>
        <v>4.0684105079350476E-2</v>
      </c>
      <c r="AF32" s="2210">
        <f t="shared" si="19"/>
        <v>3.9167266666666666E-2</v>
      </c>
      <c r="AG32" s="2210">
        <f t="shared" si="19"/>
        <v>3.8012233333333333E-2</v>
      </c>
      <c r="AH32" s="2212">
        <f t="shared" si="19"/>
        <v>3.7237233333333335E-2</v>
      </c>
      <c r="AI32" s="2210">
        <f t="shared" si="19"/>
        <v>3.6377233333333335E-2</v>
      </c>
      <c r="AJ32" s="2210">
        <f t="shared" si="19"/>
        <v>3.6824700000000002E-2</v>
      </c>
      <c r="AK32" s="2210">
        <f t="shared" si="19"/>
        <v>3.7533000000000004E-2</v>
      </c>
      <c r="AL32" s="2211">
        <f t="shared" si="19"/>
        <v>3.7533000000000004E-2</v>
      </c>
      <c r="AM32" s="1198"/>
      <c r="AN32" s="77"/>
      <c r="AO32" s="77"/>
      <c r="AP32" s="1123"/>
    </row>
    <row r="33" spans="4:42" ht="12.5" thickBot="1" x14ac:dyDescent="0.35">
      <c r="D33" s="173"/>
      <c r="E33" s="105" t="s">
        <v>81</v>
      </c>
      <c r="F33" s="72"/>
      <c r="G33" s="72"/>
      <c r="H33" s="72"/>
      <c r="I33" s="72"/>
      <c r="J33" s="72"/>
      <c r="K33" s="72"/>
      <c r="L33" s="72"/>
      <c r="M33" s="72"/>
      <c r="N33" s="72"/>
      <c r="O33" s="72"/>
      <c r="P33" s="175"/>
      <c r="Z33" s="1170"/>
      <c r="AA33" s="1171"/>
      <c r="AB33" s="1171"/>
      <c r="AC33" s="1171"/>
      <c r="AD33" s="1171"/>
      <c r="AE33" s="1171"/>
      <c r="AF33" s="1171"/>
      <c r="AG33" s="1171"/>
      <c r="AH33" s="1171"/>
      <c r="AI33" s="1171"/>
      <c r="AJ33" s="1171"/>
      <c r="AK33" s="1171"/>
      <c r="AL33" s="1171"/>
      <c r="AM33" s="1172"/>
      <c r="AN33" s="77"/>
      <c r="AO33" s="77"/>
      <c r="AP33" s="1123"/>
    </row>
    <row r="34" spans="4:42" ht="12.5" thickBot="1" x14ac:dyDescent="0.35">
      <c r="D34" s="173"/>
      <c r="E34" s="72"/>
      <c r="F34" s="72" t="s">
        <v>51</v>
      </c>
      <c r="G34" s="72"/>
      <c r="H34" s="72"/>
      <c r="I34" s="72"/>
      <c r="J34" s="72"/>
      <c r="K34" s="2156">
        <f>Determination_Lookup!W8</f>
        <v>2.6700000000000002E-2</v>
      </c>
      <c r="L34" s="72"/>
      <c r="M34" s="2156">
        <f>Determination_Lookup!X8</f>
        <v>3.2300000000000002E-2</v>
      </c>
      <c r="N34" s="72"/>
      <c r="O34" s="2156">
        <f>Determination_Lookup!Y8</f>
        <v>5.9589999999999999E-3</v>
      </c>
      <c r="P34" s="175"/>
      <c r="Z34" s="1123"/>
      <c r="AA34" s="1123"/>
      <c r="AB34" s="1123"/>
      <c r="AC34" s="1123"/>
      <c r="AD34" s="1123"/>
      <c r="AE34" s="1123"/>
      <c r="AF34" s="1123"/>
      <c r="AG34" s="1123"/>
      <c r="AH34" s="1123"/>
      <c r="AI34" s="1123"/>
      <c r="AJ34" s="1123"/>
      <c r="AK34" s="1123"/>
      <c r="AL34" s="1123"/>
      <c r="AM34" s="1123"/>
      <c r="AN34" s="77"/>
      <c r="AO34" s="77"/>
      <c r="AP34" s="1123"/>
    </row>
    <row r="35" spans="4:42" x14ac:dyDescent="0.3">
      <c r="D35" s="173"/>
      <c r="E35" s="72"/>
      <c r="F35" s="72" t="s">
        <v>52</v>
      </c>
      <c r="G35" s="72"/>
      <c r="H35" s="72"/>
      <c r="I35" s="72"/>
      <c r="J35" s="72"/>
      <c r="K35" s="2172">
        <f>Determination_Lookup!W9</f>
        <v>1.1599999999999999E-2</v>
      </c>
      <c r="L35" s="72"/>
      <c r="M35" s="2172">
        <f>Determination_Lookup!X9</f>
        <v>1.7500000000000002E-2</v>
      </c>
      <c r="N35" s="72"/>
      <c r="O35" s="2172">
        <f>Determination_Lookup!Y9</f>
        <v>3.9899999999999998E-2</v>
      </c>
      <c r="P35" s="175"/>
      <c r="Z35" s="203"/>
      <c r="AA35" s="204"/>
      <c r="AB35" s="204"/>
      <c r="AC35" s="1173"/>
      <c r="AD35" s="1173"/>
      <c r="AE35" s="1173"/>
      <c r="AF35" s="1173"/>
      <c r="AG35" s="1173"/>
      <c r="AH35" s="1173"/>
      <c r="AI35" s="1173"/>
      <c r="AJ35" s="1173"/>
      <c r="AK35" s="1173"/>
      <c r="AL35" s="1173"/>
      <c r="AM35" s="1199"/>
      <c r="AN35" s="77"/>
      <c r="AO35" s="77"/>
      <c r="AP35" s="1123"/>
    </row>
    <row r="36" spans="4:42" x14ac:dyDescent="0.3">
      <c r="D36" s="173"/>
      <c r="E36" s="72"/>
      <c r="F36" s="72" t="s">
        <v>53</v>
      </c>
      <c r="G36" s="72"/>
      <c r="H36" s="72"/>
      <c r="I36" s="72"/>
      <c r="J36" s="72"/>
      <c r="K36" s="2172">
        <f>Determination_Lookup!W10</f>
        <v>0.06</v>
      </c>
      <c r="L36" s="72"/>
      <c r="M36" s="2172">
        <f>Determination_Lookup!X10</f>
        <v>0.06</v>
      </c>
      <c r="N36" s="72"/>
      <c r="O36" s="2172">
        <f>Determination_Lookup!Y10</f>
        <v>0.06</v>
      </c>
      <c r="P36" s="175"/>
      <c r="Z36" s="201" t="s">
        <v>582</v>
      </c>
      <c r="AA36" s="205"/>
      <c r="AB36" s="205"/>
      <c r="AC36" s="1165"/>
      <c r="AD36" s="1165"/>
      <c r="AE36" s="1165"/>
      <c r="AF36" s="1165"/>
      <c r="AG36" s="1165"/>
      <c r="AH36" s="1165"/>
      <c r="AI36" s="1165"/>
      <c r="AJ36" s="1165"/>
      <c r="AK36" s="1165"/>
      <c r="AL36" s="1165"/>
      <c r="AM36" s="1197"/>
      <c r="AN36" s="77"/>
      <c r="AO36" s="77"/>
      <c r="AP36" s="1123"/>
    </row>
    <row r="37" spans="4:42" x14ac:dyDescent="0.3">
      <c r="D37" s="173"/>
      <c r="E37" s="72"/>
      <c r="F37" s="72" t="s">
        <v>54</v>
      </c>
      <c r="G37" s="72"/>
      <c r="H37" s="72"/>
      <c r="I37" s="72"/>
      <c r="J37" s="72"/>
      <c r="K37" s="2173">
        <f>Determination_Lookup!W11</f>
        <v>0.75</v>
      </c>
      <c r="L37" s="72"/>
      <c r="M37" s="2173">
        <f>Determination_Lookup!X11</f>
        <v>0.65</v>
      </c>
      <c r="N37" s="72"/>
      <c r="O37" s="2173">
        <f>Determination_Lookup!Y11</f>
        <v>0.65</v>
      </c>
      <c r="P37" s="175"/>
      <c r="Z37" s="173"/>
      <c r="AA37" s="72"/>
      <c r="AB37" s="72"/>
      <c r="AC37" s="72"/>
      <c r="AD37" s="72"/>
      <c r="AE37" s="72"/>
      <c r="AF37" s="72"/>
      <c r="AG37" s="72"/>
      <c r="AH37" s="72"/>
      <c r="AI37" s="72"/>
      <c r="AJ37" s="72"/>
      <c r="AK37" s="72"/>
      <c r="AL37" s="72"/>
      <c r="AM37" s="175"/>
      <c r="AN37" s="77"/>
      <c r="AO37" s="77"/>
      <c r="AP37" s="1123"/>
    </row>
    <row r="38" spans="4:42" x14ac:dyDescent="0.3">
      <c r="D38" s="173"/>
      <c r="E38" s="72"/>
      <c r="F38" s="72" t="s">
        <v>55</v>
      </c>
      <c r="G38" s="72"/>
      <c r="H38" s="72"/>
      <c r="I38" s="72"/>
      <c r="J38" s="72"/>
      <c r="K38" s="2172">
        <f>Determination_Lookup!W12</f>
        <v>0.6</v>
      </c>
      <c r="L38" s="72"/>
      <c r="M38" s="2172">
        <f>Determination_Lookup!X12</f>
        <v>0.6</v>
      </c>
      <c r="N38" s="72"/>
      <c r="O38" s="2172">
        <f>Determination_Lookup!Y12</f>
        <v>0.6</v>
      </c>
      <c r="P38" s="175"/>
      <c r="Z38" s="1174" t="s">
        <v>459</v>
      </c>
      <c r="AA38" s="72"/>
      <c r="AB38" s="72"/>
      <c r="AC38" s="2221">
        <f>(1+AC32)/(1+AC44)-1</f>
        <v>1.5136736322993949E-2</v>
      </c>
      <c r="AD38" s="2222">
        <f t="shared" ref="AD38:AL38" si="20">(1+AD32)/(1+AD44)-1</f>
        <v>1.1933629526877487E-2</v>
      </c>
      <c r="AE38" s="2222">
        <f t="shared" si="20"/>
        <v>1.0372917552767369E-2</v>
      </c>
      <c r="AF38" s="2222">
        <f t="shared" si="20"/>
        <v>8.9002588996762722E-3</v>
      </c>
      <c r="AG38" s="2222">
        <f t="shared" si="20"/>
        <v>7.7788673139158604E-3</v>
      </c>
      <c r="AH38" s="2221">
        <f t="shared" si="20"/>
        <v>7.0264401294497514E-3</v>
      </c>
      <c r="AI38" s="2222">
        <f t="shared" si="20"/>
        <v>6.1914886731391228E-3</v>
      </c>
      <c r="AJ38" s="2222">
        <f t="shared" si="20"/>
        <v>6.6259223300970671E-3</v>
      </c>
      <c r="AK38" s="2222">
        <f t="shared" si="20"/>
        <v>7.313592233009647E-3</v>
      </c>
      <c r="AL38" s="2223">
        <f t="shared" si="20"/>
        <v>7.313592233009647E-3</v>
      </c>
      <c r="AM38" s="1198"/>
      <c r="AN38" s="77"/>
      <c r="AO38" s="77"/>
      <c r="AP38" s="1123"/>
    </row>
    <row r="39" spans="4:42" x14ac:dyDescent="0.3">
      <c r="D39" s="173"/>
      <c r="E39" s="72"/>
      <c r="F39" s="72" t="s">
        <v>56</v>
      </c>
      <c r="G39" s="72"/>
      <c r="H39" s="72"/>
      <c r="I39" s="72"/>
      <c r="J39" s="72"/>
      <c r="K39" s="2172">
        <f>Determination_Lookup!W13</f>
        <v>2.5499999999999998E-2</v>
      </c>
      <c r="L39" s="72"/>
      <c r="M39" s="2172">
        <f>Determination_Lookup!X13</f>
        <v>2.9000000000000001E-2</v>
      </c>
      <c r="N39" s="72"/>
      <c r="O39" s="2172">
        <f>Determination_Lookup!Y13</f>
        <v>2.75E-2</v>
      </c>
      <c r="P39" s="175"/>
      <c r="Z39" s="173"/>
      <c r="AA39" s="72"/>
      <c r="AB39" s="72"/>
      <c r="AC39" s="72"/>
      <c r="AD39" s="72"/>
      <c r="AE39" s="72"/>
      <c r="AF39" s="72"/>
      <c r="AG39" s="72"/>
      <c r="AH39" s="72"/>
      <c r="AI39" s="72"/>
      <c r="AJ39" s="72"/>
      <c r="AK39" s="72"/>
      <c r="AL39" s="72"/>
      <c r="AM39" s="175"/>
      <c r="AN39" s="77"/>
      <c r="AO39" s="77"/>
      <c r="AP39" s="1123"/>
    </row>
    <row r="40" spans="4:42" x14ac:dyDescent="0.3">
      <c r="D40" s="173"/>
      <c r="E40" s="72"/>
      <c r="F40" s="72" t="s">
        <v>57</v>
      </c>
      <c r="G40" s="72"/>
      <c r="H40" s="72"/>
      <c r="I40" s="72"/>
      <c r="J40" s="72"/>
      <c r="K40" s="2174">
        <f>Determination_Lookup!W14</f>
        <v>0.5</v>
      </c>
      <c r="L40" s="72"/>
      <c r="M40" s="2174">
        <f>Determination_Lookup!X14</f>
        <v>0.5</v>
      </c>
      <c r="N40" s="72"/>
      <c r="O40" s="2174">
        <f>Determination_Lookup!Y14</f>
        <v>0.5</v>
      </c>
      <c r="P40" s="175"/>
      <c r="Z40" s="1174" t="s">
        <v>460</v>
      </c>
      <c r="AA40" s="1169"/>
      <c r="AB40" s="1169"/>
      <c r="AC40" s="2220">
        <f>IF(AE64&lt;&gt;0,(AE64/100),IF(AE62&lt;&gt;0,(AE62/100),(AE60/100)))</f>
        <v>4.0999999999999995E-2</v>
      </c>
      <c r="AD40" s="2210">
        <f t="shared" ref="AD40:AL40" si="21">+$AC$40</f>
        <v>4.0999999999999995E-2</v>
      </c>
      <c r="AE40" s="2210">
        <f t="shared" si="21"/>
        <v>4.0999999999999995E-2</v>
      </c>
      <c r="AF40" s="2210">
        <f t="shared" si="21"/>
        <v>4.0999999999999995E-2</v>
      </c>
      <c r="AG40" s="2210">
        <f t="shared" si="21"/>
        <v>4.0999999999999995E-2</v>
      </c>
      <c r="AH40" s="2212">
        <f t="shared" si="21"/>
        <v>4.0999999999999995E-2</v>
      </c>
      <c r="AI40" s="2210">
        <f t="shared" si="21"/>
        <v>4.0999999999999995E-2</v>
      </c>
      <c r="AJ40" s="2210">
        <f t="shared" si="21"/>
        <v>4.0999999999999995E-2</v>
      </c>
      <c r="AK40" s="2210">
        <f t="shared" si="21"/>
        <v>4.0999999999999995E-2</v>
      </c>
      <c r="AL40" s="2211">
        <f t="shared" si="21"/>
        <v>4.0999999999999995E-2</v>
      </c>
      <c r="AM40" s="1198"/>
      <c r="AN40" s="77"/>
      <c r="AO40" s="77"/>
      <c r="AP40" s="1123"/>
    </row>
    <row r="41" spans="4:42" x14ac:dyDescent="0.3">
      <c r="D41" s="173"/>
      <c r="E41" s="72"/>
      <c r="F41" s="72"/>
      <c r="G41" s="72"/>
      <c r="H41" s="72"/>
      <c r="I41" s="72"/>
      <c r="J41" s="72"/>
      <c r="K41" s="72"/>
      <c r="L41" s="72"/>
      <c r="M41" s="72"/>
      <c r="N41" s="72"/>
      <c r="O41" s="102"/>
      <c r="P41" s="175"/>
      <c r="Z41" s="1175"/>
      <c r="AA41" s="1166"/>
      <c r="AB41" s="1166"/>
      <c r="AC41" s="1176"/>
      <c r="AD41" s="1176"/>
      <c r="AE41" s="1176"/>
      <c r="AF41" s="1176"/>
      <c r="AG41" s="1176"/>
      <c r="AH41" s="1176"/>
      <c r="AI41" s="1176"/>
      <c r="AJ41" s="1176"/>
      <c r="AK41" s="1176"/>
      <c r="AL41" s="1176"/>
      <c r="AM41" s="1198"/>
      <c r="AN41" s="77"/>
      <c r="AO41" s="77"/>
      <c r="AP41" s="1123"/>
    </row>
    <row r="42" spans="4:42" x14ac:dyDescent="0.3">
      <c r="D42" s="173"/>
      <c r="E42" s="105" t="s">
        <v>58</v>
      </c>
      <c r="F42" s="72"/>
      <c r="G42" s="72"/>
      <c r="H42" s="72"/>
      <c r="I42" s="72"/>
      <c r="J42" s="72"/>
      <c r="K42" s="1374">
        <f>ROUND(((K34+K36*K37)*(1-K38))+((K34+K35)*K38),3)</f>
        <v>5.1999999999999998E-2</v>
      </c>
      <c r="L42" s="72"/>
      <c r="M42" s="1374">
        <f>ROUND(((M34+M36*M37)*(1-M38))+((M34+M35)*M38),3)</f>
        <v>5.8000000000000003E-2</v>
      </c>
      <c r="N42" s="72"/>
      <c r="O42" s="1374">
        <f>ROUND(((O34+O36*O37)*(1-O38))+((O34+O35)*O38),3)</f>
        <v>4.4999999999999998E-2</v>
      </c>
      <c r="P42" s="175"/>
      <c r="Z42" s="1401" t="s">
        <v>583</v>
      </c>
      <c r="AA42" s="1160"/>
      <c r="AB42" s="1160"/>
      <c r="AC42" s="1375">
        <f t="shared" ref="AC42:AL42" si="22">ROUND((AC40*(1-AC43)+AC38*AC43),4)</f>
        <v>2.5499999999999998E-2</v>
      </c>
      <c r="AD42" s="1376">
        <f t="shared" si="22"/>
        <v>2.3599999999999999E-2</v>
      </c>
      <c r="AE42" s="1376">
        <f t="shared" si="22"/>
        <v>2.2599999999999999E-2</v>
      </c>
      <c r="AF42" s="1376">
        <f t="shared" si="22"/>
        <v>2.1700000000000001E-2</v>
      </c>
      <c r="AG42" s="1377">
        <f t="shared" si="22"/>
        <v>2.1100000000000001E-2</v>
      </c>
      <c r="AH42" s="1376">
        <f t="shared" si="22"/>
        <v>2.06E-2</v>
      </c>
      <c r="AI42" s="1376">
        <f t="shared" si="22"/>
        <v>2.01E-2</v>
      </c>
      <c r="AJ42" s="1376">
        <f t="shared" si="22"/>
        <v>2.0400000000000001E-2</v>
      </c>
      <c r="AK42" s="1376">
        <f t="shared" si="22"/>
        <v>2.0799999999999999E-2</v>
      </c>
      <c r="AL42" s="1377">
        <f t="shared" si="22"/>
        <v>2.0799999999999999E-2</v>
      </c>
      <c r="AM42" s="1198"/>
      <c r="AN42" s="77"/>
      <c r="AO42" s="77"/>
      <c r="AP42" s="1123"/>
    </row>
    <row r="43" spans="4:42" ht="12.5" thickBot="1" x14ac:dyDescent="0.35">
      <c r="D43" s="179"/>
      <c r="E43" s="180"/>
      <c r="F43" s="180"/>
      <c r="G43" s="180"/>
      <c r="H43" s="180"/>
      <c r="I43" s="180"/>
      <c r="J43" s="180"/>
      <c r="K43" s="180"/>
      <c r="L43" s="180"/>
      <c r="M43" s="180"/>
      <c r="N43" s="180"/>
      <c r="O43" s="180"/>
      <c r="P43" s="182"/>
      <c r="Z43" s="1178" t="s">
        <v>98</v>
      </c>
      <c r="AA43" s="1169"/>
      <c r="AB43" s="1169"/>
      <c r="AC43" s="2219">
        <v>0.6</v>
      </c>
      <c r="AD43" s="2216">
        <f t="shared" ref="AD43:AL43" si="23">+AC43</f>
        <v>0.6</v>
      </c>
      <c r="AE43" s="2216">
        <f t="shared" si="23"/>
        <v>0.6</v>
      </c>
      <c r="AF43" s="2216">
        <f t="shared" si="23"/>
        <v>0.6</v>
      </c>
      <c r="AG43" s="2216">
        <f t="shared" si="23"/>
        <v>0.6</v>
      </c>
      <c r="AH43" s="2218">
        <f t="shared" si="23"/>
        <v>0.6</v>
      </c>
      <c r="AI43" s="2216">
        <f t="shared" si="23"/>
        <v>0.6</v>
      </c>
      <c r="AJ43" s="2216">
        <f t="shared" si="23"/>
        <v>0.6</v>
      </c>
      <c r="AK43" s="2216">
        <f t="shared" si="23"/>
        <v>0.6</v>
      </c>
      <c r="AL43" s="2217">
        <f t="shared" si="23"/>
        <v>0.6</v>
      </c>
      <c r="AM43" s="1198"/>
      <c r="AN43" s="77"/>
      <c r="AO43" s="77"/>
      <c r="AP43" s="1123"/>
    </row>
    <row r="44" spans="4:42" ht="12.5" thickBot="1" x14ac:dyDescent="0.35">
      <c r="D44" s="72"/>
      <c r="E44" s="72"/>
      <c r="F44" s="72"/>
      <c r="G44" s="72"/>
      <c r="H44" s="72"/>
      <c r="I44" s="72"/>
      <c r="J44" s="72"/>
      <c r="K44" s="206"/>
      <c r="L44" s="206"/>
      <c r="M44" s="206"/>
      <c r="N44" s="72"/>
      <c r="O44" s="72"/>
      <c r="P44" s="72"/>
      <c r="Z44" s="1178" t="s">
        <v>56</v>
      </c>
      <c r="AA44" s="1169"/>
      <c r="AB44" s="1169"/>
      <c r="AC44" s="2228">
        <v>0.03</v>
      </c>
      <c r="AD44" s="2214">
        <f t="shared" ref="AD44:AL44" si="24">+AC44</f>
        <v>0.03</v>
      </c>
      <c r="AE44" s="2214">
        <f t="shared" si="24"/>
        <v>0.03</v>
      </c>
      <c r="AF44" s="2214">
        <f t="shared" si="24"/>
        <v>0.03</v>
      </c>
      <c r="AG44" s="2214">
        <f t="shared" si="24"/>
        <v>0.03</v>
      </c>
      <c r="AH44" s="2213">
        <f t="shared" si="24"/>
        <v>0.03</v>
      </c>
      <c r="AI44" s="2214">
        <f t="shared" si="24"/>
        <v>0.03</v>
      </c>
      <c r="AJ44" s="2214">
        <f t="shared" si="24"/>
        <v>0.03</v>
      </c>
      <c r="AK44" s="2214">
        <f t="shared" si="24"/>
        <v>0.03</v>
      </c>
      <c r="AL44" s="2215">
        <f t="shared" si="24"/>
        <v>0.03</v>
      </c>
      <c r="AM44" s="1200"/>
      <c r="AN44" s="77"/>
      <c r="AO44" s="77"/>
      <c r="AP44" s="1123"/>
    </row>
    <row r="45" spans="4:42" ht="12.5" thickBot="1" x14ac:dyDescent="0.35">
      <c r="D45" s="170"/>
      <c r="E45" s="171"/>
      <c r="F45" s="171"/>
      <c r="G45" s="171"/>
      <c r="H45" s="171"/>
      <c r="I45" s="171"/>
      <c r="J45" s="172"/>
      <c r="L45" s="1184" t="s">
        <v>855</v>
      </c>
      <c r="M45" s="171"/>
      <c r="N45" s="171"/>
      <c r="O45" s="171"/>
      <c r="P45" s="171"/>
      <c r="Q45" s="171"/>
      <c r="R45" s="172"/>
      <c r="T45" s="178"/>
      <c r="W45" s="178"/>
      <c r="Z45" s="1170"/>
      <c r="AA45" s="1171"/>
      <c r="AB45" s="1171"/>
      <c r="AC45" s="1171"/>
      <c r="AD45" s="1171"/>
      <c r="AE45" s="1171"/>
      <c r="AF45" s="1171"/>
      <c r="AG45" s="1171"/>
      <c r="AH45" s="1171"/>
      <c r="AI45" s="1171"/>
      <c r="AJ45" s="1171"/>
      <c r="AK45" s="1171"/>
      <c r="AL45" s="1171"/>
      <c r="AM45" s="1172"/>
      <c r="AN45" s="77"/>
      <c r="AO45" s="77"/>
      <c r="AP45" s="1123"/>
    </row>
    <row r="46" spans="4:42" ht="12.5" thickBot="1" x14ac:dyDescent="0.35">
      <c r="D46" s="173"/>
      <c r="E46" s="174" t="s">
        <v>373</v>
      </c>
      <c r="F46" s="72"/>
      <c r="G46" s="72"/>
      <c r="H46" s="72"/>
      <c r="I46" s="72"/>
      <c r="J46" s="175"/>
      <c r="L46" s="173"/>
      <c r="M46" s="72"/>
      <c r="N46" s="72"/>
      <c r="O46" s="72"/>
      <c r="P46" s="72"/>
      <c r="Q46" s="72"/>
      <c r="R46" s="1201"/>
      <c r="S46" s="178"/>
      <c r="W46" s="1123"/>
      <c r="X46" s="1123"/>
      <c r="Y46" s="1123"/>
      <c r="Z46" s="1179"/>
      <c r="AA46" s="1179"/>
      <c r="AB46" s="1179"/>
      <c r="AC46" s="1179"/>
      <c r="AD46" s="1179"/>
      <c r="AE46" s="1179"/>
      <c r="AF46" s="1179"/>
      <c r="AG46" s="1179"/>
      <c r="AH46" s="1179"/>
      <c r="AI46" s="1179"/>
      <c r="AJ46" s="1179"/>
      <c r="AK46" s="1179"/>
      <c r="AL46" s="1179"/>
      <c r="AM46" s="1179"/>
      <c r="AN46" s="1179"/>
      <c r="AO46" s="77"/>
      <c r="AP46" s="1123"/>
    </row>
    <row r="47" spans="4:42" x14ac:dyDescent="0.3">
      <c r="D47" s="173"/>
      <c r="E47" s="207"/>
      <c r="F47" s="72"/>
      <c r="G47" s="72"/>
      <c r="H47" s="72"/>
      <c r="I47" s="72"/>
      <c r="J47" s="175"/>
      <c r="L47" s="173"/>
      <c r="M47" s="72"/>
      <c r="N47" s="72"/>
      <c r="O47" s="202" t="s">
        <v>1073</v>
      </c>
      <c r="P47" s="72"/>
      <c r="Q47" s="1118"/>
      <c r="R47" s="175"/>
      <c r="T47" s="1118"/>
      <c r="Z47" s="1320"/>
      <c r="AA47" s="1321"/>
      <c r="AB47" s="1321"/>
      <c r="AC47" s="1321"/>
      <c r="AD47" s="1321"/>
      <c r="AE47" s="1321"/>
      <c r="AF47" s="1322"/>
      <c r="AG47" s="1118"/>
      <c r="AH47" s="1118"/>
      <c r="AI47" s="1118"/>
      <c r="AJ47" s="1118"/>
      <c r="AK47" s="1118"/>
      <c r="AL47" s="1118"/>
      <c r="AM47" s="1118"/>
      <c r="AN47" s="1123"/>
      <c r="AO47" s="1123"/>
      <c r="AP47" s="1123"/>
    </row>
    <row r="48" spans="4:42" x14ac:dyDescent="0.3">
      <c r="D48" s="173"/>
      <c r="E48" s="102" t="s">
        <v>238</v>
      </c>
      <c r="F48" s="206"/>
      <c r="G48" s="102"/>
      <c r="H48" s="102"/>
      <c r="I48" s="211">
        <v>1</v>
      </c>
      <c r="J48" s="175"/>
      <c r="L48" s="1182" t="s">
        <v>459</v>
      </c>
      <c r="M48" s="72"/>
      <c r="N48" s="72"/>
      <c r="O48" s="2156">
        <f>Determination_Lookup!W25</f>
        <v>3.6191615984567882E-2</v>
      </c>
      <c r="P48" s="72"/>
      <c r="Q48" s="1118"/>
      <c r="R48" s="175"/>
      <c r="T48" s="1118"/>
      <c r="Z48" s="1323" t="s">
        <v>904</v>
      </c>
      <c r="AA48" s="1304"/>
      <c r="AB48" s="1304"/>
      <c r="AC48" s="1304"/>
      <c r="AD48" s="1304"/>
      <c r="AE48" s="1304"/>
      <c r="AF48" s="1324"/>
      <c r="AG48" s="1387"/>
      <c r="AH48" s="1387"/>
      <c r="AI48" s="1387"/>
      <c r="AJ48" s="1118"/>
      <c r="AK48" s="1118"/>
      <c r="AL48" s="1118"/>
      <c r="AM48" s="1118"/>
    </row>
    <row r="49" spans="4:39" x14ac:dyDescent="0.3">
      <c r="D49" s="173"/>
      <c r="E49" s="207"/>
      <c r="F49" s="102"/>
      <c r="G49" s="102"/>
      <c r="H49" s="102"/>
      <c r="I49" s="212"/>
      <c r="J49" s="175"/>
      <c r="L49" s="1182" t="s">
        <v>460</v>
      </c>
      <c r="M49" s="72"/>
      <c r="N49" s="1169"/>
      <c r="O49" s="2172">
        <f>Determination_Lookup!W26</f>
        <v>4.9000000000000002E-2</v>
      </c>
      <c r="P49" s="72"/>
      <c r="Q49" s="1118"/>
      <c r="R49" s="175"/>
      <c r="T49" s="1118"/>
      <c r="U49" s="1189" t="s">
        <v>853</v>
      </c>
      <c r="Z49" s="1323"/>
      <c r="AA49" s="1304"/>
      <c r="AB49" s="1304"/>
      <c r="AC49" s="1304"/>
      <c r="AD49" s="1304"/>
      <c r="AE49" s="1304"/>
      <c r="AF49" s="1324"/>
      <c r="AG49" s="1387"/>
      <c r="AH49" s="1387"/>
      <c r="AI49" s="1387"/>
      <c r="AJ49" s="1118"/>
      <c r="AK49" s="1118"/>
      <c r="AL49" s="1118"/>
      <c r="AM49" s="1118"/>
    </row>
    <row r="50" spans="4:39" x14ac:dyDescent="0.3">
      <c r="D50" s="173"/>
      <c r="E50" s="102" t="s">
        <v>375</v>
      </c>
      <c r="F50" s="72"/>
      <c r="G50" s="102"/>
      <c r="H50" s="102"/>
      <c r="I50" s="212"/>
      <c r="J50" s="175"/>
      <c r="L50" s="1178" t="s">
        <v>98</v>
      </c>
      <c r="M50" s="72"/>
      <c r="N50" s="1169"/>
      <c r="O50" s="2175">
        <f>Determination_Lookup!W27</f>
        <v>0.6</v>
      </c>
      <c r="P50" s="72"/>
      <c r="Q50" s="1118"/>
      <c r="R50" s="175"/>
      <c r="T50" s="1118"/>
      <c r="U50" s="1189"/>
      <c r="Z50" s="1325"/>
      <c r="AA50" s="1304"/>
      <c r="AB50" s="1304"/>
      <c r="AC50" s="1304"/>
      <c r="AD50" s="1304"/>
      <c r="AE50" s="1304"/>
      <c r="AF50" s="1324"/>
      <c r="AG50" s="1387"/>
      <c r="AH50" s="1387"/>
      <c r="AI50" s="1387"/>
      <c r="AJ50" s="1118"/>
      <c r="AK50" s="1118"/>
      <c r="AL50" s="1118"/>
      <c r="AM50" s="1118"/>
    </row>
    <row r="51" spans="4:39" ht="12" customHeight="1" x14ac:dyDescent="0.3">
      <c r="D51" s="173"/>
      <c r="E51" s="72"/>
      <c r="F51" s="102"/>
      <c r="G51" s="102"/>
      <c r="H51" s="102"/>
      <c r="I51" s="212"/>
      <c r="J51" s="175"/>
      <c r="L51" s="1178" t="s">
        <v>56</v>
      </c>
      <c r="M51" s="72"/>
      <c r="N51" s="1169"/>
      <c r="O51" s="2172">
        <f>Determination_Lookup!W28</f>
        <v>2.3E-2</v>
      </c>
      <c r="P51" s="72"/>
      <c r="Q51" s="1118"/>
      <c r="R51" s="175"/>
      <c r="T51" s="1118"/>
      <c r="U51" s="1189"/>
      <c r="Z51" s="1326"/>
      <c r="AA51" s="1327"/>
      <c r="AB51" s="2359" t="s">
        <v>462</v>
      </c>
      <c r="AC51" s="2359"/>
      <c r="AD51" s="2359"/>
      <c r="AE51" s="2359"/>
      <c r="AF51" s="1324"/>
      <c r="AG51" s="1388"/>
      <c r="AH51" s="1388"/>
      <c r="AI51" s="1388"/>
      <c r="AJ51" s="1318"/>
      <c r="AK51" s="1318"/>
      <c r="AL51" s="1318"/>
      <c r="AM51" s="1118"/>
    </row>
    <row r="52" spans="4:39" ht="12" customHeight="1" thickBot="1" x14ac:dyDescent="0.35">
      <c r="D52" s="179"/>
      <c r="E52" s="180"/>
      <c r="F52" s="180"/>
      <c r="G52" s="180"/>
      <c r="H52" s="180"/>
      <c r="I52" s="213"/>
      <c r="J52" s="182"/>
      <c r="L52" s="1177" t="s">
        <v>854</v>
      </c>
      <c r="M52" s="72"/>
      <c r="N52" s="1183"/>
      <c r="O52" s="2176">
        <f>Determination_Lookup!W29</f>
        <v>4.1300000000000003E-2</v>
      </c>
      <c r="P52" s="72"/>
      <c r="Q52" s="1118"/>
      <c r="R52" s="175"/>
      <c r="T52" s="1118"/>
      <c r="U52" s="1118"/>
      <c r="Z52" s="1326"/>
      <c r="AA52" s="1327"/>
      <c r="AB52" s="1327"/>
      <c r="AC52" s="1327"/>
      <c r="AD52" s="1327"/>
      <c r="AE52" s="1327"/>
      <c r="AF52" s="1324"/>
      <c r="AG52" s="1389"/>
      <c r="AH52" s="1389"/>
      <c r="AI52" s="1389"/>
      <c r="AJ52" s="1196"/>
      <c r="AK52" s="1196"/>
      <c r="AL52" s="1196"/>
      <c r="AM52" s="1118"/>
    </row>
    <row r="53" spans="4:39" ht="12" customHeight="1" thickBot="1" x14ac:dyDescent="0.35">
      <c r="L53" s="179"/>
      <c r="M53" s="180"/>
      <c r="N53" s="180"/>
      <c r="O53" s="180"/>
      <c r="P53" s="180"/>
      <c r="Q53" s="180"/>
      <c r="R53" s="182"/>
      <c r="T53" s="1118"/>
      <c r="U53" s="1118"/>
      <c r="Z53" s="1326"/>
      <c r="AA53" s="1327"/>
      <c r="AB53" s="1328" t="s">
        <v>463</v>
      </c>
      <c r="AC53" s="1328" t="s">
        <v>464</v>
      </c>
      <c r="AD53" s="1328" t="s">
        <v>465</v>
      </c>
      <c r="AE53" s="1328" t="s">
        <v>466</v>
      </c>
      <c r="AF53" s="1324"/>
      <c r="AG53" s="1390"/>
      <c r="AH53" s="1390"/>
      <c r="AI53" s="1390"/>
      <c r="AJ53" s="1282"/>
      <c r="AK53" s="1282"/>
      <c r="AL53" s="1282"/>
      <c r="AM53" s="1118"/>
    </row>
    <row r="54" spans="4:39" ht="26.25" customHeight="1" x14ac:dyDescent="0.3">
      <c r="T54" s="1118"/>
      <c r="U54" s="1190"/>
      <c r="Z54" s="2358" t="s">
        <v>469</v>
      </c>
      <c r="AA54" s="1329" t="s">
        <v>463</v>
      </c>
      <c r="AB54" s="1378">
        <v>4.9000000000000004</v>
      </c>
      <c r="AC54" s="1330"/>
      <c r="AD54" s="1330"/>
      <c r="AE54" s="1330"/>
      <c r="AF54" s="1324"/>
      <c r="AG54" s="1392"/>
      <c r="AH54" s="1392"/>
      <c r="AI54" s="1392"/>
      <c r="AJ54" s="1283"/>
      <c r="AK54" s="1283"/>
      <c r="AL54" s="1283"/>
      <c r="AM54" s="1118"/>
    </row>
    <row r="55" spans="4:39" ht="49.5" customHeight="1" x14ac:dyDescent="0.3">
      <c r="T55" s="1118"/>
      <c r="U55" s="1191" t="s">
        <v>467</v>
      </c>
      <c r="Z55" s="2358"/>
      <c r="AA55" s="1329" t="s">
        <v>464</v>
      </c>
      <c r="AB55" s="1378">
        <v>4.3</v>
      </c>
      <c r="AC55" s="1378">
        <v>4.5</v>
      </c>
      <c r="AD55" s="1330"/>
      <c r="AE55" s="1330"/>
      <c r="AF55" s="1324"/>
      <c r="AG55" s="1392"/>
      <c r="AH55" s="1392"/>
      <c r="AI55" s="1392"/>
      <c r="AJ55" s="1283"/>
      <c r="AK55" s="1283"/>
      <c r="AL55" s="1283"/>
      <c r="AM55" s="1118"/>
    </row>
    <row r="56" spans="4:39" ht="49.5" customHeight="1" x14ac:dyDescent="0.3">
      <c r="T56" s="1118"/>
      <c r="U56" s="1191" t="s">
        <v>470</v>
      </c>
      <c r="V56" s="1192" t="s">
        <v>468</v>
      </c>
      <c r="Z56" s="2358"/>
      <c r="AA56" s="1329" t="s">
        <v>465</v>
      </c>
      <c r="AB56" s="1378">
        <v>3.7</v>
      </c>
      <c r="AC56" s="1378">
        <v>3.9</v>
      </c>
      <c r="AD56" s="1378">
        <v>4.0999999999999996</v>
      </c>
      <c r="AE56" s="1330"/>
      <c r="AF56" s="1324"/>
      <c r="AG56" s="1392"/>
      <c r="AH56" s="1392"/>
      <c r="AI56" s="1392"/>
      <c r="AJ56" s="1283"/>
      <c r="AK56" s="1283"/>
      <c r="AL56" s="1283"/>
      <c r="AM56" s="1118"/>
    </row>
    <row r="57" spans="4:39" ht="49.5" customHeight="1" x14ac:dyDescent="0.3">
      <c r="T57" s="1118"/>
      <c r="U57" s="1191" t="s">
        <v>471</v>
      </c>
      <c r="V57" s="1192" t="s">
        <v>468</v>
      </c>
      <c r="Z57" s="2358"/>
      <c r="AA57" s="1329" t="s">
        <v>466</v>
      </c>
      <c r="AB57" s="1331"/>
      <c r="AC57" s="1331"/>
      <c r="AD57" s="1378">
        <v>3.5</v>
      </c>
      <c r="AE57" s="1378">
        <v>3.7</v>
      </c>
      <c r="AF57" s="1324"/>
      <c r="AG57" s="1391"/>
      <c r="AH57" s="1391"/>
      <c r="AI57" s="1391"/>
      <c r="AJ57" s="1193"/>
      <c r="AK57" s="1193"/>
      <c r="AL57" s="1193"/>
      <c r="AM57" s="1118"/>
    </row>
    <row r="58" spans="4:39" ht="49.5" customHeight="1" x14ac:dyDescent="0.3">
      <c r="T58" s="1118"/>
      <c r="U58" s="1191" t="s">
        <v>472</v>
      </c>
      <c r="V58" s="1192" t="s">
        <v>468</v>
      </c>
      <c r="Z58" s="2358"/>
      <c r="AA58" s="1332"/>
      <c r="AB58" s="1331"/>
      <c r="AC58" s="1331"/>
      <c r="AD58" s="1331"/>
      <c r="AE58" s="1331"/>
      <c r="AF58" s="1324"/>
      <c r="AG58" s="1392"/>
      <c r="AH58" s="1392"/>
      <c r="AI58" s="1392"/>
      <c r="AJ58" s="1283"/>
      <c r="AK58" s="1283"/>
      <c r="AL58" s="1283"/>
      <c r="AM58" s="1118"/>
    </row>
    <row r="59" spans="4:39" ht="49.5" customHeight="1" thickBot="1" x14ac:dyDescent="0.35">
      <c r="T59" s="1118"/>
      <c r="U59" s="1118"/>
      <c r="V59" s="1118"/>
      <c r="Z59" s="1326"/>
      <c r="AA59" s="1327"/>
      <c r="AB59" s="1327"/>
      <c r="AC59" s="1327"/>
      <c r="AD59" s="1327"/>
      <c r="AE59" s="1327"/>
      <c r="AF59" s="1324"/>
      <c r="AG59" s="1389"/>
      <c r="AH59" s="1389"/>
      <c r="AI59" s="1389"/>
      <c r="AJ59" s="1196"/>
      <c r="AK59" s="1196"/>
      <c r="AL59" s="1196"/>
      <c r="AM59" s="1118"/>
    </row>
    <row r="60" spans="4:39" ht="15" customHeight="1" thickBot="1" x14ac:dyDescent="0.35">
      <c r="T60" s="1118"/>
      <c r="U60" s="1191" t="s">
        <v>473</v>
      </c>
      <c r="V60" s="1118"/>
      <c r="Z60" s="1333" t="s">
        <v>905</v>
      </c>
      <c r="AA60" s="1304"/>
      <c r="AB60" s="1334"/>
      <c r="AC60" s="1335"/>
      <c r="AD60" s="1336" t="s">
        <v>465</v>
      </c>
      <c r="AE60" s="1357">
        <f>+VLOOKUP(AD60,$AD$71:$AE$75,2,FALSE)</f>
        <v>4.0999999999999996</v>
      </c>
      <c r="AF60" s="1324"/>
      <c r="AG60" s="1391"/>
      <c r="AH60" s="1391"/>
      <c r="AI60" s="1391"/>
      <c r="AJ60" s="1193"/>
      <c r="AK60" s="1193"/>
      <c r="AL60" s="1193"/>
      <c r="AM60" s="1118"/>
    </row>
    <row r="61" spans="4:39" ht="12.5" thickBot="1" x14ac:dyDescent="0.35">
      <c r="T61" s="1118"/>
      <c r="U61" s="1118"/>
      <c r="V61" s="1118"/>
      <c r="Z61" s="1338"/>
      <c r="AA61" s="1304"/>
      <c r="AB61" s="1304"/>
      <c r="AC61" s="1339"/>
      <c r="AD61" s="1304"/>
      <c r="AE61" s="1304"/>
      <c r="AF61" s="1324"/>
      <c r="AG61" s="1387"/>
      <c r="AH61" s="1387"/>
      <c r="AI61" s="1387"/>
      <c r="AJ61" s="1118"/>
      <c r="AK61" s="1118"/>
      <c r="AL61" s="1118"/>
      <c r="AM61" s="1118"/>
    </row>
    <row r="62" spans="4:39" ht="12.5" thickBot="1" x14ac:dyDescent="0.35">
      <c r="T62" s="1118"/>
      <c r="U62" s="1118"/>
      <c r="V62" s="1118"/>
      <c r="Z62" s="1333" t="s">
        <v>906</v>
      </c>
      <c r="AA62" s="1304"/>
      <c r="AB62" s="1327"/>
      <c r="AC62" s="1339"/>
      <c r="AD62" s="1340"/>
      <c r="AE62" s="1357">
        <f>+IF(AD62&lt;=AE60,AD62,"CHECK")</f>
        <v>0</v>
      </c>
      <c r="AF62" s="1324"/>
      <c r="AG62" s="1391"/>
      <c r="AH62" s="1391"/>
      <c r="AI62" s="1391"/>
      <c r="AJ62" s="1193"/>
      <c r="AK62" s="1193"/>
      <c r="AL62" s="1193"/>
      <c r="AM62" s="1118"/>
    </row>
    <row r="63" spans="4:39" ht="12.5" thickBot="1" x14ac:dyDescent="0.35">
      <c r="T63" s="1118"/>
      <c r="U63" s="1194"/>
      <c r="V63" s="1118"/>
      <c r="Z63" s="1338"/>
      <c r="AA63" s="1304"/>
      <c r="AB63" s="1304"/>
      <c r="AC63" s="1304"/>
      <c r="AD63" s="1304"/>
      <c r="AE63" s="1337"/>
      <c r="AF63" s="1324"/>
      <c r="AG63" s="1391"/>
      <c r="AH63" s="1391"/>
      <c r="AI63" s="1391"/>
      <c r="AJ63" s="1193"/>
      <c r="AK63" s="1193"/>
      <c r="AL63" s="1193"/>
      <c r="AM63" s="1118"/>
    </row>
    <row r="64" spans="4:39" ht="12.5" thickBot="1" x14ac:dyDescent="0.35">
      <c r="T64" s="1118"/>
      <c r="U64" s="1191" t="s">
        <v>474</v>
      </c>
      <c r="V64" s="1118"/>
      <c r="Z64" s="1333" t="s">
        <v>469</v>
      </c>
      <c r="AA64" s="1304"/>
      <c r="AB64" s="1334"/>
      <c r="AC64" s="1335"/>
      <c r="AD64" s="1336" t="s">
        <v>468</v>
      </c>
      <c r="AE64" s="1357">
        <f>IFERROR(IF(AD64=AD60,AE60,VLOOKUP(AD60&amp;AD64,AD78:AE82,2,FALSE)),0)</f>
        <v>0</v>
      </c>
      <c r="AF64" s="1324"/>
      <c r="AG64" s="1391"/>
      <c r="AH64" s="1391"/>
      <c r="AI64" s="1391"/>
      <c r="AJ64" s="1193"/>
      <c r="AK64" s="1193"/>
      <c r="AL64" s="1193"/>
      <c r="AM64" s="1118"/>
    </row>
    <row r="65" spans="20:42" x14ac:dyDescent="0.3">
      <c r="T65" s="1118"/>
      <c r="U65" s="1118"/>
      <c r="V65" s="1118"/>
      <c r="Z65" s="1326"/>
      <c r="AA65" s="1327"/>
      <c r="AB65" s="1327"/>
      <c r="AC65" s="1304"/>
      <c r="AD65" s="1327"/>
      <c r="AE65" s="1341"/>
      <c r="AF65" s="1324"/>
      <c r="AG65" s="1391"/>
      <c r="AH65" s="1391"/>
      <c r="AI65" s="1391"/>
      <c r="AJ65" s="1193"/>
      <c r="AK65" s="1193"/>
      <c r="AL65" s="1193"/>
      <c r="AM65" s="1118"/>
      <c r="AP65" s="1180"/>
    </row>
    <row r="66" spans="20:42" ht="12.5" thickBot="1" x14ac:dyDescent="0.35">
      <c r="T66" s="1118"/>
      <c r="U66" s="1118"/>
      <c r="V66" s="1118"/>
      <c r="Z66" s="1342"/>
      <c r="AA66" s="1343"/>
      <c r="AB66" s="1343"/>
      <c r="AC66" s="1344"/>
      <c r="AD66" s="1345" t="s">
        <v>461</v>
      </c>
      <c r="AE66" s="1379" t="str">
        <f>IFERROR(IF(AE64=0,"",AE64-AE60),"")</f>
        <v/>
      </c>
      <c r="AF66" s="1346"/>
      <c r="AG66" s="1391"/>
      <c r="AH66" s="1391"/>
      <c r="AI66" s="1391"/>
      <c r="AJ66" s="1193"/>
      <c r="AK66" s="1193"/>
      <c r="AL66" s="1193"/>
      <c r="AM66" s="1118"/>
    </row>
    <row r="67" spans="20:42" x14ac:dyDescent="0.3">
      <c r="T67" s="1118"/>
      <c r="U67" s="1195"/>
      <c r="V67" s="1196"/>
      <c r="W67" s="1304"/>
      <c r="X67" s="1304"/>
      <c r="Y67" s="1304"/>
      <c r="Z67" s="1304"/>
      <c r="AA67" s="1304"/>
      <c r="AB67" s="1304"/>
      <c r="AC67" s="1304"/>
      <c r="AD67" s="1395"/>
      <c r="AE67" s="1393"/>
      <c r="AF67" s="1394"/>
      <c r="AG67" s="1391"/>
      <c r="AH67" s="1391"/>
      <c r="AI67" s="1391"/>
      <c r="AJ67" s="1193"/>
      <c r="AK67" s="1193"/>
      <c r="AL67" s="1193"/>
    </row>
    <row r="68" spans="20:42" x14ac:dyDescent="0.3">
      <c r="T68" s="1118"/>
      <c r="V68" s="1181"/>
      <c r="W68" s="1304"/>
      <c r="X68" s="1304"/>
      <c r="Y68" s="1304"/>
      <c r="Z68" s="1304"/>
      <c r="AA68" s="1304"/>
      <c r="AB68" s="1304"/>
      <c r="AC68" s="1304"/>
      <c r="AD68" s="1395"/>
      <c r="AE68" s="1393"/>
      <c r="AF68" s="1394"/>
      <c r="AG68" s="1391"/>
      <c r="AH68" s="1391"/>
      <c r="AI68" s="1391"/>
      <c r="AJ68" s="1193"/>
      <c r="AK68" s="1193"/>
      <c r="AL68" s="1193"/>
    </row>
    <row r="69" spans="20:42" x14ac:dyDescent="0.3">
      <c r="T69" s="1118"/>
      <c r="V69" s="1181"/>
      <c r="Z69" s="1347"/>
      <c r="AA69" s="1347"/>
      <c r="AB69" s="1347"/>
      <c r="AC69" s="1347"/>
      <c r="AD69" s="1347"/>
      <c r="AE69" s="1347"/>
      <c r="AF69" s="1347"/>
      <c r="AG69" s="1395"/>
      <c r="AH69" s="1395"/>
      <c r="AI69" s="1395"/>
    </row>
    <row r="70" spans="20:42" x14ac:dyDescent="0.3">
      <c r="U70" s="1278" t="s">
        <v>436</v>
      </c>
      <c r="V70" s="1195"/>
      <c r="Z70" s="1348"/>
      <c r="AA70" s="1348"/>
      <c r="AB70" s="1348"/>
      <c r="AC70" s="1348"/>
      <c r="AD70" s="1349" t="s">
        <v>475</v>
      </c>
      <c r="AE70" s="1349"/>
      <c r="AF70" s="1347"/>
      <c r="AG70" s="1387"/>
      <c r="AH70" s="1387"/>
      <c r="AI70" s="1387"/>
      <c r="AJ70" s="1118"/>
      <c r="AK70" s="1118"/>
      <c r="AL70" s="1118"/>
      <c r="AM70" s="1118"/>
    </row>
    <row r="71" spans="20:42" x14ac:dyDescent="0.3">
      <c r="U71" s="1118"/>
      <c r="V71" s="1195"/>
      <c r="Z71" s="1348"/>
      <c r="AA71" s="1348"/>
      <c r="AB71" s="1348"/>
      <c r="AC71" s="1348"/>
      <c r="AD71" s="1350" t="s">
        <v>468</v>
      </c>
      <c r="AE71" s="1351"/>
      <c r="AF71" s="1347"/>
      <c r="AG71" s="1389"/>
      <c r="AH71" s="1389"/>
      <c r="AI71" s="1389"/>
      <c r="AJ71" s="1196"/>
      <c r="AK71" s="1196"/>
      <c r="AL71" s="1196"/>
      <c r="AM71" s="1118"/>
    </row>
    <row r="72" spans="20:42" x14ac:dyDescent="0.3">
      <c r="U72" s="1118"/>
      <c r="V72" s="1118"/>
      <c r="Z72" s="1348"/>
      <c r="AA72" s="1348"/>
      <c r="AB72" s="1348"/>
      <c r="AC72" s="1348"/>
      <c r="AD72" s="1352" t="s">
        <v>463</v>
      </c>
      <c r="AE72" s="1380">
        <f>+AB54</f>
        <v>4.9000000000000004</v>
      </c>
      <c r="AF72" s="1347"/>
      <c r="AG72" s="1396"/>
      <c r="AH72" s="1396"/>
      <c r="AI72" s="1396"/>
      <c r="AJ72" s="1279"/>
      <c r="AK72" s="1279"/>
      <c r="AL72" s="1279"/>
      <c r="AM72" s="1118"/>
    </row>
    <row r="73" spans="20:42" x14ac:dyDescent="0.3">
      <c r="U73" s="1118"/>
      <c r="V73" s="1118"/>
      <c r="Z73" s="1348"/>
      <c r="AA73" s="1348"/>
      <c r="AB73" s="1348"/>
      <c r="AC73" s="1348"/>
      <c r="AD73" s="1352" t="s">
        <v>464</v>
      </c>
      <c r="AE73" s="1380">
        <f>+AC55</f>
        <v>4.5</v>
      </c>
      <c r="AF73" s="1347"/>
      <c r="AG73" s="1397"/>
      <c r="AH73" s="1397"/>
      <c r="AI73" s="1397"/>
      <c r="AJ73" s="1280"/>
      <c r="AK73" s="1280"/>
      <c r="AL73" s="1280"/>
      <c r="AM73" s="1118"/>
    </row>
    <row r="74" spans="20:42" x14ac:dyDescent="0.3">
      <c r="U74" s="1118"/>
      <c r="V74" s="1118"/>
      <c r="Z74" s="1348"/>
      <c r="AA74" s="1348"/>
      <c r="AB74" s="1348"/>
      <c r="AC74" s="1348"/>
      <c r="AD74" s="1352" t="s">
        <v>465</v>
      </c>
      <c r="AE74" s="1380">
        <f>+AD56</f>
        <v>4.0999999999999996</v>
      </c>
      <c r="AF74" s="1347"/>
      <c r="AG74" s="1397"/>
      <c r="AH74" s="1397"/>
      <c r="AI74" s="1397"/>
      <c r="AJ74" s="1280"/>
      <c r="AK74" s="1280"/>
      <c r="AL74" s="1280"/>
      <c r="AM74" s="1118"/>
    </row>
    <row r="75" spans="20:42" x14ac:dyDescent="0.3">
      <c r="U75" s="1118"/>
      <c r="V75" s="1118"/>
      <c r="Z75" s="1348"/>
      <c r="AA75" s="1348"/>
      <c r="AB75" s="1348"/>
      <c r="AC75" s="1348"/>
      <c r="AD75" s="1353" t="s">
        <v>466</v>
      </c>
      <c r="AE75" s="1381">
        <f>+AE57</f>
        <v>3.7</v>
      </c>
      <c r="AF75" s="1347"/>
      <c r="AG75" s="1397"/>
      <c r="AH75" s="1397"/>
      <c r="AI75" s="1397"/>
      <c r="AJ75" s="1280"/>
      <c r="AK75" s="1280"/>
      <c r="AL75" s="1280"/>
      <c r="AM75" s="1118"/>
    </row>
    <row r="76" spans="20:42" x14ac:dyDescent="0.3">
      <c r="U76" s="1118"/>
      <c r="V76" s="1118"/>
      <c r="Z76" s="1348"/>
      <c r="AA76" s="1348"/>
      <c r="AB76" s="1348"/>
      <c r="AC76" s="1348"/>
      <c r="AD76" s="1349"/>
      <c r="AE76" s="1354"/>
      <c r="AF76" s="1347"/>
      <c r="AG76" s="1397"/>
      <c r="AH76" s="1397"/>
      <c r="AI76" s="1397"/>
      <c r="AJ76" s="1280"/>
      <c r="AK76" s="1280"/>
      <c r="AL76" s="1280"/>
      <c r="AM76" s="1118"/>
    </row>
    <row r="77" spans="20:42" x14ac:dyDescent="0.3">
      <c r="U77" s="1118"/>
      <c r="V77" s="1196"/>
      <c r="Z77" s="1348"/>
      <c r="AA77" s="1348"/>
      <c r="AB77" s="1348"/>
      <c r="AC77" s="1348"/>
      <c r="AD77" s="1349" t="s">
        <v>476</v>
      </c>
      <c r="AE77" s="1354"/>
      <c r="AF77" s="1347"/>
      <c r="AG77" s="1397"/>
      <c r="AH77" s="1397"/>
      <c r="AI77" s="1397"/>
      <c r="AJ77" s="1280"/>
      <c r="AK77" s="1280"/>
      <c r="AL77" s="1280"/>
      <c r="AM77" s="1118"/>
    </row>
    <row r="78" spans="20:42" x14ac:dyDescent="0.3">
      <c r="U78" s="1118"/>
      <c r="V78" s="1196"/>
      <c r="Z78" s="1348"/>
      <c r="AA78" s="1348"/>
      <c r="AB78" s="1348"/>
      <c r="AC78" s="1348"/>
      <c r="AD78" s="1382" t="str">
        <f>AD53&amp;AA57</f>
        <v>StandardBasic</v>
      </c>
      <c r="AE78" s="1383">
        <f>+AD57</f>
        <v>3.5</v>
      </c>
      <c r="AF78" s="1347"/>
      <c r="AG78" s="1397"/>
      <c r="AH78" s="1397"/>
      <c r="AI78" s="1397"/>
      <c r="AJ78" s="1280"/>
      <c r="AK78" s="1280"/>
      <c r="AL78" s="1280"/>
      <c r="AM78" s="1118"/>
    </row>
    <row r="79" spans="20:42" x14ac:dyDescent="0.3">
      <c r="U79" s="1118"/>
      <c r="V79" s="1196"/>
      <c r="Z79" s="1348"/>
      <c r="AA79" s="1348"/>
      <c r="AB79" s="1348"/>
      <c r="AC79" s="1348"/>
      <c r="AD79" s="1384" t="str">
        <f>+AC53&amp;AA56</f>
        <v>AdvancedStandard</v>
      </c>
      <c r="AE79" s="1380">
        <f>+AC56</f>
        <v>3.9</v>
      </c>
      <c r="AF79" s="1347"/>
      <c r="AG79" s="1397"/>
      <c r="AH79" s="1397"/>
      <c r="AI79" s="1397"/>
      <c r="AJ79" s="1280"/>
      <c r="AK79" s="1280"/>
      <c r="AL79" s="1280"/>
      <c r="AM79" s="1118"/>
    </row>
    <row r="80" spans="20:42" x14ac:dyDescent="0.3">
      <c r="U80" s="1118"/>
      <c r="V80" s="1196"/>
      <c r="Z80" s="1348"/>
      <c r="AA80" s="1348"/>
      <c r="AB80" s="1348"/>
      <c r="AC80" s="1348"/>
      <c r="AD80" s="1384" t="str">
        <f>+AB53&amp;AA55</f>
        <v>LeadingAdvanced</v>
      </c>
      <c r="AE80" s="1380">
        <f>+AB55</f>
        <v>4.3</v>
      </c>
      <c r="AF80" s="1347"/>
      <c r="AG80" s="1397"/>
      <c r="AH80" s="1397"/>
      <c r="AI80" s="1397"/>
      <c r="AJ80" s="1280"/>
      <c r="AK80" s="1280"/>
      <c r="AL80" s="1280"/>
      <c r="AM80" s="1118"/>
    </row>
    <row r="81" spans="21:39" x14ac:dyDescent="0.3">
      <c r="U81" s="1118"/>
      <c r="V81" s="1196"/>
      <c r="Z81" s="1348"/>
      <c r="AA81" s="1348"/>
      <c r="AB81" s="1348"/>
      <c r="AC81" s="1348"/>
      <c r="AD81" s="1385" t="str">
        <f>+AB53&amp;AA56</f>
        <v>LeadingStandard</v>
      </c>
      <c r="AE81" s="1380">
        <f>+AB56</f>
        <v>3.7</v>
      </c>
      <c r="AF81" s="1347"/>
      <c r="AG81" s="1397"/>
      <c r="AH81" s="1397"/>
      <c r="AI81" s="1397"/>
      <c r="AJ81" s="1280"/>
      <c r="AK81" s="1280"/>
      <c r="AL81" s="1280"/>
      <c r="AM81" s="1118"/>
    </row>
    <row r="82" spans="21:39" x14ac:dyDescent="0.3">
      <c r="U82" s="1118"/>
      <c r="V82" s="1196"/>
      <c r="Z82" s="1348"/>
      <c r="AA82" s="1348"/>
      <c r="AB82" s="1348"/>
      <c r="AC82" s="1348"/>
      <c r="AD82" s="1386" t="str">
        <f>+AD60&amp;"Basic"</f>
        <v>StandardBasic</v>
      </c>
      <c r="AE82" s="1355" t="s">
        <v>534</v>
      </c>
      <c r="AF82" s="1347"/>
      <c r="AG82" s="1397"/>
      <c r="AH82" s="1397"/>
      <c r="AI82" s="1397"/>
      <c r="AJ82" s="1280"/>
      <c r="AK82" s="1280"/>
      <c r="AL82" s="1280"/>
      <c r="AM82" s="1118"/>
    </row>
    <row r="83" spans="21:39" x14ac:dyDescent="0.3">
      <c r="U83" s="1118"/>
      <c r="V83" s="1118"/>
      <c r="Z83" s="1348"/>
      <c r="AA83" s="1348"/>
      <c r="AB83" s="1348"/>
      <c r="AC83" s="1348"/>
      <c r="AD83" s="1348"/>
      <c r="AE83" s="1348"/>
      <c r="AF83" s="1347"/>
      <c r="AG83" s="1398"/>
      <c r="AH83" s="1398"/>
      <c r="AI83" s="1398"/>
      <c r="AJ83" s="1281"/>
      <c r="AK83" s="1281"/>
      <c r="AL83" s="1281"/>
      <c r="AM83" s="1118"/>
    </row>
    <row r="84" spans="21:39" x14ac:dyDescent="0.3">
      <c r="U84" s="1118"/>
      <c r="V84" s="1118"/>
      <c r="Z84" s="1348"/>
      <c r="AA84" s="1348"/>
      <c r="AB84" s="1348"/>
      <c r="AC84" s="1348"/>
      <c r="AD84" s="1348"/>
      <c r="AE84" s="1348"/>
      <c r="AF84" s="1347"/>
      <c r="AG84" s="1387"/>
      <c r="AH84" s="1387"/>
      <c r="AI84" s="1387"/>
      <c r="AJ84" s="1118"/>
      <c r="AK84" s="1118"/>
      <c r="AL84" s="1118"/>
      <c r="AM84" s="1118"/>
    </row>
    <row r="85" spans="21:39" x14ac:dyDescent="0.3">
      <c r="U85" s="1118"/>
      <c r="V85" s="1118"/>
      <c r="Z85" s="1118"/>
      <c r="AA85" s="1118"/>
      <c r="AB85" s="1118"/>
      <c r="AC85" s="1118"/>
      <c r="AD85" s="1118"/>
      <c r="AE85" s="1118"/>
      <c r="AF85" s="1118"/>
      <c r="AG85" s="1387"/>
      <c r="AH85" s="1387"/>
      <c r="AI85" s="1387"/>
      <c r="AJ85" s="1118"/>
      <c r="AK85" s="1118"/>
      <c r="AL85" s="1118"/>
      <c r="AM85" s="1118"/>
    </row>
  </sheetData>
  <sheetProtection algorithmName="SHA-512" hashValue="ylkJl0DXJesgLJ6NH9ptebigDaFoSxPPgr8XsTxlugn821mYL8sygw6r8zJ2Kmv2HZTywUCIgwap+KXfL4/30Q==" saltValue="kb7IQHjKlQeVUAusQ8wTow==" spinCount="100000" sheet="1" objects="1" scenarios="1"/>
  <mergeCells count="3">
    <mergeCell ref="Z54:Z58"/>
    <mergeCell ref="AB51:AE51"/>
    <mergeCell ref="B3:F3"/>
  </mergeCells>
  <phoneticPr fontId="0" type="noConversion"/>
  <conditionalFormatting sqref="AG62:AL68">
    <cfRule type="cellIs" dxfId="252" priority="35" operator="notEqual">
      <formula>0</formula>
    </cfRule>
    <cfRule type="cellIs" dxfId="251" priority="36" operator="equal">
      <formula>0</formula>
    </cfRule>
  </conditionalFormatting>
  <conditionalFormatting sqref="AG60:AL60">
    <cfRule type="cellIs" dxfId="250" priority="33" operator="notEqual">
      <formula>0</formula>
    </cfRule>
    <cfRule type="cellIs" dxfId="249" priority="34" operator="equal">
      <formula>0</formula>
    </cfRule>
  </conditionalFormatting>
  <conditionalFormatting sqref="AD60">
    <cfRule type="containsText" dxfId="248" priority="13" operator="containsText" text="Leading">
      <formula>NOT(ISERROR(SEARCH("Leading",AD60)))</formula>
    </cfRule>
    <cfRule type="containsText" dxfId="247" priority="14" operator="containsText" text="Advanced">
      <formula>NOT(ISERROR(SEARCH("Advanced",AD60)))</formula>
    </cfRule>
    <cfRule type="containsText" dxfId="246" priority="15" operator="containsText" text="Standard">
      <formula>NOT(ISERROR(SEARCH("Standard",AD60)))</formula>
    </cfRule>
    <cfRule type="containsText" dxfId="245" priority="16" operator="containsText" text="Basic">
      <formula>NOT(ISERROR(SEARCH("Basic",AD60)))</formula>
    </cfRule>
  </conditionalFormatting>
  <conditionalFormatting sqref="AE62">
    <cfRule type="cellIs" dxfId="244" priority="23" operator="notEqual">
      <formula>0</formula>
    </cfRule>
    <cfRule type="cellIs" dxfId="243" priority="24" operator="equal">
      <formula>0</formula>
    </cfRule>
  </conditionalFormatting>
  <conditionalFormatting sqref="AE60">
    <cfRule type="cellIs" dxfId="242" priority="21" operator="notEqual">
      <formula>0</formula>
    </cfRule>
    <cfRule type="cellIs" dxfId="241" priority="22" operator="equal">
      <formula>0</formula>
    </cfRule>
  </conditionalFormatting>
  <conditionalFormatting sqref="AE63">
    <cfRule type="cellIs" dxfId="240" priority="19" operator="notEqual">
      <formula>0</formula>
    </cfRule>
    <cfRule type="cellIs" dxfId="239" priority="20" operator="equal">
      <formula>0</formula>
    </cfRule>
  </conditionalFormatting>
  <conditionalFormatting sqref="AE64">
    <cfRule type="cellIs" dxfId="238" priority="11" operator="notEqual">
      <formula>0</formula>
    </cfRule>
    <cfRule type="cellIs" dxfId="237" priority="12" operator="equal">
      <formula>0</formula>
    </cfRule>
  </conditionalFormatting>
  <conditionalFormatting sqref="AD64">
    <cfRule type="containsText" dxfId="236" priority="7" operator="containsText" text="Leading">
      <formula>NOT(ISERROR(SEARCH("Leading",AD64)))</formula>
    </cfRule>
    <cfRule type="containsText" dxfId="235" priority="8" operator="containsText" text="Advanced">
      <formula>NOT(ISERROR(SEARCH("Advanced",AD64)))</formula>
    </cfRule>
    <cfRule type="containsText" dxfId="234" priority="9" operator="containsText" text="Standard">
      <formula>NOT(ISERROR(SEARCH("Standard",AD64)))</formula>
    </cfRule>
    <cfRule type="containsText" dxfId="233" priority="10" operator="containsText" text="Basic">
      <formula>NOT(ISERROR(SEARCH("Basic",AD64)))</formula>
    </cfRule>
  </conditionalFormatting>
  <dataValidations count="2">
    <dataValidation type="list" allowBlank="1" showInputMessage="1" showErrorMessage="1" sqref="V56:V58" xr:uid="{00000000-0002-0000-0200-000000000000}">
      <formula1>$Z$71:$Z$84</formula1>
    </dataValidation>
    <dataValidation type="list" allowBlank="1" showInputMessage="1" showErrorMessage="1" sqref="AD64 AD60" xr:uid="{00000000-0002-0000-0200-000002000000}">
      <formula1>$AD$71:$AD$75</formula1>
    </dataValidation>
  </dataValidations>
  <hyperlinks>
    <hyperlink ref="B3" location="HL_Home" tooltip="Go to Table of Contents" display="HL_Home" xr:uid="{00000000-0004-0000-0200-000000000000}"/>
  </hyperlinks>
  <pageMargins left="0.39370078740157499" right="0.39370078740157499" top="0.59055118110236249" bottom="0.98425196850393748" header="0" footer="0.31496062992125973"/>
  <pageSetup paperSize="9" scale="68" orientation="landscape" r:id="rId1"/>
  <headerFooter alignWithMargins="0">
    <oddHeader>&amp;C&amp;B&amp;"Arial"&amp;12&amp;Kff0000​‌OFFICIAL‌​</oddHeader>
    <oddFooter>&amp;C&amp;"Arial,Bold"&amp;8Sheet a.
Page &amp;P of &amp;N&amp;L&amp;"Arial,Bold"&amp;7&amp;F
&amp;A
Printed: &amp;T on &amp;D</oddFooter>
  </headerFooter>
  <ignoredErrors>
    <ignoredError sqref="V26:X26 Y26:AA26" formulaRange="1"/>
    <ignoredError sqref="AB23:AL23"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2717" r:id="rId4" name="Option Button 189">
              <controlPr locked="0" defaultSize="0" autoFill="0" autoLine="0" autoPict="0" macro="[0]!HideTarBask">
                <anchor moveWithCells="1">
                  <from>
                    <xdr:col>8</xdr:col>
                    <xdr:colOff>57150</xdr:colOff>
                    <xdr:row>47</xdr:row>
                    <xdr:rowOff>0</xdr:rowOff>
                  </from>
                  <to>
                    <xdr:col>9</xdr:col>
                    <xdr:colOff>19050</xdr:colOff>
                    <xdr:row>48</xdr:row>
                    <xdr:rowOff>69850</xdr:rowOff>
                  </to>
                </anchor>
              </controlPr>
            </control>
          </mc:Choice>
        </mc:AlternateContent>
        <mc:AlternateContent xmlns:mc="http://schemas.openxmlformats.org/markup-compatibility/2006">
          <mc:Choice Requires="x14">
            <control shapeId="22718" r:id="rId5" name="Option Button 190">
              <controlPr locked="0" defaultSize="0" autoFill="0" autoLine="0" autoPict="0" macro="[0]!HidePriceCap">
                <anchor moveWithCells="1">
                  <from>
                    <xdr:col>8</xdr:col>
                    <xdr:colOff>57150</xdr:colOff>
                    <xdr:row>48</xdr:row>
                    <xdr:rowOff>133350</xdr:rowOff>
                  </from>
                  <to>
                    <xdr:col>9</xdr:col>
                    <xdr:colOff>19050</xdr:colOff>
                    <xdr:row>50</xdr:row>
                    <xdr:rowOff>69850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theme="0" tint="-4.9989318521683403E-2"/>
  </sheetPr>
  <dimension ref="A1:BF123"/>
  <sheetViews>
    <sheetView showGridLines="0" zoomScaleNormal="100" workbookViewId="0">
      <pane ySplit="6" topLeftCell="A7" activePane="bottomLeft" state="frozen"/>
      <selection pane="bottomLeft" activeCell="G28" sqref="G28"/>
    </sheetView>
  </sheetViews>
  <sheetFormatPr defaultColWidth="9.33203125" defaultRowHeight="12" outlineLevelCol="1" x14ac:dyDescent="0.3"/>
  <cols>
    <col min="1" max="1" width="3.6640625" style="73" customWidth="1"/>
    <col min="2" max="3" width="4.109375" style="73" customWidth="1"/>
    <col min="4" max="7" width="9.33203125" style="73"/>
    <col min="8" max="8" width="17.109375" style="73" customWidth="1"/>
    <col min="9" max="10" width="9.33203125" style="73" customWidth="1"/>
    <col min="11" max="13" width="10" style="73" hidden="1" customWidth="1" outlineLevel="1"/>
    <col min="14" max="22" width="12.44140625" style="73" hidden="1" customWidth="1" outlineLevel="1"/>
    <col min="23" max="23" width="12.44140625" style="73" customWidth="1" collapsed="1"/>
    <col min="24" max="38" width="11.6640625" style="73" customWidth="1"/>
    <col min="39" max="39" width="5.109375" style="73" customWidth="1"/>
    <col min="40" max="16384" width="9.33203125" style="73"/>
  </cols>
  <sheetData>
    <row r="1" spans="1:58" ht="14.5" x14ac:dyDescent="0.3">
      <c r="A1" s="1358">
        <v>80</v>
      </c>
      <c r="B1" s="158" t="s">
        <v>549</v>
      </c>
    </row>
    <row r="2" spans="1:58" ht="13" x14ac:dyDescent="0.3">
      <c r="B2" s="1359" t="str">
        <f>Model_Name</f>
        <v>Central Highlands Water</v>
      </c>
    </row>
    <row r="3" spans="1:58" x14ac:dyDescent="0.3">
      <c r="B3" s="2357" t="s">
        <v>0</v>
      </c>
      <c r="C3" s="2357"/>
      <c r="D3" s="2357"/>
      <c r="E3" s="2357"/>
      <c r="F3" s="2357"/>
    </row>
    <row r="4" spans="1:58" x14ac:dyDescent="0.3">
      <c r="B4" s="75"/>
      <c r="C4" s="76"/>
      <c r="F4" s="63"/>
      <c r="K4" s="64"/>
      <c r="L4" s="155" t="s">
        <v>60</v>
      </c>
      <c r="M4" s="65"/>
      <c r="N4" s="66"/>
      <c r="O4" s="67"/>
      <c r="P4" s="155" t="s">
        <v>61</v>
      </c>
      <c r="Q4" s="67"/>
      <c r="R4" s="65"/>
      <c r="S4" s="1202"/>
      <c r="T4" s="1203"/>
      <c r="U4" s="1572" t="s">
        <v>274</v>
      </c>
      <c r="V4" s="1203"/>
      <c r="W4" s="1204"/>
      <c r="X4" s="1944"/>
      <c r="Y4" s="1575"/>
      <c r="Z4" s="1575" t="s">
        <v>1072</v>
      </c>
      <c r="AA4" s="1575"/>
      <c r="AB4" s="1574"/>
      <c r="AC4" s="1573"/>
      <c r="AD4" s="1575"/>
      <c r="AE4" s="1575" t="s">
        <v>457</v>
      </c>
      <c r="AF4" s="1575"/>
      <c r="AG4" s="1574"/>
      <c r="AH4" s="1573"/>
      <c r="AI4" s="1575"/>
      <c r="AJ4" s="1575" t="s">
        <v>903</v>
      </c>
      <c r="AK4" s="1575"/>
      <c r="AL4" s="1574"/>
    </row>
    <row r="5" spans="1:58" x14ac:dyDescent="0.3">
      <c r="K5" s="1419">
        <v>2006</v>
      </c>
      <c r="L5" s="1360">
        <v>2007</v>
      </c>
      <c r="M5" s="1360">
        <v>2008</v>
      </c>
      <c r="N5" s="1360">
        <v>2009</v>
      </c>
      <c r="O5" s="1360">
        <v>2010</v>
      </c>
      <c r="P5" s="1360">
        <v>2011</v>
      </c>
      <c r="Q5" s="1360">
        <v>2012</v>
      </c>
      <c r="R5" s="1360">
        <v>2013</v>
      </c>
      <c r="S5" s="1420">
        <v>2014</v>
      </c>
      <c r="T5" s="1420">
        <v>2015</v>
      </c>
      <c r="U5" s="1420">
        <v>2016</v>
      </c>
      <c r="V5" s="1420">
        <v>2017</v>
      </c>
      <c r="W5" s="1420">
        <v>2018</v>
      </c>
      <c r="X5" s="1420">
        <v>2019</v>
      </c>
      <c r="Y5" s="1420">
        <v>2020</v>
      </c>
      <c r="Z5" s="1420">
        <v>2021</v>
      </c>
      <c r="AA5" s="1420">
        <v>2022</v>
      </c>
      <c r="AB5" s="1420">
        <v>2023</v>
      </c>
      <c r="AC5" s="1420">
        <v>2024</v>
      </c>
      <c r="AD5" s="1420">
        <v>2025</v>
      </c>
      <c r="AE5" s="1420">
        <v>2026</v>
      </c>
      <c r="AF5" s="1420">
        <v>2027</v>
      </c>
      <c r="AG5" s="1420">
        <v>2028</v>
      </c>
      <c r="AH5" s="1420">
        <v>2029</v>
      </c>
      <c r="AI5" s="1420">
        <v>2030</v>
      </c>
      <c r="AJ5" s="1420">
        <v>2031</v>
      </c>
      <c r="AK5" s="1420">
        <v>2032</v>
      </c>
      <c r="AL5" s="1420">
        <v>2033</v>
      </c>
    </row>
    <row r="6" spans="1:58" s="78" customFormat="1" x14ac:dyDescent="0.3">
      <c r="B6" s="267" t="s">
        <v>907</v>
      </c>
      <c r="K6" s="1319" t="str">
        <f>+CONCATENATE(K5-1,"-",RIGHT(K5,2))</f>
        <v>2005-06</v>
      </c>
      <c r="L6" s="1319" t="str">
        <f t="shared" ref="L6:AG6" si="0">+CONCATENATE(L5-1,"-",RIGHT(L5,2))</f>
        <v>2006-07</v>
      </c>
      <c r="M6" s="1319" t="str">
        <f t="shared" si="0"/>
        <v>2007-08</v>
      </c>
      <c r="N6" s="1319" t="str">
        <f t="shared" si="0"/>
        <v>2008-09</v>
      </c>
      <c r="O6" s="1319" t="str">
        <f t="shared" si="0"/>
        <v>2009-10</v>
      </c>
      <c r="P6" s="1319" t="str">
        <f t="shared" si="0"/>
        <v>2010-11</v>
      </c>
      <c r="Q6" s="1319" t="str">
        <f t="shared" si="0"/>
        <v>2011-12</v>
      </c>
      <c r="R6" s="1319" t="str">
        <f t="shared" si="0"/>
        <v>2012-13</v>
      </c>
      <c r="S6" s="1319" t="str">
        <f t="shared" si="0"/>
        <v>2013-14</v>
      </c>
      <c r="T6" s="1319" t="str">
        <f t="shared" si="0"/>
        <v>2014-15</v>
      </c>
      <c r="U6" s="1319" t="str">
        <f t="shared" si="0"/>
        <v>2015-16</v>
      </c>
      <c r="V6" s="1319" t="str">
        <f t="shared" si="0"/>
        <v>2016-17</v>
      </c>
      <c r="W6" s="1319" t="str">
        <f t="shared" si="0"/>
        <v>2017-18</v>
      </c>
      <c r="X6" s="1319" t="str">
        <f t="shared" si="0"/>
        <v>2018-19</v>
      </c>
      <c r="Y6" s="1319" t="str">
        <f t="shared" si="0"/>
        <v>2019-20</v>
      </c>
      <c r="Z6" s="1319" t="str">
        <f t="shared" si="0"/>
        <v>2020-21</v>
      </c>
      <c r="AA6" s="1319" t="str">
        <f t="shared" si="0"/>
        <v>2021-22</v>
      </c>
      <c r="AB6" s="1319" t="str">
        <f t="shared" si="0"/>
        <v>2022-23</v>
      </c>
      <c r="AC6" s="1319" t="str">
        <f t="shared" si="0"/>
        <v>2023-24</v>
      </c>
      <c r="AD6" s="1319" t="str">
        <f t="shared" si="0"/>
        <v>2024-25</v>
      </c>
      <c r="AE6" s="1319" t="str">
        <f t="shared" si="0"/>
        <v>2025-26</v>
      </c>
      <c r="AF6" s="1319" t="str">
        <f t="shared" si="0"/>
        <v>2026-27</v>
      </c>
      <c r="AG6" s="1319" t="str">
        <f t="shared" si="0"/>
        <v>2027-28</v>
      </c>
      <c r="AH6" s="1319" t="str">
        <f>+CONCATENATE(AH5-1,"-",RIGHT(AH5,2))</f>
        <v>2028-29</v>
      </c>
      <c r="AI6" s="1319" t="str">
        <f>+CONCATENATE(AI5-1,"-",RIGHT(AI5,2))</f>
        <v>2029-30</v>
      </c>
      <c r="AJ6" s="1319" t="str">
        <f>+CONCATENATE(AJ5-1,"-",RIGHT(AJ5,2))</f>
        <v>2030-31</v>
      </c>
      <c r="AK6" s="1319" t="str">
        <f>+CONCATENATE(AK5-1,"-",RIGHT(AK5,2))</f>
        <v>2031-32</v>
      </c>
      <c r="AL6" s="1319" t="str">
        <f>+CONCATENATE(AL5-1,"-",RIGHT(AL5,2))</f>
        <v>2032-33</v>
      </c>
    </row>
    <row r="8" spans="1:58" ht="13" x14ac:dyDescent="0.3">
      <c r="B8" s="1404" t="s">
        <v>856</v>
      </c>
      <c r="C8" s="1403"/>
      <c r="D8" s="1403"/>
      <c r="E8" s="1403"/>
      <c r="F8" s="1403"/>
      <c r="G8" s="1403"/>
      <c r="H8" s="1403"/>
      <c r="I8" s="1403"/>
      <c r="J8" s="1403"/>
      <c r="K8" s="1403"/>
      <c r="L8" s="1403"/>
      <c r="M8" s="1403"/>
      <c r="N8" s="1403"/>
      <c r="O8" s="1403"/>
      <c r="P8" s="1403"/>
      <c r="Q8" s="1403"/>
      <c r="R8" s="1403"/>
      <c r="S8" s="1403"/>
      <c r="T8" s="1403"/>
      <c r="U8" s="1403"/>
      <c r="V8" s="1403"/>
      <c r="W8" s="1403"/>
      <c r="X8" s="1403"/>
      <c r="Y8" s="1403"/>
      <c r="Z8" s="1525"/>
      <c r="AA8" s="1525"/>
      <c r="AB8" s="1525"/>
      <c r="AC8" s="1525"/>
    </row>
    <row r="9" spans="1:58" ht="12.5" thickBot="1" x14ac:dyDescent="0.35">
      <c r="C9" s="102"/>
      <c r="D9" s="102"/>
      <c r="E9" s="102"/>
      <c r="F9" s="102"/>
      <c r="G9" s="102"/>
      <c r="H9" s="223"/>
      <c r="I9" s="223"/>
      <c r="J9" s="102"/>
      <c r="K9" s="102"/>
      <c r="L9" s="102"/>
      <c r="M9" s="102"/>
      <c r="N9" s="102"/>
      <c r="O9" s="102"/>
      <c r="P9" s="102"/>
      <c r="Q9" s="102"/>
      <c r="R9" s="102"/>
      <c r="S9" s="102"/>
      <c r="T9" s="102"/>
      <c r="U9" s="102"/>
      <c r="V9" s="102"/>
      <c r="W9" s="102"/>
      <c r="X9" s="102"/>
      <c r="Y9" s="102"/>
      <c r="Z9" s="102"/>
      <c r="AA9" s="102"/>
      <c r="AB9" s="102"/>
      <c r="AC9" s="126"/>
      <c r="AD9" s="126"/>
    </row>
    <row r="10" spans="1:58" x14ac:dyDescent="0.3">
      <c r="B10" s="170"/>
      <c r="C10" s="443"/>
      <c r="D10" s="443"/>
      <c r="E10" s="443"/>
      <c r="F10" s="443"/>
      <c r="G10" s="443"/>
      <c r="H10" s="444"/>
      <c r="I10" s="444"/>
      <c r="J10" s="443"/>
      <c r="K10" s="443"/>
      <c r="L10" s="443"/>
      <c r="M10" s="443"/>
      <c r="N10" s="443"/>
      <c r="O10" s="443"/>
      <c r="P10" s="443"/>
      <c r="Q10" s="443"/>
      <c r="R10" s="443"/>
      <c r="S10" s="443"/>
      <c r="T10" s="443"/>
      <c r="U10" s="443"/>
      <c r="V10" s="443"/>
      <c r="W10" s="443"/>
      <c r="X10" s="443"/>
      <c r="Y10" s="443"/>
      <c r="Z10" s="443"/>
      <c r="AA10" s="443"/>
      <c r="AB10" s="443"/>
      <c r="AC10" s="443"/>
      <c r="AD10" s="443"/>
      <c r="AE10" s="171"/>
      <c r="AF10" s="171"/>
      <c r="AG10" s="171"/>
      <c r="AH10" s="171"/>
      <c r="AI10" s="171"/>
      <c r="AJ10" s="171"/>
      <c r="AK10" s="171"/>
      <c r="AL10" s="171"/>
      <c r="AM10" s="172"/>
    </row>
    <row r="11" spans="1:58" x14ac:dyDescent="0.3">
      <c r="B11" s="173"/>
      <c r="C11" s="271" t="s">
        <v>259</v>
      </c>
      <c r="D11" s="207"/>
      <c r="E11" s="102"/>
      <c r="F11" s="102"/>
      <c r="G11" s="102"/>
      <c r="H11" s="223"/>
      <c r="I11" s="223"/>
      <c r="J11" s="102"/>
      <c r="K11" s="102"/>
      <c r="L11" s="102"/>
      <c r="M11" s="102"/>
      <c r="N11" s="102"/>
      <c r="O11" s="102"/>
      <c r="P11" s="102"/>
      <c r="Q11" s="102"/>
      <c r="R11" s="102"/>
      <c r="S11" s="102"/>
      <c r="T11" s="102"/>
      <c r="U11" s="102"/>
      <c r="V11" s="102"/>
      <c r="W11" s="102"/>
      <c r="X11" s="102"/>
      <c r="Y11" s="102"/>
      <c r="Z11" s="102"/>
      <c r="AA11" s="102"/>
      <c r="AB11" s="102"/>
      <c r="AC11" s="102"/>
      <c r="AD11" s="102"/>
      <c r="AE11" s="72"/>
      <c r="AF11" s="72"/>
      <c r="AG11" s="72"/>
      <c r="AH11" s="72"/>
      <c r="AI11" s="72"/>
      <c r="AJ11" s="72"/>
      <c r="AK11" s="72"/>
      <c r="AL11" s="72"/>
      <c r="AM11" s="175"/>
    </row>
    <row r="12" spans="1:58" x14ac:dyDescent="0.3">
      <c r="B12" s="173"/>
      <c r="C12" s="102"/>
      <c r="D12" s="102"/>
      <c r="E12" s="102"/>
      <c r="F12" s="102"/>
      <c r="G12" s="102"/>
      <c r="H12" s="223"/>
      <c r="I12" s="223"/>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75"/>
    </row>
    <row r="13" spans="1:58" x14ac:dyDescent="0.3">
      <c r="B13" s="173"/>
      <c r="C13" s="102"/>
      <c r="D13" s="1188" t="s">
        <v>705</v>
      </c>
      <c r="E13" s="466"/>
      <c r="F13" s="102"/>
      <c r="G13" s="72"/>
      <c r="H13" s="223"/>
      <c r="I13" s="223"/>
      <c r="J13" s="297"/>
      <c r="K13" s="297"/>
      <c r="L13" s="297"/>
      <c r="M13" s="297"/>
      <c r="N13" s="297"/>
      <c r="O13" s="297"/>
      <c r="P13" s="297"/>
      <c r="Q13" s="297"/>
      <c r="R13" s="297"/>
      <c r="S13" s="297"/>
      <c r="T13" s="297"/>
      <c r="U13" s="297"/>
      <c r="V13" s="297"/>
      <c r="W13" s="297">
        <f t="shared" ref="W13:AG13" si="1">W34</f>
        <v>23.99</v>
      </c>
      <c r="X13" s="297">
        <f t="shared" si="1"/>
        <v>24.43</v>
      </c>
      <c r="Y13" s="297">
        <f t="shared" si="1"/>
        <v>24.95</v>
      </c>
      <c r="Z13" s="297">
        <f t="shared" si="1"/>
        <v>24</v>
      </c>
      <c r="AA13" s="297">
        <f t="shared" si="1"/>
        <v>26.463763799999995</v>
      </c>
      <c r="AB13" s="297">
        <f t="shared" si="1"/>
        <v>26.913647784599991</v>
      </c>
      <c r="AC13" s="297">
        <f t="shared" si="1"/>
        <v>27.37117979693819</v>
      </c>
      <c r="AD13" s="297">
        <f t="shared" si="1"/>
        <v>27.836489853486135</v>
      </c>
      <c r="AE13" s="297">
        <f t="shared" si="1"/>
        <v>28.309710180995395</v>
      </c>
      <c r="AF13" s="297">
        <f t="shared" si="1"/>
        <v>28.790975254072315</v>
      </c>
      <c r="AG13" s="297">
        <f t="shared" si="1"/>
        <v>29.280421833391543</v>
      </c>
      <c r="AH13" s="297">
        <f>AH34</f>
        <v>29.778189004559195</v>
      </c>
      <c r="AI13" s="297">
        <f>AI34</f>
        <v>30.284418217636699</v>
      </c>
      <c r="AJ13" s="297">
        <f>AJ34</f>
        <v>30.799253327336519</v>
      </c>
      <c r="AK13" s="297">
        <f>AK34</f>
        <v>31.322840633901237</v>
      </c>
      <c r="AL13" s="297">
        <f>AL34</f>
        <v>31.855328924677554</v>
      </c>
      <c r="AM13" s="175"/>
      <c r="AO13" s="807"/>
      <c r="AP13" s="807"/>
      <c r="AQ13" s="807"/>
      <c r="AR13" s="807"/>
      <c r="AS13" s="807"/>
      <c r="AT13" s="807"/>
      <c r="AU13" s="807"/>
      <c r="AV13" s="807"/>
      <c r="AW13" s="807"/>
      <c r="AX13" s="807"/>
      <c r="AY13" s="807"/>
      <c r="AZ13" s="807"/>
      <c r="BA13" s="807"/>
      <c r="BB13" s="807"/>
      <c r="BC13" s="807"/>
      <c r="BD13" s="807"/>
      <c r="BE13" s="807"/>
      <c r="BF13" s="807"/>
    </row>
    <row r="14" spans="1:58" x14ac:dyDescent="0.3">
      <c r="B14" s="173"/>
      <c r="C14" s="102"/>
      <c r="D14" s="1188" t="s">
        <v>706</v>
      </c>
      <c r="E14" s="466"/>
      <c r="F14" s="102"/>
      <c r="G14" s="72"/>
      <c r="H14" s="223"/>
      <c r="I14" s="223"/>
      <c r="J14" s="297"/>
      <c r="K14" s="297"/>
      <c r="L14" s="297"/>
      <c r="M14" s="297"/>
      <c r="N14" s="297"/>
      <c r="O14" s="297"/>
      <c r="P14" s="297"/>
      <c r="Q14" s="297"/>
      <c r="R14" s="297"/>
      <c r="S14" s="297"/>
      <c r="T14" s="297"/>
      <c r="U14" s="297"/>
      <c r="V14" s="297"/>
      <c r="W14" s="297">
        <f t="shared" ref="W14:AG14" si="2">W92</f>
        <v>4.215463715837104</v>
      </c>
      <c r="X14" s="297">
        <f t="shared" si="2"/>
        <v>6.513008131221719</v>
      </c>
      <c r="Y14" s="297">
        <f t="shared" si="2"/>
        <v>5.6157489990950227</v>
      </c>
      <c r="Z14" s="297">
        <f t="shared" si="2"/>
        <v>5.1901037239819008</v>
      </c>
      <c r="AA14" s="297">
        <f t="shared" si="2"/>
        <v>5.2939057984615383</v>
      </c>
      <c r="AB14" s="297">
        <f t="shared" si="2"/>
        <v>5.3997839144307695</v>
      </c>
      <c r="AC14" s="297">
        <f t="shared" si="2"/>
        <v>5.5077795927193849</v>
      </c>
      <c r="AD14" s="297">
        <f t="shared" si="2"/>
        <v>5.6179351845737733</v>
      </c>
      <c r="AE14" s="297">
        <f t="shared" si="2"/>
        <v>5.7302938882652485</v>
      </c>
      <c r="AF14" s="297">
        <f>AF92</f>
        <v>5.8448997660305535</v>
      </c>
      <c r="AG14" s="297">
        <f t="shared" si="2"/>
        <v>5.9617977613511641</v>
      </c>
      <c r="AH14" s="297">
        <f>AH92</f>
        <v>6.0810337165781876</v>
      </c>
      <c r="AI14" s="297">
        <f>AI92</f>
        <v>6.2026543909097516</v>
      </c>
      <c r="AJ14" s="297">
        <f>AJ92</f>
        <v>6.3267074787279469</v>
      </c>
      <c r="AK14" s="297">
        <f>AK92</f>
        <v>6.4532416283025054</v>
      </c>
      <c r="AL14" s="297">
        <f>AL92</f>
        <v>6.5823064608685566</v>
      </c>
      <c r="AM14" s="175"/>
      <c r="AO14" s="807"/>
      <c r="AP14" s="807"/>
      <c r="AQ14" s="807"/>
      <c r="AR14" s="807"/>
      <c r="AS14" s="807"/>
      <c r="AT14" s="807"/>
      <c r="AU14" s="807"/>
      <c r="AV14" s="807"/>
      <c r="AW14" s="807"/>
      <c r="AX14" s="807"/>
      <c r="AY14" s="807"/>
      <c r="AZ14" s="807"/>
      <c r="BA14" s="807"/>
      <c r="BB14" s="807"/>
      <c r="BC14" s="807"/>
      <c r="BD14" s="807"/>
      <c r="BE14" s="807"/>
      <c r="BF14" s="807"/>
    </row>
    <row r="15" spans="1:58" x14ac:dyDescent="0.3">
      <c r="B15" s="173"/>
      <c r="C15" s="102"/>
      <c r="D15" s="1188" t="s">
        <v>349</v>
      </c>
      <c r="E15" s="466"/>
      <c r="F15" s="102"/>
      <c r="G15" s="72"/>
      <c r="H15" s="223"/>
      <c r="I15" s="223"/>
      <c r="J15" s="297"/>
      <c r="K15" s="297"/>
      <c r="L15" s="297"/>
      <c r="M15" s="297"/>
      <c r="N15" s="297"/>
      <c r="O15" s="297"/>
      <c r="P15" s="297"/>
      <c r="Q15" s="297"/>
      <c r="R15" s="297"/>
      <c r="S15" s="297"/>
      <c r="T15" s="297"/>
      <c r="U15" s="297"/>
      <c r="V15" s="297"/>
      <c r="W15" s="297">
        <f t="shared" ref="W15:AG15" si="3">W103</f>
        <v>1.8198162895927603</v>
      </c>
      <c r="X15" s="297">
        <f t="shared" si="3"/>
        <v>0.46990670515097704</v>
      </c>
      <c r="Y15" s="297">
        <f t="shared" si="3"/>
        <v>3.9881276118404911</v>
      </c>
      <c r="Z15" s="297">
        <f t="shared" si="3"/>
        <v>3.8102433996226375</v>
      </c>
      <c r="AA15" s="297">
        <f t="shared" si="3"/>
        <v>3.8864482676150902</v>
      </c>
      <c r="AB15" s="297">
        <f t="shared" si="3"/>
        <v>3.9641772329673919</v>
      </c>
      <c r="AC15" s="297">
        <f t="shared" si="3"/>
        <v>4.0434607776267395</v>
      </c>
      <c r="AD15" s="297">
        <f t="shared" si="3"/>
        <v>4.1243299931792743</v>
      </c>
      <c r="AE15" s="297">
        <f t="shared" si="3"/>
        <v>4.20681659304286</v>
      </c>
      <c r="AF15" s="297">
        <f t="shared" si="3"/>
        <v>4.290952924903717</v>
      </c>
      <c r="AG15" s="297">
        <f t="shared" si="3"/>
        <v>4.3767719834017917</v>
      </c>
      <c r="AH15" s="297">
        <f>AH103</f>
        <v>4.4643074230698279</v>
      </c>
      <c r="AI15" s="297">
        <f>AI103</f>
        <v>4.5535935715312243</v>
      </c>
      <c r="AJ15" s="297">
        <f>AJ103</f>
        <v>4.6446654429618492</v>
      </c>
      <c r="AK15" s="297">
        <f>AK103</f>
        <v>4.7375587518210862</v>
      </c>
      <c r="AL15" s="297">
        <f>AL103</f>
        <v>4.8323099268575076</v>
      </c>
      <c r="AM15" s="175"/>
      <c r="AO15" s="807"/>
      <c r="AP15" s="807"/>
      <c r="AQ15" s="807"/>
      <c r="AR15" s="807"/>
      <c r="AS15" s="807"/>
      <c r="AT15" s="807"/>
      <c r="AU15" s="807"/>
      <c r="AV15" s="807"/>
      <c r="AW15" s="807"/>
      <c r="AX15" s="807"/>
      <c r="AY15" s="807"/>
      <c r="AZ15" s="807"/>
      <c r="BA15" s="807"/>
      <c r="BB15" s="807"/>
      <c r="BC15" s="807"/>
      <c r="BD15" s="807"/>
      <c r="BE15" s="807"/>
      <c r="BF15" s="807"/>
    </row>
    <row r="16" spans="1:58" x14ac:dyDescent="0.3">
      <c r="B16" s="173"/>
      <c r="C16" s="102"/>
      <c r="D16" s="1188" t="s">
        <v>707</v>
      </c>
      <c r="E16" s="466"/>
      <c r="F16" s="102"/>
      <c r="G16" s="72"/>
      <c r="H16" s="223"/>
      <c r="I16" s="223"/>
      <c r="J16" s="297"/>
      <c r="K16" s="297"/>
      <c r="L16" s="297"/>
      <c r="M16" s="297"/>
      <c r="N16" s="297"/>
      <c r="O16" s="297"/>
      <c r="P16" s="297"/>
      <c r="Q16" s="297"/>
      <c r="R16" s="297"/>
      <c r="S16" s="297"/>
      <c r="T16" s="297"/>
      <c r="U16" s="297"/>
      <c r="V16" s="297"/>
      <c r="W16" s="297">
        <f t="shared" ref="W16:AG16" si="4">W114</f>
        <v>0</v>
      </c>
      <c r="X16" s="297">
        <f t="shared" si="4"/>
        <v>0.43554261101243352</v>
      </c>
      <c r="Y16" s="297">
        <f t="shared" si="4"/>
        <v>0.52994881546012274</v>
      </c>
      <c r="Z16" s="297">
        <f t="shared" si="4"/>
        <v>0.52520613877358491</v>
      </c>
      <c r="AA16" s="297">
        <f t="shared" si="4"/>
        <v>0.53571026154905665</v>
      </c>
      <c r="AB16" s="297">
        <f t="shared" si="4"/>
        <v>0.54642446678003775</v>
      </c>
      <c r="AC16" s="297">
        <f t="shared" si="4"/>
        <v>0.55735295611563851</v>
      </c>
      <c r="AD16" s="297">
        <f t="shared" si="4"/>
        <v>0.56850001523795124</v>
      </c>
      <c r="AE16" s="297">
        <f t="shared" si="4"/>
        <v>0.57987001554271023</v>
      </c>
      <c r="AF16" s="297">
        <f t="shared" si="4"/>
        <v>0.59146741585356444</v>
      </c>
      <c r="AG16" s="297">
        <f t="shared" si="4"/>
        <v>0.60329676417063571</v>
      </c>
      <c r="AH16" s="297">
        <f>AH114</f>
        <v>0.61536269945404842</v>
      </c>
      <c r="AI16" s="297">
        <f>AI114</f>
        <v>0.62766995344312937</v>
      </c>
      <c r="AJ16" s="297">
        <f>AJ114</f>
        <v>0.64022335251199192</v>
      </c>
      <c r="AK16" s="297">
        <f>AK114</f>
        <v>0.65302781956223177</v>
      </c>
      <c r="AL16" s="297">
        <f>AL114</f>
        <v>0.66608837595347636</v>
      </c>
      <c r="AM16" s="175"/>
      <c r="AO16" s="807"/>
      <c r="AP16" s="807"/>
      <c r="AQ16" s="807"/>
      <c r="AR16" s="807"/>
      <c r="AS16" s="807"/>
      <c r="AT16" s="807"/>
      <c r="AU16" s="807"/>
      <c r="AV16" s="807"/>
      <c r="AW16" s="807"/>
      <c r="AX16" s="807"/>
      <c r="AY16" s="807"/>
      <c r="AZ16" s="807"/>
      <c r="BA16" s="807"/>
      <c r="BB16" s="807"/>
      <c r="BC16" s="807"/>
      <c r="BD16" s="807"/>
      <c r="BE16" s="807"/>
      <c r="BF16" s="807"/>
    </row>
    <row r="17" spans="2:39" ht="12.5" thickBot="1" x14ac:dyDescent="0.35">
      <c r="B17" s="179"/>
      <c r="C17" s="452"/>
      <c r="D17" s="452"/>
      <c r="E17" s="1205"/>
      <c r="F17" s="452"/>
      <c r="G17" s="452"/>
      <c r="H17" s="453"/>
      <c r="I17" s="453"/>
      <c r="J17" s="1206"/>
      <c r="K17" s="1206"/>
      <c r="L17" s="1206"/>
      <c r="M17" s="1206"/>
      <c r="N17" s="1206"/>
      <c r="O17" s="1206"/>
      <c r="P17" s="1206"/>
      <c r="Q17" s="1206"/>
      <c r="R17" s="1206"/>
      <c r="S17" s="1206"/>
      <c r="T17" s="1206"/>
      <c r="U17" s="1206"/>
      <c r="V17" s="1206"/>
      <c r="W17" s="1206"/>
      <c r="X17" s="1206"/>
      <c r="Y17" s="1206"/>
      <c r="Z17" s="1206"/>
      <c r="AA17" s="1206"/>
      <c r="AB17" s="293"/>
      <c r="AC17" s="293"/>
      <c r="AD17" s="293"/>
      <c r="AE17" s="293"/>
      <c r="AF17" s="293"/>
      <c r="AG17" s="452"/>
      <c r="AH17" s="293"/>
      <c r="AI17" s="293"/>
      <c r="AJ17" s="293"/>
      <c r="AK17" s="293"/>
      <c r="AL17" s="452"/>
      <c r="AM17" s="182"/>
    </row>
    <row r="18" spans="2:39" x14ac:dyDescent="0.3">
      <c r="C18" s="102"/>
      <c r="D18" s="102"/>
      <c r="E18" s="466"/>
      <c r="F18" s="102"/>
      <c r="G18" s="102"/>
      <c r="H18" s="223"/>
      <c r="I18" s="223"/>
      <c r="J18" s="297"/>
      <c r="K18" s="297"/>
      <c r="L18" s="297"/>
      <c r="M18" s="297"/>
      <c r="N18" s="297"/>
      <c r="O18" s="297"/>
      <c r="P18" s="297"/>
      <c r="Q18" s="297"/>
      <c r="R18" s="297"/>
      <c r="S18" s="297"/>
      <c r="T18" s="297"/>
      <c r="U18" s="297"/>
      <c r="V18" s="297"/>
      <c r="W18" s="297"/>
      <c r="X18" s="297"/>
      <c r="Y18" s="297"/>
      <c r="Z18" s="297"/>
      <c r="AA18" s="297"/>
      <c r="AB18" s="275"/>
      <c r="AC18" s="275"/>
      <c r="AD18" s="275"/>
      <c r="AE18" s="275"/>
      <c r="AF18" s="275"/>
      <c r="AG18" s="102"/>
      <c r="AH18" s="275"/>
      <c r="AI18" s="275"/>
      <c r="AJ18" s="275"/>
      <c r="AK18" s="275"/>
      <c r="AL18" s="102"/>
    </row>
    <row r="19" spans="2:39" ht="12.5" thickBot="1" x14ac:dyDescent="0.35"/>
    <row r="20" spans="2:39" x14ac:dyDescent="0.3">
      <c r="B20" s="170"/>
      <c r="C20" s="171"/>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2"/>
    </row>
    <row r="21" spans="2:39" x14ac:dyDescent="0.3">
      <c r="B21" s="173"/>
      <c r="C21" s="174" t="s">
        <v>297</v>
      </c>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c r="AL21" s="72"/>
      <c r="AM21" s="175"/>
    </row>
    <row r="22" spans="2:39" x14ac:dyDescent="0.3">
      <c r="B22" s="173"/>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c r="AL22" s="72"/>
      <c r="AM22" s="175"/>
    </row>
    <row r="23" spans="2:39" x14ac:dyDescent="0.3">
      <c r="B23" s="173"/>
      <c r="C23" s="72"/>
      <c r="D23" s="72" t="s">
        <v>338</v>
      </c>
      <c r="E23" s="72"/>
      <c r="F23" s="72"/>
      <c r="G23" s="178"/>
      <c r="H23" s="72"/>
      <c r="I23" s="72"/>
      <c r="J23" s="72"/>
      <c r="K23" s="72"/>
      <c r="L23" s="72"/>
      <c r="M23" s="72"/>
      <c r="N23" s="72"/>
      <c r="O23" s="72"/>
      <c r="P23" s="72"/>
      <c r="Q23" s="72"/>
      <c r="R23" s="72"/>
      <c r="S23" s="2001"/>
      <c r="T23" s="2002"/>
      <c r="U23" s="2002"/>
      <c r="V23" s="2002"/>
      <c r="W23" s="2021">
        <v>183.4</v>
      </c>
      <c r="X23" s="1185">
        <v>190.67</v>
      </c>
      <c r="Y23" s="210">
        <v>186.1</v>
      </c>
      <c r="Z23" s="210">
        <v>190.6</v>
      </c>
      <c r="AA23" s="233">
        <v>197.8</v>
      </c>
      <c r="AB23" s="414"/>
      <c r="AC23" s="72"/>
      <c r="AD23" s="72"/>
      <c r="AE23" s="72"/>
      <c r="AF23" s="72"/>
      <c r="AG23" s="72"/>
      <c r="AH23" s="72"/>
      <c r="AI23" s="72"/>
      <c r="AJ23" s="72"/>
      <c r="AK23" s="72"/>
      <c r="AL23" s="72"/>
      <c r="AM23" s="175"/>
    </row>
    <row r="24" spans="2:39" x14ac:dyDescent="0.3">
      <c r="B24" s="173"/>
      <c r="C24" s="72"/>
      <c r="D24" s="72" t="s">
        <v>330</v>
      </c>
      <c r="E24" s="72"/>
      <c r="F24" s="214"/>
      <c r="G24" s="214"/>
      <c r="H24" s="214"/>
      <c r="I24" s="214"/>
      <c r="J24" s="214"/>
      <c r="K24" s="72"/>
      <c r="L24" s="72"/>
      <c r="M24" s="72"/>
      <c r="N24" s="72"/>
      <c r="O24" s="72"/>
      <c r="P24" s="72"/>
      <c r="Q24" s="72"/>
      <c r="R24" s="72"/>
      <c r="S24" s="2003"/>
      <c r="T24" s="2004"/>
      <c r="U24" s="2004"/>
      <c r="V24" s="2004"/>
      <c r="W24" s="1943">
        <v>23.99</v>
      </c>
      <c r="X24" s="344">
        <v>24.43</v>
      </c>
      <c r="Y24" s="345">
        <v>24.95</v>
      </c>
      <c r="Z24" s="345">
        <v>24</v>
      </c>
      <c r="AA24" s="345">
        <v>26.463763799999995</v>
      </c>
      <c r="AB24" s="346">
        <v>26.913647784599991</v>
      </c>
      <c r="AC24" s="345">
        <v>27.37117979693819</v>
      </c>
      <c r="AD24" s="345">
        <v>27.836489853486135</v>
      </c>
      <c r="AE24" s="345">
        <v>28.309710180995395</v>
      </c>
      <c r="AF24" s="345">
        <v>28.790975254072315</v>
      </c>
      <c r="AG24" s="346">
        <v>29.280421833391543</v>
      </c>
      <c r="AH24" s="345">
        <v>29.778189004559195</v>
      </c>
      <c r="AI24" s="345">
        <v>30.284418217636699</v>
      </c>
      <c r="AJ24" s="345">
        <v>30.799253327336519</v>
      </c>
      <c r="AK24" s="345">
        <v>31.322840633901237</v>
      </c>
      <c r="AL24" s="346">
        <v>31.855328924677554</v>
      </c>
      <c r="AM24" s="175"/>
    </row>
    <row r="25" spans="2:39" x14ac:dyDescent="0.3">
      <c r="B25" s="173"/>
      <c r="C25" s="72"/>
      <c r="D25" s="72" t="s">
        <v>331</v>
      </c>
      <c r="E25" s="72"/>
      <c r="F25" s="214"/>
      <c r="G25" s="214"/>
      <c r="H25" s="214"/>
      <c r="I25" s="214"/>
      <c r="J25" s="215"/>
      <c r="K25" s="72"/>
      <c r="L25" s="72"/>
      <c r="M25" s="72"/>
      <c r="N25" s="72"/>
      <c r="O25" s="72"/>
      <c r="P25" s="72"/>
      <c r="Q25" s="72"/>
      <c r="R25" s="72"/>
      <c r="S25" s="1304"/>
      <c r="T25" s="1304"/>
      <c r="U25" s="1304"/>
      <c r="V25" s="1304"/>
      <c r="W25" s="2022">
        <f>+W24/W23*10^3</f>
        <v>130.80697928026171</v>
      </c>
      <c r="X25" s="1605">
        <f>+X24/X23*10^3</f>
        <v>128.12713064456915</v>
      </c>
      <c r="Y25" s="1605">
        <f>+Y24/Y23*10^3</f>
        <v>134.06770553465878</v>
      </c>
      <c r="Z25" s="1605">
        <f>+Z24/Z23*10^3</f>
        <v>125.91815320041974</v>
      </c>
      <c r="AA25" s="1605">
        <f>+AA24/AA23*10^3</f>
        <v>133.79051466127399</v>
      </c>
      <c r="AB25" s="1606">
        <f t="shared" ref="AB25:AL25" si="5">+AB24/$AA$23*10^3</f>
        <v>136.06495341051561</v>
      </c>
      <c r="AC25" s="1607">
        <f t="shared" si="5"/>
        <v>138.37805761849435</v>
      </c>
      <c r="AD25" s="1607">
        <f t="shared" si="5"/>
        <v>140.73048459800876</v>
      </c>
      <c r="AE25" s="1607">
        <f t="shared" si="5"/>
        <v>143.12290283617492</v>
      </c>
      <c r="AF25" s="1607">
        <f t="shared" si="5"/>
        <v>145.55599218438985</v>
      </c>
      <c r="AG25" s="1607">
        <f t="shared" si="5"/>
        <v>148.03044405152446</v>
      </c>
      <c r="AH25" s="1607">
        <f t="shared" si="5"/>
        <v>150.54696160040038</v>
      </c>
      <c r="AI25" s="1607">
        <f t="shared" si="5"/>
        <v>153.10625994760716</v>
      </c>
      <c r="AJ25" s="1607">
        <f t="shared" si="5"/>
        <v>155.70906636671646</v>
      </c>
      <c r="AK25" s="1607">
        <f t="shared" si="5"/>
        <v>158.35612049495063</v>
      </c>
      <c r="AL25" s="1607">
        <f t="shared" si="5"/>
        <v>161.04817454336478</v>
      </c>
      <c r="AM25" s="175"/>
    </row>
    <row r="26" spans="2:39" x14ac:dyDescent="0.3">
      <c r="B26" s="173"/>
      <c r="C26" s="72"/>
      <c r="D26" s="72" t="s">
        <v>298</v>
      </c>
      <c r="E26" s="72"/>
      <c r="F26" s="214"/>
      <c r="G26" s="214"/>
      <c r="H26" s="214"/>
      <c r="I26" s="214"/>
      <c r="J26" s="214"/>
      <c r="K26" s="72"/>
      <c r="L26" s="72"/>
      <c r="M26" s="72"/>
      <c r="N26" s="72"/>
      <c r="O26" s="72"/>
      <c r="P26" s="72"/>
      <c r="Q26" s="72"/>
      <c r="R26" s="72"/>
      <c r="S26" s="1304"/>
      <c r="T26" s="1304"/>
      <c r="U26" s="1304"/>
      <c r="V26" s="1304"/>
      <c r="W26" s="2006"/>
      <c r="X26" s="217">
        <f t="shared" ref="X26:AG26" si="6">+X25/W25-1</f>
        <v>-2.0487046260359132E-2</v>
      </c>
      <c r="Y26" s="217">
        <f t="shared" si="6"/>
        <v>4.6364691538820724E-2</v>
      </c>
      <c r="Z26" s="217">
        <f t="shared" si="6"/>
        <v>-6.0786841258592683E-2</v>
      </c>
      <c r="AA26" s="217">
        <f t="shared" si="6"/>
        <v>6.2519670601617561E-2</v>
      </c>
      <c r="AB26" s="217">
        <f t="shared" si="6"/>
        <v>1.6999999999999682E-2</v>
      </c>
      <c r="AC26" s="217">
        <f t="shared" si="6"/>
        <v>1.6999999999999904E-2</v>
      </c>
      <c r="AD26" s="217">
        <f t="shared" si="6"/>
        <v>1.6999999999999904E-2</v>
      </c>
      <c r="AE26" s="217">
        <f t="shared" si="6"/>
        <v>1.7000000000000126E-2</v>
      </c>
      <c r="AF26" s="217">
        <f t="shared" si="6"/>
        <v>1.6999999999999682E-2</v>
      </c>
      <c r="AG26" s="217">
        <f t="shared" si="6"/>
        <v>1.6999999999999904E-2</v>
      </c>
      <c r="AH26" s="217">
        <f>+AH25/AG25-1</f>
        <v>1.7000000000000126E-2</v>
      </c>
      <c r="AI26" s="217">
        <f>+AI25/AH25-1</f>
        <v>1.6999999999999904E-2</v>
      </c>
      <c r="AJ26" s="217">
        <f>+AJ25/AI25-1</f>
        <v>1.6999999999999904E-2</v>
      </c>
      <c r="AK26" s="217">
        <f>+AK25/AJ25-1</f>
        <v>1.6999999999999904E-2</v>
      </c>
      <c r="AL26" s="217">
        <f>+AL25/AK25-1</f>
        <v>1.6999999999999904E-2</v>
      </c>
      <c r="AM26" s="175"/>
    </row>
    <row r="27" spans="2:39" x14ac:dyDescent="0.3">
      <c r="B27" s="173"/>
      <c r="C27" s="72"/>
      <c r="D27" s="102"/>
      <c r="E27" s="102"/>
      <c r="F27" s="217"/>
      <c r="G27" s="217"/>
      <c r="H27" s="214"/>
      <c r="I27" s="214"/>
      <c r="J27" s="214"/>
      <c r="K27" s="72"/>
      <c r="L27" s="72"/>
      <c r="M27" s="72"/>
      <c r="N27" s="72"/>
      <c r="O27" s="72"/>
      <c r="P27" s="72"/>
      <c r="Q27" s="72"/>
      <c r="R27" s="72"/>
      <c r="S27" s="1304"/>
      <c r="T27" s="1304"/>
      <c r="U27" s="1304"/>
      <c r="V27" s="1304"/>
      <c r="W27" s="2019"/>
      <c r="X27" s="72"/>
      <c r="Y27" s="72"/>
      <c r="Z27" s="72"/>
      <c r="AA27" s="72"/>
      <c r="AB27" s="214"/>
      <c r="AC27" s="72"/>
      <c r="AD27" s="72"/>
      <c r="AE27" s="72"/>
      <c r="AF27" s="72"/>
      <c r="AG27" s="72"/>
      <c r="AH27" s="72"/>
      <c r="AI27" s="72"/>
      <c r="AJ27" s="72"/>
      <c r="AK27" s="72"/>
      <c r="AL27" s="72"/>
      <c r="AM27" s="175"/>
    </row>
    <row r="28" spans="2:39" x14ac:dyDescent="0.3">
      <c r="B28" s="173"/>
      <c r="C28" s="72"/>
      <c r="D28" s="102" t="s">
        <v>374</v>
      </c>
      <c r="E28" s="102"/>
      <c r="F28" s="218"/>
      <c r="G28" s="219"/>
      <c r="H28" s="220"/>
      <c r="I28" s="220"/>
      <c r="J28" s="220"/>
      <c r="K28" s="72"/>
      <c r="L28" s="72"/>
      <c r="M28" s="72"/>
      <c r="N28" s="72"/>
      <c r="O28" s="72"/>
      <c r="P28" s="72"/>
      <c r="Q28" s="72"/>
      <c r="R28" s="72"/>
      <c r="S28" s="1304"/>
      <c r="T28" s="1304"/>
      <c r="U28" s="1304"/>
      <c r="V28" s="1304"/>
      <c r="W28" s="1304"/>
      <c r="X28" s="72"/>
      <c r="Y28" s="72"/>
      <c r="Z28" s="72"/>
      <c r="AA28" s="72"/>
      <c r="AB28" s="347"/>
      <c r="AC28" s="210">
        <v>2</v>
      </c>
      <c r="AD28" s="210">
        <v>2</v>
      </c>
      <c r="AE28" s="210">
        <v>2</v>
      </c>
      <c r="AF28" s="210">
        <v>2</v>
      </c>
      <c r="AG28" s="233">
        <v>2</v>
      </c>
      <c r="AH28" s="210"/>
      <c r="AI28" s="210"/>
      <c r="AJ28" s="210"/>
      <c r="AK28" s="210"/>
      <c r="AL28" s="233"/>
      <c r="AM28" s="175"/>
    </row>
    <row r="29" spans="2:39" x14ac:dyDescent="0.3">
      <c r="B29" s="173"/>
      <c r="C29" s="72"/>
      <c r="D29" s="102" t="s">
        <v>340</v>
      </c>
      <c r="E29" s="102"/>
      <c r="F29" s="218"/>
      <c r="G29" s="218"/>
      <c r="H29" s="220"/>
      <c r="I29" s="220"/>
      <c r="J29" s="220"/>
      <c r="K29" s="72"/>
      <c r="L29" s="72"/>
      <c r="M29" s="72"/>
      <c r="N29" s="72"/>
      <c r="O29" s="72"/>
      <c r="P29" s="72"/>
      <c r="Q29" s="72"/>
      <c r="R29" s="72"/>
      <c r="S29" s="1304"/>
      <c r="T29" s="1304"/>
      <c r="U29" s="1304"/>
      <c r="V29" s="1304"/>
      <c r="W29" s="1304"/>
      <c r="X29" s="72"/>
      <c r="Y29" s="72"/>
      <c r="Z29" s="72"/>
      <c r="AA29" s="72"/>
      <c r="AB29" s="347"/>
      <c r="AC29" s="210"/>
      <c r="AD29" s="210"/>
      <c r="AE29" s="210"/>
      <c r="AF29" s="210"/>
      <c r="AG29" s="233"/>
      <c r="AH29" s="210"/>
      <c r="AI29" s="210"/>
      <c r="AJ29" s="210"/>
      <c r="AK29" s="210"/>
      <c r="AL29" s="233"/>
      <c r="AM29" s="175"/>
    </row>
    <row r="30" spans="2:39" x14ac:dyDescent="0.3">
      <c r="B30" s="173"/>
      <c r="C30" s="72"/>
      <c r="D30" s="72"/>
      <c r="E30" s="72"/>
      <c r="F30" s="214"/>
      <c r="G30" s="214"/>
      <c r="H30" s="214"/>
      <c r="I30" s="214"/>
      <c r="J30" s="214"/>
      <c r="K30" s="72"/>
      <c r="L30" s="72"/>
      <c r="M30" s="72"/>
      <c r="N30" s="72"/>
      <c r="O30" s="72"/>
      <c r="P30" s="72"/>
      <c r="Q30" s="72"/>
      <c r="R30" s="72"/>
      <c r="S30" s="1304"/>
      <c r="T30" s="1304"/>
      <c r="U30" s="1304"/>
      <c r="V30" s="1304"/>
      <c r="W30" s="2023"/>
      <c r="X30" s="216"/>
      <c r="Y30" s="216"/>
      <c r="Z30" s="216"/>
      <c r="AA30" s="216"/>
      <c r="AB30" s="216"/>
      <c r="AC30" s="216"/>
      <c r="AD30" s="216"/>
      <c r="AE30" s="216"/>
      <c r="AF30" s="216"/>
      <c r="AG30" s="216"/>
      <c r="AH30" s="216"/>
      <c r="AI30" s="216"/>
      <c r="AJ30" s="216"/>
      <c r="AK30" s="216"/>
      <c r="AL30" s="216"/>
      <c r="AM30" s="175"/>
    </row>
    <row r="31" spans="2:39" x14ac:dyDescent="0.3">
      <c r="B31" s="173"/>
      <c r="C31" s="72"/>
      <c r="D31" s="72"/>
      <c r="E31" s="72"/>
      <c r="F31" s="214"/>
      <c r="G31" s="214"/>
      <c r="H31" s="214"/>
      <c r="I31" s="214"/>
      <c r="J31" s="214"/>
      <c r="K31" s="72"/>
      <c r="L31" s="72"/>
      <c r="M31" s="72"/>
      <c r="N31" s="72"/>
      <c r="O31" s="72"/>
      <c r="P31" s="72"/>
      <c r="Q31" s="72"/>
      <c r="R31" s="72"/>
      <c r="S31" s="1304"/>
      <c r="T31" s="1304"/>
      <c r="U31" s="1304"/>
      <c r="V31" s="1304"/>
      <c r="W31" s="2019"/>
      <c r="X31" s="214"/>
      <c r="Y31" s="214"/>
      <c r="Z31" s="214"/>
      <c r="AA31" s="214"/>
      <c r="AB31" s="214"/>
      <c r="AC31" s="214"/>
      <c r="AD31" s="214"/>
      <c r="AE31" s="214"/>
      <c r="AF31" s="214"/>
      <c r="AG31" s="214"/>
      <c r="AH31" s="214"/>
      <c r="AI31" s="214"/>
      <c r="AJ31" s="214"/>
      <c r="AK31" s="214"/>
      <c r="AL31" s="214"/>
      <c r="AM31" s="175"/>
    </row>
    <row r="32" spans="2:39" x14ac:dyDescent="0.3">
      <c r="B32" s="173"/>
      <c r="C32" s="72"/>
      <c r="D32" s="72"/>
      <c r="E32" s="72"/>
      <c r="F32" s="214"/>
      <c r="G32" s="214"/>
      <c r="H32" s="214"/>
      <c r="I32" s="214"/>
      <c r="J32" s="214"/>
      <c r="K32" s="72"/>
      <c r="L32" s="72"/>
      <c r="M32" s="72"/>
      <c r="N32" s="72"/>
      <c r="O32" s="72"/>
      <c r="P32" s="72"/>
      <c r="Q32" s="72"/>
      <c r="R32" s="72"/>
      <c r="S32" s="1304"/>
      <c r="T32" s="1304"/>
      <c r="U32" s="1304"/>
      <c r="V32" s="1304"/>
      <c r="W32" s="2006"/>
      <c r="X32" s="72"/>
      <c r="Y32" s="72"/>
      <c r="Z32" s="72"/>
      <c r="AA32" s="72"/>
      <c r="AB32" s="214"/>
      <c r="AC32" s="72"/>
      <c r="AD32" s="72"/>
      <c r="AE32" s="72"/>
      <c r="AF32" s="72"/>
      <c r="AG32" s="72"/>
      <c r="AH32" s="72"/>
      <c r="AI32" s="72"/>
      <c r="AJ32" s="72"/>
      <c r="AK32" s="72"/>
      <c r="AL32" s="72"/>
      <c r="AM32" s="175"/>
    </row>
    <row r="33" spans="2:39" x14ac:dyDescent="0.3">
      <c r="B33" s="173"/>
      <c r="C33" s="72"/>
      <c r="D33" s="72" t="s">
        <v>300</v>
      </c>
      <c r="E33" s="72"/>
      <c r="F33" s="214"/>
      <c r="G33" s="214"/>
      <c r="H33" s="214"/>
      <c r="I33" s="214"/>
      <c r="J33" s="178"/>
      <c r="K33" s="72"/>
      <c r="L33" s="72"/>
      <c r="M33" s="72"/>
      <c r="N33" s="72"/>
      <c r="O33" s="72"/>
      <c r="P33" s="72"/>
      <c r="Q33" s="72"/>
      <c r="R33" s="72"/>
      <c r="S33" s="1304"/>
      <c r="T33" s="1304"/>
      <c r="U33" s="1304"/>
      <c r="V33" s="1304"/>
      <c r="W33" s="2024">
        <f t="shared" ref="W33:AA34" si="7">+W23</f>
        <v>183.4</v>
      </c>
      <c r="X33" s="1527">
        <f t="shared" si="7"/>
        <v>190.67</v>
      </c>
      <c r="Y33" s="1527">
        <f t="shared" si="7"/>
        <v>186.1</v>
      </c>
      <c r="Z33" s="1527">
        <f t="shared" si="7"/>
        <v>190.6</v>
      </c>
      <c r="AA33" s="1527">
        <f t="shared" si="7"/>
        <v>197.8</v>
      </c>
      <c r="AB33" s="1564">
        <f>+$AA$23+SUM($AB28:AB28)</f>
        <v>197.8</v>
      </c>
      <c r="AC33" s="1527">
        <f>+$AA$23+SUM($AB28:AC28)</f>
        <v>199.8</v>
      </c>
      <c r="AD33" s="1527">
        <f>+$AA$23+SUM($AB28:AD28)</f>
        <v>201.8</v>
      </c>
      <c r="AE33" s="1527">
        <f>+$AA$23+SUM($AB28:AE28)</f>
        <v>203.8</v>
      </c>
      <c r="AF33" s="1527">
        <f>+$AA$23+SUM($AB28:AF28)</f>
        <v>205.8</v>
      </c>
      <c r="AG33" s="1527">
        <f>+$AA$23+SUM($AB28:AG28)</f>
        <v>207.8</v>
      </c>
      <c r="AH33" s="1527">
        <f>+$AA$23+SUM($AB28:AH28)</f>
        <v>207.8</v>
      </c>
      <c r="AI33" s="1527">
        <f>+$AA$23+SUM($AB28:AI28)</f>
        <v>207.8</v>
      </c>
      <c r="AJ33" s="1527">
        <f>+$AA$23+SUM($AB28:AJ28)</f>
        <v>207.8</v>
      </c>
      <c r="AK33" s="1527">
        <f>+$AA$23+SUM($AB28:AK28)</f>
        <v>207.8</v>
      </c>
      <c r="AL33" s="1527">
        <f>+$AA$23+SUM($AB28:AL28)</f>
        <v>207.8</v>
      </c>
      <c r="AM33" s="524"/>
    </row>
    <row r="34" spans="2:39" x14ac:dyDescent="0.3">
      <c r="B34" s="173"/>
      <c r="C34" s="72"/>
      <c r="D34" s="102" t="s">
        <v>341</v>
      </c>
      <c r="E34" s="72"/>
      <c r="F34" s="214"/>
      <c r="G34" s="214"/>
      <c r="H34" s="214"/>
      <c r="I34" s="214"/>
      <c r="J34" s="178"/>
      <c r="K34" s="72"/>
      <c r="L34" s="72"/>
      <c r="M34" s="72"/>
      <c r="N34" s="72"/>
      <c r="O34" s="72"/>
      <c r="P34" s="72"/>
      <c r="Q34" s="72"/>
      <c r="R34" s="72"/>
      <c r="S34" s="1304"/>
      <c r="T34" s="1304"/>
      <c r="U34" s="1304"/>
      <c r="V34" s="1304"/>
      <c r="W34" s="2024">
        <f t="shared" si="7"/>
        <v>23.99</v>
      </c>
      <c r="X34" s="1527">
        <f t="shared" si="7"/>
        <v>24.43</v>
      </c>
      <c r="Y34" s="1527">
        <f t="shared" si="7"/>
        <v>24.95</v>
      </c>
      <c r="Z34" s="1527">
        <f t="shared" si="7"/>
        <v>24</v>
      </c>
      <c r="AA34" s="1527">
        <f t="shared" si="7"/>
        <v>26.463763799999995</v>
      </c>
      <c r="AB34" s="1564">
        <f t="shared" ref="AB34:AL34" si="8">+AB29+AB24</f>
        <v>26.913647784599991</v>
      </c>
      <c r="AC34" s="1527">
        <f t="shared" si="8"/>
        <v>27.37117979693819</v>
      </c>
      <c r="AD34" s="1527">
        <f t="shared" si="8"/>
        <v>27.836489853486135</v>
      </c>
      <c r="AE34" s="1527">
        <f t="shared" si="8"/>
        <v>28.309710180995395</v>
      </c>
      <c r="AF34" s="1527">
        <f t="shared" si="8"/>
        <v>28.790975254072315</v>
      </c>
      <c r="AG34" s="1527">
        <f t="shared" si="8"/>
        <v>29.280421833391543</v>
      </c>
      <c r="AH34" s="1527">
        <f t="shared" si="8"/>
        <v>29.778189004559195</v>
      </c>
      <c r="AI34" s="1527">
        <f t="shared" si="8"/>
        <v>30.284418217636699</v>
      </c>
      <c r="AJ34" s="1527">
        <f t="shared" si="8"/>
        <v>30.799253327336519</v>
      </c>
      <c r="AK34" s="1527">
        <f t="shared" si="8"/>
        <v>31.322840633901237</v>
      </c>
      <c r="AL34" s="1527">
        <f t="shared" si="8"/>
        <v>31.855328924677554</v>
      </c>
      <c r="AM34" s="524"/>
    </row>
    <row r="35" spans="2:39" s="126" customFormat="1" x14ac:dyDescent="0.3">
      <c r="B35" s="222"/>
      <c r="C35" s="102"/>
      <c r="D35" s="102" t="s">
        <v>299</v>
      </c>
      <c r="E35" s="102"/>
      <c r="F35" s="218"/>
      <c r="G35" s="218"/>
      <c r="H35" s="219"/>
      <c r="I35" s="218"/>
      <c r="J35" s="223"/>
      <c r="K35" s="102"/>
      <c r="L35" s="102"/>
      <c r="M35" s="102"/>
      <c r="N35" s="72"/>
      <c r="O35" s="72"/>
      <c r="P35" s="72"/>
      <c r="Q35" s="72"/>
      <c r="R35" s="72"/>
      <c r="S35" s="1304"/>
      <c r="T35" s="1304"/>
      <c r="U35" s="1304"/>
      <c r="V35" s="1304"/>
      <c r="W35" s="2025">
        <f t="shared" ref="W35:AG35" si="9">+W34/W33</f>
        <v>0.13080697928026172</v>
      </c>
      <c r="X35" s="1608">
        <f t="shared" si="9"/>
        <v>0.12812713064456915</v>
      </c>
      <c r="Y35" s="1608">
        <f t="shared" si="9"/>
        <v>0.1340677055346588</v>
      </c>
      <c r="Z35" s="1608">
        <f t="shared" si="9"/>
        <v>0.12591815320041974</v>
      </c>
      <c r="AA35" s="1608">
        <f t="shared" si="9"/>
        <v>0.13379051466127398</v>
      </c>
      <c r="AB35" s="1608">
        <f t="shared" si="9"/>
        <v>0.13606495341051561</v>
      </c>
      <c r="AC35" s="1608">
        <f t="shared" si="9"/>
        <v>0.13699289187656752</v>
      </c>
      <c r="AD35" s="1608">
        <f t="shared" si="9"/>
        <v>0.13794098044343972</v>
      </c>
      <c r="AE35" s="1608">
        <f t="shared" si="9"/>
        <v>0.13890927468594402</v>
      </c>
      <c r="AF35" s="1608">
        <f t="shared" si="9"/>
        <v>0.13989783894107052</v>
      </c>
      <c r="AG35" s="1608">
        <f t="shared" si="9"/>
        <v>0.14090674607021916</v>
      </c>
      <c r="AH35" s="1608">
        <f>+AH34/AH33</f>
        <v>0.14330216075341287</v>
      </c>
      <c r="AI35" s="1608">
        <f>+AI34/AI33</f>
        <v>0.14573829748622086</v>
      </c>
      <c r="AJ35" s="1608">
        <f>+AJ34/AJ33</f>
        <v>0.1482158485434866</v>
      </c>
      <c r="AK35" s="1608">
        <f>+AK34/AK33</f>
        <v>0.15073551796872586</v>
      </c>
      <c r="AL35" s="1608">
        <f>+AL34/AL33</f>
        <v>0.15329802177419419</v>
      </c>
      <c r="AM35" s="224"/>
    </row>
    <row r="36" spans="2:39" x14ac:dyDescent="0.3">
      <c r="B36" s="173"/>
      <c r="C36" s="72"/>
      <c r="D36" s="72" t="s">
        <v>301</v>
      </c>
      <c r="E36" s="105"/>
      <c r="F36" s="225"/>
      <c r="G36" s="225"/>
      <c r="H36" s="225"/>
      <c r="I36" s="225"/>
      <c r="J36" s="225"/>
      <c r="K36" s="72"/>
      <c r="L36" s="72"/>
      <c r="M36" s="72"/>
      <c r="N36" s="72"/>
      <c r="O36" s="72"/>
      <c r="P36" s="72"/>
      <c r="Q36" s="72"/>
      <c r="R36" s="72"/>
      <c r="S36" s="1304"/>
      <c r="T36" s="1304"/>
      <c r="U36" s="1304"/>
      <c r="V36" s="1304"/>
      <c r="W36" s="2026"/>
      <c r="X36" s="1609">
        <f t="shared" ref="X36:AG36" si="10">+X34/W34-1</f>
        <v>1.8340975406419435E-2</v>
      </c>
      <c r="Y36" s="1609">
        <f t="shared" si="10"/>
        <v>2.1285304952926687E-2</v>
      </c>
      <c r="Z36" s="1609">
        <f t="shared" si="10"/>
        <v>-3.8076152304609145E-2</v>
      </c>
      <c r="AA36" s="1609">
        <f t="shared" si="10"/>
        <v>0.10265682499999973</v>
      </c>
      <c r="AB36" s="1609">
        <f t="shared" si="10"/>
        <v>1.6999999999999904E-2</v>
      </c>
      <c r="AC36" s="1609">
        <f t="shared" si="10"/>
        <v>1.6999999999999904E-2</v>
      </c>
      <c r="AD36" s="1609">
        <f t="shared" si="10"/>
        <v>1.6999999999999904E-2</v>
      </c>
      <c r="AE36" s="1609">
        <f t="shared" si="10"/>
        <v>1.6999999999999904E-2</v>
      </c>
      <c r="AF36" s="1609">
        <f t="shared" si="10"/>
        <v>1.6999999999999904E-2</v>
      </c>
      <c r="AG36" s="1609">
        <f t="shared" si="10"/>
        <v>1.6999999999999904E-2</v>
      </c>
      <c r="AH36" s="1609">
        <f t="shared" ref="AH36:AL37" si="11">+AH34/AG34-1</f>
        <v>1.6999999999999904E-2</v>
      </c>
      <c r="AI36" s="1609">
        <f t="shared" si="11"/>
        <v>1.6999999999999904E-2</v>
      </c>
      <c r="AJ36" s="1609">
        <f t="shared" si="11"/>
        <v>1.6999999999999904E-2</v>
      </c>
      <c r="AK36" s="1609">
        <f t="shared" si="11"/>
        <v>1.6999999999999904E-2</v>
      </c>
      <c r="AL36" s="1609">
        <f t="shared" si="11"/>
        <v>1.6999999999999904E-2</v>
      </c>
      <c r="AM36" s="175"/>
    </row>
    <row r="37" spans="2:39" x14ac:dyDescent="0.3">
      <c r="B37" s="173"/>
      <c r="C37" s="72"/>
      <c r="D37" s="102" t="s">
        <v>339</v>
      </c>
      <c r="E37" s="72"/>
      <c r="F37" s="220"/>
      <c r="G37" s="220"/>
      <c r="H37" s="220"/>
      <c r="I37" s="220"/>
      <c r="J37" s="220"/>
      <c r="K37" s="72"/>
      <c r="L37" s="72"/>
      <c r="M37" s="72"/>
      <c r="N37" s="72"/>
      <c r="O37" s="72"/>
      <c r="P37" s="72"/>
      <c r="Q37" s="72"/>
      <c r="R37" s="72"/>
      <c r="S37" s="1304"/>
      <c r="T37" s="1304"/>
      <c r="U37" s="1304"/>
      <c r="V37" s="1304"/>
      <c r="W37" s="2026"/>
      <c r="X37" s="1609">
        <f t="shared" ref="X37:AG37" si="12">+X35/W35-1</f>
        <v>-2.0487046260359132E-2</v>
      </c>
      <c r="Y37" s="1609">
        <f t="shared" si="12"/>
        <v>4.6364691538820724E-2</v>
      </c>
      <c r="Z37" s="1609">
        <f t="shared" si="12"/>
        <v>-6.0786841258592683E-2</v>
      </c>
      <c r="AA37" s="1609">
        <f t="shared" si="12"/>
        <v>6.2519670601617339E-2</v>
      </c>
      <c r="AB37" s="1609">
        <f t="shared" si="12"/>
        <v>1.6999999999999904E-2</v>
      </c>
      <c r="AC37" s="1609">
        <f t="shared" si="12"/>
        <v>6.8198198198199389E-3</v>
      </c>
      <c r="AD37" s="1609">
        <f t="shared" si="12"/>
        <v>6.9207135777995532E-3</v>
      </c>
      <c r="AE37" s="1609">
        <f t="shared" si="12"/>
        <v>7.0196270853775111E-3</v>
      </c>
      <c r="AF37" s="1609">
        <f t="shared" si="12"/>
        <v>7.1166180758017727E-3</v>
      </c>
      <c r="AG37" s="1609">
        <f t="shared" si="12"/>
        <v>7.2117420596726767E-3</v>
      </c>
      <c r="AH37" s="1609">
        <f t="shared" si="11"/>
        <v>1.6999999999999904E-2</v>
      </c>
      <c r="AI37" s="1609">
        <f t="shared" si="11"/>
        <v>1.6999999999999682E-2</v>
      </c>
      <c r="AJ37" s="1609">
        <f t="shared" si="11"/>
        <v>1.6999999999999904E-2</v>
      </c>
      <c r="AK37" s="1609">
        <f t="shared" si="11"/>
        <v>1.6999999999999904E-2</v>
      </c>
      <c r="AL37" s="1609">
        <f t="shared" si="11"/>
        <v>1.6999999999999904E-2</v>
      </c>
      <c r="AM37" s="175"/>
    </row>
    <row r="38" spans="2:39" ht="12.5" thickBot="1" x14ac:dyDescent="0.35">
      <c r="B38" s="179"/>
      <c r="C38" s="180"/>
      <c r="D38" s="180"/>
      <c r="E38" s="180"/>
      <c r="F38" s="180"/>
      <c r="G38" s="180"/>
      <c r="H38" s="180"/>
      <c r="I38" s="181"/>
      <c r="J38" s="181"/>
      <c r="K38" s="180"/>
      <c r="L38" s="180"/>
      <c r="M38" s="180"/>
      <c r="N38" s="180"/>
      <c r="O38" s="180"/>
      <c r="P38" s="180"/>
      <c r="Q38" s="180"/>
      <c r="R38" s="180"/>
      <c r="S38" s="1344"/>
      <c r="T38" s="1344"/>
      <c r="U38" s="1344"/>
      <c r="V38" s="1344"/>
      <c r="W38" s="2015"/>
      <c r="X38" s="180"/>
      <c r="Y38" s="181"/>
      <c r="Z38" s="181"/>
      <c r="AA38" s="181"/>
      <c r="AB38" s="181"/>
      <c r="AC38" s="180"/>
      <c r="AD38" s="181"/>
      <c r="AE38" s="181"/>
      <c r="AF38" s="181"/>
      <c r="AG38" s="181"/>
      <c r="AH38" s="180"/>
      <c r="AI38" s="181"/>
      <c r="AJ38" s="181"/>
      <c r="AK38" s="181"/>
      <c r="AL38" s="181"/>
      <c r="AM38" s="182"/>
    </row>
    <row r="39" spans="2:39" x14ac:dyDescent="0.3">
      <c r="N39" s="72"/>
      <c r="O39" s="72"/>
      <c r="P39" s="72"/>
      <c r="Q39" s="72"/>
      <c r="S39" s="1304"/>
      <c r="T39" s="1304"/>
      <c r="U39" s="1304"/>
      <c r="V39" s="1304"/>
      <c r="W39" s="1304"/>
    </row>
    <row r="40" spans="2:39" ht="12.5" thickBot="1" x14ac:dyDescent="0.35">
      <c r="S40" s="1304"/>
      <c r="T40" s="1304"/>
      <c r="U40" s="1304"/>
      <c r="V40" s="1304"/>
      <c r="W40" s="1304"/>
    </row>
    <row r="41" spans="2:39" x14ac:dyDescent="0.3">
      <c r="B41" s="170"/>
      <c r="C41" s="171"/>
      <c r="D41" s="171"/>
      <c r="E41" s="171"/>
      <c r="F41" s="171"/>
      <c r="G41" s="171"/>
      <c r="H41" s="171"/>
      <c r="I41" s="171"/>
      <c r="J41" s="171"/>
      <c r="K41" s="171"/>
      <c r="L41" s="171"/>
      <c r="M41" s="171"/>
      <c r="N41" s="171"/>
      <c r="O41" s="171"/>
      <c r="P41" s="171"/>
      <c r="Q41" s="171"/>
      <c r="R41" s="171"/>
      <c r="S41" s="1321"/>
      <c r="T41" s="1321"/>
      <c r="U41" s="1321"/>
      <c r="V41" s="1321"/>
      <c r="W41" s="1321"/>
      <c r="X41" s="171"/>
      <c r="Y41" s="171"/>
      <c r="Z41" s="171"/>
      <c r="AA41" s="171"/>
      <c r="AB41" s="171"/>
      <c r="AC41" s="171"/>
      <c r="AD41" s="171"/>
      <c r="AE41" s="171"/>
      <c r="AF41" s="171"/>
      <c r="AG41" s="171"/>
      <c r="AH41" s="171"/>
      <c r="AI41" s="171"/>
      <c r="AJ41" s="171"/>
      <c r="AK41" s="171"/>
      <c r="AL41" s="171"/>
      <c r="AM41" s="172"/>
    </row>
    <row r="42" spans="2:39" x14ac:dyDescent="0.3">
      <c r="B42" s="173"/>
      <c r="C42" s="174" t="s">
        <v>302</v>
      </c>
      <c r="D42" s="72"/>
      <c r="E42" s="72"/>
      <c r="F42" s="72"/>
      <c r="G42" s="72"/>
      <c r="H42" s="72"/>
      <c r="I42" s="72"/>
      <c r="J42" s="72"/>
      <c r="K42" s="72"/>
      <c r="L42" s="72"/>
      <c r="M42" s="72"/>
      <c r="N42" s="72"/>
      <c r="O42" s="72"/>
      <c r="P42" s="72"/>
      <c r="Q42" s="72"/>
      <c r="R42" s="72"/>
      <c r="S42" s="1304"/>
      <c r="T42" s="1304"/>
      <c r="U42" s="1304"/>
      <c r="V42" s="1304"/>
      <c r="W42" s="1304"/>
      <c r="X42" s="72"/>
      <c r="Y42" s="72"/>
      <c r="Z42" s="72"/>
      <c r="AA42" s="72"/>
      <c r="AB42" s="72"/>
      <c r="AC42" s="72"/>
      <c r="AD42" s="72"/>
      <c r="AE42" s="72"/>
      <c r="AF42" s="72"/>
      <c r="AG42" s="72"/>
      <c r="AH42" s="72"/>
      <c r="AI42" s="72"/>
      <c r="AJ42" s="72"/>
      <c r="AK42" s="72"/>
      <c r="AL42" s="72"/>
      <c r="AM42" s="175"/>
    </row>
    <row r="43" spans="2:39" x14ac:dyDescent="0.3">
      <c r="B43" s="173"/>
      <c r="C43" s="72"/>
      <c r="D43" s="72"/>
      <c r="E43" s="72"/>
      <c r="F43" s="72"/>
      <c r="G43" s="72"/>
      <c r="H43" s="72"/>
      <c r="I43" s="72"/>
      <c r="J43" s="72"/>
      <c r="K43" s="72"/>
      <c r="L43" s="72"/>
      <c r="M43" s="72"/>
      <c r="N43" s="72"/>
      <c r="O43" s="72"/>
      <c r="P43" s="72"/>
      <c r="Q43" s="72"/>
      <c r="R43" s="72"/>
      <c r="S43" s="1304"/>
      <c r="T43" s="1304"/>
      <c r="U43" s="1304"/>
      <c r="V43" s="1304"/>
      <c r="W43" s="1304"/>
      <c r="X43" s="72"/>
      <c r="Y43" s="72"/>
      <c r="Z43" s="72"/>
      <c r="AA43" s="72"/>
      <c r="AB43" s="72"/>
      <c r="AC43" s="72"/>
      <c r="AD43" s="72"/>
      <c r="AE43" s="72"/>
      <c r="AF43" s="72"/>
      <c r="AG43" s="72"/>
      <c r="AH43" s="72"/>
      <c r="AI43" s="72"/>
      <c r="AJ43" s="72"/>
      <c r="AK43" s="72"/>
      <c r="AL43" s="72"/>
      <c r="AM43" s="175"/>
    </row>
    <row r="44" spans="2:39" x14ac:dyDescent="0.3">
      <c r="B44" s="173"/>
      <c r="C44" s="72"/>
      <c r="D44" s="105" t="s">
        <v>303</v>
      </c>
      <c r="E44" s="72"/>
      <c r="F44" s="72"/>
      <c r="G44" s="178"/>
      <c r="H44" s="178"/>
      <c r="I44" s="178"/>
      <c r="J44" s="178"/>
      <c r="K44" s="72"/>
      <c r="L44" s="72"/>
      <c r="M44" s="72"/>
      <c r="N44" s="178"/>
      <c r="O44" s="178"/>
      <c r="P44" s="178"/>
      <c r="Q44" s="72"/>
      <c r="R44" s="72"/>
      <c r="S44" s="2005"/>
      <c r="T44" s="2005"/>
      <c r="U44" s="2005"/>
      <c r="V44" s="1304"/>
      <c r="W44" s="1304"/>
      <c r="X44" s="72"/>
      <c r="Y44" s="72"/>
      <c r="Z44" s="72"/>
      <c r="AA44" s="72"/>
      <c r="AB44" s="72"/>
      <c r="AC44" s="72"/>
      <c r="AD44" s="72"/>
      <c r="AE44" s="72"/>
      <c r="AF44" s="72"/>
      <c r="AG44" s="72"/>
      <c r="AH44" s="72"/>
      <c r="AI44" s="72"/>
      <c r="AJ44" s="72"/>
      <c r="AK44" s="72"/>
      <c r="AL44" s="72"/>
      <c r="AM44" s="175"/>
    </row>
    <row r="45" spans="2:39" x14ac:dyDescent="0.3">
      <c r="B45" s="173"/>
      <c r="C45" s="72"/>
      <c r="D45" s="105"/>
      <c r="E45" s="72"/>
      <c r="F45" s="72"/>
      <c r="G45" s="178"/>
      <c r="H45" s="178"/>
      <c r="I45" s="178"/>
      <c r="J45" s="178"/>
      <c r="K45" s="72"/>
      <c r="L45" s="72"/>
      <c r="M45" s="72"/>
      <c r="N45" s="178"/>
      <c r="O45" s="178"/>
      <c r="P45" s="178"/>
      <c r="Q45" s="72"/>
      <c r="R45" s="72"/>
      <c r="S45" s="2005"/>
      <c r="T45" s="2005"/>
      <c r="U45" s="2005"/>
      <c r="V45" s="1304"/>
      <c r="W45" s="1304"/>
      <c r="X45" s="72"/>
      <c r="Y45" s="72"/>
      <c r="Z45" s="72"/>
      <c r="AA45" s="72"/>
      <c r="AB45" s="72"/>
      <c r="AC45" s="72"/>
      <c r="AD45" s="72"/>
      <c r="AE45" s="72"/>
      <c r="AF45" s="72"/>
      <c r="AG45" s="72"/>
      <c r="AH45" s="72"/>
      <c r="AI45" s="72"/>
      <c r="AJ45" s="72"/>
      <c r="AK45" s="72"/>
      <c r="AL45" s="72"/>
      <c r="AM45" s="175"/>
    </row>
    <row r="46" spans="2:39" x14ac:dyDescent="0.3">
      <c r="B46" s="173"/>
      <c r="C46" s="72"/>
      <c r="D46" s="226" t="s">
        <v>309</v>
      </c>
      <c r="E46" s="72"/>
      <c r="F46" s="72"/>
      <c r="G46" s="178"/>
      <c r="H46" s="178"/>
      <c r="I46" s="178"/>
      <c r="J46" s="178"/>
      <c r="K46" s="72"/>
      <c r="L46" s="72"/>
      <c r="M46" s="72"/>
      <c r="N46" s="178"/>
      <c r="O46" s="178"/>
      <c r="P46" s="178"/>
      <c r="Q46" s="72"/>
      <c r="R46" s="72"/>
      <c r="S46" s="2005"/>
      <c r="T46" s="2005"/>
      <c r="U46" s="2005"/>
      <c r="V46" s="1304"/>
      <c r="W46" s="1304"/>
      <c r="X46" s="72"/>
      <c r="Y46" s="72"/>
      <c r="Z46" s="72"/>
      <c r="AA46" s="72"/>
      <c r="AB46" s="72"/>
      <c r="AC46" s="72"/>
      <c r="AD46" s="72"/>
      <c r="AE46" s="72"/>
      <c r="AF46" s="72"/>
      <c r="AG46" s="72"/>
      <c r="AH46" s="72"/>
      <c r="AI46" s="72"/>
      <c r="AJ46" s="72"/>
      <c r="AK46" s="72"/>
      <c r="AL46" s="72"/>
      <c r="AM46" s="175"/>
    </row>
    <row r="47" spans="2:39" x14ac:dyDescent="0.3">
      <c r="B47" s="173"/>
      <c r="C47" s="72"/>
      <c r="D47" s="105"/>
      <c r="E47" s="72"/>
      <c r="F47" s="72"/>
      <c r="G47" s="178"/>
      <c r="H47" s="178"/>
      <c r="I47" s="178"/>
      <c r="J47" s="178"/>
      <c r="K47" s="72"/>
      <c r="L47" s="72"/>
      <c r="M47" s="72"/>
      <c r="N47" s="178"/>
      <c r="O47" s="178"/>
      <c r="P47" s="178"/>
      <c r="Q47" s="72"/>
      <c r="R47" s="72"/>
      <c r="S47" s="2005"/>
      <c r="T47" s="2005"/>
      <c r="U47" s="2005"/>
      <c r="V47" s="1304"/>
      <c r="W47" s="1304"/>
      <c r="X47" s="72"/>
      <c r="Y47" s="72"/>
      <c r="Z47" s="72"/>
      <c r="AA47" s="72"/>
      <c r="AB47" s="72"/>
      <c r="AC47" s="72"/>
      <c r="AD47" s="72"/>
      <c r="AE47" s="72"/>
      <c r="AF47" s="72"/>
      <c r="AG47" s="72"/>
      <c r="AH47" s="72"/>
      <c r="AI47" s="72"/>
      <c r="AJ47" s="72"/>
      <c r="AK47" s="72"/>
      <c r="AL47" s="72"/>
      <c r="AM47" s="175"/>
    </row>
    <row r="48" spans="2:39" x14ac:dyDescent="0.3">
      <c r="B48" s="173"/>
      <c r="C48" s="72"/>
      <c r="D48" s="105" t="s">
        <v>304</v>
      </c>
      <c r="E48" s="72"/>
      <c r="F48" s="214"/>
      <c r="G48" s="214"/>
      <c r="H48" s="214"/>
      <c r="I48" s="214"/>
      <c r="J48" s="214"/>
      <c r="K48" s="72"/>
      <c r="L48" s="72"/>
      <c r="M48" s="72"/>
      <c r="N48" s="214"/>
      <c r="O48" s="214"/>
      <c r="P48" s="214"/>
      <c r="Q48" s="214"/>
      <c r="R48" s="214"/>
      <c r="S48" s="2006"/>
      <c r="T48" s="2006"/>
      <c r="U48" s="2006"/>
      <c r="V48" s="2006"/>
      <c r="W48" s="2006"/>
      <c r="X48" s="214"/>
      <c r="Y48" s="214"/>
      <c r="Z48" s="214"/>
      <c r="AA48" s="214"/>
      <c r="AB48" s="214"/>
      <c r="AC48" s="214"/>
      <c r="AD48" s="214"/>
      <c r="AE48" s="214"/>
      <c r="AF48" s="214"/>
      <c r="AG48" s="72"/>
      <c r="AH48" s="214"/>
      <c r="AI48" s="214"/>
      <c r="AJ48" s="214"/>
      <c r="AK48" s="214"/>
      <c r="AL48" s="72"/>
      <c r="AM48" s="175"/>
    </row>
    <row r="49" spans="2:39" x14ac:dyDescent="0.3">
      <c r="B49" s="173"/>
      <c r="C49" s="72"/>
      <c r="D49" s="72" t="s">
        <v>305</v>
      </c>
      <c r="E49" s="72"/>
      <c r="F49" s="214"/>
      <c r="G49" s="214"/>
      <c r="H49" s="214"/>
      <c r="I49" s="214"/>
      <c r="J49" s="72"/>
      <c r="K49" s="72"/>
      <c r="L49" s="72"/>
      <c r="M49" s="72"/>
      <c r="N49" s="72"/>
      <c r="O49" s="72"/>
      <c r="P49" s="72"/>
      <c r="Q49" s="72"/>
      <c r="R49" s="72"/>
      <c r="S49" s="2007"/>
      <c r="T49" s="2008"/>
      <c r="U49" s="2008"/>
      <c r="V49" s="2009"/>
      <c r="W49" s="2021">
        <v>16869832</v>
      </c>
      <c r="X49" s="235">
        <v>19311743</v>
      </c>
      <c r="Y49" s="236">
        <v>15702104</v>
      </c>
      <c r="Z49" s="236">
        <v>14586148</v>
      </c>
      <c r="AA49" s="236">
        <v>20169040</v>
      </c>
      <c r="AB49" s="237">
        <v>20572420.800000001</v>
      </c>
      <c r="AC49" s="236">
        <v>20983869.216000002</v>
      </c>
      <c r="AD49" s="236">
        <v>21403546.600320004</v>
      </c>
      <c r="AE49" s="236">
        <v>21831617.532326404</v>
      </c>
      <c r="AF49" s="236">
        <v>22268249.882972933</v>
      </c>
      <c r="AG49" s="237">
        <v>22713614.880632393</v>
      </c>
      <c r="AH49" s="236">
        <v>23167887.178245042</v>
      </c>
      <c r="AI49" s="236">
        <v>23631244.921809942</v>
      </c>
      <c r="AJ49" s="236">
        <v>24103869.820246141</v>
      </c>
      <c r="AK49" s="236">
        <v>24585947.216651063</v>
      </c>
      <c r="AL49" s="237">
        <v>25077666.160984084</v>
      </c>
      <c r="AM49" s="175"/>
    </row>
    <row r="50" spans="2:39" x14ac:dyDescent="0.3">
      <c r="B50" s="173"/>
      <c r="C50" s="72"/>
      <c r="D50" s="72" t="s">
        <v>332</v>
      </c>
      <c r="E50" s="72"/>
      <c r="F50" s="214"/>
      <c r="G50" s="214"/>
      <c r="H50" s="214"/>
      <c r="I50" s="214"/>
      <c r="J50" s="72"/>
      <c r="K50" s="72"/>
      <c r="L50" s="72"/>
      <c r="M50" s="72"/>
      <c r="N50" s="72"/>
      <c r="O50" s="72"/>
      <c r="P50" s="72"/>
      <c r="Q50" s="72"/>
      <c r="R50" s="72"/>
      <c r="S50" s="2010"/>
      <c r="T50" s="2011"/>
      <c r="U50" s="2011"/>
      <c r="V50" s="2011"/>
      <c r="W50" s="2027">
        <v>3.2045417511312215</v>
      </c>
      <c r="X50" s="238">
        <v>5.2787264226244339</v>
      </c>
      <c r="Y50" s="239">
        <v>3.8624283257918552</v>
      </c>
      <c r="Z50" s="2123">
        <v>3.5543691963800903</v>
      </c>
      <c r="AA50" s="239">
        <v>3.6254565803076924</v>
      </c>
      <c r="AB50" s="240">
        <v>3.6979657119138465</v>
      </c>
      <c r="AC50" s="239">
        <v>3.7719250261521236</v>
      </c>
      <c r="AD50" s="239">
        <v>3.8473635266751662</v>
      </c>
      <c r="AE50" s="239">
        <v>3.9243107972086695</v>
      </c>
      <c r="AF50" s="239">
        <v>4.0027970131528425</v>
      </c>
      <c r="AG50" s="240">
        <v>4.082852953415899</v>
      </c>
      <c r="AH50" s="239">
        <v>4.1645100124842171</v>
      </c>
      <c r="AI50" s="239">
        <v>4.2478002127339014</v>
      </c>
      <c r="AJ50" s="239">
        <v>4.3327562169885798</v>
      </c>
      <c r="AK50" s="239">
        <v>4.4194113413283516</v>
      </c>
      <c r="AL50" s="240">
        <v>4.507799568154919</v>
      </c>
      <c r="AM50" s="175"/>
    </row>
    <row r="51" spans="2:39" x14ac:dyDescent="0.3">
      <c r="B51" s="173"/>
      <c r="C51" s="72"/>
      <c r="D51" s="227" t="s">
        <v>333</v>
      </c>
      <c r="E51" s="72"/>
      <c r="F51" s="214"/>
      <c r="G51" s="214"/>
      <c r="H51" s="214"/>
      <c r="I51" s="214"/>
      <c r="J51" s="228"/>
      <c r="K51" s="72"/>
      <c r="L51" s="72"/>
      <c r="M51" s="72"/>
      <c r="N51" s="72"/>
      <c r="O51" s="72"/>
      <c r="P51" s="72"/>
      <c r="Q51" s="72"/>
      <c r="R51" s="72"/>
      <c r="S51" s="2012"/>
      <c r="T51" s="2012"/>
      <c r="U51" s="2012"/>
      <c r="V51" s="2012"/>
      <c r="W51" s="2028">
        <f t="shared" ref="W51:AB51" si="13">+W50/W49*100*10^6</f>
        <v>18.995694510361581</v>
      </c>
      <c r="X51" s="682">
        <f t="shared" si="13"/>
        <v>27.334282682948061</v>
      </c>
      <c r="Y51" s="682">
        <f t="shared" si="13"/>
        <v>24.598157837904115</v>
      </c>
      <c r="Z51" s="682">
        <f t="shared" si="13"/>
        <v>24.36811416132683</v>
      </c>
      <c r="AA51" s="682">
        <f t="shared" si="13"/>
        <v>17.975355199393189</v>
      </c>
      <c r="AB51" s="682">
        <f t="shared" si="13"/>
        <v>17.975355199393189</v>
      </c>
      <c r="AC51" s="682">
        <f t="shared" ref="AC51:AL51" si="14">+AC50/AC49*100*10^6</f>
        <v>17.975355199393189</v>
      </c>
      <c r="AD51" s="682">
        <f t="shared" si="14"/>
        <v>17.975355199393189</v>
      </c>
      <c r="AE51" s="682">
        <f t="shared" si="14"/>
        <v>17.975355199393189</v>
      </c>
      <c r="AF51" s="682">
        <f t="shared" si="14"/>
        <v>17.975355199393189</v>
      </c>
      <c r="AG51" s="682">
        <f t="shared" si="14"/>
        <v>17.975355199393185</v>
      </c>
      <c r="AH51" s="682">
        <f t="shared" si="14"/>
        <v>17.975355199393185</v>
      </c>
      <c r="AI51" s="682">
        <f t="shared" si="14"/>
        <v>17.975355199393185</v>
      </c>
      <c r="AJ51" s="682">
        <f t="shared" si="14"/>
        <v>17.975355199393185</v>
      </c>
      <c r="AK51" s="682">
        <f t="shared" si="14"/>
        <v>17.975355199393189</v>
      </c>
      <c r="AL51" s="682">
        <f t="shared" si="14"/>
        <v>17.975355199393189</v>
      </c>
      <c r="AM51" s="175"/>
    </row>
    <row r="52" spans="2:39" x14ac:dyDescent="0.3">
      <c r="B52" s="173"/>
      <c r="C52" s="72"/>
      <c r="D52" s="102" t="s">
        <v>308</v>
      </c>
      <c r="E52" s="72"/>
      <c r="F52" s="214"/>
      <c r="G52" s="214"/>
      <c r="H52" s="214"/>
      <c r="I52" s="214"/>
      <c r="J52" s="178"/>
      <c r="K52" s="72"/>
      <c r="L52" s="72"/>
      <c r="M52" s="72"/>
      <c r="N52" s="72"/>
      <c r="O52" s="72"/>
      <c r="P52" s="72"/>
      <c r="Q52" s="72"/>
      <c r="R52" s="72"/>
      <c r="S52" s="2006"/>
      <c r="T52" s="2006"/>
      <c r="U52" s="2006"/>
      <c r="V52" s="2006"/>
      <c r="W52" s="2006"/>
      <c r="X52" s="217">
        <f>+X51/W51-1</f>
        <v>0.43897253496249</v>
      </c>
      <c r="Y52" s="217">
        <f>+Y51/X51-1</f>
        <v>-0.10009865182051481</v>
      </c>
      <c r="Z52" s="217">
        <f>+Z51/Y51-1</f>
        <v>-9.3520692928802385E-3</v>
      </c>
      <c r="AA52" s="217">
        <f>+AA51/Z51-1</f>
        <v>-0.26234114464545655</v>
      </c>
      <c r="AB52" s="217">
        <f>+AB51/AA51-1</f>
        <v>0</v>
      </c>
      <c r="AC52" s="217">
        <f t="shared" ref="AC52:AL52" si="15">+AC51/AB51-1</f>
        <v>0</v>
      </c>
      <c r="AD52" s="217">
        <f t="shared" si="15"/>
        <v>0</v>
      </c>
      <c r="AE52" s="217">
        <f t="shared" si="15"/>
        <v>0</v>
      </c>
      <c r="AF52" s="217">
        <f t="shared" si="15"/>
        <v>0</v>
      </c>
      <c r="AG52" s="217">
        <f t="shared" si="15"/>
        <v>0</v>
      </c>
      <c r="AH52" s="217">
        <f t="shared" si="15"/>
        <v>0</v>
      </c>
      <c r="AI52" s="217">
        <f t="shared" si="15"/>
        <v>0</v>
      </c>
      <c r="AJ52" s="217">
        <f t="shared" si="15"/>
        <v>0</v>
      </c>
      <c r="AK52" s="217">
        <f t="shared" si="15"/>
        <v>0</v>
      </c>
      <c r="AL52" s="217">
        <f t="shared" si="15"/>
        <v>0</v>
      </c>
      <c r="AM52" s="175"/>
    </row>
    <row r="53" spans="2:39" x14ac:dyDescent="0.3">
      <c r="B53" s="173"/>
      <c r="C53" s="72"/>
      <c r="D53" s="72"/>
      <c r="E53" s="72"/>
      <c r="F53" s="214"/>
      <c r="G53" s="214"/>
      <c r="H53" s="214"/>
      <c r="I53" s="214"/>
      <c r="J53" s="214"/>
      <c r="K53" s="72"/>
      <c r="L53" s="72"/>
      <c r="M53" s="72"/>
      <c r="N53" s="72"/>
      <c r="O53" s="72"/>
      <c r="P53" s="72"/>
      <c r="Q53" s="72"/>
      <c r="R53" s="72"/>
      <c r="S53" s="2006"/>
      <c r="T53" s="2006"/>
      <c r="U53" s="2006"/>
      <c r="V53" s="2006"/>
      <c r="W53" s="2006"/>
      <c r="X53" s="214"/>
      <c r="Y53" s="214"/>
      <c r="Z53" s="214"/>
      <c r="AA53" s="214"/>
      <c r="AB53" s="214"/>
      <c r="AC53" s="214"/>
      <c r="AD53" s="214"/>
      <c r="AE53" s="214"/>
      <c r="AF53" s="214"/>
      <c r="AG53" s="214"/>
      <c r="AH53" s="214"/>
      <c r="AI53" s="214"/>
      <c r="AJ53" s="214"/>
      <c r="AK53" s="214"/>
      <c r="AL53" s="214"/>
      <c r="AM53" s="175"/>
    </row>
    <row r="54" spans="2:39" x14ac:dyDescent="0.3">
      <c r="B54" s="173"/>
      <c r="C54" s="72"/>
      <c r="D54" s="105" t="s">
        <v>306</v>
      </c>
      <c r="E54" s="72"/>
      <c r="F54" s="214"/>
      <c r="G54" s="214"/>
      <c r="H54" s="214"/>
      <c r="I54" s="214"/>
      <c r="J54" s="214"/>
      <c r="K54" s="72"/>
      <c r="L54" s="72"/>
      <c r="M54" s="72"/>
      <c r="N54" s="72"/>
      <c r="O54" s="72"/>
      <c r="P54" s="72"/>
      <c r="Q54" s="72"/>
      <c r="R54" s="72"/>
      <c r="S54" s="2006"/>
      <c r="T54" s="2006"/>
      <c r="U54" s="2006"/>
      <c r="V54" s="2006"/>
      <c r="W54" s="2006"/>
      <c r="X54" s="214"/>
      <c r="Y54" s="214"/>
      <c r="Z54" s="214"/>
      <c r="AA54" s="214"/>
      <c r="AB54" s="214"/>
      <c r="AC54" s="214"/>
      <c r="AD54" s="214"/>
      <c r="AE54" s="214"/>
      <c r="AF54" s="214"/>
      <c r="AG54" s="214"/>
      <c r="AH54" s="214"/>
      <c r="AI54" s="214"/>
      <c r="AJ54" s="214"/>
      <c r="AK54" s="214"/>
      <c r="AL54" s="214"/>
      <c r="AM54" s="175"/>
    </row>
    <row r="55" spans="2:39" x14ac:dyDescent="0.3">
      <c r="B55" s="173"/>
      <c r="C55" s="72"/>
      <c r="D55" s="72" t="s">
        <v>305</v>
      </c>
      <c r="E55" s="72"/>
      <c r="F55" s="214"/>
      <c r="G55" s="214"/>
      <c r="H55" s="214"/>
      <c r="I55" s="214"/>
      <c r="J55" s="72"/>
      <c r="K55" s="72"/>
      <c r="L55" s="72"/>
      <c r="M55" s="72"/>
      <c r="N55" s="72"/>
      <c r="O55" s="72"/>
      <c r="P55" s="72"/>
      <c r="Q55" s="72"/>
      <c r="R55" s="72"/>
      <c r="S55" s="2007"/>
      <c r="T55" s="2008"/>
      <c r="U55" s="2008"/>
      <c r="V55" s="2009"/>
      <c r="W55" s="2021"/>
      <c r="X55" s="235"/>
      <c r="Y55" s="236"/>
      <c r="Z55" s="236"/>
      <c r="AA55" s="236"/>
      <c r="AB55" s="237"/>
      <c r="AC55" s="236"/>
      <c r="AD55" s="236"/>
      <c r="AE55" s="236"/>
      <c r="AF55" s="236"/>
      <c r="AG55" s="237"/>
      <c r="AH55" s="236"/>
      <c r="AI55" s="236"/>
      <c r="AJ55" s="236"/>
      <c r="AK55" s="236"/>
      <c r="AL55" s="237"/>
      <c r="AM55" s="175"/>
    </row>
    <row r="56" spans="2:39" x14ac:dyDescent="0.3">
      <c r="B56" s="173"/>
      <c r="C56" s="72"/>
      <c r="D56" s="72" t="s">
        <v>332</v>
      </c>
      <c r="E56" s="72"/>
      <c r="F56" s="214"/>
      <c r="G56" s="214"/>
      <c r="H56" s="214"/>
      <c r="I56" s="214"/>
      <c r="J56" s="72"/>
      <c r="K56" s="72"/>
      <c r="L56" s="72"/>
      <c r="M56" s="72"/>
      <c r="N56" s="72"/>
      <c r="O56" s="72"/>
      <c r="P56" s="72"/>
      <c r="Q56" s="72"/>
      <c r="R56" s="72"/>
      <c r="S56" s="2010"/>
      <c r="T56" s="2011"/>
      <c r="U56" s="2011"/>
      <c r="V56" s="2011"/>
      <c r="W56" s="2027"/>
      <c r="X56" s="238"/>
      <c r="Y56" s="239"/>
      <c r="Z56" s="2123"/>
      <c r="AA56" s="239"/>
      <c r="AB56" s="240"/>
      <c r="AC56" s="239"/>
      <c r="AD56" s="239"/>
      <c r="AE56" s="239"/>
      <c r="AF56" s="239"/>
      <c r="AG56" s="240"/>
      <c r="AH56" s="239"/>
      <c r="AI56" s="239"/>
      <c r="AJ56" s="239"/>
      <c r="AK56" s="239"/>
      <c r="AL56" s="240"/>
      <c r="AM56" s="175"/>
    </row>
    <row r="57" spans="2:39" x14ac:dyDescent="0.3">
      <c r="B57" s="173"/>
      <c r="C57" s="72"/>
      <c r="D57" s="227" t="s">
        <v>333</v>
      </c>
      <c r="E57" s="72"/>
      <c r="F57" s="214"/>
      <c r="G57" s="214"/>
      <c r="H57" s="214"/>
      <c r="I57" s="214"/>
      <c r="J57" s="228"/>
      <c r="K57" s="72"/>
      <c r="L57" s="72"/>
      <c r="M57" s="72"/>
      <c r="N57" s="72"/>
      <c r="O57" s="72"/>
      <c r="P57" s="72"/>
      <c r="Q57" s="72"/>
      <c r="R57" s="72"/>
      <c r="S57" s="2012"/>
      <c r="T57" s="2012"/>
      <c r="U57" s="2012"/>
      <c r="V57" s="2012"/>
      <c r="W57" s="2028" t="e">
        <f t="shared" ref="W57:AB57" si="16">+W56/W55*100*10^6</f>
        <v>#DIV/0!</v>
      </c>
      <c r="X57" s="682" t="e">
        <f t="shared" si="16"/>
        <v>#DIV/0!</v>
      </c>
      <c r="Y57" s="682" t="e">
        <f t="shared" si="16"/>
        <v>#DIV/0!</v>
      </c>
      <c r="Z57" s="682" t="e">
        <f t="shared" si="16"/>
        <v>#DIV/0!</v>
      </c>
      <c r="AA57" s="682" t="e">
        <f t="shared" si="16"/>
        <v>#DIV/0!</v>
      </c>
      <c r="AB57" s="682" t="e">
        <f t="shared" si="16"/>
        <v>#DIV/0!</v>
      </c>
      <c r="AC57" s="682" t="e">
        <f t="shared" ref="AC57:AL57" si="17">+AC56/AC55*100*10^6</f>
        <v>#DIV/0!</v>
      </c>
      <c r="AD57" s="682" t="e">
        <f t="shared" si="17"/>
        <v>#DIV/0!</v>
      </c>
      <c r="AE57" s="682" t="e">
        <f t="shared" si="17"/>
        <v>#DIV/0!</v>
      </c>
      <c r="AF57" s="682" t="e">
        <f t="shared" si="17"/>
        <v>#DIV/0!</v>
      </c>
      <c r="AG57" s="682" t="e">
        <f t="shared" si="17"/>
        <v>#DIV/0!</v>
      </c>
      <c r="AH57" s="682" t="e">
        <f t="shared" si="17"/>
        <v>#DIV/0!</v>
      </c>
      <c r="AI57" s="682" t="e">
        <f t="shared" si="17"/>
        <v>#DIV/0!</v>
      </c>
      <c r="AJ57" s="682" t="e">
        <f t="shared" si="17"/>
        <v>#DIV/0!</v>
      </c>
      <c r="AK57" s="682" t="e">
        <f t="shared" si="17"/>
        <v>#DIV/0!</v>
      </c>
      <c r="AL57" s="682" t="e">
        <f t="shared" si="17"/>
        <v>#DIV/0!</v>
      </c>
      <c r="AM57" s="175"/>
    </row>
    <row r="58" spans="2:39" x14ac:dyDescent="0.3">
      <c r="B58" s="173"/>
      <c r="C58" s="72"/>
      <c r="D58" s="102" t="s">
        <v>308</v>
      </c>
      <c r="E58" s="72"/>
      <c r="F58" s="214"/>
      <c r="G58" s="214"/>
      <c r="H58" s="214"/>
      <c r="I58" s="214"/>
      <c r="J58" s="178"/>
      <c r="K58" s="72"/>
      <c r="L58" s="72"/>
      <c r="M58" s="72"/>
      <c r="N58" s="72"/>
      <c r="O58" s="72"/>
      <c r="P58" s="72"/>
      <c r="Q58" s="72"/>
      <c r="R58" s="72"/>
      <c r="S58" s="2006"/>
      <c r="T58" s="2006"/>
      <c r="U58" s="2006"/>
      <c r="V58" s="2006"/>
      <c r="W58" s="2006"/>
      <c r="X58" s="217" t="e">
        <f>+X57/W57-1</f>
        <v>#DIV/0!</v>
      </c>
      <c r="Y58" s="217" t="e">
        <f>+Y57/X57-1</f>
        <v>#DIV/0!</v>
      </c>
      <c r="Z58" s="217" t="e">
        <f>+Z57/Y57-1</f>
        <v>#DIV/0!</v>
      </c>
      <c r="AA58" s="217" t="e">
        <f>+AA57/Z57-1</f>
        <v>#DIV/0!</v>
      </c>
      <c r="AB58" s="217" t="e">
        <f>+AB57/AA57-1</f>
        <v>#DIV/0!</v>
      </c>
      <c r="AC58" s="217" t="e">
        <f t="shared" ref="AC58:AL58" si="18">+AC57/AB57-1</f>
        <v>#DIV/0!</v>
      </c>
      <c r="AD58" s="217" t="e">
        <f t="shared" si="18"/>
        <v>#DIV/0!</v>
      </c>
      <c r="AE58" s="217" t="e">
        <f t="shared" si="18"/>
        <v>#DIV/0!</v>
      </c>
      <c r="AF58" s="217" t="e">
        <f t="shared" si="18"/>
        <v>#DIV/0!</v>
      </c>
      <c r="AG58" s="217" t="e">
        <f t="shared" si="18"/>
        <v>#DIV/0!</v>
      </c>
      <c r="AH58" s="217" t="e">
        <f t="shared" si="18"/>
        <v>#DIV/0!</v>
      </c>
      <c r="AI58" s="217" t="e">
        <f t="shared" si="18"/>
        <v>#DIV/0!</v>
      </c>
      <c r="AJ58" s="217" t="e">
        <f t="shared" si="18"/>
        <v>#DIV/0!</v>
      </c>
      <c r="AK58" s="217" t="e">
        <f t="shared" si="18"/>
        <v>#DIV/0!</v>
      </c>
      <c r="AL58" s="217" t="e">
        <f t="shared" si="18"/>
        <v>#DIV/0!</v>
      </c>
      <c r="AM58" s="175"/>
    </row>
    <row r="59" spans="2:39" x14ac:dyDescent="0.3">
      <c r="B59" s="173"/>
      <c r="C59" s="72"/>
      <c r="D59" s="72"/>
      <c r="E59" s="72"/>
      <c r="F59" s="214"/>
      <c r="G59" s="214"/>
      <c r="H59" s="214"/>
      <c r="I59" s="214"/>
      <c r="J59" s="214"/>
      <c r="K59" s="72"/>
      <c r="L59" s="72"/>
      <c r="M59" s="72"/>
      <c r="N59" s="72"/>
      <c r="O59" s="72"/>
      <c r="P59" s="72"/>
      <c r="Q59" s="72"/>
      <c r="R59" s="72"/>
      <c r="S59" s="2006"/>
      <c r="T59" s="2006"/>
      <c r="U59" s="2006"/>
      <c r="V59" s="2006"/>
      <c r="W59" s="2006"/>
      <c r="X59" s="214"/>
      <c r="Y59" s="214"/>
      <c r="Z59" s="214"/>
      <c r="AA59" s="214"/>
      <c r="AB59" s="214"/>
      <c r="AC59" s="214"/>
      <c r="AD59" s="214"/>
      <c r="AE59" s="214"/>
      <c r="AF59" s="214"/>
      <c r="AG59" s="214"/>
      <c r="AH59" s="214"/>
      <c r="AI59" s="214"/>
      <c r="AJ59" s="214"/>
      <c r="AK59" s="214"/>
      <c r="AL59" s="214"/>
      <c r="AM59" s="175"/>
    </row>
    <row r="60" spans="2:39" x14ac:dyDescent="0.3">
      <c r="B60" s="173"/>
      <c r="C60" s="72"/>
      <c r="D60" s="105" t="s">
        <v>307</v>
      </c>
      <c r="E60" s="72"/>
      <c r="F60" s="214"/>
      <c r="G60" s="214"/>
      <c r="H60" s="214"/>
      <c r="I60" s="214"/>
      <c r="J60" s="214"/>
      <c r="K60" s="72"/>
      <c r="L60" s="72"/>
      <c r="M60" s="72"/>
      <c r="N60" s="72"/>
      <c r="O60" s="72"/>
      <c r="P60" s="72"/>
      <c r="Q60" s="72"/>
      <c r="R60" s="72"/>
      <c r="S60" s="2006"/>
      <c r="T60" s="2006"/>
      <c r="U60" s="2006"/>
      <c r="V60" s="2006"/>
      <c r="W60" s="2006"/>
      <c r="X60" s="214"/>
      <c r="Y60" s="214"/>
      <c r="Z60" s="214"/>
      <c r="AA60" s="214"/>
      <c r="AB60" s="214"/>
      <c r="AC60" s="214"/>
      <c r="AD60" s="214"/>
      <c r="AE60" s="214"/>
      <c r="AF60" s="214"/>
      <c r="AG60" s="214"/>
      <c r="AH60" s="214"/>
      <c r="AI60" s="214"/>
      <c r="AJ60" s="214"/>
      <c r="AK60" s="214"/>
      <c r="AL60" s="214"/>
      <c r="AM60" s="175"/>
    </row>
    <row r="61" spans="2:39" x14ac:dyDescent="0.3">
      <c r="B61" s="173"/>
      <c r="C61" s="72"/>
      <c r="D61" s="72" t="s">
        <v>305</v>
      </c>
      <c r="E61" s="72"/>
      <c r="F61" s="214"/>
      <c r="G61" s="214"/>
      <c r="H61" s="214"/>
      <c r="I61" s="214"/>
      <c r="J61" s="72"/>
      <c r="K61" s="72"/>
      <c r="L61" s="72"/>
      <c r="M61" s="72"/>
      <c r="N61" s="72"/>
      <c r="O61" s="72"/>
      <c r="P61" s="72"/>
      <c r="Q61" s="72"/>
      <c r="R61" s="72"/>
      <c r="S61" s="2007"/>
      <c r="T61" s="2008"/>
      <c r="U61" s="2008"/>
      <c r="V61" s="2009"/>
      <c r="W61" s="2021">
        <v>2104269</v>
      </c>
      <c r="X61" s="235">
        <v>4503475</v>
      </c>
      <c r="Y61" s="236">
        <v>6217955</v>
      </c>
      <c r="Z61" s="236">
        <v>5987959</v>
      </c>
      <c r="AA61" s="236">
        <v>2124980</v>
      </c>
      <c r="AB61" s="237">
        <v>2167479.6</v>
      </c>
      <c r="AC61" s="236">
        <v>2210829.1920000003</v>
      </c>
      <c r="AD61" s="236">
        <v>2255045.7758400002</v>
      </c>
      <c r="AE61" s="236">
        <v>2300146.6913568005</v>
      </c>
      <c r="AF61" s="236">
        <v>2346149.6251839367</v>
      </c>
      <c r="AG61" s="237">
        <v>2393072.6176876156</v>
      </c>
      <c r="AH61" s="236">
        <v>2440934.0700413678</v>
      </c>
      <c r="AI61" s="236">
        <v>2489752.7514421954</v>
      </c>
      <c r="AJ61" s="236">
        <v>2539547.8064710395</v>
      </c>
      <c r="AK61" s="236">
        <v>2590338.7626004606</v>
      </c>
      <c r="AL61" s="237">
        <v>2642145.5378524698</v>
      </c>
      <c r="AM61" s="175"/>
    </row>
    <row r="62" spans="2:39" x14ac:dyDescent="0.3">
      <c r="B62" s="173"/>
      <c r="C62" s="72"/>
      <c r="D62" s="72" t="s">
        <v>332</v>
      </c>
      <c r="E62" s="72"/>
      <c r="F62" s="214"/>
      <c r="G62" s="214"/>
      <c r="H62" s="214"/>
      <c r="I62" s="214"/>
      <c r="J62" s="72"/>
      <c r="K62" s="72"/>
      <c r="L62" s="72"/>
      <c r="M62" s="72"/>
      <c r="N62" s="72"/>
      <c r="O62" s="72"/>
      <c r="P62" s="72"/>
      <c r="Q62" s="72"/>
      <c r="R62" s="72"/>
      <c r="S62" s="2010"/>
      <c r="T62" s="2011"/>
      <c r="U62" s="2011"/>
      <c r="V62" s="2011"/>
      <c r="W62" s="2027">
        <v>0.56802151221719455</v>
      </c>
      <c r="X62" s="238">
        <v>1.234281708597285</v>
      </c>
      <c r="Y62" s="239">
        <v>1.7533206733031674</v>
      </c>
      <c r="Z62" s="2123">
        <v>1.63573452760181</v>
      </c>
      <c r="AA62" s="239">
        <v>1.6684492181538462</v>
      </c>
      <c r="AB62" s="240">
        <v>1.7018182025169231</v>
      </c>
      <c r="AC62" s="239">
        <v>1.7358545665672616</v>
      </c>
      <c r="AD62" s="239">
        <v>1.7705716578986068</v>
      </c>
      <c r="AE62" s="239">
        <v>1.8059830910565791</v>
      </c>
      <c r="AF62" s="239">
        <v>1.8421027528777107</v>
      </c>
      <c r="AG62" s="240">
        <v>1.8789448079352651</v>
      </c>
      <c r="AH62" s="239">
        <v>1.9165237040939704</v>
      </c>
      <c r="AI62" s="239">
        <v>1.9548541781758499</v>
      </c>
      <c r="AJ62" s="239">
        <v>1.9939512617393669</v>
      </c>
      <c r="AK62" s="239">
        <v>2.0338302869741542</v>
      </c>
      <c r="AL62" s="240">
        <v>2.0745068927136372</v>
      </c>
      <c r="AM62" s="175"/>
    </row>
    <row r="63" spans="2:39" x14ac:dyDescent="0.3">
      <c r="B63" s="173"/>
      <c r="C63" s="72"/>
      <c r="D63" s="227" t="s">
        <v>333</v>
      </c>
      <c r="E63" s="72"/>
      <c r="F63" s="214"/>
      <c r="G63" s="214"/>
      <c r="H63" s="214"/>
      <c r="I63" s="214"/>
      <c r="J63" s="228"/>
      <c r="K63" s="72"/>
      <c r="L63" s="72"/>
      <c r="M63" s="72"/>
      <c r="N63" s="72"/>
      <c r="O63" s="72"/>
      <c r="P63" s="72"/>
      <c r="Q63" s="72"/>
      <c r="R63" s="72"/>
      <c r="S63" s="2012"/>
      <c r="T63" s="2012"/>
      <c r="U63" s="2012"/>
      <c r="V63" s="2012"/>
      <c r="W63" s="2028">
        <f t="shared" ref="W63:AB63" si="19">+W62/W61*100*10^6</f>
        <v>26.993768962865232</v>
      </c>
      <c r="X63" s="682">
        <f t="shared" si="19"/>
        <v>27.407317873359681</v>
      </c>
      <c r="Y63" s="682">
        <f t="shared" si="19"/>
        <v>28.197706051316988</v>
      </c>
      <c r="Z63" s="682">
        <f t="shared" si="19"/>
        <v>27.317062919131715</v>
      </c>
      <c r="AA63" s="682">
        <f t="shared" si="19"/>
        <v>78.515996298969696</v>
      </c>
      <c r="AB63" s="682">
        <f t="shared" si="19"/>
        <v>78.515996298969682</v>
      </c>
      <c r="AC63" s="682">
        <f t="shared" ref="AC63:AL63" si="20">+AC62/AC61*100*10^6</f>
        <v>78.515996298969682</v>
      </c>
      <c r="AD63" s="682">
        <f t="shared" si="20"/>
        <v>78.515996298969682</v>
      </c>
      <c r="AE63" s="682">
        <f t="shared" si="20"/>
        <v>78.515996298969682</v>
      </c>
      <c r="AF63" s="682">
        <f t="shared" si="20"/>
        <v>78.515996298969682</v>
      </c>
      <c r="AG63" s="682">
        <f t="shared" si="20"/>
        <v>78.515996298969682</v>
      </c>
      <c r="AH63" s="682">
        <f t="shared" si="20"/>
        <v>78.515996298969682</v>
      </c>
      <c r="AI63" s="682">
        <f t="shared" si="20"/>
        <v>78.515996298969682</v>
      </c>
      <c r="AJ63" s="682">
        <f t="shared" si="20"/>
        <v>78.515996298969682</v>
      </c>
      <c r="AK63" s="682">
        <f t="shared" si="20"/>
        <v>78.515996298969668</v>
      </c>
      <c r="AL63" s="682">
        <f t="shared" si="20"/>
        <v>78.515996298969668</v>
      </c>
      <c r="AM63" s="175"/>
    </row>
    <row r="64" spans="2:39" x14ac:dyDescent="0.3">
      <c r="B64" s="173"/>
      <c r="C64" s="72"/>
      <c r="D64" s="102" t="s">
        <v>308</v>
      </c>
      <c r="E64" s="72"/>
      <c r="F64" s="214"/>
      <c r="G64" s="214"/>
      <c r="H64" s="214"/>
      <c r="I64" s="214"/>
      <c r="J64" s="178"/>
      <c r="K64" s="72"/>
      <c r="L64" s="72"/>
      <c r="M64" s="72"/>
      <c r="N64" s="72"/>
      <c r="O64" s="72"/>
      <c r="P64" s="72"/>
      <c r="Q64" s="72"/>
      <c r="R64" s="72"/>
      <c r="S64" s="2006"/>
      <c r="T64" s="2006"/>
      <c r="U64" s="2006"/>
      <c r="V64" s="2006"/>
      <c r="W64" s="2006"/>
      <c r="X64" s="217">
        <f>+X63/W63-1</f>
        <v>1.5320161888595862E-2</v>
      </c>
      <c r="Y64" s="217">
        <f>+Y63/X63-1</f>
        <v>2.8838581783501516E-2</v>
      </c>
      <c r="Z64" s="217">
        <f>+Z63/Y63-1</f>
        <v>-3.1231020373876928E-2</v>
      </c>
      <c r="AA64" s="217">
        <f>+AA63/Z63-1</f>
        <v>1.874247371739969</v>
      </c>
      <c r="AB64" s="217">
        <f>+AB63/AA63-1</f>
        <v>0</v>
      </c>
      <c r="AC64" s="217">
        <f t="shared" ref="AC64:AL64" si="21">+AC63/AB63-1</f>
        <v>0</v>
      </c>
      <c r="AD64" s="217">
        <f t="shared" si="21"/>
        <v>0</v>
      </c>
      <c r="AE64" s="217">
        <f t="shared" si="21"/>
        <v>0</v>
      </c>
      <c r="AF64" s="217">
        <f t="shared" si="21"/>
        <v>0</v>
      </c>
      <c r="AG64" s="217">
        <f t="shared" si="21"/>
        <v>0</v>
      </c>
      <c r="AH64" s="217">
        <f t="shared" si="21"/>
        <v>0</v>
      </c>
      <c r="AI64" s="217">
        <f t="shared" si="21"/>
        <v>0</v>
      </c>
      <c r="AJ64" s="217">
        <f t="shared" si="21"/>
        <v>0</v>
      </c>
      <c r="AK64" s="217">
        <f t="shared" si="21"/>
        <v>0</v>
      </c>
      <c r="AL64" s="217">
        <f t="shared" si="21"/>
        <v>0</v>
      </c>
      <c r="AM64" s="175"/>
    </row>
    <row r="65" spans="2:39" x14ac:dyDescent="0.3">
      <c r="B65" s="173"/>
      <c r="C65" s="72"/>
      <c r="D65" s="102"/>
      <c r="E65" s="72"/>
      <c r="F65" s="214"/>
      <c r="G65" s="214"/>
      <c r="H65" s="214"/>
      <c r="I65" s="214"/>
      <c r="J65" s="178"/>
      <c r="K65" s="72"/>
      <c r="L65" s="72"/>
      <c r="M65" s="72"/>
      <c r="N65" s="72"/>
      <c r="O65" s="72"/>
      <c r="P65" s="72"/>
      <c r="Q65" s="72"/>
      <c r="R65" s="72"/>
      <c r="S65" s="2006"/>
      <c r="T65" s="2006"/>
      <c r="U65" s="2006"/>
      <c r="V65" s="2006"/>
      <c r="W65" s="2006"/>
      <c r="X65" s="214"/>
      <c r="Y65" s="214"/>
      <c r="Z65" s="214"/>
      <c r="AA65" s="214"/>
      <c r="AB65" s="214"/>
      <c r="AC65" s="214"/>
      <c r="AD65" s="214"/>
      <c r="AE65" s="214"/>
      <c r="AF65" s="214"/>
      <c r="AG65" s="214"/>
      <c r="AH65" s="214"/>
      <c r="AI65" s="214"/>
      <c r="AJ65" s="214"/>
      <c r="AK65" s="214"/>
      <c r="AL65" s="214"/>
      <c r="AM65" s="175"/>
    </row>
    <row r="66" spans="2:39" x14ac:dyDescent="0.3">
      <c r="B66" s="173"/>
      <c r="C66" s="72"/>
      <c r="D66" s="102"/>
      <c r="E66" s="72"/>
      <c r="F66" s="214"/>
      <c r="G66" s="214"/>
      <c r="H66" s="214"/>
      <c r="I66" s="214"/>
      <c r="J66" s="178"/>
      <c r="K66" s="72"/>
      <c r="L66" s="72"/>
      <c r="M66" s="72"/>
      <c r="N66" s="72"/>
      <c r="O66" s="72"/>
      <c r="P66" s="72"/>
      <c r="Q66" s="72"/>
      <c r="R66" s="72"/>
      <c r="S66" s="2006"/>
      <c r="T66" s="2006"/>
      <c r="U66" s="2006"/>
      <c r="V66" s="2006"/>
      <c r="W66" s="2006"/>
      <c r="X66" s="214"/>
      <c r="Y66" s="214"/>
      <c r="Z66" s="214"/>
      <c r="AA66" s="214"/>
      <c r="AB66" s="214"/>
      <c r="AC66" s="214"/>
      <c r="AD66" s="214"/>
      <c r="AE66" s="214"/>
      <c r="AF66" s="214"/>
      <c r="AG66" s="214"/>
      <c r="AH66" s="214"/>
      <c r="AI66" s="214"/>
      <c r="AJ66" s="214"/>
      <c r="AK66" s="214"/>
      <c r="AL66" s="214"/>
      <c r="AM66" s="175"/>
    </row>
    <row r="67" spans="2:39" x14ac:dyDescent="0.3">
      <c r="B67" s="173"/>
      <c r="C67" s="72"/>
      <c r="D67" s="230" t="s">
        <v>310</v>
      </c>
      <c r="E67" s="84"/>
      <c r="F67" s="84"/>
      <c r="G67" s="221"/>
      <c r="H67" s="221"/>
      <c r="I67" s="221"/>
      <c r="J67" s="221"/>
      <c r="K67" s="72"/>
      <c r="L67" s="72"/>
      <c r="M67" s="72"/>
      <c r="N67" s="72"/>
      <c r="O67" s="72"/>
      <c r="P67" s="72"/>
      <c r="Q67" s="72"/>
      <c r="R67" s="72"/>
      <c r="S67" s="2005"/>
      <c r="T67" s="2005"/>
      <c r="U67" s="2005"/>
      <c r="V67" s="1304"/>
      <c r="W67" s="1304"/>
      <c r="X67" s="72"/>
      <c r="Y67" s="72"/>
      <c r="Z67" s="72"/>
      <c r="AA67" s="72"/>
      <c r="AB67" s="72"/>
      <c r="AC67" s="72"/>
      <c r="AD67" s="72"/>
      <c r="AE67" s="72"/>
      <c r="AF67" s="72"/>
      <c r="AG67" s="72"/>
      <c r="AH67" s="72"/>
      <c r="AI67" s="72"/>
      <c r="AJ67" s="72"/>
      <c r="AK67" s="72"/>
      <c r="AL67" s="72"/>
      <c r="AM67" s="175"/>
    </row>
    <row r="68" spans="2:39" x14ac:dyDescent="0.3">
      <c r="B68" s="173"/>
      <c r="C68" s="72"/>
      <c r="D68" s="105"/>
      <c r="E68" s="72"/>
      <c r="F68" s="72"/>
      <c r="G68" s="178"/>
      <c r="H68" s="178"/>
      <c r="I68" s="178"/>
      <c r="J68" s="178"/>
      <c r="K68" s="72"/>
      <c r="L68" s="72"/>
      <c r="M68" s="72"/>
      <c r="N68" s="72"/>
      <c r="O68" s="72"/>
      <c r="P68" s="72"/>
      <c r="Q68" s="72"/>
      <c r="R68" s="72"/>
      <c r="S68" s="2005"/>
      <c r="T68" s="2005"/>
      <c r="U68" s="2005"/>
      <c r="V68" s="1304"/>
      <c r="W68" s="1304"/>
      <c r="X68" s="72"/>
      <c r="Y68" s="72"/>
      <c r="Z68" s="72"/>
      <c r="AA68" s="72"/>
      <c r="AB68" s="72"/>
      <c r="AC68" s="72"/>
      <c r="AD68" s="72"/>
      <c r="AE68" s="72"/>
      <c r="AF68" s="72"/>
      <c r="AG68" s="72"/>
      <c r="AH68" s="72"/>
      <c r="AI68" s="72"/>
      <c r="AJ68" s="72"/>
      <c r="AK68" s="72"/>
      <c r="AL68" s="72"/>
      <c r="AM68" s="175"/>
    </row>
    <row r="69" spans="2:39" x14ac:dyDescent="0.3">
      <c r="B69" s="173"/>
      <c r="C69" s="72"/>
      <c r="D69" s="105" t="s">
        <v>304</v>
      </c>
      <c r="E69" s="72"/>
      <c r="F69" s="214"/>
      <c r="G69" s="214"/>
      <c r="H69" s="214"/>
      <c r="I69" s="214"/>
      <c r="J69" s="214"/>
      <c r="K69" s="72"/>
      <c r="L69" s="72"/>
      <c r="M69" s="72"/>
      <c r="N69" s="72"/>
      <c r="O69" s="72"/>
      <c r="P69" s="72"/>
      <c r="Q69" s="72"/>
      <c r="R69" s="72"/>
      <c r="S69" s="2006"/>
      <c r="T69" s="2006"/>
      <c r="U69" s="2006"/>
      <c r="V69" s="2006"/>
      <c r="W69" s="2006"/>
      <c r="X69" s="214"/>
      <c r="Y69" s="214"/>
      <c r="Z69" s="214"/>
      <c r="AA69" s="214"/>
      <c r="AB69" s="214"/>
      <c r="AC69" s="214"/>
      <c r="AD69" s="214"/>
      <c r="AE69" s="214"/>
      <c r="AF69" s="214"/>
      <c r="AG69" s="214"/>
      <c r="AH69" s="214"/>
      <c r="AI69" s="214"/>
      <c r="AJ69" s="214"/>
      <c r="AK69" s="214"/>
      <c r="AL69" s="214"/>
      <c r="AM69" s="175"/>
    </row>
    <row r="70" spans="2:39" x14ac:dyDescent="0.3">
      <c r="B70" s="173"/>
      <c r="C70" s="72"/>
      <c r="D70" s="72" t="s">
        <v>305</v>
      </c>
      <c r="E70" s="72"/>
      <c r="F70" s="214"/>
      <c r="G70" s="214"/>
      <c r="H70" s="214"/>
      <c r="I70" s="214"/>
      <c r="J70" s="72"/>
      <c r="K70" s="72"/>
      <c r="L70" s="72"/>
      <c r="M70" s="72"/>
      <c r="N70" s="72"/>
      <c r="O70" s="72"/>
      <c r="P70" s="72"/>
      <c r="Q70" s="72"/>
      <c r="R70" s="72"/>
      <c r="S70" s="2007"/>
      <c r="T70" s="2008"/>
      <c r="U70" s="2008"/>
      <c r="V70" s="2009"/>
      <c r="W70" s="2021"/>
      <c r="X70" s="235"/>
      <c r="Y70" s="236"/>
      <c r="Z70" s="236"/>
      <c r="AA70" s="236"/>
      <c r="AB70" s="237"/>
      <c r="AC70" s="236"/>
      <c r="AD70" s="236"/>
      <c r="AE70" s="236"/>
      <c r="AF70" s="236"/>
      <c r="AG70" s="237"/>
      <c r="AH70" s="236"/>
      <c r="AI70" s="236"/>
      <c r="AJ70" s="236"/>
      <c r="AK70" s="236"/>
      <c r="AL70" s="237"/>
      <c r="AM70" s="175"/>
    </row>
    <row r="71" spans="2:39" x14ac:dyDescent="0.3">
      <c r="B71" s="173"/>
      <c r="C71" s="72"/>
      <c r="D71" s="72" t="s">
        <v>332</v>
      </c>
      <c r="E71" s="72"/>
      <c r="F71" s="214"/>
      <c r="G71" s="214"/>
      <c r="H71" s="214"/>
      <c r="I71" s="214"/>
      <c r="J71" s="72"/>
      <c r="K71" s="72"/>
      <c r="L71" s="72"/>
      <c r="M71" s="72"/>
      <c r="N71" s="72"/>
      <c r="O71" s="72"/>
      <c r="P71" s="72"/>
      <c r="Q71" s="72"/>
      <c r="R71" s="72"/>
      <c r="S71" s="2010"/>
      <c r="T71" s="2011"/>
      <c r="U71" s="2011"/>
      <c r="V71" s="2011"/>
      <c r="W71" s="2027"/>
      <c r="X71" s="238"/>
      <c r="Y71" s="239"/>
      <c r="Z71" s="2123"/>
      <c r="AA71" s="239"/>
      <c r="AB71" s="240"/>
      <c r="AC71" s="239"/>
      <c r="AD71" s="239"/>
      <c r="AE71" s="239"/>
      <c r="AF71" s="239"/>
      <c r="AG71" s="240"/>
      <c r="AH71" s="239"/>
      <c r="AI71" s="239"/>
      <c r="AJ71" s="239"/>
      <c r="AK71" s="239"/>
      <c r="AL71" s="240"/>
      <c r="AM71" s="175"/>
    </row>
    <row r="72" spans="2:39" x14ac:dyDescent="0.3">
      <c r="B72" s="173"/>
      <c r="C72" s="72"/>
      <c r="D72" s="227" t="s">
        <v>333</v>
      </c>
      <c r="E72" s="72"/>
      <c r="F72" s="214"/>
      <c r="G72" s="214"/>
      <c r="H72" s="214"/>
      <c r="I72" s="214"/>
      <c r="J72" s="228"/>
      <c r="K72" s="72"/>
      <c r="L72" s="72"/>
      <c r="M72" s="72"/>
      <c r="N72" s="72"/>
      <c r="O72" s="72"/>
      <c r="P72" s="72"/>
      <c r="Q72" s="72"/>
      <c r="R72" s="72"/>
      <c r="S72" s="2012"/>
      <c r="T72" s="2012"/>
      <c r="U72" s="2012"/>
      <c r="V72" s="2012"/>
      <c r="W72" s="2028" t="e">
        <f t="shared" ref="W72:AB72" si="22">+W71/W70*100*10^6</f>
        <v>#DIV/0!</v>
      </c>
      <c r="X72" s="682" t="e">
        <f t="shared" si="22"/>
        <v>#DIV/0!</v>
      </c>
      <c r="Y72" s="682" t="e">
        <f t="shared" si="22"/>
        <v>#DIV/0!</v>
      </c>
      <c r="Z72" s="682" t="e">
        <f t="shared" si="22"/>
        <v>#DIV/0!</v>
      </c>
      <c r="AA72" s="682" t="e">
        <f t="shared" si="22"/>
        <v>#DIV/0!</v>
      </c>
      <c r="AB72" s="682" t="e">
        <f t="shared" si="22"/>
        <v>#DIV/0!</v>
      </c>
      <c r="AC72" s="682" t="e">
        <f t="shared" ref="AC72:AL72" si="23">+AC71/AC70*100*10^6</f>
        <v>#DIV/0!</v>
      </c>
      <c r="AD72" s="682" t="e">
        <f t="shared" si="23"/>
        <v>#DIV/0!</v>
      </c>
      <c r="AE72" s="682" t="e">
        <f t="shared" si="23"/>
        <v>#DIV/0!</v>
      </c>
      <c r="AF72" s="682" t="e">
        <f t="shared" si="23"/>
        <v>#DIV/0!</v>
      </c>
      <c r="AG72" s="682" t="e">
        <f t="shared" si="23"/>
        <v>#DIV/0!</v>
      </c>
      <c r="AH72" s="682" t="e">
        <f t="shared" si="23"/>
        <v>#DIV/0!</v>
      </c>
      <c r="AI72" s="682" t="e">
        <f t="shared" si="23"/>
        <v>#DIV/0!</v>
      </c>
      <c r="AJ72" s="682" t="e">
        <f t="shared" si="23"/>
        <v>#DIV/0!</v>
      </c>
      <c r="AK72" s="682" t="e">
        <f t="shared" si="23"/>
        <v>#DIV/0!</v>
      </c>
      <c r="AL72" s="682" t="e">
        <f t="shared" si="23"/>
        <v>#DIV/0!</v>
      </c>
      <c r="AM72" s="175"/>
    </row>
    <row r="73" spans="2:39" x14ac:dyDescent="0.3">
      <c r="B73" s="173"/>
      <c r="C73" s="72"/>
      <c r="D73" s="102" t="s">
        <v>308</v>
      </c>
      <c r="E73" s="72"/>
      <c r="F73" s="214"/>
      <c r="G73" s="214"/>
      <c r="H73" s="214"/>
      <c r="I73" s="214"/>
      <c r="J73" s="178"/>
      <c r="K73" s="72"/>
      <c r="L73" s="72"/>
      <c r="M73" s="72"/>
      <c r="N73" s="72"/>
      <c r="O73" s="72"/>
      <c r="P73" s="72"/>
      <c r="Q73" s="72"/>
      <c r="R73" s="72"/>
      <c r="S73" s="2006"/>
      <c r="T73" s="2006"/>
      <c r="U73" s="2006"/>
      <c r="V73" s="2006"/>
      <c r="W73" s="2006"/>
      <c r="X73" s="217" t="e">
        <f>+X72/W72-1</f>
        <v>#DIV/0!</v>
      </c>
      <c r="Y73" s="217" t="e">
        <f>+Y72/X72-1</f>
        <v>#DIV/0!</v>
      </c>
      <c r="Z73" s="217" t="e">
        <f>+Z72/Y72-1</f>
        <v>#DIV/0!</v>
      </c>
      <c r="AA73" s="217" t="e">
        <f>+AA72/Z72-1</f>
        <v>#DIV/0!</v>
      </c>
      <c r="AB73" s="217" t="e">
        <f>+AB72/AA72-1</f>
        <v>#DIV/0!</v>
      </c>
      <c r="AC73" s="217" t="e">
        <f t="shared" ref="AC73:AL73" si="24">+AC72/AB72-1</f>
        <v>#DIV/0!</v>
      </c>
      <c r="AD73" s="217" t="e">
        <f t="shared" si="24"/>
        <v>#DIV/0!</v>
      </c>
      <c r="AE73" s="217" t="e">
        <f t="shared" si="24"/>
        <v>#DIV/0!</v>
      </c>
      <c r="AF73" s="217" t="e">
        <f t="shared" si="24"/>
        <v>#DIV/0!</v>
      </c>
      <c r="AG73" s="217" t="e">
        <f t="shared" si="24"/>
        <v>#DIV/0!</v>
      </c>
      <c r="AH73" s="217" t="e">
        <f t="shared" si="24"/>
        <v>#DIV/0!</v>
      </c>
      <c r="AI73" s="217" t="e">
        <f t="shared" si="24"/>
        <v>#DIV/0!</v>
      </c>
      <c r="AJ73" s="217" t="e">
        <f t="shared" si="24"/>
        <v>#DIV/0!</v>
      </c>
      <c r="AK73" s="217" t="e">
        <f t="shared" si="24"/>
        <v>#DIV/0!</v>
      </c>
      <c r="AL73" s="217" t="e">
        <f t="shared" si="24"/>
        <v>#DIV/0!</v>
      </c>
      <c r="AM73" s="175"/>
    </row>
    <row r="74" spans="2:39" x14ac:dyDescent="0.3">
      <c r="B74" s="173"/>
      <c r="C74" s="72"/>
      <c r="D74" s="72"/>
      <c r="E74" s="72"/>
      <c r="F74" s="214"/>
      <c r="G74" s="214"/>
      <c r="H74" s="214"/>
      <c r="I74" s="214"/>
      <c r="J74" s="214"/>
      <c r="K74" s="72"/>
      <c r="L74" s="72"/>
      <c r="M74" s="72"/>
      <c r="N74" s="72"/>
      <c r="O74" s="72"/>
      <c r="P74" s="72"/>
      <c r="Q74" s="72"/>
      <c r="R74" s="72"/>
      <c r="S74" s="2006"/>
      <c r="T74" s="2006"/>
      <c r="U74" s="2006"/>
      <c r="V74" s="2006"/>
      <c r="W74" s="2006"/>
      <c r="X74" s="214"/>
      <c r="Y74" s="214"/>
      <c r="Z74" s="214"/>
      <c r="AA74" s="214"/>
      <c r="AB74" s="214"/>
      <c r="AC74" s="214"/>
      <c r="AD74" s="214"/>
      <c r="AE74" s="214"/>
      <c r="AF74" s="214"/>
      <c r="AG74" s="214"/>
      <c r="AH74" s="214"/>
      <c r="AI74" s="214"/>
      <c r="AJ74" s="214"/>
      <c r="AK74" s="214"/>
      <c r="AL74" s="214"/>
      <c r="AM74" s="175"/>
    </row>
    <row r="75" spans="2:39" x14ac:dyDescent="0.3">
      <c r="B75" s="173"/>
      <c r="C75" s="72"/>
      <c r="D75" s="105" t="s">
        <v>306</v>
      </c>
      <c r="E75" s="72"/>
      <c r="F75" s="214"/>
      <c r="G75" s="214"/>
      <c r="H75" s="214"/>
      <c r="I75" s="214"/>
      <c r="J75" s="214"/>
      <c r="K75" s="72"/>
      <c r="L75" s="72"/>
      <c r="M75" s="72"/>
      <c r="N75" s="72"/>
      <c r="O75" s="72"/>
      <c r="P75" s="72"/>
      <c r="Q75" s="72"/>
      <c r="R75" s="72"/>
      <c r="S75" s="2006"/>
      <c r="T75" s="2006"/>
      <c r="U75" s="2006"/>
      <c r="V75" s="2006"/>
      <c r="W75" s="2006"/>
      <c r="X75" s="214"/>
      <c r="Y75" s="214"/>
      <c r="Z75" s="214"/>
      <c r="AA75" s="214"/>
      <c r="AB75" s="214"/>
      <c r="AC75" s="214"/>
      <c r="AD75" s="214"/>
      <c r="AE75" s="214"/>
      <c r="AF75" s="214"/>
      <c r="AG75" s="214"/>
      <c r="AH75" s="214"/>
      <c r="AI75" s="214"/>
      <c r="AJ75" s="214"/>
      <c r="AK75" s="214"/>
      <c r="AL75" s="214"/>
      <c r="AM75" s="175"/>
    </row>
    <row r="76" spans="2:39" x14ac:dyDescent="0.3">
      <c r="B76" s="173"/>
      <c r="C76" s="72"/>
      <c r="D76" s="72" t="s">
        <v>305</v>
      </c>
      <c r="E76" s="72"/>
      <c r="F76" s="214"/>
      <c r="G76" s="214"/>
      <c r="H76" s="214"/>
      <c r="I76" s="214"/>
      <c r="J76" s="72"/>
      <c r="K76" s="72"/>
      <c r="L76" s="72"/>
      <c r="M76" s="72"/>
      <c r="N76" s="72"/>
      <c r="O76" s="72"/>
      <c r="P76" s="72"/>
      <c r="Q76" s="72"/>
      <c r="R76" s="72"/>
      <c r="S76" s="2007"/>
      <c r="T76" s="2008"/>
      <c r="U76" s="2008"/>
      <c r="V76" s="2009"/>
      <c r="W76" s="2021"/>
      <c r="X76" s="235"/>
      <c r="Y76" s="236"/>
      <c r="Z76" s="236"/>
      <c r="AA76" s="236"/>
      <c r="AB76" s="237"/>
      <c r="AC76" s="236"/>
      <c r="AD76" s="236"/>
      <c r="AE76" s="236"/>
      <c r="AF76" s="236"/>
      <c r="AG76" s="237"/>
      <c r="AH76" s="236"/>
      <c r="AI76" s="236"/>
      <c r="AJ76" s="236"/>
      <c r="AK76" s="236"/>
      <c r="AL76" s="237"/>
      <c r="AM76" s="175"/>
    </row>
    <row r="77" spans="2:39" x14ac:dyDescent="0.3">
      <c r="B77" s="173"/>
      <c r="C77" s="72"/>
      <c r="D77" s="72" t="s">
        <v>332</v>
      </c>
      <c r="E77" s="72"/>
      <c r="F77" s="214"/>
      <c r="G77" s="214"/>
      <c r="H77" s="214"/>
      <c r="I77" s="214"/>
      <c r="J77" s="72"/>
      <c r="K77" s="72"/>
      <c r="L77" s="72"/>
      <c r="M77" s="72"/>
      <c r="N77" s="72"/>
      <c r="O77" s="72"/>
      <c r="P77" s="72"/>
      <c r="Q77" s="72"/>
      <c r="R77" s="72"/>
      <c r="S77" s="2010"/>
      <c r="T77" s="2011"/>
      <c r="U77" s="2011"/>
      <c r="V77" s="2011"/>
      <c r="W77" s="2027"/>
      <c r="X77" s="238"/>
      <c r="Y77" s="239"/>
      <c r="Z77" s="2123"/>
      <c r="AA77" s="239"/>
      <c r="AB77" s="240"/>
      <c r="AC77" s="239"/>
      <c r="AD77" s="239"/>
      <c r="AE77" s="239"/>
      <c r="AF77" s="239"/>
      <c r="AG77" s="240"/>
      <c r="AH77" s="239"/>
      <c r="AI77" s="239"/>
      <c r="AJ77" s="239"/>
      <c r="AK77" s="239"/>
      <c r="AL77" s="240"/>
      <c r="AM77" s="175"/>
    </row>
    <row r="78" spans="2:39" x14ac:dyDescent="0.3">
      <c r="B78" s="173"/>
      <c r="C78" s="72"/>
      <c r="D78" s="227" t="s">
        <v>333</v>
      </c>
      <c r="E78" s="72"/>
      <c r="F78" s="214"/>
      <c r="G78" s="214"/>
      <c r="H78" s="214"/>
      <c r="I78" s="214"/>
      <c r="J78" s="228"/>
      <c r="K78" s="72"/>
      <c r="L78" s="72"/>
      <c r="M78" s="72"/>
      <c r="N78" s="72"/>
      <c r="O78" s="72"/>
      <c r="P78" s="72"/>
      <c r="Q78" s="72"/>
      <c r="R78" s="72"/>
      <c r="S78" s="2012"/>
      <c r="T78" s="2012"/>
      <c r="U78" s="2012"/>
      <c r="V78" s="2012"/>
      <c r="W78" s="2028" t="e">
        <f t="shared" ref="W78:AB78" si="25">+W77/W76*100*10^6</f>
        <v>#DIV/0!</v>
      </c>
      <c r="X78" s="682" t="e">
        <f t="shared" si="25"/>
        <v>#DIV/0!</v>
      </c>
      <c r="Y78" s="682" t="e">
        <f t="shared" si="25"/>
        <v>#DIV/0!</v>
      </c>
      <c r="Z78" s="682" t="e">
        <f t="shared" si="25"/>
        <v>#DIV/0!</v>
      </c>
      <c r="AA78" s="682" t="e">
        <f t="shared" si="25"/>
        <v>#DIV/0!</v>
      </c>
      <c r="AB78" s="682" t="e">
        <f t="shared" si="25"/>
        <v>#DIV/0!</v>
      </c>
      <c r="AC78" s="682" t="e">
        <f t="shared" ref="AC78:AL78" si="26">+AC77/AC76*100*10^6</f>
        <v>#DIV/0!</v>
      </c>
      <c r="AD78" s="682" t="e">
        <f t="shared" si="26"/>
        <v>#DIV/0!</v>
      </c>
      <c r="AE78" s="682" t="e">
        <f t="shared" si="26"/>
        <v>#DIV/0!</v>
      </c>
      <c r="AF78" s="682" t="e">
        <f t="shared" si="26"/>
        <v>#DIV/0!</v>
      </c>
      <c r="AG78" s="682" t="e">
        <f t="shared" si="26"/>
        <v>#DIV/0!</v>
      </c>
      <c r="AH78" s="682" t="e">
        <f t="shared" si="26"/>
        <v>#DIV/0!</v>
      </c>
      <c r="AI78" s="682" t="e">
        <f t="shared" si="26"/>
        <v>#DIV/0!</v>
      </c>
      <c r="AJ78" s="682" t="e">
        <f t="shared" si="26"/>
        <v>#DIV/0!</v>
      </c>
      <c r="AK78" s="682" t="e">
        <f t="shared" si="26"/>
        <v>#DIV/0!</v>
      </c>
      <c r="AL78" s="682" t="e">
        <f t="shared" si="26"/>
        <v>#DIV/0!</v>
      </c>
      <c r="AM78" s="175"/>
    </row>
    <row r="79" spans="2:39" x14ac:dyDescent="0.3">
      <c r="B79" s="173"/>
      <c r="C79" s="72"/>
      <c r="D79" s="102" t="s">
        <v>308</v>
      </c>
      <c r="E79" s="72"/>
      <c r="F79" s="214"/>
      <c r="G79" s="214"/>
      <c r="H79" s="214"/>
      <c r="I79" s="214"/>
      <c r="J79" s="178"/>
      <c r="K79" s="72"/>
      <c r="L79" s="72"/>
      <c r="M79" s="72"/>
      <c r="N79" s="72"/>
      <c r="O79" s="72"/>
      <c r="P79" s="72"/>
      <c r="Q79" s="72"/>
      <c r="R79" s="72"/>
      <c r="S79" s="2006"/>
      <c r="T79" s="2006"/>
      <c r="U79" s="2006"/>
      <c r="V79" s="2006"/>
      <c r="W79" s="2006"/>
      <c r="X79" s="217" t="e">
        <f>+X78/W78-1</f>
        <v>#DIV/0!</v>
      </c>
      <c r="Y79" s="217" t="e">
        <f>+Y78/X78-1</f>
        <v>#DIV/0!</v>
      </c>
      <c r="Z79" s="217" t="e">
        <f>+Z78/Y78-1</f>
        <v>#DIV/0!</v>
      </c>
      <c r="AA79" s="217" t="e">
        <f>+AA78/Z78-1</f>
        <v>#DIV/0!</v>
      </c>
      <c r="AB79" s="217" t="e">
        <f>+AB78/AA78-1</f>
        <v>#DIV/0!</v>
      </c>
      <c r="AC79" s="217" t="e">
        <f t="shared" ref="AC79:AL79" si="27">+AC78/AB78-1</f>
        <v>#DIV/0!</v>
      </c>
      <c r="AD79" s="217" t="e">
        <f t="shared" si="27"/>
        <v>#DIV/0!</v>
      </c>
      <c r="AE79" s="217" t="e">
        <f t="shared" si="27"/>
        <v>#DIV/0!</v>
      </c>
      <c r="AF79" s="217" t="e">
        <f t="shared" si="27"/>
        <v>#DIV/0!</v>
      </c>
      <c r="AG79" s="217" t="e">
        <f t="shared" si="27"/>
        <v>#DIV/0!</v>
      </c>
      <c r="AH79" s="217" t="e">
        <f t="shared" si="27"/>
        <v>#DIV/0!</v>
      </c>
      <c r="AI79" s="217" t="e">
        <f t="shared" si="27"/>
        <v>#DIV/0!</v>
      </c>
      <c r="AJ79" s="217" t="e">
        <f t="shared" si="27"/>
        <v>#DIV/0!</v>
      </c>
      <c r="AK79" s="217" t="e">
        <f t="shared" si="27"/>
        <v>#DIV/0!</v>
      </c>
      <c r="AL79" s="217" t="e">
        <f t="shared" si="27"/>
        <v>#DIV/0!</v>
      </c>
      <c r="AM79" s="175"/>
    </row>
    <row r="80" spans="2:39" x14ac:dyDescent="0.3">
      <c r="B80" s="173"/>
      <c r="C80" s="72"/>
      <c r="D80" s="72"/>
      <c r="E80" s="72"/>
      <c r="F80" s="214"/>
      <c r="G80" s="214"/>
      <c r="H80" s="214"/>
      <c r="I80" s="214"/>
      <c r="J80" s="214"/>
      <c r="K80" s="72"/>
      <c r="L80" s="72"/>
      <c r="M80" s="72"/>
      <c r="N80" s="72"/>
      <c r="O80" s="72"/>
      <c r="P80" s="72"/>
      <c r="Q80" s="72"/>
      <c r="R80" s="72"/>
      <c r="S80" s="2006"/>
      <c r="T80" s="2006"/>
      <c r="U80" s="2006"/>
      <c r="V80" s="2006"/>
      <c r="W80" s="2006"/>
      <c r="X80" s="214"/>
      <c r="Y80" s="214"/>
      <c r="Z80" s="214"/>
      <c r="AA80" s="214"/>
      <c r="AB80" s="214"/>
      <c r="AC80" s="214"/>
      <c r="AD80" s="214"/>
      <c r="AE80" s="214"/>
      <c r="AF80" s="214"/>
      <c r="AG80" s="214"/>
      <c r="AH80" s="214"/>
      <c r="AI80" s="214"/>
      <c r="AJ80" s="214"/>
      <c r="AK80" s="214"/>
      <c r="AL80" s="214"/>
      <c r="AM80" s="175"/>
    </row>
    <row r="81" spans="2:39" x14ac:dyDescent="0.3">
      <c r="B81" s="173"/>
      <c r="C81" s="72"/>
      <c r="D81" s="105" t="s">
        <v>307</v>
      </c>
      <c r="E81" s="72"/>
      <c r="F81" s="214"/>
      <c r="G81" s="214"/>
      <c r="H81" s="214"/>
      <c r="I81" s="214"/>
      <c r="J81" s="214"/>
      <c r="K81" s="72"/>
      <c r="L81" s="72"/>
      <c r="M81" s="72"/>
      <c r="N81" s="72"/>
      <c r="O81" s="72"/>
      <c r="P81" s="72"/>
      <c r="Q81" s="72"/>
      <c r="R81" s="72"/>
      <c r="S81" s="2006"/>
      <c r="T81" s="2006"/>
      <c r="U81" s="2006"/>
      <c r="V81" s="2006"/>
      <c r="W81" s="2006"/>
      <c r="X81" s="214"/>
      <c r="Y81" s="214"/>
      <c r="Z81" s="214"/>
      <c r="AA81" s="214"/>
      <c r="AB81" s="214"/>
      <c r="AC81" s="214"/>
      <c r="AD81" s="214"/>
      <c r="AE81" s="214"/>
      <c r="AF81" s="214"/>
      <c r="AG81" s="214"/>
      <c r="AH81" s="214"/>
      <c r="AI81" s="214"/>
      <c r="AJ81" s="214"/>
      <c r="AK81" s="214"/>
      <c r="AL81" s="214"/>
      <c r="AM81" s="175"/>
    </row>
    <row r="82" spans="2:39" x14ac:dyDescent="0.3">
      <c r="B82" s="173"/>
      <c r="C82" s="72"/>
      <c r="D82" s="72" t="s">
        <v>305</v>
      </c>
      <c r="E82" s="72"/>
      <c r="F82" s="214"/>
      <c r="G82" s="214"/>
      <c r="H82" s="214"/>
      <c r="I82" s="214"/>
      <c r="J82" s="72"/>
      <c r="K82" s="72"/>
      <c r="L82" s="72"/>
      <c r="M82" s="72"/>
      <c r="N82" s="72"/>
      <c r="O82" s="72"/>
      <c r="P82" s="72"/>
      <c r="Q82" s="72"/>
      <c r="R82" s="72"/>
      <c r="S82" s="2007"/>
      <c r="T82" s="2008"/>
      <c r="U82" s="2008"/>
      <c r="V82" s="2008"/>
      <c r="W82" s="2021"/>
      <c r="X82" s="235"/>
      <c r="Y82" s="236"/>
      <c r="Z82" s="236"/>
      <c r="AA82" s="236"/>
      <c r="AB82" s="237"/>
      <c r="AC82" s="236"/>
      <c r="AD82" s="236"/>
      <c r="AE82" s="236"/>
      <c r="AF82" s="236"/>
      <c r="AG82" s="237"/>
      <c r="AH82" s="236"/>
      <c r="AI82" s="236"/>
      <c r="AJ82" s="236"/>
      <c r="AK82" s="236"/>
      <c r="AL82" s="237"/>
      <c r="AM82" s="175"/>
    </row>
    <row r="83" spans="2:39" x14ac:dyDescent="0.3">
      <c r="B83" s="173"/>
      <c r="C83" s="72"/>
      <c r="D83" s="72" t="s">
        <v>332</v>
      </c>
      <c r="E83" s="72"/>
      <c r="F83" s="214"/>
      <c r="G83" s="214"/>
      <c r="H83" s="214"/>
      <c r="I83" s="214"/>
      <c r="J83" s="72"/>
      <c r="K83" s="72"/>
      <c r="L83" s="72"/>
      <c r="M83" s="72"/>
      <c r="N83" s="72"/>
      <c r="O83" s="72"/>
      <c r="P83" s="72"/>
      <c r="Q83" s="72"/>
      <c r="R83" s="72"/>
      <c r="S83" s="2010"/>
      <c r="T83" s="2011"/>
      <c r="U83" s="2011"/>
      <c r="V83" s="2011"/>
      <c r="W83" s="2027"/>
      <c r="X83" s="238"/>
      <c r="Y83" s="239"/>
      <c r="Z83" s="2123"/>
      <c r="AA83" s="239"/>
      <c r="AB83" s="240"/>
      <c r="AC83" s="239"/>
      <c r="AD83" s="239"/>
      <c r="AE83" s="239"/>
      <c r="AF83" s="239"/>
      <c r="AG83" s="240"/>
      <c r="AH83" s="239"/>
      <c r="AI83" s="239"/>
      <c r="AJ83" s="239"/>
      <c r="AK83" s="239"/>
      <c r="AL83" s="240"/>
      <c r="AM83" s="175"/>
    </row>
    <row r="84" spans="2:39" x14ac:dyDescent="0.3">
      <c r="B84" s="173"/>
      <c r="C84" s="72"/>
      <c r="D84" s="227" t="s">
        <v>333</v>
      </c>
      <c r="E84" s="72"/>
      <c r="F84" s="214"/>
      <c r="G84" s="214"/>
      <c r="H84" s="214"/>
      <c r="I84" s="214"/>
      <c r="J84" s="228"/>
      <c r="K84" s="72"/>
      <c r="L84" s="72"/>
      <c r="M84" s="72"/>
      <c r="N84" s="72"/>
      <c r="O84" s="72"/>
      <c r="P84" s="72"/>
      <c r="Q84" s="72"/>
      <c r="R84" s="72"/>
      <c r="S84" s="2012"/>
      <c r="T84" s="2012"/>
      <c r="U84" s="2012"/>
      <c r="V84" s="2012"/>
      <c r="W84" s="2028" t="e">
        <f>+W83/W82*100*10^6</f>
        <v>#DIV/0!</v>
      </c>
      <c r="X84" s="682" t="e">
        <f t="shared" ref="X84:AG84" si="28">+X83/X82*100*10^6</f>
        <v>#DIV/0!</v>
      </c>
      <c r="Y84" s="682" t="e">
        <f t="shared" si="28"/>
        <v>#DIV/0!</v>
      </c>
      <c r="Z84" s="682" t="e">
        <f t="shared" si="28"/>
        <v>#DIV/0!</v>
      </c>
      <c r="AA84" s="682" t="e">
        <f t="shared" si="28"/>
        <v>#DIV/0!</v>
      </c>
      <c r="AB84" s="682" t="e">
        <f t="shared" si="28"/>
        <v>#DIV/0!</v>
      </c>
      <c r="AC84" s="682" t="e">
        <f t="shared" si="28"/>
        <v>#DIV/0!</v>
      </c>
      <c r="AD84" s="682" t="e">
        <f t="shared" si="28"/>
        <v>#DIV/0!</v>
      </c>
      <c r="AE84" s="682" t="e">
        <f t="shared" si="28"/>
        <v>#DIV/0!</v>
      </c>
      <c r="AF84" s="682" t="e">
        <f t="shared" si="28"/>
        <v>#DIV/0!</v>
      </c>
      <c r="AG84" s="682" t="e">
        <f t="shared" si="28"/>
        <v>#DIV/0!</v>
      </c>
      <c r="AH84" s="682" t="e">
        <f>+AH83/AH82*100*10^6</f>
        <v>#DIV/0!</v>
      </c>
      <c r="AI84" s="682" t="e">
        <f>+AI83/AI82*100*10^6</f>
        <v>#DIV/0!</v>
      </c>
      <c r="AJ84" s="682" t="e">
        <f>+AJ83/AJ82*100*10^6</f>
        <v>#DIV/0!</v>
      </c>
      <c r="AK84" s="682" t="e">
        <f>+AK83/AK82*100*10^6</f>
        <v>#DIV/0!</v>
      </c>
      <c r="AL84" s="682" t="e">
        <f>+AL83/AL82*100*10^6</f>
        <v>#DIV/0!</v>
      </c>
      <c r="AM84" s="175"/>
    </row>
    <row r="85" spans="2:39" x14ac:dyDescent="0.3">
      <c r="B85" s="173"/>
      <c r="C85" s="72"/>
      <c r="D85" s="102" t="s">
        <v>308</v>
      </c>
      <c r="E85" s="72"/>
      <c r="F85" s="214"/>
      <c r="G85" s="214"/>
      <c r="H85" s="214"/>
      <c r="I85" s="214"/>
      <c r="J85" s="178"/>
      <c r="K85" s="72"/>
      <c r="L85" s="72"/>
      <c r="M85" s="72"/>
      <c r="N85" s="72"/>
      <c r="O85" s="72"/>
      <c r="P85" s="72"/>
      <c r="Q85" s="72"/>
      <c r="R85" s="72"/>
      <c r="S85" s="2006"/>
      <c r="T85" s="2006"/>
      <c r="U85" s="2006"/>
      <c r="V85" s="2006"/>
      <c r="W85" s="2006"/>
      <c r="X85" s="217" t="e">
        <f>+X84/W84-1</f>
        <v>#DIV/0!</v>
      </c>
      <c r="Y85" s="217" t="e">
        <f>+Y84/X84-1</f>
        <v>#DIV/0!</v>
      </c>
      <c r="Z85" s="217" t="e">
        <f>+Z84/Y84-1</f>
        <v>#DIV/0!</v>
      </c>
      <c r="AA85" s="217" t="e">
        <f>+AA84/Z84-1</f>
        <v>#DIV/0!</v>
      </c>
      <c r="AB85" s="217" t="e">
        <f>+AB84/AA84-1</f>
        <v>#DIV/0!</v>
      </c>
      <c r="AC85" s="217" t="e">
        <f t="shared" ref="AC85:AL85" si="29">+AC84/AB84-1</f>
        <v>#DIV/0!</v>
      </c>
      <c r="AD85" s="217" t="e">
        <f t="shared" si="29"/>
        <v>#DIV/0!</v>
      </c>
      <c r="AE85" s="217" t="e">
        <f t="shared" si="29"/>
        <v>#DIV/0!</v>
      </c>
      <c r="AF85" s="217" t="e">
        <f t="shared" si="29"/>
        <v>#DIV/0!</v>
      </c>
      <c r="AG85" s="217" t="e">
        <f t="shared" si="29"/>
        <v>#DIV/0!</v>
      </c>
      <c r="AH85" s="217" t="e">
        <f t="shared" si="29"/>
        <v>#DIV/0!</v>
      </c>
      <c r="AI85" s="217" t="e">
        <f t="shared" si="29"/>
        <v>#DIV/0!</v>
      </c>
      <c r="AJ85" s="217" t="e">
        <f t="shared" si="29"/>
        <v>#DIV/0!</v>
      </c>
      <c r="AK85" s="217" t="e">
        <f t="shared" si="29"/>
        <v>#DIV/0!</v>
      </c>
      <c r="AL85" s="217" t="e">
        <f t="shared" si="29"/>
        <v>#DIV/0!</v>
      </c>
      <c r="AM85" s="175"/>
    </row>
    <row r="86" spans="2:39" x14ac:dyDescent="0.3">
      <c r="B86" s="173"/>
      <c r="C86" s="72"/>
      <c r="D86" s="227"/>
      <c r="E86" s="72"/>
      <c r="F86" s="214"/>
      <c r="G86" s="214"/>
      <c r="H86" s="214"/>
      <c r="I86" s="214"/>
      <c r="J86" s="228"/>
      <c r="K86" s="72"/>
      <c r="L86" s="72"/>
      <c r="M86" s="72"/>
      <c r="N86" s="72"/>
      <c r="O86" s="72"/>
      <c r="P86" s="72"/>
      <c r="Q86" s="72"/>
      <c r="R86" s="72"/>
      <c r="S86" s="2013"/>
      <c r="T86" s="2013"/>
      <c r="U86" s="2013"/>
      <c r="V86" s="2013"/>
      <c r="W86" s="2013"/>
      <c r="X86" s="228"/>
      <c r="Y86" s="228"/>
      <c r="Z86" s="228"/>
      <c r="AA86" s="228"/>
      <c r="AB86" s="228"/>
      <c r="AC86" s="228"/>
      <c r="AD86" s="228"/>
      <c r="AE86" s="228"/>
      <c r="AF86" s="228"/>
      <c r="AG86" s="228"/>
      <c r="AH86" s="228"/>
      <c r="AI86" s="228"/>
      <c r="AJ86" s="228"/>
      <c r="AK86" s="228"/>
      <c r="AL86" s="228"/>
      <c r="AM86" s="175"/>
    </row>
    <row r="87" spans="2:39" x14ac:dyDescent="0.3">
      <c r="B87" s="173"/>
      <c r="C87" s="72"/>
      <c r="D87" s="227"/>
      <c r="E87" s="72"/>
      <c r="F87" s="214"/>
      <c r="G87" s="214"/>
      <c r="H87" s="214"/>
      <c r="I87" s="214"/>
      <c r="J87" s="228"/>
      <c r="K87" s="72"/>
      <c r="L87" s="72"/>
      <c r="M87" s="72"/>
      <c r="N87" s="72"/>
      <c r="O87" s="72"/>
      <c r="P87" s="72"/>
      <c r="Q87" s="72"/>
      <c r="R87" s="72"/>
      <c r="S87" s="2013"/>
      <c r="T87" s="2013"/>
      <c r="U87" s="2013"/>
      <c r="V87" s="2013"/>
      <c r="W87" s="2013"/>
      <c r="X87" s="228"/>
      <c r="Y87" s="228"/>
      <c r="Z87" s="228"/>
      <c r="AA87" s="228"/>
      <c r="AB87" s="228"/>
      <c r="AC87" s="228"/>
      <c r="AD87" s="228"/>
      <c r="AE87" s="228"/>
      <c r="AF87" s="228"/>
      <c r="AG87" s="228"/>
      <c r="AH87" s="228"/>
      <c r="AI87" s="228"/>
      <c r="AJ87" s="228"/>
      <c r="AK87" s="228"/>
      <c r="AL87" s="228"/>
      <c r="AM87" s="175"/>
    </row>
    <row r="88" spans="2:39" x14ac:dyDescent="0.3">
      <c r="B88" s="173"/>
      <c r="C88" s="72"/>
      <c r="D88" s="227" t="s">
        <v>342</v>
      </c>
      <c r="E88" s="72"/>
      <c r="F88" s="214"/>
      <c r="G88" s="214"/>
      <c r="H88" s="214"/>
      <c r="I88" s="214"/>
      <c r="J88" s="72"/>
      <c r="K88" s="72"/>
      <c r="L88" s="72"/>
      <c r="M88" s="72"/>
      <c r="N88" s="72"/>
      <c r="O88" s="72"/>
      <c r="P88" s="72"/>
      <c r="Q88" s="72"/>
      <c r="R88" s="72"/>
      <c r="S88" s="2007"/>
      <c r="T88" s="2008"/>
      <c r="U88" s="2008"/>
      <c r="V88" s="2008"/>
      <c r="W88" s="2021">
        <v>0.44290045248868781</v>
      </c>
      <c r="X88" s="344">
        <v>0</v>
      </c>
      <c r="Y88" s="345">
        <v>0</v>
      </c>
      <c r="Z88" s="345">
        <v>0</v>
      </c>
      <c r="AA88" s="345">
        <v>0</v>
      </c>
      <c r="AB88" s="346">
        <v>0</v>
      </c>
      <c r="AC88" s="210">
        <v>0</v>
      </c>
      <c r="AD88" s="210">
        <v>0</v>
      </c>
      <c r="AE88" s="210">
        <v>0</v>
      </c>
      <c r="AF88" s="210">
        <v>0</v>
      </c>
      <c r="AG88" s="233">
        <v>0</v>
      </c>
      <c r="AH88" s="210">
        <v>0</v>
      </c>
      <c r="AI88" s="210">
        <v>0</v>
      </c>
      <c r="AJ88" s="210">
        <v>0</v>
      </c>
      <c r="AK88" s="210">
        <v>0</v>
      </c>
      <c r="AL88" s="233">
        <v>0</v>
      </c>
      <c r="AM88" s="175"/>
    </row>
    <row r="89" spans="2:39" x14ac:dyDescent="0.3">
      <c r="B89" s="173"/>
      <c r="C89" s="72"/>
      <c r="D89" s="102" t="s">
        <v>308</v>
      </c>
      <c r="E89" s="72"/>
      <c r="F89" s="214"/>
      <c r="G89" s="214"/>
      <c r="H89" s="214"/>
      <c r="I89" s="214"/>
      <c r="J89" s="178"/>
      <c r="K89" s="72"/>
      <c r="L89" s="72"/>
      <c r="M89" s="72"/>
      <c r="N89" s="72"/>
      <c r="O89" s="72"/>
      <c r="P89" s="72"/>
      <c r="Q89" s="72"/>
      <c r="R89" s="72"/>
      <c r="S89" s="2006"/>
      <c r="T89" s="2006"/>
      <c r="U89" s="2006"/>
      <c r="V89" s="2006"/>
      <c r="W89" s="2006"/>
      <c r="X89" s="217">
        <f t="shared" ref="X89:AG89" si="30">X88/W88-1</f>
        <v>-1</v>
      </c>
      <c r="Y89" s="217" t="e">
        <f t="shared" si="30"/>
        <v>#DIV/0!</v>
      </c>
      <c r="Z89" s="217" t="e">
        <f t="shared" si="30"/>
        <v>#DIV/0!</v>
      </c>
      <c r="AA89" s="217" t="e">
        <f t="shared" si="30"/>
        <v>#DIV/0!</v>
      </c>
      <c r="AB89" s="217" t="e">
        <f t="shared" si="30"/>
        <v>#DIV/0!</v>
      </c>
      <c r="AC89" s="217" t="e">
        <f t="shared" si="30"/>
        <v>#DIV/0!</v>
      </c>
      <c r="AD89" s="217" t="e">
        <f t="shared" si="30"/>
        <v>#DIV/0!</v>
      </c>
      <c r="AE89" s="217" t="e">
        <f t="shared" si="30"/>
        <v>#DIV/0!</v>
      </c>
      <c r="AF89" s="217" t="e">
        <f t="shared" si="30"/>
        <v>#DIV/0!</v>
      </c>
      <c r="AG89" s="217" t="e">
        <f t="shared" si="30"/>
        <v>#DIV/0!</v>
      </c>
      <c r="AH89" s="217" t="e">
        <f>AH88/AG88-1</f>
        <v>#DIV/0!</v>
      </c>
      <c r="AI89" s="217" t="e">
        <f>AI88/AH88-1</f>
        <v>#DIV/0!</v>
      </c>
      <c r="AJ89" s="217" t="e">
        <f>AJ88/AI88-1</f>
        <v>#DIV/0!</v>
      </c>
      <c r="AK89" s="217" t="e">
        <f>AK88/AJ88-1</f>
        <v>#DIV/0!</v>
      </c>
      <c r="AL89" s="217" t="e">
        <f>AL88/AK88-1</f>
        <v>#DIV/0!</v>
      </c>
      <c r="AM89" s="175"/>
    </row>
    <row r="90" spans="2:39" x14ac:dyDescent="0.3">
      <c r="B90" s="173"/>
      <c r="C90" s="72"/>
      <c r="D90" s="102"/>
      <c r="E90" s="72"/>
      <c r="F90" s="214"/>
      <c r="G90" s="214"/>
      <c r="H90" s="214"/>
      <c r="I90" s="214"/>
      <c r="J90" s="178"/>
      <c r="K90" s="72"/>
      <c r="L90" s="72"/>
      <c r="M90" s="72"/>
      <c r="N90" s="72"/>
      <c r="O90" s="72"/>
      <c r="P90" s="72"/>
      <c r="Q90" s="72"/>
      <c r="R90" s="72"/>
      <c r="S90" s="2006"/>
      <c r="T90" s="2006"/>
      <c r="U90" s="2006"/>
      <c r="V90" s="2006"/>
      <c r="W90" s="2006"/>
      <c r="X90" s="214"/>
      <c r="Y90" s="214"/>
      <c r="Z90" s="214"/>
      <c r="AA90" s="214"/>
      <c r="AB90" s="214"/>
      <c r="AC90" s="214"/>
      <c r="AD90" s="214"/>
      <c r="AE90" s="214"/>
      <c r="AF90" s="214"/>
      <c r="AG90" s="214"/>
      <c r="AH90" s="214"/>
      <c r="AI90" s="214"/>
      <c r="AJ90" s="214"/>
      <c r="AK90" s="214"/>
      <c r="AL90" s="214"/>
      <c r="AM90" s="175"/>
    </row>
    <row r="91" spans="2:39" x14ac:dyDescent="0.3">
      <c r="B91" s="173"/>
      <c r="C91" s="72"/>
      <c r="D91" s="102"/>
      <c r="E91" s="72"/>
      <c r="F91" s="214"/>
      <c r="G91" s="214"/>
      <c r="H91" s="214"/>
      <c r="I91" s="214"/>
      <c r="J91" s="178"/>
      <c r="K91" s="72"/>
      <c r="L91" s="72"/>
      <c r="M91" s="72"/>
      <c r="N91" s="72"/>
      <c r="O91" s="72"/>
      <c r="P91" s="72"/>
      <c r="Q91" s="72"/>
      <c r="R91" s="72"/>
      <c r="S91" s="2006"/>
      <c r="T91" s="2006"/>
      <c r="U91" s="2006"/>
      <c r="V91" s="2006"/>
      <c r="W91" s="2006"/>
      <c r="X91" s="214"/>
      <c r="Y91" s="214"/>
      <c r="Z91" s="214"/>
      <c r="AA91" s="214"/>
      <c r="AB91" s="214"/>
      <c r="AC91" s="214"/>
      <c r="AD91" s="214"/>
      <c r="AE91" s="214"/>
      <c r="AF91" s="214"/>
      <c r="AG91" s="214"/>
      <c r="AH91" s="214"/>
      <c r="AI91" s="214"/>
      <c r="AJ91" s="214"/>
      <c r="AK91" s="214"/>
      <c r="AL91" s="214"/>
      <c r="AM91" s="175"/>
    </row>
    <row r="92" spans="2:39" ht="12.5" thickBot="1" x14ac:dyDescent="0.35">
      <c r="B92" s="173"/>
      <c r="C92" s="72"/>
      <c r="D92" s="227" t="s">
        <v>311</v>
      </c>
      <c r="E92" s="72"/>
      <c r="F92" s="214"/>
      <c r="G92" s="214"/>
      <c r="H92" s="214"/>
      <c r="I92" s="214"/>
      <c r="J92" s="72"/>
      <c r="K92" s="72"/>
      <c r="L92" s="72"/>
      <c r="M92" s="72"/>
      <c r="N92" s="72"/>
      <c r="O92" s="72"/>
      <c r="P92" s="72"/>
      <c r="Q92" s="72"/>
      <c r="R92" s="72"/>
      <c r="S92" s="2014"/>
      <c r="T92" s="2014"/>
      <c r="U92" s="2014"/>
      <c r="V92" s="2014"/>
      <c r="W92" s="2014">
        <f t="shared" ref="W92:AF92" si="31">+SUM(W50,W56,W62,W71,W77,W83,W88)</f>
        <v>4.215463715837104</v>
      </c>
      <c r="X92" s="1547">
        <f t="shared" si="31"/>
        <v>6.513008131221719</v>
      </c>
      <c r="Y92" s="1547">
        <f t="shared" si="31"/>
        <v>5.6157489990950227</v>
      </c>
      <c r="Z92" s="1547">
        <f t="shared" si="31"/>
        <v>5.1901037239819008</v>
      </c>
      <c r="AA92" s="1547">
        <f t="shared" si="31"/>
        <v>5.2939057984615383</v>
      </c>
      <c r="AB92" s="1547">
        <f t="shared" si="31"/>
        <v>5.3997839144307695</v>
      </c>
      <c r="AC92" s="1547">
        <f t="shared" si="31"/>
        <v>5.5077795927193849</v>
      </c>
      <c r="AD92" s="1547">
        <f t="shared" si="31"/>
        <v>5.6179351845737733</v>
      </c>
      <c r="AE92" s="1547">
        <f t="shared" si="31"/>
        <v>5.7302938882652485</v>
      </c>
      <c r="AF92" s="1547">
        <f t="shared" si="31"/>
        <v>5.8448997660305535</v>
      </c>
      <c r="AG92" s="1547">
        <f t="shared" ref="AG92:AL92" si="32">+SUM(AG50,AG56,AG62,AG71,AG77,AG83,AG88)</f>
        <v>5.9617977613511641</v>
      </c>
      <c r="AH92" s="1547">
        <f t="shared" si="32"/>
        <v>6.0810337165781876</v>
      </c>
      <c r="AI92" s="1547">
        <f t="shared" si="32"/>
        <v>6.2026543909097516</v>
      </c>
      <c r="AJ92" s="1547">
        <f t="shared" si="32"/>
        <v>6.3267074787279469</v>
      </c>
      <c r="AK92" s="1547">
        <f t="shared" si="32"/>
        <v>6.4532416283025054</v>
      </c>
      <c r="AL92" s="1547">
        <f t="shared" si="32"/>
        <v>6.5823064608685566</v>
      </c>
      <c r="AM92" s="175"/>
    </row>
    <row r="93" spans="2:39" x14ac:dyDescent="0.3">
      <c r="B93" s="173"/>
      <c r="C93" s="72"/>
      <c r="D93" s="72" t="s">
        <v>308</v>
      </c>
      <c r="E93" s="72"/>
      <c r="F93" s="72"/>
      <c r="G93" s="72"/>
      <c r="H93" s="178"/>
      <c r="I93" s="178"/>
      <c r="J93" s="178"/>
      <c r="K93" s="72"/>
      <c r="L93" s="72"/>
      <c r="M93" s="72"/>
      <c r="N93" s="72"/>
      <c r="O93" s="72"/>
      <c r="P93" s="72"/>
      <c r="Q93" s="72"/>
      <c r="R93" s="72"/>
      <c r="S93" s="2006"/>
      <c r="T93" s="2006"/>
      <c r="U93" s="2006"/>
      <c r="V93" s="2006"/>
      <c r="W93" s="2026" t="e">
        <f t="shared" ref="W93:AG93" si="33">W92/V92-1</f>
        <v>#DIV/0!</v>
      </c>
      <c r="X93" s="217">
        <f t="shared" si="33"/>
        <v>0.54502768147498348</v>
      </c>
      <c r="Y93" s="217">
        <f t="shared" si="33"/>
        <v>-0.13776416581233208</v>
      </c>
      <c r="Z93" s="217">
        <f t="shared" si="33"/>
        <v>-7.5794925161668525E-2</v>
      </c>
      <c r="AA93" s="217">
        <f t="shared" si="33"/>
        <v>1.9999999999999796E-2</v>
      </c>
      <c r="AB93" s="217">
        <f t="shared" si="33"/>
        <v>2.0000000000000018E-2</v>
      </c>
      <c r="AC93" s="217">
        <f t="shared" si="33"/>
        <v>2.0000000000000018E-2</v>
      </c>
      <c r="AD93" s="217">
        <f t="shared" si="33"/>
        <v>2.0000000000000018E-2</v>
      </c>
      <c r="AE93" s="217">
        <f t="shared" si="33"/>
        <v>2.0000000000000018E-2</v>
      </c>
      <c r="AF93" s="217">
        <f t="shared" si="33"/>
        <v>2.0000000000000018E-2</v>
      </c>
      <c r="AG93" s="217">
        <f t="shared" si="33"/>
        <v>2.0000000000000018E-2</v>
      </c>
      <c r="AH93" s="217">
        <f>AH92/AG92-1</f>
        <v>2.0000000000000018E-2</v>
      </c>
      <c r="AI93" s="217">
        <f>AI92/AH92-1</f>
        <v>2.0000000000000018E-2</v>
      </c>
      <c r="AJ93" s="217">
        <f>AJ92/AI92-1</f>
        <v>2.0000000000000018E-2</v>
      </c>
      <c r="AK93" s="217">
        <f>AK92/AJ92-1</f>
        <v>2.0000000000000018E-2</v>
      </c>
      <c r="AL93" s="217">
        <f>AL92/AK92-1</f>
        <v>2.000000000000024E-2</v>
      </c>
      <c r="AM93" s="175"/>
    </row>
    <row r="94" spans="2:39" ht="12.5" thickBot="1" x14ac:dyDescent="0.35">
      <c r="B94" s="179"/>
      <c r="C94" s="180"/>
      <c r="D94" s="180"/>
      <c r="E94" s="180"/>
      <c r="F94" s="180"/>
      <c r="G94" s="180"/>
      <c r="H94" s="180"/>
      <c r="I94" s="181"/>
      <c r="J94" s="181"/>
      <c r="K94" s="180"/>
      <c r="L94" s="180"/>
      <c r="M94" s="180"/>
      <c r="N94" s="181"/>
      <c r="O94" s="181"/>
      <c r="P94" s="181"/>
      <c r="Q94" s="181"/>
      <c r="R94" s="181"/>
      <c r="S94" s="2015"/>
      <c r="T94" s="2015"/>
      <c r="U94" s="2015"/>
      <c r="V94" s="2015"/>
      <c r="W94" s="2015"/>
      <c r="X94" s="181"/>
      <c r="Y94" s="181"/>
      <c r="Z94" s="181"/>
      <c r="AA94" s="181"/>
      <c r="AB94" s="181"/>
      <c r="AC94" s="181"/>
      <c r="AD94" s="181"/>
      <c r="AE94" s="181"/>
      <c r="AF94" s="181"/>
      <c r="AG94" s="181"/>
      <c r="AH94" s="181"/>
      <c r="AI94" s="181"/>
      <c r="AJ94" s="181"/>
      <c r="AK94" s="181"/>
      <c r="AL94" s="181"/>
      <c r="AM94" s="182"/>
    </row>
    <row r="95" spans="2:39" x14ac:dyDescent="0.3">
      <c r="B95" s="72"/>
      <c r="C95" s="72"/>
      <c r="D95" s="72"/>
      <c r="E95" s="72"/>
      <c r="F95" s="72"/>
      <c r="G95" s="72"/>
      <c r="H95" s="72"/>
      <c r="I95" s="178"/>
      <c r="J95" s="178"/>
      <c r="N95" s="178"/>
      <c r="O95" s="178"/>
      <c r="P95" s="178"/>
      <c r="Q95" s="178"/>
      <c r="R95" s="178"/>
      <c r="S95" s="2005"/>
      <c r="T95" s="2005"/>
      <c r="U95" s="2005"/>
      <c r="V95" s="2005"/>
      <c r="W95" s="2005"/>
      <c r="X95" s="72"/>
      <c r="Y95" s="72"/>
      <c r="Z95" s="72"/>
      <c r="AA95" s="72"/>
      <c r="AB95" s="178"/>
      <c r="AC95" s="72"/>
      <c r="AD95" s="72"/>
      <c r="AE95" s="72"/>
      <c r="AF95" s="72"/>
      <c r="AG95" s="72"/>
      <c r="AH95" s="72"/>
      <c r="AI95" s="72"/>
      <c r="AJ95" s="72"/>
      <c r="AK95" s="72"/>
      <c r="AL95" s="72"/>
      <c r="AM95" s="72"/>
    </row>
    <row r="96" spans="2:39" ht="12.5" thickBot="1" x14ac:dyDescent="0.35">
      <c r="S96" s="1304"/>
      <c r="T96" s="1304"/>
      <c r="U96" s="1304"/>
      <c r="V96" s="1304"/>
      <c r="W96" s="1304"/>
    </row>
    <row r="97" spans="2:39" x14ac:dyDescent="0.3">
      <c r="B97" s="170"/>
      <c r="C97" s="171"/>
      <c r="D97" s="171"/>
      <c r="E97" s="171"/>
      <c r="F97" s="171"/>
      <c r="G97" s="171"/>
      <c r="H97" s="171"/>
      <c r="I97" s="171"/>
      <c r="J97" s="171"/>
      <c r="K97" s="231"/>
      <c r="L97" s="231"/>
      <c r="M97" s="231"/>
      <c r="N97" s="231"/>
      <c r="O97" s="231"/>
      <c r="P97" s="231"/>
      <c r="Q97" s="231"/>
      <c r="R97" s="171"/>
      <c r="S97" s="2016"/>
      <c r="T97" s="2016"/>
      <c r="U97" s="2016"/>
      <c r="V97" s="2016"/>
      <c r="W97" s="1321"/>
      <c r="X97" s="171"/>
      <c r="Y97" s="171"/>
      <c r="Z97" s="171"/>
      <c r="AA97" s="171"/>
      <c r="AB97" s="171"/>
      <c r="AC97" s="171"/>
      <c r="AD97" s="171"/>
      <c r="AE97" s="171"/>
      <c r="AF97" s="171"/>
      <c r="AG97" s="171"/>
      <c r="AH97" s="171"/>
      <c r="AI97" s="171"/>
      <c r="AJ97" s="171"/>
      <c r="AK97" s="171"/>
      <c r="AL97" s="171"/>
      <c r="AM97" s="172"/>
    </row>
    <row r="98" spans="2:39" x14ac:dyDescent="0.3">
      <c r="B98" s="173"/>
      <c r="C98" s="174" t="s">
        <v>343</v>
      </c>
      <c r="D98" s="72"/>
      <c r="E98" s="72"/>
      <c r="F98" s="72"/>
      <c r="G98" s="72"/>
      <c r="H98" s="72"/>
      <c r="I98" s="72"/>
      <c r="J98" s="72"/>
      <c r="K98" s="84"/>
      <c r="L98" s="84"/>
      <c r="M98" s="84"/>
      <c r="N98" s="84"/>
      <c r="O98" s="84"/>
      <c r="P98" s="84"/>
      <c r="Q98" s="84"/>
      <c r="R98" s="72"/>
      <c r="S98" s="2017"/>
      <c r="T98" s="2017"/>
      <c r="U98" s="2017"/>
      <c r="V98" s="2017"/>
      <c r="W98" s="1304"/>
      <c r="X98" s="72"/>
      <c r="Y98" s="72"/>
      <c r="Z98" s="72"/>
      <c r="AA98" s="72"/>
      <c r="AB98" s="72"/>
      <c r="AC98" s="72"/>
      <c r="AD98" s="72"/>
      <c r="AE98" s="72"/>
      <c r="AF98" s="72"/>
      <c r="AG98" s="72"/>
      <c r="AH98" s="72"/>
      <c r="AI98" s="72"/>
      <c r="AJ98" s="72"/>
      <c r="AK98" s="72"/>
      <c r="AL98" s="72"/>
      <c r="AM98" s="175"/>
    </row>
    <row r="99" spans="2:39" x14ac:dyDescent="0.3">
      <c r="B99" s="173"/>
      <c r="C99" s="72"/>
      <c r="D99" s="72"/>
      <c r="E99" s="72"/>
      <c r="F99" s="72"/>
      <c r="G99" s="72"/>
      <c r="H99" s="72"/>
      <c r="I99" s="72"/>
      <c r="J99" s="72"/>
      <c r="K99" s="84"/>
      <c r="L99" s="84"/>
      <c r="M99" s="84"/>
      <c r="N99" s="84"/>
      <c r="O99" s="84"/>
      <c r="P99" s="84"/>
      <c r="Q99" s="84"/>
      <c r="R99" s="72"/>
      <c r="S99" s="2017"/>
      <c r="T99" s="2017"/>
      <c r="U99" s="2017"/>
      <c r="V99" s="2017"/>
      <c r="W99" s="1304"/>
      <c r="X99" s="72"/>
      <c r="Y99" s="72"/>
      <c r="Z99" s="72"/>
      <c r="AA99" s="72"/>
      <c r="AB99" s="72"/>
      <c r="AC99" s="72"/>
      <c r="AD99" s="72"/>
      <c r="AE99" s="72"/>
      <c r="AF99" s="72"/>
      <c r="AG99" s="72"/>
      <c r="AH99" s="72"/>
      <c r="AI99" s="72"/>
      <c r="AJ99" s="72"/>
      <c r="AK99" s="72"/>
      <c r="AL99" s="72"/>
      <c r="AM99" s="175"/>
    </row>
    <row r="100" spans="2:39" x14ac:dyDescent="0.3">
      <c r="B100" s="173"/>
      <c r="C100" s="72"/>
      <c r="D100" s="72" t="s">
        <v>344</v>
      </c>
      <c r="E100" s="72"/>
      <c r="F100" s="214"/>
      <c r="G100" s="214"/>
      <c r="H100" s="214"/>
      <c r="I100" s="214"/>
      <c r="J100" s="72"/>
      <c r="K100" s="84"/>
      <c r="L100" s="84"/>
      <c r="M100" s="84"/>
      <c r="N100" s="84"/>
      <c r="O100" s="84"/>
      <c r="P100" s="84"/>
      <c r="Q100" s="84"/>
      <c r="R100" s="84"/>
      <c r="S100" s="2007"/>
      <c r="T100" s="2008"/>
      <c r="U100" s="2008"/>
      <c r="V100" s="2008"/>
      <c r="W100" s="2021">
        <v>1.8198162895927603</v>
      </c>
      <c r="X100" s="344">
        <v>0.46990670515097704</v>
      </c>
      <c r="Y100" s="345">
        <v>3.9881276118404911</v>
      </c>
      <c r="Z100" s="345">
        <v>3.8102433996226375</v>
      </c>
      <c r="AA100" s="345">
        <v>3.8864482676150902</v>
      </c>
      <c r="AB100" s="346">
        <v>3.9641772329673919</v>
      </c>
      <c r="AC100" s="210">
        <v>4.0434607776267395</v>
      </c>
      <c r="AD100" s="210">
        <v>4.1243299931792743</v>
      </c>
      <c r="AE100" s="210">
        <v>4.20681659304286</v>
      </c>
      <c r="AF100" s="210">
        <v>4.290952924903717</v>
      </c>
      <c r="AG100" s="233">
        <v>4.3767719834017917</v>
      </c>
      <c r="AH100" s="210">
        <v>4.4643074230698279</v>
      </c>
      <c r="AI100" s="210">
        <v>4.5535935715312243</v>
      </c>
      <c r="AJ100" s="210">
        <v>4.6446654429618492</v>
      </c>
      <c r="AK100" s="210">
        <v>4.7375587518210862</v>
      </c>
      <c r="AL100" s="233">
        <v>4.8323099268575076</v>
      </c>
      <c r="AM100" s="175"/>
    </row>
    <row r="101" spans="2:39" x14ac:dyDescent="0.3">
      <c r="B101" s="173"/>
      <c r="C101" s="72"/>
      <c r="D101" s="72" t="s">
        <v>345</v>
      </c>
      <c r="E101" s="72"/>
      <c r="F101" s="214"/>
      <c r="G101" s="214"/>
      <c r="H101" s="214"/>
      <c r="I101" s="214"/>
      <c r="J101" s="72"/>
      <c r="K101" s="84"/>
      <c r="L101" s="84"/>
      <c r="M101" s="84"/>
      <c r="N101" s="84"/>
      <c r="O101" s="84"/>
      <c r="P101" s="84"/>
      <c r="Q101" s="84"/>
      <c r="R101" s="84"/>
      <c r="S101" s="2010"/>
      <c r="T101" s="2011"/>
      <c r="U101" s="2011"/>
      <c r="V101" s="2011"/>
      <c r="W101" s="2027"/>
      <c r="X101" s="341"/>
      <c r="Y101" s="342"/>
      <c r="Z101" s="345"/>
      <c r="AA101" s="342"/>
      <c r="AB101" s="343"/>
      <c r="AC101" s="234"/>
      <c r="AD101" s="234"/>
      <c r="AE101" s="234"/>
      <c r="AF101" s="234"/>
      <c r="AG101" s="241"/>
      <c r="AH101" s="234"/>
      <c r="AI101" s="234"/>
      <c r="AJ101" s="234"/>
      <c r="AK101" s="234"/>
      <c r="AL101" s="241"/>
      <c r="AM101" s="175"/>
    </row>
    <row r="102" spans="2:39" x14ac:dyDescent="0.3">
      <c r="B102" s="173"/>
      <c r="C102" s="72"/>
      <c r="D102" s="72" t="s">
        <v>346</v>
      </c>
      <c r="E102" s="72"/>
      <c r="F102" s="214"/>
      <c r="G102" s="214"/>
      <c r="H102" s="214"/>
      <c r="I102" s="214"/>
      <c r="J102" s="72"/>
      <c r="K102" s="84"/>
      <c r="L102" s="84"/>
      <c r="M102" s="84"/>
      <c r="N102" s="84"/>
      <c r="O102" s="84"/>
      <c r="P102" s="84"/>
      <c r="Q102" s="84"/>
      <c r="R102" s="84"/>
      <c r="S102" s="2007"/>
      <c r="T102" s="2008"/>
      <c r="U102" s="2008"/>
      <c r="V102" s="2008"/>
      <c r="W102" s="2021"/>
      <c r="X102" s="344"/>
      <c r="Y102" s="345"/>
      <c r="Z102" s="345"/>
      <c r="AA102" s="345"/>
      <c r="AB102" s="346"/>
      <c r="AC102" s="345"/>
      <c r="AD102" s="345"/>
      <c r="AE102" s="345"/>
      <c r="AF102" s="345"/>
      <c r="AG102" s="346"/>
      <c r="AH102" s="345"/>
      <c r="AI102" s="345"/>
      <c r="AJ102" s="345"/>
      <c r="AK102" s="345"/>
      <c r="AL102" s="346"/>
      <c r="AM102" s="175"/>
    </row>
    <row r="103" spans="2:39" x14ac:dyDescent="0.3">
      <c r="B103" s="173"/>
      <c r="C103" s="72"/>
      <c r="D103" s="72" t="s">
        <v>349</v>
      </c>
      <c r="E103" s="72"/>
      <c r="F103" s="214"/>
      <c r="G103" s="214"/>
      <c r="H103" s="214"/>
      <c r="I103" s="214"/>
      <c r="J103" s="223"/>
      <c r="K103" s="84"/>
      <c r="L103" s="84"/>
      <c r="M103" s="84"/>
      <c r="N103" s="84"/>
      <c r="O103" s="84"/>
      <c r="P103" s="84"/>
      <c r="Q103" s="84"/>
      <c r="R103" s="84"/>
      <c r="S103" s="2018"/>
      <c r="T103" s="2018"/>
      <c r="U103" s="2018"/>
      <c r="V103" s="2018"/>
      <c r="W103" s="2029">
        <f t="shared" ref="W103:AB103" si="34">SUM(W100:W102)</f>
        <v>1.8198162895927603</v>
      </c>
      <c r="X103" s="297">
        <f t="shared" si="34"/>
        <v>0.46990670515097704</v>
      </c>
      <c r="Y103" s="297">
        <f t="shared" si="34"/>
        <v>3.9881276118404911</v>
      </c>
      <c r="Z103" s="297">
        <f t="shared" si="34"/>
        <v>3.8102433996226375</v>
      </c>
      <c r="AA103" s="297">
        <f t="shared" si="34"/>
        <v>3.8864482676150902</v>
      </c>
      <c r="AB103" s="297">
        <f t="shared" si="34"/>
        <v>3.9641772329673919</v>
      </c>
      <c r="AC103" s="297">
        <f t="shared" ref="AC103:AL103" si="35">SUM(AC100:AC102)</f>
        <v>4.0434607776267395</v>
      </c>
      <c r="AD103" s="297">
        <f t="shared" si="35"/>
        <v>4.1243299931792743</v>
      </c>
      <c r="AE103" s="297">
        <f t="shared" si="35"/>
        <v>4.20681659304286</v>
      </c>
      <c r="AF103" s="297">
        <f t="shared" si="35"/>
        <v>4.290952924903717</v>
      </c>
      <c r="AG103" s="297">
        <f t="shared" si="35"/>
        <v>4.3767719834017917</v>
      </c>
      <c r="AH103" s="297">
        <f t="shared" si="35"/>
        <v>4.4643074230698279</v>
      </c>
      <c r="AI103" s="297">
        <f t="shared" si="35"/>
        <v>4.5535935715312243</v>
      </c>
      <c r="AJ103" s="297">
        <f t="shared" si="35"/>
        <v>4.6446654429618492</v>
      </c>
      <c r="AK103" s="297">
        <f t="shared" si="35"/>
        <v>4.7375587518210862</v>
      </c>
      <c r="AL103" s="297">
        <f t="shared" si="35"/>
        <v>4.8323099268575076</v>
      </c>
      <c r="AM103" s="175"/>
    </row>
    <row r="104" spans="2:39" x14ac:dyDescent="0.3">
      <c r="B104" s="173"/>
      <c r="C104" s="72"/>
      <c r="D104" s="72" t="s">
        <v>308</v>
      </c>
      <c r="E104" s="72"/>
      <c r="F104" s="72"/>
      <c r="G104" s="72"/>
      <c r="H104" s="178"/>
      <c r="I104" s="178"/>
      <c r="J104" s="178"/>
      <c r="K104" s="84"/>
      <c r="L104" s="84"/>
      <c r="M104" s="84"/>
      <c r="N104" s="84"/>
      <c r="O104" s="84"/>
      <c r="P104" s="84"/>
      <c r="Q104" s="84"/>
      <c r="R104" s="84"/>
      <c r="S104" s="2019"/>
      <c r="T104" s="2019"/>
      <c r="U104" s="2019"/>
      <c r="V104" s="2019"/>
      <c r="W104" s="2006"/>
      <c r="X104" s="217">
        <f t="shared" ref="X104:AG104" si="36">X103/W103-1</f>
        <v>-0.74178343834028815</v>
      </c>
      <c r="Y104" s="217">
        <f t="shared" si="36"/>
        <v>7.4870625767281602</v>
      </c>
      <c r="Z104" s="217">
        <f t="shared" si="36"/>
        <v>-4.4603440393864768E-2</v>
      </c>
      <c r="AA104" s="217">
        <f t="shared" si="36"/>
        <v>2.0000000000000018E-2</v>
      </c>
      <c r="AB104" s="217">
        <f t="shared" si="36"/>
        <v>2.0000000000000018E-2</v>
      </c>
      <c r="AC104" s="217">
        <f t="shared" si="36"/>
        <v>2.0000000000000018E-2</v>
      </c>
      <c r="AD104" s="217">
        <f t="shared" si="36"/>
        <v>2.0000000000000018E-2</v>
      </c>
      <c r="AE104" s="217">
        <f t="shared" si="36"/>
        <v>2.0000000000000018E-2</v>
      </c>
      <c r="AF104" s="217">
        <f t="shared" si="36"/>
        <v>2.0000000000000018E-2</v>
      </c>
      <c r="AG104" s="217">
        <f t="shared" si="36"/>
        <v>2.0000000000000018E-2</v>
      </c>
      <c r="AH104" s="217">
        <f>AH103/AG103-1</f>
        <v>2.0000000000000018E-2</v>
      </c>
      <c r="AI104" s="217">
        <f>AI103/AH103-1</f>
        <v>2.0000000000000018E-2</v>
      </c>
      <c r="AJ104" s="217">
        <f>AJ103/AI103-1</f>
        <v>2.0000000000000018E-2</v>
      </c>
      <c r="AK104" s="217">
        <f>AK103/AJ103-1</f>
        <v>2.0000000000000018E-2</v>
      </c>
      <c r="AL104" s="217">
        <f>AL103/AK103-1</f>
        <v>2.0000000000000018E-2</v>
      </c>
      <c r="AM104" s="175"/>
    </row>
    <row r="105" spans="2:39" ht="12.5" thickBot="1" x14ac:dyDescent="0.35">
      <c r="B105" s="179"/>
      <c r="C105" s="180"/>
      <c r="D105" s="180"/>
      <c r="E105" s="180"/>
      <c r="F105" s="180"/>
      <c r="G105" s="180"/>
      <c r="H105" s="180"/>
      <c r="I105" s="181"/>
      <c r="J105" s="181"/>
      <c r="K105" s="197"/>
      <c r="L105" s="197"/>
      <c r="M105" s="197"/>
      <c r="N105" s="197"/>
      <c r="O105" s="197"/>
      <c r="P105" s="197"/>
      <c r="Q105" s="197"/>
      <c r="R105" s="197"/>
      <c r="S105" s="2020"/>
      <c r="T105" s="2020"/>
      <c r="U105" s="2020"/>
      <c r="V105" s="2020"/>
      <c r="W105" s="2015"/>
      <c r="X105" s="181"/>
      <c r="Y105" s="181"/>
      <c r="Z105" s="181"/>
      <c r="AA105" s="181"/>
      <c r="AB105" s="181"/>
      <c r="AC105" s="181"/>
      <c r="AD105" s="181"/>
      <c r="AE105" s="181"/>
      <c r="AF105" s="181"/>
      <c r="AG105" s="181"/>
      <c r="AH105" s="181"/>
      <c r="AI105" s="181"/>
      <c r="AJ105" s="181"/>
      <c r="AK105" s="181"/>
      <c r="AL105" s="181"/>
      <c r="AM105" s="182"/>
    </row>
    <row r="106" spans="2:39" x14ac:dyDescent="0.3">
      <c r="B106" s="72"/>
      <c r="C106" s="72"/>
      <c r="D106" s="72"/>
      <c r="E106" s="72"/>
      <c r="F106" s="72"/>
      <c r="G106" s="72"/>
      <c r="H106" s="72"/>
      <c r="I106" s="178"/>
      <c r="J106" s="178"/>
      <c r="K106" s="77"/>
      <c r="L106" s="77"/>
      <c r="M106" s="77"/>
      <c r="N106" s="77"/>
      <c r="O106" s="77"/>
      <c r="P106" s="77"/>
      <c r="Q106" s="77"/>
      <c r="R106" s="77"/>
      <c r="S106" s="2018"/>
      <c r="T106" s="2018"/>
      <c r="U106" s="2018"/>
      <c r="V106" s="2018"/>
      <c r="W106" s="2005"/>
      <c r="X106" s="72"/>
      <c r="Y106" s="72"/>
      <c r="Z106" s="72"/>
      <c r="AA106" s="72"/>
      <c r="AB106" s="178"/>
      <c r="AC106" s="72"/>
      <c r="AD106" s="72"/>
      <c r="AE106" s="72"/>
      <c r="AF106" s="72"/>
      <c r="AG106" s="72"/>
      <c r="AH106" s="72"/>
      <c r="AI106" s="72"/>
      <c r="AJ106" s="72"/>
      <c r="AK106" s="72"/>
      <c r="AL106" s="72"/>
      <c r="AM106" s="72"/>
    </row>
    <row r="107" spans="2:39" ht="12.5" thickBot="1" x14ac:dyDescent="0.35">
      <c r="K107" s="77"/>
      <c r="L107" s="77"/>
      <c r="M107" s="77"/>
      <c r="N107" s="77"/>
      <c r="O107" s="77"/>
      <c r="P107" s="77"/>
      <c r="Q107" s="77"/>
      <c r="R107" s="77"/>
      <c r="S107" s="2017"/>
      <c r="T107" s="2017"/>
      <c r="U107" s="2017"/>
      <c r="V107" s="2017"/>
      <c r="W107" s="1304"/>
    </row>
    <row r="108" spans="2:39" x14ac:dyDescent="0.3">
      <c r="B108" s="170"/>
      <c r="C108" s="171"/>
      <c r="D108" s="171"/>
      <c r="E108" s="171"/>
      <c r="F108" s="171"/>
      <c r="G108" s="171"/>
      <c r="H108" s="171"/>
      <c r="I108" s="171"/>
      <c r="J108" s="171"/>
      <c r="K108" s="231"/>
      <c r="L108" s="231"/>
      <c r="M108" s="231"/>
      <c r="N108" s="231"/>
      <c r="O108" s="231"/>
      <c r="P108" s="231"/>
      <c r="Q108" s="231"/>
      <c r="R108" s="231"/>
      <c r="S108" s="2016"/>
      <c r="T108" s="2016"/>
      <c r="U108" s="2016"/>
      <c r="V108" s="2016"/>
      <c r="W108" s="1321"/>
      <c r="X108" s="171"/>
      <c r="Y108" s="171"/>
      <c r="Z108" s="171"/>
      <c r="AA108" s="171"/>
      <c r="AB108" s="171"/>
      <c r="AC108" s="171"/>
      <c r="AD108" s="171"/>
      <c r="AE108" s="171"/>
      <c r="AF108" s="171"/>
      <c r="AG108" s="171"/>
      <c r="AH108" s="171"/>
      <c r="AI108" s="171"/>
      <c r="AJ108" s="171"/>
      <c r="AK108" s="171"/>
      <c r="AL108" s="171"/>
      <c r="AM108" s="172"/>
    </row>
    <row r="109" spans="2:39" x14ac:dyDescent="0.3">
      <c r="B109" s="173"/>
      <c r="C109" s="174" t="s">
        <v>312</v>
      </c>
      <c r="D109" s="72"/>
      <c r="E109" s="72"/>
      <c r="F109" s="72"/>
      <c r="G109" s="72"/>
      <c r="H109" s="72"/>
      <c r="I109" s="72"/>
      <c r="J109" s="72"/>
      <c r="K109" s="84"/>
      <c r="L109" s="84"/>
      <c r="M109" s="84"/>
      <c r="N109" s="84"/>
      <c r="O109" s="84"/>
      <c r="P109" s="84"/>
      <c r="Q109" s="84"/>
      <c r="R109" s="84"/>
      <c r="S109" s="2017"/>
      <c r="T109" s="2017"/>
      <c r="U109" s="2017"/>
      <c r="V109" s="2017"/>
      <c r="W109" s="1304"/>
      <c r="X109" s="72"/>
      <c r="Y109" s="72"/>
      <c r="Z109" s="72"/>
      <c r="AA109" s="72"/>
      <c r="AB109" s="72"/>
      <c r="AC109" s="72"/>
      <c r="AD109" s="72"/>
      <c r="AE109" s="72"/>
      <c r="AF109" s="72"/>
      <c r="AG109" s="72"/>
      <c r="AH109" s="72"/>
      <c r="AI109" s="72"/>
      <c r="AJ109" s="72"/>
      <c r="AK109" s="72"/>
      <c r="AL109" s="72"/>
      <c r="AM109" s="175"/>
    </row>
    <row r="110" spans="2:39" x14ac:dyDescent="0.3">
      <c r="B110" s="173"/>
      <c r="C110" s="72"/>
      <c r="D110" s="72"/>
      <c r="E110" s="72"/>
      <c r="F110" s="72"/>
      <c r="G110" s="72"/>
      <c r="H110" s="72"/>
      <c r="I110" s="72"/>
      <c r="J110" s="72"/>
      <c r="K110" s="84"/>
      <c r="L110" s="84"/>
      <c r="M110" s="84"/>
      <c r="N110" s="84"/>
      <c r="O110" s="84"/>
      <c r="P110" s="84"/>
      <c r="Q110" s="84"/>
      <c r="R110" s="84"/>
      <c r="S110" s="2017"/>
      <c r="T110" s="2017"/>
      <c r="U110" s="2017"/>
      <c r="V110" s="2017"/>
      <c r="W110" s="1304"/>
      <c r="X110" s="72"/>
      <c r="Y110" s="72"/>
      <c r="Z110" s="72"/>
      <c r="AA110" s="72"/>
      <c r="AB110" s="72"/>
      <c r="AC110" s="72"/>
      <c r="AD110" s="72"/>
      <c r="AE110" s="72"/>
      <c r="AF110" s="72"/>
      <c r="AG110" s="72"/>
      <c r="AH110" s="72"/>
      <c r="AI110" s="72"/>
      <c r="AJ110" s="72"/>
      <c r="AK110" s="72"/>
      <c r="AL110" s="72"/>
      <c r="AM110" s="175"/>
    </row>
    <row r="111" spans="2:39" x14ac:dyDescent="0.3">
      <c r="B111" s="173"/>
      <c r="C111" s="72"/>
      <c r="D111" s="72" t="s">
        <v>325</v>
      </c>
      <c r="E111" s="72"/>
      <c r="F111" s="214"/>
      <c r="G111" s="214"/>
      <c r="H111" s="214"/>
      <c r="I111" s="214"/>
      <c r="J111" s="72"/>
      <c r="K111" s="84"/>
      <c r="L111" s="84"/>
      <c r="M111" s="84"/>
      <c r="N111" s="84"/>
      <c r="O111" s="84"/>
      <c r="P111" s="84"/>
      <c r="Q111" s="84"/>
      <c r="R111" s="84"/>
      <c r="S111" s="2007"/>
      <c r="T111" s="2008"/>
      <c r="U111" s="2008"/>
      <c r="V111" s="2008"/>
      <c r="W111" s="2021">
        <v>0</v>
      </c>
      <c r="X111" s="344">
        <v>0.43554261101243352</v>
      </c>
      <c r="Y111" s="345">
        <v>0.52994881546012274</v>
      </c>
      <c r="Z111" s="345">
        <v>0.52520613877358491</v>
      </c>
      <c r="AA111" s="345">
        <v>0.53571026154905665</v>
      </c>
      <c r="AB111" s="346">
        <v>0.54642446678003775</v>
      </c>
      <c r="AC111" s="210">
        <v>0.55735295611563851</v>
      </c>
      <c r="AD111" s="210">
        <v>0.56850001523795124</v>
      </c>
      <c r="AE111" s="210">
        <v>0.57987001554271023</v>
      </c>
      <c r="AF111" s="210">
        <v>0.59146741585356444</v>
      </c>
      <c r="AG111" s="233">
        <v>0.60329676417063571</v>
      </c>
      <c r="AH111" s="210">
        <v>0.61536269945404842</v>
      </c>
      <c r="AI111" s="210">
        <v>0.62766995344312937</v>
      </c>
      <c r="AJ111" s="210">
        <v>0.64022335251199192</v>
      </c>
      <c r="AK111" s="210">
        <v>0.65302781956223177</v>
      </c>
      <c r="AL111" s="233">
        <v>0.66608837595347636</v>
      </c>
      <c r="AM111" s="175"/>
    </row>
    <row r="112" spans="2:39" x14ac:dyDescent="0.3">
      <c r="B112" s="173"/>
      <c r="C112" s="72"/>
      <c r="D112" s="72" t="s">
        <v>315</v>
      </c>
      <c r="E112" s="72"/>
      <c r="F112" s="214"/>
      <c r="G112" s="214"/>
      <c r="H112" s="214"/>
      <c r="I112" s="214"/>
      <c r="J112" s="72"/>
      <c r="K112" s="84"/>
      <c r="L112" s="84"/>
      <c r="M112" s="84"/>
      <c r="N112" s="84"/>
      <c r="O112" s="84"/>
      <c r="P112" s="84"/>
      <c r="Q112" s="84"/>
      <c r="R112" s="84"/>
      <c r="S112" s="2010"/>
      <c r="T112" s="2011"/>
      <c r="U112" s="2011"/>
      <c r="V112" s="2011"/>
      <c r="W112" s="2027"/>
      <c r="X112" s="341"/>
      <c r="Y112" s="342"/>
      <c r="Z112" s="345"/>
      <c r="AA112" s="342"/>
      <c r="AB112" s="343"/>
      <c r="AC112" s="234"/>
      <c r="AD112" s="234"/>
      <c r="AE112" s="234"/>
      <c r="AF112" s="234"/>
      <c r="AG112" s="241"/>
      <c r="AH112" s="234"/>
      <c r="AI112" s="234"/>
      <c r="AJ112" s="234"/>
      <c r="AK112" s="234"/>
      <c r="AL112" s="241"/>
      <c r="AM112" s="175"/>
    </row>
    <row r="113" spans="2:39" x14ac:dyDescent="0.3">
      <c r="B113" s="173"/>
      <c r="C113" s="72"/>
      <c r="D113" s="72" t="s">
        <v>314</v>
      </c>
      <c r="E113" s="72"/>
      <c r="F113" s="214"/>
      <c r="G113" s="214"/>
      <c r="H113" s="214"/>
      <c r="I113" s="214"/>
      <c r="J113" s="72"/>
      <c r="K113" s="84"/>
      <c r="L113" s="84"/>
      <c r="M113" s="84"/>
      <c r="N113" s="84"/>
      <c r="O113" s="84"/>
      <c r="P113" s="84"/>
      <c r="Q113" s="84"/>
      <c r="R113" s="84"/>
      <c r="S113" s="2007"/>
      <c r="T113" s="2008"/>
      <c r="U113" s="2008"/>
      <c r="V113" s="2008"/>
      <c r="W113" s="2021"/>
      <c r="X113" s="344"/>
      <c r="Y113" s="345"/>
      <c r="Z113" s="345"/>
      <c r="AA113" s="345"/>
      <c r="AB113" s="346"/>
      <c r="AC113" s="344"/>
      <c r="AD113" s="345"/>
      <c r="AE113" s="345"/>
      <c r="AF113" s="345"/>
      <c r="AG113" s="346"/>
      <c r="AH113" s="344"/>
      <c r="AI113" s="345"/>
      <c r="AJ113" s="345"/>
      <c r="AK113" s="345"/>
      <c r="AL113" s="346"/>
      <c r="AM113" s="175"/>
    </row>
    <row r="114" spans="2:39" x14ac:dyDescent="0.3">
      <c r="B114" s="173"/>
      <c r="C114" s="72"/>
      <c r="D114" s="72" t="s">
        <v>313</v>
      </c>
      <c r="E114" s="72"/>
      <c r="F114" s="214"/>
      <c r="G114" s="214"/>
      <c r="H114" s="214"/>
      <c r="I114" s="214"/>
      <c r="J114" s="223"/>
      <c r="K114" s="84"/>
      <c r="L114" s="84"/>
      <c r="M114" s="84"/>
      <c r="N114" s="84"/>
      <c r="O114" s="84"/>
      <c r="P114" s="84"/>
      <c r="Q114" s="84"/>
      <c r="R114" s="84"/>
      <c r="S114" s="2018"/>
      <c r="T114" s="2018"/>
      <c r="U114" s="2018"/>
      <c r="V114" s="2018"/>
      <c r="W114" s="2029">
        <f t="shared" ref="W114:AB114" si="37">SUM(W111:W113)</f>
        <v>0</v>
      </c>
      <c r="X114" s="297">
        <f t="shared" si="37"/>
        <v>0.43554261101243352</v>
      </c>
      <c r="Y114" s="297">
        <f t="shared" si="37"/>
        <v>0.52994881546012274</v>
      </c>
      <c r="Z114" s="297">
        <f t="shared" si="37"/>
        <v>0.52520613877358491</v>
      </c>
      <c r="AA114" s="297">
        <f t="shared" si="37"/>
        <v>0.53571026154905665</v>
      </c>
      <c r="AB114" s="297">
        <f t="shared" si="37"/>
        <v>0.54642446678003775</v>
      </c>
      <c r="AC114" s="297">
        <f t="shared" ref="AC114:AL114" si="38">SUM(AC111:AC113)</f>
        <v>0.55735295611563851</v>
      </c>
      <c r="AD114" s="297">
        <f t="shared" si="38"/>
        <v>0.56850001523795124</v>
      </c>
      <c r="AE114" s="297">
        <f t="shared" si="38"/>
        <v>0.57987001554271023</v>
      </c>
      <c r="AF114" s="297">
        <f t="shared" si="38"/>
        <v>0.59146741585356444</v>
      </c>
      <c r="AG114" s="297">
        <f t="shared" si="38"/>
        <v>0.60329676417063571</v>
      </c>
      <c r="AH114" s="297">
        <f t="shared" si="38"/>
        <v>0.61536269945404842</v>
      </c>
      <c r="AI114" s="297">
        <f t="shared" si="38"/>
        <v>0.62766995344312937</v>
      </c>
      <c r="AJ114" s="297">
        <f t="shared" si="38"/>
        <v>0.64022335251199192</v>
      </c>
      <c r="AK114" s="297">
        <f t="shared" si="38"/>
        <v>0.65302781956223177</v>
      </c>
      <c r="AL114" s="297">
        <f t="shared" si="38"/>
        <v>0.66608837595347636</v>
      </c>
      <c r="AM114" s="175"/>
    </row>
    <row r="115" spans="2:39" x14ac:dyDescent="0.3">
      <c r="B115" s="173"/>
      <c r="C115" s="72"/>
      <c r="D115" s="72" t="s">
        <v>308</v>
      </c>
      <c r="E115" s="72"/>
      <c r="F115" s="72"/>
      <c r="G115" s="72"/>
      <c r="H115" s="178"/>
      <c r="I115" s="178"/>
      <c r="J115" s="178"/>
      <c r="K115" s="84"/>
      <c r="L115" s="84"/>
      <c r="M115" s="84"/>
      <c r="N115" s="84"/>
      <c r="O115" s="84"/>
      <c r="P115" s="84"/>
      <c r="Q115" s="84"/>
      <c r="R115" s="84"/>
      <c r="S115" s="2019"/>
      <c r="T115" s="2019"/>
      <c r="U115" s="2019"/>
      <c r="V115" s="2019"/>
      <c r="W115" s="2006"/>
      <c r="X115" s="217" t="e">
        <f t="shared" ref="X115:AG115" si="39">X114/W114-1</f>
        <v>#DIV/0!</v>
      </c>
      <c r="Y115" s="217">
        <f t="shared" si="39"/>
        <v>0.21675538066927325</v>
      </c>
      <c r="Z115" s="217">
        <f t="shared" si="39"/>
        <v>-8.9493108545209976E-3</v>
      </c>
      <c r="AA115" s="217">
        <f t="shared" si="39"/>
        <v>2.0000000000000018E-2</v>
      </c>
      <c r="AB115" s="217">
        <f t="shared" si="39"/>
        <v>2.0000000000000018E-2</v>
      </c>
      <c r="AC115" s="217">
        <f t="shared" si="39"/>
        <v>2.0000000000000018E-2</v>
      </c>
      <c r="AD115" s="217">
        <f t="shared" si="39"/>
        <v>2.0000000000000018E-2</v>
      </c>
      <c r="AE115" s="217">
        <f t="shared" si="39"/>
        <v>2.0000000000000018E-2</v>
      </c>
      <c r="AF115" s="217">
        <f t="shared" si="39"/>
        <v>2.0000000000000018E-2</v>
      </c>
      <c r="AG115" s="217">
        <f t="shared" si="39"/>
        <v>2.0000000000000018E-2</v>
      </c>
      <c r="AH115" s="217">
        <f>AH114/AG114-1</f>
        <v>2.0000000000000018E-2</v>
      </c>
      <c r="AI115" s="217">
        <f>AI114/AH114-1</f>
        <v>2.0000000000000018E-2</v>
      </c>
      <c r="AJ115" s="217">
        <f>AJ114/AI114-1</f>
        <v>2.0000000000000018E-2</v>
      </c>
      <c r="AK115" s="217">
        <f>AK114/AJ114-1</f>
        <v>2.0000000000000018E-2</v>
      </c>
      <c r="AL115" s="217">
        <f>AL114/AK114-1</f>
        <v>2.0000000000000018E-2</v>
      </c>
      <c r="AM115" s="175"/>
    </row>
    <row r="116" spans="2:39" ht="12.5" thickBot="1" x14ac:dyDescent="0.35">
      <c r="B116" s="179"/>
      <c r="C116" s="180"/>
      <c r="D116" s="180"/>
      <c r="E116" s="180"/>
      <c r="F116" s="180"/>
      <c r="G116" s="180"/>
      <c r="H116" s="180"/>
      <c r="I116" s="181"/>
      <c r="J116" s="181"/>
      <c r="K116" s="197"/>
      <c r="L116" s="197"/>
      <c r="M116" s="197"/>
      <c r="N116" s="232"/>
      <c r="O116" s="232"/>
      <c r="P116" s="232"/>
      <c r="Q116" s="232"/>
      <c r="R116" s="181"/>
      <c r="S116" s="181"/>
      <c r="T116" s="181"/>
      <c r="U116" s="181"/>
      <c r="V116" s="181"/>
      <c r="W116" s="181"/>
      <c r="X116" s="181"/>
      <c r="Y116" s="181"/>
      <c r="Z116" s="181"/>
      <c r="AA116" s="181"/>
      <c r="AB116" s="181"/>
      <c r="AC116" s="181"/>
      <c r="AD116" s="181"/>
      <c r="AE116" s="181"/>
      <c r="AF116" s="181"/>
      <c r="AG116" s="181"/>
      <c r="AH116" s="181"/>
      <c r="AI116" s="181"/>
      <c r="AJ116" s="181"/>
      <c r="AK116" s="181"/>
      <c r="AL116" s="181"/>
      <c r="AM116" s="182"/>
    </row>
    <row r="117" spans="2:39" x14ac:dyDescent="0.3">
      <c r="K117" s="77"/>
      <c r="L117" s="77"/>
      <c r="M117" s="77"/>
      <c r="N117" s="77"/>
      <c r="O117" s="77"/>
      <c r="P117" s="77"/>
      <c r="Q117" s="77"/>
    </row>
    <row r="118" spans="2:39" x14ac:dyDescent="0.3">
      <c r="K118" s="77"/>
      <c r="L118" s="77"/>
      <c r="M118" s="77"/>
      <c r="N118" s="77"/>
      <c r="O118" s="77"/>
      <c r="P118" s="77"/>
      <c r="Q118" s="77"/>
    </row>
    <row r="119" spans="2:39" x14ac:dyDescent="0.3">
      <c r="K119" s="77"/>
      <c r="L119" s="77"/>
      <c r="M119" s="77"/>
      <c r="N119" s="77"/>
      <c r="O119" s="77"/>
      <c r="P119" s="77"/>
      <c r="Q119" s="77"/>
    </row>
    <row r="120" spans="2:39" x14ac:dyDescent="0.3">
      <c r="K120" s="77"/>
      <c r="L120" s="77"/>
      <c r="M120" s="77"/>
      <c r="N120" s="77"/>
      <c r="O120" s="77"/>
      <c r="P120" s="77"/>
      <c r="Q120" s="77"/>
    </row>
    <row r="121" spans="2:39" x14ac:dyDescent="0.3">
      <c r="K121" s="77"/>
      <c r="L121" s="77"/>
      <c r="M121" s="77"/>
      <c r="N121" s="77"/>
      <c r="O121" s="77"/>
      <c r="P121" s="77"/>
      <c r="Q121" s="77"/>
    </row>
    <row r="122" spans="2:39" x14ac:dyDescent="0.3">
      <c r="K122" s="77"/>
      <c r="L122" s="77"/>
      <c r="M122" s="77"/>
      <c r="N122" s="77"/>
      <c r="O122" s="77"/>
      <c r="P122" s="77"/>
      <c r="Q122" s="77"/>
    </row>
    <row r="123" spans="2:39" x14ac:dyDescent="0.3">
      <c r="K123" s="77"/>
      <c r="L123" s="77"/>
      <c r="M123" s="77"/>
      <c r="N123" s="77"/>
      <c r="O123" s="77"/>
      <c r="P123" s="77"/>
      <c r="Q123" s="77"/>
    </row>
  </sheetData>
  <sheetProtection algorithmName="SHA-512" hashValue="wlGeD4TTPhWN4LS8VTJO0DoRXrNFYDJScZkDLyPwI8D+O1iie1Lirb9fguxfmq7g16ISpsw6ahFdf9kXttWTPg==" saltValue="yeSHSdeP6c6RqIRBiqaQrg==" spinCount="100000" sheet="1" objects="1" scenarios="1"/>
  <mergeCells count="1">
    <mergeCell ref="B3:F3"/>
  </mergeCells>
  <hyperlinks>
    <hyperlink ref="B3" location="HL_Home" tooltip="Go to Table of Contents" display="HL_Home" xr:uid="{00000000-0004-0000-0500-000000000000}"/>
  </hyperlinks>
  <pageMargins left="0.7" right="0.7" top="0.75" bottom="0.75" header="0.3" footer="0.3"/>
  <pageSetup paperSize="9" orientation="portrait" r:id="rId1"/>
  <headerFooter>
    <oddHeader>&amp;C&amp;B&amp;"Arial"&amp;12&amp;Kff0000​‌OFFICIAL‌​</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0" tint="-4.9989318521683403E-2"/>
  </sheetPr>
  <dimension ref="A1:AP203"/>
  <sheetViews>
    <sheetView showGridLines="0" topLeftCell="C1" zoomScaleNormal="100" workbookViewId="0">
      <pane ySplit="6" topLeftCell="A7" activePane="bottomLeft" state="frozen"/>
      <selection pane="bottomLeft" activeCell="Z72" sqref="Z72"/>
    </sheetView>
  </sheetViews>
  <sheetFormatPr defaultColWidth="9.33203125" defaultRowHeight="12" outlineLevelRow="1" outlineLevelCol="1" x14ac:dyDescent="0.3"/>
  <cols>
    <col min="1" max="2" width="4" style="73" customWidth="1"/>
    <col min="3" max="3" width="10.33203125" style="73" customWidth="1"/>
    <col min="4" max="4" width="9.33203125" style="73"/>
    <col min="5" max="5" width="53.109375" style="73" bestFit="1" customWidth="1"/>
    <col min="6" max="6" width="11.6640625" style="73" customWidth="1"/>
    <col min="7" max="7" width="14.44140625" style="73" customWidth="1"/>
    <col min="8" max="8" width="11.77734375" style="73" customWidth="1"/>
    <col min="9" max="9" width="11.6640625" style="73" customWidth="1"/>
    <col min="10" max="22" width="11.6640625" style="73" hidden="1" customWidth="1" outlineLevel="1"/>
    <col min="23" max="23" width="11" style="73" customWidth="1" collapsed="1"/>
    <col min="24" max="38" width="11" style="73" customWidth="1"/>
    <col min="39" max="39" width="5.6640625" style="73" customWidth="1"/>
    <col min="40" max="16384" width="9.33203125" style="73"/>
  </cols>
  <sheetData>
    <row r="1" spans="1:42" ht="14.5" x14ac:dyDescent="0.3">
      <c r="A1" s="1358">
        <v>80</v>
      </c>
      <c r="B1" s="158" t="s">
        <v>504</v>
      </c>
      <c r="G1" s="63"/>
    </row>
    <row r="2" spans="1:42" ht="13" x14ac:dyDescent="0.3">
      <c r="B2" s="1359" t="str">
        <f>Model_Name</f>
        <v>Central Highlands Water</v>
      </c>
      <c r="G2" s="63"/>
    </row>
    <row r="3" spans="1:42" x14ac:dyDescent="0.3">
      <c r="B3" s="2357" t="s">
        <v>0</v>
      </c>
      <c r="C3" s="2357"/>
      <c r="D3" s="2357"/>
      <c r="E3" s="2357"/>
      <c r="F3" s="2357"/>
      <c r="H3" s="74"/>
      <c r="I3" s="74"/>
      <c r="J3" s="74"/>
    </row>
    <row r="4" spans="1:42" x14ac:dyDescent="0.3">
      <c r="B4" s="75"/>
      <c r="C4" s="76"/>
      <c r="K4" s="64"/>
      <c r="L4" s="155" t="s">
        <v>60</v>
      </c>
      <c r="M4" s="65"/>
      <c r="N4" s="66"/>
      <c r="O4" s="67"/>
      <c r="P4" s="155" t="s">
        <v>61</v>
      </c>
      <c r="Q4" s="67"/>
      <c r="R4" s="65"/>
      <c r="S4" s="1202"/>
      <c r="T4" s="1203"/>
      <c r="U4" s="1572" t="s">
        <v>274</v>
      </c>
      <c r="V4" s="1203"/>
      <c r="W4" s="1204"/>
      <c r="X4" s="1944"/>
      <c r="Y4" s="1575"/>
      <c r="Z4" s="1575" t="s">
        <v>1072</v>
      </c>
      <c r="AA4" s="1575"/>
      <c r="AB4" s="1574"/>
      <c r="AC4" s="1573"/>
      <c r="AD4" s="1575"/>
      <c r="AE4" s="1575" t="s">
        <v>457</v>
      </c>
      <c r="AF4" s="1575"/>
      <c r="AG4" s="1574"/>
      <c r="AH4" s="1573"/>
      <c r="AI4" s="1575"/>
      <c r="AJ4" s="1575" t="s">
        <v>903</v>
      </c>
      <c r="AK4" s="1575"/>
      <c r="AL4" s="1574"/>
    </row>
    <row r="5" spans="1:42" x14ac:dyDescent="0.3">
      <c r="B5" s="77"/>
      <c r="C5" s="72"/>
      <c r="D5" s="72"/>
      <c r="E5" s="72"/>
      <c r="F5" s="72"/>
      <c r="G5" s="72"/>
      <c r="H5" s="72"/>
      <c r="I5" s="72"/>
      <c r="J5" s="72"/>
      <c r="K5" s="1419">
        <v>2006</v>
      </c>
      <c r="L5" s="1360">
        <v>2007</v>
      </c>
      <c r="M5" s="1360">
        <v>2008</v>
      </c>
      <c r="N5" s="1360">
        <v>2009</v>
      </c>
      <c r="O5" s="1360">
        <v>2010</v>
      </c>
      <c r="P5" s="1360">
        <v>2011</v>
      </c>
      <c r="Q5" s="1360">
        <v>2012</v>
      </c>
      <c r="R5" s="1360">
        <v>2013</v>
      </c>
      <c r="S5" s="1420">
        <v>2014</v>
      </c>
      <c r="T5" s="1420">
        <v>2015</v>
      </c>
      <c r="U5" s="1420">
        <v>2016</v>
      </c>
      <c r="V5" s="1420">
        <v>2017</v>
      </c>
      <c r="W5" s="1420">
        <v>2018</v>
      </c>
      <c r="X5" s="1420">
        <v>2019</v>
      </c>
      <c r="Y5" s="1420">
        <v>2020</v>
      </c>
      <c r="Z5" s="1420">
        <v>2021</v>
      </c>
      <c r="AA5" s="1420">
        <v>2022</v>
      </c>
      <c r="AB5" s="1420">
        <v>2023</v>
      </c>
      <c r="AC5" s="1420">
        <v>2024</v>
      </c>
      <c r="AD5" s="1420">
        <v>2025</v>
      </c>
      <c r="AE5" s="1420">
        <v>2026</v>
      </c>
      <c r="AF5" s="1420">
        <v>2027</v>
      </c>
      <c r="AG5" s="1420">
        <v>2028</v>
      </c>
      <c r="AH5" s="1420">
        <v>2029</v>
      </c>
      <c r="AI5" s="1420">
        <v>2030</v>
      </c>
      <c r="AJ5" s="1420">
        <v>2031</v>
      </c>
      <c r="AK5" s="1420">
        <v>2032</v>
      </c>
      <c r="AL5" s="1420">
        <v>2033</v>
      </c>
    </row>
    <row r="6" spans="1:42" x14ac:dyDescent="0.3">
      <c r="A6" s="78"/>
      <c r="B6" s="126" t="str">
        <f>Expenditure_Detail!$B$6</f>
        <v>$m, 01/01/23</v>
      </c>
      <c r="C6" s="78"/>
      <c r="D6" s="78"/>
      <c r="E6" s="78"/>
      <c r="F6" s="78"/>
      <c r="G6" s="78"/>
      <c r="H6" s="78"/>
      <c r="I6" s="78"/>
      <c r="J6" s="78"/>
      <c r="K6" s="1319" t="str">
        <f>+CONCATENATE(K5-1,"-",RIGHT(K5,2))</f>
        <v>2005-06</v>
      </c>
      <c r="L6" s="1319" t="str">
        <f t="shared" ref="L6:AG6" si="0">+CONCATENATE(L5-1,"-",RIGHT(L5,2))</f>
        <v>2006-07</v>
      </c>
      <c r="M6" s="1319" t="str">
        <f t="shared" si="0"/>
        <v>2007-08</v>
      </c>
      <c r="N6" s="1319" t="str">
        <f t="shared" si="0"/>
        <v>2008-09</v>
      </c>
      <c r="O6" s="1319" t="str">
        <f t="shared" si="0"/>
        <v>2009-10</v>
      </c>
      <c r="P6" s="1319" t="str">
        <f t="shared" si="0"/>
        <v>2010-11</v>
      </c>
      <c r="Q6" s="1319" t="str">
        <f t="shared" si="0"/>
        <v>2011-12</v>
      </c>
      <c r="R6" s="1319" t="str">
        <f t="shared" si="0"/>
        <v>2012-13</v>
      </c>
      <c r="S6" s="1319" t="str">
        <f t="shared" si="0"/>
        <v>2013-14</v>
      </c>
      <c r="T6" s="1319" t="str">
        <f t="shared" si="0"/>
        <v>2014-15</v>
      </c>
      <c r="U6" s="1319" t="str">
        <f t="shared" si="0"/>
        <v>2015-16</v>
      </c>
      <c r="V6" s="1319" t="str">
        <f t="shared" si="0"/>
        <v>2016-17</v>
      </c>
      <c r="W6" s="1319" t="str">
        <f t="shared" si="0"/>
        <v>2017-18</v>
      </c>
      <c r="X6" s="1319" t="str">
        <f t="shared" si="0"/>
        <v>2018-19</v>
      </c>
      <c r="Y6" s="1319" t="str">
        <f t="shared" si="0"/>
        <v>2019-20</v>
      </c>
      <c r="Z6" s="1319" t="str">
        <f t="shared" si="0"/>
        <v>2020-21</v>
      </c>
      <c r="AA6" s="1319" t="str">
        <f t="shared" si="0"/>
        <v>2021-22</v>
      </c>
      <c r="AB6" s="1319" t="str">
        <f t="shared" si="0"/>
        <v>2022-23</v>
      </c>
      <c r="AC6" s="1319" t="str">
        <f t="shared" si="0"/>
        <v>2023-24</v>
      </c>
      <c r="AD6" s="1319" t="str">
        <f t="shared" si="0"/>
        <v>2024-25</v>
      </c>
      <c r="AE6" s="1319" t="str">
        <f t="shared" si="0"/>
        <v>2025-26</v>
      </c>
      <c r="AF6" s="1319" t="str">
        <f t="shared" si="0"/>
        <v>2026-27</v>
      </c>
      <c r="AG6" s="1319" t="str">
        <f t="shared" si="0"/>
        <v>2027-28</v>
      </c>
      <c r="AH6" s="1319" t="str">
        <f>+CONCATENATE(AH5-1,"-",RIGHT(AH5,2))</f>
        <v>2028-29</v>
      </c>
      <c r="AI6" s="1319" t="str">
        <f>+CONCATENATE(AI5-1,"-",RIGHT(AI5,2))</f>
        <v>2029-30</v>
      </c>
      <c r="AJ6" s="1319" t="str">
        <f>+CONCATENATE(AJ5-1,"-",RIGHT(AJ5,2))</f>
        <v>2030-31</v>
      </c>
      <c r="AK6" s="1319" t="str">
        <f>+CONCATENATE(AK5-1,"-",RIGHT(AK5,2))</f>
        <v>2031-32</v>
      </c>
      <c r="AL6" s="1319" t="str">
        <f>+CONCATENATE(AL5-1,"-",RIGHT(AL5,2))</f>
        <v>2032-33</v>
      </c>
      <c r="AM6" s="78"/>
      <c r="AN6" s="78"/>
      <c r="AO6" s="78"/>
      <c r="AP6" s="78"/>
    </row>
    <row r="8" spans="1:42" x14ac:dyDescent="0.3">
      <c r="C8" s="79"/>
      <c r="D8" s="80"/>
      <c r="E8" s="80"/>
      <c r="F8" s="80"/>
      <c r="G8" s="80"/>
      <c r="H8" s="80"/>
      <c r="I8" s="80"/>
      <c r="J8" s="80"/>
      <c r="K8" s="80"/>
      <c r="L8" s="80"/>
      <c r="M8" s="80"/>
      <c r="N8" s="80"/>
      <c r="O8" s="80"/>
      <c r="P8" s="80"/>
      <c r="Q8" s="80"/>
      <c r="R8" s="80"/>
      <c r="S8" s="80"/>
      <c r="T8" s="81"/>
      <c r="U8" s="80"/>
      <c r="V8" s="80"/>
      <c r="W8" s="80"/>
      <c r="X8" s="80"/>
      <c r="Y8" s="82"/>
      <c r="Z8" s="80"/>
      <c r="AA8" s="80"/>
      <c r="AB8" s="80"/>
      <c r="AC8" s="80"/>
      <c r="AD8" s="80"/>
      <c r="AE8" s="80"/>
      <c r="AF8" s="80"/>
      <c r="AG8" s="80"/>
      <c r="AH8" s="80"/>
      <c r="AI8" s="80"/>
      <c r="AJ8" s="80"/>
      <c r="AK8" s="80"/>
      <c r="AL8" s="80"/>
      <c r="AM8" s="83"/>
    </row>
    <row r="9" spans="1:42" x14ac:dyDescent="0.3">
      <c r="C9" s="242" t="s">
        <v>81</v>
      </c>
      <c r="D9" s="72"/>
      <c r="E9" s="72"/>
      <c r="F9" s="72"/>
      <c r="G9" s="1209" t="s">
        <v>1073</v>
      </c>
      <c r="H9" s="72"/>
      <c r="I9" s="1209" t="s">
        <v>908</v>
      </c>
      <c r="J9" s="72"/>
      <c r="K9" s="72"/>
      <c r="L9" s="72"/>
      <c r="M9" s="72"/>
      <c r="N9" s="72"/>
      <c r="O9" s="72"/>
      <c r="P9" s="72"/>
      <c r="Q9" s="72"/>
      <c r="R9" s="72"/>
      <c r="S9" s="72"/>
      <c r="T9" s="72"/>
      <c r="U9" s="72"/>
      <c r="V9" s="72"/>
      <c r="W9" s="72"/>
      <c r="X9" s="72"/>
      <c r="Y9" s="84"/>
      <c r="Z9" s="72"/>
      <c r="AA9" s="72"/>
      <c r="AB9" s="72"/>
      <c r="AC9" s="72"/>
      <c r="AD9" s="72"/>
      <c r="AE9" s="72"/>
      <c r="AF9" s="72"/>
      <c r="AG9" s="72"/>
      <c r="AH9" s="72"/>
      <c r="AI9" s="72"/>
      <c r="AJ9" s="72"/>
      <c r="AK9" s="72"/>
      <c r="AL9" s="72"/>
      <c r="AM9" s="85"/>
    </row>
    <row r="10" spans="1:42" x14ac:dyDescent="0.3">
      <c r="C10" s="86"/>
      <c r="D10" s="72"/>
      <c r="E10" s="72"/>
      <c r="F10" s="72"/>
      <c r="G10" s="1210"/>
      <c r="H10" s="72"/>
      <c r="I10" s="641"/>
      <c r="J10" s="72"/>
      <c r="K10" s="72"/>
      <c r="L10" s="72"/>
      <c r="M10" s="72"/>
      <c r="N10" s="72"/>
      <c r="O10" s="72"/>
      <c r="P10" s="72"/>
      <c r="Q10" s="72"/>
      <c r="R10" s="72"/>
      <c r="S10" s="72"/>
      <c r="T10" s="71"/>
      <c r="U10" s="87"/>
      <c r="V10" s="72"/>
      <c r="W10" s="72"/>
      <c r="X10" s="72"/>
      <c r="Y10" s="72"/>
      <c r="Z10" s="72"/>
      <c r="AA10" s="72"/>
      <c r="AB10" s="72"/>
      <c r="AC10" s="72"/>
      <c r="AD10" s="72"/>
      <c r="AE10" s="88"/>
      <c r="AF10" s="72"/>
      <c r="AG10" s="72"/>
      <c r="AH10" s="72"/>
      <c r="AI10" s="72"/>
      <c r="AJ10" s="72"/>
      <c r="AK10" s="72"/>
      <c r="AL10" s="72"/>
      <c r="AM10" s="85"/>
    </row>
    <row r="11" spans="1:42" x14ac:dyDescent="0.3">
      <c r="C11" s="86"/>
      <c r="D11" s="89" t="s">
        <v>576</v>
      </c>
      <c r="E11" s="72"/>
      <c r="F11" s="72"/>
      <c r="G11" s="2034">
        <f>Determination_Lookup!X33</f>
        <v>1.6425244508275649E-2</v>
      </c>
      <c r="H11" s="102"/>
      <c r="I11" s="1405">
        <f>IFERROR(AVERAGE(AC11:AG11),"-")</f>
        <v>0.01</v>
      </c>
      <c r="J11" s="72"/>
      <c r="K11" s="72"/>
      <c r="L11" s="72"/>
      <c r="M11" s="72"/>
      <c r="N11" s="72"/>
      <c r="O11" s="72"/>
      <c r="P11" s="72"/>
      <c r="Q11" s="72"/>
      <c r="R11" s="72"/>
      <c r="S11" s="90"/>
      <c r="T11" s="72"/>
      <c r="U11" s="87"/>
      <c r="V11" s="72"/>
      <c r="W11" s="72"/>
      <c r="X11" s="72"/>
      <c r="Y11" s="72"/>
      <c r="Z11" s="72"/>
      <c r="AA11" s="72"/>
      <c r="AB11" s="72"/>
      <c r="AC11" s="1421">
        <v>0.01</v>
      </c>
      <c r="AD11" s="1422">
        <v>0.01</v>
      </c>
      <c r="AE11" s="1422">
        <v>0.01</v>
      </c>
      <c r="AF11" s="1422">
        <v>0.01</v>
      </c>
      <c r="AG11" s="1423">
        <v>0.01</v>
      </c>
      <c r="AH11" s="1421">
        <v>0.01</v>
      </c>
      <c r="AI11" s="1422">
        <v>0.01</v>
      </c>
      <c r="AJ11" s="1422">
        <v>0.01</v>
      </c>
      <c r="AK11" s="1422">
        <v>0.01</v>
      </c>
      <c r="AL11" s="1423">
        <v>0.01</v>
      </c>
      <c r="AM11" s="85"/>
    </row>
    <row r="12" spans="1:42" x14ac:dyDescent="0.3">
      <c r="C12" s="86"/>
      <c r="D12" s="89"/>
      <c r="E12" s="72"/>
      <c r="F12" s="72"/>
      <c r="G12" s="1211"/>
      <c r="H12" s="102"/>
      <c r="I12" s="1211"/>
      <c r="J12" s="72"/>
      <c r="K12" s="72"/>
      <c r="L12" s="72"/>
      <c r="M12" s="72"/>
      <c r="N12" s="72"/>
      <c r="O12" s="72"/>
      <c r="P12" s="72"/>
      <c r="Q12" s="72"/>
      <c r="R12" s="72"/>
      <c r="S12" s="90"/>
      <c r="T12" s="72"/>
      <c r="U12" s="109"/>
      <c r="V12" s="72"/>
      <c r="W12" s="72"/>
      <c r="X12" s="72"/>
      <c r="Y12" s="72"/>
      <c r="Z12" s="72"/>
      <c r="AA12" s="72"/>
      <c r="AB12" s="72"/>
      <c r="AC12" s="72"/>
      <c r="AD12" s="72"/>
      <c r="AE12" s="72"/>
      <c r="AF12" s="72"/>
      <c r="AG12" s="72"/>
      <c r="AH12" s="72"/>
      <c r="AI12" s="72"/>
      <c r="AJ12" s="72"/>
      <c r="AK12" s="72"/>
      <c r="AL12" s="72"/>
      <c r="AM12" s="85"/>
    </row>
    <row r="13" spans="1:42" x14ac:dyDescent="0.3">
      <c r="C13" s="86"/>
      <c r="D13" s="72" t="s">
        <v>491</v>
      </c>
      <c r="E13" s="72"/>
      <c r="F13" s="72"/>
      <c r="G13" s="2034">
        <f>Determination_Lookup!X34</f>
        <v>1.6425244508275649E-2</v>
      </c>
      <c r="H13" s="102"/>
      <c r="I13" s="1405">
        <f>IFERROR(AVERAGE(AC13:AG13),"-")</f>
        <v>2.1999999999999999E-2</v>
      </c>
      <c r="J13" s="72"/>
      <c r="K13" s="72"/>
      <c r="L13" s="72"/>
      <c r="M13" s="72"/>
      <c r="N13" s="72"/>
      <c r="O13" s="72"/>
      <c r="P13" s="72"/>
      <c r="Q13" s="72"/>
      <c r="R13" s="72"/>
      <c r="S13" s="72"/>
      <c r="T13" s="72"/>
      <c r="U13" s="72"/>
      <c r="V13" s="72"/>
      <c r="W13" s="72"/>
      <c r="X13" s="72"/>
      <c r="Y13" s="1424">
        <f>IF(Y15="","",Y15/X15-1)</f>
        <v>1.5115264446758703E-2</v>
      </c>
      <c r="Z13" s="1425">
        <f>IF(Z15="","",Z15/Y15-1)</f>
        <v>3.1333185448092271E-2</v>
      </c>
      <c r="AA13" s="1425">
        <f>IF(AA15="","",AA15/Z15-1)</f>
        <v>2.6402107866860147E-2</v>
      </c>
      <c r="AB13" s="1426">
        <v>2.1999999999999999E-2</v>
      </c>
      <c r="AC13" s="1422">
        <v>2.1999999999999999E-2</v>
      </c>
      <c r="AD13" s="1422">
        <v>2.1999999999999999E-2</v>
      </c>
      <c r="AE13" s="1422">
        <v>2.1999999999999999E-2</v>
      </c>
      <c r="AF13" s="1422">
        <v>2.1999999999999999E-2</v>
      </c>
      <c r="AG13" s="1423">
        <v>2.1999999999999999E-2</v>
      </c>
      <c r="AH13" s="1421">
        <v>2.1999999999999999E-2</v>
      </c>
      <c r="AI13" s="1422">
        <v>2.1999999999999999E-2</v>
      </c>
      <c r="AJ13" s="1422">
        <v>2.1999999999999999E-2</v>
      </c>
      <c r="AK13" s="1422">
        <v>2.1999999999999999E-2</v>
      </c>
      <c r="AL13" s="1423">
        <v>2.1999999999999999E-2</v>
      </c>
      <c r="AM13" s="85"/>
    </row>
    <row r="14" spans="1:42" outlineLevel="1" x14ac:dyDescent="0.3">
      <c r="A14" s="91"/>
      <c r="C14" s="86"/>
      <c r="D14" s="72"/>
      <c r="E14" s="72"/>
      <c r="F14" s="1947" t="s">
        <v>933</v>
      </c>
      <c r="G14" s="1948">
        <f>IFERROR(G13-G11,"-")</f>
        <v>0</v>
      </c>
      <c r="H14" s="72"/>
      <c r="I14" s="1948">
        <f>IFERROR(I13-I11,"-")</f>
        <v>1.1999999999999999E-2</v>
      </c>
      <c r="J14" s="72"/>
      <c r="K14" s="72"/>
      <c r="L14" s="72"/>
      <c r="M14" s="72"/>
      <c r="N14" s="72"/>
      <c r="O14" s="72"/>
      <c r="P14" s="72"/>
      <c r="Q14" s="72"/>
      <c r="R14" s="72"/>
      <c r="S14" s="72"/>
      <c r="T14" s="72"/>
      <c r="U14" s="72"/>
      <c r="V14" s="72"/>
      <c r="W14" s="72"/>
      <c r="X14" s="72"/>
      <c r="Y14" s="72"/>
      <c r="Z14" s="72"/>
      <c r="AA14" s="72"/>
      <c r="AB14" s="72"/>
      <c r="AC14" s="72"/>
      <c r="AD14" s="72"/>
      <c r="AE14" s="72"/>
      <c r="AF14" s="72"/>
      <c r="AG14" s="72"/>
      <c r="AH14" s="72"/>
      <c r="AI14" s="72"/>
      <c r="AJ14" s="72"/>
      <c r="AK14" s="72"/>
      <c r="AL14" s="72"/>
      <c r="AM14" s="85"/>
    </row>
    <row r="15" spans="1:42" outlineLevel="1" x14ac:dyDescent="0.3">
      <c r="A15" s="91"/>
      <c r="C15" s="86"/>
      <c r="D15" s="84" t="s">
        <v>715</v>
      </c>
      <c r="E15" s="84"/>
      <c r="F15" s="72"/>
      <c r="G15" s="72"/>
      <c r="H15" s="72"/>
      <c r="I15" s="72"/>
      <c r="J15" s="72"/>
      <c r="K15" s="72"/>
      <c r="L15" s="72"/>
      <c r="M15" s="72"/>
      <c r="N15" s="72"/>
      <c r="O15" s="72"/>
      <c r="P15" s="72"/>
      <c r="Q15" s="72"/>
      <c r="R15" s="72"/>
      <c r="S15" s="72"/>
      <c r="T15" s="72"/>
      <c r="U15" s="72"/>
      <c r="V15" s="72"/>
      <c r="W15" s="2124">
        <f>+Determination_Lookup!M20</f>
        <v>69565</v>
      </c>
      <c r="X15" s="2125">
        <f>+Determination_Lookup!N20</f>
        <v>71054</v>
      </c>
      <c r="Y15" s="2125">
        <f>+Determination_Lookup!O20</f>
        <v>72128</v>
      </c>
      <c r="Z15" s="2126">
        <v>74388</v>
      </c>
      <c r="AA15" s="2126">
        <v>76352</v>
      </c>
      <c r="AB15" s="1428">
        <f t="shared" ref="AB15:AG15" si="1">+AA$15*(1+AB$13)</f>
        <v>78031.744000000006</v>
      </c>
      <c r="AC15" s="1428">
        <f t="shared" si="1"/>
        <v>79748.442368000004</v>
      </c>
      <c r="AD15" s="1428">
        <f t="shared" si="1"/>
        <v>81502.908100096</v>
      </c>
      <c r="AE15" s="1428">
        <f t="shared" si="1"/>
        <v>83295.972078298117</v>
      </c>
      <c r="AF15" s="1428">
        <f t="shared" si="1"/>
        <v>85128.483464020683</v>
      </c>
      <c r="AG15" s="1429">
        <f t="shared" si="1"/>
        <v>87001.310100229137</v>
      </c>
      <c r="AH15" s="1430">
        <f>+AG$15*(1+AH$13)</f>
        <v>88915.338922434181</v>
      </c>
      <c r="AI15" s="1428">
        <f>+AH$15*(1+AI$13)</f>
        <v>90871.476378727733</v>
      </c>
      <c r="AJ15" s="1428">
        <f>+AI$15*(1+AJ$13)</f>
        <v>92870.648859059744</v>
      </c>
      <c r="AK15" s="1428">
        <f>+AJ$15*(1+AK$13)</f>
        <v>94913.803133959067</v>
      </c>
      <c r="AL15" s="1429">
        <f>+AK$15*(1+AL$13)</f>
        <v>97001.906802906175</v>
      </c>
      <c r="AM15" s="85"/>
    </row>
    <row r="16" spans="1:42" outlineLevel="1" x14ac:dyDescent="0.3">
      <c r="A16" s="91"/>
      <c r="C16" s="86"/>
      <c r="D16" s="84"/>
      <c r="E16" s="84"/>
      <c r="F16" s="72"/>
      <c r="G16" s="72"/>
      <c r="H16" s="72"/>
      <c r="I16" s="72"/>
      <c r="J16" s="72"/>
      <c r="K16" s="72"/>
      <c r="L16" s="72"/>
      <c r="M16" s="72"/>
      <c r="N16" s="72"/>
      <c r="O16" s="72"/>
      <c r="P16" s="72"/>
      <c r="Q16" s="72"/>
      <c r="R16" s="72"/>
      <c r="S16" s="72"/>
      <c r="T16" s="72"/>
      <c r="U16" s="72"/>
      <c r="V16" s="72"/>
      <c r="W16" s="2127"/>
      <c r="X16" s="1304"/>
      <c r="Y16" s="1304"/>
      <c r="Z16" s="1304"/>
      <c r="AA16" s="1304"/>
      <c r="AB16" s="1304"/>
      <c r="AC16" s="72"/>
      <c r="AD16" s="72"/>
      <c r="AE16" s="72"/>
      <c r="AF16" s="72"/>
      <c r="AG16" s="72"/>
      <c r="AH16" s="72"/>
      <c r="AI16" s="72"/>
      <c r="AJ16" s="72"/>
      <c r="AK16" s="72"/>
      <c r="AL16" s="72"/>
      <c r="AM16" s="85"/>
    </row>
    <row r="17" spans="1:39" outlineLevel="1" x14ac:dyDescent="0.3">
      <c r="A17" s="91"/>
      <c r="C17" s="86"/>
      <c r="D17" s="84" t="s">
        <v>716</v>
      </c>
      <c r="E17" s="84"/>
      <c r="F17" s="72"/>
      <c r="G17" s="72"/>
      <c r="H17" s="72"/>
      <c r="I17" s="72"/>
      <c r="J17" s="72"/>
      <c r="K17" s="72"/>
      <c r="L17" s="72"/>
      <c r="M17" s="72"/>
      <c r="N17" s="72"/>
      <c r="O17" s="72"/>
      <c r="P17" s="72"/>
      <c r="Q17" s="72"/>
      <c r="R17" s="72"/>
      <c r="S17" s="72"/>
      <c r="T17" s="72"/>
      <c r="U17" s="72"/>
      <c r="V17" s="72"/>
      <c r="W17" s="2124">
        <f>+Determination_Lookup!M21</f>
        <v>59932</v>
      </c>
      <c r="X17" s="2125">
        <f>+Determination_Lookup!N21</f>
        <v>61156</v>
      </c>
      <c r="Y17" s="2125">
        <f>+Determination_Lookup!O21</f>
        <v>62475</v>
      </c>
      <c r="Z17" s="2126">
        <v>64217</v>
      </c>
      <c r="AA17" s="2126">
        <v>66179</v>
      </c>
      <c r="AB17" s="1428">
        <f t="shared" ref="AB17:AG17" si="2">+AA$17*(1+AB$13)</f>
        <v>67634.937999999995</v>
      </c>
      <c r="AC17" s="1430">
        <f t="shared" si="2"/>
        <v>69122.906636</v>
      </c>
      <c r="AD17" s="1428">
        <f t="shared" si="2"/>
        <v>70643.610581992005</v>
      </c>
      <c r="AE17" s="1428">
        <f t="shared" si="2"/>
        <v>72197.770014795824</v>
      </c>
      <c r="AF17" s="1428">
        <f t="shared" si="2"/>
        <v>73786.12095512134</v>
      </c>
      <c r="AG17" s="1429">
        <f t="shared" si="2"/>
        <v>75409.415616134007</v>
      </c>
      <c r="AH17" s="1430">
        <f>+AG$17*(1+AH$13)</f>
        <v>77068.422759688954</v>
      </c>
      <c r="AI17" s="1428">
        <f>+AH$17*(1+AI$13)</f>
        <v>78763.928060402119</v>
      </c>
      <c r="AJ17" s="1428">
        <f>+AI$17*(1+AJ$13)</f>
        <v>80496.734477730963</v>
      </c>
      <c r="AK17" s="1428">
        <f>+AJ$17*(1+AK$13)</f>
        <v>82267.662636241046</v>
      </c>
      <c r="AL17" s="1429">
        <f>+AK$17*(1+AL$13)</f>
        <v>84077.551214238352</v>
      </c>
      <c r="AM17" s="85"/>
    </row>
    <row r="18" spans="1:39" outlineLevel="1" x14ac:dyDescent="0.3">
      <c r="A18" s="91"/>
      <c r="C18" s="86"/>
      <c r="D18" s="84"/>
      <c r="E18" s="84"/>
      <c r="F18" s="72"/>
      <c r="G18" s="72"/>
      <c r="H18" s="72"/>
      <c r="I18" s="72"/>
      <c r="J18" s="72"/>
      <c r="K18" s="72"/>
      <c r="L18" s="72"/>
      <c r="M18" s="72"/>
      <c r="N18" s="72"/>
      <c r="O18" s="72"/>
      <c r="P18" s="72"/>
      <c r="Q18" s="72"/>
      <c r="R18" s="72"/>
      <c r="S18" s="72"/>
      <c r="T18" s="72"/>
      <c r="U18" s="72"/>
      <c r="V18" s="72"/>
      <c r="W18" s="1304"/>
      <c r="X18" s="1304"/>
      <c r="Y18" s="1304"/>
      <c r="Z18" s="1304"/>
      <c r="AA18" s="1304"/>
      <c r="AB18" s="1304"/>
      <c r="AC18" s="72"/>
      <c r="AD18" s="72"/>
      <c r="AE18" s="72"/>
      <c r="AF18" s="72"/>
      <c r="AG18" s="72"/>
      <c r="AH18" s="72"/>
      <c r="AI18" s="72"/>
      <c r="AJ18" s="72"/>
      <c r="AK18" s="72"/>
      <c r="AL18" s="72"/>
      <c r="AM18" s="85"/>
    </row>
    <row r="19" spans="1:39" outlineLevel="1" x14ac:dyDescent="0.3">
      <c r="A19" s="91"/>
      <c r="C19" s="86"/>
      <c r="D19" s="84" t="s">
        <v>709</v>
      </c>
      <c r="E19" s="84"/>
      <c r="F19" s="72"/>
      <c r="G19" s="72"/>
      <c r="H19" s="72"/>
      <c r="I19" s="72"/>
      <c r="J19" s="72"/>
      <c r="K19" s="72"/>
      <c r="L19" s="72"/>
      <c r="M19" s="72"/>
      <c r="N19" s="72"/>
      <c r="O19" s="72"/>
      <c r="P19" s="72"/>
      <c r="Q19" s="72"/>
      <c r="R19" s="72"/>
      <c r="S19" s="72"/>
      <c r="T19" s="72"/>
      <c r="U19" s="72"/>
      <c r="V19" s="72"/>
      <c r="W19" s="2124">
        <f>+Determination_Lookup!M22</f>
        <v>14454.43</v>
      </c>
      <c r="X19" s="2125">
        <f>+Determination_Lookup!N22</f>
        <v>14930.759999999998</v>
      </c>
      <c r="Y19" s="2125">
        <f>+Determination_Lookup!O22</f>
        <v>14052</v>
      </c>
      <c r="Z19" s="2126">
        <v>13760.890000000001</v>
      </c>
      <c r="AA19" s="2126">
        <v>13929.033963</v>
      </c>
      <c r="AB19" s="2128">
        <v>14235.472710186001</v>
      </c>
      <c r="AC19" s="1427">
        <v>14955.853580128711</v>
      </c>
      <c r="AD19" s="1427">
        <v>15254.081065115592</v>
      </c>
      <c r="AE19" s="1427">
        <v>15558.265645701171</v>
      </c>
      <c r="AF19" s="1427">
        <v>15868.526530026482</v>
      </c>
      <c r="AG19" s="1431">
        <v>16085.844668772761</v>
      </c>
      <c r="AH19" s="1427">
        <v>16306.510526110589</v>
      </c>
      <c r="AI19" s="1427">
        <v>16530.581226710146</v>
      </c>
      <c r="AJ19" s="1427">
        <v>16758.114945078625</v>
      </c>
      <c r="AK19" s="1427">
        <v>16989.170925796137</v>
      </c>
      <c r="AL19" s="1431">
        <v>17223.809504153203</v>
      </c>
      <c r="AM19" s="85"/>
    </row>
    <row r="20" spans="1:39" outlineLevel="1" x14ac:dyDescent="0.3">
      <c r="A20" s="91"/>
      <c r="C20" s="86"/>
      <c r="D20" s="156" t="s">
        <v>710</v>
      </c>
      <c r="E20" s="84"/>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c r="AL20" s="72"/>
      <c r="AM20" s="85"/>
    </row>
    <row r="21" spans="1:39" x14ac:dyDescent="0.3">
      <c r="C21" s="92"/>
      <c r="D21" s="78"/>
      <c r="E21" s="78"/>
      <c r="F21" s="78"/>
      <c r="G21" s="78"/>
      <c r="H21" s="78"/>
      <c r="I21" s="78"/>
      <c r="J21" s="78"/>
      <c r="K21" s="78"/>
      <c r="L21" s="78"/>
      <c r="M21" s="78"/>
      <c r="N21" s="78"/>
      <c r="O21" s="78"/>
      <c r="P21" s="78"/>
      <c r="Q21" s="78"/>
      <c r="R21" s="78"/>
      <c r="S21" s="78"/>
      <c r="T21" s="78"/>
      <c r="U21" s="93"/>
      <c r="V21" s="78"/>
      <c r="W21" s="78"/>
      <c r="X21" s="78"/>
      <c r="Y21" s="78"/>
      <c r="Z21" s="78"/>
      <c r="AA21" s="78"/>
      <c r="AB21" s="78"/>
      <c r="AC21" s="78"/>
      <c r="AD21" s="78"/>
      <c r="AE21" s="78"/>
      <c r="AF21" s="78"/>
      <c r="AG21" s="78"/>
      <c r="AH21" s="78"/>
      <c r="AI21" s="78"/>
      <c r="AJ21" s="78"/>
      <c r="AK21" s="78"/>
      <c r="AL21" s="78"/>
      <c r="AM21" s="94"/>
    </row>
    <row r="22" spans="1:39" x14ac:dyDescent="0.3">
      <c r="U22" s="95"/>
    </row>
    <row r="23" spans="1:39" x14ac:dyDescent="0.3">
      <c r="C23" s="79"/>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3"/>
    </row>
    <row r="24" spans="1:39" x14ac:dyDescent="0.3">
      <c r="C24" s="242" t="s">
        <v>492</v>
      </c>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c r="AL24" s="72"/>
      <c r="AM24" s="85"/>
    </row>
    <row r="25" spans="1:39" x14ac:dyDescent="0.3">
      <c r="C25" s="86"/>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c r="AL25" s="72"/>
      <c r="AM25" s="85"/>
    </row>
    <row r="26" spans="1:39" x14ac:dyDescent="0.3">
      <c r="C26" s="86"/>
      <c r="D26" s="96" t="s">
        <v>934</v>
      </c>
      <c r="E26" s="72"/>
      <c r="F26" s="72"/>
      <c r="G26" s="72"/>
      <c r="H26" s="72"/>
      <c r="I26" s="72"/>
      <c r="J26" s="72"/>
      <c r="K26" s="72"/>
      <c r="L26" s="72"/>
      <c r="M26" s="72"/>
      <c r="N26" s="72"/>
      <c r="O26" s="72"/>
      <c r="P26" s="72"/>
      <c r="Q26" s="72"/>
      <c r="R26" s="72"/>
      <c r="S26" s="72"/>
      <c r="T26" s="72"/>
      <c r="U26" s="88"/>
      <c r="X26" s="72"/>
      <c r="Y26" s="1146"/>
      <c r="Z26" s="72"/>
      <c r="AA26" s="1432">
        <f>+Opex_Breakdown!AA37</f>
        <v>70.581107602468151</v>
      </c>
      <c r="AB26" s="1146"/>
      <c r="AC26" s="72"/>
      <c r="AD26" s="72"/>
      <c r="AE26" s="72"/>
      <c r="AF26" s="72"/>
      <c r="AG26" s="72"/>
      <c r="AH26" s="72"/>
      <c r="AI26" s="72"/>
      <c r="AJ26" s="72"/>
      <c r="AK26" s="72"/>
      <c r="AL26" s="72"/>
      <c r="AM26" s="85"/>
    </row>
    <row r="27" spans="1:39" x14ac:dyDescent="0.3">
      <c r="C27" s="86"/>
      <c r="D27" s="84"/>
      <c r="F27" s="72"/>
      <c r="G27" s="72"/>
      <c r="H27" s="72"/>
      <c r="I27" s="72"/>
      <c r="J27" s="72"/>
      <c r="K27" s="72"/>
      <c r="L27" s="72"/>
      <c r="M27" s="72"/>
      <c r="N27" s="72"/>
      <c r="O27" s="72"/>
      <c r="P27" s="72"/>
      <c r="Q27" s="72"/>
      <c r="R27" s="72"/>
      <c r="S27" s="72"/>
      <c r="T27" s="72"/>
      <c r="U27" s="72"/>
      <c r="X27" s="72"/>
      <c r="Z27" s="72"/>
      <c r="AA27" s="84"/>
      <c r="AC27" s="72"/>
      <c r="AD27" s="97"/>
      <c r="AE27" s="72"/>
      <c r="AF27" s="72"/>
      <c r="AG27" s="72"/>
      <c r="AH27" s="72"/>
      <c r="AI27" s="72"/>
      <c r="AJ27" s="72"/>
      <c r="AK27" s="72"/>
      <c r="AL27" s="72"/>
      <c r="AM27" s="85"/>
    </row>
    <row r="28" spans="1:39" x14ac:dyDescent="0.3">
      <c r="C28" s="86"/>
      <c r="D28" s="96" t="s">
        <v>935</v>
      </c>
      <c r="F28" s="72"/>
      <c r="G28" s="72"/>
      <c r="H28" s="72"/>
      <c r="I28" s="72"/>
      <c r="J28" s="72"/>
      <c r="K28" s="72"/>
      <c r="L28" s="72"/>
      <c r="M28" s="72"/>
      <c r="N28" s="72"/>
      <c r="O28" s="72"/>
      <c r="P28" s="72"/>
      <c r="Q28" s="72"/>
      <c r="R28" s="72"/>
      <c r="S28" s="72"/>
      <c r="T28" s="72"/>
      <c r="U28" s="72"/>
      <c r="X28" s="72"/>
      <c r="Z28" s="72"/>
      <c r="AA28" s="84"/>
      <c r="AC28" s="72"/>
      <c r="AD28" s="97"/>
      <c r="AE28" s="72"/>
      <c r="AF28" s="72"/>
      <c r="AG28" s="72"/>
      <c r="AH28" s="72"/>
      <c r="AI28" s="72"/>
      <c r="AJ28" s="72"/>
      <c r="AK28" s="72"/>
      <c r="AL28" s="72"/>
      <c r="AM28" s="85"/>
    </row>
    <row r="29" spans="1:39" x14ac:dyDescent="0.3">
      <c r="C29" s="86"/>
      <c r="D29" s="84"/>
      <c r="E29" s="98" t="s">
        <v>392</v>
      </c>
      <c r="F29" s="72"/>
      <c r="G29" s="72"/>
      <c r="H29" s="72"/>
      <c r="I29" s="72"/>
      <c r="J29" s="72"/>
      <c r="K29" s="72"/>
      <c r="L29" s="72"/>
      <c r="M29" s="72"/>
      <c r="N29" s="72"/>
      <c r="O29" s="72"/>
      <c r="P29" s="72"/>
      <c r="Q29" s="72"/>
      <c r="R29" s="72"/>
      <c r="S29" s="72"/>
      <c r="T29" s="72"/>
      <c r="U29" s="72"/>
      <c r="X29" s="72"/>
      <c r="Z29" s="72"/>
      <c r="AA29" s="1433">
        <f>+Opex_Breakdown!AA29</f>
        <v>0.47342684969465637</v>
      </c>
      <c r="AC29" s="72"/>
      <c r="AD29" s="97"/>
      <c r="AE29" s="72"/>
      <c r="AF29" s="72"/>
      <c r="AG29" s="72"/>
      <c r="AH29" s="72"/>
      <c r="AI29" s="72"/>
      <c r="AJ29" s="72"/>
      <c r="AK29" s="72"/>
      <c r="AL29" s="72"/>
      <c r="AM29" s="85"/>
    </row>
    <row r="30" spans="1:39" x14ac:dyDescent="0.3">
      <c r="C30" s="86"/>
      <c r="D30" s="84"/>
      <c r="E30" s="98" t="s">
        <v>390</v>
      </c>
      <c r="F30" s="72"/>
      <c r="G30" s="72"/>
      <c r="H30" s="72"/>
      <c r="I30" s="72"/>
      <c r="J30" s="72"/>
      <c r="K30" s="72"/>
      <c r="L30" s="72"/>
      <c r="M30" s="72"/>
      <c r="N30" s="72"/>
      <c r="O30" s="72"/>
      <c r="P30" s="72"/>
      <c r="Q30" s="72"/>
      <c r="R30" s="72"/>
      <c r="S30" s="72"/>
      <c r="T30" s="72"/>
      <c r="U30" s="72"/>
      <c r="X30" s="72"/>
      <c r="Z30" s="72"/>
      <c r="AA30" s="1434">
        <f>+Opex_Breakdown!AA30</f>
        <v>0</v>
      </c>
      <c r="AC30" s="143" t="s">
        <v>936</v>
      </c>
      <c r="AD30" s="97"/>
      <c r="AE30" s="72"/>
      <c r="AF30" s="72"/>
      <c r="AG30" s="72"/>
      <c r="AH30" s="72"/>
      <c r="AI30" s="72"/>
      <c r="AJ30" s="72"/>
      <c r="AK30" s="72"/>
      <c r="AL30" s="72"/>
      <c r="AM30" s="85"/>
    </row>
    <row r="31" spans="1:39" x14ac:dyDescent="0.3">
      <c r="C31" s="86"/>
      <c r="D31" s="84"/>
      <c r="E31" s="98" t="s">
        <v>15</v>
      </c>
      <c r="F31" s="72"/>
      <c r="G31" s="72"/>
      <c r="H31" s="72"/>
      <c r="I31" s="72"/>
      <c r="J31" s="72"/>
      <c r="K31" s="72"/>
      <c r="L31" s="72"/>
      <c r="M31" s="72"/>
      <c r="N31" s="72"/>
      <c r="O31" s="72"/>
      <c r="P31" s="72"/>
      <c r="Q31" s="72"/>
      <c r="R31" s="72"/>
      <c r="S31" s="72"/>
      <c r="T31" s="72"/>
      <c r="U31" s="72"/>
      <c r="X31" s="72"/>
      <c r="Z31" s="72"/>
      <c r="AA31" s="1434">
        <f>+Opex_Breakdown!AA31</f>
        <v>0.31435871130504234</v>
      </c>
      <c r="AC31" s="243" t="s">
        <v>1075</v>
      </c>
      <c r="AD31" s="72"/>
      <c r="AE31" s="72"/>
      <c r="AF31" s="72"/>
      <c r="AG31" s="72"/>
      <c r="AH31" s="72"/>
      <c r="AI31" s="72"/>
      <c r="AJ31" s="72"/>
      <c r="AK31" s="72"/>
      <c r="AL31" s="72"/>
      <c r="AM31" s="85"/>
    </row>
    <row r="32" spans="1:39" x14ac:dyDescent="0.3">
      <c r="C32" s="86"/>
      <c r="D32" s="84"/>
      <c r="E32" s="98" t="s">
        <v>328</v>
      </c>
      <c r="F32" s="72"/>
      <c r="G32" s="72"/>
      <c r="H32" s="72"/>
      <c r="I32" s="72"/>
      <c r="J32" s="72"/>
      <c r="K32" s="72"/>
      <c r="L32" s="72"/>
      <c r="M32" s="72"/>
      <c r="N32" s="72"/>
      <c r="O32" s="72"/>
      <c r="P32" s="72"/>
      <c r="Q32" s="72"/>
      <c r="R32" s="72"/>
      <c r="S32" s="72"/>
      <c r="T32" s="72"/>
      <c r="U32" s="72"/>
      <c r="X32" s="72"/>
      <c r="Z32" s="72"/>
      <c r="AA32" s="1434">
        <f>+Opex_Breakdown!AA32</f>
        <v>4.6995826972010182</v>
      </c>
      <c r="AG32" s="72"/>
      <c r="AH32" s="72"/>
      <c r="AI32" s="72"/>
      <c r="AJ32" s="72"/>
      <c r="AK32" s="72"/>
      <c r="AL32" s="72"/>
      <c r="AM32" s="85"/>
    </row>
    <row r="33" spans="3:40" x14ac:dyDescent="0.3">
      <c r="C33" s="86"/>
      <c r="D33" s="84"/>
      <c r="E33" s="98" t="s">
        <v>480</v>
      </c>
      <c r="F33" s="72"/>
      <c r="G33" s="72"/>
      <c r="H33" s="72"/>
      <c r="I33" s="72"/>
      <c r="J33" s="72"/>
      <c r="K33" s="72"/>
      <c r="L33" s="72"/>
      <c r="M33" s="72"/>
      <c r="N33" s="72"/>
      <c r="O33" s="72"/>
      <c r="P33" s="72"/>
      <c r="Q33" s="72"/>
      <c r="R33" s="72"/>
      <c r="S33" s="72"/>
      <c r="T33" s="72"/>
      <c r="U33" s="72"/>
      <c r="X33" s="72"/>
      <c r="Z33" s="72"/>
      <c r="AA33" s="1435">
        <f>+Opex_Breakdown!AA33</f>
        <v>0.14167414333333334</v>
      </c>
      <c r="AC33" s="144"/>
      <c r="AD33" s="145"/>
      <c r="AE33" s="145"/>
      <c r="AF33" s="146"/>
      <c r="AG33" s="147"/>
      <c r="AH33" s="72"/>
      <c r="AI33" s="72"/>
      <c r="AJ33" s="72"/>
      <c r="AK33" s="72"/>
      <c r="AL33" s="72"/>
      <c r="AM33" s="85"/>
    </row>
    <row r="34" spans="3:40" x14ac:dyDescent="0.3">
      <c r="C34" s="86"/>
      <c r="D34" s="84"/>
      <c r="E34" s="87"/>
      <c r="F34" s="72"/>
      <c r="G34" s="72"/>
      <c r="H34" s="72"/>
      <c r="I34" s="72"/>
      <c r="J34" s="72"/>
      <c r="K34" s="72"/>
      <c r="L34" s="72"/>
      <c r="M34" s="72"/>
      <c r="N34" s="72"/>
      <c r="O34" s="72"/>
      <c r="P34" s="72"/>
      <c r="Q34" s="72"/>
      <c r="R34" s="72"/>
      <c r="S34" s="72"/>
      <c r="T34" s="72"/>
      <c r="U34" s="88"/>
      <c r="X34" s="72"/>
      <c r="Z34" s="72"/>
      <c r="AA34" s="1436">
        <f>SUM(AA29:AA33)</f>
        <v>5.6290424015340506</v>
      </c>
      <c r="AC34" s="244"/>
      <c r="AD34" s="245" t="s">
        <v>361</v>
      </c>
      <c r="AE34" s="245" t="s">
        <v>461</v>
      </c>
      <c r="AF34" s="245" t="s">
        <v>685</v>
      </c>
      <c r="AG34" s="246"/>
      <c r="AH34" s="72"/>
      <c r="AI34" s="72"/>
      <c r="AJ34" s="72"/>
      <c r="AK34" s="72"/>
      <c r="AL34" s="72"/>
      <c r="AM34" s="85"/>
    </row>
    <row r="35" spans="3:40" x14ac:dyDescent="0.3">
      <c r="C35" s="86"/>
      <c r="E35" s="87"/>
      <c r="F35" s="72"/>
      <c r="G35" s="72"/>
      <c r="H35" s="72"/>
      <c r="I35" s="72"/>
      <c r="J35" s="72"/>
      <c r="K35" s="72"/>
      <c r="L35" s="72"/>
      <c r="M35" s="72"/>
      <c r="N35" s="72"/>
      <c r="O35" s="72"/>
      <c r="P35" s="72"/>
      <c r="Q35" s="72"/>
      <c r="R35" s="72"/>
      <c r="S35" s="72"/>
      <c r="T35" s="72"/>
      <c r="U35" s="88"/>
      <c r="X35" s="72"/>
      <c r="Z35" s="72"/>
      <c r="AA35" s="100"/>
      <c r="AC35" s="247"/>
      <c r="AD35" s="248"/>
      <c r="AE35" s="248"/>
      <c r="AF35" s="248"/>
      <c r="AG35" s="149"/>
      <c r="AH35" s="72"/>
      <c r="AI35" s="72"/>
      <c r="AJ35" s="72"/>
      <c r="AK35" s="72"/>
      <c r="AL35" s="72"/>
      <c r="AM35" s="85"/>
    </row>
    <row r="36" spans="3:40" x14ac:dyDescent="0.3">
      <c r="C36" s="86"/>
      <c r="D36" s="108" t="s">
        <v>937</v>
      </c>
      <c r="E36" s="87"/>
      <c r="F36" s="72"/>
      <c r="G36" s="72"/>
      <c r="H36" s="72"/>
      <c r="I36" s="72"/>
      <c r="J36" s="72"/>
      <c r="K36" s="72"/>
      <c r="L36" s="72"/>
      <c r="M36" s="72"/>
      <c r="N36" s="72"/>
      <c r="O36" s="72"/>
      <c r="P36" s="72"/>
      <c r="Q36" s="72"/>
      <c r="R36" s="72"/>
      <c r="S36" s="72"/>
      <c r="T36" s="72"/>
      <c r="U36" s="88"/>
      <c r="X36" s="72"/>
      <c r="Z36" s="72"/>
      <c r="AA36" s="1432">
        <f>+AA26-AA34</f>
        <v>64.952065200934101</v>
      </c>
      <c r="AC36" s="148"/>
      <c r="AD36" s="1417">
        <f>Determination_Lookup!Q18</f>
        <v>57.126309502262437</v>
      </c>
      <c r="AE36" s="1437">
        <f>+AA52-AD36</f>
        <v>6.1817926986716643</v>
      </c>
      <c r="AF36" s="1438">
        <f>+AE36/AD36</f>
        <v>0.10821270886450034</v>
      </c>
      <c r="AG36" s="149"/>
      <c r="AH36" s="72"/>
      <c r="AI36" s="72"/>
      <c r="AJ36" s="72"/>
      <c r="AK36" s="72"/>
      <c r="AL36" s="72"/>
      <c r="AM36" s="85"/>
    </row>
    <row r="37" spans="3:40" x14ac:dyDescent="0.3">
      <c r="C37" s="86"/>
      <c r="D37" s="72"/>
      <c r="E37" s="87"/>
      <c r="F37" s="72"/>
      <c r="G37" s="72"/>
      <c r="H37" s="72"/>
      <c r="I37" s="72"/>
      <c r="J37" s="72"/>
      <c r="K37" s="72"/>
      <c r="L37" s="72"/>
      <c r="M37" s="72"/>
      <c r="N37" s="72"/>
      <c r="O37" s="72"/>
      <c r="P37" s="72"/>
      <c r="Q37" s="72"/>
      <c r="R37" s="72"/>
      <c r="S37" s="72"/>
      <c r="T37" s="72"/>
      <c r="U37" s="88"/>
      <c r="X37" s="72"/>
      <c r="Z37" s="72"/>
      <c r="AA37" s="88"/>
      <c r="AC37" s="150"/>
      <c r="AD37" s="151"/>
      <c r="AE37" s="152"/>
      <c r="AF37" s="152"/>
      <c r="AG37" s="153"/>
      <c r="AH37" s="72"/>
      <c r="AI37" s="72"/>
      <c r="AJ37" s="72"/>
      <c r="AK37" s="72"/>
      <c r="AL37" s="72"/>
      <c r="AM37" s="85"/>
    </row>
    <row r="38" spans="3:40" x14ac:dyDescent="0.3">
      <c r="C38" s="86"/>
      <c r="D38" s="96" t="s">
        <v>938</v>
      </c>
      <c r="E38" s="77"/>
      <c r="F38" s="84"/>
      <c r="G38" s="84"/>
      <c r="H38" s="84"/>
      <c r="I38" s="84"/>
      <c r="J38" s="84"/>
      <c r="K38" s="84"/>
      <c r="L38" s="84"/>
      <c r="M38" s="84"/>
      <c r="N38" s="84"/>
      <c r="O38" s="84"/>
      <c r="P38" s="84"/>
      <c r="Q38" s="84"/>
      <c r="R38" s="84"/>
      <c r="S38" s="84"/>
      <c r="T38" s="72"/>
      <c r="U38" s="72"/>
      <c r="X38" s="72"/>
      <c r="Z38" s="72"/>
      <c r="AA38" s="88"/>
      <c r="AC38" s="1959" t="s">
        <v>952</v>
      </c>
      <c r="AH38" s="72"/>
      <c r="AI38" s="72"/>
      <c r="AJ38" s="72"/>
      <c r="AK38" s="72"/>
      <c r="AL38" s="72"/>
      <c r="AM38" s="85"/>
    </row>
    <row r="39" spans="3:40" x14ac:dyDescent="0.3">
      <c r="C39" s="86"/>
      <c r="D39" s="72"/>
      <c r="E39" s="87"/>
      <c r="F39" s="72"/>
      <c r="G39" s="72"/>
      <c r="H39" s="72"/>
      <c r="I39" s="72"/>
      <c r="J39" s="72"/>
      <c r="K39" s="72"/>
      <c r="L39" s="72"/>
      <c r="M39" s="72"/>
      <c r="N39" s="72"/>
      <c r="O39" s="72"/>
      <c r="P39" s="72"/>
      <c r="Q39" s="72"/>
      <c r="R39" s="72"/>
      <c r="S39" s="72"/>
      <c r="T39" s="72"/>
      <c r="U39" s="72"/>
      <c r="X39" s="72"/>
      <c r="Z39" s="72"/>
      <c r="AA39" s="88"/>
      <c r="AH39" s="72"/>
      <c r="AI39" s="72"/>
      <c r="AJ39" s="72"/>
      <c r="AK39" s="72"/>
      <c r="AL39" s="72"/>
      <c r="AM39" s="85"/>
    </row>
    <row r="40" spans="3:40" x14ac:dyDescent="0.3">
      <c r="C40" s="86"/>
      <c r="D40" s="102">
        <v>1</v>
      </c>
      <c r="E40" s="254" t="s">
        <v>1079</v>
      </c>
      <c r="F40" s="255"/>
      <c r="G40" s="255"/>
      <c r="H40" s="256"/>
      <c r="I40" s="72"/>
      <c r="J40" s="72"/>
      <c r="K40" s="72"/>
      <c r="L40" s="72"/>
      <c r="M40" s="72"/>
      <c r="N40" s="72"/>
      <c r="O40" s="72"/>
      <c r="P40" s="72"/>
      <c r="Q40" s="72"/>
      <c r="R40" s="72"/>
      <c r="S40" s="72"/>
      <c r="T40" s="72"/>
      <c r="U40" s="72"/>
      <c r="X40" s="72"/>
      <c r="Y40" s="101"/>
      <c r="Z40" s="72"/>
      <c r="AA40" s="1981">
        <v>0.74386300000000005</v>
      </c>
      <c r="AB40" s="101"/>
      <c r="AH40" s="72"/>
      <c r="AI40" s="72"/>
      <c r="AJ40" s="72"/>
      <c r="AK40" s="72"/>
      <c r="AL40" s="72"/>
      <c r="AM40" s="85"/>
    </row>
    <row r="41" spans="3:40" x14ac:dyDescent="0.3">
      <c r="C41" s="86"/>
      <c r="D41" s="102">
        <v>2</v>
      </c>
      <c r="E41" s="254" t="s">
        <v>1080</v>
      </c>
      <c r="F41" s="255"/>
      <c r="G41" s="255"/>
      <c r="H41" s="256"/>
      <c r="I41" s="72"/>
      <c r="J41" s="72"/>
      <c r="K41" s="72"/>
      <c r="L41" s="72"/>
      <c r="M41" s="72"/>
      <c r="N41" s="72"/>
      <c r="O41" s="72"/>
      <c r="P41" s="72"/>
      <c r="Q41" s="72"/>
      <c r="R41" s="72"/>
      <c r="S41" s="72"/>
      <c r="T41" s="72"/>
      <c r="U41" s="72"/>
      <c r="X41" s="72"/>
      <c r="Y41" s="101"/>
      <c r="Z41" s="72"/>
      <c r="AA41" s="1982">
        <v>0.58479999999999999</v>
      </c>
      <c r="AB41" s="101"/>
      <c r="AH41" s="72"/>
      <c r="AI41" s="72"/>
      <c r="AJ41" s="72"/>
      <c r="AK41" s="72"/>
      <c r="AL41" s="72"/>
      <c r="AM41" s="85"/>
    </row>
    <row r="42" spans="3:40" x14ac:dyDescent="0.3">
      <c r="C42" s="86"/>
      <c r="D42" s="102">
        <v>3</v>
      </c>
      <c r="E42" s="254" t="s">
        <v>1081</v>
      </c>
      <c r="F42" s="255"/>
      <c r="G42" s="255"/>
      <c r="H42" s="256"/>
      <c r="I42" s="72"/>
      <c r="J42" s="72"/>
      <c r="K42" s="72"/>
      <c r="L42" s="72"/>
      <c r="M42" s="72"/>
      <c r="N42" s="72"/>
      <c r="O42" s="72"/>
      <c r="P42" s="72"/>
      <c r="Q42" s="72"/>
      <c r="R42" s="72"/>
      <c r="S42" s="72"/>
      <c r="T42" s="72"/>
      <c r="U42" s="72"/>
      <c r="X42" s="72"/>
      <c r="Y42" s="101"/>
      <c r="Z42" s="72"/>
      <c r="AA42" s="1982">
        <v>0.31530000000000002</v>
      </c>
      <c r="AB42" s="101"/>
      <c r="AC42" s="72"/>
      <c r="AD42" s="72"/>
      <c r="AE42" s="72"/>
      <c r="AF42" s="72"/>
      <c r="AG42" s="72"/>
      <c r="AH42" s="72"/>
      <c r="AI42" s="72"/>
      <c r="AJ42" s="72"/>
      <c r="AK42" s="72"/>
      <c r="AL42" s="72"/>
      <c r="AM42" s="85"/>
    </row>
    <row r="43" spans="3:40" x14ac:dyDescent="0.3">
      <c r="C43" s="86"/>
      <c r="D43" s="102">
        <v>4</v>
      </c>
      <c r="E43" s="254"/>
      <c r="F43" s="255"/>
      <c r="G43" s="255"/>
      <c r="H43" s="256"/>
      <c r="I43" s="72"/>
      <c r="J43" s="72"/>
      <c r="K43" s="72"/>
      <c r="L43" s="72"/>
      <c r="M43" s="72"/>
      <c r="N43" s="72"/>
      <c r="O43" s="72"/>
      <c r="P43" s="72"/>
      <c r="Q43" s="72"/>
      <c r="R43" s="72"/>
      <c r="S43" s="72"/>
      <c r="T43" s="72"/>
      <c r="U43" s="72"/>
      <c r="X43" s="72"/>
      <c r="Y43" s="101"/>
      <c r="Z43" s="72"/>
      <c r="AA43" s="1982"/>
      <c r="AB43" s="101"/>
      <c r="AC43" s="72"/>
      <c r="AD43" s="72"/>
      <c r="AE43" s="72"/>
      <c r="AF43" s="72"/>
      <c r="AG43" s="72"/>
      <c r="AH43" s="72"/>
      <c r="AI43" s="72"/>
      <c r="AJ43" s="72"/>
      <c r="AK43" s="72"/>
      <c r="AL43" s="72"/>
      <c r="AM43" s="85"/>
    </row>
    <row r="44" spans="3:40" x14ac:dyDescent="0.3">
      <c r="C44" s="86"/>
      <c r="D44" s="102">
        <v>5</v>
      </c>
      <c r="E44" s="254"/>
      <c r="F44" s="255"/>
      <c r="G44" s="255"/>
      <c r="H44" s="256"/>
      <c r="I44" s="72"/>
      <c r="J44" s="72"/>
      <c r="K44" s="72"/>
      <c r="L44" s="72"/>
      <c r="M44" s="72"/>
      <c r="N44" s="72"/>
      <c r="O44" s="72"/>
      <c r="P44" s="72"/>
      <c r="Q44" s="72"/>
      <c r="R44" s="72"/>
      <c r="S44" s="72"/>
      <c r="T44" s="72"/>
      <c r="U44" s="72"/>
      <c r="X44" s="72"/>
      <c r="Y44" s="101"/>
      <c r="Z44" s="72"/>
      <c r="AA44" s="259"/>
      <c r="AB44" s="101"/>
      <c r="AC44" s="72"/>
      <c r="AD44" s="72"/>
      <c r="AE44" s="72"/>
      <c r="AF44" s="72"/>
      <c r="AG44" s="72"/>
      <c r="AH44" s="72"/>
      <c r="AI44" s="72"/>
      <c r="AJ44" s="72"/>
      <c r="AK44" s="72"/>
      <c r="AL44" s="72"/>
      <c r="AM44" s="85"/>
    </row>
    <row r="45" spans="3:40" x14ac:dyDescent="0.3">
      <c r="C45" s="86"/>
      <c r="D45" s="102">
        <v>6</v>
      </c>
      <c r="E45" s="254"/>
      <c r="F45" s="255"/>
      <c r="G45" s="255"/>
      <c r="H45" s="256"/>
      <c r="I45" s="72"/>
      <c r="J45" s="72"/>
      <c r="K45" s="72"/>
      <c r="L45" s="72"/>
      <c r="M45" s="72"/>
      <c r="N45" s="72"/>
      <c r="O45" s="72"/>
      <c r="P45" s="72"/>
      <c r="Q45" s="72"/>
      <c r="R45" s="72"/>
      <c r="S45" s="72"/>
      <c r="T45" s="72"/>
      <c r="U45" s="72"/>
      <c r="X45" s="72"/>
      <c r="Y45" s="101"/>
      <c r="Z45" s="72"/>
      <c r="AA45" s="259"/>
      <c r="AB45" s="101"/>
      <c r="AC45" s="72"/>
      <c r="AD45" s="72"/>
      <c r="AE45" s="72"/>
      <c r="AF45" s="72"/>
      <c r="AG45" s="72"/>
      <c r="AH45" s="72"/>
      <c r="AI45" s="72"/>
      <c r="AJ45" s="72"/>
      <c r="AK45" s="72"/>
      <c r="AL45" s="72"/>
      <c r="AM45" s="85"/>
      <c r="AN45" s="103"/>
    </row>
    <row r="46" spans="3:40" x14ac:dyDescent="0.3">
      <c r="C46" s="86"/>
      <c r="D46" s="102">
        <v>7</v>
      </c>
      <c r="E46" s="254"/>
      <c r="F46" s="255"/>
      <c r="G46" s="255"/>
      <c r="H46" s="256"/>
      <c r="I46" s="72"/>
      <c r="J46" s="72"/>
      <c r="K46" s="72"/>
      <c r="L46" s="72"/>
      <c r="M46" s="72"/>
      <c r="N46" s="72"/>
      <c r="O46" s="72"/>
      <c r="P46" s="72"/>
      <c r="Q46" s="72"/>
      <c r="R46" s="72"/>
      <c r="S46" s="72"/>
      <c r="T46" s="72"/>
      <c r="U46" s="72"/>
      <c r="X46" s="72"/>
      <c r="Y46" s="101"/>
      <c r="Z46" s="72"/>
      <c r="AA46" s="259"/>
      <c r="AB46" s="101"/>
      <c r="AC46" s="72"/>
      <c r="AD46" s="72"/>
      <c r="AE46" s="72"/>
      <c r="AF46" s="72"/>
      <c r="AG46" s="72"/>
      <c r="AH46" s="72"/>
      <c r="AI46" s="72"/>
      <c r="AJ46" s="72"/>
      <c r="AK46" s="72"/>
      <c r="AL46" s="72"/>
      <c r="AM46" s="85"/>
    </row>
    <row r="47" spans="3:40" x14ac:dyDescent="0.3">
      <c r="C47" s="86"/>
      <c r="D47" s="102">
        <v>8</v>
      </c>
      <c r="E47" s="254"/>
      <c r="F47" s="255"/>
      <c r="G47" s="255"/>
      <c r="H47" s="256"/>
      <c r="I47" s="72"/>
      <c r="J47" s="72"/>
      <c r="K47" s="72"/>
      <c r="L47" s="72"/>
      <c r="M47" s="72"/>
      <c r="N47" s="72"/>
      <c r="O47" s="72"/>
      <c r="P47" s="72"/>
      <c r="Q47" s="72"/>
      <c r="R47" s="72"/>
      <c r="S47" s="72"/>
      <c r="T47" s="72"/>
      <c r="U47" s="72"/>
      <c r="X47" s="72"/>
      <c r="Y47" s="101"/>
      <c r="Z47" s="72"/>
      <c r="AA47" s="259"/>
      <c r="AB47" s="101"/>
      <c r="AC47" s="72"/>
      <c r="AD47" s="72"/>
      <c r="AE47" s="72"/>
      <c r="AF47" s="72"/>
      <c r="AG47" s="72"/>
      <c r="AH47" s="72"/>
      <c r="AI47" s="72"/>
      <c r="AJ47" s="72"/>
      <c r="AK47" s="72"/>
      <c r="AL47" s="72"/>
      <c r="AM47" s="85"/>
    </row>
    <row r="48" spans="3:40" x14ac:dyDescent="0.3">
      <c r="C48" s="86"/>
      <c r="D48" s="102">
        <v>9</v>
      </c>
      <c r="E48" s="254"/>
      <c r="F48" s="255"/>
      <c r="G48" s="255"/>
      <c r="H48" s="256"/>
      <c r="I48" s="72"/>
      <c r="J48" s="72"/>
      <c r="K48" s="72"/>
      <c r="L48" s="72"/>
      <c r="M48" s="72"/>
      <c r="N48" s="72"/>
      <c r="O48" s="72"/>
      <c r="P48" s="72"/>
      <c r="Q48" s="72"/>
      <c r="R48" s="72"/>
      <c r="S48" s="72"/>
      <c r="T48" s="72"/>
      <c r="U48" s="72"/>
      <c r="X48" s="72"/>
      <c r="Y48" s="101"/>
      <c r="Z48" s="72"/>
      <c r="AA48" s="259"/>
      <c r="AB48" s="101"/>
      <c r="AC48" s="72"/>
      <c r="AD48" s="72"/>
      <c r="AE48" s="72"/>
      <c r="AF48" s="72"/>
      <c r="AG48" s="72"/>
      <c r="AH48" s="72"/>
      <c r="AI48" s="72"/>
      <c r="AJ48" s="72"/>
      <c r="AK48" s="72"/>
      <c r="AL48" s="72"/>
      <c r="AM48" s="85"/>
    </row>
    <row r="49" spans="3:40" x14ac:dyDescent="0.3">
      <c r="C49" s="86"/>
      <c r="D49" s="102">
        <v>10</v>
      </c>
      <c r="E49" s="254"/>
      <c r="F49" s="255"/>
      <c r="G49" s="255"/>
      <c r="H49" s="256"/>
      <c r="I49" s="72"/>
      <c r="J49" s="72"/>
      <c r="K49" s="72"/>
      <c r="L49" s="72"/>
      <c r="M49" s="72"/>
      <c r="N49" s="72"/>
      <c r="O49" s="72"/>
      <c r="P49" s="72"/>
      <c r="Q49" s="72"/>
      <c r="R49" s="72"/>
      <c r="S49" s="72"/>
      <c r="T49" s="72"/>
      <c r="U49" s="72"/>
      <c r="X49" s="72"/>
      <c r="Y49" s="101"/>
      <c r="Z49" s="72"/>
      <c r="AA49" s="260"/>
      <c r="AB49" s="101"/>
      <c r="AC49" s="72"/>
      <c r="AD49" s="72"/>
      <c r="AE49" s="72"/>
      <c r="AF49" s="72"/>
      <c r="AG49" s="72"/>
      <c r="AH49" s="72"/>
      <c r="AI49" s="72"/>
      <c r="AJ49" s="72"/>
      <c r="AK49" s="72"/>
      <c r="AL49" s="72"/>
      <c r="AM49" s="85"/>
    </row>
    <row r="50" spans="3:40" x14ac:dyDescent="0.3">
      <c r="C50" s="86"/>
      <c r="D50" s="72"/>
      <c r="E50" s="257"/>
      <c r="F50" s="258"/>
      <c r="G50" s="258"/>
      <c r="H50" s="258"/>
      <c r="I50" s="72"/>
      <c r="J50" s="72"/>
      <c r="K50" s="72"/>
      <c r="L50" s="72"/>
      <c r="M50" s="72"/>
      <c r="N50" s="72"/>
      <c r="O50" s="72"/>
      <c r="P50" s="72"/>
      <c r="Q50" s="72"/>
      <c r="R50" s="72"/>
      <c r="S50" s="72"/>
      <c r="T50" s="72"/>
      <c r="U50" s="72"/>
      <c r="X50" s="72"/>
      <c r="Y50" s="72"/>
      <c r="Z50" s="72"/>
      <c r="AA50" s="480">
        <f>SUM(AA40:AA49)</f>
        <v>1.6439630000000003</v>
      </c>
      <c r="AB50" s="72"/>
      <c r="AC50" s="72"/>
      <c r="AD50" s="72"/>
      <c r="AE50" s="72"/>
      <c r="AF50" s="72"/>
      <c r="AG50" s="72"/>
      <c r="AH50" s="72"/>
      <c r="AI50" s="72"/>
      <c r="AJ50" s="72"/>
      <c r="AK50" s="72"/>
      <c r="AL50" s="72"/>
      <c r="AM50" s="85"/>
    </row>
    <row r="51" spans="3:40" x14ac:dyDescent="0.3">
      <c r="C51" s="86"/>
      <c r="D51" s="72"/>
      <c r="E51" s="72"/>
      <c r="F51" s="72"/>
      <c r="G51" s="72"/>
      <c r="H51" s="72"/>
      <c r="I51" s="72"/>
      <c r="J51" s="72"/>
      <c r="K51" s="72"/>
      <c r="L51" s="72"/>
      <c r="M51" s="72"/>
      <c r="N51" s="72"/>
      <c r="O51" s="72"/>
      <c r="P51" s="72"/>
      <c r="Q51" s="72"/>
      <c r="R51" s="72"/>
      <c r="S51" s="72"/>
      <c r="T51" s="72"/>
      <c r="U51" s="72"/>
      <c r="X51" s="72"/>
      <c r="Y51" s="72"/>
      <c r="Z51" s="72"/>
      <c r="AA51" s="104"/>
      <c r="AB51" s="72"/>
      <c r="AC51" s="72"/>
      <c r="AD51" s="72"/>
      <c r="AE51" s="72"/>
      <c r="AF51" s="72"/>
      <c r="AG51" s="72"/>
      <c r="AH51" s="72"/>
      <c r="AI51" s="72"/>
      <c r="AJ51" s="72"/>
      <c r="AK51" s="72"/>
      <c r="AL51" s="72"/>
      <c r="AM51" s="85"/>
    </row>
    <row r="52" spans="3:40" x14ac:dyDescent="0.3">
      <c r="C52" s="86"/>
      <c r="D52" s="72" t="s">
        <v>939</v>
      </c>
      <c r="E52" s="72"/>
      <c r="F52" s="72"/>
      <c r="G52" s="72"/>
      <c r="H52" s="72"/>
      <c r="I52" s="72"/>
      <c r="J52" s="72"/>
      <c r="K52" s="72"/>
      <c r="L52" s="72"/>
      <c r="M52" s="72"/>
      <c r="N52" s="72"/>
      <c r="O52" s="72"/>
      <c r="P52" s="72"/>
      <c r="Q52" s="72"/>
      <c r="R52" s="72"/>
      <c r="S52" s="72"/>
      <c r="T52" s="72"/>
      <c r="U52" s="88"/>
      <c r="X52" s="72"/>
      <c r="Y52" s="100"/>
      <c r="Z52" s="72"/>
      <c r="AA52" s="1432">
        <f>+AA36-AA50</f>
        <v>63.308102200934101</v>
      </c>
      <c r="AB52" s="100"/>
      <c r="AC52" s="84"/>
      <c r="AD52" s="84"/>
      <c r="AE52" s="84"/>
      <c r="AF52" s="84"/>
      <c r="AG52" s="84"/>
      <c r="AH52" s="84"/>
      <c r="AI52" s="84"/>
      <c r="AJ52" s="84"/>
      <c r="AK52" s="84"/>
      <c r="AL52" s="84"/>
      <c r="AM52" s="85"/>
    </row>
    <row r="53" spans="3:40" x14ac:dyDescent="0.3">
      <c r="C53" s="86"/>
      <c r="D53" s="72"/>
      <c r="E53" s="72"/>
      <c r="F53" s="72"/>
      <c r="G53" s="72"/>
      <c r="H53" s="72"/>
      <c r="I53" s="72"/>
      <c r="J53" s="72"/>
      <c r="K53" s="72"/>
      <c r="L53" s="72"/>
      <c r="M53" s="72"/>
      <c r="N53" s="72"/>
      <c r="O53" s="72"/>
      <c r="P53" s="72"/>
      <c r="Q53" s="72"/>
      <c r="R53" s="72"/>
      <c r="S53" s="72"/>
      <c r="T53" s="72"/>
      <c r="U53" s="72"/>
      <c r="V53" s="84"/>
      <c r="W53" s="84"/>
      <c r="X53" s="100"/>
      <c r="Y53" s="100"/>
      <c r="Z53" s="84"/>
      <c r="AA53" s="100"/>
      <c r="AB53" s="100"/>
      <c r="AC53" s="100"/>
      <c r="AD53" s="100"/>
      <c r="AE53" s="100"/>
      <c r="AF53" s="100"/>
      <c r="AG53" s="100"/>
      <c r="AH53" s="100"/>
      <c r="AI53" s="100"/>
      <c r="AJ53" s="100"/>
      <c r="AK53" s="100"/>
      <c r="AL53" s="100"/>
      <c r="AM53" s="85"/>
    </row>
    <row r="54" spans="3:40" x14ac:dyDescent="0.3">
      <c r="C54" s="86"/>
      <c r="D54" s="105" t="s">
        <v>900</v>
      </c>
      <c r="E54" s="72"/>
      <c r="F54" s="72"/>
      <c r="G54" s="72"/>
      <c r="H54" s="72"/>
      <c r="I54" s="72"/>
      <c r="J54" s="72"/>
      <c r="K54" s="72"/>
      <c r="L54" s="72"/>
      <c r="M54" s="72"/>
      <c r="N54" s="72"/>
      <c r="O54" s="72"/>
      <c r="P54" s="72"/>
      <c r="Q54" s="72"/>
      <c r="R54" s="72"/>
      <c r="S54" s="72"/>
      <c r="T54" s="72"/>
      <c r="U54" s="72"/>
      <c r="V54" s="84"/>
      <c r="W54" s="72"/>
      <c r="Y54" s="100"/>
      <c r="Z54" s="84"/>
      <c r="AA54" s="100"/>
      <c r="AB54" s="1432">
        <f>+AA52*(1+$AB$13-$G$11)</f>
        <v>63.661029391349416</v>
      </c>
      <c r="AC54" s="1440">
        <f t="shared" ref="AC54:AL54" si="3">+AB$54*(1+AC$13-AC$11)</f>
        <v>64.424961744045603</v>
      </c>
      <c r="AD54" s="1441">
        <f t="shared" si="3"/>
        <v>65.198061284974145</v>
      </c>
      <c r="AE54" s="1441">
        <f t="shared" si="3"/>
        <v>65.980438020393834</v>
      </c>
      <c r="AF54" s="1441">
        <f t="shared" si="3"/>
        <v>66.772203276638564</v>
      </c>
      <c r="AG54" s="1442">
        <f t="shared" si="3"/>
        <v>67.573469715958225</v>
      </c>
      <c r="AH54" s="1439">
        <f t="shared" si="3"/>
        <v>68.384351352549729</v>
      </c>
      <c r="AI54" s="1441">
        <f t="shared" si="3"/>
        <v>69.204963568780329</v>
      </c>
      <c r="AJ54" s="1441">
        <f t="shared" si="3"/>
        <v>70.035423131605697</v>
      </c>
      <c r="AK54" s="1441">
        <f t="shared" si="3"/>
        <v>70.875848209184966</v>
      </c>
      <c r="AL54" s="1442">
        <f t="shared" si="3"/>
        <v>71.726358387695186</v>
      </c>
      <c r="AM54" s="85"/>
      <c r="AN54" s="249"/>
    </row>
    <row r="55" spans="3:40" x14ac:dyDescent="0.3">
      <c r="C55" s="92"/>
      <c r="D55" s="78"/>
      <c r="E55" s="78"/>
      <c r="F55" s="78"/>
      <c r="G55" s="78"/>
      <c r="H55" s="78"/>
      <c r="I55" s="78"/>
      <c r="J55" s="78"/>
      <c r="K55" s="78"/>
      <c r="L55" s="78"/>
      <c r="M55" s="78"/>
      <c r="N55" s="78"/>
      <c r="O55" s="78"/>
      <c r="P55" s="78"/>
      <c r="Q55" s="78"/>
      <c r="R55" s="78"/>
      <c r="S55" s="78"/>
      <c r="T55" s="78"/>
      <c r="U55" s="78"/>
      <c r="V55" s="78"/>
      <c r="W55" s="1208"/>
      <c r="X55" s="78"/>
      <c r="Y55" s="78"/>
      <c r="Z55" s="78"/>
      <c r="AA55" s="78"/>
      <c r="AB55" s="78"/>
      <c r="AC55" s="78"/>
      <c r="AD55" s="78"/>
      <c r="AE55" s="78"/>
      <c r="AF55" s="78"/>
      <c r="AG55" s="78"/>
      <c r="AH55" s="78"/>
      <c r="AI55" s="78"/>
      <c r="AJ55" s="78"/>
      <c r="AK55" s="78"/>
      <c r="AL55" s="78"/>
      <c r="AM55" s="94"/>
    </row>
    <row r="56" spans="3:40" x14ac:dyDescent="0.3">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row>
    <row r="57" spans="3:40" x14ac:dyDescent="0.3">
      <c r="C57" s="79"/>
      <c r="D57" s="80"/>
      <c r="E57" s="80"/>
      <c r="F57" s="80"/>
      <c r="G57" s="80"/>
      <c r="H57" s="82"/>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3"/>
    </row>
    <row r="58" spans="3:40" x14ac:dyDescent="0.3">
      <c r="C58" s="242" t="s">
        <v>493</v>
      </c>
      <c r="F58" s="72"/>
      <c r="G58" s="72"/>
      <c r="H58" s="84"/>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85"/>
    </row>
    <row r="59" spans="3:40" x14ac:dyDescent="0.3">
      <c r="C59" s="86"/>
      <c r="D59" s="72"/>
      <c r="E59" s="72"/>
      <c r="F59" s="72"/>
      <c r="G59" s="72"/>
      <c r="H59" s="84"/>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85"/>
    </row>
    <row r="60" spans="3:40" x14ac:dyDescent="0.3">
      <c r="C60" s="86"/>
      <c r="D60" s="72"/>
      <c r="E60" s="72"/>
      <c r="F60" s="72"/>
      <c r="G60" s="72"/>
      <c r="H60" s="84"/>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85"/>
    </row>
    <row r="61" spans="3:40" x14ac:dyDescent="0.3">
      <c r="C61" s="86"/>
      <c r="D61" s="107" t="s">
        <v>900</v>
      </c>
      <c r="F61" s="72"/>
      <c r="G61" s="72"/>
      <c r="H61" s="72"/>
      <c r="I61" s="72"/>
      <c r="K61" s="72"/>
      <c r="L61" s="72"/>
      <c r="M61" s="72"/>
      <c r="N61" s="72"/>
      <c r="O61" s="72"/>
      <c r="P61" s="72"/>
      <c r="Q61" s="72"/>
      <c r="R61" s="72"/>
      <c r="S61" s="72"/>
      <c r="T61" s="72"/>
      <c r="U61" s="72"/>
      <c r="V61" s="72"/>
      <c r="W61" s="72"/>
      <c r="X61" s="72"/>
      <c r="Y61" s="72"/>
      <c r="Z61" s="72"/>
      <c r="AA61" s="72"/>
      <c r="AB61" s="72"/>
      <c r="AC61" s="1439">
        <f t="shared" ref="AC61:AL61" si="4">+AC54</f>
        <v>64.424961744045603</v>
      </c>
      <c r="AD61" s="1441">
        <f t="shared" si="4"/>
        <v>65.198061284974145</v>
      </c>
      <c r="AE61" s="1441">
        <f t="shared" si="4"/>
        <v>65.980438020393834</v>
      </c>
      <c r="AF61" s="1441">
        <f t="shared" si="4"/>
        <v>66.772203276638564</v>
      </c>
      <c r="AG61" s="1442">
        <f t="shared" si="4"/>
        <v>67.573469715958225</v>
      </c>
      <c r="AH61" s="1441">
        <f t="shared" si="4"/>
        <v>68.384351352549729</v>
      </c>
      <c r="AI61" s="1441">
        <f t="shared" si="4"/>
        <v>69.204963568780329</v>
      </c>
      <c r="AJ61" s="1441">
        <f t="shared" si="4"/>
        <v>70.035423131605697</v>
      </c>
      <c r="AK61" s="1441">
        <f t="shared" si="4"/>
        <v>70.875848209184966</v>
      </c>
      <c r="AL61" s="1442">
        <f t="shared" si="4"/>
        <v>71.726358387695186</v>
      </c>
      <c r="AM61" s="85"/>
      <c r="AN61" s="249"/>
    </row>
    <row r="62" spans="3:40" x14ac:dyDescent="0.3">
      <c r="C62" s="86"/>
      <c r="D62" s="72"/>
      <c r="E62" s="108"/>
      <c r="F62" s="72"/>
      <c r="G62" s="72"/>
      <c r="H62" s="1418" t="s">
        <v>615</v>
      </c>
      <c r="K62" s="72"/>
      <c r="L62" s="72"/>
      <c r="M62" s="72"/>
      <c r="N62" s="72"/>
      <c r="O62" s="72"/>
      <c r="P62" s="72"/>
      <c r="Q62" s="72"/>
      <c r="R62" s="72"/>
      <c r="S62" s="72"/>
      <c r="T62" s="72"/>
      <c r="U62" s="72"/>
      <c r="V62" s="72"/>
      <c r="W62" s="72"/>
      <c r="X62" s="72"/>
      <c r="Y62" s="72"/>
      <c r="Z62" s="72"/>
      <c r="AA62" s="72"/>
      <c r="AB62" s="72"/>
      <c r="AC62" s="88"/>
      <c r="AD62" s="88"/>
      <c r="AE62" s="88"/>
      <c r="AF62" s="88"/>
      <c r="AG62" s="88"/>
      <c r="AH62" s="88"/>
      <c r="AI62" s="88"/>
      <c r="AJ62" s="88"/>
      <c r="AK62" s="88"/>
      <c r="AL62" s="88"/>
      <c r="AM62" s="85"/>
    </row>
    <row r="63" spans="3:40" ht="10.5" customHeight="1" x14ac:dyDescent="0.3">
      <c r="C63" s="86"/>
      <c r="D63" s="107" t="s">
        <v>574</v>
      </c>
      <c r="F63" s="72"/>
      <c r="H63" s="1418" t="s">
        <v>616</v>
      </c>
      <c r="I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85"/>
    </row>
    <row r="64" spans="3:40" x14ac:dyDescent="0.3">
      <c r="C64" s="86"/>
      <c r="D64" s="72"/>
      <c r="F64" s="72"/>
      <c r="G64" s="72"/>
      <c r="K64" s="72"/>
      <c r="L64" s="72"/>
      <c r="M64" s="72"/>
      <c r="N64" s="72"/>
      <c r="O64" s="72"/>
      <c r="P64" s="72"/>
      <c r="Q64" s="72"/>
      <c r="R64" s="72"/>
      <c r="S64" s="84"/>
      <c r="T64" s="72"/>
      <c r="U64" s="72"/>
      <c r="V64" s="72"/>
      <c r="W64" s="72"/>
      <c r="X64" s="72"/>
      <c r="Y64" s="72"/>
      <c r="Z64" s="72"/>
      <c r="AA64" s="72"/>
      <c r="AB64" s="72"/>
      <c r="AC64" s="72"/>
      <c r="AD64" s="72"/>
      <c r="AE64" s="72"/>
      <c r="AF64" s="72"/>
      <c r="AG64" s="72"/>
      <c r="AH64" s="72"/>
      <c r="AI64" s="72"/>
      <c r="AJ64" s="72"/>
      <c r="AK64" s="72"/>
      <c r="AL64" s="72"/>
      <c r="AM64" s="85"/>
    </row>
    <row r="65" spans="2:39" x14ac:dyDescent="0.3">
      <c r="C65" s="86"/>
      <c r="D65" s="102">
        <v>1</v>
      </c>
      <c r="E65" s="254" t="s">
        <v>1082</v>
      </c>
      <c r="F65" s="255"/>
      <c r="G65" s="255"/>
      <c r="H65" s="261" t="s">
        <v>28</v>
      </c>
      <c r="K65" s="72"/>
      <c r="L65" s="72"/>
      <c r="M65" s="72"/>
      <c r="N65" s="72"/>
      <c r="O65" s="72"/>
      <c r="P65" s="72"/>
      <c r="Q65" s="72"/>
      <c r="R65" s="72"/>
      <c r="S65" s="72"/>
      <c r="T65" s="72"/>
      <c r="U65" s="72"/>
      <c r="V65" s="72"/>
      <c r="W65" s="72"/>
      <c r="X65" s="72"/>
      <c r="Y65" s="72"/>
      <c r="Z65" s="72"/>
      <c r="AA65" s="72"/>
      <c r="AB65" s="72"/>
      <c r="AC65" s="1983">
        <v>0.20378071972519082</v>
      </c>
      <c r="AD65" s="1984">
        <v>0.20806011483941983</v>
      </c>
      <c r="AE65" s="1984">
        <v>0.66310191830764331</v>
      </c>
      <c r="AF65" s="1984"/>
      <c r="AG65" s="1985"/>
      <c r="AH65" s="1984"/>
      <c r="AI65" s="1984"/>
      <c r="AJ65" s="1984"/>
      <c r="AK65" s="1984"/>
      <c r="AL65" s="1985"/>
      <c r="AM65" s="85"/>
    </row>
    <row r="66" spans="2:39" x14ac:dyDescent="0.3">
      <c r="C66" s="86"/>
      <c r="D66" s="102">
        <v>2</v>
      </c>
      <c r="E66" s="254" t="s">
        <v>1083</v>
      </c>
      <c r="F66" s="255"/>
      <c r="G66" s="255"/>
      <c r="H66" s="261" t="s">
        <v>28</v>
      </c>
      <c r="K66" s="72"/>
      <c r="L66" s="72"/>
      <c r="M66" s="72"/>
      <c r="N66" s="72"/>
      <c r="O66" s="72"/>
      <c r="P66" s="72"/>
      <c r="Q66" s="72"/>
      <c r="R66" s="72"/>
      <c r="S66" s="72"/>
      <c r="T66" s="72"/>
      <c r="U66" s="72"/>
      <c r="V66" s="72"/>
      <c r="W66" s="72"/>
      <c r="X66" s="72"/>
      <c r="Y66" s="72"/>
      <c r="Z66" s="72"/>
      <c r="AA66" s="72"/>
      <c r="AB66" s="72"/>
      <c r="AC66" s="1986">
        <v>0.25</v>
      </c>
      <c r="AD66" s="1987">
        <v>0.25</v>
      </c>
      <c r="AE66" s="1987">
        <v>0.25</v>
      </c>
      <c r="AF66" s="1987">
        <v>0.25</v>
      </c>
      <c r="AG66" s="1988">
        <v>0.25</v>
      </c>
      <c r="AH66" s="1987"/>
      <c r="AI66" s="1987"/>
      <c r="AJ66" s="1987"/>
      <c r="AK66" s="1987"/>
      <c r="AL66" s="1988"/>
      <c r="AM66" s="85"/>
    </row>
    <row r="67" spans="2:39" x14ac:dyDescent="0.3">
      <c r="C67" s="86"/>
      <c r="D67" s="102">
        <v>3</v>
      </c>
      <c r="E67" s="254" t="s">
        <v>1084</v>
      </c>
      <c r="F67" s="255"/>
      <c r="G67" s="255"/>
      <c r="H67" s="261" t="s">
        <v>28</v>
      </c>
      <c r="K67" s="72"/>
      <c r="L67" s="72"/>
      <c r="M67" s="72"/>
      <c r="N67" s="72"/>
      <c r="O67" s="72"/>
      <c r="P67" s="72"/>
      <c r="Q67" s="72"/>
      <c r="R67" s="72"/>
      <c r="S67" s="72"/>
      <c r="T67" s="72"/>
      <c r="U67" s="72"/>
      <c r="V67" s="72"/>
      <c r="W67" s="72"/>
      <c r="X67" s="72"/>
      <c r="Y67" s="72"/>
      <c r="Z67" s="72"/>
      <c r="AA67" s="72"/>
      <c r="AB67" s="72"/>
      <c r="AC67" s="262">
        <v>7.4999999999999997E-2</v>
      </c>
      <c r="AD67" s="263">
        <v>7.4999999999999997E-2</v>
      </c>
      <c r="AE67" s="263">
        <v>7.4999999999999997E-2</v>
      </c>
      <c r="AF67" s="263">
        <v>7.4999999999999997E-2</v>
      </c>
      <c r="AG67" s="264">
        <v>7.4999999999999997E-2</v>
      </c>
      <c r="AH67" s="263"/>
      <c r="AI67" s="263"/>
      <c r="AJ67" s="263"/>
      <c r="AK67" s="263"/>
      <c r="AL67" s="264"/>
      <c r="AM67" s="85"/>
    </row>
    <row r="68" spans="2:39" x14ac:dyDescent="0.3">
      <c r="C68" s="86"/>
      <c r="D68" s="102">
        <v>4</v>
      </c>
      <c r="E68" s="254" t="s">
        <v>1085</v>
      </c>
      <c r="F68" s="255"/>
      <c r="G68" s="255"/>
      <c r="H68" s="261" t="s">
        <v>28</v>
      </c>
      <c r="K68" s="72"/>
      <c r="L68" s="72"/>
      <c r="M68" s="72"/>
      <c r="N68" s="72"/>
      <c r="O68" s="72"/>
      <c r="P68" s="72"/>
      <c r="Q68" s="72"/>
      <c r="R68" s="72"/>
      <c r="S68" s="72"/>
      <c r="T68" s="72"/>
      <c r="U68" s="72"/>
      <c r="V68" s="72"/>
      <c r="W68" s="72"/>
      <c r="X68" s="72"/>
      <c r="Y68" s="72"/>
      <c r="Z68" s="72"/>
      <c r="AA68" s="72"/>
      <c r="AB68" s="72"/>
      <c r="AC68" s="1986">
        <v>0.2</v>
      </c>
      <c r="AD68" s="1987">
        <v>0.2</v>
      </c>
      <c r="AE68" s="1987"/>
      <c r="AF68" s="1987"/>
      <c r="AG68" s="1988"/>
      <c r="AH68" s="1987"/>
      <c r="AI68" s="1987"/>
      <c r="AJ68" s="1987"/>
      <c r="AK68" s="1987"/>
      <c r="AL68" s="1988"/>
      <c r="AM68" s="85"/>
    </row>
    <row r="69" spans="2:39" x14ac:dyDescent="0.3">
      <c r="C69" s="86"/>
      <c r="D69" s="102">
        <v>5</v>
      </c>
      <c r="E69" s="254" t="s">
        <v>1086</v>
      </c>
      <c r="F69" s="255"/>
      <c r="G69" s="255"/>
      <c r="H69" s="261" t="s">
        <v>28</v>
      </c>
      <c r="K69" s="72"/>
      <c r="L69" s="72"/>
      <c r="M69" s="72"/>
      <c r="N69" s="72"/>
      <c r="O69" s="72"/>
      <c r="P69" s="72"/>
      <c r="Q69" s="72"/>
      <c r="R69" s="72"/>
      <c r="S69" s="72"/>
      <c r="T69" s="72"/>
      <c r="U69" s="72"/>
      <c r="V69" s="72"/>
      <c r="W69" s="72"/>
      <c r="X69" s="72"/>
      <c r="Y69" s="72"/>
      <c r="Z69" s="72"/>
      <c r="AA69" s="72"/>
      <c r="AB69" s="72"/>
      <c r="AC69" s="262">
        <v>0.03</v>
      </c>
      <c r="AD69" s="263">
        <v>0.03</v>
      </c>
      <c r="AE69" s="263">
        <v>0.03</v>
      </c>
      <c r="AF69" s="263">
        <v>0.03</v>
      </c>
      <c r="AG69" s="264">
        <v>0.03</v>
      </c>
      <c r="AH69" s="263"/>
      <c r="AI69" s="263"/>
      <c r="AJ69" s="263"/>
      <c r="AK69" s="263"/>
      <c r="AL69" s="264"/>
      <c r="AM69" s="85"/>
    </row>
    <row r="70" spans="2:39" x14ac:dyDescent="0.3">
      <c r="C70" s="86"/>
      <c r="D70" s="102">
        <v>6</v>
      </c>
      <c r="E70" s="254" t="s">
        <v>1087</v>
      </c>
      <c r="F70" s="255"/>
      <c r="G70" s="255"/>
      <c r="H70" s="261" t="s">
        <v>28</v>
      </c>
      <c r="K70" s="72"/>
      <c r="L70" s="72"/>
      <c r="M70" s="72"/>
      <c r="N70" s="72"/>
      <c r="O70" s="72"/>
      <c r="P70" s="72"/>
      <c r="Q70" s="72"/>
      <c r="R70" s="72"/>
      <c r="S70" s="72"/>
      <c r="T70" s="72"/>
      <c r="U70" s="72"/>
      <c r="V70" s="72"/>
      <c r="W70" s="72"/>
      <c r="X70" s="72"/>
      <c r="Y70" s="72"/>
      <c r="Z70" s="72"/>
      <c r="AA70" s="72"/>
      <c r="AB70" s="72"/>
      <c r="AC70" s="262">
        <v>0.2</v>
      </c>
      <c r="AD70" s="263">
        <v>0.2</v>
      </c>
      <c r="AE70" s="263">
        <v>0.2</v>
      </c>
      <c r="AF70" s="263">
        <v>0.2</v>
      </c>
      <c r="AG70" s="264">
        <v>0.2</v>
      </c>
      <c r="AH70" s="263"/>
      <c r="AI70" s="263"/>
      <c r="AJ70" s="263"/>
      <c r="AK70" s="263"/>
      <c r="AL70" s="264"/>
      <c r="AM70" s="85"/>
    </row>
    <row r="71" spans="2:39" x14ac:dyDescent="0.3">
      <c r="C71" s="86"/>
      <c r="D71" s="102">
        <v>7</v>
      </c>
      <c r="E71" s="254" t="s">
        <v>1088</v>
      </c>
      <c r="F71" s="255"/>
      <c r="G71" s="255"/>
      <c r="H71" s="261" t="s">
        <v>28</v>
      </c>
      <c r="K71" s="72"/>
      <c r="L71" s="72"/>
      <c r="M71" s="72"/>
      <c r="N71" s="72"/>
      <c r="O71" s="72"/>
      <c r="P71" s="72"/>
      <c r="Q71" s="72"/>
      <c r="R71" s="72"/>
      <c r="S71" s="72"/>
      <c r="T71" s="72"/>
      <c r="U71" s="72"/>
      <c r="V71" s="72"/>
      <c r="W71" s="72"/>
      <c r="X71" s="72"/>
      <c r="Y71" s="72"/>
      <c r="Z71" s="72"/>
      <c r="AA71" s="72"/>
      <c r="AB71" s="72"/>
      <c r="AC71" s="262">
        <v>0.39408396946564883</v>
      </c>
      <c r="AD71" s="263">
        <v>0.39408396946564883</v>
      </c>
      <c r="AE71" s="263">
        <v>0.39408396946564883</v>
      </c>
      <c r="AF71" s="263">
        <v>0.39408396946564883</v>
      </c>
      <c r="AG71" s="264">
        <v>0.39408396946564883</v>
      </c>
      <c r="AH71" s="263">
        <v>0.39408396946564883</v>
      </c>
      <c r="AI71" s="263">
        <v>0.39408396946564883</v>
      </c>
      <c r="AJ71" s="263">
        <v>0.39408396946564883</v>
      </c>
      <c r="AK71" s="263">
        <v>0.39408396946564883</v>
      </c>
      <c r="AL71" s="264">
        <v>0.39408396946564883</v>
      </c>
      <c r="AM71" s="85"/>
    </row>
    <row r="72" spans="2:39" x14ac:dyDescent="0.3">
      <c r="C72" s="86"/>
      <c r="D72" s="102">
        <v>8</v>
      </c>
      <c r="E72" s="254" t="s">
        <v>1089</v>
      </c>
      <c r="F72" s="255"/>
      <c r="G72" s="255"/>
      <c r="H72" s="261" t="s">
        <v>28</v>
      </c>
      <c r="K72" s="72"/>
      <c r="L72" s="72"/>
      <c r="M72" s="72"/>
      <c r="N72" s="72"/>
      <c r="O72" s="72"/>
      <c r="P72" s="72"/>
      <c r="Q72" s="72"/>
      <c r="R72" s="72"/>
      <c r="S72" s="72"/>
      <c r="T72" s="72"/>
      <c r="U72" s="72"/>
      <c r="V72" s="72"/>
      <c r="W72" s="72"/>
      <c r="X72" s="72"/>
      <c r="Y72" s="72"/>
      <c r="Z72" s="72"/>
      <c r="AA72" s="72"/>
      <c r="AB72" s="72"/>
      <c r="AC72" s="262">
        <v>0.3</v>
      </c>
      <c r="AD72" s="263">
        <v>0.6</v>
      </c>
      <c r="AE72" s="263">
        <v>0.9</v>
      </c>
      <c r="AF72" s="263">
        <v>1.2</v>
      </c>
      <c r="AG72" s="264">
        <v>1.5</v>
      </c>
      <c r="AH72" s="263"/>
      <c r="AI72" s="263"/>
      <c r="AJ72" s="263"/>
      <c r="AK72" s="263"/>
      <c r="AL72" s="264"/>
      <c r="AM72" s="85"/>
    </row>
    <row r="73" spans="2:39" x14ac:dyDescent="0.3">
      <c r="C73" s="86"/>
      <c r="D73" s="102">
        <v>9</v>
      </c>
      <c r="E73" s="254"/>
      <c r="F73" s="255"/>
      <c r="G73" s="255"/>
      <c r="H73" s="261" t="s">
        <v>28</v>
      </c>
      <c r="K73" s="72"/>
      <c r="L73" s="72"/>
      <c r="M73" s="72"/>
      <c r="N73" s="72"/>
      <c r="O73" s="72"/>
      <c r="P73" s="72"/>
      <c r="Q73" s="72"/>
      <c r="R73" s="72"/>
      <c r="S73" s="72"/>
      <c r="T73" s="72"/>
      <c r="U73" s="72"/>
      <c r="V73" s="72"/>
      <c r="W73" s="72"/>
      <c r="X73" s="72"/>
      <c r="Y73" s="72"/>
      <c r="Z73" s="72"/>
      <c r="AA73" s="72"/>
      <c r="AB73" s="72"/>
      <c r="AC73" s="262"/>
      <c r="AD73" s="263"/>
      <c r="AE73" s="263"/>
      <c r="AF73" s="263"/>
      <c r="AG73" s="264"/>
      <c r="AH73" s="263"/>
      <c r="AI73" s="263"/>
      <c r="AJ73" s="263"/>
      <c r="AK73" s="263"/>
      <c r="AL73" s="264"/>
      <c r="AM73" s="85"/>
    </row>
    <row r="74" spans="2:39" x14ac:dyDescent="0.3">
      <c r="C74" s="86"/>
      <c r="D74" s="102">
        <v>10</v>
      </c>
      <c r="E74" s="254"/>
      <c r="F74" s="255"/>
      <c r="G74" s="255"/>
      <c r="H74" s="261" t="s">
        <v>28</v>
      </c>
      <c r="K74" s="72"/>
      <c r="L74" s="72"/>
      <c r="M74" s="72"/>
      <c r="N74" s="72"/>
      <c r="O74" s="72"/>
      <c r="P74" s="72"/>
      <c r="Q74" s="72"/>
      <c r="R74" s="72"/>
      <c r="S74" s="72"/>
      <c r="T74" s="72"/>
      <c r="V74" s="109"/>
      <c r="W74" s="72"/>
      <c r="X74" s="72"/>
      <c r="Y74" s="72"/>
      <c r="Z74" s="72"/>
      <c r="AA74" s="72"/>
      <c r="AB74" s="72"/>
      <c r="AC74" s="262"/>
      <c r="AD74" s="263"/>
      <c r="AE74" s="263"/>
      <c r="AF74" s="263"/>
      <c r="AG74" s="264"/>
      <c r="AH74" s="263"/>
      <c r="AI74" s="263"/>
      <c r="AJ74" s="263"/>
      <c r="AK74" s="263"/>
      <c r="AL74" s="264"/>
      <c r="AM74" s="85"/>
    </row>
    <row r="75" spans="2:39" x14ac:dyDescent="0.3">
      <c r="C75" s="86"/>
      <c r="D75" s="102">
        <v>11</v>
      </c>
      <c r="E75" s="254"/>
      <c r="F75" s="255"/>
      <c r="G75" s="255"/>
      <c r="H75" s="261" t="s">
        <v>28</v>
      </c>
      <c r="K75" s="72"/>
      <c r="L75" s="72"/>
      <c r="M75" s="72"/>
      <c r="N75" s="72"/>
      <c r="O75" s="72"/>
      <c r="P75" s="72"/>
      <c r="Q75" s="72"/>
      <c r="R75" s="72"/>
      <c r="S75" s="72"/>
      <c r="T75" s="72"/>
      <c r="U75" s="72"/>
      <c r="V75" s="72"/>
      <c r="W75" s="72"/>
      <c r="X75" s="72"/>
      <c r="Y75" s="72"/>
      <c r="Z75" s="72"/>
      <c r="AA75" s="72"/>
      <c r="AB75" s="72"/>
      <c r="AC75" s="262"/>
      <c r="AD75" s="263"/>
      <c r="AE75" s="263"/>
      <c r="AF75" s="263"/>
      <c r="AG75" s="264"/>
      <c r="AH75" s="263"/>
      <c r="AI75" s="263"/>
      <c r="AJ75" s="263"/>
      <c r="AK75" s="263"/>
      <c r="AL75" s="264"/>
      <c r="AM75" s="85"/>
    </row>
    <row r="76" spans="2:39" x14ac:dyDescent="0.3">
      <c r="C76" s="86"/>
      <c r="D76" s="102">
        <v>12</v>
      </c>
      <c r="E76" s="254"/>
      <c r="F76" s="255"/>
      <c r="G76" s="255"/>
      <c r="H76" s="261" t="s">
        <v>28</v>
      </c>
      <c r="K76" s="72"/>
      <c r="L76" s="72"/>
      <c r="M76" s="72"/>
      <c r="N76" s="72"/>
      <c r="O76" s="72"/>
      <c r="P76" s="72"/>
      <c r="Q76" s="72"/>
      <c r="R76" s="72"/>
      <c r="S76" s="72"/>
      <c r="T76" s="72"/>
      <c r="U76" s="72"/>
      <c r="V76" s="72"/>
      <c r="W76" s="72"/>
      <c r="X76" s="72"/>
      <c r="Y76" s="72"/>
      <c r="Z76" s="72"/>
      <c r="AA76" s="72"/>
      <c r="AB76" s="72"/>
      <c r="AC76" s="262"/>
      <c r="AD76" s="263"/>
      <c r="AE76" s="263"/>
      <c r="AF76" s="263"/>
      <c r="AG76" s="264"/>
      <c r="AH76" s="263"/>
      <c r="AI76" s="263"/>
      <c r="AJ76" s="263"/>
      <c r="AK76" s="263"/>
      <c r="AL76" s="264"/>
      <c r="AM76" s="85"/>
    </row>
    <row r="77" spans="2:39" x14ac:dyDescent="0.3">
      <c r="C77" s="86"/>
      <c r="D77" s="102">
        <v>13</v>
      </c>
      <c r="E77" s="254"/>
      <c r="F77" s="255"/>
      <c r="G77" s="255"/>
      <c r="H77" s="261" t="s">
        <v>28</v>
      </c>
      <c r="K77" s="72"/>
      <c r="L77" s="72"/>
      <c r="M77" s="72"/>
      <c r="N77" s="72"/>
      <c r="O77" s="72"/>
      <c r="P77" s="72"/>
      <c r="Q77" s="72"/>
      <c r="R77" s="72"/>
      <c r="S77" s="72"/>
      <c r="T77" s="72"/>
      <c r="U77" s="72"/>
      <c r="V77" s="72"/>
      <c r="W77" s="72"/>
      <c r="X77" s="72"/>
      <c r="Y77" s="72"/>
      <c r="Z77" s="72"/>
      <c r="AA77" s="72"/>
      <c r="AB77" s="72"/>
      <c r="AC77" s="262"/>
      <c r="AD77" s="263"/>
      <c r="AE77" s="263"/>
      <c r="AF77" s="263"/>
      <c r="AG77" s="264"/>
      <c r="AH77" s="263"/>
      <c r="AI77" s="263"/>
      <c r="AJ77" s="263"/>
      <c r="AK77" s="263"/>
      <c r="AL77" s="264"/>
      <c r="AM77" s="85"/>
    </row>
    <row r="78" spans="2:39" x14ac:dyDescent="0.3">
      <c r="C78" s="86"/>
      <c r="D78" s="102">
        <v>14</v>
      </c>
      <c r="E78" s="254"/>
      <c r="F78" s="255"/>
      <c r="G78" s="255"/>
      <c r="H78" s="261" t="s">
        <v>28</v>
      </c>
      <c r="K78" s="72"/>
      <c r="L78" s="72"/>
      <c r="M78" s="72"/>
      <c r="N78" s="72"/>
      <c r="O78" s="72"/>
      <c r="P78" s="72"/>
      <c r="Q78" s="72"/>
      <c r="R78" s="72"/>
      <c r="S78" s="72"/>
      <c r="T78" s="72"/>
      <c r="U78" s="72"/>
      <c r="V78" s="72"/>
      <c r="W78" s="72"/>
      <c r="X78" s="72"/>
      <c r="Y78" s="72"/>
      <c r="Z78" s="72"/>
      <c r="AA78" s="72"/>
      <c r="AB78" s="72"/>
      <c r="AC78" s="262"/>
      <c r="AD78" s="263"/>
      <c r="AE78" s="263"/>
      <c r="AF78" s="263"/>
      <c r="AG78" s="264"/>
      <c r="AH78" s="263"/>
      <c r="AI78" s="263"/>
      <c r="AJ78" s="263"/>
      <c r="AK78" s="263"/>
      <c r="AL78" s="264"/>
      <c r="AM78" s="85"/>
    </row>
    <row r="79" spans="2:39" x14ac:dyDescent="0.3">
      <c r="C79" s="86"/>
      <c r="D79" s="102">
        <v>15</v>
      </c>
      <c r="E79" s="254"/>
      <c r="F79" s="255"/>
      <c r="G79" s="255"/>
      <c r="H79" s="261" t="s">
        <v>28</v>
      </c>
      <c r="K79" s="72"/>
      <c r="L79" s="72"/>
      <c r="M79" s="72"/>
      <c r="N79" s="72"/>
      <c r="O79" s="72"/>
      <c r="P79" s="72"/>
      <c r="Q79" s="72"/>
      <c r="R79" s="72"/>
      <c r="S79" s="72"/>
      <c r="T79" s="72"/>
      <c r="U79" s="72"/>
      <c r="V79" s="72"/>
      <c r="W79" s="72"/>
      <c r="X79" s="72"/>
      <c r="Y79" s="72"/>
      <c r="Z79" s="72"/>
      <c r="AA79" s="72"/>
      <c r="AB79" s="72"/>
      <c r="AC79" s="803"/>
      <c r="AD79" s="804"/>
      <c r="AE79" s="804"/>
      <c r="AF79" s="804"/>
      <c r="AG79" s="805"/>
      <c r="AH79" s="804"/>
      <c r="AI79" s="804"/>
      <c r="AJ79" s="804"/>
      <c r="AK79" s="804"/>
      <c r="AL79" s="805"/>
      <c r="AM79" s="85"/>
    </row>
    <row r="80" spans="2:39" x14ac:dyDescent="0.3">
      <c r="B80" s="77"/>
      <c r="C80" s="154"/>
      <c r="D80" s="102"/>
      <c r="E80" s="212"/>
      <c r="F80" s="212"/>
      <c r="G80" s="212"/>
      <c r="H80" s="212"/>
      <c r="I80" s="102"/>
      <c r="J80" s="102"/>
      <c r="K80" s="102"/>
      <c r="L80" s="102"/>
      <c r="M80" s="102"/>
      <c r="N80" s="102"/>
      <c r="O80" s="102"/>
      <c r="P80" s="102"/>
      <c r="Q80" s="102"/>
      <c r="R80" s="102"/>
      <c r="S80" s="102"/>
      <c r="T80" s="102"/>
      <c r="U80" s="102"/>
      <c r="V80" s="102"/>
      <c r="W80" s="72"/>
      <c r="X80" s="72"/>
      <c r="Y80" s="72"/>
      <c r="Z80" s="72"/>
      <c r="AA80" s="72"/>
      <c r="AB80" s="72"/>
      <c r="AC80" s="212"/>
      <c r="AD80" s="212"/>
      <c r="AE80" s="212"/>
      <c r="AF80" s="212"/>
      <c r="AG80" s="212"/>
      <c r="AH80" s="212"/>
      <c r="AI80" s="212"/>
      <c r="AJ80" s="212"/>
      <c r="AK80" s="212"/>
      <c r="AL80" s="212"/>
      <c r="AM80" s="85"/>
    </row>
    <row r="81" spans="3:39" x14ac:dyDescent="0.3">
      <c r="C81" s="86"/>
      <c r="D81" s="107" t="s">
        <v>494</v>
      </c>
      <c r="F81" s="102"/>
      <c r="G81" s="102"/>
      <c r="H81" s="102"/>
      <c r="I81" s="102"/>
      <c r="J81" s="102"/>
      <c r="K81" s="102"/>
      <c r="L81" s="102"/>
      <c r="M81" s="102"/>
      <c r="N81" s="102"/>
      <c r="O81" s="102"/>
      <c r="P81" s="102"/>
      <c r="Q81" s="102"/>
      <c r="R81" s="102"/>
      <c r="S81" s="102"/>
      <c r="T81" s="102"/>
      <c r="U81" s="102"/>
      <c r="V81" s="102"/>
      <c r="W81" s="72"/>
      <c r="X81" s="72"/>
      <c r="Y81" s="72"/>
      <c r="Z81" s="72"/>
      <c r="AA81" s="72"/>
      <c r="AB81" s="72"/>
      <c r="AC81" s="1443">
        <f t="shared" ref="AC81:AL81" si="5">SUM(AC65:AC80)</f>
        <v>1.6528646891908396</v>
      </c>
      <c r="AD81" s="1444">
        <f t="shared" si="5"/>
        <v>1.9571440843050687</v>
      </c>
      <c r="AE81" s="1444">
        <f t="shared" si="5"/>
        <v>2.5121858877732919</v>
      </c>
      <c r="AF81" s="1444">
        <f t="shared" si="5"/>
        <v>2.1490839694656487</v>
      </c>
      <c r="AG81" s="1445">
        <f t="shared" si="5"/>
        <v>2.449083969465649</v>
      </c>
      <c r="AH81" s="1444">
        <f t="shared" si="5"/>
        <v>0.39408396946564883</v>
      </c>
      <c r="AI81" s="1444">
        <f t="shared" si="5"/>
        <v>0.39408396946564883</v>
      </c>
      <c r="AJ81" s="1444">
        <f t="shared" si="5"/>
        <v>0.39408396946564883</v>
      </c>
      <c r="AK81" s="1444">
        <f t="shared" si="5"/>
        <v>0.39408396946564883</v>
      </c>
      <c r="AL81" s="1445">
        <f t="shared" si="5"/>
        <v>0.39408396946564883</v>
      </c>
      <c r="AM81" s="110"/>
    </row>
    <row r="82" spans="3:39" x14ac:dyDescent="0.3">
      <c r="C82" s="86"/>
      <c r="D82" s="102"/>
      <c r="E82" s="102"/>
      <c r="F82" s="102"/>
      <c r="G82" s="102"/>
      <c r="H82" s="102"/>
      <c r="I82" s="102"/>
      <c r="J82" s="102"/>
      <c r="K82" s="102"/>
      <c r="L82" s="102"/>
      <c r="M82" s="102"/>
      <c r="N82" s="102"/>
      <c r="O82" s="102"/>
      <c r="P82" s="102"/>
      <c r="Q82" s="102"/>
      <c r="R82" s="102"/>
      <c r="S82" s="102"/>
      <c r="T82" s="102"/>
      <c r="U82" s="102"/>
      <c r="V82" s="102"/>
      <c r="W82" s="102"/>
      <c r="X82" s="72"/>
      <c r="Y82" s="72"/>
      <c r="Z82" s="72"/>
      <c r="AA82" s="72"/>
      <c r="AB82" s="72"/>
      <c r="AC82" s="102"/>
      <c r="AD82" s="102"/>
      <c r="AE82" s="102"/>
      <c r="AF82" s="102"/>
      <c r="AG82" s="102"/>
      <c r="AH82" s="102"/>
      <c r="AI82" s="102"/>
      <c r="AJ82" s="102"/>
      <c r="AK82" s="102"/>
      <c r="AL82" s="102"/>
      <c r="AM82" s="110"/>
    </row>
    <row r="83" spans="3:39" x14ac:dyDescent="0.3">
      <c r="C83" s="86"/>
      <c r="D83" s="102"/>
      <c r="E83" s="102"/>
      <c r="F83" s="102"/>
      <c r="G83" s="102"/>
      <c r="H83" s="102"/>
      <c r="I83" s="102"/>
      <c r="J83" s="102"/>
      <c r="K83" s="102"/>
      <c r="L83" s="102"/>
      <c r="M83" s="102"/>
      <c r="N83" s="102"/>
      <c r="O83" s="102"/>
      <c r="P83" s="102"/>
      <c r="Q83" s="102"/>
      <c r="R83" s="102"/>
      <c r="S83" s="102"/>
      <c r="T83" s="102"/>
      <c r="U83" s="102"/>
      <c r="V83" s="102"/>
      <c r="W83" s="102"/>
      <c r="X83" s="72"/>
      <c r="Y83" s="72"/>
      <c r="Z83" s="72"/>
      <c r="AA83" s="72"/>
      <c r="AB83" s="72"/>
      <c r="AC83" s="102"/>
      <c r="AD83" s="102"/>
      <c r="AE83" s="102"/>
      <c r="AF83" s="102"/>
      <c r="AG83" s="102"/>
      <c r="AH83" s="102"/>
      <c r="AI83" s="102"/>
      <c r="AJ83" s="102"/>
      <c r="AK83" s="102"/>
      <c r="AL83" s="102"/>
      <c r="AM83" s="110"/>
    </row>
    <row r="84" spans="3:39" x14ac:dyDescent="0.3">
      <c r="C84" s="86"/>
      <c r="D84" s="107" t="s">
        <v>478</v>
      </c>
      <c r="E84" s="84"/>
      <c r="F84" s="84"/>
      <c r="G84" s="84"/>
      <c r="H84" s="84"/>
      <c r="I84" s="84"/>
      <c r="J84" s="84"/>
      <c r="K84" s="84"/>
      <c r="L84" s="84"/>
      <c r="M84" s="84"/>
      <c r="N84" s="84"/>
      <c r="O84" s="84"/>
      <c r="P84" s="84"/>
      <c r="Q84" s="84"/>
      <c r="R84" s="84"/>
      <c r="S84" s="84"/>
      <c r="T84" s="84"/>
      <c r="U84" s="84"/>
      <c r="V84" s="84"/>
      <c r="W84" s="72"/>
      <c r="X84" s="72"/>
      <c r="Y84" s="72"/>
      <c r="Z84" s="72"/>
      <c r="AA84" s="102"/>
      <c r="AB84" s="72"/>
      <c r="AC84" s="1443">
        <f t="shared" ref="AC84:AL84" si="6">+AC81+AC61</f>
        <v>66.077826433236439</v>
      </c>
      <c r="AD84" s="1444">
        <f t="shared" si="6"/>
        <v>67.155205369279216</v>
      </c>
      <c r="AE84" s="1444">
        <f t="shared" si="6"/>
        <v>68.492623908167133</v>
      </c>
      <c r="AF84" s="1444">
        <f t="shared" si="6"/>
        <v>68.921287246104214</v>
      </c>
      <c r="AG84" s="1445">
        <f t="shared" si="6"/>
        <v>70.022553685423873</v>
      </c>
      <c r="AH84" s="1444">
        <f t="shared" si="6"/>
        <v>68.778435322015383</v>
      </c>
      <c r="AI84" s="1444">
        <f t="shared" si="6"/>
        <v>69.599047538245983</v>
      </c>
      <c r="AJ84" s="1444">
        <f t="shared" si="6"/>
        <v>70.429507101071351</v>
      </c>
      <c r="AK84" s="1444">
        <f t="shared" si="6"/>
        <v>71.26993217865062</v>
      </c>
      <c r="AL84" s="1445">
        <f t="shared" si="6"/>
        <v>72.12044235716084</v>
      </c>
      <c r="AM84" s="110"/>
    </row>
    <row r="85" spans="3:39" x14ac:dyDescent="0.3">
      <c r="C85" s="86"/>
      <c r="D85" s="107"/>
      <c r="E85" s="84"/>
      <c r="F85" s="84"/>
      <c r="G85" s="84"/>
      <c r="H85" s="84"/>
      <c r="I85" s="84"/>
      <c r="J85" s="84"/>
      <c r="K85" s="84"/>
      <c r="L85" s="84"/>
      <c r="M85" s="84"/>
      <c r="N85" s="84"/>
      <c r="O85" s="84"/>
      <c r="P85" s="84"/>
      <c r="Q85" s="84"/>
      <c r="R85" s="84"/>
      <c r="S85" s="84"/>
      <c r="T85" s="84"/>
      <c r="U85" s="84"/>
      <c r="V85" s="84"/>
      <c r="W85" s="1117"/>
      <c r="X85" s="72"/>
      <c r="Y85" s="72"/>
      <c r="Z85" s="72"/>
      <c r="AA85" s="72"/>
      <c r="AB85" s="72"/>
      <c r="AC85" s="114"/>
      <c r="AD85" s="114"/>
      <c r="AE85" s="114"/>
      <c r="AF85" s="114"/>
      <c r="AG85" s="114"/>
      <c r="AH85" s="114"/>
      <c r="AI85" s="114"/>
      <c r="AJ85" s="114"/>
      <c r="AK85" s="114"/>
      <c r="AL85" s="114"/>
      <c r="AM85" s="110"/>
    </row>
    <row r="86" spans="3:39" x14ac:dyDescent="0.3">
      <c r="C86" s="86"/>
      <c r="D86" s="107" t="s">
        <v>495</v>
      </c>
      <c r="E86" s="84"/>
      <c r="F86" s="84"/>
      <c r="G86" s="84"/>
      <c r="H86" s="84"/>
      <c r="I86" s="84"/>
      <c r="J86" s="84"/>
      <c r="K86" s="84"/>
      <c r="L86" s="84"/>
      <c r="M86" s="84"/>
      <c r="N86" s="84"/>
      <c r="O86" s="84"/>
      <c r="P86" s="84"/>
      <c r="Q86" s="84"/>
      <c r="R86" s="84"/>
      <c r="S86" s="84"/>
      <c r="T86" s="84"/>
      <c r="U86" s="84"/>
      <c r="V86" s="84"/>
      <c r="W86" s="72"/>
      <c r="X86" s="72"/>
      <c r="Y86" s="72"/>
      <c r="Z86" s="72"/>
      <c r="AA86" s="72"/>
      <c r="AB86" s="72"/>
      <c r="AC86" s="84"/>
      <c r="AD86" s="84"/>
      <c r="AE86" s="84"/>
      <c r="AF86" s="84"/>
      <c r="AG86" s="84"/>
      <c r="AH86" s="84"/>
      <c r="AI86" s="84"/>
      <c r="AJ86" s="84"/>
      <c r="AK86" s="84"/>
      <c r="AL86" s="84"/>
      <c r="AM86" s="110"/>
    </row>
    <row r="87" spans="3:39" x14ac:dyDescent="0.3">
      <c r="C87" s="86"/>
      <c r="D87" s="115" t="s">
        <v>392</v>
      </c>
      <c r="E87" s="107"/>
      <c r="F87" s="84"/>
      <c r="G87" s="84"/>
      <c r="H87" s="84"/>
      <c r="I87" s="84"/>
      <c r="J87" s="84"/>
      <c r="K87" s="84"/>
      <c r="L87" s="84"/>
      <c r="M87" s="84"/>
      <c r="N87" s="84"/>
      <c r="O87" s="84"/>
      <c r="P87" s="84"/>
      <c r="Q87" s="84"/>
      <c r="R87" s="84"/>
      <c r="S87" s="84"/>
      <c r="T87" s="84"/>
      <c r="U87" s="84"/>
      <c r="V87" s="84"/>
      <c r="W87" s="72"/>
      <c r="X87" s="72"/>
      <c r="Y87" s="72"/>
      <c r="Z87" s="72"/>
      <c r="AA87" s="72"/>
      <c r="AB87" s="72"/>
      <c r="AC87" s="1446">
        <f>+Opex_Breakdown!AC29</f>
        <v>0.64764458258572433</v>
      </c>
      <c r="AD87" s="1447">
        <f>+Opex_Breakdown!AD29</f>
        <v>0.65818373544172548</v>
      </c>
      <c r="AE87" s="1447">
        <f>+Opex_Breakdown!AE29</f>
        <v>0.67129085321641702</v>
      </c>
      <c r="AF87" s="1447">
        <f>+Opex_Breakdown!AF29</f>
        <v>0.6754975289275913</v>
      </c>
      <c r="AG87" s="1448">
        <f>+Opex_Breakdown!AG29</f>
        <v>0.68629202214934182</v>
      </c>
      <c r="AH87" s="1447">
        <f>+Opex_Breakdown!AH29</f>
        <v>0.67411240375302706</v>
      </c>
      <c r="AI87" s="1447">
        <f>+Opex_Breakdown!AI29</f>
        <v>0.68215706517938446</v>
      </c>
      <c r="AJ87" s="1447">
        <f>+Opex_Breakdown!AJ29</f>
        <v>0.69029819230124045</v>
      </c>
      <c r="AK87" s="1447">
        <f>+Opex_Breakdown!AK29</f>
        <v>0.69853694397551813</v>
      </c>
      <c r="AL87" s="1448">
        <f>+Opex_Breakdown!AL29</f>
        <v>0.70687449311089889</v>
      </c>
      <c r="AM87" s="110"/>
    </row>
    <row r="88" spans="3:39" x14ac:dyDescent="0.3">
      <c r="C88" s="86"/>
      <c r="D88" s="115" t="s">
        <v>390</v>
      </c>
      <c r="E88" s="116"/>
      <c r="F88" s="84"/>
      <c r="G88" s="84"/>
      <c r="H88" s="84"/>
      <c r="I88" s="84"/>
      <c r="J88" s="84"/>
      <c r="K88" s="84"/>
      <c r="L88" s="84"/>
      <c r="M88" s="84"/>
      <c r="N88" s="84"/>
      <c r="O88" s="84"/>
      <c r="P88" s="84"/>
      <c r="Q88" s="84"/>
      <c r="R88" s="84"/>
      <c r="S88" s="84"/>
      <c r="T88" s="84"/>
      <c r="U88" s="84"/>
      <c r="V88" s="84"/>
      <c r="W88" s="72"/>
      <c r="X88" s="72"/>
      <c r="Y88" s="72"/>
      <c r="Z88" s="72"/>
      <c r="AA88" s="72"/>
      <c r="AB88" s="72"/>
      <c r="AC88" s="1449">
        <f>+Opex_Breakdown!AC30</f>
        <v>0</v>
      </c>
      <c r="AD88" s="1451">
        <f>+Opex_Breakdown!AD30</f>
        <v>0</v>
      </c>
      <c r="AE88" s="1451">
        <f>+Opex_Breakdown!AE30</f>
        <v>0</v>
      </c>
      <c r="AF88" s="1451">
        <f>+Opex_Breakdown!AF30</f>
        <v>0</v>
      </c>
      <c r="AG88" s="1452">
        <f>+Opex_Breakdown!AG30</f>
        <v>0</v>
      </c>
      <c r="AH88" s="1451">
        <f>+Opex_Breakdown!AH30</f>
        <v>0</v>
      </c>
      <c r="AI88" s="1451">
        <f>+Opex_Breakdown!AI30</f>
        <v>0</v>
      </c>
      <c r="AJ88" s="1451">
        <f>+Opex_Breakdown!AJ30</f>
        <v>0</v>
      </c>
      <c r="AK88" s="1451">
        <f>+Opex_Breakdown!AK30</f>
        <v>0</v>
      </c>
      <c r="AL88" s="1452">
        <f>+Opex_Breakdown!AL30</f>
        <v>0</v>
      </c>
      <c r="AM88" s="110"/>
    </row>
    <row r="89" spans="3:39" x14ac:dyDescent="0.3">
      <c r="C89" s="86"/>
      <c r="D89" s="115" t="s">
        <v>15</v>
      </c>
      <c r="E89" s="116"/>
      <c r="F89" s="84"/>
      <c r="G89" s="84"/>
      <c r="H89" s="84"/>
      <c r="I89" s="84"/>
      <c r="J89" s="84"/>
      <c r="K89" s="84"/>
      <c r="L89" s="84"/>
      <c r="M89" s="84"/>
      <c r="N89" s="84"/>
      <c r="O89" s="84"/>
      <c r="P89" s="84"/>
      <c r="Q89" s="84"/>
      <c r="R89" s="84"/>
      <c r="S89" s="84"/>
      <c r="T89" s="84"/>
      <c r="U89" s="84"/>
      <c r="V89" s="84"/>
      <c r="W89" s="72"/>
      <c r="X89" s="72"/>
      <c r="Y89" s="72"/>
      <c r="Z89" s="72"/>
      <c r="AA89" s="72"/>
      <c r="AB89" s="72"/>
      <c r="AC89" s="1449">
        <f>+Opex_Breakdown!AC31</f>
        <v>0.35442249883575022</v>
      </c>
      <c r="AD89" s="1451">
        <f>+Opex_Breakdown!AD31</f>
        <v>0.36019080066040599</v>
      </c>
      <c r="AE89" s="1451">
        <f>+Opex_Breakdown!AE31</f>
        <v>0.36736402074742946</v>
      </c>
      <c r="AF89" s="1451">
        <f>+Opex_Breakdown!AF31</f>
        <v>0.36966585718153994</v>
      </c>
      <c r="AG89" s="1452">
        <f>+Opex_Breakdown!AG31</f>
        <v>0.37557331513767733</v>
      </c>
      <c r="AH89" s="1451">
        <f>+Opex_Breakdown!AH31</f>
        <v>0.36890669447750407</v>
      </c>
      <c r="AI89" s="1451">
        <f>+Opex_Breakdown!AI31</f>
        <v>0.37330913667686016</v>
      </c>
      <c r="AJ89" s="1451">
        <f>+Opex_Breakdown!AJ31</f>
        <v>0.37776437047015476</v>
      </c>
      <c r="AK89" s="1451">
        <f>+Opex_Breakdown!AK31</f>
        <v>0.38227303013224134</v>
      </c>
      <c r="AL89" s="1452">
        <f>+Opex_Breakdown!AL31</f>
        <v>0.38683575762349243</v>
      </c>
      <c r="AM89" s="110"/>
    </row>
    <row r="90" spans="3:39" x14ac:dyDescent="0.3">
      <c r="C90" s="86"/>
      <c r="D90" s="115" t="s">
        <v>328</v>
      </c>
      <c r="E90" s="116"/>
      <c r="F90" s="84"/>
      <c r="G90" s="84"/>
      <c r="H90" s="84"/>
      <c r="I90" s="84"/>
      <c r="J90" s="84"/>
      <c r="K90" s="84"/>
      <c r="L90" s="84"/>
      <c r="M90" s="84"/>
      <c r="N90" s="84"/>
      <c r="O90" s="84"/>
      <c r="P90" s="84"/>
      <c r="Q90" s="84"/>
      <c r="R90" s="84"/>
      <c r="S90" s="84"/>
      <c r="T90" s="84"/>
      <c r="U90" s="84"/>
      <c r="V90" s="84"/>
      <c r="W90" s="72"/>
      <c r="X90" s="72"/>
      <c r="Y90" s="72"/>
      <c r="Z90" s="72"/>
      <c r="AA90" s="72"/>
      <c r="AB90" s="72"/>
      <c r="AC90" s="1449">
        <f>+Opex_Breakdown!AC32</f>
        <v>4.9298525622029192</v>
      </c>
      <c r="AD90" s="1451">
        <f>+Opex_Breakdown!AD32</f>
        <v>6.0635470838900023</v>
      </c>
      <c r="AE90" s="1451">
        <f>+Opex_Breakdown!AE32</f>
        <v>5.9943256942346048</v>
      </c>
      <c r="AF90" s="1451">
        <f>+Opex_Breakdown!AF32</f>
        <v>5.8470993091826529</v>
      </c>
      <c r="AG90" s="1452">
        <f>+Opex_Breakdown!AG32</f>
        <v>5.758205922343576</v>
      </c>
      <c r="AH90" s="1451">
        <f>+Opex_Breakdown!AH32</f>
        <v>5.4834433379296588</v>
      </c>
      <c r="AI90" s="1451">
        <f>+Opex_Breakdown!AI32</f>
        <v>5.3786502461400234</v>
      </c>
      <c r="AJ90" s="1451">
        <f>+Opex_Breakdown!AJ32</f>
        <v>5.2758621872193761</v>
      </c>
      <c r="AK90" s="1451">
        <f>+Opex_Breakdown!AK32</f>
        <v>5.175040631398665</v>
      </c>
      <c r="AL90" s="1452">
        <f>+Opex_Breakdown!AL32</f>
        <v>5.0761478083583222</v>
      </c>
      <c r="AM90" s="110"/>
    </row>
    <row r="91" spans="3:39" x14ac:dyDescent="0.3">
      <c r="C91" s="86"/>
      <c r="D91" s="115" t="s">
        <v>480</v>
      </c>
      <c r="E91" s="117"/>
      <c r="F91" s="84"/>
      <c r="G91" s="84"/>
      <c r="H91" s="84"/>
      <c r="I91" s="84"/>
      <c r="J91" s="84"/>
      <c r="K91" s="84"/>
      <c r="L91" s="84"/>
      <c r="M91" s="84"/>
      <c r="N91" s="84"/>
      <c r="O91" s="84"/>
      <c r="P91" s="84"/>
      <c r="Q91" s="84"/>
      <c r="R91" s="84"/>
      <c r="S91" s="84"/>
      <c r="T91" s="84"/>
      <c r="U91" s="84"/>
      <c r="V91" s="84"/>
      <c r="W91" s="72"/>
      <c r="X91" s="72"/>
      <c r="Y91" s="72"/>
      <c r="Z91" s="72"/>
      <c r="AA91" s="72"/>
      <c r="AB91" s="72"/>
      <c r="AC91" s="1450">
        <f>+Opex_Breakdown!AC33</f>
        <v>0.15972376106989561</v>
      </c>
      <c r="AD91" s="1453">
        <f>+Opex_Breakdown!AD33</f>
        <v>0.1623221771028128</v>
      </c>
      <c r="AE91" s="1453">
        <f>+Opex_Breakdown!AE33</f>
        <v>0.16555432402893766</v>
      </c>
      <c r="AF91" s="1453">
        <f>+Opex_Breakdown!AF33</f>
        <v>0.16659204234519615</v>
      </c>
      <c r="AG91" s="1454">
        <f>+Opex_Breakdown!AG33</f>
        <v>0.16925402679043447</v>
      </c>
      <c r="AH91" s="1453">
        <f>+Opex_Breakdown!AH33</f>
        <v>0.16625158013638497</v>
      </c>
      <c r="AI91" s="1453">
        <f>+Opex_Breakdown!AI33</f>
        <v>0.16823556764704767</v>
      </c>
      <c r="AJ91" s="1453">
        <f>+Opex_Breakdown!AJ33</f>
        <v>0.17024334660656296</v>
      </c>
      <c r="AK91" s="1453">
        <f>+Opex_Breakdown!AK33</f>
        <v>0.17227520276183914</v>
      </c>
      <c r="AL91" s="1454">
        <f>+Opex_Breakdown!AL33</f>
        <v>0.17433142532597889</v>
      </c>
      <c r="AM91" s="110"/>
    </row>
    <row r="92" spans="3:39" x14ac:dyDescent="0.3">
      <c r="C92" s="86"/>
      <c r="D92" s="107" t="s">
        <v>481</v>
      </c>
      <c r="E92" s="77"/>
      <c r="F92" s="84"/>
      <c r="G92" s="84"/>
      <c r="H92" s="84"/>
      <c r="I92" s="84"/>
      <c r="J92" s="84"/>
      <c r="K92" s="84"/>
      <c r="L92" s="84"/>
      <c r="M92" s="84"/>
      <c r="N92" s="84"/>
      <c r="O92" s="84"/>
      <c r="P92" s="84"/>
      <c r="Q92" s="84"/>
      <c r="R92" s="84"/>
      <c r="S92" s="84"/>
      <c r="T92" s="84"/>
      <c r="U92" s="84"/>
      <c r="V92" s="84"/>
      <c r="W92" s="72"/>
      <c r="X92" s="72"/>
      <c r="Y92" s="72"/>
      <c r="Z92" s="72"/>
      <c r="AA92" s="72"/>
      <c r="AB92" s="72"/>
      <c r="AC92" s="1455">
        <f t="shared" ref="AC92:AG92" si="7">SUM(AC87:AC91)</f>
        <v>6.0916434046942891</v>
      </c>
      <c r="AD92" s="1455">
        <f t="shared" si="7"/>
        <v>7.2442437970949465</v>
      </c>
      <c r="AE92" s="1455">
        <f t="shared" si="7"/>
        <v>7.1985348922273893</v>
      </c>
      <c r="AF92" s="1455">
        <f t="shared" si="7"/>
        <v>7.0588547376369801</v>
      </c>
      <c r="AG92" s="1455">
        <f t="shared" si="7"/>
        <v>6.9893252864210291</v>
      </c>
      <c r="AH92" s="1455">
        <f t="shared" ref="AH92" si="8">SUM(AH87:AH91)</f>
        <v>6.6927140162965753</v>
      </c>
      <c r="AI92" s="1455">
        <f t="shared" ref="AI92" si="9">SUM(AI87:AI91)</f>
        <v>6.6023520156433158</v>
      </c>
      <c r="AJ92" s="1455">
        <f t="shared" ref="AJ92" si="10">SUM(AJ87:AJ91)</f>
        <v>6.5141680965973343</v>
      </c>
      <c r="AK92" s="1455">
        <f t="shared" ref="AK92" si="11">SUM(AK87:AK91)</f>
        <v>6.4281258082682635</v>
      </c>
      <c r="AL92" s="1455">
        <f t="shared" ref="AL92" si="12">SUM(AL87:AL91)</f>
        <v>6.3441894844186919</v>
      </c>
      <c r="AM92" s="110"/>
    </row>
    <row r="93" spans="3:39" x14ac:dyDescent="0.3">
      <c r="C93" s="86"/>
      <c r="D93" s="107"/>
      <c r="E93" s="77"/>
      <c r="F93" s="84"/>
      <c r="G93" s="84"/>
      <c r="W93" s="1117"/>
      <c r="X93" s="72"/>
      <c r="Y93" s="72"/>
      <c r="Z93" s="72"/>
      <c r="AA93" s="72"/>
      <c r="AB93" s="72"/>
      <c r="AC93" s="114"/>
      <c r="AD93" s="114"/>
      <c r="AE93" s="114"/>
      <c r="AF93" s="114"/>
      <c r="AG93" s="114"/>
      <c r="AH93" s="114"/>
      <c r="AI93" s="114"/>
      <c r="AJ93" s="114"/>
      <c r="AK93" s="114"/>
      <c r="AL93" s="114"/>
      <c r="AM93" s="110"/>
    </row>
    <row r="94" spans="3:39" x14ac:dyDescent="0.3">
      <c r="C94" s="86"/>
      <c r="D94" s="119"/>
      <c r="E94" s="119"/>
      <c r="F94" s="84"/>
      <c r="G94" s="84"/>
      <c r="H94" s="84"/>
      <c r="I94" s="84"/>
      <c r="J94" s="84"/>
      <c r="K94" s="84"/>
      <c r="L94" s="84"/>
      <c r="M94" s="84"/>
      <c r="N94" s="84"/>
      <c r="O94" s="84"/>
      <c r="P94" s="84"/>
      <c r="Q94" s="84"/>
      <c r="R94" s="84"/>
      <c r="S94" s="120"/>
      <c r="T94" s="84"/>
      <c r="U94" s="84"/>
      <c r="V94" s="84"/>
      <c r="W94" s="72"/>
      <c r="X94" s="72"/>
      <c r="Y94" s="72"/>
      <c r="Z94" s="72"/>
      <c r="AA94" s="72"/>
      <c r="AB94" s="72"/>
      <c r="AC94" s="1284"/>
      <c r="AD94" s="1284"/>
      <c r="AE94" s="1284"/>
      <c r="AF94" s="1284"/>
      <c r="AG94" s="1284"/>
      <c r="AH94" s="1284"/>
      <c r="AI94" s="1284"/>
      <c r="AJ94" s="1284"/>
      <c r="AK94" s="1284"/>
      <c r="AL94" s="1284"/>
      <c r="AM94" s="110"/>
    </row>
    <row r="95" spans="3:39" x14ac:dyDescent="0.3">
      <c r="C95" s="86"/>
      <c r="D95" s="107" t="s">
        <v>479</v>
      </c>
      <c r="E95" s="77"/>
      <c r="F95" s="77"/>
      <c r="G95" s="72"/>
      <c r="H95" s="72"/>
      <c r="I95" s="72"/>
      <c r="J95" s="72"/>
      <c r="K95" s="72"/>
      <c r="L95" s="72"/>
      <c r="M95" s="72"/>
      <c r="N95" s="72"/>
      <c r="O95" s="72"/>
      <c r="P95" s="72"/>
      <c r="Q95" s="72"/>
      <c r="R95" s="72"/>
      <c r="S95" s="72"/>
      <c r="T95" s="72"/>
      <c r="U95" s="72"/>
      <c r="V95" s="72"/>
      <c r="W95" s="72"/>
      <c r="X95" s="72"/>
      <c r="Y95" s="72"/>
      <c r="Z95" s="72"/>
      <c r="AA95" s="72"/>
      <c r="AB95" s="72"/>
      <c r="AC95" s="1456">
        <f t="shared" ref="AC95:AL95" si="13">+AC92+AC84</f>
        <v>72.169469837930734</v>
      </c>
      <c r="AD95" s="1457">
        <f t="shared" si="13"/>
        <v>74.399449166374168</v>
      </c>
      <c r="AE95" s="1457">
        <f t="shared" si="13"/>
        <v>75.691158800394518</v>
      </c>
      <c r="AF95" s="1457">
        <f t="shared" si="13"/>
        <v>75.980141983741191</v>
      </c>
      <c r="AG95" s="1458">
        <f t="shared" si="13"/>
        <v>77.011878971844908</v>
      </c>
      <c r="AH95" s="1457">
        <f t="shared" si="13"/>
        <v>75.47114933831196</v>
      </c>
      <c r="AI95" s="1457">
        <f t="shared" si="13"/>
        <v>76.201399553889303</v>
      </c>
      <c r="AJ95" s="1457">
        <f t="shared" si="13"/>
        <v>76.943675197668682</v>
      </c>
      <c r="AK95" s="1457">
        <f t="shared" si="13"/>
        <v>77.698057986918883</v>
      </c>
      <c r="AL95" s="1458">
        <f t="shared" si="13"/>
        <v>78.464631841579532</v>
      </c>
      <c r="AM95" s="110"/>
    </row>
    <row r="96" spans="3:39" x14ac:dyDescent="0.3">
      <c r="C96" s="86"/>
      <c r="D96" s="107"/>
      <c r="E96" s="77"/>
      <c r="F96" s="77"/>
      <c r="G96" s="77"/>
      <c r="H96" s="77"/>
      <c r="I96" s="77"/>
      <c r="J96" s="77"/>
      <c r="K96" s="77"/>
      <c r="L96" s="77"/>
      <c r="M96" s="77"/>
      <c r="N96" s="77"/>
      <c r="O96" s="77"/>
      <c r="P96" s="77"/>
      <c r="Q96" s="77"/>
      <c r="R96" s="77"/>
      <c r="S96" s="77"/>
      <c r="T96" s="77"/>
      <c r="U96" s="77"/>
      <c r="V96" s="77"/>
      <c r="W96" s="1117"/>
      <c r="X96" s="72"/>
      <c r="Y96" s="72"/>
      <c r="Z96" s="72"/>
      <c r="AA96" s="72"/>
      <c r="AB96" s="72"/>
      <c r="AC96" s="1306"/>
      <c r="AD96" s="1306"/>
      <c r="AE96" s="1306"/>
      <c r="AF96" s="1306"/>
      <c r="AG96" s="1306"/>
      <c r="AH96" s="1306"/>
      <c r="AI96" s="1306"/>
      <c r="AJ96" s="1306"/>
      <c r="AK96" s="1306"/>
      <c r="AL96" s="1306"/>
      <c r="AM96" s="110"/>
    </row>
    <row r="97" spans="3:39" x14ac:dyDescent="0.3">
      <c r="C97" s="86"/>
      <c r="D97" s="107"/>
      <c r="E97" s="77"/>
      <c r="F97" s="77"/>
      <c r="G97" s="77"/>
      <c r="H97" s="77"/>
      <c r="I97" s="77"/>
      <c r="J97" s="77"/>
      <c r="K97" s="77"/>
      <c r="L97" s="77"/>
      <c r="M97" s="77"/>
      <c r="N97" s="77"/>
      <c r="O97" s="77"/>
      <c r="P97" s="77"/>
      <c r="Q97" s="77"/>
      <c r="R97" s="77"/>
      <c r="S97" s="77"/>
      <c r="T97" s="77"/>
      <c r="U97" s="77"/>
      <c r="V97" s="77"/>
      <c r="W97" s="72"/>
      <c r="X97" s="72"/>
      <c r="Y97" s="72"/>
      <c r="Z97" s="72"/>
      <c r="AA97" s="72"/>
      <c r="AB97" s="72"/>
      <c r="AC97" s="77"/>
      <c r="AD97" s="77"/>
      <c r="AE97" s="77"/>
      <c r="AF97" s="77"/>
      <c r="AG97" s="77"/>
      <c r="AH97" s="77"/>
      <c r="AI97" s="77"/>
      <c r="AJ97" s="77"/>
      <c r="AK97" s="77"/>
      <c r="AL97" s="77"/>
      <c r="AM97" s="110"/>
    </row>
    <row r="98" spans="3:39" x14ac:dyDescent="0.3">
      <c r="C98" s="86"/>
      <c r="D98" s="107"/>
      <c r="E98" s="77"/>
      <c r="F98" s="77"/>
      <c r="G98" s="77"/>
      <c r="H98" s="77"/>
      <c r="I98" s="77"/>
      <c r="J98" s="77"/>
      <c r="K98" s="77"/>
      <c r="L98" s="77"/>
      <c r="M98" s="77"/>
      <c r="N98" s="77"/>
      <c r="O98" s="77"/>
      <c r="P98" s="77"/>
      <c r="Q98" s="77"/>
      <c r="R98" s="77"/>
      <c r="S98" s="77"/>
      <c r="T98" s="77"/>
      <c r="U98" s="77"/>
      <c r="X98" s="72"/>
      <c r="AA98" s="72"/>
      <c r="AB98" s="1478" t="s">
        <v>505</v>
      </c>
      <c r="AC98" s="1459">
        <f>+Opex_Breakdown!AC37</f>
        <v>72.166811444741199</v>
      </c>
      <c r="AD98" s="1459">
        <f>+Opex_Breakdown!AD37</f>
        <v>74.399449166374225</v>
      </c>
      <c r="AE98" s="1459">
        <f>+Opex_Breakdown!AE37</f>
        <v>75.686399089103588</v>
      </c>
      <c r="AF98" s="1459">
        <f>+Opex_Breakdown!AF37</f>
        <v>75.975851115652773</v>
      </c>
      <c r="AG98" s="1460">
        <f>+Opex_Breakdown!AG37</f>
        <v>77.007652408133922</v>
      </c>
      <c r="AH98" s="1459">
        <f>+Opex_Breakdown!AH37</f>
        <v>75.468177568505567</v>
      </c>
      <c r="AI98" s="1459">
        <f>+Opex_Breakdown!AI37</f>
        <v>76.198565172746939</v>
      </c>
      <c r="AJ98" s="1459">
        <f>+Opex_Breakdown!AJ37</f>
        <v>76.940972824315253</v>
      </c>
      <c r="AK98" s="1459">
        <f>+Opex_Breakdown!AK37</f>
        <v>77.69548232064588</v>
      </c>
      <c r="AL98" s="1460">
        <f>+Opex_Breakdown!AL37</f>
        <v>78.462177676637253</v>
      </c>
      <c r="AM98" s="110"/>
    </row>
    <row r="99" spans="3:39" x14ac:dyDescent="0.3">
      <c r="C99" s="86"/>
      <c r="D99" s="107"/>
      <c r="E99" s="77"/>
      <c r="F99" s="77"/>
      <c r="G99" s="77"/>
      <c r="H99" s="77"/>
      <c r="I99" s="77"/>
      <c r="J99" s="77"/>
      <c r="K99" s="77"/>
      <c r="L99" s="77"/>
      <c r="M99" s="77"/>
      <c r="N99" s="77"/>
      <c r="O99" s="77"/>
      <c r="P99" s="77"/>
      <c r="Q99" s="77"/>
      <c r="R99" s="77"/>
      <c r="S99" s="77"/>
      <c r="T99" s="77"/>
      <c r="U99" s="77"/>
      <c r="X99" s="72"/>
      <c r="AA99" s="72"/>
      <c r="AB99" s="1478" t="s">
        <v>461</v>
      </c>
      <c r="AC99" s="1461">
        <f t="shared" ref="AC99:AL99" si="14">+AC98-AC95</f>
        <v>-2.6583931895345358E-3</v>
      </c>
      <c r="AD99" s="1461">
        <f t="shared" si="14"/>
        <v>0</v>
      </c>
      <c r="AE99" s="1461">
        <f t="shared" si="14"/>
        <v>-4.7597112909301131E-3</v>
      </c>
      <c r="AF99" s="1461">
        <f t="shared" si="14"/>
        <v>-4.2908680884181649E-3</v>
      </c>
      <c r="AG99" s="1462">
        <f t="shared" si="14"/>
        <v>-4.2265637109863974E-3</v>
      </c>
      <c r="AH99" s="1461">
        <f t="shared" si="14"/>
        <v>-2.971769806393354E-3</v>
      </c>
      <c r="AI99" s="1461">
        <f t="shared" si="14"/>
        <v>-2.8343811423638954E-3</v>
      </c>
      <c r="AJ99" s="1461">
        <f t="shared" si="14"/>
        <v>-2.702373353429266E-3</v>
      </c>
      <c r="AK99" s="1461">
        <f t="shared" si="14"/>
        <v>-2.5756662730032076E-3</v>
      </c>
      <c r="AL99" s="1462">
        <f t="shared" si="14"/>
        <v>-2.4541649422786804E-3</v>
      </c>
      <c r="AM99" s="110"/>
    </row>
    <row r="100" spans="3:39" x14ac:dyDescent="0.3">
      <c r="C100" s="86"/>
      <c r="D100" s="107"/>
      <c r="E100" s="77"/>
      <c r="F100" s="77"/>
      <c r="G100" s="77"/>
      <c r="H100" s="77"/>
      <c r="I100" s="77"/>
      <c r="J100" s="77"/>
      <c r="K100" s="77"/>
      <c r="L100" s="77"/>
      <c r="M100" s="77"/>
      <c r="N100" s="77"/>
      <c r="O100" s="77"/>
      <c r="P100" s="77"/>
      <c r="Q100" s="77"/>
      <c r="R100" s="77"/>
      <c r="S100" s="77"/>
      <c r="T100" s="77"/>
      <c r="U100" s="77"/>
      <c r="X100" s="72"/>
      <c r="AA100" s="72"/>
      <c r="AB100" s="250" t="s">
        <v>477</v>
      </c>
      <c r="AC100" s="1937">
        <f>IF(ROUND(AC98,2)=ROUND(AC95,2),0,1)</f>
        <v>0</v>
      </c>
      <c r="AD100" s="1937">
        <f t="shared" ref="AD100:AL100" si="15">IF(ROUND(AD98,2)=ROUND(AD95,2),0,1)</f>
        <v>0</v>
      </c>
      <c r="AE100" s="1937">
        <f t="shared" si="15"/>
        <v>0</v>
      </c>
      <c r="AF100" s="1937">
        <f t="shared" si="15"/>
        <v>0</v>
      </c>
      <c r="AG100" s="1937">
        <f t="shared" si="15"/>
        <v>0</v>
      </c>
      <c r="AH100" s="1937">
        <f t="shared" si="15"/>
        <v>0</v>
      </c>
      <c r="AI100" s="1937">
        <f t="shared" si="15"/>
        <v>0</v>
      </c>
      <c r="AJ100" s="1937">
        <f t="shared" si="15"/>
        <v>0</v>
      </c>
      <c r="AK100" s="1937">
        <f t="shared" si="15"/>
        <v>0</v>
      </c>
      <c r="AL100" s="1937">
        <f t="shared" si="15"/>
        <v>0</v>
      </c>
      <c r="AM100" s="110"/>
    </row>
    <row r="101" spans="3:39" x14ac:dyDescent="0.3">
      <c r="C101" s="92"/>
      <c r="D101" s="78"/>
      <c r="E101" s="78"/>
      <c r="F101" s="78"/>
      <c r="G101" s="78"/>
      <c r="H101" s="78"/>
      <c r="I101" s="78"/>
      <c r="J101" s="78"/>
      <c r="K101" s="78"/>
      <c r="L101" s="78"/>
      <c r="M101" s="78"/>
      <c r="N101" s="78"/>
      <c r="O101" s="78"/>
      <c r="P101" s="78"/>
      <c r="Q101" s="78"/>
      <c r="R101" s="78"/>
      <c r="S101" s="78"/>
      <c r="T101" s="78"/>
      <c r="U101" s="78"/>
      <c r="V101" s="121"/>
      <c r="W101" s="78"/>
      <c r="X101" s="122"/>
      <c r="Y101" s="122"/>
      <c r="Z101" s="122"/>
      <c r="AA101" s="122"/>
      <c r="AB101" s="122"/>
      <c r="AC101" s="122"/>
      <c r="AD101" s="122"/>
      <c r="AE101" s="122"/>
      <c r="AF101" s="122"/>
      <c r="AG101" s="122"/>
      <c r="AH101" s="122"/>
      <c r="AI101" s="122"/>
      <c r="AJ101" s="122"/>
      <c r="AK101" s="122"/>
      <c r="AL101" s="122"/>
      <c r="AM101" s="94"/>
    </row>
    <row r="102" spans="3:39" x14ac:dyDescent="0.3">
      <c r="W102" s="72"/>
    </row>
    <row r="139" spans="21:38" x14ac:dyDescent="0.3">
      <c r="U139" s="134"/>
      <c r="V139" s="134"/>
      <c r="W139" s="134"/>
      <c r="AC139" s="1463" t="str">
        <f t="shared" ref="AC139:AL139" si="16">+AC$160</f>
        <v>2023-24</v>
      </c>
      <c r="AD139" s="1463" t="str">
        <f t="shared" si="16"/>
        <v>2024-25</v>
      </c>
      <c r="AE139" s="1463" t="str">
        <f t="shared" si="16"/>
        <v>2025-26</v>
      </c>
      <c r="AF139" s="1463" t="str">
        <f t="shared" si="16"/>
        <v>2026-27</v>
      </c>
      <c r="AG139" s="1463" t="str">
        <f t="shared" si="16"/>
        <v>2027-28</v>
      </c>
      <c r="AH139" s="1463" t="str">
        <f t="shared" si="16"/>
        <v>2028-29</v>
      </c>
      <c r="AI139" s="1463" t="str">
        <f t="shared" si="16"/>
        <v>2029-30</v>
      </c>
      <c r="AJ139" s="1463" t="str">
        <f t="shared" si="16"/>
        <v>2030-31</v>
      </c>
      <c r="AK139" s="1463" t="str">
        <f t="shared" si="16"/>
        <v>2031-32</v>
      </c>
      <c r="AL139" s="1463" t="str">
        <f t="shared" si="16"/>
        <v>2032-33</v>
      </c>
    </row>
    <row r="140" spans="21:38" x14ac:dyDescent="0.3">
      <c r="U140" s="134"/>
      <c r="V140" s="134"/>
      <c r="Y140" s="135"/>
      <c r="AB140" s="135" t="s">
        <v>618</v>
      </c>
      <c r="AC140" s="1464">
        <f t="shared" ref="AC140:AL140" si="17">+AC84</f>
        <v>66.077826433236439</v>
      </c>
      <c r="AD140" s="1464">
        <f t="shared" si="17"/>
        <v>67.155205369279216</v>
      </c>
      <c r="AE140" s="1464">
        <f t="shared" si="17"/>
        <v>68.492623908167133</v>
      </c>
      <c r="AF140" s="1464">
        <f t="shared" si="17"/>
        <v>68.921287246104214</v>
      </c>
      <c r="AG140" s="1464">
        <f t="shared" si="17"/>
        <v>70.022553685423873</v>
      </c>
      <c r="AH140" s="1464">
        <f t="shared" si="17"/>
        <v>68.778435322015383</v>
      </c>
      <c r="AI140" s="1464">
        <f t="shared" si="17"/>
        <v>69.599047538245983</v>
      </c>
      <c r="AJ140" s="1464">
        <f t="shared" si="17"/>
        <v>70.429507101071351</v>
      </c>
      <c r="AK140" s="1464">
        <f t="shared" si="17"/>
        <v>71.26993217865062</v>
      </c>
      <c r="AL140" s="1464">
        <f t="shared" si="17"/>
        <v>72.12044235716084</v>
      </c>
    </row>
    <row r="141" spans="21:38" x14ac:dyDescent="0.3">
      <c r="U141" s="134"/>
      <c r="V141" s="134"/>
      <c r="Y141" s="136"/>
      <c r="AB141" s="136" t="s">
        <v>496</v>
      </c>
      <c r="AC141" s="1465"/>
      <c r="AD141" s="1465">
        <f t="shared" ref="AD141:AL141" si="18">+AD140-AC140</f>
        <v>1.077378936042777</v>
      </c>
      <c r="AE141" s="1465">
        <f t="shared" si="18"/>
        <v>1.337418538887917</v>
      </c>
      <c r="AF141" s="1465">
        <f t="shared" si="18"/>
        <v>0.42866333793708122</v>
      </c>
      <c r="AG141" s="1465">
        <f t="shared" si="18"/>
        <v>1.1012664393196587</v>
      </c>
      <c r="AH141" s="1465">
        <f t="shared" si="18"/>
        <v>-1.2441183634084894</v>
      </c>
      <c r="AI141" s="1465">
        <f t="shared" si="18"/>
        <v>0.82061221623060021</v>
      </c>
      <c r="AJ141" s="1465">
        <f t="shared" si="18"/>
        <v>0.83045956282536793</v>
      </c>
      <c r="AK141" s="1465">
        <f t="shared" si="18"/>
        <v>0.84042507757926899</v>
      </c>
      <c r="AL141" s="1465">
        <f t="shared" si="18"/>
        <v>0.85051017851021982</v>
      </c>
    </row>
    <row r="142" spans="21:38" x14ac:dyDescent="0.3">
      <c r="U142" s="134"/>
      <c r="V142" s="134"/>
      <c r="Y142" s="136"/>
      <c r="AB142" s="136" t="s">
        <v>497</v>
      </c>
      <c r="AC142" s="1466" t="str">
        <f t="shared" ref="AC142:AL142" si="19">IFERROR(AC141/AB140,"")</f>
        <v/>
      </c>
      <c r="AD142" s="1466">
        <f t="shared" si="19"/>
        <v>1.6304696964137232E-2</v>
      </c>
      <c r="AE142" s="1466">
        <f t="shared" si="19"/>
        <v>1.991533689061923E-2</v>
      </c>
      <c r="AF142" s="1466">
        <f t="shared" si="19"/>
        <v>6.2585328678869167E-3</v>
      </c>
      <c r="AG142" s="1466">
        <f t="shared" si="19"/>
        <v>1.597861101153342E-2</v>
      </c>
      <c r="AH142" s="1466">
        <f t="shared" si="19"/>
        <v>-1.7767394902472249E-2</v>
      </c>
      <c r="AI142" s="1466">
        <f t="shared" si="19"/>
        <v>1.1931242872690494E-2</v>
      </c>
      <c r="AJ142" s="1466">
        <f t="shared" si="19"/>
        <v>1.1932053558190072E-2</v>
      </c>
      <c r="AK142" s="1466">
        <f t="shared" si="19"/>
        <v>1.1932854739039976E-2</v>
      </c>
      <c r="AL142" s="1466">
        <f t="shared" si="19"/>
        <v>1.1933646525413641E-2</v>
      </c>
    </row>
    <row r="143" spans="21:38" x14ac:dyDescent="0.3">
      <c r="U143" s="134"/>
      <c r="V143" s="134"/>
      <c r="Y143" s="134"/>
      <c r="AB143" s="134"/>
      <c r="AC143" s="134"/>
      <c r="AD143" s="134"/>
      <c r="AE143" s="134"/>
      <c r="AF143" s="134"/>
      <c r="AG143" s="134"/>
      <c r="AH143" s="134"/>
      <c r="AI143" s="134"/>
      <c r="AJ143" s="134"/>
      <c r="AK143" s="134"/>
      <c r="AL143" s="134"/>
    </row>
    <row r="144" spans="21:38" x14ac:dyDescent="0.3">
      <c r="U144" s="134"/>
      <c r="V144" s="134"/>
      <c r="Y144" s="134"/>
      <c r="AB144" s="134"/>
      <c r="AC144" s="1463" t="str">
        <f t="shared" ref="AC144:AL144" si="20">+AC$160</f>
        <v>2023-24</v>
      </c>
      <c r="AD144" s="1463" t="str">
        <f t="shared" si="20"/>
        <v>2024-25</v>
      </c>
      <c r="AE144" s="1463" t="str">
        <f t="shared" si="20"/>
        <v>2025-26</v>
      </c>
      <c r="AF144" s="1463" t="str">
        <f t="shared" si="20"/>
        <v>2026-27</v>
      </c>
      <c r="AG144" s="1463" t="str">
        <f t="shared" si="20"/>
        <v>2027-28</v>
      </c>
      <c r="AH144" s="1463" t="str">
        <f t="shared" si="20"/>
        <v>2028-29</v>
      </c>
      <c r="AI144" s="1463" t="str">
        <f t="shared" si="20"/>
        <v>2029-30</v>
      </c>
      <c r="AJ144" s="1463" t="str">
        <f t="shared" si="20"/>
        <v>2030-31</v>
      </c>
      <c r="AK144" s="1463" t="str">
        <f t="shared" si="20"/>
        <v>2031-32</v>
      </c>
      <c r="AL144" s="1463" t="str">
        <f t="shared" si="20"/>
        <v>2032-33</v>
      </c>
    </row>
    <row r="145" spans="20:38" x14ac:dyDescent="0.3">
      <c r="U145" s="134"/>
      <c r="V145" s="134"/>
      <c r="Y145" s="135"/>
      <c r="AB145" s="135" t="s">
        <v>619</v>
      </c>
      <c r="AC145" s="1464">
        <f t="shared" ref="AC145:AL145" si="21">+AC92</f>
        <v>6.0916434046942891</v>
      </c>
      <c r="AD145" s="1464">
        <f t="shared" si="21"/>
        <v>7.2442437970949465</v>
      </c>
      <c r="AE145" s="1464">
        <f t="shared" si="21"/>
        <v>7.1985348922273893</v>
      </c>
      <c r="AF145" s="1464">
        <f t="shared" si="21"/>
        <v>7.0588547376369801</v>
      </c>
      <c r="AG145" s="1464">
        <f t="shared" si="21"/>
        <v>6.9893252864210291</v>
      </c>
      <c r="AH145" s="1464">
        <f t="shared" si="21"/>
        <v>6.6927140162965753</v>
      </c>
      <c r="AI145" s="1464">
        <f t="shared" si="21"/>
        <v>6.6023520156433158</v>
      </c>
      <c r="AJ145" s="1464">
        <f t="shared" si="21"/>
        <v>6.5141680965973343</v>
      </c>
      <c r="AK145" s="1464">
        <f t="shared" si="21"/>
        <v>6.4281258082682635</v>
      </c>
      <c r="AL145" s="1464">
        <f t="shared" si="21"/>
        <v>6.3441894844186919</v>
      </c>
    </row>
    <row r="146" spans="20:38" x14ac:dyDescent="0.3">
      <c r="U146" s="134"/>
      <c r="V146" s="134"/>
      <c r="Y146" s="136"/>
      <c r="AB146" s="136" t="s">
        <v>496</v>
      </c>
      <c r="AC146" s="1465"/>
      <c r="AD146" s="1465">
        <f t="shared" ref="AD146:AL146" si="22">+AD145-AC145</f>
        <v>1.1526003924006574</v>
      </c>
      <c r="AE146" s="1465">
        <f t="shared" si="22"/>
        <v>-4.5708904867557187E-2</v>
      </c>
      <c r="AF146" s="1465">
        <f t="shared" si="22"/>
        <v>-0.13968015459040917</v>
      </c>
      <c r="AG146" s="1465">
        <f t="shared" si="22"/>
        <v>-6.9529451215950999E-2</v>
      </c>
      <c r="AH146" s="1465">
        <f t="shared" si="22"/>
        <v>-0.29661127012445387</v>
      </c>
      <c r="AI146" s="1465">
        <f t="shared" si="22"/>
        <v>-9.03620006532595E-2</v>
      </c>
      <c r="AJ146" s="1465">
        <f t="shared" si="22"/>
        <v>-8.818391904598144E-2</v>
      </c>
      <c r="AK146" s="1465">
        <f t="shared" si="22"/>
        <v>-8.6042288329070793E-2</v>
      </c>
      <c r="AL146" s="1465">
        <f t="shared" si="22"/>
        <v>-8.3936323849571615E-2</v>
      </c>
    </row>
    <row r="147" spans="20:38" x14ac:dyDescent="0.3">
      <c r="U147" s="134"/>
      <c r="V147" s="134"/>
      <c r="Y147" s="136"/>
      <c r="AB147" s="136" t="s">
        <v>497</v>
      </c>
      <c r="AC147" s="1466" t="str">
        <f t="shared" ref="AC147:AL147" si="23">IFERROR(AC146/AB145,"")</f>
        <v/>
      </c>
      <c r="AD147" s="1466">
        <f t="shared" si="23"/>
        <v>0.18921008926958044</v>
      </c>
      <c r="AE147" s="1466">
        <f t="shared" si="23"/>
        <v>-6.3096861657095478E-3</v>
      </c>
      <c r="AF147" s="1466">
        <f t="shared" si="23"/>
        <v>-1.9403969930218534E-2</v>
      </c>
      <c r="AG147" s="1466">
        <f t="shared" si="23"/>
        <v>-9.8499620406166128E-3</v>
      </c>
      <c r="AH147" s="1466">
        <f t="shared" si="23"/>
        <v>-4.2437754428272911E-2</v>
      </c>
      <c r="AI147" s="1466">
        <f t="shared" si="23"/>
        <v>-1.3501548166144631E-2</v>
      </c>
      <c r="AJ147" s="1466">
        <f t="shared" si="23"/>
        <v>-1.3356440074240578E-2</v>
      </c>
      <c r="AK147" s="1466">
        <f t="shared" si="23"/>
        <v>-1.3208484499197195E-2</v>
      </c>
      <c r="AL147" s="1466">
        <f t="shared" si="23"/>
        <v>-1.3057666628367383E-2</v>
      </c>
    </row>
    <row r="148" spans="20:38" x14ac:dyDescent="0.3">
      <c r="U148" s="134"/>
      <c r="V148" s="134"/>
      <c r="Y148" s="134"/>
      <c r="AB148" s="134"/>
      <c r="AC148" s="134"/>
      <c r="AD148" s="134"/>
      <c r="AE148" s="134"/>
      <c r="AF148" s="134"/>
      <c r="AG148" s="134"/>
      <c r="AH148" s="134"/>
      <c r="AI148" s="134"/>
      <c r="AJ148" s="134"/>
      <c r="AK148" s="134"/>
      <c r="AL148" s="134"/>
    </row>
    <row r="149" spans="20:38" x14ac:dyDescent="0.3">
      <c r="U149" s="134"/>
      <c r="V149" s="134"/>
      <c r="Y149" s="134"/>
      <c r="AB149" s="134"/>
      <c r="AC149" s="1463" t="str">
        <f t="shared" ref="AC149:AL149" si="24">+AC$160</f>
        <v>2023-24</v>
      </c>
      <c r="AD149" s="1463" t="str">
        <f t="shared" si="24"/>
        <v>2024-25</v>
      </c>
      <c r="AE149" s="1463" t="str">
        <f t="shared" si="24"/>
        <v>2025-26</v>
      </c>
      <c r="AF149" s="1463" t="str">
        <f t="shared" si="24"/>
        <v>2026-27</v>
      </c>
      <c r="AG149" s="1463" t="str">
        <f t="shared" si="24"/>
        <v>2027-28</v>
      </c>
      <c r="AH149" s="1463" t="str">
        <f t="shared" si="24"/>
        <v>2028-29</v>
      </c>
      <c r="AI149" s="1463" t="str">
        <f t="shared" si="24"/>
        <v>2029-30</v>
      </c>
      <c r="AJ149" s="1463" t="str">
        <f t="shared" si="24"/>
        <v>2030-31</v>
      </c>
      <c r="AK149" s="1463" t="str">
        <f t="shared" si="24"/>
        <v>2031-32</v>
      </c>
      <c r="AL149" s="1463" t="str">
        <f t="shared" si="24"/>
        <v>2032-33</v>
      </c>
    </row>
    <row r="150" spans="20:38" x14ac:dyDescent="0.3">
      <c r="U150" s="134"/>
      <c r="V150" s="134"/>
      <c r="Y150" s="135"/>
      <c r="AB150" s="135" t="s">
        <v>620</v>
      </c>
      <c r="AC150" s="1464">
        <f t="shared" ref="AC150:AL150" si="25">+AC140+AC145</f>
        <v>72.169469837930734</v>
      </c>
      <c r="AD150" s="1464">
        <f t="shared" si="25"/>
        <v>74.399449166374168</v>
      </c>
      <c r="AE150" s="1464">
        <f t="shared" si="25"/>
        <v>75.691158800394518</v>
      </c>
      <c r="AF150" s="1464">
        <f t="shared" si="25"/>
        <v>75.980141983741191</v>
      </c>
      <c r="AG150" s="1464">
        <f t="shared" si="25"/>
        <v>77.011878971844908</v>
      </c>
      <c r="AH150" s="1464">
        <f t="shared" si="25"/>
        <v>75.47114933831196</v>
      </c>
      <c r="AI150" s="1464">
        <f t="shared" si="25"/>
        <v>76.201399553889303</v>
      </c>
      <c r="AJ150" s="1464">
        <f t="shared" si="25"/>
        <v>76.943675197668682</v>
      </c>
      <c r="AK150" s="1464">
        <f t="shared" si="25"/>
        <v>77.698057986918883</v>
      </c>
      <c r="AL150" s="1464">
        <f t="shared" si="25"/>
        <v>78.464631841579532</v>
      </c>
    </row>
    <row r="151" spans="20:38" x14ac:dyDescent="0.3">
      <c r="U151" s="134"/>
      <c r="V151" s="134"/>
      <c r="Y151" s="136"/>
      <c r="AB151" s="136" t="s">
        <v>496</v>
      </c>
      <c r="AC151" s="1465"/>
      <c r="AD151" s="1465">
        <f t="shared" ref="AD151:AL151" si="26">+AD150-AC150</f>
        <v>2.2299793284434344</v>
      </c>
      <c r="AE151" s="1465">
        <f t="shared" si="26"/>
        <v>1.29170963402035</v>
      </c>
      <c r="AF151" s="1465">
        <f t="shared" si="26"/>
        <v>0.28898318334667294</v>
      </c>
      <c r="AG151" s="1465">
        <f t="shared" si="26"/>
        <v>1.0317369881037166</v>
      </c>
      <c r="AH151" s="1465">
        <f t="shared" si="26"/>
        <v>-1.5407296335329477</v>
      </c>
      <c r="AI151" s="1465">
        <f t="shared" si="26"/>
        <v>0.73025021557734249</v>
      </c>
      <c r="AJ151" s="1465">
        <f t="shared" si="26"/>
        <v>0.74227564377937938</v>
      </c>
      <c r="AK151" s="1465">
        <f t="shared" si="26"/>
        <v>0.75438278925020086</v>
      </c>
      <c r="AL151" s="1465">
        <f t="shared" si="26"/>
        <v>0.76657385466064909</v>
      </c>
    </row>
    <row r="152" spans="20:38" x14ac:dyDescent="0.3">
      <c r="U152" s="134"/>
      <c r="V152" s="134"/>
      <c r="Y152" s="136"/>
      <c r="AB152" s="136" t="s">
        <v>497</v>
      </c>
      <c r="AC152" s="1466" t="str">
        <f t="shared" ref="AC152:AL152" si="27">IFERROR(AC151/AB150,"")</f>
        <v/>
      </c>
      <c r="AD152" s="1466">
        <f t="shared" si="27"/>
        <v>3.0899206180276036E-2</v>
      </c>
      <c r="AE152" s="1466">
        <f t="shared" si="27"/>
        <v>1.7361817170605552E-2</v>
      </c>
      <c r="AF152" s="1466">
        <f t="shared" si="27"/>
        <v>3.8179252098485073E-3</v>
      </c>
      <c r="AG152" s="1466">
        <f t="shared" si="27"/>
        <v>1.3579034747322472E-2</v>
      </c>
      <c r="AH152" s="1466">
        <f t="shared" si="27"/>
        <v>-2.0006389327239107E-2</v>
      </c>
      <c r="AI152" s="1466">
        <f t="shared" si="27"/>
        <v>9.6758857123518099E-3</v>
      </c>
      <c r="AJ152" s="1466">
        <f t="shared" si="27"/>
        <v>9.7409712698838975E-3</v>
      </c>
      <c r="AK152" s="1466">
        <f t="shared" si="27"/>
        <v>9.804350875002886E-3</v>
      </c>
      <c r="AL152" s="1466">
        <f t="shared" si="27"/>
        <v>9.8660619650198754E-3</v>
      </c>
    </row>
    <row r="153" spans="20:38" x14ac:dyDescent="0.3">
      <c r="U153" s="134"/>
      <c r="V153" s="134"/>
      <c r="W153" s="134"/>
      <c r="X153" s="134"/>
      <c r="Y153" s="134"/>
      <c r="AB153" s="134"/>
      <c r="AC153" s="134"/>
      <c r="AD153" s="134"/>
      <c r="AE153" s="134"/>
      <c r="AF153" s="134"/>
      <c r="AG153" s="134"/>
      <c r="AH153" s="134"/>
      <c r="AI153" s="134"/>
      <c r="AJ153" s="134"/>
      <c r="AK153" s="134"/>
      <c r="AL153" s="134"/>
    </row>
    <row r="154" spans="20:38" x14ac:dyDescent="0.3">
      <c r="U154" s="134"/>
      <c r="V154" s="134"/>
      <c r="W154" s="134"/>
      <c r="X154" s="134"/>
      <c r="Y154" s="134"/>
      <c r="AB154" s="134"/>
      <c r="AC154" s="134"/>
      <c r="AD154" s="134"/>
      <c r="AE154" s="134"/>
      <c r="AF154" s="134"/>
      <c r="AG154" s="134"/>
      <c r="AH154" s="134"/>
      <c r="AI154" s="134"/>
      <c r="AJ154" s="134"/>
      <c r="AK154" s="134"/>
      <c r="AL154" s="134"/>
    </row>
    <row r="155" spans="20:38" x14ac:dyDescent="0.3">
      <c r="U155" s="134"/>
      <c r="V155" s="134"/>
      <c r="X155" s="134"/>
      <c r="Y155" s="135"/>
      <c r="AB155" s="135" t="s">
        <v>621</v>
      </c>
      <c r="AC155" s="1463" t="str">
        <f t="shared" ref="AC155:AL155" si="28">+AC$160</f>
        <v>2023-24</v>
      </c>
      <c r="AD155" s="1463" t="str">
        <f t="shared" si="28"/>
        <v>2024-25</v>
      </c>
      <c r="AE155" s="1463" t="str">
        <f t="shared" si="28"/>
        <v>2025-26</v>
      </c>
      <c r="AF155" s="1463" t="str">
        <f t="shared" si="28"/>
        <v>2026-27</v>
      </c>
      <c r="AG155" s="1463" t="str">
        <f t="shared" si="28"/>
        <v>2027-28</v>
      </c>
      <c r="AH155" s="1463" t="str">
        <f t="shared" si="28"/>
        <v>2028-29</v>
      </c>
      <c r="AI155" s="1463" t="str">
        <f t="shared" si="28"/>
        <v>2029-30</v>
      </c>
      <c r="AJ155" s="1463" t="str">
        <f t="shared" si="28"/>
        <v>2030-31</v>
      </c>
      <c r="AK155" s="1463" t="str">
        <f t="shared" si="28"/>
        <v>2031-32</v>
      </c>
      <c r="AL155" s="1463" t="str">
        <f t="shared" si="28"/>
        <v>2032-33</v>
      </c>
    </row>
    <row r="156" spans="20:38" x14ac:dyDescent="0.3">
      <c r="U156" s="134"/>
      <c r="V156" s="134"/>
      <c r="X156" s="134"/>
      <c r="Y156" s="136"/>
      <c r="AB156" s="136" t="s">
        <v>498</v>
      </c>
      <c r="AC156" s="1467">
        <f t="shared" ref="AC156:AL156" si="29">+AC84/AC95</f>
        <v>0.91559251552804599</v>
      </c>
      <c r="AD156" s="1467">
        <f t="shared" si="29"/>
        <v>0.90263041086641427</v>
      </c>
      <c r="AE156" s="1467">
        <f t="shared" si="29"/>
        <v>0.9048959613472074</v>
      </c>
      <c r="AF156" s="1467">
        <f t="shared" si="29"/>
        <v>0.90709605755741429</v>
      </c>
      <c r="AG156" s="1467">
        <f t="shared" si="29"/>
        <v>0.90924354294775367</v>
      </c>
      <c r="AH156" s="1467">
        <f t="shared" si="29"/>
        <v>0.91132089447458431</v>
      </c>
      <c r="AI156" s="1467">
        <f t="shared" si="29"/>
        <v>0.91335655179175335</v>
      </c>
      <c r="AJ156" s="1467">
        <f t="shared" si="29"/>
        <v>0.9153384851989147</v>
      </c>
      <c r="AK156" s="1467">
        <f t="shared" si="29"/>
        <v>0.91726787033273738</v>
      </c>
      <c r="AL156" s="1467">
        <f t="shared" si="29"/>
        <v>0.91914587075068876</v>
      </c>
    </row>
    <row r="157" spans="20:38" x14ac:dyDescent="0.3">
      <c r="U157" s="134"/>
      <c r="V157" s="134"/>
      <c r="X157" s="134"/>
      <c r="Y157" s="136"/>
      <c r="AB157" s="136" t="s">
        <v>499</v>
      </c>
      <c r="AC157" s="1468">
        <f t="shared" ref="AC157:AL157" si="30">+AC92/AC95</f>
        <v>8.4407484471953981E-2</v>
      </c>
      <c r="AD157" s="1468">
        <f t="shared" si="30"/>
        <v>9.7369589133585677E-2</v>
      </c>
      <c r="AE157" s="1468">
        <f t="shared" si="30"/>
        <v>9.5104038652792683E-2</v>
      </c>
      <c r="AF157" s="1468">
        <f t="shared" si="30"/>
        <v>9.2903942442585694E-2</v>
      </c>
      <c r="AG157" s="1468">
        <f t="shared" si="30"/>
        <v>9.0756457052246262E-2</v>
      </c>
      <c r="AH157" s="1468">
        <f t="shared" si="30"/>
        <v>8.8679105525415719E-2</v>
      </c>
      <c r="AI157" s="1468">
        <f t="shared" si="30"/>
        <v>8.6643448208246626E-2</v>
      </c>
      <c r="AJ157" s="1468">
        <f t="shared" si="30"/>
        <v>8.46615148010854E-2</v>
      </c>
      <c r="AK157" s="1468">
        <f t="shared" si="30"/>
        <v>8.2732129667262622E-2</v>
      </c>
      <c r="AL157" s="1468">
        <f t="shared" si="30"/>
        <v>8.0854129249311221E-2</v>
      </c>
    </row>
    <row r="158" spans="20:38" x14ac:dyDescent="0.3">
      <c r="U158" s="134"/>
      <c r="V158" s="134"/>
      <c r="W158" s="134"/>
      <c r="X158" s="134"/>
      <c r="Y158" s="134"/>
      <c r="AC158" s="1469">
        <f t="shared" ref="AC158:AL158" si="31">SUM(AC156:AC157)</f>
        <v>1</v>
      </c>
      <c r="AD158" s="1469">
        <f t="shared" si="31"/>
        <v>1</v>
      </c>
      <c r="AE158" s="1469">
        <f t="shared" si="31"/>
        <v>1</v>
      </c>
      <c r="AF158" s="1469">
        <f t="shared" si="31"/>
        <v>1</v>
      </c>
      <c r="AG158" s="1469">
        <f t="shared" si="31"/>
        <v>0.99999999999999989</v>
      </c>
      <c r="AH158" s="1469">
        <f t="shared" si="31"/>
        <v>1</v>
      </c>
      <c r="AI158" s="1469">
        <f t="shared" si="31"/>
        <v>1</v>
      </c>
      <c r="AJ158" s="1469">
        <f t="shared" si="31"/>
        <v>1</v>
      </c>
      <c r="AK158" s="1469">
        <f t="shared" si="31"/>
        <v>1</v>
      </c>
      <c r="AL158" s="1469">
        <f t="shared" si="31"/>
        <v>1</v>
      </c>
    </row>
    <row r="159" spans="20:38" x14ac:dyDescent="0.3">
      <c r="U159" s="134"/>
      <c r="V159" s="140"/>
      <c r="W159" s="140"/>
      <c r="X159" s="134"/>
      <c r="Y159" s="134"/>
      <c r="Z159" s="134"/>
      <c r="AA159" s="134"/>
      <c r="AB159" s="134"/>
      <c r="AC159" s="134"/>
      <c r="AD159" s="134"/>
      <c r="AE159" s="134"/>
      <c r="AF159" s="134"/>
      <c r="AG159" s="134"/>
      <c r="AH159" s="134"/>
      <c r="AI159" s="134"/>
      <c r="AJ159" s="134"/>
      <c r="AK159" s="134"/>
      <c r="AL159" s="134"/>
    </row>
    <row r="160" spans="20:38" x14ac:dyDescent="0.3">
      <c r="T160" s="123"/>
      <c r="U160" s="140"/>
      <c r="V160" s="140"/>
      <c r="W160" s="140"/>
      <c r="X160" s="134"/>
      <c r="Y160" s="134"/>
      <c r="Z160" s="134"/>
      <c r="AA160" s="1470" t="str">
        <f t="shared" ref="AA160:AG160" si="32">+AA6</f>
        <v>2021-22</v>
      </c>
      <c r="AB160" s="1470" t="str">
        <f t="shared" si="32"/>
        <v>2022-23</v>
      </c>
      <c r="AC160" s="1470" t="str">
        <f t="shared" si="32"/>
        <v>2023-24</v>
      </c>
      <c r="AD160" s="1470" t="str">
        <f t="shared" si="32"/>
        <v>2024-25</v>
      </c>
      <c r="AE160" s="1470" t="str">
        <f t="shared" si="32"/>
        <v>2025-26</v>
      </c>
      <c r="AF160" s="1470" t="str">
        <f t="shared" si="32"/>
        <v>2026-27</v>
      </c>
      <c r="AG160" s="1470" t="str">
        <f t="shared" si="32"/>
        <v>2027-28</v>
      </c>
      <c r="AH160" s="1470" t="str">
        <f>+AH6</f>
        <v>2028-29</v>
      </c>
      <c r="AI160" s="1470" t="str">
        <f>+AI6</f>
        <v>2029-30</v>
      </c>
      <c r="AJ160" s="1470" t="str">
        <f>+AJ6</f>
        <v>2030-31</v>
      </c>
      <c r="AK160" s="1470" t="str">
        <f>+AK6</f>
        <v>2031-32</v>
      </c>
      <c r="AL160" s="1470" t="str">
        <f>+AL6</f>
        <v>2032-33</v>
      </c>
    </row>
    <row r="161" spans="13:38" x14ac:dyDescent="0.3">
      <c r="T161" s="123"/>
      <c r="X161" s="134"/>
      <c r="Y161" s="134" t="s">
        <v>919</v>
      </c>
      <c r="Z161" s="137" t="s">
        <v>578</v>
      </c>
      <c r="AA161" s="1542">
        <f>+AA169-SUM(AA162:AA168)</f>
        <v>70.581107602468151</v>
      </c>
      <c r="AB161" s="1543">
        <f>+AB169-SUM(AB162:AB168)</f>
        <v>71.243257038247776</v>
      </c>
      <c r="AC161" s="1479"/>
      <c r="AD161" s="142"/>
      <c r="AE161" s="142"/>
      <c r="AF161" s="142"/>
      <c r="AG161" s="142"/>
      <c r="AH161" s="142"/>
      <c r="AI161" s="142"/>
      <c r="AJ161" s="142"/>
      <c r="AK161" s="142"/>
      <c r="AL161" s="142"/>
    </row>
    <row r="162" spans="13:38" x14ac:dyDescent="0.3">
      <c r="T162" s="77"/>
      <c r="X162" s="134"/>
      <c r="Y162" s="134"/>
      <c r="Z162" s="137" t="s">
        <v>500</v>
      </c>
      <c r="AA162" s="1471"/>
      <c r="AB162" s="1471"/>
      <c r="AC162" s="1480">
        <f t="shared" ref="AC162:AL162" si="33">+AC61</f>
        <v>64.424961744045603</v>
      </c>
      <c r="AD162" s="1471">
        <f t="shared" si="33"/>
        <v>65.198061284974145</v>
      </c>
      <c r="AE162" s="1471">
        <f t="shared" si="33"/>
        <v>65.980438020393834</v>
      </c>
      <c r="AF162" s="1471">
        <f t="shared" si="33"/>
        <v>66.772203276638564</v>
      </c>
      <c r="AG162" s="1471">
        <f t="shared" si="33"/>
        <v>67.573469715958225</v>
      </c>
      <c r="AH162" s="1471">
        <f t="shared" si="33"/>
        <v>68.384351352549729</v>
      </c>
      <c r="AI162" s="1471">
        <f t="shared" si="33"/>
        <v>69.204963568780329</v>
      </c>
      <c r="AJ162" s="1471">
        <f t="shared" si="33"/>
        <v>70.035423131605697</v>
      </c>
      <c r="AK162" s="1471">
        <f t="shared" si="33"/>
        <v>70.875848209184966</v>
      </c>
      <c r="AL162" s="1471">
        <f t="shared" si="33"/>
        <v>71.726358387695186</v>
      </c>
    </row>
    <row r="163" spans="13:38" x14ac:dyDescent="0.3">
      <c r="T163" s="77"/>
      <c r="X163" s="134"/>
      <c r="Y163" s="134"/>
      <c r="Z163" s="137" t="s">
        <v>577</v>
      </c>
      <c r="AA163" s="1471"/>
      <c r="AB163" s="1471"/>
      <c r="AC163" s="1480">
        <f t="shared" ref="AC163:AL163" si="34">+AC81</f>
        <v>1.6528646891908396</v>
      </c>
      <c r="AD163" s="1471">
        <f t="shared" si="34"/>
        <v>1.9571440843050687</v>
      </c>
      <c r="AE163" s="1471">
        <f t="shared" si="34"/>
        <v>2.5121858877732919</v>
      </c>
      <c r="AF163" s="1471">
        <f t="shared" si="34"/>
        <v>2.1490839694656487</v>
      </c>
      <c r="AG163" s="1471">
        <f t="shared" si="34"/>
        <v>2.449083969465649</v>
      </c>
      <c r="AH163" s="1471">
        <f t="shared" si="34"/>
        <v>0.39408396946564883</v>
      </c>
      <c r="AI163" s="1471">
        <f t="shared" si="34"/>
        <v>0.39408396946564883</v>
      </c>
      <c r="AJ163" s="1471">
        <f t="shared" si="34"/>
        <v>0.39408396946564883</v>
      </c>
      <c r="AK163" s="1471">
        <f t="shared" si="34"/>
        <v>0.39408396946564883</v>
      </c>
      <c r="AL163" s="1471">
        <f t="shared" si="34"/>
        <v>0.39408396946564883</v>
      </c>
    </row>
    <row r="164" spans="13:38" x14ac:dyDescent="0.3">
      <c r="T164" s="77"/>
      <c r="X164" s="134"/>
      <c r="Y164" s="134"/>
      <c r="Z164" s="137" t="s">
        <v>15</v>
      </c>
      <c r="AA164" s="1989">
        <f>+AA193</f>
        <v>0</v>
      </c>
      <c r="AB164" s="1990">
        <f>+AB193</f>
        <v>0</v>
      </c>
      <c r="AC164" s="1480">
        <f t="shared" ref="AC164:AG164" si="35">+AC89</f>
        <v>0.35442249883575022</v>
      </c>
      <c r="AD164" s="1471">
        <f t="shared" si="35"/>
        <v>0.36019080066040599</v>
      </c>
      <c r="AE164" s="1471">
        <f t="shared" si="35"/>
        <v>0.36736402074742946</v>
      </c>
      <c r="AF164" s="1471">
        <f t="shared" si="35"/>
        <v>0.36966585718153994</v>
      </c>
      <c r="AG164" s="1471">
        <f t="shared" si="35"/>
        <v>0.37557331513767733</v>
      </c>
      <c r="AH164" s="1471">
        <f t="shared" ref="AH164:AL165" si="36">+AH89</f>
        <v>0.36890669447750407</v>
      </c>
      <c r="AI164" s="1471">
        <f t="shared" si="36"/>
        <v>0.37330913667686016</v>
      </c>
      <c r="AJ164" s="1471">
        <f t="shared" si="36"/>
        <v>0.37776437047015476</v>
      </c>
      <c r="AK164" s="1471">
        <f t="shared" si="36"/>
        <v>0.38227303013224134</v>
      </c>
      <c r="AL164" s="1471">
        <f t="shared" si="36"/>
        <v>0.38683575762349243</v>
      </c>
    </row>
    <row r="165" spans="13:38" x14ac:dyDescent="0.3">
      <c r="T165" s="77"/>
      <c r="X165" s="134"/>
      <c r="Y165" s="134"/>
      <c r="Z165" s="137" t="s">
        <v>328</v>
      </c>
      <c r="AA165" s="1989">
        <f>+AA194</f>
        <v>0</v>
      </c>
      <c r="AB165" s="1990">
        <f>+AB194</f>
        <v>0</v>
      </c>
      <c r="AC165" s="1480">
        <f t="shared" ref="AC165:AG165" si="37">+AC90</f>
        <v>4.9298525622029192</v>
      </c>
      <c r="AD165" s="1471">
        <f t="shared" si="37"/>
        <v>6.0635470838900023</v>
      </c>
      <c r="AE165" s="1471">
        <f t="shared" si="37"/>
        <v>5.9943256942346048</v>
      </c>
      <c r="AF165" s="1471">
        <f t="shared" si="37"/>
        <v>5.8470993091826529</v>
      </c>
      <c r="AG165" s="1471">
        <f t="shared" si="37"/>
        <v>5.758205922343576</v>
      </c>
      <c r="AH165" s="1471">
        <f t="shared" si="36"/>
        <v>5.4834433379296588</v>
      </c>
      <c r="AI165" s="1471">
        <f t="shared" si="36"/>
        <v>5.3786502461400234</v>
      </c>
      <c r="AJ165" s="1471">
        <f t="shared" si="36"/>
        <v>5.2758621872193761</v>
      </c>
      <c r="AK165" s="1471">
        <f t="shared" si="36"/>
        <v>5.175040631398665</v>
      </c>
      <c r="AL165" s="1471">
        <f t="shared" si="36"/>
        <v>5.0761478083583222</v>
      </c>
    </row>
    <row r="166" spans="13:38" x14ac:dyDescent="0.3">
      <c r="T166" s="77"/>
      <c r="X166" s="134"/>
      <c r="Y166" s="134"/>
      <c r="Z166" s="137" t="s">
        <v>501</v>
      </c>
      <c r="AA166" s="1989">
        <f>+AA191</f>
        <v>0</v>
      </c>
      <c r="AB166" s="1990">
        <f>+AB191</f>
        <v>0</v>
      </c>
      <c r="AC166" s="1480">
        <f t="shared" ref="AC166:AG166" si="38">+AC87</f>
        <v>0.64764458258572433</v>
      </c>
      <c r="AD166" s="1471">
        <f t="shared" si="38"/>
        <v>0.65818373544172548</v>
      </c>
      <c r="AE166" s="1471">
        <f t="shared" si="38"/>
        <v>0.67129085321641702</v>
      </c>
      <c r="AF166" s="1471">
        <f t="shared" si="38"/>
        <v>0.6754975289275913</v>
      </c>
      <c r="AG166" s="1471">
        <f t="shared" si="38"/>
        <v>0.68629202214934182</v>
      </c>
      <c r="AH166" s="1471">
        <f t="shared" ref="AH166:AL167" si="39">+AH87</f>
        <v>0.67411240375302706</v>
      </c>
      <c r="AI166" s="1471">
        <f t="shared" si="39"/>
        <v>0.68215706517938446</v>
      </c>
      <c r="AJ166" s="1471">
        <f t="shared" si="39"/>
        <v>0.69029819230124045</v>
      </c>
      <c r="AK166" s="1471">
        <f t="shared" si="39"/>
        <v>0.69853694397551813</v>
      </c>
      <c r="AL166" s="1471">
        <f t="shared" si="39"/>
        <v>0.70687449311089889</v>
      </c>
    </row>
    <row r="167" spans="13:38" x14ac:dyDescent="0.3">
      <c r="T167" s="77"/>
      <c r="X167" s="134"/>
      <c r="Y167" s="134"/>
      <c r="Z167" s="137" t="s">
        <v>390</v>
      </c>
      <c r="AA167" s="1989">
        <f>+AA192</f>
        <v>0</v>
      </c>
      <c r="AB167" s="1990">
        <f>+AB192</f>
        <v>0</v>
      </c>
      <c r="AC167" s="1480">
        <f t="shared" ref="AC167:AG167" si="40">+AC88</f>
        <v>0</v>
      </c>
      <c r="AD167" s="1471">
        <f t="shared" si="40"/>
        <v>0</v>
      </c>
      <c r="AE167" s="1471">
        <f t="shared" si="40"/>
        <v>0</v>
      </c>
      <c r="AF167" s="1471">
        <f t="shared" si="40"/>
        <v>0</v>
      </c>
      <c r="AG167" s="1471">
        <f t="shared" si="40"/>
        <v>0</v>
      </c>
      <c r="AH167" s="1471">
        <f t="shared" si="39"/>
        <v>0</v>
      </c>
      <c r="AI167" s="1471">
        <f t="shared" si="39"/>
        <v>0</v>
      </c>
      <c r="AJ167" s="1471">
        <f t="shared" si="39"/>
        <v>0</v>
      </c>
      <c r="AK167" s="1471">
        <f t="shared" si="39"/>
        <v>0</v>
      </c>
      <c r="AL167" s="1471">
        <f t="shared" si="39"/>
        <v>0</v>
      </c>
    </row>
    <row r="168" spans="13:38" x14ac:dyDescent="0.3">
      <c r="T168" s="77"/>
      <c r="X168" s="134"/>
      <c r="Y168" s="134"/>
      <c r="Z168" s="137" t="s">
        <v>480</v>
      </c>
      <c r="AA168" s="1991">
        <f>+AA195</f>
        <v>0</v>
      </c>
      <c r="AB168" s="1992">
        <f>+AB195</f>
        <v>0</v>
      </c>
      <c r="AC168" s="1481">
        <f t="shared" ref="AC168:AG168" si="41">+AC91</f>
        <v>0.15972376106989561</v>
      </c>
      <c r="AD168" s="1472">
        <f t="shared" si="41"/>
        <v>0.1623221771028128</v>
      </c>
      <c r="AE168" s="1472">
        <f t="shared" si="41"/>
        <v>0.16555432402893766</v>
      </c>
      <c r="AF168" s="1472">
        <f t="shared" si="41"/>
        <v>0.16659204234519615</v>
      </c>
      <c r="AG168" s="1472">
        <f t="shared" si="41"/>
        <v>0.16925402679043447</v>
      </c>
      <c r="AH168" s="1472">
        <f>+AH91</f>
        <v>0.16625158013638497</v>
      </c>
      <c r="AI168" s="1472">
        <f>+AI91</f>
        <v>0.16823556764704767</v>
      </c>
      <c r="AJ168" s="1472">
        <f>+AJ91</f>
        <v>0.17024334660656296</v>
      </c>
      <c r="AK168" s="1472">
        <f>+AK91</f>
        <v>0.17227520276183914</v>
      </c>
      <c r="AL168" s="1472">
        <f>+AL91</f>
        <v>0.17433142532597889</v>
      </c>
    </row>
    <row r="169" spans="13:38" x14ac:dyDescent="0.3">
      <c r="T169" s="77"/>
      <c r="X169" s="134"/>
      <c r="Y169" s="134"/>
      <c r="Z169" s="138" t="s">
        <v>327</v>
      </c>
      <c r="AA169" s="1473">
        <f>+Opex_Breakdown!AA37</f>
        <v>70.581107602468151</v>
      </c>
      <c r="AB169" s="1473">
        <f>+Opex_Breakdown!AB37</f>
        <v>71.243257038247776</v>
      </c>
      <c r="AC169" s="1482">
        <f t="shared" ref="AC169:AG169" si="42">SUM(AC162:AC168)</f>
        <v>72.169469837930734</v>
      </c>
      <c r="AD169" s="1473">
        <f t="shared" si="42"/>
        <v>74.399449166374154</v>
      </c>
      <c r="AE169" s="1473">
        <f t="shared" si="42"/>
        <v>75.691158800394518</v>
      </c>
      <c r="AF169" s="1473">
        <f t="shared" si="42"/>
        <v>75.980141983741206</v>
      </c>
      <c r="AG169" s="1473">
        <f t="shared" si="42"/>
        <v>77.011878971844908</v>
      </c>
      <c r="AH169" s="1473">
        <f>SUM(AH162:AH168)</f>
        <v>75.47114933831196</v>
      </c>
      <c r="AI169" s="1473">
        <f>SUM(AI162:AI168)</f>
        <v>76.201399553889303</v>
      </c>
      <c r="AJ169" s="1473">
        <f>SUM(AJ162:AJ168)</f>
        <v>76.943675197668696</v>
      </c>
      <c r="AK169" s="1473">
        <f>SUM(AK162:AK168)</f>
        <v>77.698057986918869</v>
      </c>
      <c r="AL169" s="1473">
        <f>SUM(AL162:AL168)</f>
        <v>78.464631841579532</v>
      </c>
    </row>
    <row r="170" spans="13:38" x14ac:dyDescent="0.3">
      <c r="T170" s="77"/>
      <c r="U170" s="134"/>
      <c r="V170" s="140"/>
      <c r="W170" s="140"/>
      <c r="X170" s="134"/>
      <c r="Y170" s="134"/>
      <c r="Z170" s="137"/>
      <c r="AA170" s="139"/>
      <c r="AB170" s="139"/>
      <c r="AC170" s="139"/>
      <c r="AD170" s="139"/>
      <c r="AE170" s="139"/>
      <c r="AF170" s="139"/>
      <c r="AG170" s="139"/>
      <c r="AH170" s="139"/>
      <c r="AI170" s="139"/>
      <c r="AJ170" s="139"/>
      <c r="AK170" s="139"/>
      <c r="AL170" s="139"/>
    </row>
    <row r="171" spans="13:38" x14ac:dyDescent="0.3">
      <c r="T171" s="77"/>
      <c r="U171" s="134"/>
      <c r="V171" s="134"/>
      <c r="W171" s="140"/>
      <c r="X171" s="134"/>
      <c r="Y171" s="134"/>
      <c r="Z171" s="136"/>
      <c r="AC171" s="1463" t="str">
        <f t="shared" ref="AC171:AL171" si="43">+AC$160</f>
        <v>2023-24</v>
      </c>
      <c r="AD171" s="1463" t="str">
        <f t="shared" si="43"/>
        <v>2024-25</v>
      </c>
      <c r="AE171" s="1463" t="str">
        <f t="shared" si="43"/>
        <v>2025-26</v>
      </c>
      <c r="AF171" s="1463" t="str">
        <f t="shared" si="43"/>
        <v>2026-27</v>
      </c>
      <c r="AG171" s="1463" t="str">
        <f t="shared" si="43"/>
        <v>2027-28</v>
      </c>
      <c r="AH171" s="1463" t="str">
        <f t="shared" si="43"/>
        <v>2028-29</v>
      </c>
      <c r="AI171" s="1463" t="str">
        <f t="shared" si="43"/>
        <v>2029-30</v>
      </c>
      <c r="AJ171" s="1463" t="str">
        <f t="shared" si="43"/>
        <v>2030-31</v>
      </c>
      <c r="AK171" s="1463" t="str">
        <f t="shared" si="43"/>
        <v>2031-32</v>
      </c>
      <c r="AL171" s="1463" t="str">
        <f t="shared" si="43"/>
        <v>2032-33</v>
      </c>
    </row>
    <row r="172" spans="13:38" x14ac:dyDescent="0.3">
      <c r="S172" s="124"/>
      <c r="T172" s="77"/>
      <c r="U172" s="134"/>
      <c r="V172" s="140"/>
      <c r="W172" s="140"/>
      <c r="X172" s="134"/>
      <c r="Y172" s="134"/>
      <c r="Z172" s="136"/>
      <c r="AB172" s="137" t="s">
        <v>500</v>
      </c>
      <c r="AC172" s="1474">
        <f t="shared" ref="AC172:AL172" si="44">+AC162/AC$169</f>
        <v>0.89268996833042025</v>
      </c>
      <c r="AD172" s="1474">
        <f t="shared" si="44"/>
        <v>0.87632451604818196</v>
      </c>
      <c r="AE172" s="1474">
        <f t="shared" si="44"/>
        <v>0.87170600987086388</v>
      </c>
      <c r="AF172" s="1474">
        <f t="shared" si="44"/>
        <v>0.87881124637707275</v>
      </c>
      <c r="AG172" s="1474">
        <f t="shared" si="44"/>
        <v>0.87744216370389683</v>
      </c>
      <c r="AH172" s="1474">
        <f t="shared" si="44"/>
        <v>0.90609924391114705</v>
      </c>
      <c r="AI172" s="1474">
        <f t="shared" si="44"/>
        <v>0.90818494114191273</v>
      </c>
      <c r="AJ172" s="1474">
        <f t="shared" si="44"/>
        <v>0.91021676507762772</v>
      </c>
      <c r="AK172" s="1474">
        <f t="shared" si="44"/>
        <v>0.91219587780582001</v>
      </c>
      <c r="AL172" s="1474">
        <f t="shared" si="44"/>
        <v>0.91412342993606399</v>
      </c>
    </row>
    <row r="173" spans="13:38" x14ac:dyDescent="0.3">
      <c r="T173" s="77"/>
      <c r="U173" s="134"/>
      <c r="V173" s="140"/>
      <c r="W173" s="140"/>
      <c r="X173" s="134"/>
      <c r="Y173" s="134"/>
      <c r="Z173" s="136"/>
      <c r="AB173" s="137" t="s">
        <v>577</v>
      </c>
      <c r="AC173" s="1474">
        <f t="shared" ref="AC173:AL173" si="45">+AC163/AC$169</f>
        <v>2.2902547197625793E-2</v>
      </c>
      <c r="AD173" s="1474">
        <f t="shared" si="45"/>
        <v>2.6305894818232426E-2</v>
      </c>
      <c r="AE173" s="1474">
        <f t="shared" si="45"/>
        <v>3.3189951476343335E-2</v>
      </c>
      <c r="AF173" s="1474">
        <f t="shared" si="45"/>
        <v>2.8284811180341381E-2</v>
      </c>
      <c r="AG173" s="1474">
        <f t="shared" si="45"/>
        <v>3.1801379243856912E-2</v>
      </c>
      <c r="AH173" s="1474">
        <f t="shared" si="45"/>
        <v>5.221650563437188E-3</v>
      </c>
      <c r="AI173" s="1474">
        <f t="shared" si="45"/>
        <v>5.1716106498405495E-3</v>
      </c>
      <c r="AJ173" s="1474">
        <f t="shared" si="45"/>
        <v>5.1217201212867087E-3</v>
      </c>
      <c r="AK173" s="1474">
        <f t="shared" si="45"/>
        <v>5.0719925269174194E-3</v>
      </c>
      <c r="AL173" s="1474">
        <f t="shared" si="45"/>
        <v>5.0224408146246867E-3</v>
      </c>
    </row>
    <row r="174" spans="13:38" x14ac:dyDescent="0.3">
      <c r="N174" s="125"/>
      <c r="T174" s="77"/>
      <c r="U174" s="134"/>
      <c r="V174" s="140"/>
      <c r="W174" s="140"/>
      <c r="X174" s="134"/>
      <c r="Y174" s="134"/>
      <c r="Z174" s="136"/>
      <c r="AB174" s="137" t="s">
        <v>15</v>
      </c>
      <c r="AC174" s="1474">
        <f t="shared" ref="AC174:AL174" si="46">+AC164/AC$169</f>
        <v>4.9109755085033659E-3</v>
      </c>
      <c r="AD174" s="1474">
        <f t="shared" si="46"/>
        <v>4.8413100459243604E-3</v>
      </c>
      <c r="AE174" s="1474">
        <f t="shared" si="46"/>
        <v>4.8534601209661316E-3</v>
      </c>
      <c r="AF174" s="1474">
        <f t="shared" si="46"/>
        <v>4.8652956881897347E-3</v>
      </c>
      <c r="AG174" s="1474">
        <f t="shared" si="46"/>
        <v>4.8768231622420841E-3</v>
      </c>
      <c r="AH174" s="1474">
        <f t="shared" si="46"/>
        <v>4.8880492441398839E-3</v>
      </c>
      <c r="AI174" s="1474">
        <f t="shared" si="46"/>
        <v>4.8989800563027392E-3</v>
      </c>
      <c r="AJ174" s="1474">
        <f t="shared" si="46"/>
        <v>4.9096221294300819E-3</v>
      </c>
      <c r="AK174" s="1474">
        <f t="shared" si="46"/>
        <v>4.9199817863736089E-3</v>
      </c>
      <c r="AL174" s="1474">
        <f t="shared" si="46"/>
        <v>4.9300652860325101E-3</v>
      </c>
    </row>
    <row r="175" spans="13:38" x14ac:dyDescent="0.3">
      <c r="M175" s="126"/>
      <c r="N175" s="126"/>
      <c r="O175" s="126"/>
      <c r="P175" s="126"/>
      <c r="Q175" s="126"/>
      <c r="R175" s="126"/>
      <c r="S175" s="126"/>
      <c r="T175" s="77"/>
      <c r="U175" s="134"/>
      <c r="V175" s="140"/>
      <c r="W175" s="140"/>
      <c r="X175" s="134"/>
      <c r="Y175" s="134"/>
      <c r="Z175" s="136"/>
      <c r="AB175" s="137" t="s">
        <v>328</v>
      </c>
      <c r="AC175" s="1474">
        <f t="shared" ref="AC175:AL175" si="47">+AC165/AC$169</f>
        <v>6.8309391398797478E-2</v>
      </c>
      <c r="AD175" s="1474">
        <f t="shared" si="47"/>
        <v>8.1499892160901977E-2</v>
      </c>
      <c r="AE175" s="1474">
        <f t="shared" si="47"/>
        <v>7.9194529311438694E-2</v>
      </c>
      <c r="AF175" s="1474">
        <f t="shared" si="47"/>
        <v>7.6955624937287678E-2</v>
      </c>
      <c r="AG175" s="1474">
        <f t="shared" si="47"/>
        <v>7.4770360095339869E-2</v>
      </c>
      <c r="AH175" s="1474">
        <f t="shared" si="47"/>
        <v>7.2656152529878851E-2</v>
      </c>
      <c r="AI175" s="1474">
        <f t="shared" si="47"/>
        <v>7.0584664817557125E-2</v>
      </c>
      <c r="AJ175" s="1474">
        <f t="shared" si="47"/>
        <v>6.8567847502288642E-2</v>
      </c>
      <c r="AK175" s="1474">
        <f t="shared" si="47"/>
        <v>6.66045042241587E-2</v>
      </c>
      <c r="AL175" s="1474">
        <f t="shared" si="47"/>
        <v>6.4693450911833608E-2</v>
      </c>
    </row>
    <row r="176" spans="13:38" x14ac:dyDescent="0.3">
      <c r="M176" s="126"/>
      <c r="N176" s="126"/>
      <c r="O176" s="126"/>
      <c r="P176" s="126"/>
      <c r="Q176" s="126"/>
      <c r="R176" s="126"/>
      <c r="S176" s="126"/>
      <c r="T176" s="77"/>
      <c r="U176" s="134"/>
      <c r="V176" s="140"/>
      <c r="W176" s="140"/>
      <c r="X176" s="134"/>
      <c r="Y176" s="134"/>
      <c r="Z176" s="136"/>
      <c r="AB176" s="137" t="s">
        <v>392</v>
      </c>
      <c r="AC176" s="1474">
        <f t="shared" ref="AC176:AL176" si="48">+AC166/AC$169</f>
        <v>8.973941252999702E-3</v>
      </c>
      <c r="AD176" s="1474">
        <f t="shared" si="48"/>
        <v>8.8466210814259708E-3</v>
      </c>
      <c r="AE176" s="1474">
        <f t="shared" si="48"/>
        <v>8.8688145862145015E-3</v>
      </c>
      <c r="AF176" s="1474">
        <f t="shared" si="48"/>
        <v>8.8904483631017592E-3</v>
      </c>
      <c r="AG176" s="1474">
        <f t="shared" si="48"/>
        <v>8.9115086050587881E-3</v>
      </c>
      <c r="AH176" s="1474">
        <f t="shared" si="48"/>
        <v>8.9320542970825357E-3</v>
      </c>
      <c r="AI176" s="1474">
        <f t="shared" si="48"/>
        <v>8.9520280358757181E-3</v>
      </c>
      <c r="AJ176" s="1474">
        <f t="shared" si="48"/>
        <v>8.9714741403742523E-3</v>
      </c>
      <c r="AK176" s="1474">
        <f t="shared" si="48"/>
        <v>8.9904041629087147E-3</v>
      </c>
      <c r="AL176" s="1474">
        <f t="shared" si="48"/>
        <v>9.0088295391238422E-3</v>
      </c>
    </row>
    <row r="177" spans="2:42" x14ac:dyDescent="0.3">
      <c r="M177" s="126"/>
      <c r="N177" s="126"/>
      <c r="O177" s="126"/>
      <c r="P177" s="126"/>
      <c r="Q177" s="126"/>
      <c r="R177" s="126"/>
      <c r="S177" s="126"/>
      <c r="T177" s="77"/>
      <c r="U177" s="134"/>
      <c r="V177" s="140"/>
      <c r="W177" s="140"/>
      <c r="X177" s="134"/>
      <c r="Y177" s="134"/>
      <c r="Z177" s="136"/>
      <c r="AB177" s="137" t="s">
        <v>390</v>
      </c>
      <c r="AC177" s="1474">
        <f t="shared" ref="AC177:AL177" si="49">+AC167/AC$169</f>
        <v>0</v>
      </c>
      <c r="AD177" s="1474">
        <f t="shared" si="49"/>
        <v>0</v>
      </c>
      <c r="AE177" s="1474">
        <f t="shared" si="49"/>
        <v>0</v>
      </c>
      <c r="AF177" s="1474">
        <f t="shared" si="49"/>
        <v>0</v>
      </c>
      <c r="AG177" s="1474">
        <f t="shared" si="49"/>
        <v>0</v>
      </c>
      <c r="AH177" s="1474">
        <f t="shared" si="49"/>
        <v>0</v>
      </c>
      <c r="AI177" s="1474">
        <f t="shared" si="49"/>
        <v>0</v>
      </c>
      <c r="AJ177" s="1474">
        <f t="shared" si="49"/>
        <v>0</v>
      </c>
      <c r="AK177" s="1474">
        <f t="shared" si="49"/>
        <v>0</v>
      </c>
      <c r="AL177" s="1474">
        <f t="shared" si="49"/>
        <v>0</v>
      </c>
    </row>
    <row r="178" spans="2:42" x14ac:dyDescent="0.3">
      <c r="M178" s="126"/>
      <c r="N178" s="126"/>
      <c r="O178" s="126"/>
      <c r="P178" s="126"/>
      <c r="Q178" s="126"/>
      <c r="R178" s="126"/>
      <c r="S178" s="126"/>
      <c r="T178" s="77"/>
      <c r="U178" s="134"/>
      <c r="V178" s="140"/>
      <c r="W178" s="140"/>
      <c r="X178" s="134"/>
      <c r="Y178" s="134"/>
      <c r="Z178" s="136"/>
      <c r="AB178" s="137" t="s">
        <v>480</v>
      </c>
      <c r="AC178" s="1474">
        <f t="shared" ref="AC178:AL178" si="50">+AC168/AC$169</f>
        <v>2.2131763116534382E-3</v>
      </c>
      <c r="AD178" s="1474">
        <f t="shared" si="50"/>
        <v>2.1817658453333888E-3</v>
      </c>
      <c r="AE178" s="1474">
        <f t="shared" si="50"/>
        <v>2.1872346341733477E-3</v>
      </c>
      <c r="AF178" s="1474">
        <f t="shared" si="50"/>
        <v>2.1925734540065053E-3</v>
      </c>
      <c r="AG178" s="1474">
        <f t="shared" si="50"/>
        <v>2.1977651896055248E-3</v>
      </c>
      <c r="AH178" s="1474">
        <f t="shared" si="50"/>
        <v>2.2028494543144513E-3</v>
      </c>
      <c r="AI178" s="1474">
        <f t="shared" si="50"/>
        <v>2.2077752985110491E-3</v>
      </c>
      <c r="AJ178" s="1474">
        <f t="shared" si="50"/>
        <v>2.2125710289924018E-3</v>
      </c>
      <c r="AK178" s="1474">
        <f t="shared" si="50"/>
        <v>2.2172394938216235E-3</v>
      </c>
      <c r="AL178" s="1474">
        <f t="shared" si="50"/>
        <v>2.2217835123212568E-3</v>
      </c>
    </row>
    <row r="179" spans="2:42" x14ac:dyDescent="0.3">
      <c r="M179" s="126"/>
      <c r="N179" s="126"/>
      <c r="O179" s="126"/>
      <c r="P179" s="126"/>
      <c r="Q179" s="126"/>
      <c r="R179" s="126"/>
      <c r="S179" s="126"/>
      <c r="T179" s="77"/>
      <c r="U179" s="134"/>
      <c r="V179" s="140"/>
      <c r="W179" s="140"/>
      <c r="X179" s="134"/>
      <c r="Y179" s="134"/>
      <c r="Z179" s="136"/>
      <c r="AB179" s="138" t="s">
        <v>327</v>
      </c>
      <c r="AC179" s="1475">
        <f t="shared" ref="AC179:AL179" si="51">+AC169/AC$169</f>
        <v>1</v>
      </c>
      <c r="AD179" s="1475">
        <f t="shared" si="51"/>
        <v>1</v>
      </c>
      <c r="AE179" s="1475">
        <f t="shared" si="51"/>
        <v>1</v>
      </c>
      <c r="AF179" s="1475">
        <f t="shared" si="51"/>
        <v>1</v>
      </c>
      <c r="AG179" s="1475">
        <f t="shared" si="51"/>
        <v>1</v>
      </c>
      <c r="AH179" s="1475">
        <f t="shared" si="51"/>
        <v>1</v>
      </c>
      <c r="AI179" s="1475">
        <f t="shared" si="51"/>
        <v>1</v>
      </c>
      <c r="AJ179" s="1475">
        <f t="shared" si="51"/>
        <v>1</v>
      </c>
      <c r="AK179" s="1475">
        <f t="shared" si="51"/>
        <v>1</v>
      </c>
      <c r="AL179" s="1475">
        <f t="shared" si="51"/>
        <v>1</v>
      </c>
    </row>
    <row r="180" spans="2:42" x14ac:dyDescent="0.3">
      <c r="M180" s="126"/>
      <c r="N180" s="126"/>
      <c r="O180" s="126"/>
      <c r="P180" s="126"/>
      <c r="Q180" s="126"/>
      <c r="R180" s="126"/>
      <c r="S180" s="126"/>
      <c r="T180" s="77"/>
      <c r="U180" s="134"/>
      <c r="V180" s="140"/>
      <c r="W180" s="140"/>
      <c r="X180" s="141"/>
      <c r="Y180" s="141"/>
      <c r="Z180" s="141"/>
      <c r="AA180" s="141"/>
      <c r="AB180" s="141"/>
      <c r="AC180" s="141"/>
      <c r="AD180" s="141"/>
      <c r="AE180" s="141"/>
      <c r="AF180" s="134"/>
      <c r="AG180" s="134"/>
      <c r="AH180" s="134"/>
      <c r="AI180" s="134"/>
      <c r="AJ180" s="134"/>
      <c r="AK180" s="134"/>
      <c r="AL180" s="134"/>
    </row>
    <row r="181" spans="2:42" x14ac:dyDescent="0.3">
      <c r="M181" s="126"/>
      <c r="N181" s="126"/>
      <c r="O181" s="126"/>
      <c r="P181" s="126"/>
      <c r="Q181" s="126"/>
      <c r="R181" s="126"/>
      <c r="S181" s="126"/>
      <c r="T181" s="77"/>
      <c r="U181" s="134"/>
      <c r="V181" s="140"/>
      <c r="W181" s="140"/>
      <c r="X181" s="134"/>
      <c r="Y181" s="134"/>
      <c r="Z181" s="141"/>
      <c r="AA181" s="141"/>
      <c r="AB181" s="141"/>
      <c r="AC181" s="1463" t="str">
        <f t="shared" ref="AC181:AL181" si="52">+AC$160</f>
        <v>2023-24</v>
      </c>
      <c r="AD181" s="1463" t="str">
        <f t="shared" si="52"/>
        <v>2024-25</v>
      </c>
      <c r="AE181" s="1463" t="str">
        <f t="shared" si="52"/>
        <v>2025-26</v>
      </c>
      <c r="AF181" s="1463" t="str">
        <f t="shared" si="52"/>
        <v>2026-27</v>
      </c>
      <c r="AG181" s="1463" t="str">
        <f t="shared" si="52"/>
        <v>2027-28</v>
      </c>
      <c r="AH181" s="1463" t="str">
        <f t="shared" si="52"/>
        <v>2028-29</v>
      </c>
      <c r="AI181" s="1463" t="str">
        <f t="shared" si="52"/>
        <v>2029-30</v>
      </c>
      <c r="AJ181" s="1463" t="str">
        <f t="shared" si="52"/>
        <v>2030-31</v>
      </c>
      <c r="AK181" s="1463" t="str">
        <f t="shared" si="52"/>
        <v>2031-32</v>
      </c>
      <c r="AL181" s="1463" t="str">
        <f t="shared" si="52"/>
        <v>2032-33</v>
      </c>
    </row>
    <row r="182" spans="2:42" x14ac:dyDescent="0.3">
      <c r="B182" s="127"/>
      <c r="C182" s="127"/>
      <c r="D182" s="127"/>
      <c r="E182" s="127"/>
      <c r="F182" s="127"/>
      <c r="G182" s="127"/>
      <c r="M182" s="126"/>
      <c r="N182" s="126"/>
      <c r="O182" s="126"/>
      <c r="P182" s="126"/>
      <c r="Q182" s="126"/>
      <c r="R182" s="126"/>
      <c r="S182" s="126"/>
      <c r="T182" s="77"/>
      <c r="U182" s="134"/>
      <c r="V182" s="140"/>
      <c r="X182" s="134"/>
      <c r="AA182" s="141"/>
      <c r="AB182" s="137" t="s">
        <v>21</v>
      </c>
      <c r="AC182" s="1476">
        <f>+SUMIF($H$65:$H$80,$AB182,AC$65:AC$80)</f>
        <v>0</v>
      </c>
      <c r="AD182" s="1476">
        <f t="shared" ref="AC182:AL186" si="53">+SUMIF($H$65:$H$80,$AB182,AD$65:AD$80)</f>
        <v>0</v>
      </c>
      <c r="AE182" s="1476">
        <f t="shared" si="53"/>
        <v>0</v>
      </c>
      <c r="AF182" s="1476">
        <f t="shared" si="53"/>
        <v>0</v>
      </c>
      <c r="AG182" s="1476">
        <f t="shared" si="53"/>
        <v>0</v>
      </c>
      <c r="AH182" s="1476">
        <f t="shared" si="53"/>
        <v>0</v>
      </c>
      <c r="AI182" s="1476">
        <f t="shared" si="53"/>
        <v>0</v>
      </c>
      <c r="AJ182" s="1476">
        <f t="shared" si="53"/>
        <v>0</v>
      </c>
      <c r="AK182" s="1476">
        <f t="shared" si="53"/>
        <v>0</v>
      </c>
      <c r="AL182" s="1476">
        <f t="shared" si="53"/>
        <v>0</v>
      </c>
      <c r="AN182" s="127"/>
      <c r="AO182" s="127"/>
      <c r="AP182" s="127"/>
    </row>
    <row r="183" spans="2:42" x14ac:dyDescent="0.3">
      <c r="J183" s="127"/>
      <c r="M183" s="126"/>
      <c r="N183" s="126"/>
      <c r="O183" s="126"/>
      <c r="P183" s="126"/>
      <c r="Q183" s="127"/>
      <c r="R183" s="127"/>
      <c r="S183" s="127"/>
      <c r="T183" s="128"/>
      <c r="U183" s="134"/>
      <c r="V183" s="140"/>
      <c r="X183" s="134"/>
      <c r="AA183" s="141"/>
      <c r="AB183" s="137" t="s">
        <v>22</v>
      </c>
      <c r="AC183" s="1476">
        <f t="shared" si="53"/>
        <v>0</v>
      </c>
      <c r="AD183" s="1476">
        <f t="shared" si="53"/>
        <v>0</v>
      </c>
      <c r="AE183" s="1476">
        <f t="shared" si="53"/>
        <v>0</v>
      </c>
      <c r="AF183" s="1476">
        <f t="shared" si="53"/>
        <v>0</v>
      </c>
      <c r="AG183" s="1476">
        <f t="shared" si="53"/>
        <v>0</v>
      </c>
      <c r="AH183" s="1476">
        <f t="shared" si="53"/>
        <v>0</v>
      </c>
      <c r="AI183" s="1476">
        <f t="shared" si="53"/>
        <v>0</v>
      </c>
      <c r="AJ183" s="1476">
        <f t="shared" si="53"/>
        <v>0</v>
      </c>
      <c r="AK183" s="1476">
        <f t="shared" si="53"/>
        <v>0</v>
      </c>
      <c r="AL183" s="1476">
        <f t="shared" si="53"/>
        <v>0</v>
      </c>
    </row>
    <row r="184" spans="2:42" x14ac:dyDescent="0.3">
      <c r="B184" s="77"/>
      <c r="C184" s="77"/>
      <c r="D184" s="77"/>
      <c r="E184" s="77"/>
      <c r="F184" s="77"/>
      <c r="G184" s="77"/>
      <c r="M184" s="126"/>
      <c r="N184" s="126"/>
      <c r="O184" s="126"/>
      <c r="P184" s="126"/>
      <c r="Q184" s="126"/>
      <c r="R184" s="126"/>
      <c r="S184" s="126"/>
      <c r="T184" s="77"/>
      <c r="U184" s="134"/>
      <c r="V184" s="140"/>
      <c r="X184" s="134"/>
      <c r="AA184" s="141"/>
      <c r="AB184" s="137" t="s">
        <v>275</v>
      </c>
      <c r="AC184" s="1476">
        <f t="shared" si="53"/>
        <v>0</v>
      </c>
      <c r="AD184" s="1476">
        <f t="shared" si="53"/>
        <v>0</v>
      </c>
      <c r="AE184" s="1476">
        <f t="shared" si="53"/>
        <v>0</v>
      </c>
      <c r="AF184" s="1476">
        <f t="shared" si="53"/>
        <v>0</v>
      </c>
      <c r="AG184" s="1476">
        <f t="shared" si="53"/>
        <v>0</v>
      </c>
      <c r="AH184" s="1476">
        <f t="shared" si="53"/>
        <v>0</v>
      </c>
      <c r="AI184" s="1476">
        <f t="shared" si="53"/>
        <v>0</v>
      </c>
      <c r="AJ184" s="1476">
        <f t="shared" si="53"/>
        <v>0</v>
      </c>
      <c r="AK184" s="1476">
        <f t="shared" si="53"/>
        <v>0</v>
      </c>
      <c r="AL184" s="1476">
        <f t="shared" si="53"/>
        <v>0</v>
      </c>
    </row>
    <row r="185" spans="2:42" x14ac:dyDescent="0.3">
      <c r="B185" s="77"/>
      <c r="C185" s="77"/>
      <c r="D185" s="77"/>
      <c r="E185" s="77"/>
      <c r="F185" s="77"/>
      <c r="G185" s="77"/>
      <c r="J185" s="77"/>
      <c r="M185" s="126"/>
      <c r="N185" s="126"/>
      <c r="O185" s="126"/>
      <c r="P185" s="126"/>
      <c r="Q185" s="126"/>
      <c r="R185" s="126"/>
      <c r="S185" s="126"/>
      <c r="T185" s="77"/>
      <c r="U185" s="134"/>
      <c r="V185" s="140"/>
      <c r="X185" s="134"/>
      <c r="AA185" s="141"/>
      <c r="AB185" s="137" t="s">
        <v>352</v>
      </c>
      <c r="AC185" s="1476">
        <f t="shared" si="53"/>
        <v>0</v>
      </c>
      <c r="AD185" s="1476">
        <f t="shared" si="53"/>
        <v>0</v>
      </c>
      <c r="AE185" s="1476">
        <f t="shared" si="53"/>
        <v>0</v>
      </c>
      <c r="AF185" s="1476">
        <f t="shared" si="53"/>
        <v>0</v>
      </c>
      <c r="AG185" s="1476">
        <f t="shared" si="53"/>
        <v>0</v>
      </c>
      <c r="AH185" s="1476">
        <f t="shared" si="53"/>
        <v>0</v>
      </c>
      <c r="AI185" s="1476">
        <f t="shared" si="53"/>
        <v>0</v>
      </c>
      <c r="AJ185" s="1476">
        <f t="shared" si="53"/>
        <v>0</v>
      </c>
      <c r="AK185" s="1476">
        <f t="shared" si="53"/>
        <v>0</v>
      </c>
      <c r="AL185" s="1476">
        <f t="shared" si="53"/>
        <v>0</v>
      </c>
    </row>
    <row r="186" spans="2:42" x14ac:dyDescent="0.3">
      <c r="B186" s="77"/>
      <c r="C186" s="77"/>
      <c r="D186" s="77"/>
      <c r="E186" s="77"/>
      <c r="F186" s="77"/>
      <c r="G186" s="77"/>
      <c r="J186" s="77"/>
      <c r="M186" s="126"/>
      <c r="N186" s="126"/>
      <c r="O186" s="126"/>
      <c r="P186" s="126"/>
      <c r="Q186" s="126"/>
      <c r="R186" s="126"/>
      <c r="S186" s="126"/>
      <c r="T186" s="77"/>
      <c r="U186" s="134"/>
      <c r="V186" s="140"/>
      <c r="X186" s="134"/>
      <c r="AA186" s="141"/>
      <c r="AB186" s="137" t="s">
        <v>354</v>
      </c>
      <c r="AC186" s="1476">
        <f t="shared" si="53"/>
        <v>0</v>
      </c>
      <c r="AD186" s="1476">
        <f t="shared" si="53"/>
        <v>0</v>
      </c>
      <c r="AE186" s="1476">
        <f t="shared" si="53"/>
        <v>0</v>
      </c>
      <c r="AF186" s="1476">
        <f t="shared" si="53"/>
        <v>0</v>
      </c>
      <c r="AG186" s="1476">
        <f t="shared" si="53"/>
        <v>0</v>
      </c>
      <c r="AH186" s="1476">
        <f t="shared" si="53"/>
        <v>0</v>
      </c>
      <c r="AI186" s="1476">
        <f t="shared" si="53"/>
        <v>0</v>
      </c>
      <c r="AJ186" s="1476">
        <f t="shared" si="53"/>
        <v>0</v>
      </c>
      <c r="AK186" s="1476">
        <f t="shared" si="53"/>
        <v>0</v>
      </c>
      <c r="AL186" s="1476">
        <f t="shared" si="53"/>
        <v>0</v>
      </c>
    </row>
    <row r="187" spans="2:42" x14ac:dyDescent="0.3">
      <c r="B187" s="77"/>
      <c r="C187" s="77"/>
      <c r="D187" s="77"/>
      <c r="E187" s="77"/>
      <c r="F187" s="77"/>
      <c r="G187" s="77"/>
      <c r="H187" s="77"/>
      <c r="I187" s="77"/>
      <c r="J187" s="77"/>
      <c r="K187" s="77"/>
      <c r="L187" s="77"/>
      <c r="M187" s="77"/>
      <c r="N187" s="126"/>
      <c r="O187" s="126"/>
      <c r="P187" s="126"/>
      <c r="Q187" s="126"/>
      <c r="R187" s="126"/>
      <c r="S187" s="126"/>
      <c r="T187" s="77"/>
      <c r="U187" s="134"/>
      <c r="V187" s="140"/>
      <c r="X187" s="134"/>
      <c r="AA187" s="141"/>
      <c r="AB187" s="138" t="s">
        <v>577</v>
      </c>
      <c r="AC187" s="1477">
        <f t="shared" ref="AC187:AL187" si="54">SUM(AC182:AC186)</f>
        <v>0</v>
      </c>
      <c r="AD187" s="1477">
        <f t="shared" si="54"/>
        <v>0</v>
      </c>
      <c r="AE187" s="1477">
        <f t="shared" si="54"/>
        <v>0</v>
      </c>
      <c r="AF187" s="1477">
        <f t="shared" si="54"/>
        <v>0</v>
      </c>
      <c r="AG187" s="1477">
        <f t="shared" si="54"/>
        <v>0</v>
      </c>
      <c r="AH187" s="1477">
        <f t="shared" si="54"/>
        <v>0</v>
      </c>
      <c r="AI187" s="1477">
        <f t="shared" si="54"/>
        <v>0</v>
      </c>
      <c r="AJ187" s="1477">
        <f t="shared" si="54"/>
        <v>0</v>
      </c>
      <c r="AK187" s="1477">
        <f t="shared" si="54"/>
        <v>0</v>
      </c>
      <c r="AL187" s="1477">
        <f t="shared" si="54"/>
        <v>0</v>
      </c>
    </row>
    <row r="188" spans="2:42" x14ac:dyDescent="0.3">
      <c r="L188" s="126"/>
      <c r="M188" s="126"/>
      <c r="N188" s="126"/>
      <c r="O188" s="126"/>
      <c r="P188" s="126"/>
      <c r="Q188" s="126"/>
      <c r="R188" s="126"/>
      <c r="S188" s="126"/>
      <c r="T188" s="77"/>
      <c r="U188" s="134"/>
      <c r="V188" s="140"/>
      <c r="W188" s="141"/>
      <c r="X188" s="134"/>
      <c r="Y188" s="134"/>
      <c r="Z188" s="134"/>
      <c r="AA188" s="134"/>
      <c r="AB188" s="134"/>
      <c r="AC188" s="134"/>
      <c r="AD188" s="134"/>
      <c r="AE188" s="134"/>
      <c r="AF188" s="134"/>
      <c r="AG188" s="134"/>
      <c r="AH188" s="134"/>
      <c r="AI188" s="134"/>
      <c r="AJ188" s="134"/>
      <c r="AK188" s="134"/>
      <c r="AL188" s="134"/>
    </row>
    <row r="189" spans="2:42" x14ac:dyDescent="0.3">
      <c r="T189" s="77"/>
      <c r="U189" s="134"/>
      <c r="V189" s="134"/>
      <c r="W189" s="134"/>
      <c r="X189" s="134"/>
      <c r="Y189" s="134"/>
      <c r="Z189" s="134"/>
      <c r="AA189" s="134"/>
      <c r="AB189" s="134"/>
      <c r="AC189" s="134"/>
      <c r="AD189" s="134"/>
      <c r="AE189" s="134"/>
      <c r="AF189" s="134"/>
      <c r="AG189" s="134"/>
      <c r="AH189" s="134"/>
      <c r="AI189" s="134"/>
      <c r="AJ189" s="134"/>
      <c r="AK189" s="134"/>
      <c r="AL189" s="134"/>
      <c r="AM189" s="77"/>
    </row>
    <row r="190" spans="2:42" x14ac:dyDescent="0.3">
      <c r="T190" s="77"/>
      <c r="U190" s="134"/>
      <c r="V190" s="134"/>
      <c r="W190" s="134"/>
      <c r="X190" s="134"/>
      <c r="Y190" s="134"/>
      <c r="Z190" s="134"/>
      <c r="AA190" s="1463" t="str">
        <f t="shared" ref="AA190:AG190" si="55">+AA6</f>
        <v>2021-22</v>
      </c>
      <c r="AB190" s="1463" t="str">
        <f t="shared" si="55"/>
        <v>2022-23</v>
      </c>
      <c r="AC190" s="1463" t="str">
        <f t="shared" si="55"/>
        <v>2023-24</v>
      </c>
      <c r="AD190" s="1463" t="str">
        <f t="shared" si="55"/>
        <v>2024-25</v>
      </c>
      <c r="AE190" s="1463" t="str">
        <f t="shared" si="55"/>
        <v>2025-26</v>
      </c>
      <c r="AF190" s="1463" t="str">
        <f t="shared" si="55"/>
        <v>2026-27</v>
      </c>
      <c r="AG190" s="1463" t="str">
        <f t="shared" si="55"/>
        <v>2027-28</v>
      </c>
      <c r="AH190" s="1463" t="str">
        <f>+AH6</f>
        <v>2028-29</v>
      </c>
      <c r="AI190" s="1463" t="str">
        <f>+AI6</f>
        <v>2029-30</v>
      </c>
      <c r="AJ190" s="1463" t="str">
        <f>+AJ6</f>
        <v>2030-31</v>
      </c>
      <c r="AK190" s="1463" t="str">
        <f>+AK6</f>
        <v>2031-32</v>
      </c>
      <c r="AL190" s="1463" t="str">
        <f>+AL6</f>
        <v>2032-33</v>
      </c>
      <c r="AN190" s="129"/>
    </row>
    <row r="191" spans="2:42" x14ac:dyDescent="0.3">
      <c r="T191" s="77"/>
      <c r="X191" s="136"/>
      <c r="Y191" s="134"/>
      <c r="Z191" s="136" t="s">
        <v>392</v>
      </c>
      <c r="AA191" s="1476">
        <f t="shared" ref="AA191:AG191" si="56">+AA87</f>
        <v>0</v>
      </c>
      <c r="AB191" s="1476">
        <f t="shared" si="56"/>
        <v>0</v>
      </c>
      <c r="AC191" s="1483">
        <f t="shared" si="56"/>
        <v>0.64764458258572433</v>
      </c>
      <c r="AD191" s="1476">
        <f t="shared" si="56"/>
        <v>0.65818373544172548</v>
      </c>
      <c r="AE191" s="1476">
        <f t="shared" si="56"/>
        <v>0.67129085321641702</v>
      </c>
      <c r="AF191" s="1476">
        <f t="shared" si="56"/>
        <v>0.6754975289275913</v>
      </c>
      <c r="AG191" s="1476">
        <f t="shared" si="56"/>
        <v>0.68629202214934182</v>
      </c>
      <c r="AH191" s="1476">
        <f t="shared" ref="AH191:AL195" si="57">+AH87</f>
        <v>0.67411240375302706</v>
      </c>
      <c r="AI191" s="1476">
        <f t="shared" si="57"/>
        <v>0.68215706517938446</v>
      </c>
      <c r="AJ191" s="1476">
        <f t="shared" si="57"/>
        <v>0.69029819230124045</v>
      </c>
      <c r="AK191" s="1476">
        <f t="shared" si="57"/>
        <v>0.69853694397551813</v>
      </c>
      <c r="AL191" s="1476">
        <f t="shared" si="57"/>
        <v>0.70687449311089889</v>
      </c>
      <c r="AM191" s="77"/>
    </row>
    <row r="192" spans="2:42" x14ac:dyDescent="0.3">
      <c r="T192" s="77"/>
      <c r="X192" s="136"/>
      <c r="Y192" s="134"/>
      <c r="Z192" s="136" t="s">
        <v>390</v>
      </c>
      <c r="AA192" s="1476">
        <f t="shared" ref="AA192:AG192" si="58">+AA88</f>
        <v>0</v>
      </c>
      <c r="AB192" s="1476">
        <f t="shared" si="58"/>
        <v>0</v>
      </c>
      <c r="AC192" s="1484">
        <f t="shared" si="58"/>
        <v>0</v>
      </c>
      <c r="AD192" s="1476">
        <f t="shared" si="58"/>
        <v>0</v>
      </c>
      <c r="AE192" s="1476">
        <f t="shared" si="58"/>
        <v>0</v>
      </c>
      <c r="AF192" s="1476">
        <f t="shared" si="58"/>
        <v>0</v>
      </c>
      <c r="AG192" s="1476">
        <f t="shared" si="58"/>
        <v>0</v>
      </c>
      <c r="AH192" s="1476">
        <f t="shared" si="57"/>
        <v>0</v>
      </c>
      <c r="AI192" s="1476">
        <f t="shared" si="57"/>
        <v>0</v>
      </c>
      <c r="AJ192" s="1476">
        <f t="shared" si="57"/>
        <v>0</v>
      </c>
      <c r="AK192" s="1476">
        <f t="shared" si="57"/>
        <v>0</v>
      </c>
      <c r="AL192" s="1476">
        <f t="shared" si="57"/>
        <v>0</v>
      </c>
    </row>
    <row r="193" spans="20:39" x14ac:dyDescent="0.3">
      <c r="T193" s="77"/>
      <c r="X193" s="136"/>
      <c r="Y193" s="134"/>
      <c r="Z193" s="136" t="s">
        <v>15</v>
      </c>
      <c r="AA193" s="1476">
        <f t="shared" ref="AA193:AG193" si="59">+AA89</f>
        <v>0</v>
      </c>
      <c r="AB193" s="1476">
        <f t="shared" si="59"/>
        <v>0</v>
      </c>
      <c r="AC193" s="1484">
        <f t="shared" si="59"/>
        <v>0.35442249883575022</v>
      </c>
      <c r="AD193" s="1476">
        <f t="shared" si="59"/>
        <v>0.36019080066040599</v>
      </c>
      <c r="AE193" s="1476">
        <f t="shared" si="59"/>
        <v>0.36736402074742946</v>
      </c>
      <c r="AF193" s="1476">
        <f t="shared" si="59"/>
        <v>0.36966585718153994</v>
      </c>
      <c r="AG193" s="1476">
        <f t="shared" si="59"/>
        <v>0.37557331513767733</v>
      </c>
      <c r="AH193" s="1476">
        <f t="shared" si="57"/>
        <v>0.36890669447750407</v>
      </c>
      <c r="AI193" s="1476">
        <f t="shared" si="57"/>
        <v>0.37330913667686016</v>
      </c>
      <c r="AJ193" s="1476">
        <f t="shared" si="57"/>
        <v>0.37776437047015476</v>
      </c>
      <c r="AK193" s="1476">
        <f t="shared" si="57"/>
        <v>0.38227303013224134</v>
      </c>
      <c r="AL193" s="1476">
        <f t="shared" si="57"/>
        <v>0.38683575762349243</v>
      </c>
    </row>
    <row r="194" spans="20:39" x14ac:dyDescent="0.3">
      <c r="T194" s="77"/>
      <c r="X194" s="136"/>
      <c r="Y194" s="134"/>
      <c r="Z194" s="136" t="s">
        <v>328</v>
      </c>
      <c r="AA194" s="1476">
        <f t="shared" ref="AA194:AG194" si="60">+AA90</f>
        <v>0</v>
      </c>
      <c r="AB194" s="1476">
        <f t="shared" si="60"/>
        <v>0</v>
      </c>
      <c r="AC194" s="1484">
        <f t="shared" si="60"/>
        <v>4.9298525622029192</v>
      </c>
      <c r="AD194" s="1476">
        <f t="shared" si="60"/>
        <v>6.0635470838900023</v>
      </c>
      <c r="AE194" s="1476">
        <f t="shared" si="60"/>
        <v>5.9943256942346048</v>
      </c>
      <c r="AF194" s="1476">
        <f t="shared" si="60"/>
        <v>5.8470993091826529</v>
      </c>
      <c r="AG194" s="1476">
        <f t="shared" si="60"/>
        <v>5.758205922343576</v>
      </c>
      <c r="AH194" s="1476">
        <f t="shared" si="57"/>
        <v>5.4834433379296588</v>
      </c>
      <c r="AI194" s="1476">
        <f t="shared" si="57"/>
        <v>5.3786502461400234</v>
      </c>
      <c r="AJ194" s="1476">
        <f t="shared" si="57"/>
        <v>5.2758621872193761</v>
      </c>
      <c r="AK194" s="1476">
        <f t="shared" si="57"/>
        <v>5.175040631398665</v>
      </c>
      <c r="AL194" s="1476">
        <f t="shared" si="57"/>
        <v>5.0761478083583222</v>
      </c>
      <c r="AM194" s="77"/>
    </row>
    <row r="195" spans="20:39" x14ac:dyDescent="0.3">
      <c r="T195" s="77"/>
      <c r="X195" s="136"/>
      <c r="Y195" s="134"/>
      <c r="Z195" s="136" t="s">
        <v>480</v>
      </c>
      <c r="AA195" s="1472">
        <f t="shared" ref="AA195:AG195" si="61">+AA91</f>
        <v>0</v>
      </c>
      <c r="AB195" s="1472">
        <f t="shared" si="61"/>
        <v>0</v>
      </c>
      <c r="AC195" s="1481">
        <f t="shared" si="61"/>
        <v>0.15972376106989561</v>
      </c>
      <c r="AD195" s="1472">
        <f t="shared" si="61"/>
        <v>0.1623221771028128</v>
      </c>
      <c r="AE195" s="1472">
        <f t="shared" si="61"/>
        <v>0.16555432402893766</v>
      </c>
      <c r="AF195" s="1472">
        <f t="shared" si="61"/>
        <v>0.16659204234519615</v>
      </c>
      <c r="AG195" s="1472">
        <f t="shared" si="61"/>
        <v>0.16925402679043447</v>
      </c>
      <c r="AH195" s="1472">
        <f t="shared" si="57"/>
        <v>0.16625158013638497</v>
      </c>
      <c r="AI195" s="1472">
        <f t="shared" si="57"/>
        <v>0.16823556764704767</v>
      </c>
      <c r="AJ195" s="1472">
        <f t="shared" si="57"/>
        <v>0.17024334660656296</v>
      </c>
      <c r="AK195" s="1472">
        <f t="shared" si="57"/>
        <v>0.17227520276183914</v>
      </c>
      <c r="AL195" s="1472">
        <f t="shared" si="57"/>
        <v>0.17433142532597889</v>
      </c>
    </row>
    <row r="196" spans="20:39" x14ac:dyDescent="0.3">
      <c r="T196" s="77"/>
      <c r="X196" s="135"/>
      <c r="Y196" s="134"/>
      <c r="Z196" s="135" t="s">
        <v>502</v>
      </c>
      <c r="AA196" s="1477">
        <f t="shared" ref="AA196:AG196" si="62">SUM(AA191:AA195)</f>
        <v>0</v>
      </c>
      <c r="AB196" s="1477">
        <f t="shared" si="62"/>
        <v>0</v>
      </c>
      <c r="AC196" s="1485">
        <f t="shared" si="62"/>
        <v>6.0916434046942891</v>
      </c>
      <c r="AD196" s="1477">
        <f t="shared" si="62"/>
        <v>7.2442437970949465</v>
      </c>
      <c r="AE196" s="1477">
        <f t="shared" si="62"/>
        <v>7.1985348922273893</v>
      </c>
      <c r="AF196" s="1477">
        <f t="shared" si="62"/>
        <v>7.0588547376369801</v>
      </c>
      <c r="AG196" s="1477">
        <f t="shared" si="62"/>
        <v>6.9893252864210291</v>
      </c>
      <c r="AH196" s="1477">
        <f>SUM(AH191:AH195)</f>
        <v>6.6927140162965753</v>
      </c>
      <c r="AI196" s="1477">
        <f>SUM(AI191:AI195)</f>
        <v>6.6023520156433158</v>
      </c>
      <c r="AJ196" s="1477">
        <f>SUM(AJ191:AJ195)</f>
        <v>6.5141680965973343</v>
      </c>
      <c r="AK196" s="1477">
        <f>SUM(AK191:AK195)</f>
        <v>6.4281258082682635</v>
      </c>
      <c r="AL196" s="1477">
        <f>SUM(AL191:AL195)</f>
        <v>6.3441894844186919</v>
      </c>
    </row>
    <row r="197" spans="20:39" x14ac:dyDescent="0.3">
      <c r="T197" s="77"/>
      <c r="V197" s="130"/>
      <c r="W197" s="130"/>
      <c r="X197" s="134"/>
      <c r="Y197" s="134"/>
      <c r="Z197" s="134"/>
      <c r="AA197" s="130"/>
      <c r="AB197" s="130"/>
      <c r="AC197" s="130"/>
      <c r="AD197" s="130"/>
      <c r="AE197" s="130"/>
      <c r="AF197" s="130"/>
      <c r="AG197" s="130"/>
      <c r="AH197" s="130"/>
      <c r="AI197" s="130"/>
      <c r="AJ197" s="130"/>
      <c r="AK197" s="130"/>
      <c r="AL197" s="130"/>
    </row>
    <row r="198" spans="20:39" x14ac:dyDescent="0.3">
      <c r="T198" s="77"/>
      <c r="X198" s="134"/>
      <c r="Y198" s="134"/>
      <c r="Z198" s="134"/>
      <c r="AA198" s="130"/>
      <c r="AB198" s="1347" t="s">
        <v>688</v>
      </c>
      <c r="AC198" s="1993">
        <f t="shared" ref="AC198" si="63">IF(ROUND(AC169,2)=ROUND(AC95,2),0,1)</f>
        <v>0</v>
      </c>
      <c r="AD198" s="1993">
        <f t="shared" ref="AD198:AL198" si="64">IF(ROUND(AD169,2)=ROUND(AD95,2),0,1)</f>
        <v>0</v>
      </c>
      <c r="AE198" s="1993">
        <f t="shared" si="64"/>
        <v>0</v>
      </c>
      <c r="AF198" s="1993">
        <f t="shared" si="64"/>
        <v>0</v>
      </c>
      <c r="AG198" s="1993">
        <f t="shared" si="64"/>
        <v>0</v>
      </c>
      <c r="AH198" s="1993">
        <f t="shared" si="64"/>
        <v>0</v>
      </c>
      <c r="AI198" s="1993">
        <f t="shared" si="64"/>
        <v>0</v>
      </c>
      <c r="AJ198" s="1993">
        <f t="shared" si="64"/>
        <v>0</v>
      </c>
      <c r="AK198" s="1993">
        <f t="shared" si="64"/>
        <v>0</v>
      </c>
      <c r="AL198" s="1993">
        <f t="shared" si="64"/>
        <v>0</v>
      </c>
    </row>
    <row r="199" spans="20:39" x14ac:dyDescent="0.3">
      <c r="X199" s="134"/>
      <c r="Y199" s="134"/>
      <c r="Z199" s="134"/>
      <c r="AA199" s="130"/>
      <c r="AB199" s="1347"/>
      <c r="AC199" s="1993">
        <f>IF(ROUND(AC187,2)=ROUND(AC163,2),0,1)</f>
        <v>1</v>
      </c>
      <c r="AD199" s="1993">
        <f t="shared" ref="AD199:AL199" si="65">IF(ROUND(AD187,2)=ROUND(AD163,2),0,1)</f>
        <v>1</v>
      </c>
      <c r="AE199" s="1993">
        <f t="shared" si="65"/>
        <v>1</v>
      </c>
      <c r="AF199" s="1993">
        <f t="shared" si="65"/>
        <v>1</v>
      </c>
      <c r="AG199" s="1993">
        <f t="shared" si="65"/>
        <v>1</v>
      </c>
      <c r="AH199" s="1993">
        <f t="shared" si="65"/>
        <v>1</v>
      </c>
      <c r="AI199" s="1993">
        <f t="shared" si="65"/>
        <v>1</v>
      </c>
      <c r="AJ199" s="1993">
        <f t="shared" si="65"/>
        <v>1</v>
      </c>
      <c r="AK199" s="1993">
        <f t="shared" si="65"/>
        <v>1</v>
      </c>
      <c r="AL199" s="1993">
        <f t="shared" si="65"/>
        <v>1</v>
      </c>
    </row>
    <row r="200" spans="20:39" x14ac:dyDescent="0.3">
      <c r="X200" s="134"/>
      <c r="Y200" s="134"/>
      <c r="Z200" s="134"/>
      <c r="AA200" s="130"/>
      <c r="AB200" s="1347"/>
      <c r="AC200" s="1993">
        <f>IF(ROUND(AC150,2)=ROUND(AC169,2),0,1)</f>
        <v>0</v>
      </c>
      <c r="AD200" s="1993">
        <f t="shared" ref="AD200:AL200" si="66">IF(ROUND(AD150,2)=ROUND(AD169,2),0,1)</f>
        <v>0</v>
      </c>
      <c r="AE200" s="1993">
        <f t="shared" si="66"/>
        <v>0</v>
      </c>
      <c r="AF200" s="1993">
        <f t="shared" si="66"/>
        <v>0</v>
      </c>
      <c r="AG200" s="1993">
        <f t="shared" si="66"/>
        <v>0</v>
      </c>
      <c r="AH200" s="1993">
        <f t="shared" si="66"/>
        <v>0</v>
      </c>
      <c r="AI200" s="1993">
        <f t="shared" si="66"/>
        <v>0</v>
      </c>
      <c r="AJ200" s="1993">
        <f t="shared" si="66"/>
        <v>0</v>
      </c>
      <c r="AK200" s="1993">
        <f t="shared" si="66"/>
        <v>0</v>
      </c>
      <c r="AL200" s="1993">
        <f t="shared" si="66"/>
        <v>0</v>
      </c>
    </row>
    <row r="201" spans="20:39" x14ac:dyDescent="0.3">
      <c r="X201" s="134"/>
      <c r="Y201" s="134"/>
      <c r="Z201" s="134"/>
      <c r="AA201" s="130"/>
      <c r="AB201" s="1347"/>
      <c r="AC201" s="1993">
        <f>IF(ROUND(AC196,2)=ROUND(AC145,2),0,1)</f>
        <v>0</v>
      </c>
      <c r="AD201" s="1993">
        <f t="shared" ref="AD201:AL201" si="67">IF(ROUND(AD196,2)=ROUND(AD145,2),0,1)</f>
        <v>0</v>
      </c>
      <c r="AE201" s="1993">
        <f t="shared" si="67"/>
        <v>0</v>
      </c>
      <c r="AF201" s="1993">
        <f t="shared" si="67"/>
        <v>0</v>
      </c>
      <c r="AG201" s="1993">
        <f t="shared" si="67"/>
        <v>0</v>
      </c>
      <c r="AH201" s="1993">
        <f t="shared" si="67"/>
        <v>0</v>
      </c>
      <c r="AI201" s="1993">
        <f t="shared" si="67"/>
        <v>0</v>
      </c>
      <c r="AJ201" s="1993">
        <f t="shared" si="67"/>
        <v>0</v>
      </c>
      <c r="AK201" s="1993">
        <f t="shared" si="67"/>
        <v>0</v>
      </c>
      <c r="AL201" s="1993">
        <f t="shared" si="67"/>
        <v>0</v>
      </c>
    </row>
    <row r="202" spans="20:39" x14ac:dyDescent="0.3">
      <c r="X202" s="134"/>
      <c r="Y202" s="134"/>
      <c r="Z202" s="134"/>
    </row>
    <row r="203" spans="20:39" x14ac:dyDescent="0.3">
      <c r="X203" s="134"/>
      <c r="Y203" s="134"/>
      <c r="Z203" s="134"/>
    </row>
  </sheetData>
  <sheetProtection algorithmName="SHA-512" hashValue="NCnpddwVxKb6DMLHJFqEg1F37iMw8oQ82266vjt6TWmb48Ol3/xfU/mCPz7fEohA8bMSkFioylXCGoXzBIqNSQ==" saltValue="sRvdsESw6I04CGhQPLf76Q==" spinCount="100000" sheet="1" objects="1" scenarios="1"/>
  <dataConsolidate link="1"/>
  <mergeCells count="1">
    <mergeCell ref="B3:F3"/>
  </mergeCells>
  <phoneticPr fontId="2" type="noConversion"/>
  <conditionalFormatting sqref="AA199">
    <cfRule type="containsText" dxfId="232" priority="12" stopIfTrue="1" operator="containsText" text="FALSE">
      <formula>NOT(ISERROR(SEARCH("FALSE",AA199)))</formula>
    </cfRule>
  </conditionalFormatting>
  <conditionalFormatting sqref="AD100:AG100">
    <cfRule type="containsText" dxfId="231" priority="8" operator="containsText" text="FALSE">
      <formula>NOT(ISERROR(SEARCH("FALSE",AD100)))</formula>
    </cfRule>
  </conditionalFormatting>
  <conditionalFormatting sqref="H70:H79">
    <cfRule type="containsText" dxfId="230" priority="7" stopIfTrue="1" operator="containsText" text="[Service]">
      <formula>NOT(ISERROR(SEARCH("[Service]",H70)))</formula>
    </cfRule>
  </conditionalFormatting>
  <conditionalFormatting sqref="AA199:AA201">
    <cfRule type="containsText" dxfId="229" priority="6" operator="containsText" text="FALSE">
      <formula>NOT(ISERROR(SEARCH("FALSE",AA199)))</formula>
    </cfRule>
  </conditionalFormatting>
  <conditionalFormatting sqref="AH100:AL100">
    <cfRule type="containsText" dxfId="228" priority="5" operator="containsText" text="FALSE">
      <formula>NOT(ISERROR(SEARCH("FALSE",AH100)))</formula>
    </cfRule>
  </conditionalFormatting>
  <conditionalFormatting sqref="AC100:AL100">
    <cfRule type="containsText" dxfId="227" priority="4" operator="containsText" text="FALSE">
      <formula>NOT(ISERROR(SEARCH("FALSE",AC100)))</formula>
    </cfRule>
  </conditionalFormatting>
  <conditionalFormatting sqref="AC198:AL201">
    <cfRule type="containsText" dxfId="226" priority="3" operator="containsText" text="FALSE">
      <formula>NOT(ISERROR(SEARCH("FALSE",AC198)))</formula>
    </cfRule>
  </conditionalFormatting>
  <conditionalFormatting sqref="H65:H69">
    <cfRule type="containsText" dxfId="225" priority="1" stopIfTrue="1" operator="containsText" text="[Service]">
      <formula>NOT(ISERROR(SEARCH("[Service]",H65)))</formula>
    </cfRule>
  </conditionalFormatting>
  <dataValidations count="1">
    <dataValidation type="list" allowBlank="1" showInputMessage="1" showErrorMessage="1" sqref="H65:H79" xr:uid="{00000000-0002-0000-0300-000000000000}">
      <formula1>Asset_Class</formula1>
    </dataValidation>
  </dataValidations>
  <hyperlinks>
    <hyperlink ref="B3" location="HL_Home" tooltip="Go to Table of Contents" display="HL_Home" xr:uid="{00000000-0004-0000-0300-000000000000}"/>
  </hyperlinks>
  <pageMargins left="0.75" right="0.75" top="1" bottom="1" header="0.5" footer="0.5"/>
  <pageSetup paperSize="9" orientation="portrait" r:id="rId1"/>
  <headerFooter alignWithMargins="0">
    <oddHeader>&amp;C&amp;B&amp;"Arial"&amp;12&amp;Kff0000​‌OFFICIAL‌​</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theme="0" tint="-4.9989318521683403E-2"/>
    <pageSetUpPr autoPageBreaks="0"/>
  </sheetPr>
  <dimension ref="A1:AZ181"/>
  <sheetViews>
    <sheetView showGridLines="0" zoomScaleNormal="100" workbookViewId="0">
      <pane ySplit="7" topLeftCell="A8" activePane="bottomLeft" state="frozen"/>
      <selection pane="bottomLeft" activeCell="AN36" sqref="AN36"/>
    </sheetView>
  </sheetViews>
  <sheetFormatPr defaultColWidth="10.77734375" defaultRowHeight="12" outlineLevelCol="1" x14ac:dyDescent="0.3"/>
  <cols>
    <col min="1" max="1" width="3.77734375" style="73" customWidth="1"/>
    <col min="2" max="2" width="5" style="73" customWidth="1"/>
    <col min="3" max="5" width="3.77734375" style="73" customWidth="1"/>
    <col min="6" max="6" width="10.77734375" style="73" customWidth="1"/>
    <col min="7" max="7" width="13.44140625" style="73" customWidth="1"/>
    <col min="8" max="8" width="22" style="73" bestFit="1" customWidth="1"/>
    <col min="9" max="9" width="15" style="73" customWidth="1"/>
    <col min="10" max="10" width="11" style="73" customWidth="1"/>
    <col min="11" max="22" width="10.77734375" style="73" hidden="1" customWidth="1" outlineLevel="1"/>
    <col min="23" max="23" width="10.77734375" style="73" customWidth="1" collapsed="1"/>
    <col min="24" max="28" width="10.77734375" style="73" customWidth="1"/>
    <col min="29" max="30" width="11.33203125" style="73" customWidth="1"/>
    <col min="31" max="32" width="11.109375" style="73" customWidth="1"/>
    <col min="33" max="33" width="12.33203125" style="73" customWidth="1"/>
    <col min="34" max="35" width="11.33203125" style="73" customWidth="1"/>
    <col min="36" max="37" width="11.109375" style="73" customWidth="1"/>
    <col min="38" max="38" width="12.33203125" style="73" customWidth="1"/>
    <col min="39" max="39" width="6" style="73" customWidth="1"/>
    <col min="40" max="41" width="10.77734375" style="73"/>
    <col min="42" max="42" width="21.77734375" style="73" bestFit="1" customWidth="1"/>
    <col min="43" max="16384" width="10.77734375" style="73"/>
  </cols>
  <sheetData>
    <row r="1" spans="1:52" ht="14.5" x14ac:dyDescent="0.3">
      <c r="A1" s="1358">
        <v>80</v>
      </c>
      <c r="B1" s="158" t="s">
        <v>503</v>
      </c>
      <c r="Y1" s="265"/>
      <c r="Z1" s="265"/>
    </row>
    <row r="2" spans="1:52" ht="13" x14ac:dyDescent="0.3">
      <c r="B2" s="1359" t="str">
        <f>+Contents!H7</f>
        <v>Central Highlands Water</v>
      </c>
      <c r="N2" s="266"/>
    </row>
    <row r="3" spans="1:52" x14ac:dyDescent="0.3">
      <c r="B3" s="2357" t="s">
        <v>0</v>
      </c>
      <c r="C3" s="2357"/>
      <c r="D3" s="2357"/>
      <c r="E3" s="2357"/>
      <c r="F3" s="2357"/>
      <c r="G3" s="74"/>
    </row>
    <row r="4" spans="1:52" x14ac:dyDescent="0.3">
      <c r="A4" s="165"/>
      <c r="B4" s="75"/>
      <c r="C4" s="76"/>
      <c r="F4" s="63"/>
      <c r="K4" s="66"/>
      <c r="L4" s="155" t="s">
        <v>60</v>
      </c>
      <c r="M4" s="65"/>
      <c r="N4" s="66"/>
      <c r="O4" s="67"/>
      <c r="P4" s="155" t="s">
        <v>61</v>
      </c>
      <c r="Q4" s="67"/>
      <c r="R4" s="65"/>
      <c r="S4" s="1202"/>
      <c r="T4" s="1203"/>
      <c r="U4" s="1572" t="s">
        <v>274</v>
      </c>
      <c r="V4" s="1203"/>
      <c r="W4" s="1204"/>
      <c r="X4" s="1944"/>
      <c r="Y4" s="1575"/>
      <c r="Z4" s="1575" t="s">
        <v>1072</v>
      </c>
      <c r="AA4" s="1575"/>
      <c r="AB4" s="1574"/>
      <c r="AC4" s="1573"/>
      <c r="AD4" s="1575"/>
      <c r="AE4" s="1575" t="s">
        <v>457</v>
      </c>
      <c r="AF4" s="1575"/>
      <c r="AG4" s="1574"/>
      <c r="AH4" s="1573"/>
      <c r="AI4" s="1575"/>
      <c r="AJ4" s="1575" t="s">
        <v>903</v>
      </c>
      <c r="AK4" s="1575"/>
      <c r="AL4" s="1574"/>
    </row>
    <row r="6" spans="1:52" x14ac:dyDescent="0.3">
      <c r="B6" s="166"/>
      <c r="K6" s="1360">
        <v>2006</v>
      </c>
      <c r="L6" s="1360">
        <v>2007</v>
      </c>
      <c r="M6" s="1360">
        <v>2008</v>
      </c>
      <c r="N6" s="1360">
        <v>2009</v>
      </c>
      <c r="O6" s="1360">
        <v>2010</v>
      </c>
      <c r="P6" s="1360">
        <v>2011</v>
      </c>
      <c r="Q6" s="1360">
        <v>2012</v>
      </c>
      <c r="R6" s="1360">
        <v>2013</v>
      </c>
      <c r="S6" s="1360">
        <v>2014</v>
      </c>
      <c r="T6" s="1360">
        <v>2015</v>
      </c>
      <c r="U6" s="1360">
        <v>2016</v>
      </c>
      <c r="V6" s="1360">
        <v>2017</v>
      </c>
      <c r="W6" s="1360">
        <v>2018</v>
      </c>
      <c r="X6" s="1360">
        <v>2019</v>
      </c>
      <c r="Y6" s="1360">
        <v>2020</v>
      </c>
      <c r="Z6" s="1360">
        <v>2021</v>
      </c>
      <c r="AA6" s="1360">
        <v>2022</v>
      </c>
      <c r="AB6" s="1360">
        <v>2023</v>
      </c>
      <c r="AC6" s="1420">
        <v>2024</v>
      </c>
      <c r="AD6" s="1420">
        <v>2025</v>
      </c>
      <c r="AE6" s="1420">
        <v>2026</v>
      </c>
      <c r="AF6" s="1420">
        <v>2027</v>
      </c>
      <c r="AG6" s="1420">
        <v>2028</v>
      </c>
      <c r="AH6" s="1420">
        <v>2029</v>
      </c>
      <c r="AI6" s="1420">
        <v>2030</v>
      </c>
      <c r="AJ6" s="1420">
        <v>2031</v>
      </c>
      <c r="AK6" s="1420">
        <v>2032</v>
      </c>
      <c r="AL6" s="1420">
        <v>2033</v>
      </c>
    </row>
    <row r="7" spans="1:52" x14ac:dyDescent="0.3">
      <c r="A7" s="78"/>
      <c r="B7" s="126" t="str">
        <f>Expenditure_Detail!$B$6</f>
        <v>$m, 01/01/23</v>
      </c>
      <c r="C7" s="78"/>
      <c r="D7" s="78"/>
      <c r="E7" s="78"/>
      <c r="F7" s="78"/>
      <c r="G7" s="78"/>
      <c r="H7" s="78"/>
      <c r="I7" s="267"/>
      <c r="J7" s="267"/>
      <c r="K7" s="1319" t="str">
        <f>+CONCATENATE(K6-1,"-",RIGHT(K6,2))</f>
        <v>2005-06</v>
      </c>
      <c r="L7" s="1319" t="str">
        <f t="shared" ref="L7:W7" si="0">+CONCATENATE(L6-1,"-",RIGHT(L6,2))</f>
        <v>2006-07</v>
      </c>
      <c r="M7" s="1319" t="str">
        <f t="shared" si="0"/>
        <v>2007-08</v>
      </c>
      <c r="N7" s="1319" t="str">
        <f t="shared" si="0"/>
        <v>2008-09</v>
      </c>
      <c r="O7" s="1319" t="str">
        <f t="shared" si="0"/>
        <v>2009-10</v>
      </c>
      <c r="P7" s="1319" t="str">
        <f t="shared" si="0"/>
        <v>2010-11</v>
      </c>
      <c r="Q7" s="1319" t="str">
        <f t="shared" si="0"/>
        <v>2011-12</v>
      </c>
      <c r="R7" s="1319" t="str">
        <f t="shared" si="0"/>
        <v>2012-13</v>
      </c>
      <c r="S7" s="1319" t="str">
        <f t="shared" si="0"/>
        <v>2013-14</v>
      </c>
      <c r="T7" s="1319" t="str">
        <f t="shared" si="0"/>
        <v>2014-15</v>
      </c>
      <c r="U7" s="1319" t="str">
        <f t="shared" si="0"/>
        <v>2015-16</v>
      </c>
      <c r="V7" s="1319" t="str">
        <f t="shared" si="0"/>
        <v>2016-17</v>
      </c>
      <c r="W7" s="1319" t="str">
        <f t="shared" si="0"/>
        <v>2017-18</v>
      </c>
      <c r="X7" s="1319" t="str">
        <f t="shared" ref="X7:AG7" si="1">+CONCATENATE(X6-1,"-",RIGHT(X6,2))</f>
        <v>2018-19</v>
      </c>
      <c r="Y7" s="1319" t="str">
        <f t="shared" si="1"/>
        <v>2019-20</v>
      </c>
      <c r="Z7" s="1319" t="str">
        <f t="shared" si="1"/>
        <v>2020-21</v>
      </c>
      <c r="AA7" s="1319" t="str">
        <f t="shared" si="1"/>
        <v>2021-22</v>
      </c>
      <c r="AB7" s="1319" t="str">
        <f t="shared" si="1"/>
        <v>2022-23</v>
      </c>
      <c r="AC7" s="1319" t="str">
        <f t="shared" si="1"/>
        <v>2023-24</v>
      </c>
      <c r="AD7" s="1319" t="str">
        <f t="shared" si="1"/>
        <v>2024-25</v>
      </c>
      <c r="AE7" s="1319" t="str">
        <f t="shared" si="1"/>
        <v>2025-26</v>
      </c>
      <c r="AF7" s="1319" t="str">
        <f t="shared" si="1"/>
        <v>2026-27</v>
      </c>
      <c r="AG7" s="1319" t="str">
        <f t="shared" si="1"/>
        <v>2027-28</v>
      </c>
      <c r="AH7" s="1319" t="str">
        <f>+CONCATENATE(AH6-1,"-",RIGHT(AH6,2))</f>
        <v>2028-29</v>
      </c>
      <c r="AI7" s="1319" t="str">
        <f>+CONCATENATE(AI6-1,"-",RIGHT(AI6,2))</f>
        <v>2029-30</v>
      </c>
      <c r="AJ7" s="1319" t="str">
        <f>+CONCATENATE(AJ6-1,"-",RIGHT(AJ6,2))</f>
        <v>2030-31</v>
      </c>
      <c r="AK7" s="1319" t="str">
        <f>+CONCATENATE(AK6-1,"-",RIGHT(AK6,2))</f>
        <v>2031-32</v>
      </c>
      <c r="AL7" s="1319" t="str">
        <f>+CONCATENATE(AL6-1,"-",RIGHT(AL6,2))</f>
        <v>2032-33</v>
      </c>
    </row>
    <row r="8" spans="1:52" ht="12.5" thickBot="1" x14ac:dyDescent="0.35"/>
    <row r="9" spans="1:52" x14ac:dyDescent="0.3">
      <c r="C9" s="269"/>
      <c r="D9" s="231"/>
      <c r="E9" s="231"/>
      <c r="F9" s="231"/>
      <c r="G9" s="231"/>
      <c r="H9" s="231"/>
      <c r="I9" s="231"/>
      <c r="J9" s="231"/>
      <c r="K9" s="231"/>
      <c r="L9" s="231"/>
      <c r="M9" s="231"/>
      <c r="N9" s="231"/>
      <c r="O9" s="231"/>
      <c r="P9" s="231"/>
      <c r="Q9" s="231"/>
      <c r="R9" s="231"/>
      <c r="S9" s="231"/>
      <c r="T9" s="231"/>
      <c r="U9" s="231"/>
      <c r="V9" s="231"/>
      <c r="W9" s="231"/>
      <c r="X9" s="231"/>
      <c r="Y9" s="231"/>
      <c r="Z9" s="231"/>
      <c r="AA9" s="231"/>
      <c r="AB9" s="231"/>
      <c r="AC9" s="231"/>
      <c r="AD9" s="231"/>
      <c r="AE9" s="231"/>
      <c r="AF9" s="231"/>
      <c r="AG9" s="231"/>
      <c r="AH9" s="231"/>
      <c r="AI9" s="231"/>
      <c r="AJ9" s="231"/>
      <c r="AK9" s="231"/>
      <c r="AL9" s="231"/>
      <c r="AM9" s="270"/>
    </row>
    <row r="10" spans="1:52" ht="12.75" customHeight="1" x14ac:dyDescent="0.3">
      <c r="C10" s="188"/>
      <c r="D10" s="271" t="s">
        <v>59</v>
      </c>
      <c r="E10" s="84"/>
      <c r="F10" s="84"/>
      <c r="G10" s="84"/>
      <c r="H10" s="84"/>
      <c r="I10" s="84"/>
      <c r="J10" s="84"/>
      <c r="K10" s="84"/>
      <c r="L10" s="84"/>
      <c r="M10" s="84"/>
      <c r="N10" s="84"/>
      <c r="O10" s="84"/>
      <c r="P10" s="84"/>
      <c r="Q10" s="84"/>
      <c r="R10" s="84"/>
      <c r="S10" s="84"/>
      <c r="T10" s="84"/>
      <c r="U10" s="84"/>
      <c r="V10" s="84"/>
      <c r="W10" s="84"/>
      <c r="X10" s="118"/>
      <c r="Y10" s="84"/>
      <c r="Z10" s="84"/>
      <c r="AA10" s="84"/>
      <c r="AB10" s="84"/>
      <c r="AC10" s="84"/>
      <c r="AD10" s="84"/>
      <c r="AE10" s="84"/>
      <c r="AF10" s="84"/>
      <c r="AG10" s="84"/>
      <c r="AH10" s="84"/>
      <c r="AI10" s="84"/>
      <c r="AJ10" s="84"/>
      <c r="AK10" s="84"/>
      <c r="AL10" s="84"/>
      <c r="AM10" s="192"/>
    </row>
    <row r="11" spans="1:52" ht="10.5" customHeight="1" x14ac:dyDescent="0.3">
      <c r="C11" s="188"/>
      <c r="D11" s="272"/>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192"/>
    </row>
    <row r="12" spans="1:52" x14ac:dyDescent="0.3">
      <c r="C12" s="188"/>
      <c r="D12" s="84"/>
      <c r="E12" s="1611" t="str">
        <f>C48</f>
        <v>Water</v>
      </c>
      <c r="F12" s="274"/>
      <c r="G12" s="84"/>
      <c r="H12" s="84"/>
      <c r="I12" s="84"/>
      <c r="J12" s="84"/>
      <c r="K12" s="1527"/>
      <c r="L12" s="1527"/>
      <c r="M12" s="1527"/>
      <c r="N12" s="1527"/>
      <c r="O12" s="1527"/>
      <c r="P12" s="1527"/>
      <c r="Q12" s="1527"/>
      <c r="R12" s="1527"/>
      <c r="S12" s="1527"/>
      <c r="T12" s="1527"/>
      <c r="U12" s="1527"/>
      <c r="V12" s="1527"/>
      <c r="W12" s="1527">
        <f t="shared" ref="W12:AB12" si="2">+W57-W50-W54</f>
        <v>31.746431674208143</v>
      </c>
      <c r="X12" s="1527">
        <f t="shared" si="2"/>
        <v>35.498897078376011</v>
      </c>
      <c r="Y12" s="1527">
        <f t="shared" si="2"/>
        <v>32.861804912770189</v>
      </c>
      <c r="Z12" s="1527">
        <f t="shared" si="2"/>
        <v>32.182121783876504</v>
      </c>
      <c r="AA12" s="1527">
        <f t="shared" si="2"/>
        <v>38.849958691500142</v>
      </c>
      <c r="AB12" s="1527">
        <f t="shared" si="2"/>
        <v>39.238458278415138</v>
      </c>
      <c r="AC12" s="1527">
        <f t="shared" ref="AC12:AL12" si="3">+AC57-AC50-AC54</f>
        <v>36.646447145253539</v>
      </c>
      <c r="AD12" s="1527">
        <f t="shared" si="3"/>
        <v>37.247525319189634</v>
      </c>
      <c r="AE12" s="1527">
        <f t="shared" si="3"/>
        <v>37.984570752222112</v>
      </c>
      <c r="AF12" s="1527">
        <f t="shared" si="3"/>
        <v>38.222574986807302</v>
      </c>
      <c r="AG12" s="1527">
        <f t="shared" si="3"/>
        <v>38.833392334466218</v>
      </c>
      <c r="AH12" s="1527">
        <f t="shared" si="3"/>
        <v>38.144078399146657</v>
      </c>
      <c r="AI12" s="1527">
        <f t="shared" si="3"/>
        <v>38.599280525867385</v>
      </c>
      <c r="AJ12" s="1527">
        <f t="shared" si="3"/>
        <v>39.059941179403097</v>
      </c>
      <c r="AK12" s="1527">
        <f t="shared" si="3"/>
        <v>39.526125942349303</v>
      </c>
      <c r="AL12" s="1527">
        <f t="shared" si="3"/>
        <v>39.997901191963145</v>
      </c>
      <c r="AM12" s="192"/>
      <c r="AO12" s="1307"/>
      <c r="AP12" s="1307"/>
      <c r="AQ12" s="1307"/>
      <c r="AR12" s="1307"/>
      <c r="AS12" s="1307"/>
      <c r="AT12" s="1307"/>
      <c r="AU12" s="1307"/>
      <c r="AV12" s="1307"/>
      <c r="AW12" s="1307"/>
      <c r="AX12" s="1307"/>
      <c r="AY12" s="807"/>
      <c r="AZ12" s="807"/>
    </row>
    <row r="13" spans="1:52" x14ac:dyDescent="0.3">
      <c r="C13" s="188"/>
      <c r="D13" s="84"/>
      <c r="E13" s="1611" t="str">
        <f>C59</f>
        <v>Sewerage</v>
      </c>
      <c r="F13" s="274"/>
      <c r="G13" s="84"/>
      <c r="H13" s="84"/>
      <c r="I13" s="84"/>
      <c r="J13" s="84"/>
      <c r="K13" s="1455"/>
      <c r="L13" s="1455"/>
      <c r="M13" s="1455"/>
      <c r="N13" s="1455"/>
      <c r="O13" s="1455"/>
      <c r="P13" s="1455"/>
      <c r="Q13" s="1455"/>
      <c r="R13" s="1455"/>
      <c r="S13" s="1455"/>
      <c r="T13" s="1455"/>
      <c r="U13" s="1455"/>
      <c r="V13" s="1455"/>
      <c r="W13" s="1455">
        <f t="shared" ref="W13:AB13" si="4">W68-W61-W65</f>
        <v>25.738683257918552</v>
      </c>
      <c r="X13" s="1455">
        <f t="shared" si="4"/>
        <v>27.019653821868889</v>
      </c>
      <c r="Y13" s="1455">
        <f t="shared" si="4"/>
        <v>27.718820556809124</v>
      </c>
      <c r="Z13" s="1455">
        <f t="shared" si="4"/>
        <v>25.377185248713548</v>
      </c>
      <c r="AA13" s="1455">
        <f t="shared" si="4"/>
        <v>25.630957101200682</v>
      </c>
      <c r="AB13" s="1455">
        <f t="shared" si="4"/>
        <v>25.887266672212693</v>
      </c>
      <c r="AC13" s="1455">
        <f t="shared" ref="AC13:AL13" si="5">AC68-AC61-AC65</f>
        <v>28.897525283066276</v>
      </c>
      <c r="AD13" s="1455">
        <f t="shared" si="5"/>
        <v>29.367839108434719</v>
      </c>
      <c r="AE13" s="1455">
        <f t="shared" si="5"/>
        <v>29.952701535513711</v>
      </c>
      <c r="AF13" s="1455">
        <f t="shared" si="5"/>
        <v>30.140379575874398</v>
      </c>
      <c r="AG13" s="1455">
        <f t="shared" si="5"/>
        <v>30.622039085112657</v>
      </c>
      <c r="AH13" s="1455">
        <f t="shared" si="5"/>
        <v>30.078481157248245</v>
      </c>
      <c r="AI13" s="1455">
        <f t="shared" si="5"/>
        <v>30.437430414011921</v>
      </c>
      <c r="AJ13" s="1455">
        <f t="shared" si="5"/>
        <v>30.800683987535656</v>
      </c>
      <c r="AK13" s="1455">
        <f t="shared" si="5"/>
        <v>31.168293592920367</v>
      </c>
      <c r="AL13" s="1455">
        <f t="shared" si="5"/>
        <v>31.540311571896709</v>
      </c>
      <c r="AM13" s="192"/>
      <c r="AO13" s="1307"/>
      <c r="AP13" s="1307"/>
      <c r="AQ13" s="1307"/>
      <c r="AR13" s="1307"/>
      <c r="AS13" s="1307"/>
      <c r="AT13" s="1307"/>
      <c r="AU13" s="1307"/>
      <c r="AV13" s="1307"/>
      <c r="AW13" s="1307"/>
      <c r="AX13" s="1307"/>
      <c r="AY13" s="807"/>
      <c r="AZ13" s="807"/>
    </row>
    <row r="14" spans="1:52" x14ac:dyDescent="0.3">
      <c r="C14" s="188"/>
      <c r="D14" s="84"/>
      <c r="E14" s="1611" t="str">
        <f>C70</f>
        <v>Recycled Water</v>
      </c>
      <c r="F14" s="274"/>
      <c r="G14" s="84"/>
      <c r="H14" s="84"/>
      <c r="I14" s="84"/>
      <c r="J14" s="84"/>
      <c r="K14" s="1527"/>
      <c r="L14" s="1527"/>
      <c r="M14" s="1527"/>
      <c r="N14" s="1527"/>
      <c r="O14" s="1527"/>
      <c r="P14" s="1527"/>
      <c r="Q14" s="1527"/>
      <c r="R14" s="1527"/>
      <c r="S14" s="1527"/>
      <c r="T14" s="1527"/>
      <c r="U14" s="1527"/>
      <c r="V14" s="1527"/>
      <c r="W14" s="1527">
        <f t="shared" ref="W14:AB14" si="6">W79-W72-W76</f>
        <v>0.31843981900452489</v>
      </c>
      <c r="X14" s="1527">
        <f t="shared" si="6"/>
        <v>0.57332530833172335</v>
      </c>
      <c r="Y14" s="1527">
        <f t="shared" si="6"/>
        <v>0.42851356931639617</v>
      </c>
      <c r="Z14" s="1527">
        <f t="shared" si="6"/>
        <v>0.46648456260720411</v>
      </c>
      <c r="AA14" s="1527">
        <f t="shared" si="6"/>
        <v>0.47114940823327617</v>
      </c>
      <c r="AB14" s="1527">
        <f t="shared" si="6"/>
        <v>0.4758609023156089</v>
      </c>
      <c r="AC14" s="1527">
        <f t="shared" ref="AC14:AL14" si="7">AC79-AC72-AC76</f>
        <v>0.53119561172707874</v>
      </c>
      <c r="AD14" s="1527">
        <f t="shared" si="7"/>
        <v>0.53984094165492191</v>
      </c>
      <c r="AE14" s="1527">
        <f t="shared" si="7"/>
        <v>0.55059190914037859</v>
      </c>
      <c r="AF14" s="1527">
        <f t="shared" si="7"/>
        <v>0.55404181533409513</v>
      </c>
      <c r="AG14" s="1527">
        <f t="shared" si="7"/>
        <v>0.5628957021340113</v>
      </c>
      <c r="AH14" s="1527">
        <f t="shared" si="7"/>
        <v>0.552903995814085</v>
      </c>
      <c r="AI14" s="1527">
        <f t="shared" si="7"/>
        <v>0.55950221722432092</v>
      </c>
      <c r="AJ14" s="1527">
        <f t="shared" si="7"/>
        <v>0.56617956077917042</v>
      </c>
      <c r="AK14" s="1527">
        <f t="shared" si="7"/>
        <v>0.57293697710794889</v>
      </c>
      <c r="AL14" s="1527">
        <f t="shared" si="7"/>
        <v>0.57977542835870766</v>
      </c>
      <c r="AM14" s="192"/>
      <c r="AO14" s="1307"/>
      <c r="AP14" s="1307"/>
      <c r="AQ14" s="1307"/>
      <c r="AR14" s="1307"/>
      <c r="AS14" s="1307"/>
      <c r="AT14" s="1307"/>
      <c r="AU14" s="1307"/>
      <c r="AV14" s="1307"/>
      <c r="AW14" s="1307"/>
      <c r="AX14" s="1307"/>
      <c r="AY14" s="807"/>
      <c r="AZ14" s="807"/>
    </row>
    <row r="15" spans="1:52" x14ac:dyDescent="0.3">
      <c r="C15" s="188"/>
      <c r="D15" s="84"/>
      <c r="E15" s="1611" t="str">
        <f>C81</f>
        <v>Rural Water</v>
      </c>
      <c r="F15" s="274"/>
      <c r="G15" s="84"/>
      <c r="H15" s="84"/>
      <c r="I15" s="84"/>
      <c r="J15" s="84"/>
      <c r="K15" s="1527"/>
      <c r="L15" s="1527"/>
      <c r="M15" s="1527"/>
      <c r="N15" s="1527"/>
      <c r="O15" s="1527"/>
      <c r="P15" s="1527"/>
      <c r="Q15" s="1527"/>
      <c r="R15" s="1527"/>
      <c r="S15" s="1527"/>
      <c r="T15" s="1527"/>
      <c r="U15" s="1527"/>
      <c r="V15" s="1527"/>
      <c r="W15" s="1527">
        <f t="shared" ref="W15:AB15" si="8">W90-W83-W87</f>
        <v>0</v>
      </c>
      <c r="X15" s="1527">
        <f t="shared" si="8"/>
        <v>0</v>
      </c>
      <c r="Y15" s="1527">
        <f t="shared" si="8"/>
        <v>0</v>
      </c>
      <c r="Z15" s="1527">
        <f t="shared" si="8"/>
        <v>0</v>
      </c>
      <c r="AA15" s="1527">
        <f t="shared" si="8"/>
        <v>0</v>
      </c>
      <c r="AB15" s="1527">
        <f t="shared" si="8"/>
        <v>0</v>
      </c>
      <c r="AC15" s="1527">
        <f t="shared" ref="AC15:AL15" si="9">AC90-AC83-AC87</f>
        <v>0</v>
      </c>
      <c r="AD15" s="1527">
        <f t="shared" si="9"/>
        <v>0</v>
      </c>
      <c r="AE15" s="1527">
        <f t="shared" si="9"/>
        <v>0</v>
      </c>
      <c r="AF15" s="1527">
        <f t="shared" si="9"/>
        <v>0</v>
      </c>
      <c r="AG15" s="1527">
        <f t="shared" si="9"/>
        <v>0</v>
      </c>
      <c r="AH15" s="1527">
        <f t="shared" si="9"/>
        <v>0</v>
      </c>
      <c r="AI15" s="1527">
        <f t="shared" si="9"/>
        <v>0</v>
      </c>
      <c r="AJ15" s="1527">
        <f t="shared" si="9"/>
        <v>0</v>
      </c>
      <c r="AK15" s="1527">
        <f t="shared" si="9"/>
        <v>0</v>
      </c>
      <c r="AL15" s="1527">
        <f t="shared" si="9"/>
        <v>0</v>
      </c>
      <c r="AM15" s="192"/>
      <c r="AO15" s="1307"/>
      <c r="AP15" s="1307"/>
      <c r="AQ15" s="1307"/>
      <c r="AR15" s="1307"/>
      <c r="AS15" s="1307"/>
      <c r="AT15" s="1307"/>
      <c r="AU15" s="1307"/>
      <c r="AV15" s="1307"/>
      <c r="AW15" s="1307"/>
      <c r="AX15" s="1307"/>
      <c r="AY15" s="807"/>
      <c r="AZ15" s="807"/>
    </row>
    <row r="16" spans="1:52" s="126" customFormat="1" x14ac:dyDescent="0.3">
      <c r="C16" s="188"/>
      <c r="D16" s="84"/>
      <c r="E16" s="273" t="s">
        <v>354</v>
      </c>
      <c r="F16" s="274"/>
      <c r="G16" s="84"/>
      <c r="H16" s="84"/>
      <c r="I16" s="84"/>
      <c r="J16" s="84"/>
      <c r="K16" s="1527"/>
      <c r="L16" s="1527"/>
      <c r="M16" s="1527"/>
      <c r="N16" s="1527"/>
      <c r="O16" s="1527"/>
      <c r="P16" s="1527"/>
      <c r="Q16" s="1527"/>
      <c r="R16" s="1527"/>
      <c r="S16" s="1527"/>
      <c r="T16" s="1527"/>
      <c r="U16" s="1527"/>
      <c r="V16" s="1527"/>
      <c r="W16" s="1527">
        <f t="shared" ref="W16:AB16" si="10">W100-W97</f>
        <v>0</v>
      </c>
      <c r="X16" s="1527">
        <f t="shared" si="10"/>
        <v>0</v>
      </c>
      <c r="Y16" s="1527">
        <f t="shared" si="10"/>
        <v>0</v>
      </c>
      <c r="Z16" s="1527">
        <f t="shared" si="10"/>
        <v>0</v>
      </c>
      <c r="AA16" s="1527">
        <f t="shared" si="10"/>
        <v>0</v>
      </c>
      <c r="AB16" s="1527">
        <f t="shared" si="10"/>
        <v>0</v>
      </c>
      <c r="AC16" s="1527">
        <f t="shared" ref="AC16:AL16" si="11">AC100-AC97</f>
        <v>0</v>
      </c>
      <c r="AD16" s="1527">
        <f t="shared" si="11"/>
        <v>0</v>
      </c>
      <c r="AE16" s="1527">
        <f t="shared" si="11"/>
        <v>0</v>
      </c>
      <c r="AF16" s="1527">
        <f t="shared" si="11"/>
        <v>0</v>
      </c>
      <c r="AG16" s="1527">
        <f t="shared" si="11"/>
        <v>0</v>
      </c>
      <c r="AH16" s="1527">
        <f t="shared" si="11"/>
        <v>0</v>
      </c>
      <c r="AI16" s="1527">
        <f t="shared" si="11"/>
        <v>0</v>
      </c>
      <c r="AJ16" s="1527">
        <f t="shared" si="11"/>
        <v>0</v>
      </c>
      <c r="AK16" s="1527">
        <f t="shared" si="11"/>
        <v>0</v>
      </c>
      <c r="AL16" s="1527">
        <f t="shared" si="11"/>
        <v>0</v>
      </c>
      <c r="AM16" s="192"/>
      <c r="AO16" s="1307"/>
      <c r="AP16" s="1307"/>
      <c r="AQ16" s="1307"/>
      <c r="AR16" s="1307"/>
      <c r="AS16" s="1307"/>
      <c r="AT16" s="1307"/>
      <c r="AU16" s="1307"/>
      <c r="AV16" s="1307"/>
      <c r="AW16" s="1307"/>
      <c r="AX16" s="1307"/>
      <c r="AY16" s="807"/>
      <c r="AZ16" s="807"/>
    </row>
    <row r="17" spans="3:52" ht="12.5" thickBot="1" x14ac:dyDescent="0.35">
      <c r="C17" s="188"/>
      <c r="D17" s="84"/>
      <c r="E17" s="108" t="s">
        <v>478</v>
      </c>
      <c r="F17" s="84"/>
      <c r="G17" s="84"/>
      <c r="H17" s="84"/>
      <c r="I17" s="84"/>
      <c r="J17" s="84"/>
      <c r="K17" s="1612"/>
      <c r="L17" s="1612"/>
      <c r="M17" s="1612"/>
      <c r="N17" s="1612"/>
      <c r="O17" s="1612"/>
      <c r="P17" s="1612"/>
      <c r="Q17" s="1612"/>
      <c r="R17" s="1612"/>
      <c r="S17" s="1546"/>
      <c r="T17" s="1546"/>
      <c r="U17" s="1546"/>
      <c r="V17" s="1546"/>
      <c r="W17" s="1546">
        <f t="shared" ref="W17:AG17" si="12">SUM(W12:W16)</f>
        <v>57.803554751131216</v>
      </c>
      <c r="X17" s="1546">
        <f t="shared" si="12"/>
        <v>63.091876208576629</v>
      </c>
      <c r="Y17" s="1546">
        <f t="shared" si="12"/>
        <v>61.009139038895711</v>
      </c>
      <c r="Z17" s="1546">
        <f t="shared" si="12"/>
        <v>58.025791595197262</v>
      </c>
      <c r="AA17" s="1546">
        <f t="shared" si="12"/>
        <v>64.952065200934101</v>
      </c>
      <c r="AB17" s="1546">
        <f t="shared" si="12"/>
        <v>65.60158585294343</v>
      </c>
      <c r="AC17" s="1546">
        <f t="shared" si="12"/>
        <v>66.075168040046904</v>
      </c>
      <c r="AD17" s="1546">
        <f t="shared" si="12"/>
        <v>67.155205369279273</v>
      </c>
      <c r="AE17" s="1546">
        <f t="shared" si="12"/>
        <v>68.487864196876203</v>
      </c>
      <c r="AF17" s="1546">
        <f t="shared" si="12"/>
        <v>68.916996378015796</v>
      </c>
      <c r="AG17" s="1546">
        <f t="shared" si="12"/>
        <v>70.018327121712886</v>
      </c>
      <c r="AH17" s="1546">
        <f>SUM(AH12:AH16)</f>
        <v>68.77546355220899</v>
      </c>
      <c r="AI17" s="1546">
        <f>SUM(AI12:AI16)</f>
        <v>69.59621315710362</v>
      </c>
      <c r="AJ17" s="1546">
        <f>SUM(AJ12:AJ16)</f>
        <v>70.426804727717922</v>
      </c>
      <c r="AK17" s="1546">
        <f>SUM(AK12:AK16)</f>
        <v>71.267356512377617</v>
      </c>
      <c r="AL17" s="1546">
        <f>SUM(AL12:AL16)</f>
        <v>72.117988192218561</v>
      </c>
      <c r="AM17" s="192"/>
      <c r="AO17" s="1307"/>
      <c r="AP17" s="1307"/>
      <c r="AQ17" s="1307"/>
      <c r="AR17" s="1307"/>
      <c r="AS17" s="1307"/>
      <c r="AT17" s="1307"/>
      <c r="AU17" s="1307"/>
      <c r="AV17" s="1307"/>
      <c r="AW17" s="1307"/>
      <c r="AX17" s="1307"/>
      <c r="AY17" s="807"/>
      <c r="AZ17" s="807"/>
    </row>
    <row r="18" spans="3:52" x14ac:dyDescent="0.3">
      <c r="C18" s="188"/>
      <c r="D18" s="84"/>
      <c r="E18" s="84"/>
      <c r="F18" s="84"/>
      <c r="G18" s="84"/>
      <c r="H18" s="84"/>
      <c r="I18" s="84"/>
      <c r="J18" s="102"/>
      <c r="K18" s="297"/>
      <c r="L18" s="297"/>
      <c r="M18" s="297"/>
      <c r="N18" s="102"/>
      <c r="O18" s="102"/>
      <c r="P18" s="102"/>
      <c r="Q18" s="102"/>
      <c r="R18" s="449"/>
      <c r="S18" s="449"/>
      <c r="T18" s="449"/>
      <c r="U18" s="449"/>
      <c r="V18" s="1217"/>
      <c r="W18" s="1219"/>
      <c r="X18" s="1220"/>
      <c r="Y18" s="1220"/>
      <c r="Z18" s="1220"/>
      <c r="AA18" s="1218"/>
      <c r="AB18" s="1220"/>
      <c r="AC18" s="1220"/>
      <c r="AD18" s="449"/>
      <c r="AE18" s="449"/>
      <c r="AF18" s="449"/>
      <c r="AG18" s="449"/>
      <c r="AH18" s="1220"/>
      <c r="AI18" s="449"/>
      <c r="AJ18" s="449"/>
      <c r="AK18" s="449"/>
      <c r="AL18" s="449"/>
      <c r="AM18" s="224"/>
      <c r="AO18" s="1307"/>
      <c r="AP18" s="1307"/>
      <c r="AQ18" s="1307"/>
      <c r="AR18" s="1307"/>
      <c r="AS18" s="1307"/>
      <c r="AT18" s="1307"/>
      <c r="AU18" s="1307"/>
      <c r="AV18" s="1307"/>
      <c r="AW18" s="1307"/>
      <c r="AX18" s="1307"/>
      <c r="AY18" s="807"/>
      <c r="AZ18" s="807"/>
    </row>
    <row r="19" spans="3:52" x14ac:dyDescent="0.3">
      <c r="C19" s="188"/>
      <c r="D19" s="84"/>
      <c r="E19" s="84"/>
      <c r="F19" s="84"/>
      <c r="G19" s="84"/>
      <c r="H19" s="84"/>
      <c r="I19" s="84"/>
      <c r="J19" s="102"/>
      <c r="K19" s="102"/>
      <c r="L19" s="102"/>
      <c r="M19" s="102"/>
      <c r="N19" s="102"/>
      <c r="O19" s="102"/>
      <c r="P19" s="102"/>
      <c r="Q19" s="102"/>
      <c r="R19" s="449"/>
      <c r="S19" s="449"/>
      <c r="T19" s="449"/>
      <c r="U19" s="449"/>
      <c r="V19" s="1220"/>
      <c r="W19" s="1220"/>
      <c r="X19" s="1220"/>
      <c r="Y19" s="1220"/>
      <c r="Z19" s="1220"/>
      <c r="AA19" s="1218"/>
      <c r="AB19" s="1220"/>
      <c r="AC19" s="449"/>
      <c r="AD19" s="449"/>
      <c r="AE19" s="449"/>
      <c r="AF19" s="449"/>
      <c r="AG19" s="449"/>
      <c r="AH19" s="449"/>
      <c r="AI19" s="449"/>
      <c r="AJ19" s="449"/>
      <c r="AK19" s="449"/>
      <c r="AL19" s="449"/>
      <c r="AM19" s="1221"/>
      <c r="AO19" s="1307"/>
      <c r="AP19" s="1307"/>
      <c r="AQ19" s="1307"/>
      <c r="AR19" s="1307"/>
      <c r="AS19" s="1307"/>
      <c r="AT19" s="1307"/>
      <c r="AU19" s="1307"/>
      <c r="AV19" s="1307"/>
      <c r="AW19" s="1307"/>
      <c r="AX19" s="1307"/>
      <c r="AY19" s="807"/>
      <c r="AZ19" s="807"/>
    </row>
    <row r="20" spans="3:52" x14ac:dyDescent="0.3">
      <c r="C20" s="188"/>
      <c r="D20" s="84"/>
      <c r="E20" s="273" t="s">
        <v>5</v>
      </c>
      <c r="F20" s="274"/>
      <c r="G20" s="278"/>
      <c r="H20" s="84"/>
      <c r="I20" s="84"/>
      <c r="J20" s="84"/>
      <c r="K20" s="1613"/>
      <c r="L20" s="1613"/>
      <c r="M20" s="1613"/>
      <c r="N20" s="1613"/>
      <c r="O20" s="1613"/>
      <c r="P20" s="1613"/>
      <c r="Q20" s="1613"/>
      <c r="R20" s="1613"/>
      <c r="S20" s="1613"/>
      <c r="T20" s="1613"/>
      <c r="U20" s="1613"/>
      <c r="V20" s="1613"/>
      <c r="W20" s="1613">
        <f t="shared" ref="W20:AG20" si="13">W49+W60+W71+W82+W93</f>
        <v>14.418371945701358</v>
      </c>
      <c r="X20" s="1613">
        <f t="shared" si="13"/>
        <v>18.102320855381905</v>
      </c>
      <c r="Y20" s="1613">
        <f t="shared" si="13"/>
        <v>17.259451234969337</v>
      </c>
      <c r="Z20" s="1613">
        <f t="shared" si="13"/>
        <v>15.425868782161237</v>
      </c>
      <c r="AA20" s="1613">
        <f t="shared" si="13"/>
        <v>21.926143159767719</v>
      </c>
      <c r="AB20" s="1613">
        <f t="shared" si="13"/>
        <v>22.145404591365395</v>
      </c>
      <c r="AC20" s="1613">
        <f t="shared" si="13"/>
        <v>17.565755570482921</v>
      </c>
      <c r="AD20" s="1613">
        <f t="shared" si="13"/>
        <v>17.85629113022275</v>
      </c>
      <c r="AE20" s="1613">
        <f t="shared" si="13"/>
        <v>18.207158872416574</v>
      </c>
      <c r="AF20" s="1613">
        <f t="shared" si="13"/>
        <v>18.321241533496718</v>
      </c>
      <c r="AG20" s="1613">
        <f t="shared" si="13"/>
        <v>18.614024847105789</v>
      </c>
      <c r="AH20" s="1613">
        <f>AH49+AH60+AH71+AH82+AH93</f>
        <v>18.283615734016109</v>
      </c>
      <c r="AI20" s="1613">
        <f>AI49+AI60+AI71+AI82+AI93</f>
        <v>18.501807944067121</v>
      </c>
      <c r="AJ20" s="1613">
        <f>AJ49+AJ60+AJ71+AJ82+AJ93</f>
        <v>18.722616591870658</v>
      </c>
      <c r="AK20" s="1613">
        <f>AK49+AK60+AK71+AK82+AK93</f>
        <v>18.946073113157393</v>
      </c>
      <c r="AL20" s="1613">
        <f>AL49+AL60+AL71+AL82+AL93</f>
        <v>19.172209324563461</v>
      </c>
      <c r="AM20" s="192"/>
      <c r="AO20" s="1307"/>
      <c r="AP20" s="1307"/>
      <c r="AQ20" s="1307"/>
      <c r="AR20" s="1307"/>
      <c r="AS20" s="1307"/>
      <c r="AT20" s="1307"/>
      <c r="AU20" s="1307"/>
      <c r="AV20" s="1307"/>
      <c r="AW20" s="1307"/>
      <c r="AX20" s="1307"/>
      <c r="AY20" s="807"/>
      <c r="AZ20" s="807"/>
    </row>
    <row r="21" spans="3:52" x14ac:dyDescent="0.3">
      <c r="C21" s="188"/>
      <c r="D21" s="84"/>
      <c r="E21" s="273" t="s">
        <v>6</v>
      </c>
      <c r="F21" s="274"/>
      <c r="G21" s="278"/>
      <c r="H21" s="84"/>
      <c r="I21" s="84"/>
      <c r="J21" s="84"/>
      <c r="K21" s="1613"/>
      <c r="L21" s="1613"/>
      <c r="M21" s="1613"/>
      <c r="N21" s="1613"/>
      <c r="O21" s="1613"/>
      <c r="P21" s="1613"/>
      <c r="Q21" s="1613"/>
      <c r="R21" s="1613"/>
      <c r="S21" s="1613"/>
      <c r="T21" s="1613"/>
      <c r="U21" s="1613"/>
      <c r="V21" s="1613"/>
      <c r="W21" s="1613">
        <f t="shared" ref="W21:AG21" si="14">W51+W62+W73+W84+W94</f>
        <v>19.305974660633481</v>
      </c>
      <c r="X21" s="1613">
        <f t="shared" si="14"/>
        <v>16.648119187460019</v>
      </c>
      <c r="Y21" s="1613">
        <f t="shared" si="14"/>
        <v>20.777021295460123</v>
      </c>
      <c r="Z21" s="1613">
        <f t="shared" si="14"/>
        <v>18.501054030874787</v>
      </c>
      <c r="AA21" s="1613">
        <f t="shared" si="14"/>
        <v>18.686064571183532</v>
      </c>
      <c r="AB21" s="1613">
        <f t="shared" si="14"/>
        <v>18.872925216895371</v>
      </c>
      <c r="AC21" s="1613">
        <f t="shared" si="14"/>
        <v>21.067532564419519</v>
      </c>
      <c r="AD21" s="1613">
        <f t="shared" si="14"/>
        <v>21.410411469598735</v>
      </c>
      <c r="AE21" s="1613">
        <f t="shared" si="14"/>
        <v>21.836801207387548</v>
      </c>
      <c r="AF21" s="1613">
        <f t="shared" si="14"/>
        <v>21.973626530254968</v>
      </c>
      <c r="AG21" s="1613">
        <f t="shared" si="14"/>
        <v>22.324776924499474</v>
      </c>
      <c r="AH21" s="1613">
        <f t="shared" ref="AH21:AL23" si="15">AH51+AH62+AH73+AH84+AH94</f>
        <v>21.928499934211924</v>
      </c>
      <c r="AI21" s="1613">
        <f t="shared" si="15"/>
        <v>22.190189303172325</v>
      </c>
      <c r="AJ21" s="1613">
        <f t="shared" si="15"/>
        <v>22.45501670324861</v>
      </c>
      <c r="AK21" s="1613">
        <f t="shared" si="15"/>
        <v>22.723019836962415</v>
      </c>
      <c r="AL21" s="1613">
        <f t="shared" si="15"/>
        <v>22.994236863675308</v>
      </c>
      <c r="AM21" s="192"/>
      <c r="AO21" s="1307"/>
      <c r="AP21" s="1307"/>
      <c r="AQ21" s="1307"/>
      <c r="AR21" s="1307"/>
      <c r="AS21" s="1307"/>
      <c r="AT21" s="1307"/>
      <c r="AU21" s="1307"/>
      <c r="AV21" s="1307"/>
      <c r="AW21" s="1307"/>
      <c r="AX21" s="1307"/>
      <c r="AY21" s="807"/>
      <c r="AZ21" s="807"/>
    </row>
    <row r="22" spans="3:52" x14ac:dyDescent="0.3">
      <c r="C22" s="188"/>
      <c r="D22" s="84"/>
      <c r="E22" s="273" t="s">
        <v>7</v>
      </c>
      <c r="F22" s="274"/>
      <c r="G22" s="278"/>
      <c r="H22" s="84"/>
      <c r="I22" s="84"/>
      <c r="J22" s="84"/>
      <c r="K22" s="1613"/>
      <c r="L22" s="1613"/>
      <c r="M22" s="1613"/>
      <c r="N22" s="1613"/>
      <c r="O22" s="1613"/>
      <c r="P22" s="1613"/>
      <c r="Q22" s="1613"/>
      <c r="R22" s="1613"/>
      <c r="S22" s="1613"/>
      <c r="T22" s="1613"/>
      <c r="U22" s="1613"/>
      <c r="V22" s="1613"/>
      <c r="W22" s="1613">
        <f t="shared" ref="W22:AG22" si="16">W52+W63+W74+W85+W95</f>
        <v>4.4850678733031666</v>
      </c>
      <c r="X22" s="1613">
        <f t="shared" si="16"/>
        <v>3.8517471699111905</v>
      </c>
      <c r="Y22" s="1613">
        <f t="shared" si="16"/>
        <v>4.1965861150306694</v>
      </c>
      <c r="Z22" s="1613">
        <f t="shared" si="16"/>
        <v>3.4672873070325898</v>
      </c>
      <c r="AA22" s="1613">
        <f t="shared" si="16"/>
        <v>3.5019601801029157</v>
      </c>
      <c r="AB22" s="1613">
        <f t="shared" si="16"/>
        <v>3.5369797819039452</v>
      </c>
      <c r="AC22" s="1613">
        <f t="shared" si="16"/>
        <v>3.948271710855257</v>
      </c>
      <c r="AD22" s="1613">
        <f t="shared" si="16"/>
        <v>4.012530734897517</v>
      </c>
      <c r="AE22" s="1613">
        <f t="shared" si="16"/>
        <v>4.0924405456151609</v>
      </c>
      <c r="AF22" s="1613">
        <f t="shared" si="16"/>
        <v>4.1180830146586613</v>
      </c>
      <c r="AG22" s="1613">
        <f t="shared" si="16"/>
        <v>4.1838922005997228</v>
      </c>
      <c r="AH22" s="1613">
        <f t="shared" si="15"/>
        <v>4.1096258276568554</v>
      </c>
      <c r="AI22" s="1613">
        <f t="shared" si="15"/>
        <v>4.1586690997789502</v>
      </c>
      <c r="AJ22" s="1613">
        <f t="shared" si="15"/>
        <v>4.2083004711217162</v>
      </c>
      <c r="AK22" s="1613">
        <f t="shared" si="15"/>
        <v>4.2585270075244583</v>
      </c>
      <c r="AL22" s="1613">
        <f t="shared" si="15"/>
        <v>4.3093558604429685</v>
      </c>
      <c r="AM22" s="192"/>
      <c r="AO22" s="1307"/>
      <c r="AP22" s="1307"/>
      <c r="AQ22" s="1307"/>
      <c r="AR22" s="1307"/>
      <c r="AS22" s="1307"/>
      <c r="AT22" s="1307"/>
      <c r="AU22" s="1307"/>
      <c r="AV22" s="1307"/>
      <c r="AW22" s="1307"/>
      <c r="AX22" s="1307"/>
      <c r="AY22" s="807"/>
      <c r="AZ22" s="807"/>
    </row>
    <row r="23" spans="3:52" x14ac:dyDescent="0.3">
      <c r="C23" s="188"/>
      <c r="D23" s="84"/>
      <c r="E23" s="273" t="s">
        <v>8</v>
      </c>
      <c r="F23" s="274"/>
      <c r="G23" s="278"/>
      <c r="H23" s="84"/>
      <c r="I23" s="84"/>
      <c r="J23" s="84"/>
      <c r="K23" s="1613"/>
      <c r="L23" s="1613"/>
      <c r="M23" s="1613"/>
      <c r="N23" s="1613"/>
      <c r="O23" s="1613"/>
      <c r="P23" s="1613"/>
      <c r="Q23" s="1613"/>
      <c r="R23" s="1613"/>
      <c r="S23" s="1613"/>
      <c r="T23" s="1613"/>
      <c r="U23" s="1613"/>
      <c r="V23" s="1613"/>
      <c r="W23" s="1613">
        <f t="shared" ref="W23:AG23" si="17">W53+W64+W75+W86+W96</f>
        <v>2.1304072398190044E-2</v>
      </c>
      <c r="X23" s="1613">
        <f t="shared" si="17"/>
        <v>6.0549544875666092E-2</v>
      </c>
      <c r="Y23" s="1613">
        <f t="shared" si="17"/>
        <v>3.8657668711656455E-2</v>
      </c>
      <c r="Z23" s="1613">
        <f t="shared" si="17"/>
        <v>2.4439965694682677E-2</v>
      </c>
      <c r="AA23" s="1613">
        <f t="shared" si="17"/>
        <v>2.4684365351629503E-2</v>
      </c>
      <c r="AB23" s="1613">
        <f t="shared" si="17"/>
        <v>2.49312090051458E-2</v>
      </c>
      <c r="AC23" s="1613">
        <f t="shared" si="17"/>
        <v>2.7830294008480208E-2</v>
      </c>
      <c r="AD23" s="1613">
        <f t="shared" si="17"/>
        <v>2.8283238401055129E-2</v>
      </c>
      <c r="AE23" s="1613">
        <f t="shared" si="17"/>
        <v>2.8846500934461752E-2</v>
      </c>
      <c r="AF23" s="1613">
        <f t="shared" si="17"/>
        <v>2.9027247728209998E-2</v>
      </c>
      <c r="AG23" s="1613">
        <f t="shared" si="17"/>
        <v>2.9491118790620181E-2</v>
      </c>
      <c r="AH23" s="1613">
        <f t="shared" si="15"/>
        <v>2.8967635315999902E-2</v>
      </c>
      <c r="AI23" s="1613">
        <f t="shared" si="15"/>
        <v>2.9313328009474671E-2</v>
      </c>
      <c r="AJ23" s="1613">
        <f t="shared" si="15"/>
        <v>2.9663166054489577E-2</v>
      </c>
      <c r="AK23" s="1613">
        <f t="shared" si="15"/>
        <v>3.0017199256225119E-2</v>
      </c>
      <c r="AL23" s="1613">
        <f t="shared" si="15"/>
        <v>3.0375478023349146E-2</v>
      </c>
      <c r="AM23" s="192"/>
      <c r="AO23" s="1307"/>
      <c r="AP23" s="1307"/>
      <c r="AQ23" s="1307"/>
      <c r="AR23" s="1307"/>
      <c r="AS23" s="1307"/>
      <c r="AT23" s="1307"/>
      <c r="AU23" s="1307"/>
      <c r="AV23" s="1307"/>
      <c r="AW23" s="1307"/>
      <c r="AX23" s="1307"/>
      <c r="AY23" s="807"/>
      <c r="AZ23" s="807"/>
    </row>
    <row r="24" spans="3:52" x14ac:dyDescent="0.3">
      <c r="C24" s="188"/>
      <c r="D24" s="84"/>
      <c r="E24" s="273" t="s">
        <v>10</v>
      </c>
      <c r="F24" s="274"/>
      <c r="G24" s="278"/>
      <c r="H24" s="84"/>
      <c r="I24" s="84"/>
      <c r="J24" s="84"/>
      <c r="K24" s="1613"/>
      <c r="L24" s="1613"/>
      <c r="M24" s="1613"/>
      <c r="N24" s="1613"/>
      <c r="O24" s="1613"/>
      <c r="P24" s="1613"/>
      <c r="Q24" s="1613"/>
      <c r="R24" s="1613"/>
      <c r="S24" s="1613"/>
      <c r="T24" s="1613"/>
      <c r="U24" s="1613"/>
      <c r="V24" s="1613"/>
      <c r="W24" s="1613">
        <f t="shared" ref="W24:AG24" si="18">W55+W66+W77+W88+W98</f>
        <v>19.318308597285064</v>
      </c>
      <c r="X24" s="1613">
        <f t="shared" si="18"/>
        <v>24.166757764262563</v>
      </c>
      <c r="Y24" s="1613">
        <f t="shared" si="18"/>
        <v>18.716114617730053</v>
      </c>
      <c r="Z24" s="1613">
        <f t="shared" si="18"/>
        <v>18.407544596912523</v>
      </c>
      <c r="AA24" s="1613">
        <f t="shared" si="18"/>
        <v>18.591620042881651</v>
      </c>
      <c r="AB24" s="1613">
        <f t="shared" si="18"/>
        <v>18.777536243310465</v>
      </c>
      <c r="AC24" s="1613">
        <f t="shared" si="18"/>
        <v>20.961051439517504</v>
      </c>
      <c r="AD24" s="1613">
        <f t="shared" si="18"/>
        <v>21.302197340064264</v>
      </c>
      <c r="AE24" s="1613">
        <f t="shared" si="18"/>
        <v>21.726431986420909</v>
      </c>
      <c r="AF24" s="1613">
        <f t="shared" si="18"/>
        <v>21.862565756338338</v>
      </c>
      <c r="AG24" s="1613">
        <f t="shared" si="18"/>
        <v>22.211941339561452</v>
      </c>
      <c r="AH24" s="1613">
        <f t="shared" ref="AH24:AL25" si="19">AH55+AH66+AH77+AH88+AH98</f>
        <v>21.817667242568096</v>
      </c>
      <c r="AI24" s="1613">
        <f t="shared" si="19"/>
        <v>22.078033961223031</v>
      </c>
      <c r="AJ24" s="1613">
        <f t="shared" si="19"/>
        <v>22.341522850518388</v>
      </c>
      <c r="AK24" s="1613">
        <f t="shared" si="19"/>
        <v>22.608171422416859</v>
      </c>
      <c r="AL24" s="1613">
        <f t="shared" si="19"/>
        <v>22.878017643412058</v>
      </c>
      <c r="AM24" s="192"/>
      <c r="AO24" s="1307"/>
      <c r="AP24" s="1307"/>
      <c r="AQ24" s="1307"/>
      <c r="AR24" s="1307"/>
      <c r="AS24" s="1307"/>
      <c r="AT24" s="1307"/>
      <c r="AU24" s="1307"/>
      <c r="AV24" s="1307"/>
      <c r="AW24" s="1307"/>
      <c r="AX24" s="1307"/>
      <c r="AY24" s="807"/>
      <c r="AZ24" s="807"/>
    </row>
    <row r="25" spans="3:52" x14ac:dyDescent="0.3">
      <c r="C25" s="188"/>
      <c r="D25" s="84"/>
      <c r="E25" s="273" t="s">
        <v>11</v>
      </c>
      <c r="F25" s="274"/>
      <c r="G25" s="278"/>
      <c r="H25" s="84"/>
      <c r="I25" s="84"/>
      <c r="J25" s="84"/>
      <c r="K25" s="1614"/>
      <c r="L25" s="1614"/>
      <c r="M25" s="1614"/>
      <c r="N25" s="1614"/>
      <c r="O25" s="1614"/>
      <c r="P25" s="1614"/>
      <c r="Q25" s="1614"/>
      <c r="R25" s="1614"/>
      <c r="S25" s="1614"/>
      <c r="T25" s="1614"/>
      <c r="U25" s="1614"/>
      <c r="V25" s="1614"/>
      <c r="W25" s="1614">
        <f t="shared" ref="W25:AG25" si="20">W56+W67+W78+W89+W99</f>
        <v>0.25452760180995476</v>
      </c>
      <c r="X25" s="1614">
        <f t="shared" si="20"/>
        <v>0.26238168668528367</v>
      </c>
      <c r="Y25" s="1614">
        <f t="shared" si="20"/>
        <v>2.1308106993865036E-2</v>
      </c>
      <c r="Z25" s="1614">
        <f t="shared" si="20"/>
        <v>2.1995969125214407</v>
      </c>
      <c r="AA25" s="1614">
        <f t="shared" si="20"/>
        <v>2.2215928816466555</v>
      </c>
      <c r="AB25" s="1614">
        <f t="shared" si="20"/>
        <v>2.243808810463122</v>
      </c>
      <c r="AC25" s="1614">
        <f t="shared" si="20"/>
        <v>2.5047264607632189</v>
      </c>
      <c r="AD25" s="1614">
        <f t="shared" si="20"/>
        <v>2.5454914560949624</v>
      </c>
      <c r="AE25" s="1614">
        <f t="shared" si="20"/>
        <v>2.5961850841015579</v>
      </c>
      <c r="AF25" s="1614">
        <f t="shared" si="20"/>
        <v>2.6124522955389002</v>
      </c>
      <c r="AG25" s="1614">
        <f t="shared" si="20"/>
        <v>2.6542006911558165</v>
      </c>
      <c r="AH25" s="1614">
        <f t="shared" si="19"/>
        <v>2.6070871784399916</v>
      </c>
      <c r="AI25" s="1614">
        <f t="shared" si="19"/>
        <v>2.6381995208527207</v>
      </c>
      <c r="AJ25" s="1614">
        <f t="shared" si="19"/>
        <v>2.6696849449040623</v>
      </c>
      <c r="AK25" s="1614">
        <f t="shared" si="19"/>
        <v>2.7015479330602612</v>
      </c>
      <c r="AL25" s="1614">
        <f t="shared" si="19"/>
        <v>2.7337930221014242</v>
      </c>
      <c r="AM25" s="192"/>
      <c r="AO25" s="1307"/>
      <c r="AP25" s="1307"/>
      <c r="AQ25" s="1307"/>
      <c r="AR25" s="1307"/>
      <c r="AS25" s="1307"/>
      <c r="AT25" s="1307"/>
      <c r="AU25" s="1307"/>
      <c r="AV25" s="1307"/>
      <c r="AW25" s="1307"/>
      <c r="AX25" s="1307"/>
      <c r="AY25" s="807"/>
      <c r="AZ25" s="807"/>
    </row>
    <row r="26" spans="3:52" ht="12.5" thickBot="1" x14ac:dyDescent="0.35">
      <c r="C26" s="188"/>
      <c r="D26" s="84"/>
      <c r="E26" s="108" t="s">
        <v>478</v>
      </c>
      <c r="F26" s="280"/>
      <c r="G26" s="278"/>
      <c r="H26" s="84"/>
      <c r="I26" s="84"/>
      <c r="J26" s="84"/>
      <c r="K26" s="1615"/>
      <c r="L26" s="1615"/>
      <c r="M26" s="1615"/>
      <c r="N26" s="1615"/>
      <c r="O26" s="1615"/>
      <c r="P26" s="1615"/>
      <c r="Q26" s="1615"/>
      <c r="R26" s="1615"/>
      <c r="S26" s="1615"/>
      <c r="T26" s="1615"/>
      <c r="U26" s="1615"/>
      <c r="V26" s="1615"/>
      <c r="W26" s="1615">
        <f t="shared" ref="W26:AG26" si="21">SUM(W20:W25)</f>
        <v>57.803554751131216</v>
      </c>
      <c r="X26" s="1615">
        <f t="shared" si="21"/>
        <v>63.091876208576622</v>
      </c>
      <c r="Y26" s="1615">
        <f t="shared" si="21"/>
        <v>61.009139038895704</v>
      </c>
      <c r="Z26" s="1615">
        <f t="shared" si="21"/>
        <v>58.025791595197262</v>
      </c>
      <c r="AA26" s="1615">
        <f t="shared" si="21"/>
        <v>64.952065200934101</v>
      </c>
      <c r="AB26" s="1615">
        <f t="shared" si="21"/>
        <v>65.601585852943444</v>
      </c>
      <c r="AC26" s="1615">
        <f t="shared" si="21"/>
        <v>66.075168040046904</v>
      </c>
      <c r="AD26" s="1615">
        <f t="shared" si="21"/>
        <v>67.155205369279287</v>
      </c>
      <c r="AE26" s="1615">
        <f t="shared" si="21"/>
        <v>68.487864196876217</v>
      </c>
      <c r="AF26" s="1615">
        <f t="shared" si="21"/>
        <v>68.916996378015796</v>
      </c>
      <c r="AG26" s="1615">
        <f t="shared" si="21"/>
        <v>70.018327121712886</v>
      </c>
      <c r="AH26" s="1615">
        <f>SUM(AH20:AH25)</f>
        <v>68.77546355220899</v>
      </c>
      <c r="AI26" s="1615">
        <f>SUM(AI20:AI25)</f>
        <v>69.59621315710362</v>
      </c>
      <c r="AJ26" s="1615">
        <f>SUM(AJ20:AJ25)</f>
        <v>70.426804727717922</v>
      </c>
      <c r="AK26" s="1615">
        <f>SUM(AK20:AK25)</f>
        <v>71.267356512377603</v>
      </c>
      <c r="AL26" s="1615">
        <f>SUM(AL20:AL25)</f>
        <v>72.117988192218576</v>
      </c>
      <c r="AM26" s="192"/>
      <c r="AO26" s="1307"/>
      <c r="AP26" s="1307"/>
      <c r="AQ26" s="1307"/>
      <c r="AR26" s="1307"/>
      <c r="AS26" s="1307"/>
      <c r="AT26" s="1307"/>
      <c r="AU26" s="1307"/>
      <c r="AV26" s="1307"/>
      <c r="AW26" s="1307"/>
      <c r="AX26" s="1307"/>
      <c r="AY26" s="807"/>
      <c r="AZ26" s="807"/>
    </row>
    <row r="27" spans="3:52" x14ac:dyDescent="0.3">
      <c r="C27" s="188"/>
      <c r="D27" s="84"/>
      <c r="E27" s="281"/>
      <c r="F27" s="280"/>
      <c r="G27" s="278"/>
      <c r="H27" s="84"/>
      <c r="I27" s="84"/>
      <c r="J27" s="84"/>
      <c r="K27" s="282"/>
      <c r="L27" s="282"/>
      <c r="M27" s="282"/>
      <c r="N27" s="282"/>
      <c r="O27" s="282"/>
      <c r="P27" s="282"/>
      <c r="Q27" s="282"/>
      <c r="R27" s="282"/>
      <c r="S27" s="1616"/>
      <c r="T27" s="1616"/>
      <c r="U27" s="1616"/>
      <c r="V27" s="1616"/>
      <c r="W27" s="1616"/>
      <c r="X27" s="1616"/>
      <c r="Y27" s="1616"/>
      <c r="Z27" s="1616"/>
      <c r="AA27" s="1616"/>
      <c r="AB27" s="1616"/>
      <c r="AC27" s="1935">
        <f>IF(ROUND(AC26,2)=ROUND(AC17,2),0,1)</f>
        <v>0</v>
      </c>
      <c r="AD27" s="1935">
        <f t="shared" ref="AD27:AL27" si="22">IF(ROUND(AD26,2)=ROUND(AD17,2),0,1)</f>
        <v>0</v>
      </c>
      <c r="AE27" s="1935">
        <f t="shared" si="22"/>
        <v>0</v>
      </c>
      <c r="AF27" s="1935">
        <f t="shared" si="22"/>
        <v>0</v>
      </c>
      <c r="AG27" s="1935">
        <f t="shared" si="22"/>
        <v>0</v>
      </c>
      <c r="AH27" s="1935">
        <f t="shared" si="22"/>
        <v>0</v>
      </c>
      <c r="AI27" s="1935">
        <f t="shared" si="22"/>
        <v>0</v>
      </c>
      <c r="AJ27" s="1935">
        <f t="shared" si="22"/>
        <v>0</v>
      </c>
      <c r="AK27" s="1935">
        <f t="shared" si="22"/>
        <v>0</v>
      </c>
      <c r="AL27" s="1935">
        <f t="shared" si="22"/>
        <v>0</v>
      </c>
      <c r="AM27" s="192"/>
      <c r="AO27" s="1307"/>
      <c r="AP27" s="1307"/>
      <c r="AQ27" s="1307"/>
      <c r="AR27" s="1307"/>
      <c r="AS27" s="1307"/>
      <c r="AT27" s="1307"/>
      <c r="AU27" s="1307"/>
      <c r="AV27" s="1307"/>
      <c r="AW27" s="1307"/>
      <c r="AX27" s="1307"/>
      <c r="AY27" s="807"/>
      <c r="AZ27" s="807"/>
    </row>
    <row r="28" spans="3:52" x14ac:dyDescent="0.3">
      <c r="C28" s="188"/>
      <c r="D28" s="84"/>
      <c r="E28" s="284"/>
      <c r="F28" s="108"/>
      <c r="G28" s="108"/>
      <c r="H28" s="108"/>
      <c r="I28" s="84"/>
      <c r="J28" s="84"/>
      <c r="K28" s="84"/>
      <c r="L28" s="84"/>
      <c r="M28" s="84"/>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192"/>
      <c r="AO28" s="1307"/>
      <c r="AP28" s="1307"/>
      <c r="AQ28" s="1307"/>
      <c r="AR28" s="1307"/>
      <c r="AS28" s="1307"/>
      <c r="AT28" s="1307"/>
      <c r="AU28" s="1307"/>
      <c r="AV28" s="1307"/>
      <c r="AW28" s="1307"/>
      <c r="AX28" s="1307"/>
      <c r="AY28" s="807"/>
      <c r="AZ28" s="807"/>
    </row>
    <row r="29" spans="3:52" x14ac:dyDescent="0.3">
      <c r="C29" s="188"/>
      <c r="D29" s="84"/>
      <c r="E29" s="129" t="s">
        <v>392</v>
      </c>
      <c r="F29" s="84"/>
      <c r="G29" s="84"/>
      <c r="H29" s="84"/>
      <c r="I29" s="84"/>
      <c r="J29" s="84"/>
      <c r="K29" s="1527"/>
      <c r="L29" s="1527"/>
      <c r="M29" s="1527"/>
      <c r="N29" s="1527"/>
      <c r="O29" s="1527"/>
      <c r="P29" s="1527"/>
      <c r="Q29" s="1527"/>
      <c r="R29" s="1527"/>
      <c r="S29" s="1527"/>
      <c r="T29" s="1527"/>
      <c r="U29" s="1527"/>
      <c r="V29" s="1527"/>
      <c r="W29" s="1527">
        <f t="shared" ref="W29" si="23">W50+W61+W72+W83</f>
        <v>0.72882352941176476</v>
      </c>
      <c r="X29" s="1527">
        <f>X50+X61+X72+X83</f>
        <v>0.7127739336500889</v>
      </c>
      <c r="Y29" s="1527">
        <f t="shared" ref="Y29:AG29" si="24">Y50+Y61+Y72+Y83</f>
        <v>0.6750461725766872</v>
      </c>
      <c r="Z29" s="1527">
        <f t="shared" si="24"/>
        <v>0.66837993138936547</v>
      </c>
      <c r="AA29" s="1527">
        <f t="shared" si="24"/>
        <v>0.47342684969465637</v>
      </c>
      <c r="AB29" s="1527">
        <f t="shared" si="24"/>
        <v>0.58018654155979632</v>
      </c>
      <c r="AC29" s="1527">
        <f t="shared" si="24"/>
        <v>0.64764458258572433</v>
      </c>
      <c r="AD29" s="1527">
        <f t="shared" si="24"/>
        <v>0.65818373544172548</v>
      </c>
      <c r="AE29" s="1527">
        <f t="shared" si="24"/>
        <v>0.67129085321641702</v>
      </c>
      <c r="AF29" s="1527">
        <f t="shared" si="24"/>
        <v>0.6754975289275913</v>
      </c>
      <c r="AG29" s="1527">
        <f t="shared" si="24"/>
        <v>0.68629202214934182</v>
      </c>
      <c r="AH29" s="1527">
        <f>AH50+AH61+AH72+AH83</f>
        <v>0.67411240375302706</v>
      </c>
      <c r="AI29" s="1527">
        <f>AI50+AI61+AI72+AI83</f>
        <v>0.68215706517938446</v>
      </c>
      <c r="AJ29" s="1527">
        <f>AJ50+AJ61+AJ72+AJ83</f>
        <v>0.69029819230124045</v>
      </c>
      <c r="AK29" s="1527">
        <f>AK50+AK61+AK72+AK83</f>
        <v>0.69853694397551813</v>
      </c>
      <c r="AL29" s="1527">
        <f>AL50+AL61+AL72+AL83</f>
        <v>0.70687449311089889</v>
      </c>
      <c r="AM29" s="1610"/>
      <c r="AO29" s="1307"/>
      <c r="AP29" s="1307"/>
      <c r="AQ29" s="1307"/>
      <c r="AR29" s="1307"/>
      <c r="AS29" s="1307"/>
      <c r="AT29" s="1307"/>
      <c r="AU29" s="1307"/>
      <c r="AV29" s="1307"/>
      <c r="AW29" s="1307"/>
      <c r="AX29" s="1307"/>
      <c r="AY29" s="807"/>
      <c r="AZ29" s="807"/>
    </row>
    <row r="30" spans="3:52" x14ac:dyDescent="0.3">
      <c r="C30" s="188"/>
      <c r="D30" s="84"/>
      <c r="E30" s="129" t="s">
        <v>390</v>
      </c>
      <c r="F30" s="84"/>
      <c r="G30" s="84"/>
      <c r="H30" s="84"/>
      <c r="I30" s="84"/>
      <c r="J30" s="84"/>
      <c r="K30" s="1527"/>
      <c r="L30" s="1527"/>
      <c r="M30" s="1527"/>
      <c r="N30" s="1527"/>
      <c r="O30" s="1527"/>
      <c r="P30" s="1527"/>
      <c r="Q30" s="1527"/>
      <c r="R30" s="1527"/>
      <c r="S30" s="1527"/>
      <c r="T30" s="1527"/>
      <c r="U30" s="1527"/>
      <c r="V30" s="1527"/>
      <c r="W30" s="1527">
        <f t="shared" ref="W30:AG30" si="25">+W102</f>
        <v>0</v>
      </c>
      <c r="X30" s="1527">
        <f t="shared" si="25"/>
        <v>0</v>
      </c>
      <c r="Y30" s="1527">
        <f t="shared" si="25"/>
        <v>0</v>
      </c>
      <c r="Z30" s="1527">
        <f t="shared" si="25"/>
        <v>0</v>
      </c>
      <c r="AA30" s="1527">
        <f t="shared" si="25"/>
        <v>0</v>
      </c>
      <c r="AB30" s="1527">
        <f t="shared" si="25"/>
        <v>0</v>
      </c>
      <c r="AC30" s="1527">
        <f t="shared" si="25"/>
        <v>0</v>
      </c>
      <c r="AD30" s="1527">
        <f t="shared" si="25"/>
        <v>0</v>
      </c>
      <c r="AE30" s="1527">
        <f t="shared" si="25"/>
        <v>0</v>
      </c>
      <c r="AF30" s="1527">
        <f t="shared" si="25"/>
        <v>0</v>
      </c>
      <c r="AG30" s="1527">
        <f t="shared" si="25"/>
        <v>0</v>
      </c>
      <c r="AH30" s="1527">
        <f>+AH102</f>
        <v>0</v>
      </c>
      <c r="AI30" s="1527">
        <f>+AI102</f>
        <v>0</v>
      </c>
      <c r="AJ30" s="1527">
        <f>+AJ102</f>
        <v>0</v>
      </c>
      <c r="AK30" s="1527">
        <f>+AK102</f>
        <v>0</v>
      </c>
      <c r="AL30" s="1527">
        <f>+AL102</f>
        <v>0</v>
      </c>
      <c r="AM30" s="192"/>
      <c r="AO30" s="1307"/>
      <c r="AP30" s="1307"/>
      <c r="AQ30" s="1307"/>
      <c r="AR30" s="1307"/>
      <c r="AS30" s="1307"/>
      <c r="AT30" s="1307"/>
      <c r="AU30" s="1307"/>
      <c r="AV30" s="1307"/>
      <c r="AW30" s="1307"/>
      <c r="AX30" s="1307"/>
      <c r="AY30" s="807"/>
      <c r="AZ30" s="807"/>
    </row>
    <row r="31" spans="3:52" x14ac:dyDescent="0.3">
      <c r="C31" s="188"/>
      <c r="D31" s="84"/>
      <c r="E31" s="129" t="s">
        <v>15</v>
      </c>
      <c r="F31" s="84"/>
      <c r="G31" s="84"/>
      <c r="H31" s="84"/>
      <c r="I31" s="84"/>
      <c r="J31" s="84"/>
      <c r="K31" s="1527"/>
      <c r="L31" s="1527"/>
      <c r="M31" s="1527"/>
      <c r="N31" s="1527"/>
      <c r="O31" s="1527"/>
      <c r="P31" s="1527"/>
      <c r="Q31" s="1527"/>
      <c r="R31" s="1527"/>
      <c r="S31" s="1527"/>
      <c r="T31" s="1527"/>
      <c r="U31" s="1527"/>
      <c r="V31" s="1527"/>
      <c r="W31" s="1527">
        <f t="shared" ref="W31:AG31" si="26">+W109</f>
        <v>9.3065158371040721E-2</v>
      </c>
      <c r="X31" s="1527">
        <f t="shared" si="26"/>
        <v>0.18045825932504445</v>
      </c>
      <c r="Y31" s="1527">
        <f t="shared" si="26"/>
        <v>0.27708261938650303</v>
      </c>
      <c r="Z31" s="1527">
        <f t="shared" si="26"/>
        <v>0.31240651801029162</v>
      </c>
      <c r="AA31" s="1527">
        <f t="shared" si="26"/>
        <v>0.31435871130504234</v>
      </c>
      <c r="AB31" s="1527">
        <f t="shared" si="26"/>
        <v>0.3175022984180928</v>
      </c>
      <c r="AC31" s="1527">
        <f t="shared" si="26"/>
        <v>0.35442249883575022</v>
      </c>
      <c r="AD31" s="1527">
        <f t="shared" si="26"/>
        <v>0.36019080066040599</v>
      </c>
      <c r="AE31" s="1527">
        <f t="shared" si="26"/>
        <v>0.36736402074742946</v>
      </c>
      <c r="AF31" s="1527">
        <f t="shared" si="26"/>
        <v>0.36966585718153994</v>
      </c>
      <c r="AG31" s="1527">
        <f t="shared" si="26"/>
        <v>0.37557331513767733</v>
      </c>
      <c r="AH31" s="1527">
        <f>+AH109</f>
        <v>0.36890669447750407</v>
      </c>
      <c r="AI31" s="1527">
        <f>+AI109</f>
        <v>0.37330913667686016</v>
      </c>
      <c r="AJ31" s="1527">
        <f>+AJ109</f>
        <v>0.37776437047015476</v>
      </c>
      <c r="AK31" s="1527">
        <f>+AK109</f>
        <v>0.38227303013224134</v>
      </c>
      <c r="AL31" s="1527">
        <f>+AL109</f>
        <v>0.38683575762349243</v>
      </c>
      <c r="AM31" s="192"/>
      <c r="AO31" s="1307"/>
      <c r="AP31" s="1307"/>
      <c r="AQ31" s="1307"/>
      <c r="AR31" s="1307"/>
      <c r="AS31" s="1307"/>
      <c r="AT31" s="1307"/>
      <c r="AU31" s="1307"/>
      <c r="AV31" s="1307"/>
      <c r="AW31" s="1307"/>
      <c r="AX31" s="1307"/>
      <c r="AY31" s="807"/>
      <c r="AZ31" s="807"/>
    </row>
    <row r="32" spans="3:52" x14ac:dyDescent="0.3">
      <c r="C32" s="188"/>
      <c r="D32" s="84"/>
      <c r="E32" s="129" t="s">
        <v>328</v>
      </c>
      <c r="F32" s="84"/>
      <c r="G32" s="84"/>
      <c r="H32" s="84"/>
      <c r="I32" s="84"/>
      <c r="J32" s="84"/>
      <c r="K32" s="1527"/>
      <c r="L32" s="1527"/>
      <c r="M32" s="1527"/>
      <c r="N32" s="1527"/>
      <c r="O32" s="1527"/>
      <c r="P32" s="1527"/>
      <c r="Q32" s="1527"/>
      <c r="R32" s="1527"/>
      <c r="S32" s="1527"/>
      <c r="T32" s="1527"/>
      <c r="U32" s="1527"/>
      <c r="V32" s="1527"/>
      <c r="W32" s="1527">
        <f t="shared" ref="W32:AG32" si="27">W111</f>
        <v>3.5017167420814479</v>
      </c>
      <c r="X32" s="1527">
        <f t="shared" si="27"/>
        <v>4.3651048348134998</v>
      </c>
      <c r="Y32" s="1527">
        <f t="shared" si="27"/>
        <v>4.3077195828220862</v>
      </c>
      <c r="Z32" s="1527">
        <f t="shared" si="27"/>
        <v>4.7519794168096059</v>
      </c>
      <c r="AA32" s="1527">
        <f t="shared" si="27"/>
        <v>4.6995826972010182</v>
      </c>
      <c r="AB32" s="1527">
        <f t="shared" si="27"/>
        <v>4.6008914605597964</v>
      </c>
      <c r="AC32" s="1527">
        <f t="shared" si="27"/>
        <v>4.9298525622029192</v>
      </c>
      <c r="AD32" s="1527">
        <f t="shared" si="27"/>
        <v>6.0635470838900023</v>
      </c>
      <c r="AE32" s="1527">
        <f t="shared" si="27"/>
        <v>5.9943256942346048</v>
      </c>
      <c r="AF32" s="1527">
        <f t="shared" si="27"/>
        <v>5.8470993091826529</v>
      </c>
      <c r="AG32" s="1527">
        <f t="shared" si="27"/>
        <v>5.758205922343576</v>
      </c>
      <c r="AH32" s="1527">
        <f>AH111</f>
        <v>5.4834433379296588</v>
      </c>
      <c r="AI32" s="1527">
        <f>AI111</f>
        <v>5.3786502461400234</v>
      </c>
      <c r="AJ32" s="1527">
        <f>AJ111</f>
        <v>5.2758621872193761</v>
      </c>
      <c r="AK32" s="1527">
        <f>AK111</f>
        <v>5.175040631398665</v>
      </c>
      <c r="AL32" s="1527">
        <f>AL111</f>
        <v>5.0761478083583222</v>
      </c>
      <c r="AM32" s="192"/>
      <c r="AO32" s="1307"/>
      <c r="AP32" s="1307"/>
      <c r="AQ32" s="1307"/>
      <c r="AR32" s="1307"/>
      <c r="AS32" s="1307"/>
      <c r="AT32" s="1307"/>
      <c r="AU32" s="1307"/>
      <c r="AV32" s="1307"/>
      <c r="AW32" s="1307"/>
      <c r="AX32" s="1307"/>
      <c r="AY32" s="807"/>
      <c r="AZ32" s="807"/>
    </row>
    <row r="33" spans="2:52" x14ac:dyDescent="0.3">
      <c r="C33" s="188"/>
      <c r="D33" s="84"/>
      <c r="E33" s="129" t="s">
        <v>480</v>
      </c>
      <c r="F33" s="84"/>
      <c r="G33" s="84"/>
      <c r="H33" s="84"/>
      <c r="I33" s="84"/>
      <c r="J33" s="84"/>
      <c r="K33" s="1613"/>
      <c r="L33" s="1613"/>
      <c r="M33" s="1613"/>
      <c r="N33" s="1613"/>
      <c r="O33" s="1613"/>
      <c r="P33" s="1613"/>
      <c r="Q33" s="1613"/>
      <c r="R33" s="1613"/>
      <c r="S33" s="1613"/>
      <c r="T33" s="1613"/>
      <c r="U33" s="1613"/>
      <c r="V33" s="1613"/>
      <c r="W33" s="1613">
        <f t="shared" ref="W33:AF33" si="28">+W124</f>
        <v>0.13679457013574658</v>
      </c>
      <c r="X33" s="1613">
        <f t="shared" si="28"/>
        <v>0.14475634228241566</v>
      </c>
      <c r="Y33" s="1613">
        <f t="shared" si="28"/>
        <v>0.14132943975460122</v>
      </c>
      <c r="Z33" s="1613">
        <f t="shared" si="28"/>
        <v>0.14026415094339623</v>
      </c>
      <c r="AA33" s="1613">
        <f t="shared" si="28"/>
        <v>0.14167414333333334</v>
      </c>
      <c r="AB33" s="1613">
        <f t="shared" si="28"/>
        <v>0.14309088476666668</v>
      </c>
      <c r="AC33" s="1613">
        <f t="shared" si="28"/>
        <v>0.15972376106989561</v>
      </c>
      <c r="AD33" s="1613">
        <f t="shared" si="28"/>
        <v>0.1623221771028128</v>
      </c>
      <c r="AE33" s="1613">
        <f t="shared" si="28"/>
        <v>0.16555432402893766</v>
      </c>
      <c r="AF33" s="1613">
        <f t="shared" si="28"/>
        <v>0.16659204234519615</v>
      </c>
      <c r="AG33" s="1613">
        <f t="shared" ref="AG33:AL33" si="29">+AG124</f>
        <v>0.16925402679043447</v>
      </c>
      <c r="AH33" s="1613">
        <f t="shared" si="29"/>
        <v>0.16625158013638497</v>
      </c>
      <c r="AI33" s="1613">
        <f t="shared" si="29"/>
        <v>0.16823556764704767</v>
      </c>
      <c r="AJ33" s="1613">
        <f t="shared" si="29"/>
        <v>0.17024334660656296</v>
      </c>
      <c r="AK33" s="1613">
        <f t="shared" si="29"/>
        <v>0.17227520276183914</v>
      </c>
      <c r="AL33" s="1613">
        <f t="shared" si="29"/>
        <v>0.17433142532597889</v>
      </c>
      <c r="AM33" s="192"/>
      <c r="AO33" s="1307"/>
      <c r="AP33" s="1307"/>
      <c r="AQ33" s="1307"/>
      <c r="AR33" s="1307"/>
      <c r="AS33" s="1307"/>
      <c r="AT33" s="1307"/>
      <c r="AU33" s="1307"/>
      <c r="AV33" s="1307"/>
      <c r="AW33" s="1307"/>
      <c r="AX33" s="1307"/>
      <c r="AY33" s="807"/>
      <c r="AZ33" s="807"/>
    </row>
    <row r="34" spans="2:52" ht="12.5" thickBot="1" x14ac:dyDescent="0.35">
      <c r="C34" s="188"/>
      <c r="D34" s="84"/>
      <c r="E34" s="108" t="s">
        <v>481</v>
      </c>
      <c r="F34" s="84"/>
      <c r="G34" s="84"/>
      <c r="H34" s="84"/>
      <c r="I34" s="84"/>
      <c r="J34" s="84"/>
      <c r="K34" s="1615"/>
      <c r="L34" s="1615"/>
      <c r="M34" s="1615"/>
      <c r="N34" s="1615"/>
      <c r="O34" s="1615"/>
      <c r="P34" s="1615"/>
      <c r="Q34" s="1615"/>
      <c r="R34" s="1615"/>
      <c r="S34" s="1615"/>
      <c r="T34" s="1615"/>
      <c r="U34" s="1615"/>
      <c r="V34" s="1615"/>
      <c r="W34" s="1615">
        <f t="shared" ref="W34:AG34" si="30">SUM(W29:W33)</f>
        <v>4.4603999999999999</v>
      </c>
      <c r="X34" s="1615">
        <f t="shared" si="30"/>
        <v>5.4030933700710486</v>
      </c>
      <c r="Y34" s="1615">
        <f t="shared" si="30"/>
        <v>5.4011778145398779</v>
      </c>
      <c r="Z34" s="1615">
        <f t="shared" si="30"/>
        <v>5.8730300171526597</v>
      </c>
      <c r="AA34" s="1615">
        <f t="shared" si="30"/>
        <v>5.6290424015340506</v>
      </c>
      <c r="AB34" s="1615">
        <f t="shared" si="30"/>
        <v>5.6416711853043529</v>
      </c>
      <c r="AC34" s="1615">
        <f t="shared" si="30"/>
        <v>6.0916434046942891</v>
      </c>
      <c r="AD34" s="1615">
        <f t="shared" si="30"/>
        <v>7.2442437970949465</v>
      </c>
      <c r="AE34" s="1615">
        <f t="shared" si="30"/>
        <v>7.1985348922273893</v>
      </c>
      <c r="AF34" s="1615">
        <f t="shared" si="30"/>
        <v>7.0588547376369801</v>
      </c>
      <c r="AG34" s="1615">
        <f t="shared" si="30"/>
        <v>6.9893252864210291</v>
      </c>
      <c r="AH34" s="1615">
        <f>SUM(AH29:AH33)</f>
        <v>6.6927140162965753</v>
      </c>
      <c r="AI34" s="1615">
        <f>SUM(AI29:AI33)</f>
        <v>6.6023520156433158</v>
      </c>
      <c r="AJ34" s="1615">
        <f>SUM(AJ29:AJ33)</f>
        <v>6.5141680965973343</v>
      </c>
      <c r="AK34" s="1615">
        <f>SUM(AK29:AK33)</f>
        <v>6.4281258082682635</v>
      </c>
      <c r="AL34" s="1615">
        <f>SUM(AL29:AL33)</f>
        <v>6.3441894844186919</v>
      </c>
      <c r="AM34" s="192"/>
      <c r="AO34" s="1307"/>
      <c r="AP34" s="1307"/>
      <c r="AQ34" s="1307"/>
      <c r="AR34" s="1307"/>
      <c r="AS34" s="1307"/>
      <c r="AT34" s="1307"/>
      <c r="AU34" s="1307"/>
      <c r="AV34" s="1307"/>
      <c r="AW34" s="1307"/>
      <c r="AX34" s="1307"/>
      <c r="AY34" s="807"/>
      <c r="AZ34" s="807"/>
    </row>
    <row r="35" spans="2:52" x14ac:dyDescent="0.3">
      <c r="C35" s="188"/>
      <c r="D35" s="84"/>
      <c r="E35" s="84"/>
      <c r="F35" s="84"/>
      <c r="G35" s="84"/>
      <c r="H35" s="84"/>
      <c r="I35" s="84"/>
      <c r="J35" s="84"/>
      <c r="K35" s="84"/>
      <c r="L35" s="84"/>
      <c r="M35" s="84"/>
      <c r="N35" s="84"/>
      <c r="O35" s="84"/>
      <c r="P35" s="84"/>
      <c r="Q35" s="84"/>
      <c r="R35" s="449"/>
      <c r="S35" s="449"/>
      <c r="T35" s="449"/>
      <c r="U35" s="449"/>
      <c r="V35" s="1217"/>
      <c r="W35" s="1219"/>
      <c r="X35" s="1220"/>
      <c r="Y35" s="1220"/>
      <c r="Z35" s="1220"/>
      <c r="AA35" s="1218"/>
      <c r="AB35" s="1220"/>
      <c r="AC35" s="1220"/>
      <c r="AD35" s="449"/>
      <c r="AE35" s="449"/>
      <c r="AF35" s="449"/>
      <c r="AG35" s="449"/>
      <c r="AH35" s="1220"/>
      <c r="AI35" s="449"/>
      <c r="AJ35" s="449"/>
      <c r="AK35" s="449"/>
      <c r="AL35" s="449"/>
      <c r="AM35" s="224"/>
      <c r="AO35" s="1307"/>
      <c r="AP35" s="1307"/>
      <c r="AQ35" s="1307"/>
      <c r="AR35" s="1307"/>
      <c r="AS35" s="1307"/>
      <c r="AT35" s="1307"/>
      <c r="AU35" s="1307"/>
      <c r="AV35" s="1307"/>
      <c r="AW35" s="1307"/>
      <c r="AX35" s="1307"/>
      <c r="AY35" s="807"/>
      <c r="AZ35" s="807"/>
    </row>
    <row r="36" spans="2:52" x14ac:dyDescent="0.3">
      <c r="C36" s="188"/>
      <c r="D36" s="84"/>
      <c r="E36" s="84"/>
      <c r="F36" s="84"/>
      <c r="G36" s="84"/>
      <c r="H36" s="84"/>
      <c r="I36" s="84"/>
      <c r="J36" s="84"/>
      <c r="K36" s="84"/>
      <c r="L36" s="84"/>
      <c r="M36" s="84"/>
      <c r="N36" s="84"/>
      <c r="O36" s="84"/>
      <c r="P36" s="84"/>
      <c r="Q36" s="84"/>
      <c r="R36" s="449"/>
      <c r="S36" s="449"/>
      <c r="T36" s="449"/>
      <c r="U36" s="449"/>
      <c r="V36" s="1220"/>
      <c r="W36" s="1220"/>
      <c r="X36" s="1220"/>
      <c r="Y36" s="1220"/>
      <c r="Z36" s="1220"/>
      <c r="AA36" s="1218"/>
      <c r="AB36" s="1220"/>
      <c r="AC36" s="449"/>
      <c r="AD36" s="449"/>
      <c r="AE36" s="449"/>
      <c r="AF36" s="449"/>
      <c r="AG36" s="449"/>
      <c r="AH36" s="449"/>
      <c r="AI36" s="449"/>
      <c r="AJ36" s="449"/>
      <c r="AK36" s="449"/>
      <c r="AL36" s="449"/>
      <c r="AM36" s="1221"/>
      <c r="AO36" s="1307"/>
      <c r="AP36" s="1307"/>
      <c r="AQ36" s="1307"/>
      <c r="AR36" s="1307"/>
      <c r="AS36" s="1307"/>
      <c r="AT36" s="1307"/>
      <c r="AU36" s="1307"/>
      <c r="AV36" s="1307"/>
      <c r="AW36" s="1307"/>
      <c r="AX36" s="1307"/>
      <c r="AY36" s="807"/>
      <c r="AZ36" s="807"/>
    </row>
    <row r="37" spans="2:52" ht="12" customHeight="1" thickBot="1" x14ac:dyDescent="0.35">
      <c r="C37" s="188"/>
      <c r="D37" s="84"/>
      <c r="E37" s="230" t="s">
        <v>479</v>
      </c>
      <c r="F37" s="108"/>
      <c r="G37" s="108"/>
      <c r="H37" s="108"/>
      <c r="I37" s="108"/>
      <c r="J37" s="108"/>
      <c r="K37" s="1615"/>
      <c r="L37" s="1615"/>
      <c r="M37" s="1615"/>
      <c r="N37" s="1615"/>
      <c r="O37" s="1615"/>
      <c r="P37" s="1615"/>
      <c r="Q37" s="1615"/>
      <c r="R37" s="1615"/>
      <c r="S37" s="1615"/>
      <c r="T37" s="1615"/>
      <c r="U37" s="1615"/>
      <c r="V37" s="1615"/>
      <c r="W37" s="1615">
        <f t="shared" ref="W37:AG37" si="31">+W34+W17</f>
        <v>62.263954751131216</v>
      </c>
      <c r="X37" s="1615">
        <f t="shared" si="31"/>
        <v>68.494969578647684</v>
      </c>
      <c r="Y37" s="1615">
        <f t="shared" si="31"/>
        <v>66.410316853435589</v>
      </c>
      <c r="Z37" s="1615">
        <f t="shared" si="31"/>
        <v>63.89882161234992</v>
      </c>
      <c r="AA37" s="1615">
        <f t="shared" si="31"/>
        <v>70.581107602468151</v>
      </c>
      <c r="AB37" s="1615">
        <f t="shared" si="31"/>
        <v>71.243257038247776</v>
      </c>
      <c r="AC37" s="1615">
        <f t="shared" si="31"/>
        <v>72.166811444741199</v>
      </c>
      <c r="AD37" s="1615">
        <f t="shared" si="31"/>
        <v>74.399449166374225</v>
      </c>
      <c r="AE37" s="1615">
        <f t="shared" si="31"/>
        <v>75.686399089103588</v>
      </c>
      <c r="AF37" s="1615">
        <f t="shared" si="31"/>
        <v>75.975851115652773</v>
      </c>
      <c r="AG37" s="1615">
        <f t="shared" si="31"/>
        <v>77.007652408133922</v>
      </c>
      <c r="AH37" s="1615">
        <f>+AH34+AH17</f>
        <v>75.468177568505567</v>
      </c>
      <c r="AI37" s="1615">
        <f>+AI34+AI17</f>
        <v>76.198565172746939</v>
      </c>
      <c r="AJ37" s="1615">
        <f>+AJ34+AJ17</f>
        <v>76.940972824315253</v>
      </c>
      <c r="AK37" s="1615">
        <f>+AK34+AK17</f>
        <v>77.69548232064588</v>
      </c>
      <c r="AL37" s="1615">
        <f>+AL34+AL17</f>
        <v>78.462177676637253</v>
      </c>
      <c r="AM37" s="192"/>
      <c r="AO37" s="1307"/>
      <c r="AP37" s="1307"/>
      <c r="AQ37" s="1307"/>
      <c r="AR37" s="1307"/>
      <c r="AS37" s="1307"/>
      <c r="AT37" s="1307"/>
      <c r="AU37" s="1307"/>
      <c r="AV37" s="1307"/>
      <c r="AW37" s="1307"/>
      <c r="AX37" s="1307"/>
      <c r="AY37" s="807"/>
      <c r="AZ37" s="807"/>
    </row>
    <row r="38" spans="2:52" x14ac:dyDescent="0.3">
      <c r="C38" s="188"/>
      <c r="D38" s="84"/>
      <c r="E38" s="84"/>
      <c r="F38" s="84"/>
      <c r="G38" s="84"/>
      <c r="H38" s="84"/>
      <c r="I38" s="84"/>
      <c r="J38" s="84"/>
      <c r="K38" s="84"/>
      <c r="L38" s="84"/>
      <c r="M38" s="84"/>
      <c r="N38" s="84"/>
      <c r="O38" s="84"/>
      <c r="P38" s="84"/>
      <c r="Q38" s="84"/>
      <c r="R38" s="102"/>
      <c r="S38" s="102"/>
      <c r="T38" s="102"/>
      <c r="U38" s="102"/>
      <c r="V38" s="1122"/>
      <c r="W38" s="1219"/>
      <c r="X38" s="1116"/>
      <c r="Y38" s="1116"/>
      <c r="Z38" s="1116"/>
      <c r="AA38" s="1115"/>
      <c r="AB38" s="1220"/>
      <c r="AC38" s="1116"/>
      <c r="AD38" s="102"/>
      <c r="AE38" s="102"/>
      <c r="AF38" s="102"/>
      <c r="AG38" s="102"/>
      <c r="AH38" s="1116"/>
      <c r="AI38" s="102"/>
      <c r="AJ38" s="102"/>
      <c r="AK38" s="102"/>
      <c r="AL38" s="102"/>
      <c r="AM38" s="224"/>
    </row>
    <row r="39" spans="2:52" x14ac:dyDescent="0.3">
      <c r="C39" s="188"/>
      <c r="D39" s="84"/>
      <c r="E39" s="84"/>
      <c r="F39" s="84"/>
      <c r="G39" s="84"/>
      <c r="H39" s="84"/>
      <c r="I39" s="84"/>
      <c r="J39" s="84"/>
      <c r="K39" s="84"/>
      <c r="L39" s="84"/>
      <c r="M39" s="84"/>
      <c r="N39" s="84"/>
      <c r="O39" s="84"/>
      <c r="P39" s="84"/>
      <c r="Q39" s="84"/>
      <c r="R39" s="102"/>
      <c r="S39" s="102"/>
      <c r="T39" s="102"/>
      <c r="U39" s="102"/>
      <c r="V39" s="1116"/>
      <c r="W39" s="1116"/>
      <c r="X39" s="1116"/>
      <c r="Y39" s="1116"/>
      <c r="Z39" s="1116"/>
      <c r="AA39" s="1115"/>
      <c r="AB39" s="1220"/>
      <c r="AC39" s="102"/>
      <c r="AD39" s="102"/>
      <c r="AE39" s="102"/>
      <c r="AF39" s="102"/>
      <c r="AG39" s="102"/>
      <c r="AH39" s="102"/>
      <c r="AI39" s="102"/>
      <c r="AJ39" s="102"/>
      <c r="AK39" s="102"/>
      <c r="AL39" s="102"/>
      <c r="AM39" s="1221"/>
    </row>
    <row r="40" spans="2:52" x14ac:dyDescent="0.3">
      <c r="C40" s="188"/>
      <c r="D40" s="84"/>
      <c r="E40" s="284"/>
      <c r="F40" s="108"/>
      <c r="G40" s="108"/>
      <c r="H40" s="108"/>
      <c r="I40" s="84"/>
      <c r="J40" s="84"/>
      <c r="K40" s="84"/>
      <c r="L40" s="84"/>
      <c r="M40" s="84"/>
      <c r="N40" s="279"/>
      <c r="O40" s="279"/>
      <c r="P40" s="279"/>
      <c r="Q40" s="279"/>
      <c r="R40" s="279"/>
      <c r="S40" s="279"/>
      <c r="T40" s="279"/>
      <c r="U40" s="279"/>
      <c r="V40" s="72"/>
      <c r="X40" s="1116"/>
      <c r="Z40" s="1116"/>
      <c r="AA40" s="1115"/>
      <c r="AB40" s="283" t="s">
        <v>932</v>
      </c>
      <c r="AC40" s="2229">
        <f>+Opex_FO!AC95</f>
        <v>72.169469837930734</v>
      </c>
      <c r="AD40" s="1617">
        <f>+Opex_FO!AD95</f>
        <v>74.399449166374168</v>
      </c>
      <c r="AE40" s="1617">
        <f>+Opex_FO!AE95</f>
        <v>75.691158800394518</v>
      </c>
      <c r="AF40" s="1617">
        <f>+Opex_FO!AF95</f>
        <v>75.980141983741191</v>
      </c>
      <c r="AG40" s="1618">
        <f>+Opex_FO!AG95</f>
        <v>77.011878971844908</v>
      </c>
      <c r="AH40" s="1617">
        <f>+Opex_FO!AH95</f>
        <v>75.47114933831196</v>
      </c>
      <c r="AI40" s="1617">
        <f>+Opex_FO!AI95</f>
        <v>76.201399553889303</v>
      </c>
      <c r="AJ40" s="1617">
        <f>+Opex_FO!AJ95</f>
        <v>76.943675197668682</v>
      </c>
      <c r="AK40" s="1617">
        <f>+Opex_FO!AK95</f>
        <v>77.698057986918883</v>
      </c>
      <c r="AL40" s="1618">
        <f>+Opex_FO!AL95</f>
        <v>78.464631841579532</v>
      </c>
      <c r="AM40" s="192"/>
    </row>
    <row r="41" spans="2:52" x14ac:dyDescent="0.3">
      <c r="C41" s="188"/>
      <c r="D41" s="84"/>
      <c r="E41" s="284"/>
      <c r="F41" s="108"/>
      <c r="G41" s="108"/>
      <c r="H41" s="108"/>
      <c r="I41" s="84"/>
      <c r="J41" s="84"/>
      <c r="K41" s="84"/>
      <c r="L41" s="84"/>
      <c r="M41" s="84"/>
      <c r="N41" s="279"/>
      <c r="O41" s="279"/>
      <c r="P41" s="279"/>
      <c r="Q41" s="279"/>
      <c r="R41" s="279"/>
      <c r="S41" s="279"/>
      <c r="T41" s="279"/>
      <c r="U41" s="279"/>
      <c r="V41" s="72"/>
      <c r="X41" s="1116"/>
      <c r="Z41" s="1116"/>
      <c r="AA41" s="1115"/>
      <c r="AB41" s="283" t="s">
        <v>461</v>
      </c>
      <c r="AC41" s="2230">
        <f t="shared" ref="AC41:AG41" si="32">+AC40-AC37</f>
        <v>2.6583931895345358E-3</v>
      </c>
      <c r="AD41" s="1619">
        <f t="shared" si="32"/>
        <v>0</v>
      </c>
      <c r="AE41" s="1619">
        <f t="shared" si="32"/>
        <v>4.7597112909301131E-3</v>
      </c>
      <c r="AF41" s="1619">
        <f t="shared" si="32"/>
        <v>4.2908680884181649E-3</v>
      </c>
      <c r="AG41" s="1620">
        <f t="shared" si="32"/>
        <v>4.2265637109863974E-3</v>
      </c>
      <c r="AH41" s="1619">
        <f>+AH40-AH37</f>
        <v>2.971769806393354E-3</v>
      </c>
      <c r="AI41" s="1619">
        <f>+AI40-AI37</f>
        <v>2.8343811423638954E-3</v>
      </c>
      <c r="AJ41" s="1619">
        <f>+AJ40-AJ37</f>
        <v>2.702373353429266E-3</v>
      </c>
      <c r="AK41" s="1619">
        <f>+AK40-AK37</f>
        <v>2.5756662730032076E-3</v>
      </c>
      <c r="AL41" s="1620">
        <f>+AL40-AL37</f>
        <v>2.4541649422786804E-3</v>
      </c>
      <c r="AM41" s="192"/>
    </row>
    <row r="42" spans="2:52" s="285" customFormat="1" x14ac:dyDescent="0.3">
      <c r="C42" s="286"/>
      <c r="D42" s="284"/>
      <c r="E42" s="284"/>
      <c r="F42" s="284"/>
      <c r="G42" s="284"/>
      <c r="H42" s="284"/>
      <c r="I42" s="284"/>
      <c r="J42" s="284"/>
      <c r="K42" s="287"/>
      <c r="L42" s="287"/>
      <c r="M42" s="287"/>
      <c r="N42" s="288"/>
      <c r="O42" s="288"/>
      <c r="P42" s="288"/>
      <c r="Q42" s="288"/>
      <c r="R42" s="288"/>
      <c r="S42" s="288"/>
      <c r="T42" s="288"/>
      <c r="U42" s="288"/>
      <c r="V42" s="87"/>
      <c r="X42" s="1116"/>
      <c r="Z42" s="1116"/>
      <c r="AA42" s="1115"/>
      <c r="AB42" s="289" t="s">
        <v>477</v>
      </c>
      <c r="AC42" s="1935">
        <f t="shared" ref="AC42:AL42" si="33">IF(ROUND(AC40,2)=ROUND(AC37,2),0,1)</f>
        <v>0</v>
      </c>
      <c r="AD42" s="1935">
        <f t="shared" si="33"/>
        <v>0</v>
      </c>
      <c r="AE42" s="1935">
        <f t="shared" si="33"/>
        <v>0</v>
      </c>
      <c r="AF42" s="1935">
        <f t="shared" si="33"/>
        <v>0</v>
      </c>
      <c r="AG42" s="1935">
        <f t="shared" si="33"/>
        <v>0</v>
      </c>
      <c r="AH42" s="1935">
        <f t="shared" si="33"/>
        <v>0</v>
      </c>
      <c r="AI42" s="1935">
        <f t="shared" si="33"/>
        <v>0</v>
      </c>
      <c r="AJ42" s="1935">
        <f t="shared" si="33"/>
        <v>0</v>
      </c>
      <c r="AK42" s="1935">
        <f t="shared" si="33"/>
        <v>0</v>
      </c>
      <c r="AL42" s="1935">
        <f t="shared" si="33"/>
        <v>0</v>
      </c>
      <c r="AM42" s="290"/>
    </row>
    <row r="43" spans="2:52" ht="12.5" thickBot="1" x14ac:dyDescent="0.35">
      <c r="C43" s="196"/>
      <c r="D43" s="197"/>
      <c r="E43" s="291"/>
      <c r="F43" s="292"/>
      <c r="G43" s="292"/>
      <c r="H43" s="292"/>
      <c r="I43" s="197"/>
      <c r="J43" s="197"/>
      <c r="K43" s="293"/>
      <c r="L43" s="293"/>
      <c r="M43" s="293"/>
      <c r="N43" s="293"/>
      <c r="O43" s="293"/>
      <c r="P43" s="293"/>
      <c r="Q43" s="293"/>
      <c r="R43" s="293"/>
      <c r="S43" s="293"/>
      <c r="T43" s="293"/>
      <c r="U43" s="293"/>
      <c r="V43" s="293"/>
      <c r="W43" s="293"/>
      <c r="X43" s="293"/>
      <c r="Y43" s="293"/>
      <c r="Z43" s="293"/>
      <c r="AA43" s="293"/>
      <c r="AB43" s="293"/>
      <c r="AC43" s="293"/>
      <c r="AD43" s="293"/>
      <c r="AE43" s="293"/>
      <c r="AF43" s="293"/>
      <c r="AG43" s="293"/>
      <c r="AH43" s="293"/>
      <c r="AI43" s="293"/>
      <c r="AJ43" s="293"/>
      <c r="AK43" s="293"/>
      <c r="AL43" s="293"/>
      <c r="AM43" s="199"/>
    </row>
    <row r="44" spans="2:52" x14ac:dyDescent="0.3">
      <c r="C44" s="126"/>
      <c r="K44" s="294"/>
      <c r="L44" s="294"/>
      <c r="M44" s="294"/>
      <c r="N44" s="294"/>
      <c r="O44" s="294"/>
      <c r="P44" s="294"/>
      <c r="Q44" s="294"/>
      <c r="R44" s="295"/>
      <c r="S44" s="294"/>
      <c r="T44" s="294"/>
      <c r="U44" s="294"/>
      <c r="V44" s="294"/>
      <c r="W44" s="294"/>
      <c r="X44" s="294"/>
      <c r="Y44" s="294"/>
      <c r="Z44" s="294"/>
      <c r="AA44" s="294"/>
      <c r="AB44" s="294"/>
    </row>
    <row r="45" spans="2:52" x14ac:dyDescent="0.3">
      <c r="K45" s="294"/>
      <c r="L45" s="294"/>
      <c r="M45" s="294"/>
      <c r="N45" s="294"/>
      <c r="O45" s="294"/>
      <c r="P45" s="294"/>
      <c r="Q45" s="294"/>
      <c r="R45" s="294"/>
      <c r="S45" s="294"/>
      <c r="T45" s="294"/>
      <c r="U45" s="294"/>
      <c r="V45" s="294"/>
      <c r="W45" s="294"/>
      <c r="X45" s="294"/>
      <c r="Y45" s="294"/>
      <c r="Z45" s="294"/>
      <c r="AA45" s="294"/>
      <c r="AB45" s="294"/>
    </row>
    <row r="46" spans="2:52" x14ac:dyDescent="0.3">
      <c r="B46" s="296" t="s">
        <v>566</v>
      </c>
      <c r="I46" s="126"/>
      <c r="J46" s="126"/>
      <c r="K46" s="102"/>
      <c r="L46" s="297"/>
      <c r="M46" s="297"/>
      <c r="N46" s="298"/>
      <c r="O46" s="294"/>
      <c r="P46" s="294"/>
      <c r="Q46" s="294"/>
      <c r="R46" s="294"/>
      <c r="S46" s="294"/>
      <c r="T46" s="294"/>
      <c r="U46" s="294"/>
      <c r="V46" s="294"/>
      <c r="W46" s="294"/>
      <c r="X46" s="299"/>
      <c r="Y46" s="299"/>
      <c r="Z46" s="299"/>
      <c r="AA46" s="299"/>
      <c r="AB46" s="299"/>
      <c r="AC46" s="299"/>
      <c r="AD46" s="299"/>
      <c r="AE46" s="299"/>
      <c r="AF46" s="299"/>
      <c r="AG46" s="299"/>
      <c r="AH46" s="299"/>
      <c r="AI46" s="299"/>
      <c r="AJ46" s="299"/>
      <c r="AK46" s="299"/>
      <c r="AL46" s="299"/>
    </row>
    <row r="47" spans="2:52" x14ac:dyDescent="0.3">
      <c r="K47" s="297"/>
      <c r="L47" s="297"/>
      <c r="M47" s="297"/>
      <c r="N47" s="298"/>
      <c r="O47" s="294"/>
      <c r="P47" s="294"/>
      <c r="Q47" s="294"/>
      <c r="R47" s="295"/>
      <c r="S47" s="294"/>
      <c r="T47" s="294"/>
      <c r="U47" s="294"/>
      <c r="V47" s="294"/>
      <c r="W47" s="294"/>
      <c r="X47" s="294"/>
      <c r="Y47" s="294"/>
      <c r="Z47" s="294"/>
      <c r="AA47" s="294"/>
      <c r="AB47" s="294"/>
    </row>
    <row r="48" spans="2:52" x14ac:dyDescent="0.3">
      <c r="B48" s="126"/>
      <c r="C48" s="300" t="s">
        <v>21</v>
      </c>
      <c r="D48" s="126"/>
      <c r="E48" s="126"/>
      <c r="F48" s="126"/>
      <c r="G48" s="126"/>
      <c r="H48" s="126"/>
      <c r="I48" s="126"/>
      <c r="J48" s="126"/>
      <c r="K48" s="301"/>
      <c r="L48" s="301"/>
      <c r="M48" s="301"/>
      <c r="N48" s="302"/>
      <c r="O48" s="302"/>
      <c r="P48" s="302"/>
      <c r="Q48" s="302"/>
      <c r="R48" s="295"/>
      <c r="S48" s="302"/>
      <c r="T48" s="302"/>
      <c r="U48" s="302"/>
      <c r="V48" s="302"/>
      <c r="W48" s="302"/>
      <c r="X48" s="302"/>
      <c r="Y48" s="302"/>
      <c r="Z48" s="302"/>
      <c r="AA48" s="302"/>
      <c r="AB48" s="302"/>
      <c r="AC48" s="302"/>
      <c r="AD48" s="302"/>
      <c r="AE48" s="302"/>
      <c r="AF48" s="302"/>
      <c r="AG48" s="302"/>
      <c r="AH48" s="302"/>
      <c r="AI48" s="302"/>
      <c r="AJ48" s="302"/>
      <c r="AK48" s="302"/>
      <c r="AL48" s="302"/>
    </row>
    <row r="49" spans="2:39" x14ac:dyDescent="0.3">
      <c r="B49" s="126"/>
      <c r="C49" s="126"/>
      <c r="D49" s="303" t="s">
        <v>5</v>
      </c>
      <c r="E49" s="126"/>
      <c r="F49" s="126"/>
      <c r="G49" s="126"/>
      <c r="H49" s="126"/>
      <c r="I49" s="126"/>
      <c r="J49" s="126"/>
      <c r="K49" s="304"/>
      <c r="L49" s="305"/>
      <c r="M49" s="306"/>
      <c r="N49" s="305"/>
      <c r="O49" s="305"/>
      <c r="P49" s="305"/>
      <c r="Q49" s="305"/>
      <c r="R49" s="306"/>
      <c r="S49" s="305"/>
      <c r="T49" s="305"/>
      <c r="U49" s="305"/>
      <c r="V49" s="305"/>
      <c r="W49" s="1643">
        <v>9.002652488687783</v>
      </c>
      <c r="X49" s="1643">
        <v>10.278026638485548</v>
      </c>
      <c r="Y49" s="1584">
        <v>10.369462579065139</v>
      </c>
      <c r="Z49" s="1584">
        <v>10.605882504288166</v>
      </c>
      <c r="AA49" s="1584">
        <f>10.711941329331+6.34601568978492</f>
        <v>17.057957019115918</v>
      </c>
      <c r="AB49" s="1644">
        <v>17.228536589307076</v>
      </c>
      <c r="AC49" s="1584">
        <v>12.077137586897432</v>
      </c>
      <c r="AD49" s="1584">
        <v>12.278344635127704</v>
      </c>
      <c r="AE49" s="1584">
        <v>12.518127209863597</v>
      </c>
      <c r="AF49" s="1584">
        <v>12.596563459794087</v>
      </c>
      <c r="AG49" s="1644">
        <v>12.797863332573044</v>
      </c>
      <c r="AH49" s="1584">
        <v>12.570694264738913</v>
      </c>
      <c r="AI49" s="1584">
        <v>12.720709863589855</v>
      </c>
      <c r="AJ49" s="1584">
        <v>12.872524364776542</v>
      </c>
      <c r="AK49" s="1584">
        <v>13.026159381581865</v>
      </c>
      <c r="AL49" s="1644">
        <v>13.181636789175993</v>
      </c>
    </row>
    <row r="50" spans="2:39" x14ac:dyDescent="0.3">
      <c r="B50" s="126"/>
      <c r="C50" s="126"/>
      <c r="D50" s="303" t="s">
        <v>391</v>
      </c>
      <c r="E50" s="126"/>
      <c r="F50" s="126"/>
      <c r="G50" s="126"/>
      <c r="H50" s="126"/>
      <c r="I50" s="126"/>
      <c r="J50" s="126"/>
      <c r="K50" s="307"/>
      <c r="L50" s="275"/>
      <c r="M50" s="308"/>
      <c r="N50" s="275"/>
      <c r="O50" s="275"/>
      <c r="P50" s="275"/>
      <c r="Q50" s="275"/>
      <c r="R50" s="308"/>
      <c r="S50" s="275"/>
      <c r="T50" s="275"/>
      <c r="U50" s="275"/>
      <c r="V50" s="275"/>
      <c r="W50" s="1621">
        <f t="shared" ref="W50:AG50" si="34">+W131</f>
        <v>0.72882352941176476</v>
      </c>
      <c r="X50" s="2129">
        <f t="shared" si="34"/>
        <v>0.7127739336500889</v>
      </c>
      <c r="Y50" s="2130">
        <f t="shared" si="34"/>
        <v>0.6750461725766872</v>
      </c>
      <c r="Z50" s="2130">
        <f t="shared" si="34"/>
        <v>0.66837993138936547</v>
      </c>
      <c r="AA50" s="2130">
        <f t="shared" si="34"/>
        <v>0.57444212035623399</v>
      </c>
      <c r="AB50" s="2131">
        <f t="shared" si="34"/>
        <v>0.58018654155979632</v>
      </c>
      <c r="AC50" s="1622">
        <f t="shared" si="34"/>
        <v>0.64764458258572433</v>
      </c>
      <c r="AD50" s="1622">
        <f t="shared" si="34"/>
        <v>0.65818373544172548</v>
      </c>
      <c r="AE50" s="1622">
        <f t="shared" si="34"/>
        <v>0.67129085321641702</v>
      </c>
      <c r="AF50" s="1622">
        <f t="shared" si="34"/>
        <v>0.6754975289275913</v>
      </c>
      <c r="AG50" s="1623">
        <f t="shared" si="34"/>
        <v>0.68629202214934182</v>
      </c>
      <c r="AH50" s="1622">
        <f t="shared" ref="AH50:AL50" si="35">+AH131</f>
        <v>0.67411240375302706</v>
      </c>
      <c r="AI50" s="1622">
        <f t="shared" si="35"/>
        <v>0.68215706517938446</v>
      </c>
      <c r="AJ50" s="1622">
        <f t="shared" si="35"/>
        <v>0.69029819230124045</v>
      </c>
      <c r="AK50" s="1622">
        <f t="shared" si="35"/>
        <v>0.69853694397551813</v>
      </c>
      <c r="AL50" s="1623">
        <f t="shared" si="35"/>
        <v>0.70687449311089889</v>
      </c>
      <c r="AM50" s="285" t="s">
        <v>509</v>
      </c>
    </row>
    <row r="51" spans="2:39" x14ac:dyDescent="0.3">
      <c r="B51" s="126"/>
      <c r="C51" s="126"/>
      <c r="D51" s="303" t="s">
        <v>6</v>
      </c>
      <c r="E51" s="126"/>
      <c r="F51" s="126"/>
      <c r="G51" s="126"/>
      <c r="H51" s="126"/>
      <c r="I51" s="126"/>
      <c r="J51" s="126"/>
      <c r="K51" s="307"/>
      <c r="L51" s="275"/>
      <c r="M51" s="308"/>
      <c r="N51" s="275"/>
      <c r="O51" s="275"/>
      <c r="P51" s="275"/>
      <c r="Q51" s="275"/>
      <c r="R51" s="308"/>
      <c r="S51" s="275"/>
      <c r="T51" s="275"/>
      <c r="U51" s="275"/>
      <c r="V51" s="275"/>
      <c r="W51" s="1645">
        <v>11.839457918552036</v>
      </c>
      <c r="X51" s="1645">
        <v>10.232068334389201</v>
      </c>
      <c r="Y51" s="1647">
        <v>12.12289894269939</v>
      </c>
      <c r="Z51" s="1647">
        <v>10.571879073756433</v>
      </c>
      <c r="AA51" s="1647">
        <v>10.677597864493997</v>
      </c>
      <c r="AB51" s="1646">
        <v>10.784373843138937</v>
      </c>
      <c r="AC51" s="1647">
        <v>12.038417177842156</v>
      </c>
      <c r="AD51" s="1647">
        <v>12.2343451674825</v>
      </c>
      <c r="AE51" s="1647">
        <v>12.477992947693911</v>
      </c>
      <c r="AF51" s="1647">
        <v>12.556177723824401</v>
      </c>
      <c r="AG51" s="1646">
        <v>12.756832210777398</v>
      </c>
      <c r="AH51" s="1647">
        <v>12.530391467777523</v>
      </c>
      <c r="AI51" s="1647">
        <v>12.679926102881023</v>
      </c>
      <c r="AJ51" s="1647">
        <v>12.831253872874644</v>
      </c>
      <c r="AK51" s="1647">
        <v>12.984396321747118</v>
      </c>
      <c r="AL51" s="1646">
        <v>13.139375254534812</v>
      </c>
    </row>
    <row r="52" spans="2:39" x14ac:dyDescent="0.3">
      <c r="B52" s="126"/>
      <c r="C52" s="126"/>
      <c r="D52" s="303" t="s">
        <v>7</v>
      </c>
      <c r="E52" s="126"/>
      <c r="F52" s="126"/>
      <c r="G52" s="126"/>
      <c r="H52" s="126"/>
      <c r="I52" s="126"/>
      <c r="J52" s="126"/>
      <c r="K52" s="307"/>
      <c r="L52" s="275"/>
      <c r="M52" s="308"/>
      <c r="N52" s="275"/>
      <c r="O52" s="275"/>
      <c r="P52" s="275"/>
      <c r="Q52" s="275"/>
      <c r="R52" s="308"/>
      <c r="S52" s="275"/>
      <c r="T52" s="275"/>
      <c r="U52" s="275"/>
      <c r="V52" s="275"/>
      <c r="W52" s="1645">
        <v>2.0507972850678735</v>
      </c>
      <c r="X52" s="1645">
        <v>1.8538659243673101</v>
      </c>
      <c r="Y52" s="1647">
        <v>1.904700780458952</v>
      </c>
      <c r="Z52" s="1647">
        <v>1.5864725557461405</v>
      </c>
      <c r="AA52" s="1647">
        <v>1.6023372813036019</v>
      </c>
      <c r="AB52" s="1646">
        <v>1.618360654116638</v>
      </c>
      <c r="AC52" s="1647">
        <v>1.8065490849852586</v>
      </c>
      <c r="AD52" s="1647">
        <v>1.8359510840337092</v>
      </c>
      <c r="AE52" s="1647">
        <v>1.8725141693544085</v>
      </c>
      <c r="AF52" s="1647">
        <v>1.8842469938355446</v>
      </c>
      <c r="AG52" s="1646">
        <v>1.9143582762780837</v>
      </c>
      <c r="AH52" s="1647">
        <v>1.8803773707299067</v>
      </c>
      <c r="AI52" s="1647">
        <v>1.9028173355715514</v>
      </c>
      <c r="AJ52" s="1647">
        <v>1.9255263877979536</v>
      </c>
      <c r="AK52" s="1647">
        <v>1.948507760414961</v>
      </c>
      <c r="AL52" s="1646">
        <v>1.9717647256026207</v>
      </c>
    </row>
    <row r="53" spans="2:39" x14ac:dyDescent="0.3">
      <c r="B53" s="126"/>
      <c r="C53" s="126"/>
      <c r="D53" s="303" t="s">
        <v>8</v>
      </c>
      <c r="E53" s="126"/>
      <c r="F53" s="126"/>
      <c r="G53" s="126"/>
      <c r="H53" s="126"/>
      <c r="I53" s="126"/>
      <c r="J53" s="126"/>
      <c r="K53" s="307"/>
      <c r="L53" s="275"/>
      <c r="M53" s="308"/>
      <c r="N53" s="275"/>
      <c r="O53" s="275"/>
      <c r="P53" s="275"/>
      <c r="Q53" s="275"/>
      <c r="R53" s="308"/>
      <c r="S53" s="275"/>
      <c r="T53" s="275"/>
      <c r="U53" s="275"/>
      <c r="V53" s="275"/>
      <c r="W53" s="1645">
        <v>2.1304072398190044E-2</v>
      </c>
      <c r="X53" s="1645">
        <v>6.0549544875666092E-2</v>
      </c>
      <c r="Y53" s="1647">
        <v>3.2832314413873749E-2</v>
      </c>
      <c r="Z53" s="1647">
        <v>2.23147512864494E-2</v>
      </c>
      <c r="AA53" s="1647">
        <v>2.2537898799313894E-2</v>
      </c>
      <c r="AB53" s="1646">
        <v>2.2763277787307034E-2</v>
      </c>
      <c r="AC53" s="1647">
        <v>2.5410268442525408E-2</v>
      </c>
      <c r="AD53" s="1647">
        <v>2.5823826366180771E-2</v>
      </c>
      <c r="AE53" s="1647">
        <v>2.6338109548856382E-2</v>
      </c>
      <c r="AF53" s="1647">
        <v>2.6503139230104781E-2</v>
      </c>
      <c r="AG53" s="1646">
        <v>2.6926673678392337E-2</v>
      </c>
      <c r="AH53" s="1647">
        <v>2.6448710505912954E-2</v>
      </c>
      <c r="AI53" s="1647">
        <v>2.6764342965172525E-2</v>
      </c>
      <c r="AJ53" s="1647">
        <v>2.7083760310620916E-2</v>
      </c>
      <c r="AK53" s="1647">
        <v>2.740700801655337E-2</v>
      </c>
      <c r="AL53" s="1646">
        <v>2.7734132108275307E-2</v>
      </c>
    </row>
    <row r="54" spans="2:39" x14ac:dyDescent="0.3">
      <c r="B54" s="126"/>
      <c r="C54" s="126"/>
      <c r="D54" s="303" t="s">
        <v>9</v>
      </c>
      <c r="E54" s="126"/>
      <c r="F54" s="126"/>
      <c r="G54" s="126"/>
      <c r="H54" s="126"/>
      <c r="I54" s="126"/>
      <c r="J54" s="126"/>
      <c r="K54" s="307"/>
      <c r="L54" s="275"/>
      <c r="M54" s="308"/>
      <c r="N54" s="275"/>
      <c r="O54" s="275"/>
      <c r="P54" s="275"/>
      <c r="Q54" s="275"/>
      <c r="R54" s="308"/>
      <c r="S54" s="275"/>
      <c r="T54" s="275"/>
      <c r="U54" s="275"/>
      <c r="V54" s="275"/>
      <c r="W54" s="1645">
        <v>6.2790950226244355E-2</v>
      </c>
      <c r="X54" s="1645">
        <v>0.13424333925399648</v>
      </c>
      <c r="Y54" s="1647">
        <v>5.7588148788505177E-2</v>
      </c>
      <c r="Z54" s="1647">
        <v>6.5881646655231565E-2</v>
      </c>
      <c r="AA54" s="1647">
        <v>6.6540463121783883E-2</v>
      </c>
      <c r="AB54" s="1646">
        <v>6.7205867753001719E-2</v>
      </c>
      <c r="AC54" s="1647">
        <v>7.5020792544598827E-2</v>
      </c>
      <c r="AD54" s="1647">
        <v>7.6241773081105149E-2</v>
      </c>
      <c r="AE54" s="1647">
        <v>7.7760132953766464E-2</v>
      </c>
      <c r="AF54" s="1647">
        <v>7.8247363441261736E-2</v>
      </c>
      <c r="AG54" s="1646">
        <v>7.9497798479063103E-2</v>
      </c>
      <c r="AH54" s="1647">
        <v>7.8086669112695392E-2</v>
      </c>
      <c r="AI54" s="1647">
        <v>7.9018536373366505E-2</v>
      </c>
      <c r="AJ54" s="1647">
        <v>7.9961578059928429E-2</v>
      </c>
      <c r="AK54" s="1647">
        <v>8.0915928429824258E-2</v>
      </c>
      <c r="AL54" s="1646">
        <v>8.1881723367289022E-2</v>
      </c>
    </row>
    <row r="55" spans="2:39" x14ac:dyDescent="0.3">
      <c r="B55" s="126"/>
      <c r="C55" s="126"/>
      <c r="D55" s="303" t="s">
        <v>10</v>
      </c>
      <c r="E55" s="126"/>
      <c r="F55" s="126"/>
      <c r="G55" s="126"/>
      <c r="H55" s="126"/>
      <c r="I55" s="126"/>
      <c r="J55" s="126"/>
      <c r="K55" s="307"/>
      <c r="L55" s="275"/>
      <c r="M55" s="308"/>
      <c r="N55" s="275"/>
      <c r="O55" s="275"/>
      <c r="P55" s="275"/>
      <c r="Q55" s="275"/>
      <c r="R55" s="308"/>
      <c r="S55" s="275"/>
      <c r="T55" s="275"/>
      <c r="U55" s="275"/>
      <c r="V55" s="275"/>
      <c r="W55" s="1645">
        <v>8.8030669683257905</v>
      </c>
      <c r="X55" s="1645">
        <v>12.905818695638398</v>
      </c>
      <c r="Y55" s="1647">
        <v>8.4222926555325941</v>
      </c>
      <c r="Z55" s="1647">
        <v>8.3797204116638078</v>
      </c>
      <c r="AA55" s="1647">
        <v>8.4635176157804466</v>
      </c>
      <c r="AB55" s="1646">
        <v>8.5481527919382518</v>
      </c>
      <c r="AC55" s="1647">
        <v>9.5421608065597798</v>
      </c>
      <c r="AD55" s="1647">
        <v>9.6974616535096008</v>
      </c>
      <c r="AE55" s="1647">
        <v>9.8905872334419733</v>
      </c>
      <c r="AF55" s="1647">
        <v>9.9525598080288713</v>
      </c>
      <c r="AG55" s="1646">
        <v>10.11160707751438</v>
      </c>
      <c r="AH55" s="1647">
        <v>9.9321205261728345</v>
      </c>
      <c r="AI55" s="1647">
        <v>10.050648029683359</v>
      </c>
      <c r="AJ55" s="1647">
        <v>10.170596848074121</v>
      </c>
      <c r="AK55" s="1647">
        <v>10.29198405802571</v>
      </c>
      <c r="AL55" s="1646">
        <v>10.414826943136148</v>
      </c>
    </row>
    <row r="56" spans="2:39" x14ac:dyDescent="0.3">
      <c r="B56" s="126"/>
      <c r="C56" s="126"/>
      <c r="D56" s="303" t="s">
        <v>11</v>
      </c>
      <c r="E56" s="126"/>
      <c r="F56" s="126"/>
      <c r="G56" s="126"/>
      <c r="H56" s="126"/>
      <c r="I56" s="126"/>
      <c r="J56" s="126"/>
      <c r="K56" s="309"/>
      <c r="L56" s="310"/>
      <c r="M56" s="311"/>
      <c r="N56" s="310"/>
      <c r="O56" s="310"/>
      <c r="P56" s="310"/>
      <c r="Q56" s="310"/>
      <c r="R56" s="311"/>
      <c r="S56" s="310"/>
      <c r="T56" s="310"/>
      <c r="U56" s="310"/>
      <c r="V56" s="310"/>
      <c r="W56" s="1648">
        <v>2.9152941176470586E-2</v>
      </c>
      <c r="X56" s="1648">
        <v>0.16856794061989228</v>
      </c>
      <c r="Y56" s="1650">
        <v>9.617640600236961E-3</v>
      </c>
      <c r="Z56" s="1650">
        <v>1.0158524871355061</v>
      </c>
      <c r="AA56" s="1650">
        <v>1.0260110120068613</v>
      </c>
      <c r="AB56" s="1649">
        <v>1.0362711221269298</v>
      </c>
      <c r="AC56" s="1650">
        <v>1.1567722205263951</v>
      </c>
      <c r="AD56" s="1650">
        <v>1.175598952669944</v>
      </c>
      <c r="AE56" s="1650">
        <v>1.1990110823193669</v>
      </c>
      <c r="AF56" s="1650">
        <v>1.206523862094294</v>
      </c>
      <c r="AG56" s="1649">
        <v>1.2258047636449085</v>
      </c>
      <c r="AH56" s="1650">
        <v>1.2040460592215614</v>
      </c>
      <c r="AI56" s="1650">
        <v>1.2184148511764257</v>
      </c>
      <c r="AJ56" s="1650">
        <v>1.2329559455692192</v>
      </c>
      <c r="AK56" s="1650">
        <v>1.2476714125630968</v>
      </c>
      <c r="AL56" s="1649">
        <v>1.2625633474052955</v>
      </c>
    </row>
    <row r="57" spans="2:39" x14ac:dyDescent="0.3">
      <c r="B57" s="126"/>
      <c r="C57" s="300" t="str">
        <f>+CONCATENATE("Total ",C48)</f>
        <v>Total Water</v>
      </c>
      <c r="D57" s="126"/>
      <c r="E57" s="126"/>
      <c r="F57" s="126"/>
      <c r="G57" s="126"/>
      <c r="H57" s="126"/>
      <c r="I57" s="126"/>
      <c r="J57" s="126"/>
      <c r="K57" s="1527">
        <f>+SUM(K49:K56)</f>
        <v>0</v>
      </c>
      <c r="L57" s="1527">
        <f t="shared" ref="L57:V57" si="36">+SUM(L49:L56)</f>
        <v>0</v>
      </c>
      <c r="M57" s="1527">
        <f t="shared" si="36"/>
        <v>0</v>
      </c>
      <c r="N57" s="297">
        <f t="shared" si="36"/>
        <v>0</v>
      </c>
      <c r="O57" s="297">
        <f t="shared" si="36"/>
        <v>0</v>
      </c>
      <c r="P57" s="297">
        <f t="shared" si="36"/>
        <v>0</v>
      </c>
      <c r="Q57" s="297">
        <f t="shared" si="36"/>
        <v>0</v>
      </c>
      <c r="R57" s="297">
        <f t="shared" si="36"/>
        <v>0</v>
      </c>
      <c r="S57" s="297">
        <f t="shared" si="36"/>
        <v>0</v>
      </c>
      <c r="T57" s="297">
        <f t="shared" si="36"/>
        <v>0</v>
      </c>
      <c r="U57" s="297">
        <f t="shared" si="36"/>
        <v>0</v>
      </c>
      <c r="V57" s="297">
        <f t="shared" si="36"/>
        <v>0</v>
      </c>
      <c r="W57" s="297">
        <f t="shared" ref="W57:AG57" si="37">+SUM(W49:W56)</f>
        <v>32.538046153846153</v>
      </c>
      <c r="X57" s="297">
        <f t="shared" si="37"/>
        <v>36.345914351280101</v>
      </c>
      <c r="Y57" s="297">
        <f t="shared" si="37"/>
        <v>33.594439234135379</v>
      </c>
      <c r="Z57" s="297">
        <f t="shared" si="37"/>
        <v>32.916383361921099</v>
      </c>
      <c r="AA57" s="297">
        <f t="shared" si="37"/>
        <v>39.490941274978155</v>
      </c>
      <c r="AB57" s="297">
        <f t="shared" si="37"/>
        <v>39.885850687727938</v>
      </c>
      <c r="AC57" s="297">
        <f t="shared" si="37"/>
        <v>37.369112520383865</v>
      </c>
      <c r="AD57" s="297">
        <f t="shared" si="37"/>
        <v>37.981950827712467</v>
      </c>
      <c r="AE57" s="297">
        <f t="shared" si="37"/>
        <v>38.733621738392294</v>
      </c>
      <c r="AF57" s="297">
        <f t="shared" si="37"/>
        <v>38.97631987917616</v>
      </c>
      <c r="AG57" s="297">
        <f t="shared" si="37"/>
        <v>39.599182155094617</v>
      </c>
      <c r="AH57" s="297">
        <f t="shared" ref="AH57" si="38">+SUM(AH49:AH56)</f>
        <v>38.896277472012379</v>
      </c>
      <c r="AI57" s="297">
        <f t="shared" ref="AI57" si="39">+SUM(AI49:AI56)</f>
        <v>39.360456127420136</v>
      </c>
      <c r="AJ57" s="297">
        <f t="shared" ref="AJ57" si="40">+SUM(AJ49:AJ56)</f>
        <v>39.830200949764269</v>
      </c>
      <c r="AK57" s="297">
        <f t="shared" ref="AK57" si="41">+SUM(AK49:AK56)</f>
        <v>40.305578814754647</v>
      </c>
      <c r="AL57" s="297">
        <f t="shared" ref="AL57" si="42">+SUM(AL49:AL56)</f>
        <v>40.786657408441336</v>
      </c>
    </row>
    <row r="58" spans="2:39" x14ac:dyDescent="0.3">
      <c r="B58" s="126"/>
      <c r="C58" s="126"/>
      <c r="D58" s="126"/>
      <c r="E58" s="126"/>
      <c r="F58" s="126"/>
      <c r="G58" s="126"/>
      <c r="H58" s="126"/>
      <c r="I58" s="126"/>
      <c r="J58" s="126"/>
      <c r="K58" s="275"/>
      <c r="L58" s="275"/>
      <c r="M58" s="275"/>
      <c r="N58" s="297"/>
      <c r="O58" s="297"/>
      <c r="P58" s="297"/>
      <c r="Q58" s="297"/>
      <c r="R58" s="297"/>
      <c r="S58" s="297"/>
      <c r="T58" s="297"/>
      <c r="U58" s="297"/>
      <c r="V58" s="297"/>
      <c r="W58" s="297"/>
      <c r="X58" s="297"/>
      <c r="Y58" s="297"/>
      <c r="Z58" s="297"/>
      <c r="AA58" s="297"/>
      <c r="AB58" s="297"/>
      <c r="AC58" s="125"/>
      <c r="AD58" s="125"/>
      <c r="AE58" s="125"/>
      <c r="AF58" s="125"/>
      <c r="AG58" s="125"/>
      <c r="AH58" s="125"/>
      <c r="AI58" s="125"/>
      <c r="AJ58" s="125"/>
      <c r="AK58" s="125"/>
      <c r="AL58" s="125"/>
    </row>
    <row r="59" spans="2:39" x14ac:dyDescent="0.3">
      <c r="B59" s="126"/>
      <c r="C59" s="300" t="s">
        <v>22</v>
      </c>
      <c r="D59" s="126"/>
      <c r="E59" s="126"/>
      <c r="F59" s="126"/>
      <c r="G59" s="126"/>
      <c r="H59" s="126"/>
      <c r="I59" s="126"/>
      <c r="J59" s="126"/>
      <c r="K59" s="275"/>
      <c r="L59" s="275"/>
      <c r="M59" s="275"/>
      <c r="N59" s="297"/>
      <c r="O59" s="297"/>
      <c r="P59" s="297"/>
      <c r="Q59" s="297"/>
      <c r="R59" s="297"/>
      <c r="S59" s="297"/>
      <c r="T59" s="297"/>
      <c r="U59" s="297"/>
      <c r="V59" s="297"/>
      <c r="W59" s="297"/>
      <c r="X59" s="297"/>
      <c r="Y59" s="297"/>
      <c r="Z59" s="297"/>
      <c r="AA59" s="297"/>
      <c r="AB59" s="297"/>
      <c r="AC59" s="125"/>
      <c r="AD59" s="125"/>
      <c r="AE59" s="125"/>
      <c r="AF59" s="125"/>
      <c r="AG59" s="125"/>
      <c r="AH59" s="125"/>
      <c r="AI59" s="125"/>
      <c r="AJ59" s="125"/>
      <c r="AK59" s="125"/>
      <c r="AL59" s="125"/>
    </row>
    <row r="60" spans="2:39" x14ac:dyDescent="0.3">
      <c r="B60" s="126"/>
      <c r="C60" s="126"/>
      <c r="D60" s="303" t="str">
        <f>+D49</f>
        <v>Operations &amp; Maintenance</v>
      </c>
      <c r="E60" s="126"/>
      <c r="F60" s="126"/>
      <c r="G60" s="126"/>
      <c r="H60" s="126"/>
      <c r="I60" s="126"/>
      <c r="J60" s="126"/>
      <c r="K60" s="304"/>
      <c r="L60" s="305"/>
      <c r="M60" s="306"/>
      <c r="N60" s="305"/>
      <c r="O60" s="305"/>
      <c r="P60" s="305"/>
      <c r="Q60" s="305"/>
      <c r="R60" s="306"/>
      <c r="S60" s="305"/>
      <c r="T60" s="305"/>
      <c r="U60" s="305"/>
      <c r="V60" s="305"/>
      <c r="W60" s="1643">
        <v>5.4011429864253397</v>
      </c>
      <c r="X60" s="1643">
        <v>7.7167641686722339</v>
      </c>
      <c r="Y60" s="1584">
        <v>6.8856650225899045</v>
      </c>
      <c r="Z60" s="1584">
        <v>4.8199862778730704</v>
      </c>
      <c r="AA60" s="1584">
        <v>4.868186140651801</v>
      </c>
      <c r="AB60" s="1644">
        <v>4.9168680020583189</v>
      </c>
      <c r="AC60" s="1584">
        <v>5.4886179835854874</v>
      </c>
      <c r="AD60" s="1584">
        <v>5.5779464950950466</v>
      </c>
      <c r="AE60" s="1584">
        <v>5.6890316625529778</v>
      </c>
      <c r="AF60" s="1584">
        <v>5.7246780737026324</v>
      </c>
      <c r="AG60" s="1644">
        <v>5.8161615145327437</v>
      </c>
      <c r="AH60" s="1584">
        <v>5.7129214692771972</v>
      </c>
      <c r="AI60" s="1584">
        <v>5.7810980804772649</v>
      </c>
      <c r="AJ60" s="1584">
        <v>5.8500922270941169</v>
      </c>
      <c r="AK60" s="1584">
        <v>5.9199137315755275</v>
      </c>
      <c r="AL60" s="1644">
        <v>5.990572535387467</v>
      </c>
    </row>
    <row r="61" spans="2:39" x14ac:dyDescent="0.3">
      <c r="B61" s="126"/>
      <c r="C61" s="126"/>
      <c r="D61" s="303" t="str">
        <f t="shared" ref="D61:D67" si="43">+D50</f>
        <v>External bulk charges (excl. temporary purchases)</v>
      </c>
      <c r="E61" s="126"/>
      <c r="F61" s="126"/>
      <c r="G61" s="126"/>
      <c r="H61" s="126"/>
      <c r="I61" s="126"/>
      <c r="J61" s="126"/>
      <c r="K61" s="307"/>
      <c r="L61" s="275"/>
      <c r="M61" s="308"/>
      <c r="N61" s="275"/>
      <c r="O61" s="275"/>
      <c r="P61" s="275"/>
      <c r="Q61" s="275"/>
      <c r="R61" s="308"/>
      <c r="S61" s="275"/>
      <c r="T61" s="275"/>
      <c r="U61" s="275"/>
      <c r="V61" s="275"/>
      <c r="W61" s="1621">
        <f t="shared" ref="W61:AG61" si="44">+W132</f>
        <v>0</v>
      </c>
      <c r="X61" s="2129">
        <f t="shared" si="44"/>
        <v>0</v>
      </c>
      <c r="Y61" s="2130">
        <f t="shared" si="44"/>
        <v>0</v>
      </c>
      <c r="Z61" s="2130">
        <f t="shared" si="44"/>
        <v>0</v>
      </c>
      <c r="AA61" s="2130">
        <f t="shared" si="44"/>
        <v>-0.10101527066157762</v>
      </c>
      <c r="AB61" s="2131">
        <f t="shared" si="44"/>
        <v>0</v>
      </c>
      <c r="AC61" s="1622">
        <f t="shared" si="44"/>
        <v>0</v>
      </c>
      <c r="AD61" s="1622">
        <f t="shared" si="44"/>
        <v>0</v>
      </c>
      <c r="AE61" s="1622">
        <f t="shared" si="44"/>
        <v>0</v>
      </c>
      <c r="AF61" s="1622">
        <f t="shared" si="44"/>
        <v>0</v>
      </c>
      <c r="AG61" s="1623">
        <f t="shared" si="44"/>
        <v>0</v>
      </c>
      <c r="AH61" s="1622">
        <f t="shared" ref="AH61:AL61" si="45">+AH132</f>
        <v>0</v>
      </c>
      <c r="AI61" s="1622">
        <f t="shared" si="45"/>
        <v>0</v>
      </c>
      <c r="AJ61" s="1622">
        <f t="shared" si="45"/>
        <v>0</v>
      </c>
      <c r="AK61" s="1622">
        <f t="shared" si="45"/>
        <v>0</v>
      </c>
      <c r="AL61" s="1623">
        <f t="shared" si="45"/>
        <v>0</v>
      </c>
      <c r="AM61" s="285" t="s">
        <v>509</v>
      </c>
    </row>
    <row r="62" spans="2:39" x14ac:dyDescent="0.3">
      <c r="B62" s="126"/>
      <c r="C62" s="126"/>
      <c r="D62" s="303" t="str">
        <f t="shared" si="43"/>
        <v>Treatment</v>
      </c>
      <c r="E62" s="126"/>
      <c r="F62" s="126"/>
      <c r="G62" s="126"/>
      <c r="H62" s="126"/>
      <c r="I62" s="126"/>
      <c r="J62" s="126"/>
      <c r="K62" s="307"/>
      <c r="L62" s="275"/>
      <c r="M62" s="308"/>
      <c r="N62" s="275"/>
      <c r="O62" s="275"/>
      <c r="P62" s="275"/>
      <c r="Q62" s="275"/>
      <c r="R62" s="308"/>
      <c r="S62" s="275"/>
      <c r="T62" s="275"/>
      <c r="U62" s="275"/>
      <c r="V62" s="275"/>
      <c r="W62" s="1645">
        <v>7.2142316742081452</v>
      </c>
      <c r="X62" s="1645">
        <v>6.2231902469105602</v>
      </c>
      <c r="Y62" s="1647">
        <v>8.242398450368098</v>
      </c>
      <c r="Z62" s="1647">
        <v>7.546636363636364</v>
      </c>
      <c r="AA62" s="1647">
        <v>7.6221027272727273</v>
      </c>
      <c r="AB62" s="1646">
        <v>7.6983237545454548</v>
      </c>
      <c r="AC62" s="1647">
        <v>8.5935107847054972</v>
      </c>
      <c r="AD62" s="1647">
        <v>8.7333721358388505</v>
      </c>
      <c r="AE62" s="1647">
        <v>8.9072978102846676</v>
      </c>
      <c r="AF62" s="1647">
        <v>8.9631092767716272</v>
      </c>
      <c r="AG62" s="1646">
        <v>9.1063445935210652</v>
      </c>
      <c r="AH62" s="1647">
        <v>8.9447020006187525</v>
      </c>
      <c r="AI62" s="1647">
        <v>9.0514458923169183</v>
      </c>
      <c r="AJ62" s="1647">
        <v>9.1594697964776088</v>
      </c>
      <c r="AK62" s="1647">
        <v>9.2687890920743836</v>
      </c>
      <c r="AL62" s="1646">
        <v>9.3794193444272036</v>
      </c>
    </row>
    <row r="63" spans="2:39" x14ac:dyDescent="0.3">
      <c r="B63" s="126"/>
      <c r="C63" s="126"/>
      <c r="D63" s="303" t="str">
        <f t="shared" si="43"/>
        <v>Customer Service and billing</v>
      </c>
      <c r="E63" s="126"/>
      <c r="F63" s="126"/>
      <c r="G63" s="126"/>
      <c r="H63" s="126"/>
      <c r="I63" s="126"/>
      <c r="J63" s="126"/>
      <c r="K63" s="307"/>
      <c r="L63" s="275"/>
      <c r="M63" s="308"/>
      <c r="N63" s="275"/>
      <c r="O63" s="275"/>
      <c r="P63" s="275"/>
      <c r="Q63" s="275"/>
      <c r="R63" s="308"/>
      <c r="S63" s="275"/>
      <c r="T63" s="275"/>
      <c r="U63" s="275"/>
      <c r="V63" s="275"/>
      <c r="W63" s="1645">
        <v>2.4241791855203618</v>
      </c>
      <c r="X63" s="1645">
        <v>1.965418055417401</v>
      </c>
      <c r="Y63" s="1647">
        <v>2.2896003182433207</v>
      </c>
      <c r="Z63" s="1647">
        <v>1.8733765008576329</v>
      </c>
      <c r="AA63" s="1647">
        <v>1.8921102658662092</v>
      </c>
      <c r="AB63" s="1646">
        <v>1.9110313685248714</v>
      </c>
      <c r="AC63" s="1647">
        <v>2.1332525363891568</v>
      </c>
      <c r="AD63" s="1647">
        <v>2.1679717087417476</v>
      </c>
      <c r="AE63" s="1647">
        <v>2.2111470064111334</v>
      </c>
      <c r="AF63" s="1647">
        <v>2.2250016410797486</v>
      </c>
      <c r="AG63" s="1646">
        <v>2.260558366428842</v>
      </c>
      <c r="AH63" s="1647">
        <v>2.2204322200916442</v>
      </c>
      <c r="AI63" s="1647">
        <v>2.2469303165523407</v>
      </c>
      <c r="AJ63" s="1647">
        <v>2.2737461632202223</v>
      </c>
      <c r="AK63" s="1647">
        <v>2.3008835777706467</v>
      </c>
      <c r="AL63" s="1646">
        <v>2.3283464241375889</v>
      </c>
    </row>
    <row r="64" spans="2:39" x14ac:dyDescent="0.3">
      <c r="B64" s="126"/>
      <c r="C64" s="126"/>
      <c r="D64" s="303" t="str">
        <f t="shared" si="43"/>
        <v>GSL Payments</v>
      </c>
      <c r="E64" s="126"/>
      <c r="F64" s="126"/>
      <c r="G64" s="126"/>
      <c r="H64" s="126"/>
      <c r="I64" s="126"/>
      <c r="J64" s="126"/>
      <c r="K64" s="307"/>
      <c r="L64" s="275"/>
      <c r="M64" s="308"/>
      <c r="N64" s="275"/>
      <c r="O64" s="275"/>
      <c r="P64" s="275"/>
      <c r="Q64" s="275"/>
      <c r="R64" s="308"/>
      <c r="S64" s="275"/>
      <c r="T64" s="275"/>
      <c r="U64" s="275"/>
      <c r="V64" s="275"/>
      <c r="W64" s="1645">
        <v>0</v>
      </c>
      <c r="X64" s="1645">
        <v>0</v>
      </c>
      <c r="Y64" s="1647">
        <v>5.8251761049188085E-3</v>
      </c>
      <c r="Z64" s="1647">
        <v>2.1252144082332764E-3</v>
      </c>
      <c r="AA64" s="1647">
        <v>2.1464665523156091E-3</v>
      </c>
      <c r="AB64" s="1646">
        <v>2.1679312178387654E-3</v>
      </c>
      <c r="AC64" s="1647">
        <v>2.4200255659548014E-3</v>
      </c>
      <c r="AD64" s="1647">
        <v>2.4594120348743597E-3</v>
      </c>
      <c r="AE64" s="1647">
        <v>2.5083913856053701E-3</v>
      </c>
      <c r="AF64" s="1647">
        <v>2.5241084981052174E-3</v>
      </c>
      <c r="AG64" s="1646">
        <v>2.5644451122278423E-3</v>
      </c>
      <c r="AH64" s="1647">
        <v>2.5189248100869486E-3</v>
      </c>
      <c r="AI64" s="1647">
        <v>2.5489850443021459E-3</v>
      </c>
      <c r="AJ64" s="1647">
        <v>2.5794057438686593E-3</v>
      </c>
      <c r="AK64" s="1647">
        <v>2.6101912396717503E-3</v>
      </c>
      <c r="AL64" s="1646">
        <v>2.6413459150738399E-3</v>
      </c>
    </row>
    <row r="65" spans="2:39" x14ac:dyDescent="0.3">
      <c r="B65" s="126"/>
      <c r="C65" s="126"/>
      <c r="D65" s="303" t="str">
        <f t="shared" si="43"/>
        <v>Licence Fees</v>
      </c>
      <c r="E65" s="126"/>
      <c r="F65" s="126"/>
      <c r="G65" s="126"/>
      <c r="H65" s="126"/>
      <c r="I65" s="126"/>
      <c r="J65" s="126"/>
      <c r="K65" s="307"/>
      <c r="L65" s="275"/>
      <c r="M65" s="308"/>
      <c r="N65" s="275"/>
      <c r="O65" s="275"/>
      <c r="P65" s="275"/>
      <c r="Q65" s="275"/>
      <c r="R65" s="308"/>
      <c r="S65" s="275"/>
      <c r="T65" s="275"/>
      <c r="U65" s="275"/>
      <c r="V65" s="275"/>
      <c r="W65" s="1645">
        <v>3.027420814479638E-2</v>
      </c>
      <c r="X65" s="1645">
        <v>4.5114564831261111E-2</v>
      </c>
      <c r="Y65" s="1647">
        <v>0.21946938935842863</v>
      </c>
      <c r="Z65" s="1647">
        <v>0.24652487135506004</v>
      </c>
      <c r="AA65" s="1647">
        <v>0.24899012006861065</v>
      </c>
      <c r="AB65" s="1646">
        <v>0.25148002126929675</v>
      </c>
      <c r="AC65" s="1647">
        <v>0.28072296565075688</v>
      </c>
      <c r="AD65" s="1647">
        <v>0.28529179604542565</v>
      </c>
      <c r="AE65" s="1647">
        <v>0.29097340073022288</v>
      </c>
      <c r="AF65" s="1647">
        <v>0.29279658578020518</v>
      </c>
      <c r="AG65" s="1646">
        <v>0.29747563301842961</v>
      </c>
      <c r="AH65" s="1647">
        <v>0.29219527797008593</v>
      </c>
      <c r="AI65" s="1647">
        <v>0.29568226513904883</v>
      </c>
      <c r="AJ65" s="1647">
        <v>0.29921106628876432</v>
      </c>
      <c r="AK65" s="1647">
        <v>0.3027821838019229</v>
      </c>
      <c r="AL65" s="1646">
        <v>0.30639612614856526</v>
      </c>
    </row>
    <row r="66" spans="2:39" x14ac:dyDescent="0.3">
      <c r="B66" s="126"/>
      <c r="C66" s="126"/>
      <c r="D66" s="303" t="str">
        <f t="shared" si="43"/>
        <v>Corporate</v>
      </c>
      <c r="E66" s="126"/>
      <c r="F66" s="126"/>
      <c r="G66" s="126"/>
      <c r="H66" s="126"/>
      <c r="I66" s="126"/>
      <c r="J66" s="126"/>
      <c r="K66" s="307"/>
      <c r="L66" s="275"/>
      <c r="M66" s="308"/>
      <c r="N66" s="275"/>
      <c r="O66" s="275"/>
      <c r="P66" s="275"/>
      <c r="Q66" s="275"/>
      <c r="R66" s="308"/>
      <c r="S66" s="275"/>
      <c r="T66" s="275"/>
      <c r="U66" s="275"/>
      <c r="V66" s="275"/>
      <c r="W66" s="1645">
        <v>10.473754751131223</v>
      </c>
      <c r="X66" s="1645">
        <v>11.057257461957359</v>
      </c>
      <c r="Y66" s="1647">
        <v>10.283652778538171</v>
      </c>
      <c r="Z66" s="1647">
        <v>9.9874451114922813</v>
      </c>
      <c r="AA66" s="1647">
        <v>10.087319562607204</v>
      </c>
      <c r="AB66" s="1646">
        <v>10.188192758233276</v>
      </c>
      <c r="AC66" s="1647">
        <v>11.372910147204585</v>
      </c>
      <c r="AD66" s="1647">
        <v>11.558006857892051</v>
      </c>
      <c r="AE66" s="1647">
        <v>11.788185316652433</v>
      </c>
      <c r="AF66" s="1647">
        <v>11.862047886845467</v>
      </c>
      <c r="AG66" s="1646">
        <v>12.051609804914742</v>
      </c>
      <c r="AH66" s="1647">
        <v>11.837687145003612</v>
      </c>
      <c r="AI66" s="1647">
        <v>11.978955215697933</v>
      </c>
      <c r="AJ66" s="1647">
        <v>12.121917293310762</v>
      </c>
      <c r="AK66" s="1647">
        <v>12.266593730837387</v>
      </c>
      <c r="AL66" s="1646">
        <v>12.413005127889507</v>
      </c>
    </row>
    <row r="67" spans="2:39" x14ac:dyDescent="0.3">
      <c r="B67" s="126"/>
      <c r="C67" s="126"/>
      <c r="D67" s="303" t="str">
        <f t="shared" si="43"/>
        <v>Other operating expenditure</v>
      </c>
      <c r="E67" s="126"/>
      <c r="F67" s="126"/>
      <c r="G67" s="126"/>
      <c r="H67" s="126"/>
      <c r="I67" s="126"/>
      <c r="J67" s="126"/>
      <c r="K67" s="309"/>
      <c r="L67" s="310"/>
      <c r="M67" s="311"/>
      <c r="N67" s="310"/>
      <c r="O67" s="310"/>
      <c r="P67" s="310"/>
      <c r="Q67" s="310"/>
      <c r="R67" s="311"/>
      <c r="S67" s="310"/>
      <c r="T67" s="310"/>
      <c r="U67" s="310"/>
      <c r="V67" s="310"/>
      <c r="W67" s="1648">
        <v>0.22537466063348416</v>
      </c>
      <c r="X67" s="1648">
        <v>5.7023888911337278E-2</v>
      </c>
      <c r="Y67" s="1650">
        <v>1.1678810964714124E-2</v>
      </c>
      <c r="Z67" s="1650">
        <v>1.1476157804459692</v>
      </c>
      <c r="AA67" s="1650">
        <v>1.159091938250429</v>
      </c>
      <c r="AB67" s="1649">
        <v>1.1706828576329333</v>
      </c>
      <c r="AC67" s="1650">
        <v>1.3068138056155925</v>
      </c>
      <c r="AD67" s="1650">
        <v>1.3280824988321545</v>
      </c>
      <c r="AE67" s="1650">
        <v>1.3545313482268997</v>
      </c>
      <c r="AF67" s="1650">
        <v>1.3630185889768176</v>
      </c>
      <c r="AG67" s="1649">
        <v>1.3848003606030346</v>
      </c>
      <c r="AH67" s="1650">
        <v>1.3602193974469521</v>
      </c>
      <c r="AI67" s="1650">
        <v>1.3764519239231585</v>
      </c>
      <c r="AJ67" s="1650">
        <v>1.3928791016890758</v>
      </c>
      <c r="AK67" s="1650">
        <v>1.4095032694227447</v>
      </c>
      <c r="AL67" s="1649">
        <v>1.4263267941398732</v>
      </c>
    </row>
    <row r="68" spans="2:39" x14ac:dyDescent="0.3">
      <c r="B68" s="126"/>
      <c r="C68" s="300" t="str">
        <f>+CONCATENATE("Total ",C59)</f>
        <v>Total Sewerage</v>
      </c>
      <c r="D68" s="126"/>
      <c r="E68" s="126"/>
      <c r="F68" s="126"/>
      <c r="G68" s="126"/>
      <c r="H68" s="126"/>
      <c r="I68" s="126"/>
      <c r="J68" s="126"/>
      <c r="K68" s="1527"/>
      <c r="L68" s="1527"/>
      <c r="M68" s="1527"/>
      <c r="N68" s="297"/>
      <c r="O68" s="297"/>
      <c r="P68" s="297"/>
      <c r="Q68" s="297"/>
      <c r="R68" s="297"/>
      <c r="S68" s="297"/>
      <c r="T68" s="297"/>
      <c r="U68" s="297"/>
      <c r="V68" s="297"/>
      <c r="W68" s="297">
        <f t="shared" ref="W68:AG68" si="46">+SUM(W60:W67)</f>
        <v>25.768957466063348</v>
      </c>
      <c r="X68" s="297">
        <f t="shared" si="46"/>
        <v>27.064768386700152</v>
      </c>
      <c r="Y68" s="297">
        <f t="shared" si="46"/>
        <v>27.938289946167554</v>
      </c>
      <c r="Z68" s="297">
        <f t="shared" si="46"/>
        <v>25.623710120068608</v>
      </c>
      <c r="AA68" s="297">
        <f t="shared" si="46"/>
        <v>25.778931950607717</v>
      </c>
      <c r="AB68" s="297">
        <f t="shared" si="46"/>
        <v>26.138746693481991</v>
      </c>
      <c r="AC68" s="297">
        <f t="shared" si="46"/>
        <v>29.178248248717033</v>
      </c>
      <c r="AD68" s="297">
        <f t="shared" si="46"/>
        <v>29.653130904480143</v>
      </c>
      <c r="AE68" s="297">
        <f t="shared" si="46"/>
        <v>30.243674936243934</v>
      </c>
      <c r="AF68" s="297">
        <f t="shared" si="46"/>
        <v>30.433176161654604</v>
      </c>
      <c r="AG68" s="297">
        <f t="shared" si="46"/>
        <v>30.919514718131087</v>
      </c>
      <c r="AH68" s="297">
        <f t="shared" ref="AH68" si="47">+SUM(AH60:AH67)</f>
        <v>30.370676435218332</v>
      </c>
      <c r="AI68" s="297">
        <f t="shared" ref="AI68" si="48">+SUM(AI60:AI67)</f>
        <v>30.73311267915097</v>
      </c>
      <c r="AJ68" s="297">
        <f t="shared" ref="AJ68" si="49">+SUM(AJ60:AJ67)</f>
        <v>31.099895053824419</v>
      </c>
      <c r="AK68" s="297">
        <f t="shared" ref="AK68" si="50">+SUM(AK60:AK67)</f>
        <v>31.471075776722291</v>
      </c>
      <c r="AL68" s="297">
        <f t="shared" ref="AL68" si="51">+SUM(AL60:AL67)</f>
        <v>31.846707698045275</v>
      </c>
    </row>
    <row r="69" spans="2:39" x14ac:dyDescent="0.3">
      <c r="B69" s="126"/>
      <c r="C69" s="126"/>
      <c r="D69" s="126"/>
      <c r="E69" s="126"/>
      <c r="F69" s="126"/>
      <c r="G69" s="126"/>
      <c r="H69" s="126"/>
      <c r="I69" s="126"/>
      <c r="J69" s="126"/>
      <c r="K69" s="275"/>
      <c r="L69" s="275"/>
      <c r="M69" s="275"/>
      <c r="N69" s="297"/>
      <c r="O69" s="297"/>
      <c r="P69" s="297"/>
      <c r="Q69" s="297"/>
      <c r="R69" s="297"/>
      <c r="S69" s="297"/>
      <c r="T69" s="297"/>
      <c r="U69" s="297"/>
      <c r="V69" s="297"/>
      <c r="W69" s="297"/>
      <c r="X69" s="297"/>
      <c r="Y69" s="297"/>
      <c r="Z69" s="297"/>
      <c r="AA69" s="297"/>
      <c r="AB69" s="297"/>
      <c r="AC69" s="125"/>
      <c r="AD69" s="125"/>
      <c r="AE69" s="125"/>
      <c r="AF69" s="125"/>
      <c r="AG69" s="125"/>
      <c r="AH69" s="125"/>
      <c r="AI69" s="125"/>
      <c r="AJ69" s="125"/>
      <c r="AK69" s="125"/>
      <c r="AL69" s="125"/>
    </row>
    <row r="70" spans="2:39" x14ac:dyDescent="0.3">
      <c r="B70" s="126"/>
      <c r="C70" s="300" t="s">
        <v>275</v>
      </c>
      <c r="D70" s="126"/>
      <c r="E70" s="126"/>
      <c r="F70" s="126"/>
      <c r="G70" s="126"/>
      <c r="H70" s="126"/>
      <c r="I70" s="126"/>
      <c r="J70" s="126"/>
      <c r="K70" s="275"/>
      <c r="L70" s="275"/>
      <c r="M70" s="275"/>
      <c r="N70" s="297"/>
      <c r="O70" s="297"/>
      <c r="P70" s="297"/>
      <c r="Q70" s="297"/>
      <c r="R70" s="297"/>
      <c r="S70" s="297"/>
      <c r="T70" s="297"/>
      <c r="U70" s="297"/>
      <c r="V70" s="297"/>
      <c r="W70" s="297"/>
      <c r="X70" s="297"/>
      <c r="Y70" s="297"/>
      <c r="Z70" s="297"/>
      <c r="AA70" s="297"/>
      <c r="AB70" s="297"/>
      <c r="AC70" s="125"/>
      <c r="AD70" s="125"/>
      <c r="AE70" s="125"/>
      <c r="AF70" s="125"/>
      <c r="AG70" s="125"/>
      <c r="AH70" s="125"/>
      <c r="AI70" s="125"/>
      <c r="AJ70" s="125"/>
      <c r="AK70" s="125"/>
      <c r="AL70" s="125"/>
    </row>
    <row r="71" spans="2:39" x14ac:dyDescent="0.3">
      <c r="B71" s="126"/>
      <c r="C71" s="126"/>
      <c r="D71" s="303" t="str">
        <f>+D60</f>
        <v>Operations &amp; Maintenance</v>
      </c>
      <c r="E71" s="126"/>
      <c r="F71" s="126"/>
      <c r="G71" s="126"/>
      <c r="H71" s="126"/>
      <c r="I71" s="126"/>
      <c r="J71" s="126"/>
      <c r="K71" s="304"/>
      <c r="L71" s="305"/>
      <c r="M71" s="306"/>
      <c r="N71" s="305"/>
      <c r="O71" s="305"/>
      <c r="P71" s="305"/>
      <c r="Q71" s="305"/>
      <c r="R71" s="306"/>
      <c r="S71" s="305"/>
      <c r="T71" s="305"/>
      <c r="U71" s="305"/>
      <c r="V71" s="305"/>
      <c r="W71" s="1643">
        <v>1.4576470588235293E-2</v>
      </c>
      <c r="X71" s="1643">
        <v>0.10753004822412551</v>
      </c>
      <c r="Y71" s="1584">
        <v>4.3236333142921846E-3</v>
      </c>
      <c r="Z71" s="1584">
        <v>0</v>
      </c>
      <c r="AA71" s="1584">
        <v>0</v>
      </c>
      <c r="AB71" s="1644">
        <v>0</v>
      </c>
      <c r="AC71" s="1584">
        <v>0</v>
      </c>
      <c r="AD71" s="1584">
        <v>0</v>
      </c>
      <c r="AE71" s="1584">
        <v>0</v>
      </c>
      <c r="AF71" s="1584">
        <v>0</v>
      </c>
      <c r="AG71" s="1644">
        <v>0</v>
      </c>
      <c r="AH71" s="1584">
        <v>0</v>
      </c>
      <c r="AI71" s="1584">
        <v>0</v>
      </c>
      <c r="AJ71" s="1584">
        <v>0</v>
      </c>
      <c r="AK71" s="1584">
        <v>0</v>
      </c>
      <c r="AL71" s="1644">
        <v>0</v>
      </c>
    </row>
    <row r="72" spans="2:39" x14ac:dyDescent="0.3">
      <c r="B72" s="126"/>
      <c r="C72" s="126"/>
      <c r="D72" s="303" t="str">
        <f t="shared" ref="D72:D78" si="52">+D61</f>
        <v>External bulk charges (excl. temporary purchases)</v>
      </c>
      <c r="E72" s="126"/>
      <c r="F72" s="126"/>
      <c r="G72" s="126"/>
      <c r="H72" s="126"/>
      <c r="I72" s="126"/>
      <c r="J72" s="126"/>
      <c r="K72" s="307"/>
      <c r="L72" s="275"/>
      <c r="M72" s="308"/>
      <c r="N72" s="275"/>
      <c r="O72" s="275"/>
      <c r="P72" s="275"/>
      <c r="Q72" s="275"/>
      <c r="R72" s="308"/>
      <c r="S72" s="275"/>
      <c r="T72" s="275"/>
      <c r="U72" s="275"/>
      <c r="V72" s="275"/>
      <c r="W72" s="1621">
        <f t="shared" ref="W72:AG72" si="53">+W133</f>
        <v>0</v>
      </c>
      <c r="X72" s="2129">
        <f t="shared" si="53"/>
        <v>0</v>
      </c>
      <c r="Y72" s="2130">
        <f t="shared" si="53"/>
        <v>0</v>
      </c>
      <c r="Z72" s="2130">
        <f t="shared" si="53"/>
        <v>0</v>
      </c>
      <c r="AA72" s="2130">
        <f t="shared" si="53"/>
        <v>0</v>
      </c>
      <c r="AB72" s="2131">
        <f t="shared" si="53"/>
        <v>0</v>
      </c>
      <c r="AC72" s="1622">
        <f t="shared" si="53"/>
        <v>0</v>
      </c>
      <c r="AD72" s="1622">
        <f t="shared" si="53"/>
        <v>0</v>
      </c>
      <c r="AE72" s="1622">
        <f t="shared" si="53"/>
        <v>0</v>
      </c>
      <c r="AF72" s="1622">
        <f t="shared" si="53"/>
        <v>0</v>
      </c>
      <c r="AG72" s="1623">
        <f t="shared" si="53"/>
        <v>0</v>
      </c>
      <c r="AH72" s="1622">
        <f t="shared" ref="AH72:AL72" si="54">+AH133</f>
        <v>0</v>
      </c>
      <c r="AI72" s="1622">
        <f t="shared" si="54"/>
        <v>0</v>
      </c>
      <c r="AJ72" s="1622">
        <f t="shared" si="54"/>
        <v>0</v>
      </c>
      <c r="AK72" s="1622">
        <f t="shared" si="54"/>
        <v>0</v>
      </c>
      <c r="AL72" s="1623">
        <f t="shared" si="54"/>
        <v>0</v>
      </c>
      <c r="AM72" s="285" t="s">
        <v>509</v>
      </c>
    </row>
    <row r="73" spans="2:39" x14ac:dyDescent="0.3">
      <c r="B73" s="126"/>
      <c r="C73" s="126"/>
      <c r="D73" s="303" t="str">
        <f t="shared" si="52"/>
        <v>Treatment</v>
      </c>
      <c r="E73" s="126"/>
      <c r="F73" s="126"/>
      <c r="G73" s="126"/>
      <c r="H73" s="126"/>
      <c r="I73" s="126"/>
      <c r="J73" s="126"/>
      <c r="K73" s="307"/>
      <c r="L73" s="275"/>
      <c r="M73" s="308"/>
      <c r="N73" s="275"/>
      <c r="O73" s="275"/>
      <c r="P73" s="275"/>
      <c r="Q73" s="275"/>
      <c r="R73" s="308"/>
      <c r="S73" s="275"/>
      <c r="T73" s="275"/>
      <c r="U73" s="275"/>
      <c r="V73" s="275"/>
      <c r="W73" s="1645">
        <v>0.25228506787330318</v>
      </c>
      <c r="X73" s="1645">
        <v>0.19286060616026088</v>
      </c>
      <c r="Y73" s="1647">
        <v>0.41172390239263812</v>
      </c>
      <c r="Z73" s="1647">
        <v>0.38253859348198971</v>
      </c>
      <c r="AA73" s="1647">
        <v>0.38636397941680961</v>
      </c>
      <c r="AB73" s="1646">
        <v>0.39022761921097771</v>
      </c>
      <c r="AC73" s="1647">
        <v>0.43560460187186406</v>
      </c>
      <c r="AD73" s="1647">
        <v>0.44269416627738467</v>
      </c>
      <c r="AE73" s="1647">
        <v>0.45151044940896651</v>
      </c>
      <c r="AF73" s="1647">
        <v>0.45433952965893903</v>
      </c>
      <c r="AG73" s="1646">
        <v>0.46160012020101143</v>
      </c>
      <c r="AH73" s="1647">
        <v>0.45340646581565053</v>
      </c>
      <c r="AI73" s="1647">
        <v>0.45881730797438608</v>
      </c>
      <c r="AJ73" s="1647">
        <v>0.46429303389635845</v>
      </c>
      <c r="AK73" s="1647">
        <v>0.46983442314091484</v>
      </c>
      <c r="AL73" s="1646">
        <v>0.47544226471329099</v>
      </c>
    </row>
    <row r="74" spans="2:39" x14ac:dyDescent="0.3">
      <c r="B74" s="126"/>
      <c r="C74" s="126"/>
      <c r="D74" s="303" t="str">
        <f t="shared" si="52"/>
        <v>Customer Service and billing</v>
      </c>
      <c r="E74" s="126"/>
      <c r="F74" s="126"/>
      <c r="G74" s="126"/>
      <c r="H74" s="126"/>
      <c r="I74" s="126"/>
      <c r="J74" s="126"/>
      <c r="K74" s="307"/>
      <c r="L74" s="275"/>
      <c r="M74" s="308"/>
      <c r="N74" s="275"/>
      <c r="O74" s="275"/>
      <c r="P74" s="275"/>
      <c r="Q74" s="275"/>
      <c r="R74" s="308"/>
      <c r="S74" s="275"/>
      <c r="T74" s="275"/>
      <c r="U74" s="275"/>
      <c r="V74" s="275"/>
      <c r="W74" s="1645">
        <v>1.0091402714932127E-2</v>
      </c>
      <c r="X74" s="1645">
        <v>3.2463190126479337E-2</v>
      </c>
      <c r="Y74" s="1647">
        <v>2.2850163283973236E-3</v>
      </c>
      <c r="Z74" s="1647">
        <v>7.4382504288164671E-3</v>
      </c>
      <c r="AA74" s="1647">
        <v>7.5126329331046317E-3</v>
      </c>
      <c r="AB74" s="1646">
        <v>7.5877592624356777E-3</v>
      </c>
      <c r="AC74" s="1647">
        <v>8.4700894808418022E-3</v>
      </c>
      <c r="AD74" s="1647">
        <v>8.6079421220602581E-3</v>
      </c>
      <c r="AE74" s="1647">
        <v>8.7793698496187941E-3</v>
      </c>
      <c r="AF74" s="1647">
        <v>8.8343797433682609E-3</v>
      </c>
      <c r="AG74" s="1646">
        <v>8.9755578927974457E-3</v>
      </c>
      <c r="AH74" s="1647">
        <v>8.8162368353043169E-3</v>
      </c>
      <c r="AI74" s="1647">
        <v>8.921447655057509E-3</v>
      </c>
      <c r="AJ74" s="1647">
        <v>9.0279201035403048E-3</v>
      </c>
      <c r="AK74" s="1647">
        <v>9.1356693388511233E-3</v>
      </c>
      <c r="AL74" s="1646">
        <v>9.2447107027584362E-3</v>
      </c>
    </row>
    <row r="75" spans="2:39" x14ac:dyDescent="0.3">
      <c r="B75" s="126"/>
      <c r="C75" s="126"/>
      <c r="D75" s="303" t="str">
        <f t="shared" si="52"/>
        <v>GSL Payments</v>
      </c>
      <c r="E75" s="126"/>
      <c r="F75" s="126"/>
      <c r="G75" s="126"/>
      <c r="H75" s="126"/>
      <c r="I75" s="126"/>
      <c r="J75" s="126"/>
      <c r="K75" s="307"/>
      <c r="L75" s="275"/>
      <c r="M75" s="308"/>
      <c r="N75" s="275"/>
      <c r="O75" s="275"/>
      <c r="P75" s="275"/>
      <c r="Q75" s="275"/>
      <c r="R75" s="308"/>
      <c r="S75" s="275"/>
      <c r="T75" s="275"/>
      <c r="U75" s="275"/>
      <c r="V75" s="275"/>
      <c r="W75" s="1645">
        <v>0</v>
      </c>
      <c r="X75" s="1645">
        <v>0</v>
      </c>
      <c r="Y75" s="1647">
        <v>1.7819286389370914E-7</v>
      </c>
      <c r="Z75" s="1647">
        <v>0</v>
      </c>
      <c r="AA75" s="1647">
        <v>0</v>
      </c>
      <c r="AB75" s="1646">
        <v>0</v>
      </c>
      <c r="AC75" s="1647">
        <v>0</v>
      </c>
      <c r="AD75" s="1647">
        <v>0</v>
      </c>
      <c r="AE75" s="1647">
        <v>0</v>
      </c>
      <c r="AF75" s="1647">
        <v>0</v>
      </c>
      <c r="AG75" s="1646">
        <v>0</v>
      </c>
      <c r="AH75" s="1647">
        <v>0</v>
      </c>
      <c r="AI75" s="1647">
        <v>0</v>
      </c>
      <c r="AJ75" s="1647">
        <v>0</v>
      </c>
      <c r="AK75" s="1647">
        <v>0</v>
      </c>
      <c r="AL75" s="1646">
        <v>0</v>
      </c>
    </row>
    <row r="76" spans="2:39" x14ac:dyDescent="0.3">
      <c r="B76" s="126"/>
      <c r="C76" s="126"/>
      <c r="D76" s="303" t="str">
        <f t="shared" si="52"/>
        <v>Licence Fees</v>
      </c>
      <c r="E76" s="126"/>
      <c r="F76" s="126"/>
      <c r="G76" s="126"/>
      <c r="H76" s="126"/>
      <c r="I76" s="126"/>
      <c r="J76" s="126"/>
      <c r="K76" s="307"/>
      <c r="L76" s="275"/>
      <c r="M76" s="308"/>
      <c r="N76" s="275"/>
      <c r="O76" s="275"/>
      <c r="P76" s="275"/>
      <c r="Q76" s="275"/>
      <c r="R76" s="308"/>
      <c r="S76" s="275"/>
      <c r="T76" s="275"/>
      <c r="U76" s="275"/>
      <c r="V76" s="275"/>
      <c r="W76" s="1645">
        <v>0</v>
      </c>
      <c r="X76" s="1645">
        <v>1.1003552397868563E-3</v>
      </c>
      <c r="Y76" s="1647">
        <v>2.5081239569252541E-5</v>
      </c>
      <c r="Z76" s="1647">
        <v>0</v>
      </c>
      <c r="AA76" s="1647">
        <v>0</v>
      </c>
      <c r="AB76" s="1646">
        <v>0</v>
      </c>
      <c r="AC76" s="1647">
        <v>0</v>
      </c>
      <c r="AD76" s="1647">
        <v>0</v>
      </c>
      <c r="AE76" s="1647">
        <v>0</v>
      </c>
      <c r="AF76" s="1647">
        <v>0</v>
      </c>
      <c r="AG76" s="1646">
        <v>0</v>
      </c>
      <c r="AH76" s="1647">
        <v>0</v>
      </c>
      <c r="AI76" s="1647">
        <v>0</v>
      </c>
      <c r="AJ76" s="1647">
        <v>0</v>
      </c>
      <c r="AK76" s="1647">
        <v>0</v>
      </c>
      <c r="AL76" s="1646">
        <v>0</v>
      </c>
    </row>
    <row r="77" spans="2:39" x14ac:dyDescent="0.3">
      <c r="B77" s="126"/>
      <c r="C77" s="126"/>
      <c r="D77" s="303" t="str">
        <f t="shared" si="52"/>
        <v>Corporate</v>
      </c>
      <c r="E77" s="126"/>
      <c r="F77" s="126"/>
      <c r="G77" s="126"/>
      <c r="H77" s="126"/>
      <c r="I77" s="126"/>
      <c r="J77" s="126"/>
      <c r="K77" s="307"/>
      <c r="L77" s="275"/>
      <c r="M77" s="308"/>
      <c r="N77" s="275"/>
      <c r="O77" s="275"/>
      <c r="P77" s="275"/>
      <c r="Q77" s="275"/>
      <c r="R77" s="308"/>
      <c r="S77" s="275"/>
      <c r="T77" s="275"/>
      <c r="U77" s="275"/>
      <c r="V77" s="275"/>
      <c r="W77" s="1645">
        <v>4.1486877828054297E-2</v>
      </c>
      <c r="X77" s="1645">
        <v>0.20368160666680352</v>
      </c>
      <c r="Y77" s="1647">
        <v>1.0169183659290634E-2</v>
      </c>
      <c r="Z77" s="1647">
        <v>4.0379073756432252E-2</v>
      </c>
      <c r="AA77" s="1647">
        <v>4.0782864493996575E-2</v>
      </c>
      <c r="AB77" s="1646">
        <v>4.1190693138936543E-2</v>
      </c>
      <c r="AC77" s="1647">
        <v>4.5980485753141218E-2</v>
      </c>
      <c r="AD77" s="1647">
        <v>4.6728828662612833E-2</v>
      </c>
      <c r="AE77" s="1647">
        <v>4.7659436326502026E-2</v>
      </c>
      <c r="AF77" s="1647">
        <v>4.7958061463999127E-2</v>
      </c>
      <c r="AG77" s="1646">
        <v>4.8724457132328987E-2</v>
      </c>
      <c r="AH77" s="1647">
        <v>4.7859571391652013E-2</v>
      </c>
      <c r="AI77" s="1647">
        <v>4.843071584174076E-2</v>
      </c>
      <c r="AJ77" s="1647">
        <v>4.9008709133504517E-2</v>
      </c>
      <c r="AK77" s="1647">
        <v>4.9593633553763242E-2</v>
      </c>
      <c r="AL77" s="1646">
        <v>5.0185572386402942E-2</v>
      </c>
    </row>
    <row r="78" spans="2:39" x14ac:dyDescent="0.3">
      <c r="B78" s="126"/>
      <c r="C78" s="126"/>
      <c r="D78" s="303" t="str">
        <f t="shared" si="52"/>
        <v>Other operating expenditure</v>
      </c>
      <c r="E78" s="126"/>
      <c r="F78" s="126"/>
      <c r="G78" s="126"/>
      <c r="H78" s="126"/>
      <c r="I78" s="126"/>
      <c r="J78" s="126"/>
      <c r="K78" s="309"/>
      <c r="L78" s="310"/>
      <c r="M78" s="311"/>
      <c r="N78" s="310"/>
      <c r="O78" s="310"/>
      <c r="P78" s="310"/>
      <c r="Q78" s="310"/>
      <c r="R78" s="311"/>
      <c r="S78" s="310"/>
      <c r="T78" s="310"/>
      <c r="U78" s="310"/>
      <c r="V78" s="310"/>
      <c r="W78" s="1648">
        <v>0</v>
      </c>
      <c r="X78" s="1648">
        <v>3.6789857154054091E-2</v>
      </c>
      <c r="Y78" s="1650">
        <v>1.1655428913947881E-5</v>
      </c>
      <c r="Z78" s="1650">
        <v>3.6128644939965697E-2</v>
      </c>
      <c r="AA78" s="1650">
        <v>3.6489931389365356E-2</v>
      </c>
      <c r="AB78" s="1649">
        <v>3.6854830703259012E-2</v>
      </c>
      <c r="AC78" s="1650">
        <v>4.1140434621231618E-2</v>
      </c>
      <c r="AD78" s="1650">
        <v>4.181000459286411E-2</v>
      </c>
      <c r="AE78" s="1650">
        <v>4.2642653555291288E-2</v>
      </c>
      <c r="AF78" s="1650">
        <v>4.2909844467788692E-2</v>
      </c>
      <c r="AG78" s="1649">
        <v>4.3595566907873307E-2</v>
      </c>
      <c r="AH78" s="1650">
        <v>4.2821721771478125E-2</v>
      </c>
      <c r="AI78" s="1650">
        <v>4.3332745753136476E-2</v>
      </c>
      <c r="AJ78" s="1650">
        <v>4.3849897645767202E-2</v>
      </c>
      <c r="AK78" s="1650">
        <v>4.4373251074419744E-2</v>
      </c>
      <c r="AL78" s="1649">
        <v>4.490288055625527E-2</v>
      </c>
    </row>
    <row r="79" spans="2:39" x14ac:dyDescent="0.3">
      <c r="B79" s="126"/>
      <c r="C79" s="300" t="str">
        <f>+CONCATENATE("Total ",C70)</f>
        <v>Total Recycled Water</v>
      </c>
      <c r="D79" s="126"/>
      <c r="E79" s="126"/>
      <c r="F79" s="126"/>
      <c r="G79" s="126"/>
      <c r="H79" s="126"/>
      <c r="I79" s="126"/>
      <c r="J79" s="126"/>
      <c r="K79" s="1527"/>
      <c r="L79" s="1527"/>
      <c r="M79" s="1527"/>
      <c r="N79" s="297"/>
      <c r="O79" s="297"/>
      <c r="P79" s="297"/>
      <c r="Q79" s="297"/>
      <c r="R79" s="297"/>
      <c r="S79" s="297"/>
      <c r="T79" s="297"/>
      <c r="U79" s="297"/>
      <c r="V79" s="297"/>
      <c r="W79" s="297">
        <f t="shared" ref="W79:AG79" si="55">+SUM(W71:W78)</f>
        <v>0.31843981900452489</v>
      </c>
      <c r="X79" s="297">
        <f t="shared" si="55"/>
        <v>0.57442566357151026</v>
      </c>
      <c r="Y79" s="297">
        <f t="shared" si="55"/>
        <v>0.42853865055596541</v>
      </c>
      <c r="Z79" s="297">
        <f t="shared" si="55"/>
        <v>0.46648456260720411</v>
      </c>
      <c r="AA79" s="297">
        <f t="shared" si="55"/>
        <v>0.47114940823327617</v>
      </c>
      <c r="AB79" s="297">
        <f t="shared" si="55"/>
        <v>0.4758609023156089</v>
      </c>
      <c r="AC79" s="297">
        <f t="shared" si="55"/>
        <v>0.53119561172707874</v>
      </c>
      <c r="AD79" s="297">
        <f t="shared" si="55"/>
        <v>0.53984094165492191</v>
      </c>
      <c r="AE79" s="297">
        <f t="shared" si="55"/>
        <v>0.55059190914037859</v>
      </c>
      <c r="AF79" s="297">
        <f t="shared" si="55"/>
        <v>0.55404181533409513</v>
      </c>
      <c r="AG79" s="297">
        <f t="shared" si="55"/>
        <v>0.5628957021340113</v>
      </c>
      <c r="AH79" s="297">
        <f t="shared" ref="AH79" si="56">+SUM(AH71:AH78)</f>
        <v>0.552903995814085</v>
      </c>
      <c r="AI79" s="297">
        <f t="shared" ref="AI79" si="57">+SUM(AI71:AI78)</f>
        <v>0.55950221722432092</v>
      </c>
      <c r="AJ79" s="297">
        <f t="shared" ref="AJ79" si="58">+SUM(AJ71:AJ78)</f>
        <v>0.56617956077917042</v>
      </c>
      <c r="AK79" s="297">
        <f t="shared" ref="AK79" si="59">+SUM(AK71:AK78)</f>
        <v>0.57293697710794889</v>
      </c>
      <c r="AL79" s="297">
        <f t="shared" ref="AL79" si="60">+SUM(AL71:AL78)</f>
        <v>0.57977542835870766</v>
      </c>
    </row>
    <row r="80" spans="2:39" x14ac:dyDescent="0.3">
      <c r="B80" s="126"/>
      <c r="C80" s="312"/>
      <c r="D80" s="126"/>
      <c r="E80" s="126"/>
      <c r="F80" s="126"/>
      <c r="G80" s="126"/>
      <c r="H80" s="126"/>
      <c r="I80" s="126"/>
      <c r="J80" s="126"/>
      <c r="K80" s="275"/>
      <c r="L80" s="275"/>
      <c r="M80" s="275"/>
      <c r="N80" s="297"/>
      <c r="O80" s="297"/>
      <c r="P80" s="297"/>
      <c r="Q80" s="297"/>
      <c r="R80" s="297"/>
      <c r="S80" s="297"/>
      <c r="T80" s="297"/>
      <c r="U80" s="297"/>
      <c r="V80" s="297"/>
      <c r="W80" s="297"/>
      <c r="X80" s="297"/>
      <c r="Y80" s="297"/>
      <c r="Z80" s="297"/>
      <c r="AA80" s="297"/>
      <c r="AB80" s="297"/>
      <c r="AC80" s="125"/>
      <c r="AD80" s="125"/>
      <c r="AE80" s="125"/>
      <c r="AF80" s="125"/>
      <c r="AG80" s="125"/>
      <c r="AH80" s="125"/>
      <c r="AI80" s="125"/>
      <c r="AJ80" s="125"/>
      <c r="AK80" s="125"/>
      <c r="AL80" s="125"/>
    </row>
    <row r="81" spans="2:39" x14ac:dyDescent="0.3">
      <c r="B81" s="126"/>
      <c r="C81" s="313" t="s">
        <v>353</v>
      </c>
      <c r="D81" s="77"/>
      <c r="E81" s="77"/>
      <c r="F81" s="77"/>
      <c r="G81" s="77"/>
      <c r="H81" s="77"/>
      <c r="I81" s="77"/>
      <c r="J81" s="77"/>
      <c r="K81" s="275"/>
      <c r="L81" s="275"/>
      <c r="M81" s="275"/>
      <c r="N81" s="297"/>
      <c r="O81" s="297"/>
      <c r="P81" s="297"/>
      <c r="Q81" s="297"/>
      <c r="R81" s="297"/>
      <c r="S81" s="297"/>
      <c r="T81" s="297"/>
      <c r="U81" s="297"/>
      <c r="V81" s="297"/>
      <c r="W81" s="297"/>
      <c r="X81" s="297"/>
      <c r="Y81" s="297"/>
      <c r="Z81" s="297"/>
      <c r="AA81" s="297"/>
      <c r="AB81" s="297"/>
      <c r="AC81" s="125"/>
      <c r="AD81" s="125"/>
      <c r="AE81" s="125"/>
      <c r="AF81" s="125"/>
      <c r="AG81" s="125"/>
      <c r="AH81" s="125"/>
      <c r="AI81" s="125"/>
      <c r="AJ81" s="125"/>
      <c r="AK81" s="125"/>
      <c r="AL81" s="125"/>
    </row>
    <row r="82" spans="2:39" x14ac:dyDescent="0.3">
      <c r="B82" s="126"/>
      <c r="C82" s="77"/>
      <c r="D82" s="1624" t="str">
        <f>+D60</f>
        <v>Operations &amp; Maintenance</v>
      </c>
      <c r="E82" s="77"/>
      <c r="F82" s="77"/>
      <c r="G82" s="77"/>
      <c r="H82" s="77"/>
      <c r="I82" s="77"/>
      <c r="J82" s="77"/>
      <c r="K82" s="304"/>
      <c r="L82" s="305"/>
      <c r="M82" s="306"/>
      <c r="N82" s="305"/>
      <c r="O82" s="305"/>
      <c r="P82" s="305"/>
      <c r="Q82" s="305"/>
      <c r="R82" s="306"/>
      <c r="S82" s="305"/>
      <c r="T82" s="305"/>
      <c r="U82" s="305"/>
      <c r="V82" s="305"/>
      <c r="W82" s="1994"/>
      <c r="X82" s="1643"/>
      <c r="Y82" s="1584"/>
      <c r="Z82" s="1584"/>
      <c r="AA82" s="1584"/>
      <c r="AB82" s="1644"/>
      <c r="AC82" s="1584"/>
      <c r="AD82" s="1584"/>
      <c r="AE82" s="1584"/>
      <c r="AF82" s="1584"/>
      <c r="AG82" s="1644"/>
      <c r="AH82" s="1584"/>
      <c r="AI82" s="1584"/>
      <c r="AJ82" s="1584"/>
      <c r="AK82" s="1584"/>
      <c r="AL82" s="1644"/>
    </row>
    <row r="83" spans="2:39" x14ac:dyDescent="0.3">
      <c r="B83" s="126"/>
      <c r="C83" s="77"/>
      <c r="D83" s="1624" t="str">
        <f t="shared" ref="D83:D89" si="61">+D61</f>
        <v>External bulk charges (excl. temporary purchases)</v>
      </c>
      <c r="E83" s="77"/>
      <c r="F83" s="77"/>
      <c r="G83" s="77"/>
      <c r="H83" s="77"/>
      <c r="I83" s="77"/>
      <c r="J83" s="77"/>
      <c r="K83" s="307"/>
      <c r="L83" s="275"/>
      <c r="M83" s="308"/>
      <c r="N83" s="275"/>
      <c r="O83" s="275"/>
      <c r="P83" s="275"/>
      <c r="Q83" s="275"/>
      <c r="R83" s="308"/>
      <c r="S83" s="275"/>
      <c r="T83" s="275"/>
      <c r="U83" s="275"/>
      <c r="V83" s="275"/>
      <c r="W83" s="1625">
        <f t="shared" ref="W83:AG83" si="62">+W134</f>
        <v>0</v>
      </c>
      <c r="X83" s="2129">
        <f t="shared" si="62"/>
        <v>0</v>
      </c>
      <c r="Y83" s="2130">
        <f t="shared" si="62"/>
        <v>0</v>
      </c>
      <c r="Z83" s="2130">
        <f t="shared" si="62"/>
        <v>0</v>
      </c>
      <c r="AA83" s="2130">
        <f t="shared" si="62"/>
        <v>0</v>
      </c>
      <c r="AB83" s="2131">
        <f t="shared" si="62"/>
        <v>0</v>
      </c>
      <c r="AC83" s="1622">
        <f t="shared" si="62"/>
        <v>0</v>
      </c>
      <c r="AD83" s="1622">
        <f t="shared" si="62"/>
        <v>0</v>
      </c>
      <c r="AE83" s="1622">
        <f t="shared" si="62"/>
        <v>0</v>
      </c>
      <c r="AF83" s="1622">
        <f t="shared" si="62"/>
        <v>0</v>
      </c>
      <c r="AG83" s="1623">
        <f t="shared" si="62"/>
        <v>0</v>
      </c>
      <c r="AH83" s="1622">
        <f t="shared" ref="AH83:AL83" si="63">+AH134</f>
        <v>0</v>
      </c>
      <c r="AI83" s="1622">
        <f t="shared" si="63"/>
        <v>0</v>
      </c>
      <c r="AJ83" s="1622">
        <f t="shared" si="63"/>
        <v>0</v>
      </c>
      <c r="AK83" s="1622">
        <f t="shared" si="63"/>
        <v>0</v>
      </c>
      <c r="AL83" s="1623">
        <f t="shared" si="63"/>
        <v>0</v>
      </c>
      <c r="AM83" s="285" t="s">
        <v>509</v>
      </c>
    </row>
    <row r="84" spans="2:39" x14ac:dyDescent="0.3">
      <c r="B84" s="126"/>
      <c r="C84" s="77"/>
      <c r="D84" s="1624" t="str">
        <f t="shared" si="61"/>
        <v>Treatment</v>
      </c>
      <c r="E84" s="77"/>
      <c r="F84" s="77"/>
      <c r="G84" s="77"/>
      <c r="H84" s="77"/>
      <c r="I84" s="77"/>
      <c r="J84" s="77"/>
      <c r="K84" s="307"/>
      <c r="L84" s="275"/>
      <c r="M84" s="308"/>
      <c r="N84" s="275"/>
      <c r="O84" s="275"/>
      <c r="P84" s="275"/>
      <c r="Q84" s="275"/>
      <c r="R84" s="308"/>
      <c r="S84" s="275"/>
      <c r="T84" s="275"/>
      <c r="U84" s="275"/>
      <c r="V84" s="275"/>
      <c r="W84" s="1995"/>
      <c r="X84" s="1645"/>
      <c r="Y84" s="1647"/>
      <c r="Z84" s="1647"/>
      <c r="AA84" s="1647"/>
      <c r="AB84" s="1646"/>
      <c r="AC84" s="1647"/>
      <c r="AD84" s="1647"/>
      <c r="AE84" s="1647"/>
      <c r="AF84" s="1647"/>
      <c r="AG84" s="1646"/>
      <c r="AH84" s="1647"/>
      <c r="AI84" s="1647"/>
      <c r="AJ84" s="1647"/>
      <c r="AK84" s="1647"/>
      <c r="AL84" s="1646"/>
    </row>
    <row r="85" spans="2:39" x14ac:dyDescent="0.3">
      <c r="B85" s="126"/>
      <c r="C85" s="77"/>
      <c r="D85" s="1624" t="str">
        <f t="shared" si="61"/>
        <v>Customer Service and billing</v>
      </c>
      <c r="E85" s="77"/>
      <c r="F85" s="77"/>
      <c r="G85" s="77"/>
      <c r="H85" s="77"/>
      <c r="I85" s="77"/>
      <c r="J85" s="77"/>
      <c r="K85" s="307"/>
      <c r="L85" s="275"/>
      <c r="M85" s="308"/>
      <c r="N85" s="275"/>
      <c r="O85" s="275"/>
      <c r="P85" s="275"/>
      <c r="Q85" s="275"/>
      <c r="R85" s="308"/>
      <c r="S85" s="275"/>
      <c r="T85" s="275"/>
      <c r="U85" s="275"/>
      <c r="V85" s="275"/>
      <c r="W85" s="1995"/>
      <c r="X85" s="1645"/>
      <c r="Y85" s="1647"/>
      <c r="Z85" s="1647"/>
      <c r="AA85" s="1647"/>
      <c r="AB85" s="1646"/>
      <c r="AC85" s="1647"/>
      <c r="AD85" s="1647"/>
      <c r="AE85" s="1647"/>
      <c r="AF85" s="1647"/>
      <c r="AG85" s="1646"/>
      <c r="AH85" s="1647"/>
      <c r="AI85" s="1647"/>
      <c r="AJ85" s="1647"/>
      <c r="AK85" s="1647"/>
      <c r="AL85" s="1646"/>
    </row>
    <row r="86" spans="2:39" x14ac:dyDescent="0.3">
      <c r="B86" s="126"/>
      <c r="C86" s="77"/>
      <c r="D86" s="1624" t="str">
        <f t="shared" si="61"/>
        <v>GSL Payments</v>
      </c>
      <c r="E86" s="77"/>
      <c r="F86" s="77"/>
      <c r="G86" s="77"/>
      <c r="H86" s="77"/>
      <c r="I86" s="77"/>
      <c r="J86" s="77"/>
      <c r="K86" s="307"/>
      <c r="L86" s="275"/>
      <c r="M86" s="308"/>
      <c r="N86" s="275"/>
      <c r="O86" s="275"/>
      <c r="P86" s="275"/>
      <c r="Q86" s="275"/>
      <c r="R86" s="308"/>
      <c r="S86" s="275"/>
      <c r="T86" s="275"/>
      <c r="U86" s="275"/>
      <c r="V86" s="275"/>
      <c r="W86" s="1995"/>
      <c r="X86" s="1645"/>
      <c r="Y86" s="1647"/>
      <c r="Z86" s="1647"/>
      <c r="AA86" s="1647"/>
      <c r="AB86" s="1646"/>
      <c r="AC86" s="1647"/>
      <c r="AD86" s="1647"/>
      <c r="AE86" s="1647"/>
      <c r="AF86" s="1647"/>
      <c r="AG86" s="1646"/>
      <c r="AH86" s="1647"/>
      <c r="AI86" s="1647"/>
      <c r="AJ86" s="1647"/>
      <c r="AK86" s="1647"/>
      <c r="AL86" s="1646"/>
    </row>
    <row r="87" spans="2:39" x14ac:dyDescent="0.3">
      <c r="B87" s="126"/>
      <c r="C87" s="77"/>
      <c r="D87" s="1624" t="str">
        <f t="shared" si="61"/>
        <v>Licence Fees</v>
      </c>
      <c r="E87" s="77"/>
      <c r="F87" s="77"/>
      <c r="G87" s="77"/>
      <c r="H87" s="77"/>
      <c r="I87" s="77"/>
      <c r="J87" s="77"/>
      <c r="K87" s="307"/>
      <c r="L87" s="275"/>
      <c r="M87" s="308"/>
      <c r="N87" s="275"/>
      <c r="O87" s="275"/>
      <c r="P87" s="275"/>
      <c r="Q87" s="275"/>
      <c r="R87" s="308"/>
      <c r="S87" s="275"/>
      <c r="T87" s="275"/>
      <c r="U87" s="275"/>
      <c r="V87" s="275"/>
      <c r="W87" s="1995"/>
      <c r="X87" s="1645"/>
      <c r="Y87" s="1647"/>
      <c r="Z87" s="1647"/>
      <c r="AA87" s="1647"/>
      <c r="AB87" s="1646"/>
      <c r="AC87" s="1647"/>
      <c r="AD87" s="1647"/>
      <c r="AE87" s="1647"/>
      <c r="AF87" s="1647"/>
      <c r="AG87" s="1646"/>
      <c r="AH87" s="1647"/>
      <c r="AI87" s="1647"/>
      <c r="AJ87" s="1647"/>
      <c r="AK87" s="1647"/>
      <c r="AL87" s="1646"/>
    </row>
    <row r="88" spans="2:39" x14ac:dyDescent="0.3">
      <c r="B88" s="126"/>
      <c r="C88" s="77"/>
      <c r="D88" s="1624" t="str">
        <f t="shared" si="61"/>
        <v>Corporate</v>
      </c>
      <c r="E88" s="77"/>
      <c r="F88" s="77"/>
      <c r="G88" s="77"/>
      <c r="H88" s="77"/>
      <c r="I88" s="77"/>
      <c r="J88" s="77"/>
      <c r="K88" s="307"/>
      <c r="L88" s="275"/>
      <c r="M88" s="308"/>
      <c r="N88" s="275"/>
      <c r="O88" s="275"/>
      <c r="P88" s="275"/>
      <c r="Q88" s="275"/>
      <c r="R88" s="308"/>
      <c r="S88" s="275"/>
      <c r="T88" s="275"/>
      <c r="U88" s="275"/>
      <c r="V88" s="275"/>
      <c r="W88" s="1995"/>
      <c r="X88" s="1645"/>
      <c r="Y88" s="1647"/>
      <c r="Z88" s="1647"/>
      <c r="AA88" s="1647"/>
      <c r="AB88" s="1646"/>
      <c r="AC88" s="1647"/>
      <c r="AD88" s="1647"/>
      <c r="AE88" s="1647"/>
      <c r="AF88" s="1647"/>
      <c r="AG88" s="1646"/>
      <c r="AH88" s="1647"/>
      <c r="AI88" s="1647"/>
      <c r="AJ88" s="1647"/>
      <c r="AK88" s="1647"/>
      <c r="AL88" s="1646"/>
    </row>
    <row r="89" spans="2:39" x14ac:dyDescent="0.3">
      <c r="B89" s="126"/>
      <c r="C89" s="77"/>
      <c r="D89" s="1624" t="str">
        <f t="shared" si="61"/>
        <v>Other operating expenditure</v>
      </c>
      <c r="E89" s="77"/>
      <c r="F89" s="77"/>
      <c r="G89" s="77"/>
      <c r="H89" s="77"/>
      <c r="I89" s="77"/>
      <c r="J89" s="77"/>
      <c r="K89" s="309"/>
      <c r="L89" s="310"/>
      <c r="M89" s="311"/>
      <c r="N89" s="310"/>
      <c r="O89" s="310"/>
      <c r="P89" s="310"/>
      <c r="Q89" s="310"/>
      <c r="R89" s="311"/>
      <c r="S89" s="310"/>
      <c r="T89" s="310"/>
      <c r="U89" s="310"/>
      <c r="V89" s="310"/>
      <c r="W89" s="1996"/>
      <c r="X89" s="1648"/>
      <c r="Y89" s="1650"/>
      <c r="Z89" s="1650"/>
      <c r="AA89" s="1650"/>
      <c r="AB89" s="1649"/>
      <c r="AC89" s="1650"/>
      <c r="AD89" s="1650"/>
      <c r="AE89" s="1650"/>
      <c r="AF89" s="1650"/>
      <c r="AG89" s="1649"/>
      <c r="AH89" s="1650"/>
      <c r="AI89" s="1650"/>
      <c r="AJ89" s="1650"/>
      <c r="AK89" s="1650"/>
      <c r="AL89" s="1649"/>
    </row>
    <row r="90" spans="2:39" x14ac:dyDescent="0.3">
      <c r="B90" s="126"/>
      <c r="C90" s="1626" t="str">
        <f>+CONCATENATE("Total ",C81)</f>
        <v>Total Rural Water</v>
      </c>
      <c r="D90" s="77"/>
      <c r="E90" s="77"/>
      <c r="F90" s="77"/>
      <c r="G90" s="77"/>
      <c r="H90" s="77"/>
      <c r="I90" s="77"/>
      <c r="J90" s="77"/>
      <c r="K90" s="1527"/>
      <c r="L90" s="1527"/>
      <c r="M90" s="1527"/>
      <c r="N90" s="297"/>
      <c r="O90" s="297"/>
      <c r="P90" s="297"/>
      <c r="Q90" s="297"/>
      <c r="R90" s="297"/>
      <c r="S90" s="297"/>
      <c r="T90" s="297"/>
      <c r="U90" s="297"/>
      <c r="V90" s="297"/>
      <c r="W90" s="297">
        <f t="shared" ref="W90:AG90" si="64">+SUM(W82:W89)</f>
        <v>0</v>
      </c>
      <c r="X90" s="297">
        <f t="shared" si="64"/>
        <v>0</v>
      </c>
      <c r="Y90" s="297">
        <f t="shared" si="64"/>
        <v>0</v>
      </c>
      <c r="Z90" s="297">
        <f t="shared" si="64"/>
        <v>0</v>
      </c>
      <c r="AA90" s="297">
        <f t="shared" si="64"/>
        <v>0</v>
      </c>
      <c r="AB90" s="297">
        <f t="shared" si="64"/>
        <v>0</v>
      </c>
      <c r="AC90" s="297">
        <f t="shared" si="64"/>
        <v>0</v>
      </c>
      <c r="AD90" s="297">
        <f t="shared" si="64"/>
        <v>0</v>
      </c>
      <c r="AE90" s="297">
        <f t="shared" si="64"/>
        <v>0</v>
      </c>
      <c r="AF90" s="297">
        <f t="shared" si="64"/>
        <v>0</v>
      </c>
      <c r="AG90" s="297">
        <f t="shared" si="64"/>
        <v>0</v>
      </c>
      <c r="AH90" s="297">
        <f t="shared" ref="AH90" si="65">+SUM(AH82:AH89)</f>
        <v>0</v>
      </c>
      <c r="AI90" s="297">
        <f t="shared" ref="AI90" si="66">+SUM(AI82:AI89)</f>
        <v>0</v>
      </c>
      <c r="AJ90" s="297">
        <f t="shared" ref="AJ90" si="67">+SUM(AJ82:AJ89)</f>
        <v>0</v>
      </c>
      <c r="AK90" s="297">
        <f t="shared" ref="AK90" si="68">+SUM(AK82:AK89)</f>
        <v>0</v>
      </c>
      <c r="AL90" s="297">
        <f t="shared" ref="AL90" si="69">+SUM(AL82:AL89)</f>
        <v>0</v>
      </c>
    </row>
    <row r="91" spans="2:39" x14ac:dyDescent="0.3">
      <c r="B91" s="126"/>
      <c r="C91" s="314"/>
      <c r="D91" s="77"/>
      <c r="E91" s="77"/>
      <c r="F91" s="77"/>
      <c r="G91" s="77"/>
      <c r="H91" s="77"/>
      <c r="I91" s="126"/>
      <c r="J91" s="126"/>
      <c r="K91" s="275"/>
      <c r="L91" s="275"/>
      <c r="M91" s="275"/>
      <c r="N91" s="297"/>
      <c r="O91" s="297"/>
      <c r="P91" s="297"/>
      <c r="Q91" s="297"/>
      <c r="R91" s="297"/>
      <c r="S91" s="297"/>
      <c r="T91" s="297"/>
      <c r="U91" s="297"/>
      <c r="V91" s="297"/>
      <c r="W91" s="297"/>
      <c r="X91" s="297"/>
      <c r="Y91" s="297"/>
      <c r="Z91" s="297"/>
      <c r="AA91" s="297"/>
      <c r="AB91" s="297"/>
      <c r="AC91" s="297"/>
      <c r="AD91" s="297"/>
      <c r="AE91" s="297"/>
      <c r="AF91" s="297"/>
      <c r="AG91" s="297"/>
      <c r="AH91" s="297"/>
      <c r="AI91" s="297"/>
      <c r="AJ91" s="297"/>
      <c r="AK91" s="297"/>
      <c r="AL91" s="297"/>
    </row>
    <row r="92" spans="2:39" x14ac:dyDescent="0.3">
      <c r="B92" s="126"/>
      <c r="C92" s="300" t="s">
        <v>700</v>
      </c>
      <c r="D92" s="126"/>
      <c r="E92" s="126"/>
      <c r="F92" s="126"/>
      <c r="G92" s="126"/>
      <c r="H92" s="126"/>
      <c r="I92" s="265"/>
      <c r="J92" s="265"/>
      <c r="K92" s="275"/>
      <c r="L92" s="275"/>
      <c r="M92" s="275"/>
      <c r="N92" s="297"/>
      <c r="O92" s="297"/>
      <c r="P92" s="297"/>
      <c r="Q92" s="297"/>
      <c r="R92" s="297"/>
      <c r="S92" s="297"/>
      <c r="T92" s="297"/>
      <c r="U92" s="297"/>
      <c r="V92" s="297"/>
      <c r="W92" s="297"/>
      <c r="X92" s="297"/>
      <c r="Y92" s="297"/>
      <c r="Z92" s="297"/>
      <c r="AA92" s="297"/>
      <c r="AB92" s="297"/>
      <c r="AC92" s="297"/>
      <c r="AD92" s="297"/>
      <c r="AE92" s="297"/>
      <c r="AF92" s="297"/>
      <c r="AG92" s="297"/>
      <c r="AH92" s="297"/>
      <c r="AI92" s="297"/>
      <c r="AJ92" s="297"/>
      <c r="AK92" s="297"/>
      <c r="AL92" s="297"/>
    </row>
    <row r="93" spans="2:39" x14ac:dyDescent="0.3">
      <c r="B93" s="126"/>
      <c r="C93" s="126"/>
      <c r="D93" s="126" t="s">
        <v>5</v>
      </c>
      <c r="E93" s="126"/>
      <c r="F93" s="126"/>
      <c r="G93" s="126"/>
      <c r="H93" s="126"/>
      <c r="I93" s="265"/>
      <c r="J93" s="265"/>
      <c r="K93" s="304"/>
      <c r="L93" s="305"/>
      <c r="M93" s="306"/>
      <c r="N93" s="305"/>
      <c r="O93" s="305"/>
      <c r="P93" s="305"/>
      <c r="Q93" s="305"/>
      <c r="R93" s="306"/>
      <c r="S93" s="305"/>
      <c r="T93" s="305"/>
      <c r="U93" s="305"/>
      <c r="V93" s="305"/>
      <c r="W93" s="1643"/>
      <c r="X93" s="1643"/>
      <c r="Y93" s="1584"/>
      <c r="Z93" s="1584"/>
      <c r="AA93" s="1584"/>
      <c r="AB93" s="1644"/>
      <c r="AC93" s="1584"/>
      <c r="AD93" s="1584"/>
      <c r="AE93" s="1584"/>
      <c r="AF93" s="1584"/>
      <c r="AG93" s="1644"/>
      <c r="AH93" s="1584"/>
      <c r="AI93" s="1584"/>
      <c r="AJ93" s="1584"/>
      <c r="AK93" s="1584"/>
      <c r="AL93" s="1644"/>
    </row>
    <row r="94" spans="2:39" x14ac:dyDescent="0.3">
      <c r="B94" s="126"/>
      <c r="C94" s="126"/>
      <c r="D94" s="126" t="s">
        <v>6</v>
      </c>
      <c r="E94" s="126"/>
      <c r="F94" s="126"/>
      <c r="G94" s="126"/>
      <c r="H94" s="126"/>
      <c r="I94" s="265"/>
      <c r="J94" s="265"/>
      <c r="K94" s="307"/>
      <c r="L94" s="275"/>
      <c r="M94" s="308"/>
      <c r="N94" s="275"/>
      <c r="O94" s="275"/>
      <c r="P94" s="275"/>
      <c r="Q94" s="275"/>
      <c r="R94" s="308"/>
      <c r="S94" s="275"/>
      <c r="T94" s="275"/>
      <c r="U94" s="275"/>
      <c r="V94" s="275"/>
      <c r="W94" s="1645"/>
      <c r="X94" s="1645"/>
      <c r="Y94" s="1647"/>
      <c r="Z94" s="1647"/>
      <c r="AA94" s="1647"/>
      <c r="AB94" s="1646"/>
      <c r="AC94" s="1647"/>
      <c r="AD94" s="1647"/>
      <c r="AE94" s="1647"/>
      <c r="AF94" s="1647"/>
      <c r="AG94" s="1646"/>
      <c r="AH94" s="1647"/>
      <c r="AI94" s="1647"/>
      <c r="AJ94" s="1647"/>
      <c r="AK94" s="1647"/>
      <c r="AL94" s="1646"/>
    </row>
    <row r="95" spans="2:39" x14ac:dyDescent="0.3">
      <c r="B95" s="126"/>
      <c r="C95" s="126"/>
      <c r="D95" s="126" t="s">
        <v>7</v>
      </c>
      <c r="E95" s="126"/>
      <c r="F95" s="126"/>
      <c r="G95" s="126"/>
      <c r="H95" s="126"/>
      <c r="I95" s="265"/>
      <c r="J95" s="265"/>
      <c r="K95" s="307"/>
      <c r="L95" s="275"/>
      <c r="M95" s="308"/>
      <c r="N95" s="275"/>
      <c r="O95" s="275"/>
      <c r="P95" s="275"/>
      <c r="Q95" s="275"/>
      <c r="R95" s="308"/>
      <c r="S95" s="275"/>
      <c r="T95" s="275"/>
      <c r="U95" s="275"/>
      <c r="V95" s="275"/>
      <c r="W95" s="1645"/>
      <c r="X95" s="1645"/>
      <c r="Y95" s="1647"/>
      <c r="Z95" s="1647"/>
      <c r="AA95" s="1647"/>
      <c r="AB95" s="1646"/>
      <c r="AC95" s="1647"/>
      <c r="AD95" s="1647"/>
      <c r="AE95" s="1647"/>
      <c r="AF95" s="1647"/>
      <c r="AG95" s="1646"/>
      <c r="AH95" s="1647"/>
      <c r="AI95" s="1647"/>
      <c r="AJ95" s="1647"/>
      <c r="AK95" s="1647"/>
      <c r="AL95" s="1646"/>
    </row>
    <row r="96" spans="2:39" x14ac:dyDescent="0.3">
      <c r="B96" s="126"/>
      <c r="C96" s="126"/>
      <c r="D96" s="126" t="s">
        <v>8</v>
      </c>
      <c r="E96" s="126"/>
      <c r="F96" s="126"/>
      <c r="G96" s="126"/>
      <c r="H96" s="126"/>
      <c r="I96" s="265"/>
      <c r="J96" s="265"/>
      <c r="K96" s="307"/>
      <c r="L96" s="275"/>
      <c r="M96" s="308"/>
      <c r="N96" s="275"/>
      <c r="O96" s="275"/>
      <c r="P96" s="275"/>
      <c r="Q96" s="275"/>
      <c r="R96" s="308"/>
      <c r="S96" s="275"/>
      <c r="T96" s="275"/>
      <c r="U96" s="275"/>
      <c r="V96" s="275"/>
      <c r="W96" s="1645"/>
      <c r="X96" s="1645"/>
      <c r="Y96" s="1647"/>
      <c r="Z96" s="1647"/>
      <c r="AA96" s="1647"/>
      <c r="AB96" s="1646"/>
      <c r="AC96" s="1647"/>
      <c r="AD96" s="1647"/>
      <c r="AE96" s="1647"/>
      <c r="AF96" s="1647"/>
      <c r="AG96" s="1646"/>
      <c r="AH96" s="1647"/>
      <c r="AI96" s="1647"/>
      <c r="AJ96" s="1647"/>
      <c r="AK96" s="1647"/>
      <c r="AL96" s="1646"/>
    </row>
    <row r="97" spans="2:52" x14ac:dyDescent="0.3">
      <c r="B97" s="126"/>
      <c r="C97" s="126"/>
      <c r="D97" s="126" t="s">
        <v>9</v>
      </c>
      <c r="E97" s="126"/>
      <c r="F97" s="126"/>
      <c r="G97" s="126"/>
      <c r="H97" s="126"/>
      <c r="I97" s="265"/>
      <c r="J97" s="265"/>
      <c r="K97" s="307"/>
      <c r="L97" s="275"/>
      <c r="M97" s="308"/>
      <c r="N97" s="275"/>
      <c r="O97" s="275"/>
      <c r="P97" s="275"/>
      <c r="Q97" s="275"/>
      <c r="R97" s="308"/>
      <c r="S97" s="275"/>
      <c r="T97" s="275"/>
      <c r="U97" s="275"/>
      <c r="V97" s="275"/>
      <c r="W97" s="1645"/>
      <c r="X97" s="1645"/>
      <c r="Y97" s="1647"/>
      <c r="Z97" s="1647"/>
      <c r="AA97" s="1647"/>
      <c r="AB97" s="1646"/>
      <c r="AC97" s="1647"/>
      <c r="AD97" s="1647"/>
      <c r="AE97" s="1647"/>
      <c r="AF97" s="1647"/>
      <c r="AG97" s="1646"/>
      <c r="AH97" s="1647"/>
      <c r="AI97" s="1647"/>
      <c r="AJ97" s="1647"/>
      <c r="AK97" s="1647"/>
      <c r="AL97" s="1646"/>
    </row>
    <row r="98" spans="2:52" x14ac:dyDescent="0.3">
      <c r="B98" s="126"/>
      <c r="C98" s="126"/>
      <c r="D98" s="126" t="s">
        <v>10</v>
      </c>
      <c r="E98" s="126"/>
      <c r="F98" s="126"/>
      <c r="G98" s="126"/>
      <c r="H98" s="126"/>
      <c r="I98" s="265"/>
      <c r="J98" s="265"/>
      <c r="K98" s="307"/>
      <c r="L98" s="275"/>
      <c r="M98" s="308"/>
      <c r="N98" s="275"/>
      <c r="O98" s="275"/>
      <c r="P98" s="275"/>
      <c r="Q98" s="275"/>
      <c r="R98" s="308"/>
      <c r="S98" s="275"/>
      <c r="T98" s="275"/>
      <c r="U98" s="275"/>
      <c r="V98" s="275"/>
      <c r="W98" s="1645"/>
      <c r="X98" s="1645"/>
      <c r="Y98" s="1647"/>
      <c r="Z98" s="1647"/>
      <c r="AA98" s="1647"/>
      <c r="AB98" s="1646"/>
      <c r="AC98" s="1647"/>
      <c r="AD98" s="1647"/>
      <c r="AE98" s="1647"/>
      <c r="AF98" s="1647"/>
      <c r="AG98" s="1646"/>
      <c r="AH98" s="1647"/>
      <c r="AI98" s="1647"/>
      <c r="AJ98" s="1647"/>
      <c r="AK98" s="1647"/>
      <c r="AL98" s="1646"/>
    </row>
    <row r="99" spans="2:52" x14ac:dyDescent="0.3">
      <c r="B99" s="126"/>
      <c r="C99" s="126"/>
      <c r="D99" s="126" t="s">
        <v>11</v>
      </c>
      <c r="E99" s="126"/>
      <c r="F99" s="126"/>
      <c r="G99" s="126"/>
      <c r="H99" s="126"/>
      <c r="I99" s="265"/>
      <c r="J99" s="265"/>
      <c r="K99" s="309"/>
      <c r="L99" s="310"/>
      <c r="M99" s="311"/>
      <c r="N99" s="310"/>
      <c r="O99" s="310"/>
      <c r="P99" s="310"/>
      <c r="Q99" s="310"/>
      <c r="R99" s="311"/>
      <c r="S99" s="310"/>
      <c r="T99" s="310"/>
      <c r="U99" s="310"/>
      <c r="V99" s="310"/>
      <c r="W99" s="1648"/>
      <c r="X99" s="1648"/>
      <c r="Y99" s="1650"/>
      <c r="Z99" s="1650"/>
      <c r="AA99" s="1650"/>
      <c r="AB99" s="1649"/>
      <c r="AC99" s="1650"/>
      <c r="AD99" s="1650"/>
      <c r="AE99" s="1650"/>
      <c r="AF99" s="1650"/>
      <c r="AG99" s="1649"/>
      <c r="AH99" s="1650"/>
      <c r="AI99" s="1650"/>
      <c r="AJ99" s="1650"/>
      <c r="AK99" s="1650"/>
      <c r="AL99" s="1649"/>
    </row>
    <row r="100" spans="2:52" s="265" customFormat="1" x14ac:dyDescent="0.3">
      <c r="C100" s="300" t="s">
        <v>355</v>
      </c>
      <c r="D100" s="126"/>
      <c r="E100" s="126"/>
      <c r="F100" s="126"/>
      <c r="G100" s="126"/>
      <c r="H100" s="126"/>
      <c r="K100" s="1527"/>
      <c r="L100" s="1527"/>
      <c r="M100" s="1527"/>
      <c r="N100" s="1527"/>
      <c r="O100" s="1527"/>
      <c r="P100" s="1527"/>
      <c r="Q100" s="1527"/>
      <c r="R100" s="1527"/>
      <c r="S100" s="1527"/>
      <c r="T100" s="1527"/>
      <c r="U100" s="1527"/>
      <c r="V100" s="1527"/>
      <c r="W100" s="1527">
        <f t="shared" ref="W100:AG100" si="70">+SUM(W93:W99)</f>
        <v>0</v>
      </c>
      <c r="X100" s="2132">
        <f t="shared" si="70"/>
        <v>0</v>
      </c>
      <c r="Y100" s="2132">
        <f t="shared" si="70"/>
        <v>0</v>
      </c>
      <c r="Z100" s="2132">
        <f t="shared" si="70"/>
        <v>0</v>
      </c>
      <c r="AA100" s="2132">
        <f t="shared" si="70"/>
        <v>0</v>
      </c>
      <c r="AB100" s="2132">
        <f t="shared" si="70"/>
        <v>0</v>
      </c>
      <c r="AC100" s="1527">
        <f t="shared" si="70"/>
        <v>0</v>
      </c>
      <c r="AD100" s="1527">
        <f t="shared" si="70"/>
        <v>0</v>
      </c>
      <c r="AE100" s="1527">
        <f t="shared" si="70"/>
        <v>0</v>
      </c>
      <c r="AF100" s="1527">
        <f t="shared" si="70"/>
        <v>0</v>
      </c>
      <c r="AG100" s="1527">
        <f t="shared" si="70"/>
        <v>0</v>
      </c>
      <c r="AH100" s="1527">
        <f t="shared" ref="AH100" si="71">+SUM(AH93:AH99)</f>
        <v>0</v>
      </c>
      <c r="AI100" s="1527">
        <f t="shared" ref="AI100" si="72">+SUM(AI93:AI99)</f>
        <v>0</v>
      </c>
      <c r="AJ100" s="1527">
        <f t="shared" ref="AJ100" si="73">+SUM(AJ93:AJ99)</f>
        <v>0</v>
      </c>
      <c r="AK100" s="1527">
        <f t="shared" ref="AK100" si="74">+SUM(AK93:AK99)</f>
        <v>0</v>
      </c>
      <c r="AL100" s="1527">
        <f t="shared" ref="AL100" si="75">+SUM(AL93:AL99)</f>
        <v>0</v>
      </c>
      <c r="AN100" s="73"/>
      <c r="AO100" s="73"/>
      <c r="AP100" s="73"/>
      <c r="AQ100" s="73"/>
      <c r="AR100" s="73"/>
      <c r="AS100" s="73"/>
      <c r="AT100" s="73"/>
      <c r="AU100" s="73"/>
      <c r="AV100" s="73"/>
      <c r="AW100" s="73"/>
      <c r="AX100" s="73"/>
      <c r="AY100" s="73"/>
      <c r="AZ100" s="73"/>
    </row>
    <row r="101" spans="2:52" x14ac:dyDescent="0.3">
      <c r="B101" s="126"/>
      <c r="C101" s="126"/>
      <c r="D101" s="126"/>
      <c r="E101" s="126"/>
      <c r="F101" s="126"/>
      <c r="G101" s="126"/>
      <c r="H101" s="126"/>
      <c r="I101" s="126"/>
      <c r="J101" s="126"/>
      <c r="K101" s="275"/>
      <c r="L101" s="275"/>
      <c r="M101" s="275"/>
      <c r="N101" s="297"/>
      <c r="O101" s="297"/>
      <c r="P101" s="297"/>
      <c r="Q101" s="297"/>
      <c r="R101" s="297"/>
      <c r="S101" s="297"/>
      <c r="T101" s="297"/>
      <c r="U101" s="297"/>
      <c r="V101" s="297"/>
      <c r="W101" s="297"/>
      <c r="X101" s="2024"/>
      <c r="Y101" s="2024"/>
      <c r="Z101" s="2024"/>
      <c r="AA101" s="2024"/>
      <c r="AB101" s="2024"/>
      <c r="AC101" s="297"/>
      <c r="AD101" s="297"/>
      <c r="AE101" s="297"/>
      <c r="AF101" s="297"/>
      <c r="AG101" s="297"/>
      <c r="AH101" s="297"/>
      <c r="AI101" s="297"/>
      <c r="AJ101" s="297"/>
      <c r="AK101" s="297"/>
      <c r="AL101" s="297"/>
    </row>
    <row r="102" spans="2:52" s="72" customFormat="1" x14ac:dyDescent="0.3">
      <c r="B102" s="102"/>
      <c r="C102" s="300" t="s">
        <v>390</v>
      </c>
      <c r="D102" s="102"/>
      <c r="E102" s="102"/>
      <c r="F102" s="102"/>
      <c r="G102" s="102"/>
      <c r="H102" s="102"/>
      <c r="I102" s="102"/>
      <c r="J102" s="102"/>
      <c r="K102" s="316"/>
      <c r="L102" s="317"/>
      <c r="M102" s="318"/>
      <c r="N102" s="316"/>
      <c r="O102" s="317"/>
      <c r="P102" s="317"/>
      <c r="Q102" s="317"/>
      <c r="R102" s="318"/>
      <c r="S102" s="316"/>
      <c r="T102" s="317"/>
      <c r="U102" s="317"/>
      <c r="V102" s="317"/>
      <c r="W102" s="1548"/>
      <c r="X102" s="1548"/>
      <c r="Y102" s="1557"/>
      <c r="Z102" s="1557"/>
      <c r="AA102" s="1557"/>
      <c r="AB102" s="1558"/>
      <c r="AC102" s="1557"/>
      <c r="AD102" s="1557"/>
      <c r="AE102" s="1557"/>
      <c r="AF102" s="1557"/>
      <c r="AG102" s="1558"/>
      <c r="AH102" s="1557"/>
      <c r="AI102" s="1557"/>
      <c r="AJ102" s="1557"/>
      <c r="AK102" s="1557"/>
      <c r="AL102" s="1558"/>
      <c r="AN102" s="73"/>
      <c r="AO102" s="73"/>
      <c r="AP102" s="73"/>
      <c r="AQ102" s="73"/>
      <c r="AR102" s="73"/>
      <c r="AS102" s="73"/>
      <c r="AT102" s="73"/>
      <c r="AU102" s="73"/>
      <c r="AV102" s="73"/>
      <c r="AW102" s="73"/>
      <c r="AX102" s="73"/>
      <c r="AY102" s="73"/>
      <c r="AZ102" s="73"/>
    </row>
    <row r="103" spans="2:52" x14ac:dyDescent="0.3">
      <c r="B103" s="126"/>
      <c r="C103" s="126"/>
      <c r="D103" s="126"/>
      <c r="E103" s="126"/>
      <c r="F103" s="126"/>
      <c r="G103" s="126"/>
      <c r="H103" s="126"/>
      <c r="I103" s="126"/>
      <c r="J103" s="126"/>
      <c r="K103" s="275"/>
      <c r="L103" s="275"/>
      <c r="M103" s="275"/>
      <c r="N103" s="275"/>
      <c r="O103" s="275"/>
      <c r="P103" s="275"/>
      <c r="Q103" s="275"/>
      <c r="R103" s="297"/>
      <c r="S103" s="297"/>
      <c r="T103" s="297"/>
      <c r="U103" s="297"/>
      <c r="V103" s="297"/>
      <c r="W103" s="297"/>
      <c r="X103" s="2024"/>
      <c r="Y103" s="2024"/>
      <c r="Z103" s="2024"/>
      <c r="AA103" s="2024"/>
      <c r="AB103" s="2024"/>
      <c r="AC103" s="297"/>
      <c r="AD103" s="297"/>
      <c r="AE103" s="297"/>
      <c r="AF103" s="297"/>
      <c r="AG103" s="297"/>
      <c r="AH103" s="297"/>
      <c r="AI103" s="297"/>
      <c r="AJ103" s="297"/>
      <c r="AK103" s="297"/>
      <c r="AL103" s="297"/>
    </row>
    <row r="104" spans="2:52" x14ac:dyDescent="0.3">
      <c r="B104" s="126"/>
      <c r="C104" s="312"/>
      <c r="D104" s="126"/>
      <c r="E104" s="126"/>
      <c r="F104" s="126"/>
      <c r="G104" s="126"/>
      <c r="H104" s="126"/>
      <c r="I104" s="126"/>
      <c r="J104" s="126"/>
      <c r="K104" s="275"/>
      <c r="L104" s="275"/>
      <c r="M104" s="275"/>
      <c r="N104" s="275"/>
      <c r="O104" s="275"/>
      <c r="P104" s="275"/>
      <c r="Q104" s="275"/>
      <c r="R104" s="297"/>
      <c r="S104" s="297"/>
      <c r="T104" s="297"/>
      <c r="U104" s="297"/>
      <c r="V104" s="297"/>
      <c r="W104" s="297"/>
      <c r="X104" s="2024"/>
      <c r="Y104" s="2024"/>
      <c r="Z104" s="2024"/>
      <c r="AA104" s="2024"/>
      <c r="AB104" s="2024"/>
      <c r="AC104" s="297"/>
      <c r="AD104" s="297"/>
      <c r="AE104" s="297"/>
      <c r="AF104" s="297"/>
      <c r="AG104" s="297"/>
      <c r="AH104" s="297"/>
      <c r="AI104" s="297"/>
      <c r="AJ104" s="297"/>
      <c r="AK104" s="297"/>
      <c r="AL104" s="297"/>
    </row>
    <row r="105" spans="2:52" x14ac:dyDescent="0.3">
      <c r="B105" s="126"/>
      <c r="C105" s="300" t="s">
        <v>15</v>
      </c>
      <c r="D105" s="126"/>
      <c r="E105" s="126"/>
      <c r="F105" s="126"/>
      <c r="G105" s="126"/>
      <c r="H105" s="126"/>
      <c r="I105" s="126"/>
      <c r="J105" s="126"/>
      <c r="K105" s="275"/>
      <c r="L105" s="275"/>
      <c r="M105" s="275"/>
      <c r="N105" s="310"/>
      <c r="O105" s="275"/>
      <c r="P105" s="275"/>
      <c r="Q105" s="275"/>
      <c r="R105" s="297"/>
      <c r="S105" s="297"/>
      <c r="T105" s="297"/>
      <c r="U105" s="297"/>
      <c r="V105" s="297"/>
      <c r="W105" s="297"/>
      <c r="X105" s="2024"/>
      <c r="Y105" s="2024"/>
      <c r="Z105" s="2024"/>
      <c r="AA105" s="2024"/>
      <c r="AB105" s="2024"/>
      <c r="AC105" s="297"/>
      <c r="AD105" s="297"/>
      <c r="AE105" s="297"/>
      <c r="AF105" s="297"/>
      <c r="AG105" s="297"/>
      <c r="AH105" s="297"/>
      <c r="AI105" s="297"/>
      <c r="AJ105" s="297"/>
      <c r="AK105" s="297"/>
      <c r="AL105" s="297"/>
    </row>
    <row r="106" spans="2:52" x14ac:dyDescent="0.3">
      <c r="B106" s="126"/>
      <c r="C106" s="312"/>
      <c r="D106" s="303" t="s">
        <v>4</v>
      </c>
      <c r="E106" s="126"/>
      <c r="F106" s="126"/>
      <c r="G106" s="126"/>
      <c r="H106" s="126"/>
      <c r="I106" s="126"/>
      <c r="J106" s="126"/>
      <c r="K106" s="304"/>
      <c r="L106" s="305"/>
      <c r="M106" s="306"/>
      <c r="N106" s="304"/>
      <c r="O106" s="305"/>
      <c r="P106" s="305"/>
      <c r="Q106" s="305"/>
      <c r="R106" s="306"/>
      <c r="S106" s="304"/>
      <c r="T106" s="305"/>
      <c r="U106" s="305"/>
      <c r="V106" s="305"/>
      <c r="W106" s="1643">
        <v>5.6063348416289592E-2</v>
      </c>
      <c r="X106" s="1643">
        <v>0.18045825932504445</v>
      </c>
      <c r="Y106" s="1584">
        <v>4.5852773006134974E-2</v>
      </c>
      <c r="Z106" s="1584">
        <v>6.5881646655231565E-2</v>
      </c>
      <c r="AA106" s="1584">
        <v>6.6540463121783883E-2</v>
      </c>
      <c r="AB106" s="1644">
        <v>6.7205867753001719E-2</v>
      </c>
      <c r="AC106" s="1584">
        <v>7.5020784744298713E-2</v>
      </c>
      <c r="AD106" s="1584">
        <v>7.6241764030176934E-2</v>
      </c>
      <c r="AE106" s="1584">
        <v>7.7760123056028335E-2</v>
      </c>
      <c r="AF106" s="1584">
        <v>7.8247353906798933E-2</v>
      </c>
      <c r="AG106" s="1644">
        <v>7.9497788439508332E-2</v>
      </c>
      <c r="AH106" s="1584">
        <v>7.8086661563642218E-2</v>
      </c>
      <c r="AI106" s="1584">
        <v>7.9018528670476679E-2</v>
      </c>
      <c r="AJ106" s="1584">
        <v>7.9961570199979515E-2</v>
      </c>
      <c r="AK106" s="1584">
        <v>8.0915920409421083E-2</v>
      </c>
      <c r="AL106" s="1644">
        <v>8.1881715182869338E-2</v>
      </c>
      <c r="AO106" s="1309"/>
      <c r="AP106" s="1311"/>
      <c r="AQ106" s="1311"/>
      <c r="AR106" s="1311"/>
      <c r="AS106" s="1311"/>
      <c r="AT106" s="1311"/>
      <c r="AU106" s="1311"/>
      <c r="AV106" s="1311"/>
      <c r="AW106" s="1311"/>
      <c r="AX106" s="1311"/>
    </row>
    <row r="107" spans="2:52" x14ac:dyDescent="0.3">
      <c r="B107" s="126"/>
      <c r="C107" s="312"/>
      <c r="D107" s="303" t="s">
        <v>16</v>
      </c>
      <c r="E107" s="126"/>
      <c r="F107" s="126"/>
      <c r="G107" s="126"/>
      <c r="H107" s="126"/>
      <c r="I107" s="126"/>
      <c r="J107" s="126"/>
      <c r="K107" s="307"/>
      <c r="L107" s="275"/>
      <c r="M107" s="308"/>
      <c r="N107" s="307"/>
      <c r="O107" s="275"/>
      <c r="P107" s="275"/>
      <c r="Q107" s="275"/>
      <c r="R107" s="308"/>
      <c r="S107" s="307"/>
      <c r="T107" s="275"/>
      <c r="U107" s="275"/>
      <c r="V107" s="275"/>
      <c r="W107" s="1645">
        <v>3.7001809954751129E-2</v>
      </c>
      <c r="X107" s="1645">
        <v>0</v>
      </c>
      <c r="Y107" s="1647">
        <v>3.6892012269938657E-2</v>
      </c>
      <c r="Z107" s="1647">
        <v>3.6128644939965697E-2</v>
      </c>
      <c r="AA107" s="1647">
        <v>3.6489931389365356E-2</v>
      </c>
      <c r="AB107" s="1646">
        <v>3.6854830703259012E-2</v>
      </c>
      <c r="AC107" s="1647">
        <v>4.1140430343647685E-2</v>
      </c>
      <c r="AD107" s="1647">
        <v>4.1809999629451866E-2</v>
      </c>
      <c r="AE107" s="1647">
        <v>4.2642648127499405E-2</v>
      </c>
      <c r="AF107" s="1647">
        <v>4.2909839239212315E-2</v>
      </c>
      <c r="AG107" s="1646">
        <v>4.3595561402311016E-2</v>
      </c>
      <c r="AH107" s="1647">
        <v>4.2821717631674763E-2</v>
      </c>
      <c r="AI107" s="1647">
        <v>4.3332741528971083E-2</v>
      </c>
      <c r="AJ107" s="1647">
        <v>4.384989333547263E-2</v>
      </c>
      <c r="AK107" s="1647">
        <v>4.437324667613414E-2</v>
      </c>
      <c r="AL107" s="1646">
        <v>4.4902876068025122E-2</v>
      </c>
      <c r="AO107" s="1309"/>
      <c r="AP107" s="1311"/>
      <c r="AQ107" s="1311"/>
      <c r="AR107" s="1311"/>
      <c r="AS107" s="1311"/>
      <c r="AT107" s="1311"/>
      <c r="AU107" s="1311"/>
      <c r="AV107" s="1311"/>
      <c r="AW107" s="1311"/>
      <c r="AX107" s="1311"/>
    </row>
    <row r="108" spans="2:52" x14ac:dyDescent="0.3">
      <c r="B108" s="126"/>
      <c r="C108" s="312"/>
      <c r="D108" s="303" t="s">
        <v>17</v>
      </c>
      <c r="E108" s="126"/>
      <c r="F108" s="126"/>
      <c r="G108" s="126"/>
      <c r="H108" s="126"/>
      <c r="I108" s="126"/>
      <c r="J108" s="126"/>
      <c r="K108" s="309"/>
      <c r="L108" s="310"/>
      <c r="M108" s="311"/>
      <c r="N108" s="309"/>
      <c r="O108" s="310"/>
      <c r="P108" s="310"/>
      <c r="Q108" s="310"/>
      <c r="R108" s="311"/>
      <c r="S108" s="309"/>
      <c r="T108" s="310"/>
      <c r="U108" s="310"/>
      <c r="V108" s="310"/>
      <c r="W108" s="1648">
        <v>0</v>
      </c>
      <c r="X108" s="1648">
        <v>0</v>
      </c>
      <c r="Y108" s="1650">
        <v>0.19433783411042943</v>
      </c>
      <c r="Z108" s="1650">
        <v>0.21039622641509437</v>
      </c>
      <c r="AA108" s="1650">
        <v>0.21132831679389313</v>
      </c>
      <c r="AB108" s="1649">
        <v>0.21344159996183207</v>
      </c>
      <c r="AC108" s="1650">
        <v>0.23826128374780381</v>
      </c>
      <c r="AD108" s="1650">
        <v>0.24213903700077719</v>
      </c>
      <c r="AE108" s="1650">
        <v>0.24696124956390175</v>
      </c>
      <c r="AF108" s="1650">
        <v>0.24850866403552868</v>
      </c>
      <c r="AG108" s="1649">
        <v>0.25247996529585798</v>
      </c>
      <c r="AH108" s="1650">
        <v>0.24799831528218708</v>
      </c>
      <c r="AI108" s="1650">
        <v>0.25095786647741242</v>
      </c>
      <c r="AJ108" s="1650">
        <v>0.25395290693470263</v>
      </c>
      <c r="AK108" s="1650">
        <v>0.25698386304668613</v>
      </c>
      <c r="AL108" s="1649">
        <v>0.26005116637259795</v>
      </c>
      <c r="AO108" s="1309"/>
      <c r="AP108" s="1311"/>
      <c r="AQ108" s="1311"/>
      <c r="AR108" s="1311"/>
      <c r="AS108" s="1311"/>
      <c r="AT108" s="1311"/>
      <c r="AU108" s="1311"/>
      <c r="AV108" s="1311"/>
      <c r="AW108" s="1311"/>
      <c r="AX108" s="1311"/>
    </row>
    <row r="109" spans="2:52" x14ac:dyDescent="0.3">
      <c r="B109" s="126"/>
      <c r="C109" s="300" t="str">
        <f>+CONCATENATE("Total ",C105)</f>
        <v>Total Licence fees</v>
      </c>
      <c r="D109" s="319"/>
      <c r="E109" s="126"/>
      <c r="F109" s="126"/>
      <c r="G109" s="126"/>
      <c r="H109" s="126"/>
      <c r="I109" s="126"/>
      <c r="J109" s="126"/>
      <c r="K109" s="1527"/>
      <c r="L109" s="1527"/>
      <c r="M109" s="1527"/>
      <c r="N109" s="1527"/>
      <c r="O109" s="1527"/>
      <c r="P109" s="1527"/>
      <c r="Q109" s="1527"/>
      <c r="R109" s="1527"/>
      <c r="S109" s="1527"/>
      <c r="T109" s="1527"/>
      <c r="U109" s="1527"/>
      <c r="V109" s="1527"/>
      <c r="W109" s="297">
        <f t="shared" ref="W109:AG109" si="76">+SUM(W106:W108)</f>
        <v>9.3065158371040721E-2</v>
      </c>
      <c r="X109" s="2024">
        <f t="shared" si="76"/>
        <v>0.18045825932504445</v>
      </c>
      <c r="Y109" s="2024">
        <f t="shared" si="76"/>
        <v>0.27708261938650303</v>
      </c>
      <c r="Z109" s="2024">
        <f t="shared" si="76"/>
        <v>0.31240651801029162</v>
      </c>
      <c r="AA109" s="2024">
        <f t="shared" si="76"/>
        <v>0.31435871130504234</v>
      </c>
      <c r="AB109" s="2024">
        <f t="shared" si="76"/>
        <v>0.3175022984180928</v>
      </c>
      <c r="AC109" s="297">
        <f t="shared" si="76"/>
        <v>0.35442249883575022</v>
      </c>
      <c r="AD109" s="297">
        <f t="shared" si="76"/>
        <v>0.36019080066040599</v>
      </c>
      <c r="AE109" s="297">
        <f t="shared" si="76"/>
        <v>0.36736402074742946</v>
      </c>
      <c r="AF109" s="297">
        <f t="shared" si="76"/>
        <v>0.36966585718153994</v>
      </c>
      <c r="AG109" s="297">
        <f t="shared" si="76"/>
        <v>0.37557331513767733</v>
      </c>
      <c r="AH109" s="297">
        <f t="shared" ref="AH109" si="77">+SUM(AH106:AH108)</f>
        <v>0.36890669447750407</v>
      </c>
      <c r="AI109" s="297">
        <f t="shared" ref="AI109" si="78">+SUM(AI106:AI108)</f>
        <v>0.37330913667686016</v>
      </c>
      <c r="AJ109" s="297">
        <f t="shared" ref="AJ109" si="79">+SUM(AJ106:AJ108)</f>
        <v>0.37776437047015476</v>
      </c>
      <c r="AK109" s="297">
        <f t="shared" ref="AK109" si="80">+SUM(AK106:AK108)</f>
        <v>0.38227303013224134</v>
      </c>
      <c r="AL109" s="297">
        <f t="shared" ref="AL109" si="81">+SUM(AL106:AL108)</f>
        <v>0.38683575762349243</v>
      </c>
      <c r="AO109" s="126"/>
      <c r="AP109" s="1311"/>
      <c r="AQ109" s="1311"/>
      <c r="AR109" s="1311"/>
      <c r="AS109" s="1311"/>
      <c r="AT109" s="1311"/>
      <c r="AU109" s="1311"/>
      <c r="AV109" s="1311"/>
      <c r="AW109" s="1311"/>
      <c r="AX109" s="1311"/>
    </row>
    <row r="110" spans="2:52" x14ac:dyDescent="0.3">
      <c r="K110" s="320"/>
      <c r="L110" s="320"/>
      <c r="M110" s="320"/>
      <c r="N110" s="320"/>
      <c r="O110" s="320"/>
      <c r="P110" s="320"/>
      <c r="Q110" s="320"/>
      <c r="R110" s="320"/>
      <c r="S110" s="320"/>
      <c r="T110" s="320"/>
      <c r="U110" s="320"/>
      <c r="V110" s="320"/>
      <c r="W110" s="294"/>
      <c r="X110" s="2133"/>
      <c r="Y110" s="2133"/>
      <c r="Z110" s="2133"/>
      <c r="AA110" s="2133"/>
      <c r="AB110" s="2134"/>
      <c r="AC110" s="462"/>
      <c r="AD110" s="462"/>
      <c r="AE110" s="462"/>
      <c r="AF110" s="462"/>
      <c r="AG110" s="462"/>
      <c r="AH110" s="462"/>
      <c r="AI110" s="462"/>
      <c r="AJ110" s="462"/>
      <c r="AK110" s="462"/>
      <c r="AL110" s="462"/>
      <c r="AO110" s="126"/>
      <c r="AP110" s="1311"/>
      <c r="AQ110" s="1311"/>
      <c r="AR110" s="1311"/>
      <c r="AS110" s="1311"/>
      <c r="AT110" s="1311"/>
      <c r="AU110" s="1311"/>
      <c r="AV110" s="1311"/>
      <c r="AW110" s="1311"/>
      <c r="AX110" s="1311"/>
    </row>
    <row r="111" spans="2:52" x14ac:dyDescent="0.3">
      <c r="C111" s="300" t="s">
        <v>328</v>
      </c>
      <c r="K111" s="316"/>
      <c r="L111" s="317"/>
      <c r="M111" s="318"/>
      <c r="N111" s="316"/>
      <c r="O111" s="317"/>
      <c r="P111" s="317"/>
      <c r="Q111" s="317"/>
      <c r="R111" s="318"/>
      <c r="S111" s="316"/>
      <c r="T111" s="317"/>
      <c r="U111" s="317"/>
      <c r="V111" s="317"/>
      <c r="W111" s="1601">
        <v>3.5017167420814479</v>
      </c>
      <c r="X111" s="1548">
        <v>4.3651048348134998</v>
      </c>
      <c r="Y111" s="1557">
        <v>4.3077195828220862</v>
      </c>
      <c r="Z111" s="1557">
        <v>4.7519794168096059</v>
      </c>
      <c r="AA111" s="1557">
        <v>4.6995826972010182</v>
      </c>
      <c r="AB111" s="1558">
        <v>4.6008914605597964</v>
      </c>
      <c r="AC111" s="1557">
        <v>4.9298525622029192</v>
      </c>
      <c r="AD111" s="1557">
        <v>6.0635470838900023</v>
      </c>
      <c r="AE111" s="1557">
        <v>5.9943256942346048</v>
      </c>
      <c r="AF111" s="1557">
        <v>5.8470993091826529</v>
      </c>
      <c r="AG111" s="1558">
        <v>5.758205922343576</v>
      </c>
      <c r="AH111" s="1557">
        <v>5.4834433379296588</v>
      </c>
      <c r="AI111" s="1557">
        <v>5.3786502461400234</v>
      </c>
      <c r="AJ111" s="1557">
        <v>5.2758621872193761</v>
      </c>
      <c r="AK111" s="1557">
        <v>5.175040631398665</v>
      </c>
      <c r="AL111" s="1558">
        <v>5.0761478083583222</v>
      </c>
      <c r="AO111" s="1309"/>
      <c r="AP111" s="1311"/>
      <c r="AQ111" s="1311"/>
      <c r="AR111" s="1311"/>
      <c r="AS111" s="1311"/>
      <c r="AT111" s="1311"/>
      <c r="AU111" s="1311"/>
      <c r="AV111" s="1311"/>
      <c r="AW111" s="1311"/>
      <c r="AX111" s="1311"/>
    </row>
    <row r="112" spans="2:52" x14ac:dyDescent="0.3">
      <c r="K112" s="320"/>
      <c r="L112" s="320"/>
      <c r="M112" s="320"/>
      <c r="N112" s="321"/>
      <c r="O112" s="321"/>
      <c r="P112" s="321"/>
      <c r="Q112" s="321"/>
      <c r="R112" s="294"/>
      <c r="S112" s="294"/>
      <c r="T112" s="294"/>
      <c r="U112" s="294"/>
      <c r="V112" s="294"/>
      <c r="W112" s="294"/>
      <c r="X112" s="2135"/>
      <c r="Y112" s="2133"/>
      <c r="Z112" s="2133"/>
      <c r="AA112" s="2133"/>
      <c r="AB112" s="2133"/>
      <c r="AC112" s="294"/>
      <c r="AD112" s="294"/>
      <c r="AE112" s="294"/>
      <c r="AF112" s="294"/>
      <c r="AG112" s="294"/>
      <c r="AH112" s="294"/>
      <c r="AI112" s="294"/>
      <c r="AJ112" s="294"/>
      <c r="AK112" s="294"/>
      <c r="AL112" s="294"/>
      <c r="AM112" s="321"/>
      <c r="AP112" s="1312"/>
      <c r="AQ112" s="1312"/>
      <c r="AR112" s="1312"/>
      <c r="AS112" s="1312"/>
      <c r="AT112" s="1312"/>
      <c r="AU112" s="1312"/>
      <c r="AV112" s="1312"/>
      <c r="AW112" s="1312"/>
      <c r="AX112" s="1312"/>
    </row>
    <row r="113" spans="2:50" x14ac:dyDescent="0.3">
      <c r="C113" s="313" t="s">
        <v>480</v>
      </c>
      <c r="D113" s="77"/>
      <c r="E113" s="77"/>
      <c r="F113" s="77"/>
      <c r="G113" s="77"/>
      <c r="H113" s="77"/>
      <c r="K113" s="161"/>
      <c r="L113" s="161"/>
      <c r="M113" s="161"/>
      <c r="R113" s="125"/>
      <c r="S113" s="125"/>
      <c r="T113" s="125"/>
      <c r="U113" s="125"/>
      <c r="V113" s="125"/>
      <c r="W113" s="125"/>
      <c r="X113" s="395"/>
      <c r="Y113" s="395"/>
      <c r="Z113" s="395"/>
      <c r="AA113" s="395"/>
      <c r="AB113" s="395"/>
      <c r="AC113" s="125"/>
      <c r="AD113" s="125"/>
      <c r="AE113" s="125"/>
      <c r="AF113" s="125"/>
      <c r="AG113" s="125"/>
      <c r="AH113" s="125"/>
      <c r="AI113" s="125"/>
      <c r="AJ113" s="125"/>
      <c r="AK113" s="125"/>
      <c r="AL113" s="125"/>
      <c r="AP113" s="1313"/>
      <c r="AQ113" s="1313"/>
      <c r="AR113" s="1313"/>
      <c r="AS113" s="1313"/>
      <c r="AT113" s="1313"/>
      <c r="AU113" s="1313"/>
      <c r="AV113" s="1313"/>
      <c r="AW113" s="1313"/>
      <c r="AX113" s="1313"/>
    </row>
    <row r="114" spans="2:50" x14ac:dyDescent="0.3">
      <c r="C114" s="72"/>
      <c r="D114" s="2360" t="s">
        <v>1090</v>
      </c>
      <c r="E114" s="2360"/>
      <c r="F114" s="2360"/>
      <c r="G114" s="2360"/>
      <c r="H114" s="2360"/>
      <c r="I114" s="2360"/>
      <c r="J114" s="2360"/>
      <c r="K114" s="348"/>
      <c r="L114" s="348"/>
      <c r="M114" s="349"/>
      <c r="N114" s="350"/>
      <c r="O114" s="351"/>
      <c r="P114" s="351"/>
      <c r="Q114" s="351"/>
      <c r="R114" s="349"/>
      <c r="S114" s="350"/>
      <c r="T114" s="351"/>
      <c r="U114" s="351"/>
      <c r="V114" s="351"/>
      <c r="W114" s="335">
        <v>0.13679457013574658</v>
      </c>
      <c r="X114" s="1678">
        <v>0.14475634228241566</v>
      </c>
      <c r="Y114" s="1679">
        <v>0.14132943975460122</v>
      </c>
      <c r="Z114" s="1679">
        <v>0.14026415094339623</v>
      </c>
      <c r="AA114" s="1679">
        <v>0.14167414333333334</v>
      </c>
      <c r="AB114" s="1680">
        <v>0.14309088476666668</v>
      </c>
      <c r="AC114" s="647">
        <v>0.15972376106989561</v>
      </c>
      <c r="AD114" s="647">
        <v>0.1623221771028128</v>
      </c>
      <c r="AE114" s="647">
        <v>0.16555432402893766</v>
      </c>
      <c r="AF114" s="647">
        <v>0.16659204234519615</v>
      </c>
      <c r="AG114" s="648">
        <v>0.16925402679043447</v>
      </c>
      <c r="AH114" s="647">
        <v>0.16625158013638497</v>
      </c>
      <c r="AI114" s="647">
        <v>0.16823556764704767</v>
      </c>
      <c r="AJ114" s="647">
        <v>0.17024334660656296</v>
      </c>
      <c r="AK114" s="647">
        <v>0.17227520276183914</v>
      </c>
      <c r="AL114" s="648">
        <v>0.17433142532597889</v>
      </c>
    </row>
    <row r="115" spans="2:50" x14ac:dyDescent="0.3">
      <c r="C115" s="72"/>
      <c r="D115" s="2360" t="s">
        <v>482</v>
      </c>
      <c r="E115" s="2360"/>
      <c r="F115" s="2360"/>
      <c r="G115" s="2360"/>
      <c r="H115" s="2360"/>
      <c r="I115" s="2360"/>
      <c r="J115" s="2360"/>
      <c r="K115" s="355"/>
      <c r="L115" s="355"/>
      <c r="M115" s="356"/>
      <c r="N115" s="357"/>
      <c r="O115" s="258"/>
      <c r="P115" s="258"/>
      <c r="Q115" s="258"/>
      <c r="R115" s="356"/>
      <c r="S115" s="357"/>
      <c r="T115" s="258"/>
      <c r="U115" s="258"/>
      <c r="V115" s="258"/>
      <c r="W115" s="338"/>
      <c r="X115" s="1997"/>
      <c r="Y115" s="1998"/>
      <c r="Z115" s="1998"/>
      <c r="AA115" s="1998"/>
      <c r="AB115" s="1999"/>
      <c r="AC115" s="1120"/>
      <c r="AD115" s="1120"/>
      <c r="AE115" s="1120"/>
      <c r="AF115" s="1120"/>
      <c r="AG115" s="1121"/>
      <c r="AH115" s="1120"/>
      <c r="AI115" s="1120"/>
      <c r="AJ115" s="1120"/>
      <c r="AK115" s="1120"/>
      <c r="AL115" s="1121"/>
    </row>
    <row r="116" spans="2:50" x14ac:dyDescent="0.3">
      <c r="C116" s="72"/>
      <c r="D116" s="2360" t="s">
        <v>483</v>
      </c>
      <c r="E116" s="2360"/>
      <c r="F116" s="2360"/>
      <c r="G116" s="2360"/>
      <c r="H116" s="2360"/>
      <c r="I116" s="2360"/>
      <c r="J116" s="2360"/>
      <c r="K116" s="355"/>
      <c r="L116" s="355"/>
      <c r="M116" s="356"/>
      <c r="N116" s="357"/>
      <c r="O116" s="258"/>
      <c r="P116" s="258"/>
      <c r="Q116" s="258"/>
      <c r="R116" s="356"/>
      <c r="S116" s="357"/>
      <c r="T116" s="258"/>
      <c r="U116" s="258"/>
      <c r="V116" s="258"/>
      <c r="W116" s="338"/>
      <c r="X116" s="1997"/>
      <c r="Y116" s="1998"/>
      <c r="Z116" s="1998"/>
      <c r="AA116" s="1998"/>
      <c r="AB116" s="1999"/>
      <c r="AC116" s="1120"/>
      <c r="AD116" s="1120"/>
      <c r="AE116" s="1120"/>
      <c r="AF116" s="1120"/>
      <c r="AG116" s="1121"/>
      <c r="AH116" s="1120"/>
      <c r="AI116" s="1120"/>
      <c r="AJ116" s="1120"/>
      <c r="AK116" s="1120"/>
      <c r="AL116" s="1121"/>
    </row>
    <row r="117" spans="2:50" x14ac:dyDescent="0.3">
      <c r="C117" s="72"/>
      <c r="D117" s="2360" t="s">
        <v>484</v>
      </c>
      <c r="E117" s="2360"/>
      <c r="F117" s="2360"/>
      <c r="G117" s="2360"/>
      <c r="H117" s="2360"/>
      <c r="I117" s="2360"/>
      <c r="J117" s="2360"/>
      <c r="K117" s="355"/>
      <c r="L117" s="355"/>
      <c r="M117" s="356"/>
      <c r="N117" s="357"/>
      <c r="O117" s="258"/>
      <c r="P117" s="258"/>
      <c r="Q117" s="258"/>
      <c r="R117" s="356"/>
      <c r="S117" s="357"/>
      <c r="T117" s="258"/>
      <c r="U117" s="258"/>
      <c r="V117" s="258"/>
      <c r="W117" s="338"/>
      <c r="X117" s="1997"/>
      <c r="Y117" s="1998"/>
      <c r="Z117" s="1998"/>
      <c r="AA117" s="1998"/>
      <c r="AB117" s="1999"/>
      <c r="AC117" s="1120"/>
      <c r="AD117" s="1120"/>
      <c r="AE117" s="1120"/>
      <c r="AF117" s="1120"/>
      <c r="AG117" s="1121"/>
      <c r="AH117" s="1120"/>
      <c r="AI117" s="1120"/>
      <c r="AJ117" s="1120"/>
      <c r="AK117" s="1120"/>
      <c r="AL117" s="1121"/>
    </row>
    <row r="118" spans="2:50" x14ac:dyDescent="0.3">
      <c r="C118" s="72"/>
      <c r="D118" s="2360" t="s">
        <v>485</v>
      </c>
      <c r="E118" s="2360"/>
      <c r="F118" s="2360"/>
      <c r="G118" s="2360"/>
      <c r="H118" s="2360"/>
      <c r="I118" s="2360"/>
      <c r="J118" s="2360"/>
      <c r="K118" s="355"/>
      <c r="L118" s="355"/>
      <c r="M118" s="356"/>
      <c r="N118" s="357"/>
      <c r="O118" s="258"/>
      <c r="P118" s="258"/>
      <c r="Q118" s="258"/>
      <c r="R118" s="356"/>
      <c r="S118" s="357"/>
      <c r="T118" s="258"/>
      <c r="U118" s="258"/>
      <c r="V118" s="258"/>
      <c r="W118" s="338"/>
      <c r="X118" s="1997"/>
      <c r="Y118" s="1998"/>
      <c r="Z118" s="1998"/>
      <c r="AA118" s="1998"/>
      <c r="AB118" s="1999"/>
      <c r="AC118" s="1120"/>
      <c r="AD118" s="1120"/>
      <c r="AE118" s="1120"/>
      <c r="AF118" s="1120"/>
      <c r="AG118" s="1121"/>
      <c r="AH118" s="1120"/>
      <c r="AI118" s="1120"/>
      <c r="AJ118" s="1120"/>
      <c r="AK118" s="1120"/>
      <c r="AL118" s="1121"/>
    </row>
    <row r="119" spans="2:50" x14ac:dyDescent="0.3">
      <c r="C119" s="72"/>
      <c r="D119" s="2360" t="s">
        <v>486</v>
      </c>
      <c r="E119" s="2360"/>
      <c r="F119" s="2360"/>
      <c r="G119" s="2360"/>
      <c r="H119" s="2360"/>
      <c r="I119" s="2360"/>
      <c r="J119" s="2360"/>
      <c r="K119" s="355"/>
      <c r="L119" s="355"/>
      <c r="M119" s="356"/>
      <c r="N119" s="357"/>
      <c r="O119" s="258"/>
      <c r="P119" s="258"/>
      <c r="Q119" s="258"/>
      <c r="R119" s="356"/>
      <c r="S119" s="357"/>
      <c r="T119" s="258"/>
      <c r="U119" s="258"/>
      <c r="V119" s="258"/>
      <c r="W119" s="338"/>
      <c r="X119" s="1997"/>
      <c r="Y119" s="1998"/>
      <c r="Z119" s="1998"/>
      <c r="AA119" s="1998"/>
      <c r="AB119" s="1999"/>
      <c r="AC119" s="1120"/>
      <c r="AD119" s="1120"/>
      <c r="AE119" s="1120"/>
      <c r="AF119" s="1120"/>
      <c r="AG119" s="1121"/>
      <c r="AH119" s="1120"/>
      <c r="AI119" s="1120"/>
      <c r="AJ119" s="1120"/>
      <c r="AK119" s="1120"/>
      <c r="AL119" s="1121"/>
    </row>
    <row r="120" spans="2:50" x14ac:dyDescent="0.3">
      <c r="C120" s="72"/>
      <c r="D120" s="2360" t="s">
        <v>487</v>
      </c>
      <c r="E120" s="2360"/>
      <c r="F120" s="2360"/>
      <c r="G120" s="2360"/>
      <c r="H120" s="2360"/>
      <c r="I120" s="2360"/>
      <c r="J120" s="2360"/>
      <c r="K120" s="355"/>
      <c r="L120" s="355"/>
      <c r="M120" s="356"/>
      <c r="N120" s="357"/>
      <c r="O120" s="258"/>
      <c r="P120" s="258"/>
      <c r="Q120" s="258"/>
      <c r="R120" s="356"/>
      <c r="S120" s="357"/>
      <c r="T120" s="258"/>
      <c r="U120" s="258"/>
      <c r="V120" s="258"/>
      <c r="W120" s="338"/>
      <c r="X120" s="1997"/>
      <c r="Y120" s="1998"/>
      <c r="Z120" s="1998"/>
      <c r="AA120" s="1998"/>
      <c r="AB120" s="1999"/>
      <c r="AC120" s="1120"/>
      <c r="AD120" s="1120"/>
      <c r="AE120" s="1120"/>
      <c r="AF120" s="1120"/>
      <c r="AG120" s="1121"/>
      <c r="AH120" s="1120"/>
      <c r="AI120" s="1120"/>
      <c r="AJ120" s="1120"/>
      <c r="AK120" s="1120"/>
      <c r="AL120" s="1121"/>
    </row>
    <row r="121" spans="2:50" x14ac:dyDescent="0.3">
      <c r="C121" s="72"/>
      <c r="D121" s="2360" t="s">
        <v>488</v>
      </c>
      <c r="E121" s="2360"/>
      <c r="F121" s="2360"/>
      <c r="G121" s="2360"/>
      <c r="H121" s="2360"/>
      <c r="I121" s="2360"/>
      <c r="J121" s="2360"/>
      <c r="K121" s="355"/>
      <c r="L121" s="355"/>
      <c r="M121" s="356"/>
      <c r="N121" s="357"/>
      <c r="O121" s="258"/>
      <c r="P121" s="258"/>
      <c r="Q121" s="258"/>
      <c r="R121" s="356"/>
      <c r="S121" s="357"/>
      <c r="T121" s="258"/>
      <c r="U121" s="258"/>
      <c r="V121" s="258"/>
      <c r="W121" s="338"/>
      <c r="X121" s="1997"/>
      <c r="Y121" s="1998"/>
      <c r="Z121" s="1998"/>
      <c r="AA121" s="1998"/>
      <c r="AB121" s="1999"/>
      <c r="AC121" s="1120"/>
      <c r="AD121" s="1120"/>
      <c r="AE121" s="1120"/>
      <c r="AF121" s="1120"/>
      <c r="AG121" s="1121"/>
      <c r="AH121" s="1120"/>
      <c r="AI121" s="1120"/>
      <c r="AJ121" s="1120"/>
      <c r="AK121" s="1120"/>
      <c r="AL121" s="1121"/>
    </row>
    <row r="122" spans="2:50" x14ac:dyDescent="0.3">
      <c r="C122" s="72"/>
      <c r="D122" s="2360" t="s">
        <v>489</v>
      </c>
      <c r="E122" s="2360"/>
      <c r="F122" s="2360"/>
      <c r="G122" s="2360"/>
      <c r="H122" s="2360"/>
      <c r="I122" s="2360"/>
      <c r="J122" s="2360"/>
      <c r="K122" s="355"/>
      <c r="L122" s="355"/>
      <c r="M122" s="356"/>
      <c r="N122" s="357"/>
      <c r="O122" s="258"/>
      <c r="P122" s="258"/>
      <c r="Q122" s="258"/>
      <c r="R122" s="356"/>
      <c r="S122" s="357"/>
      <c r="T122" s="258"/>
      <c r="U122" s="258"/>
      <c r="V122" s="258"/>
      <c r="W122" s="338"/>
      <c r="X122" s="1997"/>
      <c r="Y122" s="1998"/>
      <c r="Z122" s="1998"/>
      <c r="AA122" s="1998"/>
      <c r="AB122" s="1999"/>
      <c r="AC122" s="1120"/>
      <c r="AD122" s="1120"/>
      <c r="AE122" s="1120"/>
      <c r="AF122" s="1120"/>
      <c r="AG122" s="1121"/>
      <c r="AH122" s="1120"/>
      <c r="AI122" s="1120"/>
      <c r="AJ122" s="1120"/>
      <c r="AK122" s="1120"/>
      <c r="AL122" s="1121"/>
    </row>
    <row r="123" spans="2:50" x14ac:dyDescent="0.3">
      <c r="C123" s="72"/>
      <c r="D123" s="2360" t="s">
        <v>490</v>
      </c>
      <c r="E123" s="2360"/>
      <c r="F123" s="2360"/>
      <c r="G123" s="2360"/>
      <c r="H123" s="2360"/>
      <c r="I123" s="2360"/>
      <c r="J123" s="2360"/>
      <c r="K123" s="361"/>
      <c r="L123" s="361"/>
      <c r="M123" s="362"/>
      <c r="N123" s="363"/>
      <c r="O123" s="364"/>
      <c r="P123" s="364"/>
      <c r="Q123" s="364"/>
      <c r="R123" s="362"/>
      <c r="S123" s="363"/>
      <c r="T123" s="364"/>
      <c r="U123" s="364"/>
      <c r="V123" s="364"/>
      <c r="W123" s="341"/>
      <c r="X123" s="2170"/>
      <c r="Y123" s="1681"/>
      <c r="Z123" s="1681"/>
      <c r="AA123" s="1681"/>
      <c r="AB123" s="1682"/>
      <c r="AC123" s="650"/>
      <c r="AD123" s="650"/>
      <c r="AE123" s="650"/>
      <c r="AF123" s="650"/>
      <c r="AG123" s="651"/>
      <c r="AH123" s="650"/>
      <c r="AI123" s="650"/>
      <c r="AJ123" s="650"/>
      <c r="AK123" s="650"/>
      <c r="AL123" s="651"/>
    </row>
    <row r="124" spans="2:50" x14ac:dyDescent="0.3">
      <c r="C124" s="72"/>
      <c r="D124" s="72"/>
      <c r="E124" s="72"/>
      <c r="F124" s="72"/>
      <c r="G124" s="72"/>
      <c r="K124" s="1527"/>
      <c r="L124" s="1527"/>
      <c r="M124" s="1527"/>
      <c r="N124" s="1527"/>
      <c r="O124" s="1527"/>
      <c r="P124" s="1527"/>
      <c r="Q124" s="1527"/>
      <c r="R124" s="1527"/>
      <c r="S124" s="297"/>
      <c r="T124" s="297"/>
      <c r="U124" s="297"/>
      <c r="V124" s="297"/>
      <c r="W124" s="297">
        <f t="shared" ref="W124:AG124" si="82">SUM(W114:W123)</f>
        <v>0.13679457013574658</v>
      </c>
      <c r="X124" s="297">
        <f t="shared" si="82"/>
        <v>0.14475634228241566</v>
      </c>
      <c r="Y124" s="297">
        <f t="shared" si="82"/>
        <v>0.14132943975460122</v>
      </c>
      <c r="Z124" s="297">
        <f t="shared" si="82"/>
        <v>0.14026415094339623</v>
      </c>
      <c r="AA124" s="297">
        <f t="shared" si="82"/>
        <v>0.14167414333333334</v>
      </c>
      <c r="AB124" s="297">
        <f t="shared" si="82"/>
        <v>0.14309088476666668</v>
      </c>
      <c r="AC124" s="297">
        <f t="shared" si="82"/>
        <v>0.15972376106989561</v>
      </c>
      <c r="AD124" s="297">
        <f t="shared" si="82"/>
        <v>0.1623221771028128</v>
      </c>
      <c r="AE124" s="297">
        <f t="shared" si="82"/>
        <v>0.16555432402893766</v>
      </c>
      <c r="AF124" s="297">
        <f t="shared" si="82"/>
        <v>0.16659204234519615</v>
      </c>
      <c r="AG124" s="297">
        <f t="shared" si="82"/>
        <v>0.16925402679043447</v>
      </c>
      <c r="AH124" s="297">
        <f>SUM(AH114:AH123)</f>
        <v>0.16625158013638497</v>
      </c>
      <c r="AI124" s="297">
        <f>SUM(AI114:AI123)</f>
        <v>0.16823556764704767</v>
      </c>
      <c r="AJ124" s="297">
        <f>SUM(AJ114:AJ123)</f>
        <v>0.17024334660656296</v>
      </c>
      <c r="AK124" s="297">
        <f>SUM(AK114:AK123)</f>
        <v>0.17227520276183914</v>
      </c>
      <c r="AL124" s="297">
        <f>SUM(AL114:AL123)</f>
        <v>0.17433142532597889</v>
      </c>
    </row>
    <row r="125" spans="2:50" ht="12.5" thickBot="1" x14ac:dyDescent="0.35"/>
    <row r="126" spans="2:50" x14ac:dyDescent="0.3">
      <c r="B126" s="269"/>
      <c r="C126" s="231"/>
      <c r="D126" s="231"/>
      <c r="E126" s="231"/>
      <c r="F126" s="231"/>
      <c r="G126" s="231"/>
      <c r="H126" s="231"/>
      <c r="I126" s="231"/>
      <c r="J126" s="231"/>
      <c r="K126" s="231"/>
      <c r="L126" s="231"/>
      <c r="M126" s="231"/>
      <c r="N126" s="231"/>
      <c r="O126" s="231"/>
      <c r="P126" s="231"/>
      <c r="Q126" s="231"/>
      <c r="R126" s="231"/>
      <c r="S126" s="231"/>
      <c r="T126" s="231"/>
      <c r="U126" s="231"/>
      <c r="V126" s="231"/>
      <c r="W126" s="231"/>
      <c r="X126" s="231"/>
      <c r="Y126" s="231"/>
      <c r="Z126" s="231"/>
      <c r="AA126" s="231"/>
      <c r="AB126" s="231"/>
      <c r="AC126" s="231"/>
      <c r="AD126" s="231"/>
      <c r="AE126" s="231"/>
      <c r="AF126" s="231"/>
      <c r="AG126" s="231"/>
      <c r="AH126" s="231"/>
      <c r="AI126" s="231"/>
      <c r="AJ126" s="231"/>
      <c r="AK126" s="231"/>
      <c r="AL126" s="231"/>
      <c r="AM126" s="270"/>
    </row>
    <row r="127" spans="2:50" x14ac:dyDescent="0.3">
      <c r="B127" s="188"/>
      <c r="C127" s="271" t="s">
        <v>585</v>
      </c>
      <c r="D127" s="84"/>
      <c r="E127" s="84"/>
      <c r="F127" s="84"/>
      <c r="G127" s="84"/>
      <c r="H127" s="84"/>
      <c r="I127" s="84"/>
      <c r="J127" s="84"/>
      <c r="K127" s="84"/>
      <c r="L127" s="84"/>
      <c r="M127" s="84"/>
      <c r="N127" s="84"/>
      <c r="O127" s="84"/>
      <c r="P127" s="84"/>
      <c r="Q127" s="84"/>
      <c r="R127" s="84"/>
      <c r="S127" s="84"/>
      <c r="T127" s="84"/>
      <c r="U127" s="84"/>
      <c r="V127" s="84"/>
      <c r="W127" s="84"/>
      <c r="X127" s="84"/>
      <c r="Y127" s="84"/>
      <c r="Z127" s="84"/>
      <c r="AA127" s="84"/>
      <c r="AB127" s="84"/>
      <c r="AC127" s="84"/>
      <c r="AD127" s="84"/>
      <c r="AE127" s="84"/>
      <c r="AF127" s="84"/>
      <c r="AG127" s="84"/>
      <c r="AH127" s="84"/>
      <c r="AI127" s="84"/>
      <c r="AJ127" s="84"/>
      <c r="AK127" s="84"/>
      <c r="AL127" s="84"/>
      <c r="AM127" s="192"/>
    </row>
    <row r="128" spans="2:50" x14ac:dyDescent="0.3">
      <c r="B128" s="188"/>
      <c r="C128" s="325" t="s">
        <v>507</v>
      </c>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128" s="192"/>
    </row>
    <row r="129" spans="2:43" x14ac:dyDescent="0.3">
      <c r="B129" s="188"/>
      <c r="C129" s="325"/>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192"/>
    </row>
    <row r="130" spans="2:43" x14ac:dyDescent="0.3">
      <c r="B130" s="188"/>
      <c r="C130" s="108" t="s">
        <v>41</v>
      </c>
      <c r="D130" s="84"/>
      <c r="E130" s="84"/>
      <c r="F130" s="84"/>
      <c r="G130" s="84"/>
      <c r="H130" s="84"/>
      <c r="I130" s="84"/>
      <c r="J130" s="108"/>
      <c r="K130" s="108"/>
      <c r="L130" s="108"/>
      <c r="M130" s="108"/>
      <c r="N130" s="108"/>
      <c r="O130" s="108"/>
      <c r="P130" s="108"/>
      <c r="Q130" s="108"/>
      <c r="R130" s="108"/>
      <c r="S130" s="108"/>
      <c r="T130" s="108"/>
      <c r="U130" s="108"/>
      <c r="V130" s="108"/>
      <c r="W130" s="1627" t="str">
        <f>+W7</f>
        <v>2017-18</v>
      </c>
      <c r="X130" s="1627" t="str">
        <f t="shared" ref="X130:AG130" si="83">+X7</f>
        <v>2018-19</v>
      </c>
      <c r="Y130" s="1627" t="str">
        <f t="shared" si="83"/>
        <v>2019-20</v>
      </c>
      <c r="Z130" s="1627" t="str">
        <f t="shared" si="83"/>
        <v>2020-21</v>
      </c>
      <c r="AA130" s="1627" t="str">
        <f t="shared" si="83"/>
        <v>2021-22</v>
      </c>
      <c r="AB130" s="1627" t="str">
        <f t="shared" si="83"/>
        <v>2022-23</v>
      </c>
      <c r="AC130" s="1627" t="str">
        <f t="shared" si="83"/>
        <v>2023-24</v>
      </c>
      <c r="AD130" s="1627" t="str">
        <f t="shared" si="83"/>
        <v>2024-25</v>
      </c>
      <c r="AE130" s="1627" t="str">
        <f t="shared" si="83"/>
        <v>2025-26</v>
      </c>
      <c r="AF130" s="1627" t="str">
        <f t="shared" si="83"/>
        <v>2026-27</v>
      </c>
      <c r="AG130" s="1627" t="str">
        <f t="shared" si="83"/>
        <v>2027-28</v>
      </c>
      <c r="AH130" s="1627" t="str">
        <f>+AH7</f>
        <v>2028-29</v>
      </c>
      <c r="AI130" s="1627" t="str">
        <f>+AI7</f>
        <v>2029-30</v>
      </c>
      <c r="AJ130" s="1627" t="str">
        <f>+AJ7</f>
        <v>2030-31</v>
      </c>
      <c r="AK130" s="1627" t="str">
        <f>+AK7</f>
        <v>2031-32</v>
      </c>
      <c r="AL130" s="1627" t="str">
        <f>+AL7</f>
        <v>2032-33</v>
      </c>
      <c r="AM130" s="192"/>
    </row>
    <row r="131" spans="2:43" x14ac:dyDescent="0.3">
      <c r="B131" s="188"/>
      <c r="C131" s="120"/>
      <c r="D131" s="120" t="s">
        <v>21</v>
      </c>
      <c r="E131" s="84"/>
      <c r="F131" s="84"/>
      <c r="G131" s="84"/>
      <c r="H131" s="84"/>
      <c r="I131" s="84"/>
      <c r="J131" s="108"/>
      <c r="K131" s="84"/>
      <c r="L131" s="84"/>
      <c r="M131" s="84"/>
      <c r="N131" s="84"/>
      <c r="O131" s="84"/>
      <c r="P131" s="84"/>
      <c r="Q131" s="84"/>
      <c r="R131" s="84"/>
      <c r="S131" s="84"/>
      <c r="T131" s="84"/>
      <c r="U131" s="84"/>
      <c r="V131" s="84"/>
      <c r="W131" s="1628">
        <f t="shared" ref="W131:AL131" si="84">+SUMIF($I$138:$I$179,$D$131,W$138:W$179)</f>
        <v>0.72882352941176476</v>
      </c>
      <c r="X131" s="1628">
        <f t="shared" si="84"/>
        <v>0.7127739336500889</v>
      </c>
      <c r="Y131" s="1632">
        <f t="shared" si="84"/>
        <v>0.6750461725766872</v>
      </c>
      <c r="Z131" s="1632">
        <f t="shared" si="84"/>
        <v>0.66837993138936547</v>
      </c>
      <c r="AA131" s="1632">
        <f t="shared" si="84"/>
        <v>0.57444212035623399</v>
      </c>
      <c r="AB131" s="1633">
        <f t="shared" si="84"/>
        <v>0.58018654155979632</v>
      </c>
      <c r="AC131" s="1632">
        <f t="shared" si="84"/>
        <v>0.64764458258572433</v>
      </c>
      <c r="AD131" s="1632">
        <f t="shared" si="84"/>
        <v>0.65818373544172548</v>
      </c>
      <c r="AE131" s="1632">
        <f t="shared" si="84"/>
        <v>0.67129085321641702</v>
      </c>
      <c r="AF131" s="1632">
        <f t="shared" si="84"/>
        <v>0.6754975289275913</v>
      </c>
      <c r="AG131" s="1633">
        <f t="shared" si="84"/>
        <v>0.68629202214934182</v>
      </c>
      <c r="AH131" s="1632">
        <f t="shared" si="84"/>
        <v>0.67411240375302706</v>
      </c>
      <c r="AI131" s="1632">
        <f t="shared" si="84"/>
        <v>0.68215706517938446</v>
      </c>
      <c r="AJ131" s="1632">
        <f t="shared" si="84"/>
        <v>0.69029819230124045</v>
      </c>
      <c r="AK131" s="1632">
        <f t="shared" si="84"/>
        <v>0.69853694397551813</v>
      </c>
      <c r="AL131" s="1633">
        <f t="shared" si="84"/>
        <v>0.70687449311089889</v>
      </c>
      <c r="AM131" s="192"/>
    </row>
    <row r="132" spans="2:43" x14ac:dyDescent="0.3">
      <c r="B132" s="188"/>
      <c r="C132" s="120"/>
      <c r="D132" s="120" t="s">
        <v>22</v>
      </c>
      <c r="E132" s="84"/>
      <c r="F132" s="84"/>
      <c r="G132" s="84"/>
      <c r="H132" s="84"/>
      <c r="I132" s="84"/>
      <c r="J132" s="108"/>
      <c r="K132" s="84"/>
      <c r="L132" s="84"/>
      <c r="M132" s="84"/>
      <c r="N132" s="84"/>
      <c r="O132" s="84"/>
      <c r="P132" s="84"/>
      <c r="Q132" s="84"/>
      <c r="R132" s="84"/>
      <c r="S132" s="84"/>
      <c r="T132" s="84"/>
      <c r="U132" s="84"/>
      <c r="V132" s="84"/>
      <c r="W132" s="1629">
        <f t="shared" ref="W132:AL132" si="85">+SUMIF($I$138:$I$179,$D$132,W$138:W$179)</f>
        <v>0</v>
      </c>
      <c r="X132" s="1629">
        <f t="shared" si="85"/>
        <v>0</v>
      </c>
      <c r="Y132" s="1455">
        <f t="shared" si="85"/>
        <v>0</v>
      </c>
      <c r="Z132" s="1455">
        <f t="shared" si="85"/>
        <v>0</v>
      </c>
      <c r="AA132" s="1455">
        <f t="shared" si="85"/>
        <v>-0.10101527066157762</v>
      </c>
      <c r="AB132" s="1634">
        <f t="shared" si="85"/>
        <v>0</v>
      </c>
      <c r="AC132" s="1455">
        <f t="shared" si="85"/>
        <v>0</v>
      </c>
      <c r="AD132" s="1455">
        <f t="shared" si="85"/>
        <v>0</v>
      </c>
      <c r="AE132" s="1455">
        <f t="shared" si="85"/>
        <v>0</v>
      </c>
      <c r="AF132" s="1455">
        <f t="shared" si="85"/>
        <v>0</v>
      </c>
      <c r="AG132" s="1634">
        <f t="shared" si="85"/>
        <v>0</v>
      </c>
      <c r="AH132" s="1455">
        <f t="shared" si="85"/>
        <v>0</v>
      </c>
      <c r="AI132" s="1455">
        <f t="shared" si="85"/>
        <v>0</v>
      </c>
      <c r="AJ132" s="1455">
        <f t="shared" si="85"/>
        <v>0</v>
      </c>
      <c r="AK132" s="1455">
        <f t="shared" si="85"/>
        <v>0</v>
      </c>
      <c r="AL132" s="1634">
        <f t="shared" si="85"/>
        <v>0</v>
      </c>
      <c r="AM132" s="192"/>
    </row>
    <row r="133" spans="2:43" x14ac:dyDescent="0.3">
      <c r="B133" s="188"/>
      <c r="C133" s="120"/>
      <c r="D133" s="120" t="s">
        <v>275</v>
      </c>
      <c r="E133" s="84"/>
      <c r="F133" s="84"/>
      <c r="G133" s="84"/>
      <c r="H133" s="84"/>
      <c r="I133" s="84"/>
      <c r="J133" s="108"/>
      <c r="K133" s="84"/>
      <c r="L133" s="84"/>
      <c r="M133" s="84"/>
      <c r="N133" s="84"/>
      <c r="O133" s="84"/>
      <c r="P133" s="84"/>
      <c r="Q133" s="84"/>
      <c r="R133" s="84"/>
      <c r="S133" s="84"/>
      <c r="T133" s="84"/>
      <c r="U133" s="84"/>
      <c r="V133" s="84"/>
      <c r="W133" s="1629">
        <f t="shared" ref="W133:AL133" si="86">+SUMIF($I$138:$I$179,$D$133,W$138:W$179)</f>
        <v>0</v>
      </c>
      <c r="X133" s="1629">
        <f t="shared" si="86"/>
        <v>0</v>
      </c>
      <c r="Y133" s="1455">
        <f t="shared" si="86"/>
        <v>0</v>
      </c>
      <c r="Z133" s="1455">
        <f t="shared" si="86"/>
        <v>0</v>
      </c>
      <c r="AA133" s="1455">
        <f t="shared" si="86"/>
        <v>0</v>
      </c>
      <c r="AB133" s="1634">
        <f t="shared" si="86"/>
        <v>0</v>
      </c>
      <c r="AC133" s="1455">
        <f t="shared" si="86"/>
        <v>0</v>
      </c>
      <c r="AD133" s="1455">
        <f t="shared" si="86"/>
        <v>0</v>
      </c>
      <c r="AE133" s="1455">
        <f t="shared" si="86"/>
        <v>0</v>
      </c>
      <c r="AF133" s="1455">
        <f t="shared" si="86"/>
        <v>0</v>
      </c>
      <c r="AG133" s="1634">
        <f t="shared" si="86"/>
        <v>0</v>
      </c>
      <c r="AH133" s="1455">
        <f t="shared" si="86"/>
        <v>0</v>
      </c>
      <c r="AI133" s="1455">
        <f t="shared" si="86"/>
        <v>0</v>
      </c>
      <c r="AJ133" s="1455">
        <f t="shared" si="86"/>
        <v>0</v>
      </c>
      <c r="AK133" s="1455">
        <f t="shared" si="86"/>
        <v>0</v>
      </c>
      <c r="AL133" s="1634">
        <f t="shared" si="86"/>
        <v>0</v>
      </c>
      <c r="AM133" s="192"/>
    </row>
    <row r="134" spans="2:43" x14ac:dyDescent="0.3">
      <c r="B134" s="188"/>
      <c r="C134" s="120"/>
      <c r="D134" s="120" t="s">
        <v>353</v>
      </c>
      <c r="E134" s="84"/>
      <c r="F134" s="84"/>
      <c r="G134" s="84"/>
      <c r="H134" s="84"/>
      <c r="I134" s="84"/>
      <c r="J134" s="108"/>
      <c r="K134" s="84"/>
      <c r="L134" s="84"/>
      <c r="M134" s="84"/>
      <c r="N134" s="84"/>
      <c r="O134" s="84"/>
      <c r="P134" s="84"/>
      <c r="Q134" s="84"/>
      <c r="R134" s="84"/>
      <c r="S134" s="84"/>
      <c r="T134" s="84"/>
      <c r="U134" s="84"/>
      <c r="V134" s="84"/>
      <c r="W134" s="1630">
        <f t="shared" ref="W134:AL134" si="87">+SUMIF($I$138:$I$179,$D$134,W$138:W$179)</f>
        <v>0</v>
      </c>
      <c r="X134" s="1630">
        <f t="shared" si="87"/>
        <v>0</v>
      </c>
      <c r="Y134" s="1635">
        <f t="shared" si="87"/>
        <v>0</v>
      </c>
      <c r="Z134" s="1635">
        <f t="shared" si="87"/>
        <v>0</v>
      </c>
      <c r="AA134" s="1635">
        <f t="shared" si="87"/>
        <v>0</v>
      </c>
      <c r="AB134" s="1636">
        <f t="shared" si="87"/>
        <v>0</v>
      </c>
      <c r="AC134" s="1635">
        <f t="shared" si="87"/>
        <v>0</v>
      </c>
      <c r="AD134" s="1635">
        <f t="shared" si="87"/>
        <v>0</v>
      </c>
      <c r="AE134" s="1635">
        <f t="shared" si="87"/>
        <v>0</v>
      </c>
      <c r="AF134" s="1635">
        <f t="shared" si="87"/>
        <v>0</v>
      </c>
      <c r="AG134" s="1636">
        <f t="shared" si="87"/>
        <v>0</v>
      </c>
      <c r="AH134" s="1635">
        <f t="shared" si="87"/>
        <v>0</v>
      </c>
      <c r="AI134" s="1635">
        <f t="shared" si="87"/>
        <v>0</v>
      </c>
      <c r="AJ134" s="1635">
        <f t="shared" si="87"/>
        <v>0</v>
      </c>
      <c r="AK134" s="1635">
        <f t="shared" si="87"/>
        <v>0</v>
      </c>
      <c r="AL134" s="1636">
        <f t="shared" si="87"/>
        <v>0</v>
      </c>
      <c r="AM134" s="192"/>
    </row>
    <row r="135" spans="2:43" x14ac:dyDescent="0.3">
      <c r="B135" s="188"/>
      <c r="C135" s="108" t="s">
        <v>548</v>
      </c>
      <c r="D135" s="84"/>
      <c r="E135" s="84"/>
      <c r="F135" s="84"/>
      <c r="G135" s="84"/>
      <c r="H135" s="84"/>
      <c r="I135" s="84"/>
      <c r="J135" s="108"/>
      <c r="K135" s="84"/>
      <c r="L135" s="84"/>
      <c r="M135" s="84"/>
      <c r="N135" s="84"/>
      <c r="O135" s="84"/>
      <c r="P135" s="84"/>
      <c r="Q135" s="84"/>
      <c r="R135" s="326"/>
      <c r="S135" s="326"/>
      <c r="T135" s="326"/>
      <c r="U135" s="326"/>
      <c r="V135" s="326"/>
      <c r="W135" s="1631">
        <f t="shared" ref="W135:AG135" si="88">SUM(W131:W134)</f>
        <v>0.72882352941176476</v>
      </c>
      <c r="X135" s="1631">
        <f t="shared" si="88"/>
        <v>0.7127739336500889</v>
      </c>
      <c r="Y135" s="1631">
        <f t="shared" si="88"/>
        <v>0.6750461725766872</v>
      </c>
      <c r="Z135" s="1631">
        <f t="shared" si="88"/>
        <v>0.66837993138936547</v>
      </c>
      <c r="AA135" s="1631">
        <f t="shared" si="88"/>
        <v>0.47342684969465637</v>
      </c>
      <c r="AB135" s="1631">
        <f t="shared" si="88"/>
        <v>0.58018654155979632</v>
      </c>
      <c r="AC135" s="1631">
        <f t="shared" si="88"/>
        <v>0.64764458258572433</v>
      </c>
      <c r="AD135" s="1631">
        <f t="shared" si="88"/>
        <v>0.65818373544172548</v>
      </c>
      <c r="AE135" s="1631">
        <f t="shared" si="88"/>
        <v>0.67129085321641702</v>
      </c>
      <c r="AF135" s="1631">
        <f t="shared" si="88"/>
        <v>0.6754975289275913</v>
      </c>
      <c r="AG135" s="1631">
        <f t="shared" si="88"/>
        <v>0.68629202214934182</v>
      </c>
      <c r="AH135" s="1631">
        <f>SUM(AH131:AH134)</f>
        <v>0.67411240375302706</v>
      </c>
      <c r="AI135" s="1631">
        <f>SUM(AI131:AI134)</f>
        <v>0.68215706517938446</v>
      </c>
      <c r="AJ135" s="1631">
        <f>SUM(AJ131:AJ134)</f>
        <v>0.69029819230124045</v>
      </c>
      <c r="AK135" s="1631">
        <f>SUM(AK131:AK134)</f>
        <v>0.69853694397551813</v>
      </c>
      <c r="AL135" s="1631">
        <f>SUM(AL131:AL134)</f>
        <v>0.70687449311089889</v>
      </c>
      <c r="AM135" s="192"/>
    </row>
    <row r="136" spans="2:43" x14ac:dyDescent="0.3">
      <c r="B136" s="188"/>
      <c r="C136" s="325"/>
      <c r="D136" s="84"/>
      <c r="E136" s="84"/>
      <c r="F136" s="84"/>
      <c r="G136" s="84"/>
      <c r="H136" s="84"/>
      <c r="I136" s="108"/>
      <c r="J136" s="108"/>
      <c r="K136" s="84"/>
      <c r="L136" s="84"/>
      <c r="M136" s="84"/>
      <c r="N136" s="84"/>
      <c r="O136" s="84"/>
      <c r="P136" s="84"/>
      <c r="Q136" s="84"/>
      <c r="R136" s="84"/>
      <c r="S136" s="84"/>
      <c r="T136" s="84"/>
      <c r="U136" s="84"/>
      <c r="V136" s="84"/>
      <c r="W136" s="84"/>
      <c r="X136" s="1308"/>
      <c r="Y136" s="1308"/>
      <c r="Z136" s="1308"/>
      <c r="AA136" s="1308"/>
      <c r="AB136" s="1308"/>
      <c r="AC136" s="1308"/>
      <c r="AD136" s="1308"/>
      <c r="AE136" s="1308"/>
      <c r="AF136" s="1308"/>
      <c r="AG136" s="1308"/>
      <c r="AH136" s="1308"/>
      <c r="AI136" s="1308"/>
      <c r="AJ136" s="1308"/>
      <c r="AK136" s="1308"/>
      <c r="AL136" s="1308"/>
      <c r="AM136" s="192"/>
    </row>
    <row r="137" spans="2:43" x14ac:dyDescent="0.3">
      <c r="B137" s="188"/>
      <c r="C137" s="108" t="s">
        <v>510</v>
      </c>
      <c r="D137" s="84"/>
      <c r="E137" s="108"/>
      <c r="F137" s="108"/>
      <c r="G137" s="108"/>
      <c r="H137" s="327" t="s">
        <v>546</v>
      </c>
      <c r="I137" s="328" t="s">
        <v>41</v>
      </c>
      <c r="J137" s="328" t="s">
        <v>45</v>
      </c>
      <c r="K137" s="84"/>
      <c r="L137" s="84"/>
      <c r="M137" s="84"/>
      <c r="N137" s="84"/>
      <c r="O137" s="84"/>
      <c r="P137" s="84"/>
      <c r="Q137" s="84"/>
      <c r="R137" s="84"/>
      <c r="S137" s="84"/>
      <c r="T137" s="84"/>
      <c r="U137" s="84"/>
      <c r="V137" s="84"/>
      <c r="W137" s="84"/>
      <c r="X137" s="1305"/>
      <c r="Y137" s="84"/>
      <c r="Z137" s="84"/>
      <c r="AA137" s="84"/>
      <c r="AB137" s="84"/>
      <c r="AC137" s="84"/>
      <c r="AD137" s="84"/>
      <c r="AE137" s="84"/>
      <c r="AF137" s="84"/>
      <c r="AG137" s="84"/>
      <c r="AH137" s="84"/>
      <c r="AI137" s="84"/>
      <c r="AJ137" s="84"/>
      <c r="AK137" s="84"/>
      <c r="AL137" s="84"/>
      <c r="AM137" s="192"/>
    </row>
    <row r="138" spans="2:43" x14ac:dyDescent="0.3">
      <c r="B138" s="1637">
        <v>1</v>
      </c>
      <c r="C138" s="2361" t="s">
        <v>1091</v>
      </c>
      <c r="D138" s="2362"/>
      <c r="E138" s="2362"/>
      <c r="F138" s="2362"/>
      <c r="G138" s="2363"/>
      <c r="H138" s="368" t="s">
        <v>594</v>
      </c>
      <c r="I138" s="369" t="s">
        <v>21</v>
      </c>
      <c r="J138" s="369" t="s">
        <v>321</v>
      </c>
      <c r="K138" s="370"/>
      <c r="L138" s="371"/>
      <c r="M138" s="371"/>
      <c r="N138" s="371"/>
      <c r="O138" s="371"/>
      <c r="P138" s="371"/>
      <c r="Q138" s="371"/>
      <c r="R138" s="371"/>
      <c r="S138" s="371"/>
      <c r="T138" s="371"/>
      <c r="U138" s="371"/>
      <c r="V138" s="371"/>
      <c r="W138" s="646">
        <v>0.72882352941176476</v>
      </c>
      <c r="X138" s="2136">
        <v>0.7127739336500889</v>
      </c>
      <c r="Y138" s="2137">
        <v>0.6750461725766872</v>
      </c>
      <c r="Z138" s="2137">
        <v>0.66837993138936547</v>
      </c>
      <c r="AA138" s="2137">
        <v>0.57444212035623399</v>
      </c>
      <c r="AB138" s="2138">
        <v>0.58018654155979632</v>
      </c>
      <c r="AC138" s="1678">
        <v>0.64764458258572433</v>
      </c>
      <c r="AD138" s="1679">
        <v>0.65818373544172548</v>
      </c>
      <c r="AE138" s="1679">
        <v>0.67129085321641702</v>
      </c>
      <c r="AF138" s="1679">
        <v>0.6754975289275913</v>
      </c>
      <c r="AG138" s="1680">
        <v>0.68629202214934182</v>
      </c>
      <c r="AH138" s="1678">
        <v>0.67411240375302706</v>
      </c>
      <c r="AI138" s="1679">
        <v>0.68215706517938446</v>
      </c>
      <c r="AJ138" s="1679">
        <v>0.69029819230124045</v>
      </c>
      <c r="AK138" s="1679">
        <v>0.69853694397551813</v>
      </c>
      <c r="AL138" s="1680">
        <v>0.70687449311089889</v>
      </c>
      <c r="AM138" s="192"/>
      <c r="AO138" s="209" t="s">
        <v>436</v>
      </c>
      <c r="AP138" s="329"/>
      <c r="AQ138" s="329"/>
    </row>
    <row r="139" spans="2:43" x14ac:dyDescent="0.3">
      <c r="B139" s="1637">
        <v>2</v>
      </c>
      <c r="C139" s="2361" t="s">
        <v>1092</v>
      </c>
      <c r="D139" s="2362"/>
      <c r="E139" s="2362"/>
      <c r="F139" s="2362"/>
      <c r="G139" s="2363"/>
      <c r="H139" s="368" t="s">
        <v>594</v>
      </c>
      <c r="I139" s="369" t="s">
        <v>22</v>
      </c>
      <c r="J139" s="369" t="s">
        <v>321</v>
      </c>
      <c r="K139" s="372"/>
      <c r="L139" s="373"/>
      <c r="M139" s="373"/>
      <c r="N139" s="373"/>
      <c r="O139" s="373"/>
      <c r="P139" s="373"/>
      <c r="Q139" s="373"/>
      <c r="R139" s="373"/>
      <c r="S139" s="373"/>
      <c r="T139" s="373"/>
      <c r="U139" s="373"/>
      <c r="V139" s="373"/>
      <c r="W139" s="1119"/>
      <c r="X139" s="2139"/>
      <c r="Y139" s="2140"/>
      <c r="Z139" s="2140"/>
      <c r="AA139" s="2140">
        <v>-0.10101527066157762</v>
      </c>
      <c r="AB139" s="2141"/>
      <c r="AC139" s="1997"/>
      <c r="AD139" s="1998"/>
      <c r="AE139" s="1998"/>
      <c r="AF139" s="1998"/>
      <c r="AG139" s="1999"/>
      <c r="AH139" s="1997"/>
      <c r="AI139" s="1998"/>
      <c r="AJ139" s="1998"/>
      <c r="AK139" s="1998"/>
      <c r="AL139" s="1999"/>
      <c r="AM139" s="192"/>
      <c r="AO139" s="329"/>
      <c r="AP139" s="329"/>
      <c r="AQ139" s="329"/>
    </row>
    <row r="140" spans="2:43" x14ac:dyDescent="0.3">
      <c r="B140" s="1637">
        <v>3</v>
      </c>
      <c r="C140" s="2361"/>
      <c r="D140" s="2362"/>
      <c r="E140" s="2362"/>
      <c r="F140" s="2362"/>
      <c r="G140" s="2363"/>
      <c r="H140" s="368" t="s">
        <v>547</v>
      </c>
      <c r="I140" s="369" t="s">
        <v>28</v>
      </c>
      <c r="J140" s="369" t="s">
        <v>319</v>
      </c>
      <c r="K140" s="372"/>
      <c r="L140" s="373"/>
      <c r="M140" s="373"/>
      <c r="N140" s="373"/>
      <c r="O140" s="373"/>
      <c r="P140" s="373"/>
      <c r="Q140" s="373"/>
      <c r="R140" s="373"/>
      <c r="S140" s="373"/>
      <c r="T140" s="373"/>
      <c r="U140" s="373"/>
      <c r="V140" s="373"/>
      <c r="W140" s="1119"/>
      <c r="X140" s="2139"/>
      <c r="Y140" s="2140"/>
      <c r="Z140" s="2140"/>
      <c r="AA140" s="2140"/>
      <c r="AB140" s="2141"/>
      <c r="AC140" s="1119"/>
      <c r="AD140" s="1120"/>
      <c r="AE140" s="1120"/>
      <c r="AF140" s="1120"/>
      <c r="AG140" s="1121"/>
      <c r="AH140" s="1119"/>
      <c r="AI140" s="1120"/>
      <c r="AJ140" s="1120"/>
      <c r="AK140" s="1120"/>
      <c r="AL140" s="1121"/>
      <c r="AM140" s="192"/>
      <c r="AO140" s="331" t="s">
        <v>28</v>
      </c>
      <c r="AP140" s="329"/>
      <c r="AQ140" s="329"/>
    </row>
    <row r="141" spans="2:43" x14ac:dyDescent="0.3">
      <c r="B141" s="1637">
        <v>4</v>
      </c>
      <c r="C141" s="2361"/>
      <c r="D141" s="2362"/>
      <c r="E141" s="2362"/>
      <c r="F141" s="2362"/>
      <c r="G141" s="2363"/>
      <c r="H141" s="368" t="s">
        <v>547</v>
      </c>
      <c r="I141" s="369" t="s">
        <v>28</v>
      </c>
      <c r="J141" s="369" t="s">
        <v>319</v>
      </c>
      <c r="K141" s="372"/>
      <c r="L141" s="373"/>
      <c r="M141" s="373"/>
      <c r="N141" s="373"/>
      <c r="O141" s="373"/>
      <c r="P141" s="373"/>
      <c r="Q141" s="373"/>
      <c r="R141" s="373"/>
      <c r="S141" s="373"/>
      <c r="T141" s="373"/>
      <c r="U141" s="373"/>
      <c r="V141" s="373"/>
      <c r="W141" s="1119"/>
      <c r="X141" s="2139"/>
      <c r="Y141" s="2140"/>
      <c r="Z141" s="2140"/>
      <c r="AA141" s="2140"/>
      <c r="AB141" s="2141"/>
      <c r="AC141" s="1119"/>
      <c r="AD141" s="1120"/>
      <c r="AE141" s="1120"/>
      <c r="AF141" s="1120"/>
      <c r="AG141" s="1121"/>
      <c r="AH141" s="1119"/>
      <c r="AI141" s="1120"/>
      <c r="AJ141" s="1120"/>
      <c r="AK141" s="1120"/>
      <c r="AL141" s="1121"/>
      <c r="AM141" s="192"/>
      <c r="AO141" s="332" t="s">
        <v>21</v>
      </c>
      <c r="AP141" s="329"/>
      <c r="AQ141" s="329"/>
    </row>
    <row r="142" spans="2:43" x14ac:dyDescent="0.3">
      <c r="B142" s="1637">
        <v>5</v>
      </c>
      <c r="C142" s="2361"/>
      <c r="D142" s="2362"/>
      <c r="E142" s="2362"/>
      <c r="F142" s="2362"/>
      <c r="G142" s="2363"/>
      <c r="H142" s="368" t="s">
        <v>547</v>
      </c>
      <c r="I142" s="369" t="s">
        <v>28</v>
      </c>
      <c r="J142" s="369" t="s">
        <v>319</v>
      </c>
      <c r="K142" s="372"/>
      <c r="L142" s="373"/>
      <c r="M142" s="373"/>
      <c r="N142" s="373"/>
      <c r="O142" s="373"/>
      <c r="P142" s="373"/>
      <c r="Q142" s="373"/>
      <c r="R142" s="373"/>
      <c r="S142" s="373"/>
      <c r="T142" s="373"/>
      <c r="U142" s="373"/>
      <c r="V142" s="373"/>
      <c r="W142" s="1119"/>
      <c r="X142" s="2139"/>
      <c r="Y142" s="2140"/>
      <c r="Z142" s="2140"/>
      <c r="AA142" s="2140"/>
      <c r="AB142" s="2141"/>
      <c r="AC142" s="1119"/>
      <c r="AD142" s="1120"/>
      <c r="AE142" s="1120"/>
      <c r="AF142" s="1120"/>
      <c r="AG142" s="1121"/>
      <c r="AH142" s="1119"/>
      <c r="AI142" s="1120"/>
      <c r="AJ142" s="1120"/>
      <c r="AK142" s="1120"/>
      <c r="AL142" s="1121"/>
      <c r="AM142" s="192"/>
      <c r="AO142" s="332" t="s">
        <v>22</v>
      </c>
      <c r="AP142" s="329"/>
      <c r="AQ142" s="329"/>
    </row>
    <row r="143" spans="2:43" x14ac:dyDescent="0.3">
      <c r="B143" s="1637">
        <v>6</v>
      </c>
      <c r="C143" s="2361"/>
      <c r="D143" s="2362"/>
      <c r="E143" s="2362"/>
      <c r="F143" s="2362"/>
      <c r="G143" s="2363"/>
      <c r="H143" s="368" t="s">
        <v>547</v>
      </c>
      <c r="I143" s="369" t="s">
        <v>28</v>
      </c>
      <c r="J143" s="369" t="s">
        <v>319</v>
      </c>
      <c r="K143" s="372"/>
      <c r="L143" s="373"/>
      <c r="M143" s="373"/>
      <c r="N143" s="373"/>
      <c r="O143" s="373"/>
      <c r="P143" s="373"/>
      <c r="Q143" s="373"/>
      <c r="R143" s="373"/>
      <c r="S143" s="373"/>
      <c r="T143" s="373"/>
      <c r="U143" s="373"/>
      <c r="V143" s="373"/>
      <c r="W143" s="1119"/>
      <c r="X143" s="2139"/>
      <c r="Y143" s="2140"/>
      <c r="Z143" s="2140"/>
      <c r="AA143" s="2140"/>
      <c r="AB143" s="2141"/>
      <c r="AC143" s="1119"/>
      <c r="AD143" s="1120"/>
      <c r="AE143" s="1120"/>
      <c r="AF143" s="1120"/>
      <c r="AG143" s="1121"/>
      <c r="AH143" s="1119"/>
      <c r="AI143" s="1120"/>
      <c r="AJ143" s="1120"/>
      <c r="AK143" s="1120"/>
      <c r="AL143" s="1121"/>
      <c r="AM143" s="192"/>
      <c r="AO143" s="332" t="s">
        <v>275</v>
      </c>
      <c r="AP143" s="329"/>
      <c r="AQ143" s="329"/>
    </row>
    <row r="144" spans="2:43" x14ac:dyDescent="0.3">
      <c r="B144" s="1637">
        <v>7</v>
      </c>
      <c r="C144" s="2361"/>
      <c r="D144" s="2362"/>
      <c r="E144" s="2362"/>
      <c r="F144" s="2362"/>
      <c r="G144" s="2363"/>
      <c r="H144" s="368" t="s">
        <v>547</v>
      </c>
      <c r="I144" s="369" t="s">
        <v>28</v>
      </c>
      <c r="J144" s="369" t="s">
        <v>319</v>
      </c>
      <c r="K144" s="372"/>
      <c r="L144" s="373"/>
      <c r="M144" s="373"/>
      <c r="N144" s="373"/>
      <c r="O144" s="373"/>
      <c r="P144" s="373"/>
      <c r="Q144" s="373"/>
      <c r="R144" s="373"/>
      <c r="S144" s="373"/>
      <c r="T144" s="373"/>
      <c r="U144" s="373"/>
      <c r="V144" s="373"/>
      <c r="W144" s="1119"/>
      <c r="X144" s="2139"/>
      <c r="Y144" s="2140"/>
      <c r="Z144" s="2140"/>
      <c r="AA144" s="2140"/>
      <c r="AB144" s="2141"/>
      <c r="AC144" s="1119"/>
      <c r="AD144" s="1120"/>
      <c r="AE144" s="1120"/>
      <c r="AF144" s="1120"/>
      <c r="AG144" s="1121"/>
      <c r="AH144" s="1119"/>
      <c r="AI144" s="1120"/>
      <c r="AJ144" s="1120"/>
      <c r="AK144" s="1120"/>
      <c r="AL144" s="1121"/>
      <c r="AM144" s="192"/>
      <c r="AO144" s="332" t="s">
        <v>353</v>
      </c>
      <c r="AP144" s="329"/>
      <c r="AQ144" s="329"/>
    </row>
    <row r="145" spans="2:43" x14ac:dyDescent="0.3">
      <c r="B145" s="1637">
        <v>8</v>
      </c>
      <c r="C145" s="2361"/>
      <c r="D145" s="2362"/>
      <c r="E145" s="2362"/>
      <c r="F145" s="2362"/>
      <c r="G145" s="2363"/>
      <c r="H145" s="368" t="s">
        <v>547</v>
      </c>
      <c r="I145" s="369" t="s">
        <v>28</v>
      </c>
      <c r="J145" s="369" t="s">
        <v>319</v>
      </c>
      <c r="K145" s="372"/>
      <c r="L145" s="373"/>
      <c r="M145" s="373"/>
      <c r="N145" s="373"/>
      <c r="O145" s="373"/>
      <c r="P145" s="373"/>
      <c r="Q145" s="373"/>
      <c r="R145" s="373"/>
      <c r="S145" s="373"/>
      <c r="T145" s="373"/>
      <c r="U145" s="373"/>
      <c r="V145" s="373"/>
      <c r="W145" s="1119"/>
      <c r="X145" s="358"/>
      <c r="Y145" s="1285"/>
      <c r="Z145" s="1285"/>
      <c r="AA145" s="1285"/>
      <c r="AB145" s="360"/>
      <c r="AC145" s="1119"/>
      <c r="AD145" s="1120"/>
      <c r="AE145" s="1120"/>
      <c r="AF145" s="1120"/>
      <c r="AG145" s="1121"/>
      <c r="AH145" s="1119"/>
      <c r="AI145" s="1120"/>
      <c r="AJ145" s="1120"/>
      <c r="AK145" s="1120"/>
      <c r="AL145" s="1121"/>
      <c r="AM145" s="192"/>
      <c r="AO145" s="332"/>
      <c r="AP145" s="329"/>
      <c r="AQ145" s="329"/>
    </row>
    <row r="146" spans="2:43" x14ac:dyDescent="0.3">
      <c r="B146" s="1637">
        <v>9</v>
      </c>
      <c r="C146" s="2361"/>
      <c r="D146" s="2362"/>
      <c r="E146" s="2362"/>
      <c r="F146" s="2362"/>
      <c r="G146" s="2363"/>
      <c r="H146" s="368" t="s">
        <v>547</v>
      </c>
      <c r="I146" s="369" t="s">
        <v>28</v>
      </c>
      <c r="J146" s="369" t="s">
        <v>319</v>
      </c>
      <c r="K146" s="372"/>
      <c r="L146" s="373"/>
      <c r="M146" s="373"/>
      <c r="N146" s="373"/>
      <c r="O146" s="373"/>
      <c r="P146" s="373"/>
      <c r="Q146" s="373"/>
      <c r="R146" s="373"/>
      <c r="S146" s="373"/>
      <c r="T146" s="373"/>
      <c r="U146" s="373"/>
      <c r="V146" s="373"/>
      <c r="W146" s="1119"/>
      <c r="X146" s="358"/>
      <c r="Y146" s="1285"/>
      <c r="Z146" s="1285"/>
      <c r="AA146" s="1285"/>
      <c r="AB146" s="360"/>
      <c r="AC146" s="1119"/>
      <c r="AD146" s="1120"/>
      <c r="AE146" s="1120"/>
      <c r="AF146" s="1120"/>
      <c r="AG146" s="1121"/>
      <c r="AH146" s="1119"/>
      <c r="AI146" s="1120"/>
      <c r="AJ146" s="1120"/>
      <c r="AK146" s="1120"/>
      <c r="AL146" s="1121"/>
      <c r="AM146" s="192"/>
      <c r="AO146" s="331" t="s">
        <v>547</v>
      </c>
      <c r="AP146" s="329"/>
      <c r="AQ146" s="329"/>
    </row>
    <row r="147" spans="2:43" x14ac:dyDescent="0.3">
      <c r="B147" s="1637">
        <v>10</v>
      </c>
      <c r="C147" s="2361"/>
      <c r="D147" s="2362"/>
      <c r="E147" s="2362"/>
      <c r="F147" s="2362"/>
      <c r="G147" s="2363"/>
      <c r="H147" s="368" t="s">
        <v>547</v>
      </c>
      <c r="I147" s="369" t="s">
        <v>28</v>
      </c>
      <c r="J147" s="369" t="s">
        <v>319</v>
      </c>
      <c r="K147" s="372"/>
      <c r="L147" s="373"/>
      <c r="M147" s="373"/>
      <c r="N147" s="373"/>
      <c r="O147" s="373"/>
      <c r="P147" s="373"/>
      <c r="Q147" s="373"/>
      <c r="R147" s="373"/>
      <c r="S147" s="373"/>
      <c r="T147" s="373"/>
      <c r="U147" s="373"/>
      <c r="V147" s="373"/>
      <c r="W147" s="1119"/>
      <c r="X147" s="358"/>
      <c r="Y147" s="1285"/>
      <c r="Z147" s="1285"/>
      <c r="AA147" s="1285"/>
      <c r="AB147" s="360"/>
      <c r="AC147" s="1119"/>
      <c r="AD147" s="1120"/>
      <c r="AE147" s="1120"/>
      <c r="AF147" s="1120"/>
      <c r="AG147" s="1121"/>
      <c r="AH147" s="1119"/>
      <c r="AI147" s="1120"/>
      <c r="AJ147" s="1120"/>
      <c r="AK147" s="1120"/>
      <c r="AL147" s="1121"/>
      <c r="AM147" s="192"/>
      <c r="AO147" s="332" t="s">
        <v>244</v>
      </c>
      <c r="AP147" s="329"/>
      <c r="AQ147" s="329"/>
    </row>
    <row r="148" spans="2:43" x14ac:dyDescent="0.3">
      <c r="B148" s="1637">
        <v>11</v>
      </c>
      <c r="C148" s="2361"/>
      <c r="D148" s="2362"/>
      <c r="E148" s="2362"/>
      <c r="F148" s="2362"/>
      <c r="G148" s="2363"/>
      <c r="H148" s="368" t="s">
        <v>547</v>
      </c>
      <c r="I148" s="369" t="s">
        <v>28</v>
      </c>
      <c r="J148" s="369" t="s">
        <v>319</v>
      </c>
      <c r="K148" s="372"/>
      <c r="L148" s="373"/>
      <c r="M148" s="373"/>
      <c r="N148" s="373"/>
      <c r="O148" s="373"/>
      <c r="P148" s="373"/>
      <c r="Q148" s="373"/>
      <c r="R148" s="373"/>
      <c r="S148" s="373"/>
      <c r="T148" s="373"/>
      <c r="U148" s="373"/>
      <c r="V148" s="373"/>
      <c r="W148" s="1119"/>
      <c r="X148" s="358"/>
      <c r="Y148" s="1285"/>
      <c r="Z148" s="1285"/>
      <c r="AA148" s="1285"/>
      <c r="AB148" s="360"/>
      <c r="AC148" s="1119"/>
      <c r="AD148" s="1120"/>
      <c r="AE148" s="1120"/>
      <c r="AF148" s="1120"/>
      <c r="AG148" s="1121"/>
      <c r="AH148" s="1119"/>
      <c r="AI148" s="1120"/>
      <c r="AJ148" s="1120"/>
      <c r="AK148" s="1120"/>
      <c r="AL148" s="1121"/>
      <c r="AM148" s="192"/>
      <c r="AO148" s="332" t="s">
        <v>594</v>
      </c>
      <c r="AP148" s="329"/>
      <c r="AQ148" s="329"/>
    </row>
    <row r="149" spans="2:43" x14ac:dyDescent="0.3">
      <c r="B149" s="1637">
        <v>12</v>
      </c>
      <c r="C149" s="2361"/>
      <c r="D149" s="2362"/>
      <c r="E149" s="2362"/>
      <c r="F149" s="2362"/>
      <c r="G149" s="2363"/>
      <c r="H149" s="368" t="s">
        <v>547</v>
      </c>
      <c r="I149" s="369" t="s">
        <v>28</v>
      </c>
      <c r="J149" s="369" t="s">
        <v>319</v>
      </c>
      <c r="K149" s="372"/>
      <c r="L149" s="373"/>
      <c r="M149" s="373"/>
      <c r="N149" s="373"/>
      <c r="O149" s="373"/>
      <c r="P149" s="373"/>
      <c r="Q149" s="373"/>
      <c r="R149" s="373"/>
      <c r="S149" s="373"/>
      <c r="T149" s="373"/>
      <c r="U149" s="373"/>
      <c r="V149" s="373"/>
      <c r="W149" s="1119"/>
      <c r="X149" s="358"/>
      <c r="Y149" s="1285"/>
      <c r="Z149" s="1285"/>
      <c r="AA149" s="1285"/>
      <c r="AB149" s="360"/>
      <c r="AC149" s="1119"/>
      <c r="AD149" s="1120"/>
      <c r="AE149" s="1120"/>
      <c r="AF149" s="1120"/>
      <c r="AG149" s="1121"/>
      <c r="AH149" s="1119"/>
      <c r="AI149" s="1120"/>
      <c r="AJ149" s="1120"/>
      <c r="AK149" s="1120"/>
      <c r="AL149" s="1121"/>
      <c r="AM149" s="192"/>
      <c r="AO149" s="332" t="s">
        <v>508</v>
      </c>
      <c r="AP149" s="329"/>
      <c r="AQ149" s="329"/>
    </row>
    <row r="150" spans="2:43" x14ac:dyDescent="0.3">
      <c r="B150" s="1637">
        <v>13</v>
      </c>
      <c r="C150" s="2361"/>
      <c r="D150" s="2362"/>
      <c r="E150" s="2362"/>
      <c r="F150" s="2362"/>
      <c r="G150" s="2363"/>
      <c r="H150" s="368" t="s">
        <v>547</v>
      </c>
      <c r="I150" s="369" t="s">
        <v>28</v>
      </c>
      <c r="J150" s="369" t="s">
        <v>319</v>
      </c>
      <c r="K150" s="372"/>
      <c r="L150" s="373"/>
      <c r="M150" s="373"/>
      <c r="N150" s="373"/>
      <c r="O150" s="373"/>
      <c r="P150" s="373"/>
      <c r="Q150" s="373"/>
      <c r="R150" s="373"/>
      <c r="S150" s="373"/>
      <c r="T150" s="373"/>
      <c r="U150" s="373"/>
      <c r="V150" s="373"/>
      <c r="W150" s="1119"/>
      <c r="X150" s="358"/>
      <c r="Y150" s="1285"/>
      <c r="Z150" s="1285"/>
      <c r="AA150" s="1285"/>
      <c r="AB150" s="360"/>
      <c r="AC150" s="1119"/>
      <c r="AD150" s="1120"/>
      <c r="AE150" s="1120"/>
      <c r="AF150" s="1120"/>
      <c r="AG150" s="1121"/>
      <c r="AH150" s="1119"/>
      <c r="AI150" s="1120"/>
      <c r="AJ150" s="1120"/>
      <c r="AK150" s="1120"/>
      <c r="AL150" s="1121"/>
      <c r="AM150" s="192"/>
    </row>
    <row r="151" spans="2:43" x14ac:dyDescent="0.3">
      <c r="B151" s="1637">
        <v>14</v>
      </c>
      <c r="C151" s="2360"/>
      <c r="D151" s="2360"/>
      <c r="E151" s="2360"/>
      <c r="F151" s="2360"/>
      <c r="G151" s="2360"/>
      <c r="H151" s="368" t="s">
        <v>547</v>
      </c>
      <c r="I151" s="369" t="s">
        <v>28</v>
      </c>
      <c r="J151" s="369" t="s">
        <v>319</v>
      </c>
      <c r="K151" s="372"/>
      <c r="L151" s="373"/>
      <c r="M151" s="373"/>
      <c r="N151" s="373"/>
      <c r="O151" s="373"/>
      <c r="P151" s="373"/>
      <c r="Q151" s="373"/>
      <c r="R151" s="373"/>
      <c r="S151" s="373"/>
      <c r="T151" s="373"/>
      <c r="U151" s="373"/>
      <c r="V151" s="373"/>
      <c r="W151" s="1119"/>
      <c r="X151" s="358"/>
      <c r="Y151" s="1285"/>
      <c r="Z151" s="1285"/>
      <c r="AA151" s="1285"/>
      <c r="AB151" s="360"/>
      <c r="AC151" s="1119"/>
      <c r="AD151" s="1120"/>
      <c r="AE151" s="1120"/>
      <c r="AF151" s="1120"/>
      <c r="AG151" s="1121"/>
      <c r="AH151" s="1119"/>
      <c r="AI151" s="1120"/>
      <c r="AJ151" s="1120"/>
      <c r="AK151" s="1120"/>
      <c r="AL151" s="1121"/>
      <c r="AM151" s="192"/>
    </row>
    <row r="152" spans="2:43" x14ac:dyDescent="0.3">
      <c r="B152" s="1637">
        <v>15</v>
      </c>
      <c r="C152" s="2360"/>
      <c r="D152" s="2360"/>
      <c r="E152" s="2360"/>
      <c r="F152" s="2360"/>
      <c r="G152" s="2360"/>
      <c r="H152" s="368" t="s">
        <v>547</v>
      </c>
      <c r="I152" s="369" t="s">
        <v>28</v>
      </c>
      <c r="J152" s="369" t="s">
        <v>319</v>
      </c>
      <c r="K152" s="372"/>
      <c r="L152" s="373"/>
      <c r="M152" s="373"/>
      <c r="N152" s="373"/>
      <c r="O152" s="373"/>
      <c r="P152" s="373"/>
      <c r="Q152" s="373"/>
      <c r="R152" s="373"/>
      <c r="S152" s="373"/>
      <c r="T152" s="373"/>
      <c r="U152" s="373"/>
      <c r="V152" s="373"/>
      <c r="W152" s="1119"/>
      <c r="X152" s="358"/>
      <c r="Y152" s="1285"/>
      <c r="Z152" s="1285"/>
      <c r="AA152" s="1285"/>
      <c r="AB152" s="360"/>
      <c r="AC152" s="1119"/>
      <c r="AD152" s="1120"/>
      <c r="AE152" s="1120"/>
      <c r="AF152" s="1120"/>
      <c r="AG152" s="1121"/>
      <c r="AH152" s="1119"/>
      <c r="AI152" s="1120"/>
      <c r="AJ152" s="1120"/>
      <c r="AK152" s="1120"/>
      <c r="AL152" s="1121"/>
      <c r="AM152" s="192"/>
    </row>
    <row r="153" spans="2:43" x14ac:dyDescent="0.3">
      <c r="B153" s="1637">
        <v>16</v>
      </c>
      <c r="C153" s="2360"/>
      <c r="D153" s="2360"/>
      <c r="E153" s="2360"/>
      <c r="F153" s="2360"/>
      <c r="G153" s="2360"/>
      <c r="H153" s="368" t="s">
        <v>547</v>
      </c>
      <c r="I153" s="369" t="s">
        <v>28</v>
      </c>
      <c r="J153" s="369" t="s">
        <v>319</v>
      </c>
      <c r="K153" s="372"/>
      <c r="L153" s="373"/>
      <c r="M153" s="373"/>
      <c r="N153" s="373"/>
      <c r="O153" s="373"/>
      <c r="P153" s="373"/>
      <c r="Q153" s="373"/>
      <c r="R153" s="373"/>
      <c r="S153" s="373"/>
      <c r="T153" s="373"/>
      <c r="U153" s="373"/>
      <c r="V153" s="373"/>
      <c r="W153" s="1119"/>
      <c r="X153" s="358"/>
      <c r="Y153" s="1285"/>
      <c r="Z153" s="1285"/>
      <c r="AA153" s="1285"/>
      <c r="AB153" s="360"/>
      <c r="AC153" s="1119"/>
      <c r="AD153" s="1120"/>
      <c r="AE153" s="1120"/>
      <c r="AF153" s="1120"/>
      <c r="AG153" s="1121"/>
      <c r="AH153" s="1119"/>
      <c r="AI153" s="1120"/>
      <c r="AJ153" s="1120"/>
      <c r="AK153" s="1120"/>
      <c r="AL153" s="1121"/>
      <c r="AM153" s="192"/>
    </row>
    <row r="154" spans="2:43" x14ac:dyDescent="0.3">
      <c r="B154" s="1637">
        <v>17</v>
      </c>
      <c r="C154" s="2360"/>
      <c r="D154" s="2360"/>
      <c r="E154" s="2360"/>
      <c r="F154" s="2360"/>
      <c r="G154" s="2360"/>
      <c r="H154" s="368" t="s">
        <v>547</v>
      </c>
      <c r="I154" s="369" t="s">
        <v>28</v>
      </c>
      <c r="J154" s="369" t="s">
        <v>319</v>
      </c>
      <c r="K154" s="372"/>
      <c r="L154" s="373"/>
      <c r="M154" s="373"/>
      <c r="N154" s="373"/>
      <c r="O154" s="373"/>
      <c r="P154" s="373"/>
      <c r="Q154" s="373"/>
      <c r="R154" s="373"/>
      <c r="S154" s="373"/>
      <c r="T154" s="373"/>
      <c r="U154" s="373"/>
      <c r="V154" s="373"/>
      <c r="W154" s="1119"/>
      <c r="X154" s="358"/>
      <c r="Y154" s="1285"/>
      <c r="Z154" s="1285"/>
      <c r="AA154" s="1285"/>
      <c r="AB154" s="360"/>
      <c r="AC154" s="1119"/>
      <c r="AD154" s="1120"/>
      <c r="AE154" s="1120"/>
      <c r="AF154" s="1120"/>
      <c r="AG154" s="1121"/>
      <c r="AH154" s="1119"/>
      <c r="AI154" s="1120"/>
      <c r="AJ154" s="1120"/>
      <c r="AK154" s="1120"/>
      <c r="AL154" s="1121"/>
      <c r="AM154" s="192"/>
    </row>
    <row r="155" spans="2:43" x14ac:dyDescent="0.3">
      <c r="B155" s="1637">
        <v>18</v>
      </c>
      <c r="C155" s="2360"/>
      <c r="D155" s="2360"/>
      <c r="E155" s="2360"/>
      <c r="F155" s="2360"/>
      <c r="G155" s="2360"/>
      <c r="H155" s="368" t="s">
        <v>547</v>
      </c>
      <c r="I155" s="369" t="s">
        <v>28</v>
      </c>
      <c r="J155" s="369" t="s">
        <v>319</v>
      </c>
      <c r="K155" s="372"/>
      <c r="L155" s="373"/>
      <c r="M155" s="373"/>
      <c r="N155" s="373"/>
      <c r="O155" s="373"/>
      <c r="P155" s="373"/>
      <c r="Q155" s="373"/>
      <c r="R155" s="373"/>
      <c r="S155" s="373"/>
      <c r="T155" s="373"/>
      <c r="U155" s="373"/>
      <c r="V155" s="373"/>
      <c r="W155" s="1119"/>
      <c r="X155" s="358"/>
      <c r="Y155" s="1285"/>
      <c r="Z155" s="1285"/>
      <c r="AA155" s="1285"/>
      <c r="AB155" s="360"/>
      <c r="AC155" s="1119"/>
      <c r="AD155" s="1120"/>
      <c r="AE155" s="1120"/>
      <c r="AF155" s="1120"/>
      <c r="AG155" s="1121"/>
      <c r="AH155" s="1119"/>
      <c r="AI155" s="1120"/>
      <c r="AJ155" s="1120"/>
      <c r="AK155" s="1120"/>
      <c r="AL155" s="1121"/>
      <c r="AM155" s="192"/>
    </row>
    <row r="156" spans="2:43" x14ac:dyDescent="0.3">
      <c r="B156" s="1637">
        <v>19</v>
      </c>
      <c r="C156" s="2360"/>
      <c r="D156" s="2360"/>
      <c r="E156" s="2360"/>
      <c r="F156" s="2360"/>
      <c r="G156" s="2360"/>
      <c r="H156" s="368" t="s">
        <v>547</v>
      </c>
      <c r="I156" s="369" t="s">
        <v>28</v>
      </c>
      <c r="J156" s="369" t="s">
        <v>319</v>
      </c>
      <c r="K156" s="372"/>
      <c r="L156" s="373"/>
      <c r="M156" s="373"/>
      <c r="N156" s="373"/>
      <c r="O156" s="373"/>
      <c r="P156" s="373"/>
      <c r="Q156" s="373"/>
      <c r="R156" s="373"/>
      <c r="S156" s="373"/>
      <c r="T156" s="373"/>
      <c r="U156" s="373"/>
      <c r="V156" s="373"/>
      <c r="W156" s="1119"/>
      <c r="X156" s="358"/>
      <c r="Y156" s="1285"/>
      <c r="Z156" s="1285"/>
      <c r="AA156" s="1285"/>
      <c r="AB156" s="360"/>
      <c r="AC156" s="1119"/>
      <c r="AD156" s="1120"/>
      <c r="AE156" s="1120"/>
      <c r="AF156" s="1120"/>
      <c r="AG156" s="1121"/>
      <c r="AH156" s="1119"/>
      <c r="AI156" s="1120"/>
      <c r="AJ156" s="1120"/>
      <c r="AK156" s="1120"/>
      <c r="AL156" s="1121"/>
      <c r="AM156" s="192"/>
    </row>
    <row r="157" spans="2:43" x14ac:dyDescent="0.3">
      <c r="B157" s="1637">
        <v>20</v>
      </c>
      <c r="C157" s="2360"/>
      <c r="D157" s="2360"/>
      <c r="E157" s="2360"/>
      <c r="F157" s="2360"/>
      <c r="G157" s="2360"/>
      <c r="H157" s="368" t="s">
        <v>547</v>
      </c>
      <c r="I157" s="369" t="s">
        <v>28</v>
      </c>
      <c r="J157" s="369" t="s">
        <v>319</v>
      </c>
      <c r="K157" s="372"/>
      <c r="L157" s="373"/>
      <c r="M157" s="373"/>
      <c r="N157" s="373"/>
      <c r="O157" s="373"/>
      <c r="P157" s="373"/>
      <c r="Q157" s="373"/>
      <c r="R157" s="373"/>
      <c r="S157" s="373"/>
      <c r="T157" s="373"/>
      <c r="U157" s="373"/>
      <c r="V157" s="373"/>
      <c r="W157" s="1119"/>
      <c r="X157" s="358"/>
      <c r="Y157" s="1285"/>
      <c r="Z157" s="1285"/>
      <c r="AA157" s="1285"/>
      <c r="AB157" s="360"/>
      <c r="AC157" s="1119"/>
      <c r="AD157" s="1120"/>
      <c r="AE157" s="1120"/>
      <c r="AF157" s="1120"/>
      <c r="AG157" s="1121"/>
      <c r="AH157" s="1119"/>
      <c r="AI157" s="1120"/>
      <c r="AJ157" s="1120"/>
      <c r="AK157" s="1120"/>
      <c r="AL157" s="1121"/>
      <c r="AM157" s="192"/>
    </row>
    <row r="158" spans="2:43" x14ac:dyDescent="0.3">
      <c r="B158" s="1637">
        <v>21</v>
      </c>
      <c r="C158" s="2360"/>
      <c r="D158" s="2360"/>
      <c r="E158" s="2360"/>
      <c r="F158" s="2360"/>
      <c r="G158" s="2360"/>
      <c r="H158" s="368" t="s">
        <v>547</v>
      </c>
      <c r="I158" s="369" t="s">
        <v>28</v>
      </c>
      <c r="J158" s="369" t="s">
        <v>319</v>
      </c>
      <c r="K158" s="372"/>
      <c r="L158" s="373"/>
      <c r="M158" s="373"/>
      <c r="N158" s="373"/>
      <c r="O158" s="373"/>
      <c r="P158" s="373"/>
      <c r="Q158" s="373"/>
      <c r="R158" s="373"/>
      <c r="S158" s="373"/>
      <c r="T158" s="373"/>
      <c r="U158" s="373"/>
      <c r="V158" s="373"/>
      <c r="W158" s="1119"/>
      <c r="X158" s="358"/>
      <c r="Y158" s="1285"/>
      <c r="Z158" s="1285"/>
      <c r="AA158" s="1285"/>
      <c r="AB158" s="360"/>
      <c r="AC158" s="1119"/>
      <c r="AD158" s="1120"/>
      <c r="AE158" s="1120"/>
      <c r="AF158" s="1120"/>
      <c r="AG158" s="1121"/>
      <c r="AH158" s="1119"/>
      <c r="AI158" s="1120"/>
      <c r="AJ158" s="1120"/>
      <c r="AK158" s="1120"/>
      <c r="AL158" s="1121"/>
      <c r="AM158" s="192"/>
    </row>
    <row r="159" spans="2:43" x14ac:dyDescent="0.3">
      <c r="B159" s="1637">
        <v>22</v>
      </c>
      <c r="C159" s="2360"/>
      <c r="D159" s="2360"/>
      <c r="E159" s="2360"/>
      <c r="F159" s="2360"/>
      <c r="G159" s="2360"/>
      <c r="H159" s="368" t="s">
        <v>547</v>
      </c>
      <c r="I159" s="369" t="s">
        <v>28</v>
      </c>
      <c r="J159" s="369" t="s">
        <v>319</v>
      </c>
      <c r="K159" s="372"/>
      <c r="L159" s="373"/>
      <c r="M159" s="373"/>
      <c r="N159" s="373"/>
      <c r="O159" s="373"/>
      <c r="P159" s="373"/>
      <c r="Q159" s="373"/>
      <c r="R159" s="373"/>
      <c r="S159" s="373"/>
      <c r="T159" s="373"/>
      <c r="U159" s="373"/>
      <c r="V159" s="373"/>
      <c r="W159" s="1119"/>
      <c r="X159" s="358"/>
      <c r="Y159" s="1285"/>
      <c r="Z159" s="1285"/>
      <c r="AA159" s="1285"/>
      <c r="AB159" s="360"/>
      <c r="AC159" s="1119"/>
      <c r="AD159" s="1120"/>
      <c r="AE159" s="1120"/>
      <c r="AF159" s="1120"/>
      <c r="AG159" s="1121"/>
      <c r="AH159" s="1119"/>
      <c r="AI159" s="1120"/>
      <c r="AJ159" s="1120"/>
      <c r="AK159" s="1120"/>
      <c r="AL159" s="1121"/>
      <c r="AM159" s="192"/>
    </row>
    <row r="160" spans="2:43" x14ac:dyDescent="0.3">
      <c r="B160" s="1637">
        <v>23</v>
      </c>
      <c r="C160" s="2360"/>
      <c r="D160" s="2360"/>
      <c r="E160" s="2360"/>
      <c r="F160" s="2360"/>
      <c r="G160" s="2360"/>
      <c r="H160" s="368" t="s">
        <v>547</v>
      </c>
      <c r="I160" s="369" t="s">
        <v>28</v>
      </c>
      <c r="J160" s="369" t="s">
        <v>319</v>
      </c>
      <c r="K160" s="372"/>
      <c r="L160" s="373"/>
      <c r="M160" s="373"/>
      <c r="N160" s="373"/>
      <c r="O160" s="373"/>
      <c r="P160" s="373"/>
      <c r="Q160" s="373"/>
      <c r="R160" s="373"/>
      <c r="S160" s="373"/>
      <c r="T160" s="373"/>
      <c r="U160" s="373"/>
      <c r="V160" s="373"/>
      <c r="W160" s="1119"/>
      <c r="X160" s="358"/>
      <c r="Y160" s="1285"/>
      <c r="Z160" s="1285"/>
      <c r="AA160" s="1285"/>
      <c r="AB160" s="360"/>
      <c r="AC160" s="1119"/>
      <c r="AD160" s="1120"/>
      <c r="AE160" s="1120"/>
      <c r="AF160" s="1120"/>
      <c r="AG160" s="1121"/>
      <c r="AH160" s="1119"/>
      <c r="AI160" s="1120"/>
      <c r="AJ160" s="1120"/>
      <c r="AK160" s="1120"/>
      <c r="AL160" s="1121"/>
      <c r="AM160" s="192"/>
    </row>
    <row r="161" spans="2:39" x14ac:dyDescent="0.3">
      <c r="B161" s="1637">
        <v>24</v>
      </c>
      <c r="C161" s="2360"/>
      <c r="D161" s="2360"/>
      <c r="E161" s="2360"/>
      <c r="F161" s="2360"/>
      <c r="G161" s="2360"/>
      <c r="H161" s="368" t="s">
        <v>547</v>
      </c>
      <c r="I161" s="369" t="s">
        <v>28</v>
      </c>
      <c r="J161" s="369" t="s">
        <v>319</v>
      </c>
      <c r="K161" s="372"/>
      <c r="L161" s="373"/>
      <c r="M161" s="373"/>
      <c r="N161" s="373"/>
      <c r="O161" s="373"/>
      <c r="P161" s="373"/>
      <c r="Q161" s="373"/>
      <c r="R161" s="373"/>
      <c r="S161" s="373"/>
      <c r="T161" s="373"/>
      <c r="U161" s="373"/>
      <c r="V161" s="373"/>
      <c r="W161" s="1119"/>
      <c r="X161" s="358"/>
      <c r="Y161" s="1285"/>
      <c r="Z161" s="1285"/>
      <c r="AA161" s="1285"/>
      <c r="AB161" s="360"/>
      <c r="AC161" s="1119"/>
      <c r="AD161" s="1120"/>
      <c r="AE161" s="1120"/>
      <c r="AF161" s="1120"/>
      <c r="AG161" s="1121"/>
      <c r="AH161" s="1119"/>
      <c r="AI161" s="1120"/>
      <c r="AJ161" s="1120"/>
      <c r="AK161" s="1120"/>
      <c r="AL161" s="1121"/>
      <c r="AM161" s="192"/>
    </row>
    <row r="162" spans="2:39" x14ac:dyDescent="0.3">
      <c r="B162" s="1637">
        <v>25</v>
      </c>
      <c r="C162" s="2360"/>
      <c r="D162" s="2360"/>
      <c r="E162" s="2360"/>
      <c r="F162" s="2360"/>
      <c r="G162" s="2360"/>
      <c r="H162" s="368" t="s">
        <v>547</v>
      </c>
      <c r="I162" s="369" t="s">
        <v>28</v>
      </c>
      <c r="J162" s="369" t="s">
        <v>319</v>
      </c>
      <c r="K162" s="372"/>
      <c r="L162" s="373"/>
      <c r="M162" s="373"/>
      <c r="N162" s="373"/>
      <c r="O162" s="373"/>
      <c r="P162" s="373"/>
      <c r="Q162" s="373"/>
      <c r="R162" s="373"/>
      <c r="S162" s="373"/>
      <c r="T162" s="373"/>
      <c r="U162" s="373"/>
      <c r="V162" s="373"/>
      <c r="W162" s="1119"/>
      <c r="X162" s="358"/>
      <c r="Y162" s="1285"/>
      <c r="Z162" s="1285"/>
      <c r="AA162" s="1285"/>
      <c r="AB162" s="360"/>
      <c r="AC162" s="1119"/>
      <c r="AD162" s="1120"/>
      <c r="AE162" s="1120"/>
      <c r="AF162" s="1120"/>
      <c r="AG162" s="1121"/>
      <c r="AH162" s="1119"/>
      <c r="AI162" s="1120"/>
      <c r="AJ162" s="1120"/>
      <c r="AK162" s="1120"/>
      <c r="AL162" s="1121"/>
      <c r="AM162" s="192"/>
    </row>
    <row r="163" spans="2:39" x14ac:dyDescent="0.3">
      <c r="B163" s="1637">
        <v>26</v>
      </c>
      <c r="C163" s="2360"/>
      <c r="D163" s="2360"/>
      <c r="E163" s="2360"/>
      <c r="F163" s="2360"/>
      <c r="G163" s="2360"/>
      <c r="H163" s="368" t="s">
        <v>547</v>
      </c>
      <c r="I163" s="369" t="s">
        <v>28</v>
      </c>
      <c r="J163" s="369" t="s">
        <v>319</v>
      </c>
      <c r="K163" s="372"/>
      <c r="L163" s="373"/>
      <c r="M163" s="373"/>
      <c r="N163" s="373"/>
      <c r="O163" s="373"/>
      <c r="P163" s="373"/>
      <c r="Q163" s="373"/>
      <c r="R163" s="373"/>
      <c r="S163" s="373"/>
      <c r="T163" s="373"/>
      <c r="U163" s="373"/>
      <c r="V163" s="373"/>
      <c r="W163" s="1119"/>
      <c r="X163" s="358"/>
      <c r="Y163" s="1285"/>
      <c r="Z163" s="1285"/>
      <c r="AA163" s="1285"/>
      <c r="AB163" s="360"/>
      <c r="AC163" s="1119"/>
      <c r="AD163" s="1120"/>
      <c r="AE163" s="1120"/>
      <c r="AF163" s="1120"/>
      <c r="AG163" s="1121"/>
      <c r="AH163" s="1119"/>
      <c r="AI163" s="1120"/>
      <c r="AJ163" s="1120"/>
      <c r="AK163" s="1120"/>
      <c r="AL163" s="1121"/>
      <c r="AM163" s="192"/>
    </row>
    <row r="164" spans="2:39" x14ac:dyDescent="0.3">
      <c r="B164" s="1637">
        <v>27</v>
      </c>
      <c r="C164" s="2360"/>
      <c r="D164" s="2360"/>
      <c r="E164" s="2360"/>
      <c r="F164" s="2360"/>
      <c r="G164" s="2360"/>
      <c r="H164" s="368" t="s">
        <v>547</v>
      </c>
      <c r="I164" s="369" t="s">
        <v>28</v>
      </c>
      <c r="J164" s="369" t="s">
        <v>319</v>
      </c>
      <c r="K164" s="372"/>
      <c r="L164" s="373"/>
      <c r="M164" s="373"/>
      <c r="N164" s="373"/>
      <c r="O164" s="373"/>
      <c r="P164" s="373"/>
      <c r="Q164" s="373"/>
      <c r="R164" s="373"/>
      <c r="S164" s="373"/>
      <c r="T164" s="373"/>
      <c r="U164" s="373"/>
      <c r="V164" s="373"/>
      <c r="W164" s="1119"/>
      <c r="X164" s="358"/>
      <c r="Y164" s="1285"/>
      <c r="Z164" s="1285"/>
      <c r="AA164" s="1285"/>
      <c r="AB164" s="360"/>
      <c r="AC164" s="1119"/>
      <c r="AD164" s="1120"/>
      <c r="AE164" s="1120"/>
      <c r="AF164" s="1120"/>
      <c r="AG164" s="1121"/>
      <c r="AH164" s="1119"/>
      <c r="AI164" s="1120"/>
      <c r="AJ164" s="1120"/>
      <c r="AK164" s="1120"/>
      <c r="AL164" s="1121"/>
      <c r="AM164" s="192"/>
    </row>
    <row r="165" spans="2:39" x14ac:dyDescent="0.3">
      <c r="B165" s="1637">
        <v>28</v>
      </c>
      <c r="C165" s="2360"/>
      <c r="D165" s="2360"/>
      <c r="E165" s="2360"/>
      <c r="F165" s="2360"/>
      <c r="G165" s="2360"/>
      <c r="H165" s="368" t="s">
        <v>547</v>
      </c>
      <c r="I165" s="369" t="s">
        <v>28</v>
      </c>
      <c r="J165" s="369" t="s">
        <v>319</v>
      </c>
      <c r="K165" s="373"/>
      <c r="L165" s="373"/>
      <c r="M165" s="373"/>
      <c r="N165" s="373"/>
      <c r="O165" s="373"/>
      <c r="P165" s="373"/>
      <c r="Q165" s="373"/>
      <c r="R165" s="373"/>
      <c r="S165" s="373"/>
      <c r="T165" s="373"/>
      <c r="U165" s="373"/>
      <c r="V165" s="373"/>
      <c r="W165" s="1119"/>
      <c r="X165" s="358"/>
      <c r="Y165" s="1285"/>
      <c r="Z165" s="1285"/>
      <c r="AA165" s="1285"/>
      <c r="AB165" s="360"/>
      <c r="AC165" s="1119"/>
      <c r="AD165" s="1120"/>
      <c r="AE165" s="1120"/>
      <c r="AF165" s="1120"/>
      <c r="AG165" s="1121"/>
      <c r="AH165" s="1119"/>
      <c r="AI165" s="1120"/>
      <c r="AJ165" s="1120"/>
      <c r="AK165" s="1120"/>
      <c r="AL165" s="1121"/>
      <c r="AM165" s="192"/>
    </row>
    <row r="166" spans="2:39" x14ac:dyDescent="0.3">
      <c r="B166" s="1637">
        <v>29</v>
      </c>
      <c r="C166" s="2360"/>
      <c r="D166" s="2360"/>
      <c r="E166" s="2360"/>
      <c r="F166" s="2360"/>
      <c r="G166" s="2360"/>
      <c r="H166" s="368" t="s">
        <v>547</v>
      </c>
      <c r="I166" s="369" t="s">
        <v>28</v>
      </c>
      <c r="J166" s="369" t="s">
        <v>319</v>
      </c>
      <c r="K166" s="373"/>
      <c r="L166" s="373"/>
      <c r="M166" s="373"/>
      <c r="N166" s="373"/>
      <c r="O166" s="373"/>
      <c r="P166" s="373"/>
      <c r="Q166" s="373"/>
      <c r="R166" s="373"/>
      <c r="S166" s="373"/>
      <c r="T166" s="373"/>
      <c r="U166" s="373"/>
      <c r="V166" s="373"/>
      <c r="W166" s="1119"/>
      <c r="X166" s="358"/>
      <c r="Y166" s="1285"/>
      <c r="Z166" s="1285"/>
      <c r="AA166" s="1285"/>
      <c r="AB166" s="360"/>
      <c r="AC166" s="1119"/>
      <c r="AD166" s="1120"/>
      <c r="AE166" s="1120"/>
      <c r="AF166" s="1120"/>
      <c r="AG166" s="1121"/>
      <c r="AH166" s="1119"/>
      <c r="AI166" s="1120"/>
      <c r="AJ166" s="1120"/>
      <c r="AK166" s="1120"/>
      <c r="AL166" s="1121"/>
      <c r="AM166" s="192"/>
    </row>
    <row r="167" spans="2:39" x14ac:dyDescent="0.3">
      <c r="B167" s="1637">
        <v>30</v>
      </c>
      <c r="C167" s="2360"/>
      <c r="D167" s="2360"/>
      <c r="E167" s="2360"/>
      <c r="F167" s="2360"/>
      <c r="G167" s="2360"/>
      <c r="H167" s="368" t="s">
        <v>547</v>
      </c>
      <c r="I167" s="369" t="s">
        <v>28</v>
      </c>
      <c r="J167" s="369" t="s">
        <v>319</v>
      </c>
      <c r="K167" s="373"/>
      <c r="L167" s="373"/>
      <c r="M167" s="373"/>
      <c r="N167" s="373"/>
      <c r="O167" s="373"/>
      <c r="P167" s="373"/>
      <c r="Q167" s="373"/>
      <c r="R167" s="373"/>
      <c r="S167" s="373"/>
      <c r="T167" s="373"/>
      <c r="U167" s="373"/>
      <c r="V167" s="373"/>
      <c r="W167" s="1119"/>
      <c r="X167" s="358"/>
      <c r="Y167" s="1285"/>
      <c r="Z167" s="1285"/>
      <c r="AA167" s="1285"/>
      <c r="AB167" s="360"/>
      <c r="AC167" s="1119"/>
      <c r="AD167" s="1120"/>
      <c r="AE167" s="1120"/>
      <c r="AF167" s="1120"/>
      <c r="AG167" s="1121"/>
      <c r="AH167" s="1119"/>
      <c r="AI167" s="1120"/>
      <c r="AJ167" s="1120"/>
      <c r="AK167" s="1120"/>
      <c r="AL167" s="1121"/>
      <c r="AM167" s="192"/>
    </row>
    <row r="168" spans="2:39" x14ac:dyDescent="0.3">
      <c r="B168" s="1637">
        <v>31</v>
      </c>
      <c r="C168" s="2360"/>
      <c r="D168" s="2360"/>
      <c r="E168" s="2360"/>
      <c r="F168" s="2360"/>
      <c r="G168" s="2360"/>
      <c r="H168" s="368" t="s">
        <v>547</v>
      </c>
      <c r="I168" s="369" t="s">
        <v>28</v>
      </c>
      <c r="J168" s="369" t="s">
        <v>319</v>
      </c>
      <c r="K168" s="373"/>
      <c r="L168" s="373"/>
      <c r="M168" s="373"/>
      <c r="N168" s="373"/>
      <c r="O168" s="373"/>
      <c r="P168" s="373"/>
      <c r="Q168" s="373"/>
      <c r="R168" s="373"/>
      <c r="S168" s="373"/>
      <c r="T168" s="373"/>
      <c r="U168" s="373"/>
      <c r="V168" s="373"/>
      <c r="W168" s="1119"/>
      <c r="X168" s="358"/>
      <c r="Y168" s="1285"/>
      <c r="Z168" s="1285"/>
      <c r="AA168" s="1285"/>
      <c r="AB168" s="360"/>
      <c r="AC168" s="1119"/>
      <c r="AD168" s="1120"/>
      <c r="AE168" s="1120"/>
      <c r="AF168" s="1120"/>
      <c r="AG168" s="1121"/>
      <c r="AH168" s="1119"/>
      <c r="AI168" s="1120"/>
      <c r="AJ168" s="1120"/>
      <c r="AK168" s="1120"/>
      <c r="AL168" s="1121"/>
      <c r="AM168" s="192"/>
    </row>
    <row r="169" spans="2:39" x14ac:dyDescent="0.3">
      <c r="B169" s="1637">
        <v>32</v>
      </c>
      <c r="C169" s="2360"/>
      <c r="D169" s="2360"/>
      <c r="E169" s="2360"/>
      <c r="F169" s="2360"/>
      <c r="G169" s="2360"/>
      <c r="H169" s="368" t="s">
        <v>547</v>
      </c>
      <c r="I169" s="369" t="s">
        <v>28</v>
      </c>
      <c r="J169" s="369" t="s">
        <v>319</v>
      </c>
      <c r="K169" s="373"/>
      <c r="L169" s="373"/>
      <c r="M169" s="373"/>
      <c r="N169" s="373"/>
      <c r="O169" s="373"/>
      <c r="P169" s="373"/>
      <c r="Q169" s="373"/>
      <c r="R169" s="373"/>
      <c r="S169" s="373"/>
      <c r="T169" s="373"/>
      <c r="U169" s="373"/>
      <c r="V169" s="373"/>
      <c r="W169" s="1119"/>
      <c r="X169" s="358"/>
      <c r="Y169" s="1285"/>
      <c r="Z169" s="1285"/>
      <c r="AA169" s="1285"/>
      <c r="AB169" s="360"/>
      <c r="AC169" s="1119"/>
      <c r="AD169" s="1120"/>
      <c r="AE169" s="1120"/>
      <c r="AF169" s="1120"/>
      <c r="AG169" s="1121"/>
      <c r="AH169" s="1119"/>
      <c r="AI169" s="1120"/>
      <c r="AJ169" s="1120"/>
      <c r="AK169" s="1120"/>
      <c r="AL169" s="1121"/>
      <c r="AM169" s="192"/>
    </row>
    <row r="170" spans="2:39" x14ac:dyDescent="0.3">
      <c r="B170" s="1637">
        <v>33</v>
      </c>
      <c r="C170" s="2360"/>
      <c r="D170" s="2360"/>
      <c r="E170" s="2360"/>
      <c r="F170" s="2360"/>
      <c r="G170" s="2360"/>
      <c r="H170" s="368" t="s">
        <v>547</v>
      </c>
      <c r="I170" s="369" t="s">
        <v>28</v>
      </c>
      <c r="J170" s="369" t="s">
        <v>319</v>
      </c>
      <c r="K170" s="373"/>
      <c r="L170" s="373"/>
      <c r="M170" s="373"/>
      <c r="N170" s="373"/>
      <c r="O170" s="373"/>
      <c r="P170" s="373"/>
      <c r="Q170" s="373"/>
      <c r="R170" s="373"/>
      <c r="S170" s="373"/>
      <c r="T170" s="373"/>
      <c r="U170" s="373"/>
      <c r="V170" s="373"/>
      <c r="W170" s="1119"/>
      <c r="X170" s="358"/>
      <c r="Y170" s="1285"/>
      <c r="Z170" s="1285"/>
      <c r="AA170" s="1285"/>
      <c r="AB170" s="360"/>
      <c r="AC170" s="1119"/>
      <c r="AD170" s="1120"/>
      <c r="AE170" s="1120"/>
      <c r="AF170" s="1120"/>
      <c r="AG170" s="1121"/>
      <c r="AH170" s="1119"/>
      <c r="AI170" s="1120"/>
      <c r="AJ170" s="1120"/>
      <c r="AK170" s="1120"/>
      <c r="AL170" s="1121"/>
      <c r="AM170" s="192"/>
    </row>
    <row r="171" spans="2:39" x14ac:dyDescent="0.3">
      <c r="B171" s="1637">
        <v>34</v>
      </c>
      <c r="C171" s="2360"/>
      <c r="D171" s="2360"/>
      <c r="E171" s="2360"/>
      <c r="F171" s="2360"/>
      <c r="G171" s="2360"/>
      <c r="H171" s="368" t="s">
        <v>547</v>
      </c>
      <c r="I171" s="369" t="s">
        <v>28</v>
      </c>
      <c r="J171" s="369" t="s">
        <v>319</v>
      </c>
      <c r="K171" s="373"/>
      <c r="L171" s="373"/>
      <c r="M171" s="373"/>
      <c r="N171" s="373"/>
      <c r="O171" s="373"/>
      <c r="P171" s="373"/>
      <c r="Q171" s="373"/>
      <c r="R171" s="373"/>
      <c r="S171" s="373"/>
      <c r="T171" s="373"/>
      <c r="U171" s="373"/>
      <c r="V171" s="373"/>
      <c r="W171" s="1119"/>
      <c r="X171" s="358"/>
      <c r="Y171" s="1285"/>
      <c r="Z171" s="1285"/>
      <c r="AA171" s="1285"/>
      <c r="AB171" s="360"/>
      <c r="AC171" s="1119"/>
      <c r="AD171" s="1120"/>
      <c r="AE171" s="1120"/>
      <c r="AF171" s="1120"/>
      <c r="AG171" s="1121"/>
      <c r="AH171" s="1119"/>
      <c r="AI171" s="1120"/>
      <c r="AJ171" s="1120"/>
      <c r="AK171" s="1120"/>
      <c r="AL171" s="1121"/>
      <c r="AM171" s="192"/>
    </row>
    <row r="172" spans="2:39" x14ac:dyDescent="0.3">
      <c r="B172" s="1637">
        <v>35</v>
      </c>
      <c r="C172" s="2360"/>
      <c r="D172" s="2360"/>
      <c r="E172" s="2360"/>
      <c r="F172" s="2360"/>
      <c r="G172" s="2360"/>
      <c r="H172" s="368" t="s">
        <v>547</v>
      </c>
      <c r="I172" s="369" t="s">
        <v>28</v>
      </c>
      <c r="J172" s="369" t="s">
        <v>319</v>
      </c>
      <c r="K172" s="373"/>
      <c r="L172" s="373"/>
      <c r="M172" s="373"/>
      <c r="N172" s="373"/>
      <c r="O172" s="373"/>
      <c r="P172" s="373"/>
      <c r="Q172" s="373"/>
      <c r="R172" s="373"/>
      <c r="S172" s="373"/>
      <c r="T172" s="373"/>
      <c r="U172" s="373"/>
      <c r="V172" s="373"/>
      <c r="W172" s="1119"/>
      <c r="X172" s="358"/>
      <c r="Y172" s="1285"/>
      <c r="Z172" s="1285"/>
      <c r="AA172" s="1285"/>
      <c r="AB172" s="360"/>
      <c r="AC172" s="1119"/>
      <c r="AD172" s="1120"/>
      <c r="AE172" s="1120"/>
      <c r="AF172" s="1120"/>
      <c r="AG172" s="1121"/>
      <c r="AH172" s="1119"/>
      <c r="AI172" s="1120"/>
      <c r="AJ172" s="1120"/>
      <c r="AK172" s="1120"/>
      <c r="AL172" s="1121"/>
      <c r="AM172" s="192"/>
    </row>
    <row r="173" spans="2:39" x14ac:dyDescent="0.3">
      <c r="B173" s="1637">
        <v>36</v>
      </c>
      <c r="C173" s="2360"/>
      <c r="D173" s="2360"/>
      <c r="E173" s="2360"/>
      <c r="F173" s="2360"/>
      <c r="G173" s="2360"/>
      <c r="H173" s="368" t="s">
        <v>547</v>
      </c>
      <c r="I173" s="369" t="s">
        <v>28</v>
      </c>
      <c r="J173" s="369" t="s">
        <v>319</v>
      </c>
      <c r="K173" s="373"/>
      <c r="L173" s="373"/>
      <c r="M173" s="373"/>
      <c r="N173" s="373"/>
      <c r="O173" s="373"/>
      <c r="P173" s="373"/>
      <c r="Q173" s="373"/>
      <c r="R173" s="373"/>
      <c r="S173" s="373"/>
      <c r="T173" s="373"/>
      <c r="U173" s="373"/>
      <c r="V173" s="373"/>
      <c r="W173" s="1119"/>
      <c r="X173" s="358"/>
      <c r="Y173" s="1285"/>
      <c r="Z173" s="1285"/>
      <c r="AA173" s="1285"/>
      <c r="AB173" s="360"/>
      <c r="AC173" s="1119"/>
      <c r="AD173" s="1120"/>
      <c r="AE173" s="1120"/>
      <c r="AF173" s="1120"/>
      <c r="AG173" s="1121"/>
      <c r="AH173" s="1119"/>
      <c r="AI173" s="1120"/>
      <c r="AJ173" s="1120"/>
      <c r="AK173" s="1120"/>
      <c r="AL173" s="1121"/>
      <c r="AM173" s="192"/>
    </row>
    <row r="174" spans="2:39" x14ac:dyDescent="0.3">
      <c r="B174" s="1637">
        <v>37</v>
      </c>
      <c r="C174" s="2360"/>
      <c r="D174" s="2360"/>
      <c r="E174" s="2360"/>
      <c r="F174" s="2360"/>
      <c r="G174" s="2360"/>
      <c r="H174" s="368" t="s">
        <v>547</v>
      </c>
      <c r="I174" s="369" t="s">
        <v>28</v>
      </c>
      <c r="J174" s="369" t="s">
        <v>319</v>
      </c>
      <c r="K174" s="373"/>
      <c r="L174" s="373"/>
      <c r="M174" s="373"/>
      <c r="N174" s="373"/>
      <c r="O174" s="373"/>
      <c r="P174" s="373"/>
      <c r="Q174" s="373"/>
      <c r="R174" s="373"/>
      <c r="S174" s="373"/>
      <c r="T174" s="373"/>
      <c r="U174" s="373"/>
      <c r="V174" s="373"/>
      <c r="W174" s="1119"/>
      <c r="X174" s="358"/>
      <c r="Y174" s="1285"/>
      <c r="Z174" s="1285"/>
      <c r="AA174" s="1285"/>
      <c r="AB174" s="360"/>
      <c r="AC174" s="1119"/>
      <c r="AD174" s="1120"/>
      <c r="AE174" s="1120"/>
      <c r="AF174" s="1120"/>
      <c r="AG174" s="1121"/>
      <c r="AH174" s="1119"/>
      <c r="AI174" s="1120"/>
      <c r="AJ174" s="1120"/>
      <c r="AK174" s="1120"/>
      <c r="AL174" s="1121"/>
      <c r="AM174" s="192"/>
    </row>
    <row r="175" spans="2:39" x14ac:dyDescent="0.3">
      <c r="B175" s="1637">
        <v>38</v>
      </c>
      <c r="C175" s="2360"/>
      <c r="D175" s="2360"/>
      <c r="E175" s="2360"/>
      <c r="F175" s="2360"/>
      <c r="G175" s="2360"/>
      <c r="H175" s="368" t="s">
        <v>547</v>
      </c>
      <c r="I175" s="369" t="s">
        <v>28</v>
      </c>
      <c r="J175" s="369" t="s">
        <v>319</v>
      </c>
      <c r="K175" s="373"/>
      <c r="L175" s="373"/>
      <c r="M175" s="373"/>
      <c r="N175" s="373"/>
      <c r="O175" s="373"/>
      <c r="P175" s="373"/>
      <c r="Q175" s="373"/>
      <c r="R175" s="373"/>
      <c r="S175" s="373"/>
      <c r="T175" s="373"/>
      <c r="U175" s="373"/>
      <c r="V175" s="373"/>
      <c r="W175" s="1119"/>
      <c r="X175" s="358"/>
      <c r="Y175" s="1285"/>
      <c r="Z175" s="1285"/>
      <c r="AA175" s="1285"/>
      <c r="AB175" s="360"/>
      <c r="AC175" s="1119"/>
      <c r="AD175" s="1120"/>
      <c r="AE175" s="1120"/>
      <c r="AF175" s="1120"/>
      <c r="AG175" s="1121"/>
      <c r="AH175" s="1119"/>
      <c r="AI175" s="1120"/>
      <c r="AJ175" s="1120"/>
      <c r="AK175" s="1120"/>
      <c r="AL175" s="1121"/>
      <c r="AM175" s="192"/>
    </row>
    <row r="176" spans="2:39" x14ac:dyDescent="0.3">
      <c r="B176" s="1637">
        <v>39</v>
      </c>
      <c r="C176" s="2360"/>
      <c r="D176" s="2360"/>
      <c r="E176" s="2360"/>
      <c r="F176" s="2360"/>
      <c r="G176" s="2360"/>
      <c r="H176" s="368" t="s">
        <v>547</v>
      </c>
      <c r="I176" s="369" t="s">
        <v>28</v>
      </c>
      <c r="J176" s="369" t="s">
        <v>319</v>
      </c>
      <c r="K176" s="373"/>
      <c r="L176" s="373"/>
      <c r="M176" s="373"/>
      <c r="N176" s="373"/>
      <c r="O176" s="373"/>
      <c r="P176" s="373"/>
      <c r="Q176" s="373"/>
      <c r="R176" s="373"/>
      <c r="S176" s="373"/>
      <c r="T176" s="373"/>
      <c r="U176" s="373"/>
      <c r="V176" s="373"/>
      <c r="W176" s="1119"/>
      <c r="X176" s="358"/>
      <c r="Y176" s="1285"/>
      <c r="Z176" s="1285"/>
      <c r="AA176" s="1285"/>
      <c r="AB176" s="360"/>
      <c r="AC176" s="1119"/>
      <c r="AD176" s="1120"/>
      <c r="AE176" s="1120"/>
      <c r="AF176" s="1120"/>
      <c r="AG176" s="1121"/>
      <c r="AH176" s="1119"/>
      <c r="AI176" s="1120"/>
      <c r="AJ176" s="1120"/>
      <c r="AK176" s="1120"/>
      <c r="AL176" s="1121"/>
      <c r="AM176" s="192"/>
    </row>
    <row r="177" spans="2:40" x14ac:dyDescent="0.3">
      <c r="B177" s="1637">
        <v>40</v>
      </c>
      <c r="C177" s="2360"/>
      <c r="D177" s="2360"/>
      <c r="E177" s="2360"/>
      <c r="F177" s="2360"/>
      <c r="G177" s="2360"/>
      <c r="H177" s="368" t="s">
        <v>547</v>
      </c>
      <c r="I177" s="374" t="s">
        <v>28</v>
      </c>
      <c r="J177" s="374" t="s">
        <v>319</v>
      </c>
      <c r="K177" s="375"/>
      <c r="L177" s="375"/>
      <c r="M177" s="375"/>
      <c r="N177" s="375"/>
      <c r="O177" s="375"/>
      <c r="P177" s="375"/>
      <c r="Q177" s="375"/>
      <c r="R177" s="375"/>
      <c r="S177" s="375"/>
      <c r="T177" s="375"/>
      <c r="U177" s="375"/>
      <c r="V177" s="375"/>
      <c r="W177" s="649"/>
      <c r="X177" s="365"/>
      <c r="Y177" s="366"/>
      <c r="Z177" s="366"/>
      <c r="AA177" s="366"/>
      <c r="AB177" s="367"/>
      <c r="AC177" s="649"/>
      <c r="AD177" s="650"/>
      <c r="AE177" s="650"/>
      <c r="AF177" s="650"/>
      <c r="AG177" s="651"/>
      <c r="AH177" s="649"/>
      <c r="AI177" s="650"/>
      <c r="AJ177" s="650"/>
      <c r="AK177" s="650"/>
      <c r="AL177" s="651"/>
      <c r="AM177" s="192"/>
    </row>
    <row r="178" spans="2:40" x14ac:dyDescent="0.3">
      <c r="B178" s="188"/>
      <c r="C178" s="89"/>
      <c r="D178" s="89"/>
      <c r="E178" s="89"/>
      <c r="F178" s="89"/>
      <c r="G178" s="89"/>
      <c r="H178" s="334"/>
      <c r="I178" s="334"/>
      <c r="J178" s="33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192"/>
      <c r="AN178" s="77"/>
    </row>
    <row r="179" spans="2:40" ht="12.5" thickBot="1" x14ac:dyDescent="0.35">
      <c r="B179" s="196"/>
      <c r="C179" s="197"/>
      <c r="D179" s="197"/>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c r="AJ179" s="197"/>
      <c r="AK179" s="197"/>
      <c r="AL179" s="197"/>
      <c r="AM179" s="199"/>
      <c r="AN179" s="77"/>
    </row>
    <row r="180" spans="2:40" x14ac:dyDescent="0.3">
      <c r="B180" s="77"/>
    </row>
    <row r="181" spans="2:40" x14ac:dyDescent="0.3">
      <c r="B181" s="77"/>
    </row>
  </sheetData>
  <sheetProtection algorithmName="SHA-512" hashValue="sHPKYkoqwuo+e2DcC+OuOU0o1+BHOSvMkzTB8aY2hGjcu5Ue5eB97UdorMk1Vk3Gg5lZilOnW5zAwd4eyDUY3Q==" saltValue="WQXBGG858cRJ2PUgEQZ52A==" spinCount="100000" sheet="1" objects="1" scenarios="1"/>
  <mergeCells count="51">
    <mergeCell ref="C158:G158"/>
    <mergeCell ref="C159:G159"/>
    <mergeCell ref="C169:G169"/>
    <mergeCell ref="C163:G163"/>
    <mergeCell ref="C164:G164"/>
    <mergeCell ref="C165:G165"/>
    <mergeCell ref="C166:G166"/>
    <mergeCell ref="C176:G176"/>
    <mergeCell ref="C177:G177"/>
    <mergeCell ref="C138:G138"/>
    <mergeCell ref="C171:G171"/>
    <mergeCell ref="C172:G172"/>
    <mergeCell ref="C173:G173"/>
    <mergeCell ref="C174:G174"/>
    <mergeCell ref="C142:G142"/>
    <mergeCell ref="C143:G143"/>
    <mergeCell ref="C144:G144"/>
    <mergeCell ref="C145:G145"/>
    <mergeCell ref="C146:G146"/>
    <mergeCell ref="C147:G147"/>
    <mergeCell ref="C148:G148"/>
    <mergeCell ref="C160:G160"/>
    <mergeCell ref="C149:G149"/>
    <mergeCell ref="C140:G140"/>
    <mergeCell ref="C141:G141"/>
    <mergeCell ref="C175:G175"/>
    <mergeCell ref="C167:G167"/>
    <mergeCell ref="C168:G168"/>
    <mergeCell ref="C150:G150"/>
    <mergeCell ref="C151:G151"/>
    <mergeCell ref="C152:G152"/>
    <mergeCell ref="C153:G153"/>
    <mergeCell ref="C154:G154"/>
    <mergeCell ref="C170:G170"/>
    <mergeCell ref="C161:G161"/>
    <mergeCell ref="C162:G162"/>
    <mergeCell ref="C155:G155"/>
    <mergeCell ref="C156:G156"/>
    <mergeCell ref="C157:G157"/>
    <mergeCell ref="B3:F3"/>
    <mergeCell ref="D122:J122"/>
    <mergeCell ref="D123:J123"/>
    <mergeCell ref="C139:G139"/>
    <mergeCell ref="D114:J114"/>
    <mergeCell ref="D115:J115"/>
    <mergeCell ref="D116:J116"/>
    <mergeCell ref="D117:J117"/>
    <mergeCell ref="D118:J118"/>
    <mergeCell ref="D119:J119"/>
    <mergeCell ref="D120:J120"/>
    <mergeCell ref="D121:J121"/>
  </mergeCells>
  <phoneticPr fontId="0" type="noConversion"/>
  <conditionalFormatting sqref="AC42:AG42">
    <cfRule type="containsText" dxfId="224" priority="43" operator="containsText" text="FALSE">
      <formula>NOT(ISERROR(SEARCH("FALSE",AC42)))</formula>
    </cfRule>
  </conditionalFormatting>
  <conditionalFormatting sqref="I143:I178">
    <cfRule type="containsText" dxfId="223" priority="40" stopIfTrue="1" operator="containsText" text="[Service]">
      <formula>NOT(ISERROR(SEARCH("[Service]",I143)))</formula>
    </cfRule>
  </conditionalFormatting>
  <conditionalFormatting sqref="J143:J178">
    <cfRule type="containsText" dxfId="222" priority="38" stopIfTrue="1" operator="containsText" text="[Price]">
      <formula>NOT(ISERROR(SEARCH("[Price]",J143)))</formula>
    </cfRule>
  </conditionalFormatting>
  <conditionalFormatting sqref="H143:H178">
    <cfRule type="containsText" dxfId="221" priority="31" stopIfTrue="1" operator="containsText" text="[Source]">
      <formula>NOT(ISERROR(SEARCH("[Source]",H143)))</formula>
    </cfRule>
  </conditionalFormatting>
  <conditionalFormatting sqref="I140">
    <cfRule type="containsText" dxfId="220" priority="24" stopIfTrue="1" operator="containsText" text="[Service]">
      <formula>NOT(ISERROR(SEARCH("[Service]",I140)))</formula>
    </cfRule>
  </conditionalFormatting>
  <conditionalFormatting sqref="J140">
    <cfRule type="containsText" dxfId="219" priority="23" stopIfTrue="1" operator="containsText" text="[Price]">
      <formula>NOT(ISERROR(SEARCH("[Price]",J140)))</formula>
    </cfRule>
  </conditionalFormatting>
  <conditionalFormatting sqref="H140">
    <cfRule type="containsText" dxfId="218" priority="22" stopIfTrue="1" operator="containsText" text="[Source]">
      <formula>NOT(ISERROR(SEARCH("[Source]",H140)))</formula>
    </cfRule>
  </conditionalFormatting>
  <conditionalFormatting sqref="I141">
    <cfRule type="containsText" dxfId="217" priority="21" stopIfTrue="1" operator="containsText" text="[Service]">
      <formula>NOT(ISERROR(SEARCH("[Service]",I141)))</formula>
    </cfRule>
  </conditionalFormatting>
  <conditionalFormatting sqref="J141">
    <cfRule type="containsText" dxfId="216" priority="20" stopIfTrue="1" operator="containsText" text="[Price]">
      <formula>NOT(ISERROR(SEARCH("[Price]",J141)))</formula>
    </cfRule>
  </conditionalFormatting>
  <conditionalFormatting sqref="H141">
    <cfRule type="containsText" dxfId="215" priority="19" stopIfTrue="1" operator="containsText" text="[Source]">
      <formula>NOT(ISERROR(SEARCH("[Source]",H141)))</formula>
    </cfRule>
  </conditionalFormatting>
  <conditionalFormatting sqref="I142">
    <cfRule type="containsText" dxfId="214" priority="18" stopIfTrue="1" operator="containsText" text="[Service]">
      <formula>NOT(ISERROR(SEARCH("[Service]",I142)))</formula>
    </cfRule>
  </conditionalFormatting>
  <conditionalFormatting sqref="J142">
    <cfRule type="containsText" dxfId="213" priority="17" stopIfTrue="1" operator="containsText" text="[Price]">
      <formula>NOT(ISERROR(SEARCH("[Price]",J142)))</formula>
    </cfRule>
  </conditionalFormatting>
  <conditionalFormatting sqref="H142">
    <cfRule type="containsText" dxfId="212" priority="16" stopIfTrue="1" operator="containsText" text="[Source]">
      <formula>NOT(ISERROR(SEARCH("[Source]",H142)))</formula>
    </cfRule>
  </conditionalFormatting>
  <conditionalFormatting sqref="AH42:AL42">
    <cfRule type="containsText" dxfId="211" priority="15" operator="containsText" text="FALSE">
      <formula>NOT(ISERROR(SEARCH("FALSE",AH42)))</formula>
    </cfRule>
  </conditionalFormatting>
  <conditionalFormatting sqref="AC42:AL42">
    <cfRule type="containsText" dxfId="210" priority="10" operator="containsText" text="FALSE">
      <formula>NOT(ISERROR(SEARCH("FALSE",AC42)))</formula>
    </cfRule>
    <cfRule type="containsText" dxfId="209" priority="11" operator="containsText" text="TRUE">
      <formula>NOT(ISERROR(SEARCH("TRUE",AC42)))</formula>
    </cfRule>
  </conditionalFormatting>
  <conditionalFormatting sqref="AC27:AL27">
    <cfRule type="containsText" dxfId="208" priority="9" operator="containsText" text="FALSE">
      <formula>NOT(ISERROR(SEARCH("FALSE",AC27)))</formula>
    </cfRule>
  </conditionalFormatting>
  <conditionalFormatting sqref="AC27:AL27">
    <cfRule type="containsText" dxfId="207" priority="7" operator="containsText" text="FALSE">
      <formula>NOT(ISERROR(SEARCH("FALSE",AC27)))</formula>
    </cfRule>
    <cfRule type="containsText" dxfId="206" priority="8" operator="containsText" text="TRUE">
      <formula>NOT(ISERROR(SEARCH("TRUE",AC27)))</formula>
    </cfRule>
  </conditionalFormatting>
  <conditionalFormatting sqref="I139">
    <cfRule type="containsText" dxfId="205" priority="6" stopIfTrue="1" operator="containsText" text="[Service]">
      <formula>NOT(ISERROR(SEARCH("[Service]",I139)))</formula>
    </cfRule>
  </conditionalFormatting>
  <conditionalFormatting sqref="J139">
    <cfRule type="containsText" dxfId="204" priority="5" stopIfTrue="1" operator="containsText" text="[Price]">
      <formula>NOT(ISERROR(SEARCH("[Price]",J139)))</formula>
    </cfRule>
  </conditionalFormatting>
  <conditionalFormatting sqref="H139">
    <cfRule type="containsText" dxfId="203" priority="4" stopIfTrue="1" operator="containsText" text="[Source]">
      <formula>NOT(ISERROR(SEARCH("[Source]",H139)))</formula>
    </cfRule>
  </conditionalFormatting>
  <conditionalFormatting sqref="I138">
    <cfRule type="containsText" dxfId="202" priority="3" stopIfTrue="1" operator="containsText" text="[Service]">
      <formula>NOT(ISERROR(SEARCH("[Service]",I138)))</formula>
    </cfRule>
  </conditionalFormatting>
  <conditionalFormatting sqref="J138">
    <cfRule type="containsText" dxfId="201" priority="2" stopIfTrue="1" operator="containsText" text="[Price]">
      <formula>NOT(ISERROR(SEARCH("[Price]",J138)))</formula>
    </cfRule>
  </conditionalFormatting>
  <conditionalFormatting sqref="H138">
    <cfRule type="containsText" dxfId="200" priority="1" stopIfTrue="1" operator="containsText" text="[Source]">
      <formula>NOT(ISERROR(SEARCH("[Source]",H138)))</formula>
    </cfRule>
  </conditionalFormatting>
  <dataValidations count="4">
    <dataValidation type="list" allowBlank="1" showInputMessage="1" showErrorMessage="1" sqref="J138:J177" xr:uid="{00000000-0002-0000-0400-000000000000}">
      <formula1>Fixed_or_Var</formula1>
    </dataValidation>
    <dataValidation type="list" allowBlank="1" showInputMessage="1" showErrorMessage="1" sqref="J178" xr:uid="{00000000-0002-0000-0400-000001000000}">
      <formula1>#REF!</formula1>
    </dataValidation>
    <dataValidation type="list" allowBlank="1" showInputMessage="1" showErrorMessage="1" sqref="I138:I178" xr:uid="{00000000-0002-0000-0400-000002000000}">
      <formula1>$AO$140:$AO$144</formula1>
    </dataValidation>
    <dataValidation type="list" allowBlank="1" showInputMessage="1" showErrorMessage="1" sqref="H138:H178" xr:uid="{00000000-0002-0000-0400-000003000000}">
      <formula1>$AO$146:$AO$149</formula1>
    </dataValidation>
  </dataValidations>
  <hyperlinks>
    <hyperlink ref="B3" location="HL_Home" tooltip="Go to Table of Contents" display="HL_Home" xr:uid="{00000000-0004-0000-0400-000000000000}"/>
  </hyperlinks>
  <pageMargins left="0.39370078740157499" right="0.39370078740157499" top="0.59055118110236249" bottom="0.98425196850393748" header="0" footer="0.31496062992125973"/>
  <pageSetup paperSize="9" scale="53" orientation="landscape" r:id="rId1"/>
  <headerFooter alignWithMargins="0">
    <oddHeader>&amp;C&amp;B&amp;"Arial"&amp;12&amp;Kff0000​‌OFFICIAL‌​</oddHeader>
    <oddFooter>&amp;C&amp;"Arial,Bold"&amp;8Sheet c.
Page &amp;P of &amp;N&amp;L&amp;"Arial,Bold"&amp;7&amp;F
&amp;A
Printed: &amp;T on &amp;D</oddFooter>
  </headerFooter>
  <rowBreaks count="1" manualBreakCount="1">
    <brk id="69" min="1" max="2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0" tint="-4.9989318521683403E-2"/>
  </sheetPr>
  <dimension ref="B1:CY1231"/>
  <sheetViews>
    <sheetView showGridLines="0" zoomScaleNormal="100" workbookViewId="0">
      <pane ySplit="3" topLeftCell="A4" activePane="bottomLeft" state="frozen"/>
      <selection pane="bottomLeft" activeCell="D30" sqref="D30"/>
    </sheetView>
  </sheetViews>
  <sheetFormatPr defaultColWidth="9.33203125" defaultRowHeight="12" x14ac:dyDescent="0.3"/>
  <cols>
    <col min="1" max="2" width="3.44140625" style="73" customWidth="1"/>
    <col min="3" max="3" width="50.6640625" style="73" customWidth="1"/>
    <col min="4" max="13" width="15.6640625" style="73" customWidth="1"/>
    <col min="14" max="14" width="5.77734375" style="73" customWidth="1"/>
    <col min="15" max="15" width="3.6640625" style="73" customWidth="1"/>
    <col min="16" max="16" width="3.77734375" style="73" customWidth="1"/>
    <col min="17" max="103" width="9.33203125" style="73" customWidth="1"/>
    <col min="104" max="16384" width="9.33203125" style="73"/>
  </cols>
  <sheetData>
    <row r="1" spans="2:103" ht="14.5" x14ac:dyDescent="0.3">
      <c r="B1" s="158" t="s">
        <v>530</v>
      </c>
      <c r="G1" s="376"/>
      <c r="H1" s="376"/>
      <c r="I1" s="376"/>
      <c r="J1" s="376"/>
      <c r="K1" s="376"/>
      <c r="L1" s="376"/>
      <c r="M1" s="376"/>
      <c r="N1" s="376"/>
      <c r="O1" s="376"/>
      <c r="P1" s="376"/>
      <c r="Q1" s="1501" t="str">
        <f>Q36</f>
        <v>Gross capital expenditure</v>
      </c>
      <c r="R1" s="376"/>
      <c r="S1" s="376"/>
      <c r="T1" s="376"/>
      <c r="U1" s="376"/>
      <c r="V1" s="376"/>
      <c r="W1" s="376"/>
      <c r="X1" s="376"/>
      <c r="Y1" s="376"/>
      <c r="Z1" s="376"/>
      <c r="AA1" s="376"/>
      <c r="AB1" s="1501" t="str">
        <f>AB36</f>
        <v>Government contributions</v>
      </c>
      <c r="AC1" s="376"/>
      <c r="AD1" s="376"/>
      <c r="AE1" s="376"/>
      <c r="AF1" s="376"/>
      <c r="AG1" s="376"/>
      <c r="AH1" s="376"/>
      <c r="AI1" s="376"/>
      <c r="AJ1" s="376"/>
      <c r="AK1" s="376"/>
      <c r="AL1" s="376"/>
      <c r="AM1" s="1501" t="str">
        <f>AM36</f>
        <v>Customer contributions</v>
      </c>
      <c r="AN1" s="376"/>
      <c r="AO1" s="376"/>
      <c r="AP1" s="376"/>
      <c r="AQ1" s="376"/>
      <c r="AR1" s="376"/>
      <c r="AS1" s="376"/>
      <c r="AT1" s="376"/>
      <c r="AU1" s="376"/>
      <c r="AV1" s="376"/>
      <c r="AW1" s="376"/>
      <c r="AX1" s="1501" t="str">
        <f>AX36</f>
        <v>Net capital expenditure</v>
      </c>
      <c r="AY1" s="376"/>
      <c r="AZ1" s="376"/>
      <c r="BA1" s="376"/>
      <c r="BB1" s="376"/>
      <c r="BC1" s="376"/>
      <c r="BD1" s="376"/>
      <c r="BE1" s="376"/>
      <c r="BF1" s="376"/>
      <c r="BG1" s="376"/>
      <c r="BH1" s="376"/>
      <c r="BI1" s="1501" t="str">
        <f>BI36</f>
        <v>Regulatory Depreciation</v>
      </c>
      <c r="BJ1" s="376"/>
      <c r="BK1" s="376"/>
      <c r="BL1" s="376"/>
      <c r="BM1" s="376"/>
      <c r="BN1" s="376"/>
      <c r="BO1" s="376"/>
      <c r="BP1" s="376"/>
      <c r="BQ1" s="376"/>
      <c r="BR1" s="376"/>
      <c r="BS1" s="376"/>
      <c r="BT1" s="1501" t="str">
        <f>BT36</f>
        <v>Accumulated capex</v>
      </c>
      <c r="BU1" s="376"/>
      <c r="BV1" s="376"/>
      <c r="BW1" s="376"/>
      <c r="BX1" s="376"/>
      <c r="BY1" s="376"/>
      <c r="BZ1" s="376"/>
      <c r="CA1" s="376"/>
      <c r="CB1" s="376"/>
      <c r="CC1" s="376"/>
      <c r="CD1" s="376"/>
      <c r="CE1" s="1501" t="str">
        <f>CE36</f>
        <v>Gross capital expenditure</v>
      </c>
      <c r="CF1" s="376"/>
      <c r="CG1" s="376"/>
      <c r="CH1" s="376"/>
      <c r="CI1" s="376"/>
      <c r="CJ1" s="376"/>
      <c r="CK1" s="376"/>
      <c r="CL1" s="376"/>
      <c r="CM1" s="376"/>
      <c r="CN1" s="376"/>
      <c r="CO1" s="376"/>
      <c r="CP1" s="1501" t="str">
        <f>CP36</f>
        <v>Tax Depreciation</v>
      </c>
      <c r="CQ1" s="376"/>
      <c r="CR1" s="376"/>
      <c r="CS1" s="376"/>
      <c r="CT1" s="376"/>
      <c r="CU1" s="376"/>
      <c r="CV1" s="376"/>
      <c r="CW1" s="376"/>
      <c r="CX1" s="376"/>
      <c r="CY1" s="376"/>
    </row>
    <row r="2" spans="2:103" ht="13" x14ac:dyDescent="0.3">
      <c r="B2" s="1359" t="str">
        <f>+Contents!H7</f>
        <v>Central Highlands Water</v>
      </c>
      <c r="G2" s="376"/>
      <c r="H2" s="376"/>
      <c r="I2" s="376"/>
      <c r="J2" s="376"/>
      <c r="K2" s="376"/>
      <c r="L2" s="376"/>
      <c r="M2" s="376"/>
      <c r="N2" s="376"/>
      <c r="O2" s="376"/>
      <c r="P2" s="376"/>
      <c r="Q2" s="1502" t="str">
        <f>Q37</f>
        <v>$m, 01/01/23</v>
      </c>
      <c r="R2" s="376"/>
      <c r="S2" s="376"/>
      <c r="T2" s="376"/>
      <c r="U2" s="376"/>
      <c r="V2" s="376"/>
      <c r="W2" s="376"/>
      <c r="X2" s="376"/>
      <c r="Y2" s="376"/>
      <c r="Z2" s="376"/>
      <c r="AA2" s="376"/>
      <c r="AB2" s="1502" t="str">
        <f>AB37</f>
        <v>$m, 01/01/23</v>
      </c>
      <c r="AC2" s="376"/>
      <c r="AD2" s="376"/>
      <c r="AE2" s="376"/>
      <c r="AF2" s="376"/>
      <c r="AG2" s="376"/>
      <c r="AH2" s="376"/>
      <c r="AI2" s="376"/>
      <c r="AJ2" s="376"/>
      <c r="AK2" s="376"/>
      <c r="AL2" s="376"/>
      <c r="AM2" s="1502" t="str">
        <f>AM37</f>
        <v>$m, 01/01/23</v>
      </c>
      <c r="AN2" s="376"/>
      <c r="AO2" s="376"/>
      <c r="AP2" s="376"/>
      <c r="AQ2" s="376"/>
      <c r="AR2" s="376"/>
      <c r="AS2" s="376"/>
      <c r="AT2" s="376"/>
      <c r="AU2" s="376"/>
      <c r="AV2" s="376"/>
      <c r="AW2" s="376"/>
      <c r="AX2" s="1502" t="str">
        <f>AX37</f>
        <v>$m, 01/01/23</v>
      </c>
      <c r="AY2" s="376"/>
      <c r="AZ2" s="376"/>
      <c r="BA2" s="376"/>
      <c r="BB2" s="376"/>
      <c r="BC2" s="376"/>
      <c r="BD2" s="376"/>
      <c r="BE2" s="376"/>
      <c r="BF2" s="376"/>
      <c r="BG2" s="376"/>
      <c r="BH2" s="376"/>
      <c r="BI2" s="1502" t="str">
        <f>BI37</f>
        <v>$m, 01/01/23</v>
      </c>
      <c r="BJ2" s="376"/>
      <c r="BK2" s="376"/>
      <c r="BL2" s="376"/>
      <c r="BM2" s="376"/>
      <c r="BN2" s="376"/>
      <c r="BO2" s="376"/>
      <c r="BP2" s="376"/>
      <c r="BQ2" s="376"/>
      <c r="BR2" s="376"/>
      <c r="BS2" s="376"/>
      <c r="BT2" s="1502" t="str">
        <f>BT37</f>
        <v>$m, 01/01/23</v>
      </c>
      <c r="BU2" s="376"/>
      <c r="BV2" s="376"/>
      <c r="BW2" s="376"/>
      <c r="BX2" s="376"/>
      <c r="BY2" s="376"/>
      <c r="BZ2" s="376"/>
      <c r="CA2" s="376"/>
      <c r="CB2" s="376"/>
      <c r="CC2" s="376"/>
      <c r="CD2" s="376"/>
      <c r="CE2" s="1502" t="str">
        <f>CE37</f>
        <v>Nominal,$</v>
      </c>
      <c r="CF2" s="376"/>
      <c r="CG2" s="376"/>
      <c r="CH2" s="376"/>
      <c r="CI2" s="376"/>
      <c r="CJ2" s="376"/>
      <c r="CK2" s="376"/>
      <c r="CL2" s="376"/>
      <c r="CM2" s="376"/>
      <c r="CN2" s="376"/>
      <c r="CO2" s="376"/>
      <c r="CP2" s="1502" t="str">
        <f>CP37</f>
        <v>Nominal,$</v>
      </c>
      <c r="CQ2" s="376"/>
      <c r="CR2" s="376"/>
      <c r="CS2" s="376"/>
      <c r="CT2" s="376"/>
      <c r="CU2" s="376"/>
      <c r="CV2" s="376"/>
      <c r="CW2" s="376"/>
      <c r="CX2" s="376"/>
      <c r="CY2" s="376"/>
    </row>
    <row r="3" spans="2:103" x14ac:dyDescent="0.3">
      <c r="B3" s="377" t="s">
        <v>0</v>
      </c>
      <c r="C3" s="377"/>
      <c r="D3" s="377"/>
      <c r="E3" s="377"/>
      <c r="F3" s="377"/>
      <c r="G3" s="376"/>
      <c r="H3" s="376"/>
      <c r="I3" s="376"/>
      <c r="J3" s="376"/>
      <c r="K3" s="376"/>
      <c r="L3" s="376"/>
      <c r="M3" s="376"/>
      <c r="N3" s="376"/>
      <c r="O3" s="376"/>
      <c r="P3" s="376"/>
      <c r="Q3" s="1503" t="str">
        <f>Q39</f>
        <v>2023-24</v>
      </c>
      <c r="R3" s="1503" t="str">
        <f t="shared" ref="R3:CQ3" si="0">R39</f>
        <v>2024-25</v>
      </c>
      <c r="S3" s="1503" t="str">
        <f t="shared" si="0"/>
        <v>2025-26</v>
      </c>
      <c r="T3" s="1503" t="str">
        <f t="shared" si="0"/>
        <v>2026-27</v>
      </c>
      <c r="U3" s="1503" t="str">
        <f t="shared" si="0"/>
        <v>2027-28</v>
      </c>
      <c r="V3" s="1503" t="str">
        <f t="shared" si="0"/>
        <v>2028-29</v>
      </c>
      <c r="W3" s="1503" t="str">
        <f t="shared" si="0"/>
        <v>2029-30</v>
      </c>
      <c r="X3" s="1503" t="str">
        <f t="shared" si="0"/>
        <v>2030-31</v>
      </c>
      <c r="Y3" s="1503" t="str">
        <f>Y39</f>
        <v>2031-32</v>
      </c>
      <c r="Z3" s="1503" t="str">
        <f>Z39</f>
        <v>2032-33</v>
      </c>
      <c r="AA3" s="376"/>
      <c r="AB3" s="1503" t="str">
        <f t="shared" si="0"/>
        <v>2023-24</v>
      </c>
      <c r="AC3" s="1503" t="str">
        <f t="shared" si="0"/>
        <v>2024-25</v>
      </c>
      <c r="AD3" s="1503" t="str">
        <f t="shared" si="0"/>
        <v>2025-26</v>
      </c>
      <c r="AE3" s="1503" t="str">
        <f t="shared" si="0"/>
        <v>2026-27</v>
      </c>
      <c r="AF3" s="1503" t="str">
        <f t="shared" si="0"/>
        <v>2027-28</v>
      </c>
      <c r="AG3" s="1503" t="str">
        <f t="shared" si="0"/>
        <v>2028-29</v>
      </c>
      <c r="AH3" s="1503" t="str">
        <f t="shared" si="0"/>
        <v>2029-30</v>
      </c>
      <c r="AI3" s="1503" t="str">
        <f t="shared" si="0"/>
        <v>2030-31</v>
      </c>
      <c r="AJ3" s="1503" t="str">
        <f t="shared" si="0"/>
        <v>2031-32</v>
      </c>
      <c r="AK3" s="1503" t="str">
        <f t="shared" si="0"/>
        <v>2032-33</v>
      </c>
      <c r="AL3" s="376"/>
      <c r="AM3" s="1503" t="str">
        <f t="shared" si="0"/>
        <v>2023-24</v>
      </c>
      <c r="AN3" s="1503" t="str">
        <f t="shared" si="0"/>
        <v>2024-25</v>
      </c>
      <c r="AO3" s="1503" t="str">
        <f t="shared" si="0"/>
        <v>2025-26</v>
      </c>
      <c r="AP3" s="1503" t="str">
        <f t="shared" si="0"/>
        <v>2026-27</v>
      </c>
      <c r="AQ3" s="1503" t="str">
        <f t="shared" si="0"/>
        <v>2027-28</v>
      </c>
      <c r="AR3" s="1503" t="str">
        <f t="shared" si="0"/>
        <v>2028-29</v>
      </c>
      <c r="AS3" s="1503" t="str">
        <f t="shared" si="0"/>
        <v>2029-30</v>
      </c>
      <c r="AT3" s="1503" t="str">
        <f t="shared" si="0"/>
        <v>2030-31</v>
      </c>
      <c r="AU3" s="1503" t="str">
        <f t="shared" si="0"/>
        <v>2031-32</v>
      </c>
      <c r="AV3" s="1503" t="str">
        <f t="shared" si="0"/>
        <v>2032-33</v>
      </c>
      <c r="AW3" s="376"/>
      <c r="AX3" s="1503" t="str">
        <f t="shared" si="0"/>
        <v>2023-24</v>
      </c>
      <c r="AY3" s="1503" t="str">
        <f t="shared" si="0"/>
        <v>2024-25</v>
      </c>
      <c r="AZ3" s="1503" t="str">
        <f t="shared" si="0"/>
        <v>2025-26</v>
      </c>
      <c r="BA3" s="1503" t="str">
        <f t="shared" si="0"/>
        <v>2026-27</v>
      </c>
      <c r="BB3" s="1503" t="str">
        <f t="shared" si="0"/>
        <v>2027-28</v>
      </c>
      <c r="BC3" s="1503" t="str">
        <f t="shared" si="0"/>
        <v>2028-29</v>
      </c>
      <c r="BD3" s="1503" t="str">
        <f t="shared" si="0"/>
        <v>2029-30</v>
      </c>
      <c r="BE3" s="1503" t="str">
        <f t="shared" si="0"/>
        <v>2030-31</v>
      </c>
      <c r="BF3" s="1503" t="str">
        <f t="shared" si="0"/>
        <v>2031-32</v>
      </c>
      <c r="BG3" s="1503" t="str">
        <f t="shared" si="0"/>
        <v>2032-33</v>
      </c>
      <c r="BH3" s="376"/>
      <c r="BI3" s="1503" t="str">
        <f t="shared" si="0"/>
        <v>2023-24</v>
      </c>
      <c r="BJ3" s="1503" t="str">
        <f t="shared" si="0"/>
        <v>2024-25</v>
      </c>
      <c r="BK3" s="1503" t="str">
        <f t="shared" si="0"/>
        <v>2025-26</v>
      </c>
      <c r="BL3" s="1503" t="str">
        <f t="shared" si="0"/>
        <v>2026-27</v>
      </c>
      <c r="BM3" s="1503" t="str">
        <f t="shared" si="0"/>
        <v>2027-28</v>
      </c>
      <c r="BN3" s="1503" t="str">
        <f t="shared" si="0"/>
        <v>2028-29</v>
      </c>
      <c r="BO3" s="1503" t="str">
        <f t="shared" si="0"/>
        <v>2029-30</v>
      </c>
      <c r="BP3" s="1503" t="str">
        <f t="shared" si="0"/>
        <v>2030-31</v>
      </c>
      <c r="BQ3" s="1503" t="str">
        <f t="shared" si="0"/>
        <v>2031-32</v>
      </c>
      <c r="BR3" s="1503" t="str">
        <f t="shared" si="0"/>
        <v>2032-33</v>
      </c>
      <c r="BS3" s="376"/>
      <c r="BT3" s="1503" t="str">
        <f t="shared" si="0"/>
        <v>2023-24</v>
      </c>
      <c r="BU3" s="1503" t="str">
        <f t="shared" si="0"/>
        <v>2024-25</v>
      </c>
      <c r="BV3" s="1503" t="str">
        <f t="shared" si="0"/>
        <v>2025-26</v>
      </c>
      <c r="BW3" s="1503" t="str">
        <f t="shared" si="0"/>
        <v>2026-27</v>
      </c>
      <c r="BX3" s="1503" t="str">
        <f t="shared" si="0"/>
        <v>2027-28</v>
      </c>
      <c r="BY3" s="1503" t="str">
        <f t="shared" si="0"/>
        <v>2028-29</v>
      </c>
      <c r="BZ3" s="1503" t="str">
        <f t="shared" si="0"/>
        <v>2029-30</v>
      </c>
      <c r="CA3" s="1503" t="str">
        <f t="shared" si="0"/>
        <v>2030-31</v>
      </c>
      <c r="CB3" s="1503" t="str">
        <f>CB39</f>
        <v>2031-32</v>
      </c>
      <c r="CC3" s="1503" t="str">
        <f>CC39</f>
        <v>2032-33</v>
      </c>
      <c r="CD3" s="376"/>
      <c r="CE3" s="1503" t="str">
        <f t="shared" si="0"/>
        <v>2023-24</v>
      </c>
      <c r="CF3" s="1503" t="str">
        <f t="shared" si="0"/>
        <v>2024-25</v>
      </c>
      <c r="CG3" s="1503" t="str">
        <f t="shared" si="0"/>
        <v>2025-26</v>
      </c>
      <c r="CH3" s="1503" t="str">
        <f t="shared" si="0"/>
        <v>2026-27</v>
      </c>
      <c r="CI3" s="1503" t="str">
        <f t="shared" si="0"/>
        <v>2027-28</v>
      </c>
      <c r="CJ3" s="1503" t="str">
        <f t="shared" si="0"/>
        <v>2028-29</v>
      </c>
      <c r="CK3" s="1503" t="str">
        <f t="shared" si="0"/>
        <v>2029-30</v>
      </c>
      <c r="CL3" s="1503" t="str">
        <f t="shared" si="0"/>
        <v>2030-31</v>
      </c>
      <c r="CM3" s="1503" t="str">
        <f>CM39</f>
        <v>2031-32</v>
      </c>
      <c r="CN3" s="1503" t="str">
        <f>CN39</f>
        <v>2032-33</v>
      </c>
      <c r="CO3" s="376"/>
      <c r="CP3" s="1503" t="str">
        <f t="shared" si="0"/>
        <v>2023-24</v>
      </c>
      <c r="CQ3" s="1503" t="str">
        <f t="shared" si="0"/>
        <v>2024-25</v>
      </c>
      <c r="CR3" s="1503" t="str">
        <f t="shared" ref="CR3:CW3" si="1">CR39</f>
        <v>2025-26</v>
      </c>
      <c r="CS3" s="1503" t="str">
        <f t="shared" si="1"/>
        <v>2026-27</v>
      </c>
      <c r="CT3" s="1503" t="str">
        <f t="shared" si="1"/>
        <v>2027-28</v>
      </c>
      <c r="CU3" s="1503" t="str">
        <f t="shared" si="1"/>
        <v>2028-29</v>
      </c>
      <c r="CV3" s="1503" t="str">
        <f t="shared" si="1"/>
        <v>2029-30</v>
      </c>
      <c r="CW3" s="1503" t="str">
        <f t="shared" si="1"/>
        <v>2030-31</v>
      </c>
      <c r="CX3" s="1503" t="str">
        <f>CX39</f>
        <v>2031-32</v>
      </c>
      <c r="CY3" s="1503" t="str">
        <f>CY39</f>
        <v>2032-33</v>
      </c>
    </row>
    <row r="4" spans="2:103" x14ac:dyDescent="0.3">
      <c r="B4" s="376"/>
      <c r="C4" s="376"/>
      <c r="D4" s="376"/>
      <c r="E4" s="376"/>
      <c r="F4" s="376"/>
      <c r="G4" s="376"/>
      <c r="H4" s="376"/>
      <c r="I4" s="376"/>
      <c r="J4" s="1124"/>
      <c r="K4" s="376"/>
      <c r="L4" s="376"/>
      <c r="M4" s="376"/>
      <c r="N4" s="1124"/>
      <c r="O4" s="1124"/>
      <c r="P4" s="1124"/>
      <c r="Q4" s="1124"/>
      <c r="R4" s="376"/>
      <c r="S4" s="376"/>
      <c r="T4" s="376"/>
      <c r="U4" s="376"/>
      <c r="V4" s="376"/>
      <c r="W4" s="376"/>
      <c r="X4" s="376"/>
      <c r="Y4" s="376"/>
      <c r="Z4" s="398"/>
      <c r="AA4" s="398"/>
      <c r="AB4" s="398"/>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c r="BP4" s="376"/>
      <c r="BQ4" s="376"/>
      <c r="BR4" s="376"/>
      <c r="BS4" s="376"/>
      <c r="BT4" s="376"/>
      <c r="BU4" s="376"/>
      <c r="BV4" s="376"/>
      <c r="BW4" s="376"/>
      <c r="BX4" s="376"/>
      <c r="BY4" s="376"/>
      <c r="BZ4" s="376"/>
      <c r="CA4" s="376"/>
      <c r="CB4" s="376"/>
      <c r="CC4" s="376"/>
      <c r="CD4" s="376"/>
      <c r="CE4" s="376"/>
      <c r="CF4" s="376"/>
      <c r="CG4" s="376"/>
      <c r="CH4" s="376"/>
      <c r="CI4" s="376"/>
      <c r="CJ4" s="376"/>
      <c r="CK4" s="376"/>
      <c r="CL4" s="376"/>
      <c r="CM4" s="376"/>
      <c r="CN4" s="376"/>
      <c r="CO4" s="376"/>
      <c r="CP4" s="376"/>
      <c r="CQ4" s="376"/>
      <c r="CR4" s="376"/>
      <c r="CS4" s="376"/>
      <c r="CT4" s="376"/>
      <c r="CU4" s="376"/>
      <c r="CV4" s="376"/>
      <c r="CW4" s="376"/>
      <c r="CX4" s="376"/>
      <c r="CY4" s="376"/>
    </row>
    <row r="5" spans="2:103" ht="12.5" thickBot="1" x14ac:dyDescent="0.35">
      <c r="B5" s="376"/>
      <c r="C5" s="376"/>
      <c r="D5" s="376"/>
      <c r="E5" s="376"/>
      <c r="F5" s="376"/>
      <c r="G5" s="376"/>
      <c r="H5" s="376"/>
      <c r="I5" s="376"/>
      <c r="J5" s="1124"/>
      <c r="K5" s="376"/>
      <c r="L5" s="376"/>
      <c r="M5" s="376"/>
      <c r="N5" s="1124"/>
      <c r="O5" s="1124"/>
      <c r="P5" s="1124"/>
      <c r="Q5" s="1124"/>
      <c r="R5" s="376"/>
      <c r="S5" s="376"/>
      <c r="T5" s="376"/>
      <c r="U5" s="376"/>
      <c r="V5" s="376"/>
      <c r="W5" s="376"/>
      <c r="X5" s="376"/>
      <c r="Y5" s="376"/>
      <c r="Z5" s="398"/>
      <c r="AA5" s="398"/>
      <c r="AB5" s="398"/>
      <c r="AC5" s="376"/>
      <c r="AD5" s="376"/>
      <c r="AE5" s="376"/>
      <c r="AF5" s="376"/>
      <c r="AG5" s="376"/>
      <c r="AH5" s="376"/>
      <c r="AI5" s="376"/>
      <c r="AJ5" s="376"/>
      <c r="AK5" s="376"/>
      <c r="AL5" s="376"/>
      <c r="AM5" s="376"/>
      <c r="AN5" s="376"/>
      <c r="AO5" s="376"/>
      <c r="AP5" s="376"/>
      <c r="AQ5" s="376"/>
      <c r="AR5" s="376"/>
      <c r="AS5" s="376"/>
      <c r="AT5" s="376"/>
      <c r="AU5" s="376"/>
      <c r="AV5" s="376"/>
      <c r="AW5" s="376"/>
      <c r="AX5" s="376"/>
      <c r="AY5" s="376"/>
      <c r="AZ5" s="376"/>
      <c r="BA5" s="376"/>
      <c r="BB5" s="376"/>
      <c r="BC5" s="376"/>
      <c r="BD5" s="376"/>
      <c r="BE5" s="376"/>
      <c r="BF5" s="376"/>
      <c r="BG5" s="376"/>
      <c r="BH5" s="376"/>
      <c r="BI5" s="376"/>
      <c r="BJ5" s="376"/>
      <c r="BK5" s="376"/>
      <c r="BL5" s="376"/>
      <c r="BM5" s="376"/>
      <c r="BN5" s="376"/>
      <c r="BO5" s="376"/>
      <c r="BP5" s="376"/>
      <c r="BQ5" s="376"/>
      <c r="BR5" s="376"/>
      <c r="BS5" s="376"/>
      <c r="BT5" s="376"/>
      <c r="BU5" s="376"/>
      <c r="BV5" s="376"/>
      <c r="BW5" s="376"/>
      <c r="BX5" s="376"/>
      <c r="BY5" s="376"/>
      <c r="BZ5" s="376"/>
      <c r="CA5" s="376"/>
      <c r="CB5" s="376"/>
      <c r="CC5" s="376"/>
      <c r="CD5" s="376"/>
      <c r="CE5" s="376"/>
      <c r="CF5" s="376"/>
      <c r="CG5" s="376"/>
      <c r="CH5" s="376"/>
      <c r="CI5" s="376"/>
      <c r="CJ5" s="376"/>
      <c r="CK5" s="376"/>
      <c r="CL5" s="376"/>
      <c r="CM5" s="376"/>
      <c r="CN5" s="376"/>
      <c r="CO5" s="376"/>
      <c r="CP5" s="376"/>
      <c r="CQ5" s="376"/>
      <c r="CR5" s="376"/>
      <c r="CS5" s="376"/>
      <c r="CT5" s="376"/>
      <c r="CU5" s="376"/>
      <c r="CV5" s="376"/>
      <c r="CW5" s="376"/>
      <c r="CX5" s="376"/>
      <c r="CY5" s="376"/>
    </row>
    <row r="6" spans="2:103" x14ac:dyDescent="0.3">
      <c r="B6" s="378"/>
      <c r="C6" s="379"/>
      <c r="D6" s="379"/>
      <c r="E6" s="379"/>
      <c r="F6" s="379"/>
      <c r="G6" s="379"/>
      <c r="H6" s="379"/>
      <c r="I6" s="1223"/>
      <c r="J6" s="1224"/>
      <c r="K6" s="1223"/>
      <c r="L6" s="1223"/>
      <c r="M6" s="1223"/>
      <c r="N6" s="1225"/>
      <c r="O6" s="1124"/>
      <c r="P6" s="1124"/>
      <c r="Q6" s="1125"/>
      <c r="R6" s="376"/>
      <c r="S6" s="376"/>
      <c r="T6" s="376"/>
      <c r="U6" s="376"/>
      <c r="V6" s="376"/>
      <c r="W6" s="376"/>
      <c r="X6" s="376"/>
      <c r="Y6" s="376"/>
      <c r="Z6" s="398"/>
      <c r="AA6" s="398"/>
      <c r="AB6" s="398"/>
      <c r="AC6" s="376"/>
      <c r="AD6" s="376"/>
      <c r="AE6" s="376"/>
      <c r="AF6" s="376"/>
      <c r="AG6" s="376"/>
      <c r="AH6" s="376"/>
      <c r="AI6" s="376"/>
      <c r="AJ6" s="376"/>
      <c r="AK6" s="376"/>
      <c r="AL6" s="376"/>
      <c r="AM6" s="376"/>
      <c r="AN6" s="376"/>
      <c r="AO6" s="376"/>
      <c r="AP6" s="376"/>
      <c r="AQ6" s="376"/>
      <c r="AR6" s="376"/>
      <c r="AS6" s="376"/>
      <c r="AT6" s="376"/>
      <c r="AU6" s="376"/>
      <c r="AV6" s="376"/>
      <c r="AW6" s="376"/>
      <c r="AX6" s="376"/>
      <c r="AY6" s="376"/>
      <c r="AZ6" s="376"/>
      <c r="BA6" s="376"/>
      <c r="BB6" s="376"/>
      <c r="BC6" s="376"/>
      <c r="BD6" s="376"/>
      <c r="BE6" s="376"/>
      <c r="BF6" s="376"/>
      <c r="BG6" s="376"/>
      <c r="BH6" s="376"/>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376"/>
      <c r="CH6" s="376"/>
      <c r="CI6" s="376"/>
      <c r="CJ6" s="376"/>
      <c r="CK6" s="376"/>
      <c r="CL6" s="376"/>
      <c r="CM6" s="376"/>
      <c r="CN6" s="376"/>
      <c r="CO6" s="376"/>
      <c r="CP6" s="376"/>
      <c r="CQ6" s="376"/>
      <c r="CR6" s="376"/>
      <c r="CS6" s="376"/>
      <c r="CT6" s="376"/>
      <c r="CU6" s="376"/>
      <c r="CV6" s="376"/>
      <c r="CW6" s="376"/>
      <c r="CX6" s="376"/>
      <c r="CY6" s="376"/>
    </row>
    <row r="7" spans="2:103" x14ac:dyDescent="0.3">
      <c r="B7" s="380"/>
      <c r="C7" s="271" t="s">
        <v>552</v>
      </c>
      <c r="D7" s="1944"/>
      <c r="E7" s="1945"/>
      <c r="F7" s="1575" t="s">
        <v>457</v>
      </c>
      <c r="G7" s="1575"/>
      <c r="H7" s="1574"/>
      <c r="I7" s="1573"/>
      <c r="J7" s="1575"/>
      <c r="K7" s="1575" t="s">
        <v>903</v>
      </c>
      <c r="L7" s="1945"/>
      <c r="M7" s="1946"/>
      <c r="N7" s="1226"/>
      <c r="O7" s="1124"/>
      <c r="P7" s="1124"/>
      <c r="Q7" s="1125"/>
      <c r="R7" s="376"/>
      <c r="S7" s="376"/>
      <c r="T7" s="376"/>
      <c r="U7" s="376"/>
      <c r="V7" s="376"/>
      <c r="W7" s="376"/>
      <c r="X7" s="376"/>
      <c r="Y7" s="376"/>
      <c r="Z7" s="398"/>
      <c r="AA7" s="398"/>
      <c r="AB7" s="398"/>
      <c r="AC7" s="376"/>
      <c r="AD7" s="376"/>
      <c r="AE7" s="376"/>
      <c r="AF7" s="376"/>
      <c r="AG7" s="376"/>
      <c r="AH7" s="376"/>
      <c r="AI7" s="376"/>
      <c r="AJ7" s="376"/>
      <c r="AK7" s="376"/>
      <c r="AL7" s="376"/>
      <c r="AM7" s="376"/>
      <c r="AN7" s="376"/>
      <c r="AO7" s="376"/>
      <c r="AP7" s="376"/>
      <c r="AQ7" s="376"/>
      <c r="AR7" s="376"/>
      <c r="AS7" s="376"/>
      <c r="AT7" s="376"/>
      <c r="AU7" s="376"/>
      <c r="AV7" s="376"/>
      <c r="AW7" s="376"/>
      <c r="AX7" s="376"/>
      <c r="AY7" s="376"/>
      <c r="AZ7" s="376"/>
      <c r="BA7" s="376"/>
      <c r="BB7" s="376"/>
      <c r="BC7" s="376"/>
      <c r="BD7" s="376"/>
      <c r="BE7" s="376"/>
      <c r="BF7" s="376"/>
      <c r="BG7" s="376"/>
      <c r="BH7" s="376"/>
      <c r="BI7" s="376"/>
      <c r="BJ7" s="376"/>
      <c r="BK7" s="376"/>
      <c r="BL7" s="376"/>
      <c r="BM7" s="376"/>
      <c r="BN7" s="376"/>
      <c r="BO7" s="376"/>
      <c r="BP7" s="376"/>
      <c r="BQ7" s="376"/>
      <c r="BR7" s="376"/>
      <c r="BS7" s="376"/>
      <c r="BT7" s="376"/>
      <c r="BU7" s="376"/>
      <c r="BV7" s="376"/>
      <c r="BW7" s="376"/>
      <c r="BX7" s="376"/>
      <c r="BY7" s="376"/>
      <c r="BZ7" s="376"/>
      <c r="CA7" s="376"/>
      <c r="CB7" s="376"/>
      <c r="CC7" s="376"/>
      <c r="CD7" s="376"/>
      <c r="CE7" s="376"/>
      <c r="CF7" s="376"/>
      <c r="CG7" s="376"/>
      <c r="CH7" s="376"/>
      <c r="CI7" s="376"/>
      <c r="CJ7" s="376"/>
      <c r="CK7" s="376"/>
      <c r="CL7" s="376"/>
      <c r="CM7" s="376"/>
      <c r="CN7" s="376"/>
      <c r="CO7" s="376"/>
      <c r="CP7" s="376"/>
      <c r="CQ7" s="376"/>
      <c r="CR7" s="376"/>
      <c r="CS7" s="376"/>
      <c r="CT7" s="376"/>
      <c r="CU7" s="376"/>
      <c r="CV7" s="376"/>
      <c r="CW7" s="376"/>
      <c r="CX7" s="376"/>
      <c r="CY7" s="376"/>
    </row>
    <row r="8" spans="2:103" x14ac:dyDescent="0.3">
      <c r="B8" s="380"/>
      <c r="C8" s="382"/>
      <c r="D8" s="383"/>
      <c r="E8" s="82"/>
      <c r="F8" s="82"/>
      <c r="G8" s="72"/>
      <c r="H8" s="84"/>
      <c r="I8" s="84"/>
      <c r="J8" s="84"/>
      <c r="K8" s="84"/>
      <c r="L8" s="84"/>
      <c r="M8" s="84"/>
      <c r="N8" s="1226"/>
      <c r="O8" s="1124"/>
      <c r="P8" s="1124"/>
      <c r="Q8" s="1125"/>
      <c r="R8" s="376"/>
      <c r="S8" s="376"/>
      <c r="T8" s="376"/>
      <c r="U8" s="376"/>
      <c r="V8" s="376"/>
      <c r="W8" s="376"/>
      <c r="X8" s="376"/>
      <c r="Y8" s="376"/>
      <c r="Z8" s="398"/>
      <c r="AA8" s="398"/>
      <c r="AB8" s="398"/>
      <c r="AC8" s="376"/>
      <c r="AD8" s="376"/>
      <c r="AE8" s="376"/>
      <c r="AF8" s="376"/>
      <c r="AG8" s="376"/>
      <c r="AH8" s="376"/>
      <c r="AI8" s="376"/>
      <c r="AJ8" s="376"/>
      <c r="AK8" s="376"/>
      <c r="AL8" s="376"/>
      <c r="AM8" s="376"/>
      <c r="AN8" s="376"/>
      <c r="AO8" s="376"/>
      <c r="AP8" s="376"/>
      <c r="AQ8" s="376"/>
      <c r="AR8" s="376"/>
      <c r="AS8" s="376"/>
      <c r="AT8" s="376"/>
      <c r="AU8" s="376"/>
      <c r="AV8" s="376"/>
      <c r="AW8" s="376"/>
      <c r="AX8" s="376"/>
      <c r="AY8" s="376"/>
      <c r="AZ8" s="376"/>
      <c r="BA8" s="376"/>
      <c r="BB8" s="376"/>
      <c r="BC8" s="376"/>
      <c r="BD8" s="376"/>
      <c r="BE8" s="376"/>
      <c r="BF8" s="376"/>
      <c r="BG8" s="376"/>
      <c r="BH8" s="376"/>
      <c r="BI8" s="376"/>
      <c r="BJ8" s="376"/>
      <c r="BK8" s="376"/>
      <c r="BL8" s="376"/>
      <c r="BM8" s="376"/>
      <c r="BN8" s="376"/>
      <c r="BO8" s="376"/>
      <c r="BP8" s="376"/>
      <c r="BQ8" s="376"/>
      <c r="BR8" s="376"/>
      <c r="BS8" s="376"/>
      <c r="BT8" s="376"/>
      <c r="BU8" s="376"/>
      <c r="BV8" s="376"/>
      <c r="BW8" s="376"/>
      <c r="BX8" s="376"/>
      <c r="BY8" s="376"/>
      <c r="BZ8" s="376"/>
      <c r="CA8" s="376"/>
      <c r="CB8" s="376"/>
      <c r="CC8" s="376"/>
      <c r="CD8" s="376"/>
      <c r="CE8" s="376"/>
      <c r="CF8" s="376"/>
      <c r="CG8" s="376"/>
      <c r="CH8" s="376"/>
      <c r="CI8" s="376"/>
      <c r="CJ8" s="376"/>
      <c r="CK8" s="376"/>
      <c r="CL8" s="376"/>
      <c r="CM8" s="376"/>
      <c r="CN8" s="376"/>
      <c r="CO8" s="376"/>
      <c r="CP8" s="376"/>
      <c r="CQ8" s="376"/>
      <c r="CR8" s="376"/>
      <c r="CS8" s="376"/>
      <c r="CT8" s="376"/>
      <c r="CU8" s="376"/>
      <c r="CV8" s="376"/>
      <c r="CW8" s="376"/>
      <c r="CX8" s="376"/>
      <c r="CY8" s="376"/>
    </row>
    <row r="9" spans="2:103" x14ac:dyDescent="0.3">
      <c r="B9" s="380"/>
      <c r="C9" s="382"/>
      <c r="D9" s="1504" t="str">
        <f>+Q39</f>
        <v>2023-24</v>
      </c>
      <c r="E9" s="1504" t="str">
        <f t="shared" ref="E9:K9" si="2">+R39</f>
        <v>2024-25</v>
      </c>
      <c r="F9" s="1504" t="str">
        <f t="shared" si="2"/>
        <v>2025-26</v>
      </c>
      <c r="G9" s="1504" t="str">
        <f t="shared" si="2"/>
        <v>2026-27</v>
      </c>
      <c r="H9" s="1504" t="str">
        <f t="shared" si="2"/>
        <v>2027-28</v>
      </c>
      <c r="I9" s="1504" t="str">
        <f t="shared" si="2"/>
        <v>2028-29</v>
      </c>
      <c r="J9" s="1504" t="str">
        <f t="shared" si="2"/>
        <v>2029-30</v>
      </c>
      <c r="K9" s="1504" t="str">
        <f t="shared" si="2"/>
        <v>2030-31</v>
      </c>
      <c r="L9" s="1504" t="str">
        <f>+Y39</f>
        <v>2031-32</v>
      </c>
      <c r="M9" s="1504" t="str">
        <f>+Z39</f>
        <v>2032-33</v>
      </c>
      <c r="N9" s="1226"/>
      <c r="O9" s="1124"/>
      <c r="P9" s="1124"/>
      <c r="Q9" s="1125"/>
      <c r="R9" s="376"/>
      <c r="S9" s="376"/>
      <c r="T9" s="376"/>
      <c r="U9" s="376"/>
      <c r="V9" s="376"/>
      <c r="W9" s="376"/>
      <c r="X9" s="376"/>
      <c r="Y9" s="376"/>
      <c r="Z9" s="398"/>
      <c r="AA9" s="398"/>
      <c r="AB9" s="398"/>
      <c r="AC9" s="376"/>
      <c r="AD9" s="376"/>
      <c r="AE9" s="376"/>
      <c r="AF9" s="376"/>
      <c r="AG9" s="376"/>
      <c r="AH9" s="376"/>
      <c r="AI9" s="376"/>
      <c r="AJ9" s="376"/>
      <c r="AK9" s="376"/>
      <c r="AL9" s="376"/>
      <c r="AM9" s="376"/>
      <c r="AN9" s="376"/>
      <c r="AO9" s="376"/>
      <c r="AP9" s="376"/>
      <c r="AQ9" s="376"/>
      <c r="AR9" s="376"/>
      <c r="AS9" s="376"/>
      <c r="AT9" s="376"/>
      <c r="AU9" s="376"/>
      <c r="AV9" s="376"/>
      <c r="AW9" s="376"/>
      <c r="AX9" s="376"/>
      <c r="AY9" s="376"/>
      <c r="AZ9" s="376"/>
      <c r="BA9" s="376"/>
      <c r="BB9" s="376"/>
      <c r="BC9" s="376"/>
      <c r="BD9" s="376"/>
      <c r="BE9" s="376"/>
      <c r="BF9" s="376"/>
      <c r="BG9" s="376"/>
      <c r="BH9" s="376"/>
      <c r="BI9" s="376"/>
      <c r="BJ9" s="376"/>
      <c r="BK9" s="376"/>
      <c r="BL9" s="376"/>
      <c r="BM9" s="376"/>
      <c r="BN9" s="376"/>
      <c r="BO9" s="376"/>
      <c r="BP9" s="376"/>
      <c r="BQ9" s="376"/>
      <c r="BR9" s="376"/>
      <c r="BS9" s="376"/>
      <c r="BT9" s="376"/>
      <c r="BU9" s="376"/>
      <c r="BV9" s="376"/>
      <c r="BW9" s="376"/>
      <c r="BX9" s="376"/>
      <c r="BY9" s="376"/>
      <c r="BZ9" s="376"/>
      <c r="CA9" s="376"/>
      <c r="CB9" s="376"/>
      <c r="CC9" s="376"/>
      <c r="CD9" s="376"/>
      <c r="CE9" s="376"/>
      <c r="CF9" s="376"/>
      <c r="CG9" s="376"/>
      <c r="CH9" s="376"/>
      <c r="CI9" s="376"/>
      <c r="CJ9" s="376"/>
      <c r="CK9" s="376"/>
      <c r="CL9" s="376"/>
      <c r="CM9" s="376"/>
      <c r="CN9" s="376"/>
      <c r="CO9" s="376"/>
      <c r="CP9" s="376"/>
      <c r="CQ9" s="376"/>
      <c r="CR9" s="376"/>
      <c r="CS9" s="376"/>
      <c r="CT9" s="376"/>
      <c r="CU9" s="376"/>
      <c r="CV9" s="376"/>
      <c r="CW9" s="376"/>
      <c r="CX9" s="376"/>
      <c r="CY9" s="376"/>
    </row>
    <row r="10" spans="2:103" ht="12" customHeight="1" x14ac:dyDescent="0.3">
      <c r="B10" s="380"/>
      <c r="C10" s="384" t="s">
        <v>511</v>
      </c>
      <c r="D10" s="382"/>
      <c r="E10" s="382"/>
      <c r="F10" s="382"/>
      <c r="G10" s="382"/>
      <c r="H10" s="382"/>
      <c r="I10" s="382"/>
      <c r="J10" s="382"/>
      <c r="K10" s="382"/>
      <c r="L10" s="382"/>
      <c r="M10" s="382"/>
      <c r="N10" s="1226"/>
      <c r="O10" s="1124"/>
      <c r="P10" s="1124"/>
      <c r="Q10" s="1125"/>
      <c r="R10" s="376"/>
      <c r="S10" s="376"/>
      <c r="T10" s="376"/>
      <c r="U10" s="376"/>
      <c r="V10" s="376"/>
      <c r="W10" s="376"/>
      <c r="X10" s="376"/>
      <c r="Y10" s="376"/>
      <c r="Z10" s="398"/>
      <c r="AA10" s="398"/>
      <c r="AB10" s="398"/>
      <c r="AC10" s="376"/>
      <c r="AD10" s="376"/>
      <c r="AE10" s="376"/>
      <c r="AF10" s="376"/>
      <c r="AG10" s="376"/>
      <c r="AH10" s="376"/>
      <c r="AI10" s="376"/>
      <c r="AJ10" s="376"/>
      <c r="AK10" s="376"/>
      <c r="AL10" s="376"/>
      <c r="AM10" s="376"/>
      <c r="AN10" s="376"/>
      <c r="AO10" s="376"/>
      <c r="AP10" s="376"/>
      <c r="AQ10" s="376"/>
      <c r="AR10" s="376"/>
      <c r="AS10" s="376"/>
      <c r="AT10" s="376"/>
      <c r="AU10" s="376"/>
      <c r="AV10" s="376"/>
      <c r="AW10" s="376"/>
      <c r="AX10" s="376"/>
      <c r="AY10" s="376"/>
      <c r="AZ10" s="376"/>
      <c r="BA10" s="376"/>
      <c r="BB10" s="376"/>
      <c r="BC10" s="376"/>
      <c r="BD10" s="376"/>
      <c r="BE10" s="376"/>
      <c r="BF10" s="376"/>
      <c r="BG10" s="376"/>
      <c r="BH10" s="376"/>
      <c r="BI10" s="376"/>
      <c r="BJ10" s="376"/>
      <c r="BK10" s="376"/>
      <c r="BL10" s="376"/>
      <c r="BM10" s="376"/>
      <c r="BN10" s="376"/>
      <c r="BO10" s="376"/>
      <c r="BP10" s="376"/>
      <c r="BQ10" s="376"/>
      <c r="BR10" s="376"/>
      <c r="BS10" s="376"/>
      <c r="BT10" s="376"/>
      <c r="BU10" s="376"/>
      <c r="BV10" s="376"/>
      <c r="BW10" s="376"/>
      <c r="BX10" s="376"/>
      <c r="BY10" s="376"/>
      <c r="BZ10" s="376"/>
      <c r="CA10" s="376"/>
      <c r="CB10" s="376"/>
      <c r="CC10" s="376"/>
      <c r="CD10" s="376"/>
      <c r="CE10" s="376"/>
      <c r="CF10" s="376"/>
      <c r="CG10" s="376"/>
      <c r="CH10" s="376"/>
      <c r="CI10" s="376"/>
      <c r="CJ10" s="376"/>
      <c r="CK10" s="376"/>
      <c r="CL10" s="376"/>
      <c r="CM10" s="376"/>
      <c r="CN10" s="376"/>
      <c r="CO10" s="376"/>
      <c r="CP10" s="376"/>
      <c r="CQ10" s="376"/>
      <c r="CR10" s="376"/>
      <c r="CS10" s="376"/>
      <c r="CT10" s="376"/>
      <c r="CU10" s="376"/>
      <c r="CV10" s="376"/>
      <c r="CW10" s="376"/>
      <c r="CX10" s="376"/>
      <c r="CY10" s="376"/>
    </row>
    <row r="11" spans="2:103" x14ac:dyDescent="0.3">
      <c r="B11" s="380"/>
      <c r="C11" s="385" t="s">
        <v>701</v>
      </c>
      <c r="D11" s="1500">
        <f t="shared" ref="D11:K11" si="3">+SUMIF($F$42:$F$1016,"Renewals",AX$42:AX$1016)</f>
        <v>9.7401999999999997</v>
      </c>
      <c r="E11" s="1500">
        <f t="shared" si="3"/>
        <v>9.8509999999999973</v>
      </c>
      <c r="F11" s="1500">
        <f t="shared" si="3"/>
        <v>12.128</v>
      </c>
      <c r="G11" s="1500">
        <f t="shared" si="3"/>
        <v>11.9755</v>
      </c>
      <c r="H11" s="1500">
        <f t="shared" si="3"/>
        <v>16.032500000000002</v>
      </c>
      <c r="I11" s="1500">
        <f t="shared" si="3"/>
        <v>17.250000000000007</v>
      </c>
      <c r="J11" s="1500">
        <f t="shared" si="3"/>
        <v>16.54</v>
      </c>
      <c r="K11" s="1500">
        <f t="shared" si="3"/>
        <v>19.065000000000008</v>
      </c>
      <c r="L11" s="1500">
        <f>+SUMIF($F$42:$F$1016,"Renewals",BF$42:BF$1016)</f>
        <v>15.389999999999999</v>
      </c>
      <c r="M11" s="1500">
        <f>+SUMIF($F$42:$F$1016,"Renewals",BG$42:BG$1016)</f>
        <v>20.290000000000017</v>
      </c>
      <c r="N11" s="1226"/>
      <c r="O11" s="1124"/>
      <c r="P11" s="1124"/>
      <c r="Q11" s="1125"/>
      <c r="R11" s="376"/>
      <c r="S11" s="376"/>
      <c r="T11" s="376"/>
      <c r="U11" s="376"/>
      <c r="V11" s="376"/>
      <c r="W11" s="376"/>
      <c r="X11" s="376"/>
      <c r="Y11" s="376"/>
      <c r="Z11" s="398"/>
      <c r="AA11" s="398"/>
      <c r="AB11" s="398"/>
      <c r="AC11" s="376"/>
      <c r="AD11" s="376"/>
      <c r="AE11" s="376"/>
      <c r="AF11" s="376"/>
      <c r="AG11" s="376"/>
      <c r="AH11" s="376"/>
      <c r="AI11" s="376"/>
      <c r="AJ11" s="376"/>
      <c r="AK11" s="376"/>
      <c r="AL11" s="376"/>
      <c r="AM11" s="376"/>
      <c r="AN11" s="376"/>
      <c r="AO11" s="376"/>
      <c r="AP11" s="376"/>
      <c r="AQ11" s="376"/>
      <c r="AR11" s="376"/>
      <c r="AS11" s="376"/>
      <c r="AT11" s="376"/>
      <c r="AU11" s="376"/>
      <c r="AV11" s="376"/>
      <c r="AW11" s="376"/>
      <c r="AX11" s="376"/>
      <c r="AY11" s="376"/>
      <c r="AZ11" s="376"/>
      <c r="BA11" s="376"/>
      <c r="BB11" s="376"/>
      <c r="BC11" s="376"/>
      <c r="BD11" s="376"/>
      <c r="BE11" s="376"/>
      <c r="BF11" s="376"/>
      <c r="BG11" s="376"/>
      <c r="BH11" s="376"/>
      <c r="BI11" s="376"/>
      <c r="BJ11" s="376"/>
      <c r="BK11" s="376"/>
      <c r="BL11" s="376"/>
      <c r="BM11" s="376"/>
      <c r="BN11" s="376"/>
      <c r="BO11" s="376"/>
      <c r="BP11" s="376"/>
      <c r="BQ11" s="376"/>
      <c r="BR11" s="376"/>
      <c r="BS11" s="376"/>
      <c r="BT11" s="376"/>
      <c r="BU11" s="376"/>
      <c r="BV11" s="376"/>
      <c r="BW11" s="376"/>
      <c r="BX11" s="376"/>
      <c r="BY11" s="376"/>
      <c r="BZ11" s="376"/>
      <c r="CA11" s="376"/>
      <c r="CB11" s="376"/>
      <c r="CC11" s="376"/>
      <c r="CD11" s="376"/>
      <c r="CE11" s="376"/>
      <c r="CF11" s="376"/>
      <c r="CG11" s="376"/>
      <c r="CH11" s="376"/>
      <c r="CI11" s="376"/>
      <c r="CJ11" s="376"/>
      <c r="CK11" s="376"/>
      <c r="CL11" s="376"/>
      <c r="CM11" s="376"/>
      <c r="CN11" s="376"/>
      <c r="CO11" s="376"/>
      <c r="CP11" s="376"/>
      <c r="CQ11" s="376"/>
      <c r="CR11" s="376"/>
      <c r="CS11" s="376"/>
      <c r="CT11" s="376"/>
      <c r="CU11" s="376"/>
      <c r="CV11" s="376"/>
      <c r="CW11" s="376"/>
      <c r="CX11" s="376"/>
      <c r="CY11" s="376"/>
    </row>
    <row r="12" spans="2:103" x14ac:dyDescent="0.3">
      <c r="B12" s="380"/>
      <c r="C12" s="385" t="s">
        <v>702</v>
      </c>
      <c r="D12" s="1500">
        <f t="shared" ref="D12:K12" si="4">+SUMIF($F$42:$F$1016,"Growth",AX$42:AX$1016)</f>
        <v>13.540000000000001</v>
      </c>
      <c r="E12" s="1500">
        <f t="shared" si="4"/>
        <v>9.16</v>
      </c>
      <c r="F12" s="1500">
        <f t="shared" si="4"/>
        <v>11.774999999999999</v>
      </c>
      <c r="G12" s="1500">
        <f t="shared" si="4"/>
        <v>18.590000000000003</v>
      </c>
      <c r="H12" s="1500">
        <f t="shared" si="4"/>
        <v>16.955000000000002</v>
      </c>
      <c r="I12" s="1500">
        <f t="shared" si="4"/>
        <v>41.76</v>
      </c>
      <c r="J12" s="1500">
        <f t="shared" si="4"/>
        <v>37.630000000000003</v>
      </c>
      <c r="K12" s="1500">
        <f t="shared" si="4"/>
        <v>14.294999999999998</v>
      </c>
      <c r="L12" s="1500">
        <f>+SUMIF($F$42:$F$1016,"Growth",BF$42:BF$1016)</f>
        <v>3.0150000000000006</v>
      </c>
      <c r="M12" s="1500">
        <f>+SUMIF($F$42:$F$1016,"Growth",BG$42:BG$1016)</f>
        <v>10.41</v>
      </c>
      <c r="N12" s="1226"/>
      <c r="O12" s="1124"/>
      <c r="P12" s="1124"/>
      <c r="Q12" s="1125"/>
      <c r="R12" s="376"/>
      <c r="S12" s="376"/>
      <c r="T12" s="376"/>
      <c r="U12" s="376"/>
      <c r="V12" s="376"/>
      <c r="W12" s="376"/>
      <c r="X12" s="376"/>
      <c r="Y12" s="376"/>
      <c r="Z12" s="398"/>
      <c r="AA12" s="398"/>
      <c r="AB12" s="398"/>
      <c r="AC12" s="376"/>
      <c r="AD12" s="376"/>
      <c r="AE12" s="376"/>
      <c r="AF12" s="376"/>
      <c r="AG12" s="376"/>
      <c r="AH12" s="376"/>
      <c r="AI12" s="376"/>
      <c r="AJ12" s="376"/>
      <c r="AK12" s="376"/>
      <c r="AL12" s="376"/>
      <c r="AM12" s="376"/>
      <c r="AN12" s="376"/>
      <c r="AO12" s="376"/>
      <c r="AP12" s="376"/>
      <c r="AQ12" s="376"/>
      <c r="AR12" s="376"/>
      <c r="AS12" s="376"/>
      <c r="AT12" s="376"/>
      <c r="AU12" s="376"/>
      <c r="AV12" s="376"/>
      <c r="AW12" s="376"/>
      <c r="AX12" s="376"/>
      <c r="AY12" s="376"/>
      <c r="AZ12" s="376"/>
      <c r="BA12" s="376"/>
      <c r="BB12" s="376"/>
      <c r="BC12" s="376"/>
      <c r="BD12" s="376"/>
      <c r="BE12" s="376"/>
      <c r="BF12" s="376"/>
      <c r="BG12" s="376"/>
      <c r="BH12" s="376"/>
      <c r="BI12" s="376"/>
      <c r="BJ12" s="376"/>
      <c r="BK12" s="376"/>
      <c r="BL12" s="376"/>
      <c r="BM12" s="376"/>
      <c r="BN12" s="376"/>
      <c r="BO12" s="376"/>
      <c r="BP12" s="376"/>
      <c r="BQ12" s="376"/>
      <c r="BR12" s="376"/>
      <c r="BS12" s="376"/>
      <c r="BT12" s="376"/>
      <c r="BU12" s="376"/>
      <c r="BV12" s="376"/>
      <c r="BW12" s="376"/>
      <c r="BX12" s="376"/>
      <c r="BY12" s="376"/>
      <c r="BZ12" s="376"/>
      <c r="CA12" s="376"/>
      <c r="CB12" s="376"/>
      <c r="CC12" s="376"/>
      <c r="CD12" s="376"/>
      <c r="CE12" s="376"/>
      <c r="CF12" s="376"/>
      <c r="CG12" s="376"/>
      <c r="CH12" s="376"/>
      <c r="CI12" s="376"/>
      <c r="CJ12" s="376"/>
      <c r="CK12" s="376"/>
      <c r="CL12" s="376"/>
      <c r="CM12" s="376"/>
      <c r="CN12" s="376"/>
      <c r="CO12" s="376"/>
      <c r="CP12" s="376"/>
      <c r="CQ12" s="376"/>
      <c r="CR12" s="376"/>
      <c r="CS12" s="376"/>
      <c r="CT12" s="376"/>
      <c r="CU12" s="376"/>
      <c r="CV12" s="376"/>
      <c r="CW12" s="376"/>
      <c r="CX12" s="376"/>
      <c r="CY12" s="376"/>
    </row>
    <row r="13" spans="2:103" x14ac:dyDescent="0.3">
      <c r="B13" s="380"/>
      <c r="C13" s="385" t="s">
        <v>535</v>
      </c>
      <c r="D13" s="1500">
        <f t="shared" ref="D13:K13" si="5">+SUMIF($F$42:$F$1016,"Improvements / Compliance",AX$42:AX$1016)</f>
        <v>18.198499999999996</v>
      </c>
      <c r="E13" s="1500">
        <f t="shared" si="5"/>
        <v>22.837499999999995</v>
      </c>
      <c r="F13" s="1500">
        <f t="shared" si="5"/>
        <v>18.198500000000003</v>
      </c>
      <c r="G13" s="1500">
        <f t="shared" si="5"/>
        <v>13.589</v>
      </c>
      <c r="H13" s="1500">
        <f t="shared" si="5"/>
        <v>12.842999999999998</v>
      </c>
      <c r="I13" s="1500">
        <f t="shared" si="5"/>
        <v>21.986999999999998</v>
      </c>
      <c r="J13" s="1500">
        <f t="shared" si="5"/>
        <v>23.427000000000003</v>
      </c>
      <c r="K13" s="1500">
        <f t="shared" si="5"/>
        <v>17.207000000000001</v>
      </c>
      <c r="L13" s="1500">
        <f>+SUMIF($F$42:$F$1016,"Improvements / Compliance",BF$42:BF$1016)</f>
        <v>19.106999999999999</v>
      </c>
      <c r="M13" s="1500">
        <f>+SUMIF($F$42:$F$1016,"Improvements / Compliance",BG$42:BG$1016)</f>
        <v>18.622</v>
      </c>
      <c r="N13" s="1226"/>
      <c r="O13" s="1124"/>
      <c r="P13" s="1124"/>
      <c r="Q13" s="1125"/>
      <c r="R13" s="376"/>
      <c r="S13" s="376"/>
      <c r="T13" s="376"/>
      <c r="U13" s="376"/>
      <c r="V13" s="376"/>
      <c r="W13" s="376"/>
      <c r="X13" s="376"/>
      <c r="Y13" s="376"/>
      <c r="Z13" s="398"/>
      <c r="AA13" s="398"/>
      <c r="AB13" s="398"/>
      <c r="AC13" s="376"/>
      <c r="AD13" s="376"/>
      <c r="AE13" s="376"/>
      <c r="AF13" s="376"/>
      <c r="AG13" s="376"/>
      <c r="AH13" s="376"/>
      <c r="AI13" s="376"/>
      <c r="AJ13" s="376"/>
      <c r="AK13" s="376"/>
      <c r="AL13" s="376"/>
      <c r="AM13" s="376"/>
      <c r="AN13" s="376"/>
      <c r="AO13" s="376"/>
      <c r="AP13" s="376"/>
      <c r="AQ13" s="376"/>
      <c r="AR13" s="376"/>
      <c r="AS13" s="376"/>
      <c r="AT13" s="376"/>
      <c r="AU13" s="376"/>
      <c r="AV13" s="376"/>
      <c r="AW13" s="376"/>
      <c r="AX13" s="376"/>
      <c r="AY13" s="376"/>
      <c r="AZ13" s="376"/>
      <c r="BA13" s="376"/>
      <c r="BB13" s="376"/>
      <c r="BC13" s="376"/>
      <c r="BD13" s="376"/>
      <c r="BE13" s="376"/>
      <c r="BF13" s="376"/>
      <c r="BG13" s="376"/>
      <c r="BH13" s="376"/>
      <c r="BI13" s="376"/>
      <c r="BJ13" s="376"/>
      <c r="BK13" s="376"/>
      <c r="BL13" s="376"/>
      <c r="BM13" s="376"/>
      <c r="BN13" s="376"/>
      <c r="BO13" s="376"/>
      <c r="BP13" s="376"/>
      <c r="BQ13" s="376"/>
      <c r="BR13" s="376"/>
      <c r="BS13" s="376"/>
      <c r="BT13" s="376"/>
      <c r="BU13" s="376"/>
      <c r="BV13" s="376"/>
      <c r="BW13" s="376"/>
      <c r="BX13" s="376"/>
      <c r="BY13" s="376"/>
      <c r="BZ13" s="376"/>
      <c r="CA13" s="376"/>
      <c r="CB13" s="376"/>
      <c r="CC13" s="376"/>
      <c r="CD13" s="376"/>
      <c r="CE13" s="376"/>
      <c r="CF13" s="376"/>
      <c r="CG13" s="376"/>
      <c r="CH13" s="376"/>
      <c r="CI13" s="376"/>
      <c r="CJ13" s="376"/>
      <c r="CK13" s="376"/>
      <c r="CL13" s="376"/>
      <c r="CM13" s="376"/>
      <c r="CN13" s="376"/>
      <c r="CO13" s="376"/>
      <c r="CP13" s="376"/>
      <c r="CQ13" s="376"/>
      <c r="CR13" s="376"/>
      <c r="CS13" s="376"/>
      <c r="CT13" s="376"/>
      <c r="CU13" s="376"/>
      <c r="CV13" s="376"/>
      <c r="CW13" s="376"/>
      <c r="CX13" s="376"/>
      <c r="CY13" s="376"/>
    </row>
    <row r="14" spans="2:103" x14ac:dyDescent="0.3">
      <c r="B14" s="380"/>
      <c r="C14" s="385" t="s">
        <v>703</v>
      </c>
      <c r="D14" s="1500">
        <f t="shared" ref="D14:K14" si="6">+AB41</f>
        <v>0</v>
      </c>
      <c r="E14" s="1500">
        <f t="shared" si="6"/>
        <v>0</v>
      </c>
      <c r="F14" s="1500">
        <f t="shared" si="6"/>
        <v>0</v>
      </c>
      <c r="G14" s="1500">
        <f t="shared" si="6"/>
        <v>0</v>
      </c>
      <c r="H14" s="1500">
        <f t="shared" si="6"/>
        <v>0</v>
      </c>
      <c r="I14" s="1500">
        <f t="shared" si="6"/>
        <v>0</v>
      </c>
      <c r="J14" s="1500">
        <f t="shared" si="6"/>
        <v>0</v>
      </c>
      <c r="K14" s="1500">
        <f t="shared" si="6"/>
        <v>0</v>
      </c>
      <c r="L14" s="1500">
        <f>+AJ41</f>
        <v>0</v>
      </c>
      <c r="M14" s="1500">
        <f>+AK41</f>
        <v>0</v>
      </c>
      <c r="N14" s="1226"/>
      <c r="O14" s="1124"/>
      <c r="P14" s="1124"/>
      <c r="Q14" s="1125"/>
      <c r="R14" s="376"/>
      <c r="S14" s="376"/>
      <c r="T14" s="376"/>
      <c r="U14" s="376"/>
      <c r="V14" s="376"/>
      <c r="W14" s="376"/>
      <c r="X14" s="376"/>
      <c r="Y14" s="376"/>
      <c r="Z14" s="398"/>
      <c r="AA14" s="398"/>
      <c r="AB14" s="398"/>
      <c r="AC14" s="376"/>
      <c r="AD14" s="376"/>
      <c r="AE14" s="376"/>
      <c r="AF14" s="376"/>
      <c r="AG14" s="376"/>
      <c r="AH14" s="376"/>
      <c r="AI14" s="376"/>
      <c r="AJ14" s="376"/>
      <c r="AK14" s="376"/>
      <c r="AL14" s="376"/>
      <c r="AM14" s="376"/>
      <c r="AN14" s="376"/>
      <c r="AO14" s="376"/>
      <c r="AP14" s="376"/>
      <c r="AQ14" s="376"/>
      <c r="AR14" s="376"/>
      <c r="AS14" s="376"/>
      <c r="AT14" s="376"/>
      <c r="AU14" s="376"/>
      <c r="AV14" s="376"/>
      <c r="AW14" s="376"/>
      <c r="AX14" s="376"/>
      <c r="AY14" s="376"/>
      <c r="AZ14" s="376"/>
      <c r="BA14" s="376"/>
      <c r="BB14" s="376"/>
      <c r="BC14" s="376"/>
      <c r="BD14" s="376"/>
      <c r="BE14" s="376"/>
      <c r="BF14" s="376"/>
      <c r="BG14" s="376"/>
      <c r="BH14" s="376"/>
      <c r="BI14" s="376"/>
      <c r="BJ14" s="376"/>
      <c r="BK14" s="376"/>
      <c r="BL14" s="376"/>
      <c r="BM14" s="376"/>
      <c r="BN14" s="376"/>
      <c r="BO14" s="376"/>
      <c r="BP14" s="376"/>
      <c r="BQ14" s="376"/>
      <c r="BR14" s="376"/>
      <c r="BS14" s="376"/>
      <c r="BT14" s="376"/>
      <c r="BU14" s="376"/>
      <c r="BV14" s="376"/>
      <c r="BW14" s="376"/>
      <c r="BX14" s="376"/>
      <c r="BY14" s="376"/>
      <c r="BZ14" s="376"/>
      <c r="CA14" s="376"/>
      <c r="CB14" s="376"/>
      <c r="CC14" s="376"/>
      <c r="CD14" s="376"/>
      <c r="CE14" s="376"/>
      <c r="CF14" s="376"/>
      <c r="CG14" s="376"/>
      <c r="CH14" s="376"/>
      <c r="CI14" s="376"/>
      <c r="CJ14" s="376"/>
      <c r="CK14" s="376"/>
      <c r="CL14" s="376"/>
      <c r="CM14" s="376"/>
      <c r="CN14" s="376"/>
      <c r="CO14" s="376"/>
      <c r="CP14" s="376"/>
      <c r="CQ14" s="376"/>
      <c r="CR14" s="376"/>
      <c r="CS14" s="376"/>
      <c r="CT14" s="376"/>
      <c r="CU14" s="376"/>
      <c r="CV14" s="376"/>
      <c r="CW14" s="376"/>
      <c r="CX14" s="376"/>
      <c r="CY14" s="376"/>
    </row>
    <row r="15" spans="2:103" x14ac:dyDescent="0.3">
      <c r="B15" s="380"/>
      <c r="C15" s="385" t="s">
        <v>704</v>
      </c>
      <c r="D15" s="1500">
        <f t="shared" ref="D15:K15" si="7">+AM41</f>
        <v>4.51</v>
      </c>
      <c r="E15" s="1500">
        <f t="shared" si="7"/>
        <v>6.15</v>
      </c>
      <c r="F15" s="1500">
        <f t="shared" si="7"/>
        <v>7.91</v>
      </c>
      <c r="G15" s="1500">
        <f t="shared" si="7"/>
        <v>9.86</v>
      </c>
      <c r="H15" s="1500">
        <f t="shared" si="7"/>
        <v>12.16</v>
      </c>
      <c r="I15" s="1500">
        <f t="shared" si="7"/>
        <v>17.600000000000001</v>
      </c>
      <c r="J15" s="1500">
        <f t="shared" si="7"/>
        <v>17.600000000000001</v>
      </c>
      <c r="K15" s="1500">
        <f t="shared" si="7"/>
        <v>17.600000000000001</v>
      </c>
      <c r="L15" s="1500">
        <f>+AU41</f>
        <v>17.600000000000001</v>
      </c>
      <c r="M15" s="1500">
        <f>+AV41</f>
        <v>17.600000000000001</v>
      </c>
      <c r="N15" s="1226"/>
      <c r="O15" s="1124"/>
      <c r="P15" s="1124"/>
      <c r="Q15" s="1125"/>
      <c r="R15" s="376"/>
      <c r="S15" s="376"/>
      <c r="T15" s="376"/>
      <c r="U15" s="376"/>
      <c r="V15" s="376"/>
      <c r="W15" s="376"/>
      <c r="X15" s="376"/>
      <c r="Y15" s="376"/>
      <c r="Z15" s="398"/>
      <c r="AA15" s="398"/>
      <c r="AB15" s="398"/>
      <c r="AC15" s="376"/>
      <c r="AD15" s="376"/>
      <c r="AE15" s="376"/>
      <c r="AF15" s="376"/>
      <c r="AG15" s="376"/>
      <c r="AH15" s="376"/>
      <c r="AI15" s="376"/>
      <c r="AJ15" s="376"/>
      <c r="AK15" s="376"/>
      <c r="AL15" s="376"/>
      <c r="AM15" s="376"/>
      <c r="AN15" s="376"/>
      <c r="AO15" s="376"/>
      <c r="AP15" s="376"/>
      <c r="AQ15" s="376"/>
      <c r="AR15" s="376"/>
      <c r="AS15" s="376"/>
      <c r="AT15" s="376"/>
      <c r="AU15" s="376"/>
      <c r="AV15" s="376"/>
      <c r="AW15" s="376"/>
      <c r="AX15" s="376"/>
      <c r="AY15" s="376"/>
      <c r="AZ15" s="376"/>
      <c r="BA15" s="376"/>
      <c r="BB15" s="376"/>
      <c r="BC15" s="376"/>
      <c r="BD15" s="376"/>
      <c r="BE15" s="376"/>
      <c r="BF15" s="376"/>
      <c r="BG15" s="376"/>
      <c r="BH15" s="376"/>
      <c r="BI15" s="376"/>
      <c r="BJ15" s="376"/>
      <c r="BK15" s="376"/>
      <c r="BL15" s="376"/>
      <c r="BM15" s="376"/>
      <c r="BN15" s="376"/>
      <c r="BO15" s="376"/>
      <c r="BP15" s="376"/>
      <c r="BQ15" s="376"/>
      <c r="BR15" s="376"/>
      <c r="BS15" s="376"/>
      <c r="BT15" s="376"/>
      <c r="BU15" s="376"/>
      <c r="BV15" s="376"/>
      <c r="BW15" s="376"/>
      <c r="BX15" s="376"/>
      <c r="BY15" s="376"/>
      <c r="BZ15" s="376"/>
      <c r="CA15" s="376"/>
      <c r="CB15" s="376"/>
      <c r="CC15" s="376"/>
      <c r="CD15" s="376"/>
      <c r="CE15" s="376"/>
      <c r="CF15" s="376"/>
      <c r="CG15" s="376"/>
      <c r="CH15" s="376"/>
      <c r="CI15" s="376"/>
      <c r="CJ15" s="376"/>
      <c r="CK15" s="376"/>
      <c r="CL15" s="376"/>
      <c r="CM15" s="376"/>
      <c r="CN15" s="376"/>
      <c r="CO15" s="376"/>
      <c r="CP15" s="376"/>
      <c r="CQ15" s="376"/>
      <c r="CR15" s="376"/>
      <c r="CS15" s="376"/>
      <c r="CT15" s="376"/>
      <c r="CU15" s="376"/>
      <c r="CV15" s="376"/>
      <c r="CW15" s="376"/>
      <c r="CX15" s="376"/>
      <c r="CY15" s="376"/>
    </row>
    <row r="16" spans="2:103" ht="12.5" thickBot="1" x14ac:dyDescent="0.35">
      <c r="B16" s="380"/>
      <c r="C16" s="387" t="s">
        <v>513</v>
      </c>
      <c r="D16" s="1505">
        <f t="shared" ref="D16:K16" si="8">SUM(D11:D15)</f>
        <v>45.988699999999994</v>
      </c>
      <c r="E16" s="1505">
        <f t="shared" si="8"/>
        <v>47.998499999999986</v>
      </c>
      <c r="F16" s="1505">
        <f t="shared" si="8"/>
        <v>50.011499999999998</v>
      </c>
      <c r="G16" s="1505">
        <f t="shared" si="8"/>
        <v>54.014500000000005</v>
      </c>
      <c r="H16" s="1505">
        <f t="shared" si="8"/>
        <v>57.990499999999997</v>
      </c>
      <c r="I16" s="1505">
        <f t="shared" si="8"/>
        <v>98.597000000000008</v>
      </c>
      <c r="J16" s="1505">
        <f t="shared" si="8"/>
        <v>95.197000000000003</v>
      </c>
      <c r="K16" s="1505">
        <f t="shared" si="8"/>
        <v>68.167000000000002</v>
      </c>
      <c r="L16" s="1505">
        <f>SUM(L11:L15)</f>
        <v>55.112000000000002</v>
      </c>
      <c r="M16" s="1505">
        <f>SUM(M11:M15)</f>
        <v>66.922000000000025</v>
      </c>
      <c r="N16" s="1226"/>
      <c r="O16" s="1124"/>
      <c r="P16" s="1124"/>
      <c r="Q16" s="1125"/>
      <c r="R16" s="376"/>
      <c r="S16" s="376"/>
      <c r="T16" s="376"/>
      <c r="U16" s="376"/>
      <c r="V16" s="376"/>
      <c r="W16" s="376"/>
      <c r="X16" s="376"/>
      <c r="Y16" s="376"/>
      <c r="Z16" s="398"/>
      <c r="AA16" s="398"/>
      <c r="AB16" s="398"/>
      <c r="AC16" s="376"/>
      <c r="AD16" s="376"/>
      <c r="AE16" s="376"/>
      <c r="AF16" s="376"/>
      <c r="AG16" s="376"/>
      <c r="AH16" s="376"/>
      <c r="AI16" s="376"/>
      <c r="AJ16" s="376"/>
      <c r="AK16" s="376"/>
      <c r="AL16" s="376"/>
      <c r="AM16" s="376"/>
      <c r="AN16" s="376"/>
      <c r="AO16" s="376"/>
      <c r="AP16" s="376"/>
      <c r="AQ16" s="376"/>
      <c r="AR16" s="376"/>
      <c r="AS16" s="376"/>
      <c r="AT16" s="376"/>
      <c r="AU16" s="376"/>
      <c r="AV16" s="376"/>
      <c r="AW16" s="376"/>
      <c r="AX16" s="376"/>
      <c r="AY16" s="376"/>
      <c r="AZ16" s="376"/>
      <c r="BA16" s="376"/>
      <c r="BB16" s="376"/>
      <c r="BC16" s="376"/>
      <c r="BD16" s="376"/>
      <c r="BE16" s="376"/>
      <c r="BF16" s="376"/>
      <c r="BG16" s="376"/>
      <c r="BH16" s="376"/>
      <c r="BI16" s="376"/>
      <c r="BJ16" s="376"/>
      <c r="BK16" s="376"/>
      <c r="BL16" s="376"/>
      <c r="BM16" s="376"/>
      <c r="BN16" s="376"/>
      <c r="BO16" s="376"/>
      <c r="BP16" s="376"/>
      <c r="BQ16" s="376"/>
      <c r="BR16" s="376"/>
      <c r="BS16" s="376"/>
      <c r="BT16" s="376"/>
      <c r="BU16" s="376"/>
      <c r="BV16" s="376"/>
      <c r="BW16" s="376"/>
      <c r="BX16" s="376"/>
      <c r="BY16" s="376"/>
      <c r="BZ16" s="376"/>
      <c r="CA16" s="376"/>
      <c r="CB16" s="376"/>
      <c r="CC16" s="376"/>
      <c r="CD16" s="376"/>
      <c r="CE16" s="376"/>
      <c r="CF16" s="376"/>
      <c r="CG16" s="376"/>
      <c r="CH16" s="376"/>
      <c r="CI16" s="376"/>
      <c r="CJ16" s="376"/>
      <c r="CK16" s="376"/>
      <c r="CL16" s="376"/>
      <c r="CM16" s="376"/>
      <c r="CN16" s="376"/>
      <c r="CO16" s="376"/>
      <c r="CP16" s="376"/>
      <c r="CQ16" s="376"/>
      <c r="CR16" s="376"/>
      <c r="CS16" s="376"/>
      <c r="CT16" s="376"/>
      <c r="CU16" s="376"/>
      <c r="CV16" s="376"/>
      <c r="CW16" s="376"/>
      <c r="CX16" s="376"/>
      <c r="CY16" s="376"/>
    </row>
    <row r="17" spans="2:103" x14ac:dyDescent="0.3">
      <c r="B17" s="380"/>
      <c r="C17" s="382"/>
      <c r="D17" s="1141"/>
      <c r="E17" s="1141"/>
      <c r="F17" s="1141"/>
      <c r="G17" s="1141"/>
      <c r="H17" s="1141"/>
      <c r="I17" s="1141"/>
      <c r="J17" s="1141"/>
      <c r="K17" s="1141"/>
      <c r="L17" s="1141"/>
      <c r="M17" s="1141"/>
      <c r="N17" s="1226"/>
      <c r="O17" s="1124"/>
      <c r="P17" s="1124"/>
      <c r="Q17" s="1125"/>
      <c r="R17" s="376"/>
      <c r="S17" s="376"/>
      <c r="T17" s="376"/>
      <c r="U17" s="376"/>
      <c r="V17" s="376"/>
      <c r="W17" s="376"/>
      <c r="X17" s="376"/>
      <c r="Y17" s="376"/>
      <c r="Z17" s="398"/>
      <c r="AA17" s="398"/>
      <c r="AB17" s="398"/>
      <c r="AC17" s="376"/>
      <c r="AD17" s="376"/>
      <c r="AE17" s="376"/>
      <c r="AF17" s="376"/>
      <c r="AG17" s="376"/>
      <c r="AH17" s="376"/>
      <c r="AI17" s="376"/>
      <c r="AJ17" s="376"/>
      <c r="AK17" s="376"/>
      <c r="AL17" s="376"/>
      <c r="AM17" s="376"/>
      <c r="AN17" s="376"/>
      <c r="AO17" s="376"/>
      <c r="AP17" s="376"/>
      <c r="AQ17" s="376"/>
      <c r="AR17" s="376"/>
      <c r="AS17" s="376"/>
      <c r="AT17" s="376"/>
      <c r="AU17" s="376"/>
      <c r="AV17" s="376"/>
      <c r="AW17" s="376"/>
      <c r="AX17" s="376"/>
      <c r="AY17" s="376"/>
      <c r="AZ17" s="376"/>
      <c r="BA17" s="376"/>
      <c r="BB17" s="376"/>
      <c r="BC17" s="376"/>
      <c r="BD17" s="376"/>
      <c r="BE17" s="376"/>
      <c r="BF17" s="376"/>
      <c r="BG17" s="376"/>
      <c r="BH17" s="376"/>
      <c r="BI17" s="376"/>
      <c r="BJ17" s="376"/>
      <c r="BK17" s="376"/>
      <c r="BL17" s="376"/>
      <c r="BM17" s="376"/>
      <c r="BN17" s="376"/>
      <c r="BO17" s="376"/>
      <c r="BP17" s="376"/>
      <c r="BQ17" s="376"/>
      <c r="BR17" s="376"/>
      <c r="BS17" s="376"/>
      <c r="BT17" s="376"/>
      <c r="BU17" s="376"/>
      <c r="BV17" s="376"/>
      <c r="BW17" s="376"/>
      <c r="BX17" s="376"/>
      <c r="BY17" s="376"/>
      <c r="BZ17" s="376"/>
      <c r="CA17" s="376"/>
      <c r="CB17" s="376"/>
      <c r="CC17" s="376"/>
      <c r="CD17" s="376"/>
      <c r="CE17" s="376"/>
      <c r="CF17" s="376"/>
      <c r="CG17" s="376"/>
      <c r="CH17" s="376"/>
      <c r="CI17" s="376"/>
      <c r="CJ17" s="376"/>
      <c r="CK17" s="376"/>
      <c r="CL17" s="376"/>
      <c r="CM17" s="376"/>
      <c r="CN17" s="376"/>
      <c r="CO17" s="376"/>
      <c r="CP17" s="376"/>
      <c r="CQ17" s="376"/>
      <c r="CR17" s="376"/>
      <c r="CS17" s="376"/>
      <c r="CT17" s="376"/>
      <c r="CU17" s="376"/>
      <c r="CV17" s="376"/>
      <c r="CW17" s="376"/>
      <c r="CX17" s="376"/>
      <c r="CY17" s="376"/>
    </row>
    <row r="18" spans="2:103" x14ac:dyDescent="0.3">
      <c r="B18" s="380"/>
      <c r="C18" s="384" t="s">
        <v>543</v>
      </c>
      <c r="D18" s="1141"/>
      <c r="E18" s="1141"/>
      <c r="F18" s="1141"/>
      <c r="G18" s="1141"/>
      <c r="H18" s="1141"/>
      <c r="I18" s="1141"/>
      <c r="J18" s="1141"/>
      <c r="K18" s="1141"/>
      <c r="L18" s="1141"/>
      <c r="M18" s="1141"/>
      <c r="N18" s="1226"/>
      <c r="O18" s="1124"/>
      <c r="P18" s="1124"/>
      <c r="Q18" s="1125"/>
      <c r="R18" s="376"/>
      <c r="S18" s="376"/>
      <c r="T18" s="376"/>
      <c r="U18" s="376"/>
      <c r="V18" s="376"/>
      <c r="W18" s="376"/>
      <c r="X18" s="376"/>
      <c r="Y18" s="376"/>
      <c r="Z18" s="398"/>
      <c r="AA18" s="398"/>
      <c r="AB18" s="398"/>
      <c r="AC18" s="376"/>
      <c r="AD18" s="376"/>
      <c r="AE18" s="376"/>
      <c r="AF18" s="376"/>
      <c r="AG18" s="376"/>
      <c r="AH18" s="376"/>
      <c r="AI18" s="376"/>
      <c r="AJ18" s="376"/>
      <c r="AK18" s="376"/>
      <c r="AL18" s="376"/>
      <c r="AM18" s="376"/>
      <c r="AN18" s="376"/>
      <c r="AO18" s="376"/>
      <c r="AP18" s="376"/>
      <c r="AQ18" s="376"/>
      <c r="AR18" s="376"/>
      <c r="AS18" s="376"/>
      <c r="AT18" s="376"/>
      <c r="AU18" s="376"/>
      <c r="AV18" s="376"/>
      <c r="AW18" s="376"/>
      <c r="AX18" s="376"/>
      <c r="AY18" s="376"/>
      <c r="AZ18" s="376"/>
      <c r="BA18" s="376"/>
      <c r="BB18" s="376"/>
      <c r="BC18" s="376"/>
      <c r="BD18" s="376"/>
      <c r="BE18" s="376"/>
      <c r="BF18" s="376"/>
      <c r="BG18" s="376"/>
      <c r="BH18" s="376"/>
      <c r="BI18" s="376"/>
      <c r="BJ18" s="376"/>
      <c r="BK18" s="376"/>
      <c r="BL18" s="376"/>
      <c r="BM18" s="376"/>
      <c r="BN18" s="376"/>
      <c r="BO18" s="376"/>
      <c r="BP18" s="376"/>
      <c r="BQ18" s="376"/>
      <c r="BR18" s="376"/>
      <c r="BS18" s="376"/>
      <c r="BT18" s="376"/>
      <c r="BU18" s="376"/>
      <c r="BV18" s="376"/>
      <c r="BW18" s="376"/>
      <c r="BX18" s="376"/>
      <c r="BY18" s="376"/>
      <c r="BZ18" s="376"/>
      <c r="CA18" s="376"/>
      <c r="CB18" s="376"/>
      <c r="CC18" s="376"/>
      <c r="CD18" s="376"/>
      <c r="CE18" s="376"/>
      <c r="CF18" s="376"/>
      <c r="CG18" s="376"/>
      <c r="CH18" s="376"/>
      <c r="CI18" s="376"/>
      <c r="CJ18" s="376"/>
      <c r="CK18" s="376"/>
      <c r="CL18" s="376"/>
      <c r="CM18" s="376"/>
      <c r="CN18" s="376"/>
      <c r="CO18" s="376"/>
      <c r="CP18" s="376"/>
      <c r="CQ18" s="376"/>
      <c r="CR18" s="376"/>
      <c r="CS18" s="376"/>
      <c r="CT18" s="376"/>
      <c r="CU18" s="376"/>
      <c r="CV18" s="376"/>
      <c r="CW18" s="376"/>
      <c r="CX18" s="376"/>
      <c r="CY18" s="376"/>
    </row>
    <row r="19" spans="2:103" x14ac:dyDescent="0.3">
      <c r="B19" s="380"/>
      <c r="C19" s="385" t="s">
        <v>514</v>
      </c>
      <c r="D19" s="1500">
        <f t="shared" ref="D19:K19" si="9">+SUMIF($H$42:$H$1016,$C$19,Q$42:Q$1016)</f>
        <v>25.88</v>
      </c>
      <c r="E19" s="1500">
        <f t="shared" si="9"/>
        <v>29.160000000000004</v>
      </c>
      <c r="F19" s="1500">
        <f t="shared" si="9"/>
        <v>27.01</v>
      </c>
      <c r="G19" s="1500">
        <f t="shared" si="9"/>
        <v>19.915000000000003</v>
      </c>
      <c r="H19" s="1500">
        <f t="shared" si="9"/>
        <v>14.26</v>
      </c>
      <c r="I19" s="1500">
        <f t="shared" si="9"/>
        <v>15.23</v>
      </c>
      <c r="J19" s="1500">
        <f t="shared" si="9"/>
        <v>14.03</v>
      </c>
      <c r="K19" s="1500">
        <f t="shared" si="9"/>
        <v>5.03</v>
      </c>
      <c r="L19" s="1500">
        <f>+SUMIF($H$42:$H$1016,$C$19,Y$42:Y$1016)</f>
        <v>1.03</v>
      </c>
      <c r="M19" s="1500">
        <f>+SUMIF($H$42:$H$1016,$C$19,Z$42:Z$1016)</f>
        <v>1.03</v>
      </c>
      <c r="N19" s="1226"/>
      <c r="O19" s="1124"/>
      <c r="P19" s="1124"/>
      <c r="Q19" s="1125"/>
      <c r="R19" s="376"/>
      <c r="S19" s="376"/>
      <c r="T19" s="376"/>
      <c r="U19" s="376"/>
      <c r="V19" s="376"/>
      <c r="W19" s="376"/>
      <c r="X19" s="376"/>
      <c r="Y19" s="376"/>
      <c r="Z19" s="398"/>
      <c r="AA19" s="398"/>
      <c r="AB19" s="398"/>
      <c r="AC19" s="376"/>
      <c r="AD19" s="376"/>
      <c r="AE19" s="376"/>
      <c r="AF19" s="376"/>
      <c r="AG19" s="376"/>
      <c r="AH19" s="376"/>
      <c r="AI19" s="376"/>
      <c r="AJ19" s="376"/>
      <c r="AK19" s="376"/>
      <c r="AL19" s="376"/>
      <c r="AM19" s="376"/>
      <c r="AN19" s="376"/>
      <c r="AO19" s="376"/>
      <c r="AP19" s="376"/>
      <c r="AQ19" s="376"/>
      <c r="AR19" s="376"/>
      <c r="AS19" s="376"/>
      <c r="AT19" s="376"/>
      <c r="AU19" s="376"/>
      <c r="AV19" s="376"/>
      <c r="AW19" s="376"/>
      <c r="AX19" s="376"/>
      <c r="AY19" s="376"/>
      <c r="AZ19" s="376"/>
      <c r="BA19" s="376"/>
      <c r="BB19" s="376"/>
      <c r="BC19" s="376"/>
      <c r="BD19" s="376"/>
      <c r="BE19" s="376"/>
      <c r="BF19" s="376"/>
      <c r="BG19" s="376"/>
      <c r="BH19" s="376"/>
      <c r="BI19" s="376"/>
      <c r="BJ19" s="376"/>
      <c r="BK19" s="376"/>
      <c r="BL19" s="376"/>
      <c r="BM19" s="376"/>
      <c r="BN19" s="376"/>
      <c r="BO19" s="376"/>
      <c r="BP19" s="376"/>
      <c r="BQ19" s="376"/>
      <c r="BR19" s="376"/>
      <c r="BS19" s="376"/>
      <c r="BT19" s="376"/>
      <c r="BU19" s="376"/>
      <c r="BV19" s="376"/>
      <c r="BW19" s="376"/>
      <c r="BX19" s="376"/>
      <c r="BY19" s="376"/>
      <c r="BZ19" s="376"/>
      <c r="CA19" s="376"/>
      <c r="CB19" s="376"/>
      <c r="CC19" s="376"/>
      <c r="CD19" s="376"/>
      <c r="CE19" s="376"/>
      <c r="CF19" s="376"/>
      <c r="CG19" s="376"/>
      <c r="CH19" s="376"/>
      <c r="CI19" s="376"/>
      <c r="CJ19" s="376"/>
      <c r="CK19" s="376"/>
      <c r="CL19" s="376"/>
      <c r="CM19" s="376"/>
      <c r="CN19" s="376"/>
      <c r="CO19" s="376"/>
      <c r="CP19" s="376"/>
      <c r="CQ19" s="376"/>
      <c r="CR19" s="376"/>
      <c r="CS19" s="376"/>
      <c r="CT19" s="376"/>
      <c r="CU19" s="376"/>
      <c r="CV19" s="376"/>
      <c r="CW19" s="376"/>
      <c r="CX19" s="376"/>
      <c r="CY19" s="376"/>
    </row>
    <row r="20" spans="2:103" x14ac:dyDescent="0.3">
      <c r="B20" s="380"/>
      <c r="C20" s="385" t="s">
        <v>515</v>
      </c>
      <c r="D20" s="1500">
        <f t="shared" ref="D20:K20" si="10">+SUMIF($H$42:$H$1016,$C$20,Q$42:Q$1016)</f>
        <v>0</v>
      </c>
      <c r="E20" s="1500">
        <f t="shared" si="10"/>
        <v>0</v>
      </c>
      <c r="F20" s="1500">
        <f t="shared" si="10"/>
        <v>0</v>
      </c>
      <c r="G20" s="1500">
        <f t="shared" si="10"/>
        <v>0</v>
      </c>
      <c r="H20" s="1500">
        <f t="shared" si="10"/>
        <v>0</v>
      </c>
      <c r="I20" s="1500">
        <f t="shared" si="10"/>
        <v>0</v>
      </c>
      <c r="J20" s="1500">
        <f t="shared" si="10"/>
        <v>0</v>
      </c>
      <c r="K20" s="1500">
        <f t="shared" si="10"/>
        <v>0</v>
      </c>
      <c r="L20" s="1500">
        <f>+SUMIF($H$42:$H$1016,$C$20,Y$42:Y$1016)</f>
        <v>0</v>
      </c>
      <c r="M20" s="1500">
        <f>+SUMIF($H$42:$H$1016,$C$20,Z$42:Z$1016)</f>
        <v>0</v>
      </c>
      <c r="N20" s="1226"/>
      <c r="O20" s="1124"/>
      <c r="P20" s="1124"/>
      <c r="Q20" s="1125"/>
      <c r="R20" s="376"/>
      <c r="S20" s="376"/>
      <c r="T20" s="376"/>
      <c r="U20" s="376"/>
      <c r="V20" s="376"/>
      <c r="W20" s="376"/>
      <c r="X20" s="376"/>
      <c r="Y20" s="376"/>
      <c r="Z20" s="398"/>
      <c r="AA20" s="398"/>
      <c r="AB20" s="398"/>
      <c r="AC20" s="376"/>
      <c r="AD20" s="376"/>
      <c r="AE20" s="376"/>
      <c r="AF20" s="376"/>
      <c r="AG20" s="376"/>
      <c r="AH20" s="376"/>
      <c r="AI20" s="376"/>
      <c r="AJ20" s="376"/>
      <c r="AK20" s="376"/>
      <c r="AL20" s="376"/>
      <c r="AM20" s="376"/>
      <c r="AN20" s="376"/>
      <c r="AO20" s="376"/>
      <c r="AP20" s="376"/>
      <c r="AQ20" s="376"/>
      <c r="AR20" s="376"/>
      <c r="AS20" s="376"/>
      <c r="AT20" s="376"/>
      <c r="AU20" s="376"/>
      <c r="AV20" s="376"/>
      <c r="AW20" s="376"/>
      <c r="AX20" s="376"/>
      <c r="AY20" s="376"/>
      <c r="AZ20" s="376"/>
      <c r="BA20" s="376"/>
      <c r="BB20" s="376"/>
      <c r="BC20" s="376"/>
      <c r="BD20" s="376"/>
      <c r="BE20" s="376"/>
      <c r="BF20" s="376"/>
      <c r="BG20" s="376"/>
      <c r="BH20" s="376"/>
      <c r="BI20" s="376"/>
      <c r="BJ20" s="376"/>
      <c r="BK20" s="376"/>
      <c r="BL20" s="376"/>
      <c r="BM20" s="376"/>
      <c r="BN20" s="376"/>
      <c r="BO20" s="376"/>
      <c r="BP20" s="376"/>
      <c r="BQ20" s="376"/>
      <c r="BR20" s="376"/>
      <c r="BS20" s="376"/>
      <c r="BT20" s="376"/>
      <c r="BU20" s="376"/>
      <c r="BV20" s="376"/>
      <c r="BW20" s="376"/>
      <c r="BX20" s="376"/>
      <c r="BY20" s="376"/>
      <c r="BZ20" s="376"/>
      <c r="CA20" s="376"/>
      <c r="CB20" s="376"/>
      <c r="CC20" s="376"/>
      <c r="CD20" s="376"/>
      <c r="CE20" s="376"/>
      <c r="CF20" s="376"/>
      <c r="CG20" s="376"/>
      <c r="CH20" s="376"/>
      <c r="CI20" s="376"/>
      <c r="CJ20" s="376"/>
      <c r="CK20" s="376"/>
      <c r="CL20" s="376"/>
      <c r="CM20" s="376"/>
      <c r="CN20" s="376"/>
      <c r="CO20" s="376"/>
      <c r="CP20" s="376"/>
      <c r="CQ20" s="376"/>
      <c r="CR20" s="376"/>
      <c r="CS20" s="376"/>
      <c r="CT20" s="376"/>
      <c r="CU20" s="376"/>
      <c r="CV20" s="376"/>
      <c r="CW20" s="376"/>
      <c r="CX20" s="376"/>
      <c r="CY20" s="376"/>
    </row>
    <row r="21" spans="2:103" x14ac:dyDescent="0.3">
      <c r="B21" s="380"/>
      <c r="C21" s="388" t="s">
        <v>516</v>
      </c>
      <c r="D21" s="1500">
        <f t="shared" ref="D21:K21" si="11">+SUMIF($H$42:$H$1016,$C$21,Q$42:Q$1016)</f>
        <v>20.108699999999999</v>
      </c>
      <c r="E21" s="1500">
        <f t="shared" si="11"/>
        <v>18.8385</v>
      </c>
      <c r="F21" s="1500">
        <f t="shared" si="11"/>
        <v>23.001500000000004</v>
      </c>
      <c r="G21" s="1500">
        <f t="shared" si="11"/>
        <v>34.099499999999992</v>
      </c>
      <c r="H21" s="1500">
        <f t="shared" si="11"/>
        <v>43.730499999999985</v>
      </c>
      <c r="I21" s="1500">
        <f t="shared" si="11"/>
        <v>83.367000000000004</v>
      </c>
      <c r="J21" s="1500">
        <f t="shared" si="11"/>
        <v>81.167000000000002</v>
      </c>
      <c r="K21" s="1500">
        <f t="shared" si="11"/>
        <v>63.137000000000015</v>
      </c>
      <c r="L21" s="1500">
        <f>+SUMIF($H$42:$H$1016,$C$21,Y$42:Y$1016)</f>
        <v>54.082000000000015</v>
      </c>
      <c r="M21" s="1500">
        <f>+SUMIF($H$42:$H$1016,$C$21,Z$42:Z$1016)</f>
        <v>65.891999999999996</v>
      </c>
      <c r="N21" s="1226"/>
      <c r="O21" s="1124"/>
      <c r="Q21" s="1125"/>
      <c r="R21" s="376"/>
      <c r="S21" s="376"/>
      <c r="T21" s="376"/>
      <c r="U21" s="376"/>
      <c r="V21" s="376"/>
      <c r="W21" s="376"/>
      <c r="X21" s="376"/>
      <c r="Y21" s="376"/>
      <c r="Z21" s="398"/>
      <c r="AA21" s="398"/>
      <c r="AB21" s="398"/>
      <c r="AC21" s="376"/>
      <c r="AD21" s="376"/>
      <c r="AE21" s="376"/>
      <c r="AF21" s="376"/>
      <c r="AG21" s="376"/>
      <c r="AH21" s="376"/>
      <c r="AI21" s="376"/>
      <c r="AJ21" s="376"/>
      <c r="AK21" s="376"/>
      <c r="AL21" s="376"/>
      <c r="AM21" s="376"/>
      <c r="AN21" s="376"/>
      <c r="AO21" s="376"/>
      <c r="AP21" s="376"/>
      <c r="AQ21" s="376"/>
      <c r="AR21" s="376"/>
      <c r="AS21" s="376"/>
      <c r="AT21" s="376"/>
      <c r="AU21" s="376"/>
      <c r="AV21" s="376"/>
      <c r="AW21" s="376"/>
      <c r="AX21" s="376"/>
      <c r="AY21" s="376"/>
      <c r="AZ21" s="376"/>
      <c r="BA21" s="376"/>
      <c r="BB21" s="376"/>
      <c r="BC21" s="376"/>
      <c r="BD21" s="376"/>
      <c r="BE21" s="376"/>
      <c r="BF21" s="376"/>
      <c r="BG21" s="376"/>
      <c r="BH21" s="376"/>
      <c r="BI21" s="376"/>
      <c r="BJ21" s="376"/>
      <c r="BK21" s="376"/>
      <c r="BL21" s="376"/>
      <c r="BM21" s="376"/>
      <c r="BN21" s="376"/>
      <c r="BO21" s="376"/>
      <c r="BP21" s="376"/>
      <c r="BQ21" s="376"/>
      <c r="BR21" s="376"/>
      <c r="BS21" s="376"/>
      <c r="BT21" s="376"/>
      <c r="BU21" s="376"/>
      <c r="BV21" s="376"/>
      <c r="BW21" s="376"/>
      <c r="BX21" s="376"/>
      <c r="BY21" s="376"/>
      <c r="BZ21" s="376"/>
      <c r="CA21" s="376"/>
      <c r="CB21" s="376"/>
      <c r="CC21" s="376"/>
      <c r="CD21" s="376"/>
      <c r="CE21" s="376"/>
      <c r="CF21" s="376"/>
      <c r="CG21" s="376"/>
      <c r="CH21" s="376"/>
      <c r="CI21" s="376"/>
      <c r="CJ21" s="376"/>
      <c r="CK21" s="376"/>
      <c r="CL21" s="376"/>
      <c r="CM21" s="376"/>
      <c r="CN21" s="376"/>
      <c r="CO21" s="376"/>
      <c r="CP21" s="376"/>
      <c r="CQ21" s="376"/>
      <c r="CR21" s="376"/>
      <c r="CS21" s="376"/>
      <c r="CT21" s="376"/>
      <c r="CU21" s="376"/>
      <c r="CV21" s="376"/>
      <c r="CW21" s="376"/>
      <c r="CX21" s="376"/>
      <c r="CY21" s="376"/>
    </row>
    <row r="22" spans="2:103" x14ac:dyDescent="0.3">
      <c r="B22" s="380"/>
      <c r="C22" s="385" t="s">
        <v>517</v>
      </c>
      <c r="D22" s="1500">
        <f t="shared" ref="D22:K22" si="12">+SUMIF($H$42:$H$1016,$C$22,Q$42:Q$1016)</f>
        <v>0</v>
      </c>
      <c r="E22" s="1500">
        <f t="shared" si="12"/>
        <v>0</v>
      </c>
      <c r="F22" s="1500">
        <f t="shared" si="12"/>
        <v>0</v>
      </c>
      <c r="G22" s="1500">
        <f t="shared" si="12"/>
        <v>0</v>
      </c>
      <c r="H22" s="1500">
        <f t="shared" si="12"/>
        <v>0</v>
      </c>
      <c r="I22" s="1500">
        <f t="shared" si="12"/>
        <v>0</v>
      </c>
      <c r="J22" s="1500">
        <f t="shared" si="12"/>
        <v>0</v>
      </c>
      <c r="K22" s="1500">
        <f t="shared" si="12"/>
        <v>0</v>
      </c>
      <c r="L22" s="1500">
        <f>+SUMIF($H$42:$H$1016,$C$22,Y$42:Y$1016)</f>
        <v>0</v>
      </c>
      <c r="M22" s="1500">
        <f>+SUMIF($H$42:$H$1016,$C$22,Z$42:Z$1016)</f>
        <v>0</v>
      </c>
      <c r="N22" s="1226"/>
      <c r="O22" s="1124"/>
      <c r="Q22" s="1125"/>
      <c r="R22" s="376"/>
      <c r="S22" s="376"/>
      <c r="T22" s="376"/>
      <c r="U22" s="376"/>
      <c r="V22" s="376"/>
      <c r="W22" s="376"/>
      <c r="X22" s="376"/>
      <c r="Y22" s="376"/>
      <c r="Z22" s="398"/>
      <c r="AA22" s="398"/>
      <c r="AB22" s="398"/>
      <c r="AC22" s="376"/>
      <c r="AD22" s="376"/>
      <c r="AE22" s="376"/>
      <c r="AF22" s="376"/>
      <c r="AG22" s="376"/>
      <c r="AH22" s="376"/>
      <c r="AI22" s="376"/>
      <c r="AJ22" s="376"/>
      <c r="AK22" s="376"/>
      <c r="AL22" s="376"/>
      <c r="AM22" s="376"/>
      <c r="AN22" s="376"/>
      <c r="AO22" s="376"/>
      <c r="AP22" s="376"/>
      <c r="AQ22" s="376"/>
      <c r="AR22" s="376"/>
      <c r="AS22" s="376"/>
      <c r="AT22" s="376"/>
      <c r="AU22" s="376"/>
      <c r="AV22" s="376"/>
      <c r="AW22" s="376"/>
      <c r="AX22" s="376"/>
      <c r="AY22" s="376"/>
      <c r="AZ22" s="376"/>
      <c r="BA22" s="376"/>
      <c r="BB22" s="376"/>
      <c r="BC22" s="376"/>
      <c r="BD22" s="376"/>
      <c r="BE22" s="376"/>
      <c r="BF22" s="376"/>
      <c r="BG22" s="376"/>
      <c r="BH22" s="376"/>
      <c r="BI22" s="376"/>
      <c r="BJ22" s="376"/>
      <c r="BK22" s="376"/>
      <c r="BL22" s="376"/>
      <c r="BM22" s="376"/>
      <c r="BN22" s="376"/>
      <c r="BO22" s="376"/>
      <c r="BP22" s="376"/>
      <c r="BQ22" s="376"/>
      <c r="BR22" s="376"/>
      <c r="BS22" s="376"/>
      <c r="BT22" s="376"/>
      <c r="BU22" s="376"/>
      <c r="BV22" s="376"/>
      <c r="BW22" s="376"/>
      <c r="BX22" s="376"/>
      <c r="BY22" s="376"/>
      <c r="BZ22" s="376"/>
      <c r="CA22" s="376"/>
      <c r="CB22" s="376"/>
      <c r="CC22" s="376"/>
      <c r="CD22" s="376"/>
      <c r="CE22" s="376"/>
      <c r="CF22" s="376"/>
      <c r="CG22" s="376"/>
      <c r="CH22" s="376"/>
      <c r="CI22" s="376"/>
      <c r="CJ22" s="376"/>
      <c r="CK22" s="376"/>
      <c r="CL22" s="376"/>
      <c r="CM22" s="376"/>
      <c r="CN22" s="376"/>
      <c r="CO22" s="376"/>
      <c r="CP22" s="376"/>
      <c r="CQ22" s="376"/>
      <c r="CR22" s="376"/>
      <c r="CS22" s="376"/>
      <c r="CT22" s="376"/>
      <c r="CU22" s="376"/>
      <c r="CV22" s="376"/>
      <c r="CW22" s="376"/>
      <c r="CX22" s="376"/>
      <c r="CY22" s="376"/>
    </row>
    <row r="23" spans="2:103" ht="12.5" thickBot="1" x14ac:dyDescent="0.35">
      <c r="B23" s="380"/>
      <c r="C23" s="387" t="s">
        <v>513</v>
      </c>
      <c r="D23" s="1505">
        <f t="shared" ref="D23:K23" si="13">SUM(D19:D22)</f>
        <v>45.988699999999994</v>
      </c>
      <c r="E23" s="1505">
        <f t="shared" si="13"/>
        <v>47.998500000000007</v>
      </c>
      <c r="F23" s="1505">
        <f t="shared" si="13"/>
        <v>50.011500000000005</v>
      </c>
      <c r="G23" s="1505">
        <f t="shared" si="13"/>
        <v>54.014499999999998</v>
      </c>
      <c r="H23" s="1505">
        <f t="shared" si="13"/>
        <v>57.990499999999983</v>
      </c>
      <c r="I23" s="1505">
        <f t="shared" si="13"/>
        <v>98.597000000000008</v>
      </c>
      <c r="J23" s="1505">
        <f t="shared" si="13"/>
        <v>95.197000000000003</v>
      </c>
      <c r="K23" s="1505">
        <f t="shared" si="13"/>
        <v>68.167000000000016</v>
      </c>
      <c r="L23" s="1505">
        <f>SUM(L19:L22)</f>
        <v>55.112000000000016</v>
      </c>
      <c r="M23" s="1505">
        <f>SUM(M19:M22)</f>
        <v>66.921999999999997</v>
      </c>
      <c r="N23" s="1226"/>
      <c r="O23" s="1124"/>
      <c r="Q23" s="1125"/>
      <c r="R23" s="376"/>
      <c r="S23" s="376"/>
      <c r="T23" s="376"/>
      <c r="U23" s="376"/>
      <c r="V23" s="376"/>
      <c r="W23" s="376"/>
      <c r="X23" s="376"/>
      <c r="Y23" s="376"/>
      <c r="Z23" s="398"/>
      <c r="AA23" s="398"/>
      <c r="AB23" s="398"/>
      <c r="AC23" s="376"/>
      <c r="AD23" s="376"/>
      <c r="AE23" s="376"/>
      <c r="AF23" s="376"/>
      <c r="AG23" s="376"/>
      <c r="AH23" s="376"/>
      <c r="AI23" s="376"/>
      <c r="AJ23" s="376"/>
      <c r="AK23" s="376"/>
      <c r="AL23" s="376"/>
      <c r="AM23" s="376"/>
      <c r="AN23" s="376"/>
      <c r="AO23" s="376"/>
      <c r="AP23" s="376"/>
      <c r="AQ23" s="376"/>
      <c r="AR23" s="376"/>
      <c r="AS23" s="376"/>
      <c r="AT23" s="376"/>
      <c r="AU23" s="376"/>
      <c r="AV23" s="376"/>
      <c r="AW23" s="376"/>
      <c r="AX23" s="376"/>
      <c r="AY23" s="376"/>
      <c r="AZ23" s="376"/>
      <c r="BA23" s="376"/>
      <c r="BB23" s="376"/>
      <c r="BC23" s="376"/>
      <c r="BD23" s="376"/>
      <c r="BE23" s="376"/>
      <c r="BF23" s="376"/>
      <c r="BG23" s="376"/>
      <c r="BH23" s="376"/>
      <c r="BI23" s="376"/>
      <c r="BJ23" s="376"/>
      <c r="BK23" s="376"/>
      <c r="BL23" s="376"/>
      <c r="BM23" s="376"/>
      <c r="BN23" s="376"/>
      <c r="BO23" s="376"/>
      <c r="BP23" s="376"/>
      <c r="BQ23" s="376"/>
      <c r="BR23" s="376"/>
      <c r="BS23" s="376"/>
      <c r="BT23" s="376"/>
      <c r="BU23" s="376"/>
      <c r="BV23" s="376"/>
      <c r="BW23" s="376"/>
      <c r="BX23" s="376"/>
      <c r="BY23" s="376"/>
      <c r="BZ23" s="376"/>
      <c r="CA23" s="376"/>
      <c r="CB23" s="376"/>
      <c r="CC23" s="376"/>
      <c r="CD23" s="376"/>
      <c r="CE23" s="376"/>
      <c r="CF23" s="376"/>
      <c r="CG23" s="376"/>
      <c r="CH23" s="376"/>
      <c r="CI23" s="376"/>
      <c r="CJ23" s="376"/>
      <c r="CK23" s="376"/>
      <c r="CL23" s="376"/>
      <c r="CM23" s="376"/>
      <c r="CN23" s="376"/>
      <c r="CO23" s="376"/>
      <c r="CP23" s="376"/>
      <c r="CQ23" s="376"/>
      <c r="CR23" s="376"/>
      <c r="CS23" s="376"/>
      <c r="CT23" s="376"/>
      <c r="CU23" s="376"/>
      <c r="CV23" s="376"/>
      <c r="CW23" s="376"/>
      <c r="CX23" s="376"/>
      <c r="CY23" s="376"/>
    </row>
    <row r="24" spans="2:103" x14ac:dyDescent="0.3">
      <c r="B24" s="380"/>
      <c r="C24" s="382"/>
      <c r="D24" s="382"/>
      <c r="E24" s="382"/>
      <c r="F24" s="382"/>
      <c r="G24" s="382"/>
      <c r="H24" s="382"/>
      <c r="I24" s="382"/>
      <c r="J24" s="382"/>
      <c r="K24" s="382"/>
      <c r="L24" s="382"/>
      <c r="M24" s="382"/>
      <c r="N24" s="1226"/>
      <c r="O24" s="1124"/>
      <c r="Q24" s="1125"/>
      <c r="R24" s="376"/>
      <c r="S24" s="376"/>
      <c r="T24" s="376"/>
      <c r="U24" s="376"/>
      <c r="V24" s="376"/>
      <c r="W24" s="376"/>
      <c r="X24" s="376"/>
      <c r="Y24" s="376"/>
      <c r="Z24" s="398"/>
      <c r="AA24" s="398"/>
      <c r="AB24" s="398"/>
      <c r="AC24" s="376"/>
      <c r="AD24" s="376"/>
      <c r="AE24" s="376"/>
      <c r="AF24" s="376"/>
      <c r="AG24" s="376"/>
      <c r="AH24" s="376"/>
      <c r="AI24" s="376"/>
      <c r="AJ24" s="376"/>
      <c r="AK24" s="376"/>
      <c r="AL24" s="376"/>
      <c r="AM24" s="376"/>
      <c r="AN24" s="376"/>
      <c r="AO24" s="376"/>
      <c r="AP24" s="376"/>
      <c r="AQ24" s="376"/>
      <c r="AR24" s="376"/>
      <c r="AS24" s="376"/>
      <c r="AT24" s="376"/>
      <c r="AU24" s="376"/>
      <c r="AV24" s="376"/>
      <c r="AW24" s="376"/>
      <c r="AX24" s="376"/>
      <c r="AY24" s="376"/>
      <c r="AZ24" s="376"/>
      <c r="BA24" s="376"/>
      <c r="BB24" s="376"/>
      <c r="BC24" s="376"/>
      <c r="BD24" s="376"/>
      <c r="BE24" s="376"/>
      <c r="BF24" s="376"/>
      <c r="BG24" s="376"/>
      <c r="BH24" s="376"/>
      <c r="BI24" s="376"/>
      <c r="BJ24" s="376"/>
      <c r="BK24" s="376"/>
      <c r="BL24" s="376"/>
      <c r="BM24" s="376"/>
      <c r="BN24" s="376"/>
      <c r="BO24" s="376"/>
      <c r="BP24" s="376"/>
      <c r="BQ24" s="376"/>
      <c r="BR24" s="376"/>
      <c r="BS24" s="376"/>
      <c r="BT24" s="376"/>
      <c r="BU24" s="376"/>
      <c r="BV24" s="376"/>
      <c r="BW24" s="376"/>
      <c r="BX24" s="376"/>
      <c r="BY24" s="376"/>
      <c r="BZ24" s="376"/>
      <c r="CA24" s="376"/>
      <c r="CB24" s="376"/>
      <c r="CC24" s="376"/>
      <c r="CD24" s="376"/>
      <c r="CE24" s="376"/>
      <c r="CF24" s="376"/>
      <c r="CG24" s="376"/>
      <c r="CH24" s="376"/>
      <c r="CI24" s="376"/>
      <c r="CJ24" s="376"/>
      <c r="CK24" s="376"/>
      <c r="CL24" s="376"/>
      <c r="CM24" s="376"/>
      <c r="CN24" s="376"/>
      <c r="CO24" s="376"/>
      <c r="CP24" s="376"/>
      <c r="CQ24" s="376"/>
      <c r="CR24" s="376"/>
      <c r="CS24" s="376"/>
      <c r="CT24" s="376"/>
      <c r="CU24" s="376"/>
      <c r="CV24" s="376"/>
      <c r="CW24" s="376"/>
      <c r="CX24" s="376"/>
      <c r="CY24" s="376"/>
    </row>
    <row r="25" spans="2:103" x14ac:dyDescent="0.3">
      <c r="B25" s="380"/>
      <c r="C25" s="283" t="s">
        <v>461</v>
      </c>
      <c r="D25" s="1963">
        <f t="shared" ref="D25:K25" si="14">+D23-D16</f>
        <v>0</v>
      </c>
      <c r="E25" s="1964">
        <f t="shared" si="14"/>
        <v>0</v>
      </c>
      <c r="F25" s="1964">
        <f t="shared" si="14"/>
        <v>0</v>
      </c>
      <c r="G25" s="1964">
        <f t="shared" si="14"/>
        <v>0</v>
      </c>
      <c r="H25" s="1964">
        <f t="shared" si="14"/>
        <v>0</v>
      </c>
      <c r="I25" s="1963">
        <f t="shared" si="14"/>
        <v>0</v>
      </c>
      <c r="J25" s="1964">
        <f t="shared" si="14"/>
        <v>0</v>
      </c>
      <c r="K25" s="1964">
        <f t="shared" si="14"/>
        <v>0</v>
      </c>
      <c r="L25" s="1964">
        <f>+L23-L16</f>
        <v>0</v>
      </c>
      <c r="M25" s="1965">
        <f>+M23-M16</f>
        <v>0</v>
      </c>
      <c r="N25" s="1226"/>
      <c r="O25" s="1124"/>
      <c r="Q25" s="1125"/>
      <c r="R25" s="376"/>
      <c r="S25" s="376"/>
      <c r="T25" s="376"/>
      <c r="U25" s="376"/>
      <c r="V25" s="376"/>
      <c r="W25" s="376"/>
      <c r="X25" s="376"/>
      <c r="Y25" s="376"/>
      <c r="Z25" s="398"/>
      <c r="AA25" s="398"/>
      <c r="AB25" s="398"/>
      <c r="AC25" s="376"/>
      <c r="AD25" s="376"/>
      <c r="AE25" s="376"/>
      <c r="AF25" s="376"/>
      <c r="AG25" s="376"/>
      <c r="AH25" s="376"/>
      <c r="AI25" s="376"/>
      <c r="AJ25" s="376"/>
      <c r="AK25" s="376"/>
      <c r="AL25" s="376"/>
      <c r="AM25" s="376"/>
      <c r="AN25" s="376"/>
      <c r="AO25" s="376"/>
      <c r="AP25" s="376"/>
      <c r="AQ25" s="376"/>
      <c r="AR25" s="376"/>
      <c r="AS25" s="376"/>
      <c r="AT25" s="376"/>
      <c r="AU25" s="376"/>
      <c r="AV25" s="376"/>
      <c r="AW25" s="376"/>
      <c r="AX25" s="376"/>
      <c r="AY25" s="376"/>
      <c r="AZ25" s="376"/>
      <c r="BA25" s="376"/>
      <c r="BB25" s="376"/>
      <c r="BC25" s="376"/>
      <c r="BD25" s="376"/>
      <c r="BE25" s="376"/>
      <c r="BF25" s="376"/>
      <c r="BG25" s="376"/>
      <c r="BH25" s="376"/>
      <c r="BI25" s="376"/>
      <c r="BJ25" s="376"/>
      <c r="BK25" s="376"/>
      <c r="BL25" s="376"/>
      <c r="BM25" s="376"/>
      <c r="BN25" s="376"/>
      <c r="BO25" s="376"/>
      <c r="BP25" s="376"/>
      <c r="BQ25" s="376"/>
      <c r="BR25" s="376"/>
      <c r="BS25" s="376"/>
      <c r="BT25" s="376"/>
      <c r="BU25" s="376"/>
      <c r="BV25" s="376"/>
      <c r="BW25" s="376"/>
      <c r="BX25" s="376"/>
      <c r="BY25" s="376"/>
      <c r="BZ25" s="376"/>
      <c r="CA25" s="376"/>
      <c r="CB25" s="376"/>
      <c r="CC25" s="376"/>
      <c r="CD25" s="376"/>
      <c r="CE25" s="376"/>
      <c r="CF25" s="376"/>
      <c r="CG25" s="376"/>
      <c r="CH25" s="376"/>
      <c r="CI25" s="376"/>
      <c r="CJ25" s="376"/>
      <c r="CK25" s="376"/>
      <c r="CL25" s="376"/>
      <c r="CM25" s="376"/>
      <c r="CN25" s="376"/>
      <c r="CO25" s="376"/>
      <c r="CP25" s="376"/>
      <c r="CQ25" s="376"/>
      <c r="CR25" s="376"/>
      <c r="CS25" s="376"/>
      <c r="CT25" s="376"/>
      <c r="CU25" s="376"/>
      <c r="CW25" s="376"/>
      <c r="CX25" s="376"/>
      <c r="CY25" s="376"/>
    </row>
    <row r="26" spans="2:103" x14ac:dyDescent="0.3">
      <c r="B26" s="380"/>
      <c r="C26" s="289" t="s">
        <v>477</v>
      </c>
      <c r="D26" s="1938">
        <f t="shared" ref="D26:M26" si="15">IF(+D23=D16,0,1)</f>
        <v>0</v>
      </c>
      <c r="E26" s="1939">
        <f t="shared" si="15"/>
        <v>0</v>
      </c>
      <c r="F26" s="1939">
        <f t="shared" si="15"/>
        <v>0</v>
      </c>
      <c r="G26" s="1939">
        <f t="shared" si="15"/>
        <v>0</v>
      </c>
      <c r="H26" s="1939">
        <f t="shared" si="15"/>
        <v>0</v>
      </c>
      <c r="I26" s="1938">
        <f t="shared" si="15"/>
        <v>0</v>
      </c>
      <c r="J26" s="1939">
        <f t="shared" si="15"/>
        <v>0</v>
      </c>
      <c r="K26" s="1939">
        <f t="shared" si="15"/>
        <v>0</v>
      </c>
      <c r="L26" s="1939">
        <f t="shared" si="15"/>
        <v>0</v>
      </c>
      <c r="M26" s="1966">
        <f t="shared" si="15"/>
        <v>0</v>
      </c>
      <c r="N26" s="1226"/>
      <c r="O26" s="1124"/>
      <c r="Q26" s="1125"/>
      <c r="R26" s="376"/>
      <c r="S26" s="376"/>
      <c r="T26" s="376"/>
      <c r="U26" s="376"/>
      <c r="V26" s="376"/>
      <c r="W26" s="376"/>
      <c r="X26" s="376"/>
      <c r="Y26" s="376"/>
      <c r="Z26" s="398"/>
      <c r="AA26" s="398"/>
      <c r="AB26" s="398"/>
      <c r="AC26" s="376"/>
      <c r="AD26" s="376"/>
      <c r="AE26" s="376"/>
      <c r="AF26" s="376"/>
      <c r="AG26" s="376"/>
      <c r="AH26" s="376"/>
      <c r="AI26" s="376"/>
      <c r="AJ26" s="376"/>
      <c r="AK26" s="376"/>
      <c r="AL26" s="376"/>
      <c r="AM26" s="376"/>
      <c r="AN26" s="376"/>
      <c r="AO26" s="376"/>
      <c r="AP26" s="376"/>
      <c r="AQ26" s="376"/>
      <c r="AR26" s="376"/>
      <c r="AS26" s="376"/>
      <c r="AT26" s="376"/>
      <c r="AU26" s="376"/>
      <c r="AV26" s="376"/>
      <c r="AW26" s="376"/>
      <c r="AX26" s="376"/>
      <c r="AY26" s="376"/>
      <c r="AZ26" s="376"/>
      <c r="BA26" s="376"/>
      <c r="BB26" s="376"/>
      <c r="BC26" s="376"/>
      <c r="BD26" s="376"/>
      <c r="BE26" s="376"/>
      <c r="BF26" s="376"/>
      <c r="BG26" s="376"/>
      <c r="BH26" s="376"/>
      <c r="BI26" s="376"/>
      <c r="BJ26" s="376"/>
      <c r="BK26" s="376"/>
      <c r="BL26" s="376"/>
      <c r="BM26" s="376"/>
      <c r="BN26" s="376"/>
      <c r="BO26" s="376"/>
      <c r="BP26" s="376"/>
      <c r="BQ26" s="376"/>
      <c r="BR26" s="376"/>
      <c r="BS26" s="376"/>
      <c r="BT26" s="376"/>
      <c r="BU26" s="376"/>
      <c r="BV26" s="376"/>
      <c r="BW26" s="376"/>
      <c r="BX26" s="376"/>
      <c r="BY26" s="376"/>
      <c r="BZ26" s="376"/>
      <c r="CA26" s="376"/>
      <c r="CB26" s="376"/>
      <c r="CC26" s="376"/>
      <c r="CD26" s="376"/>
      <c r="CE26" s="376"/>
      <c r="CF26" s="376"/>
      <c r="CG26" s="376"/>
      <c r="CH26" s="376"/>
      <c r="CI26" s="376"/>
      <c r="CJ26" s="376"/>
      <c r="CK26" s="376"/>
      <c r="CL26" s="376"/>
      <c r="CM26" s="376"/>
      <c r="CN26" s="376"/>
      <c r="CO26" s="376"/>
      <c r="CP26" s="376"/>
      <c r="CQ26" s="376"/>
      <c r="CR26" s="376"/>
      <c r="CS26" s="376"/>
      <c r="CT26" s="376"/>
      <c r="CU26" s="376"/>
      <c r="CV26" s="376"/>
      <c r="CW26" s="376"/>
      <c r="CX26" s="376"/>
      <c r="CY26" s="376"/>
    </row>
    <row r="27" spans="2:103" x14ac:dyDescent="0.3">
      <c r="B27" s="380"/>
      <c r="C27" s="382"/>
      <c r="D27" s="389"/>
      <c r="E27" s="389"/>
      <c r="F27" s="389"/>
      <c r="G27" s="389"/>
      <c r="H27" s="389"/>
      <c r="I27" s="389"/>
      <c r="J27" s="389"/>
      <c r="K27" s="389"/>
      <c r="L27" s="389"/>
      <c r="M27" s="389"/>
      <c r="N27" s="1226"/>
      <c r="O27" s="1124"/>
      <c r="Q27" s="1125"/>
      <c r="R27" s="376"/>
      <c r="S27" s="376"/>
      <c r="T27" s="376"/>
      <c r="U27" s="376"/>
      <c r="V27" s="376"/>
      <c r="W27" s="376"/>
      <c r="X27" s="376"/>
      <c r="Y27" s="376"/>
      <c r="Z27" s="398"/>
      <c r="AA27" s="398"/>
      <c r="AB27" s="398"/>
      <c r="AC27" s="376"/>
      <c r="AD27" s="376"/>
      <c r="AE27" s="376"/>
      <c r="AF27" s="376"/>
      <c r="AG27" s="376"/>
      <c r="AH27" s="376"/>
      <c r="AI27" s="376"/>
      <c r="AJ27" s="376"/>
      <c r="AK27" s="376"/>
      <c r="AL27" s="376"/>
      <c r="AM27" s="376"/>
      <c r="AN27" s="376"/>
      <c r="AO27" s="376"/>
      <c r="AP27" s="376"/>
      <c r="AQ27" s="376"/>
      <c r="AR27" s="376"/>
      <c r="AS27" s="376"/>
      <c r="AT27" s="376"/>
      <c r="AU27" s="376"/>
      <c r="AV27" s="376"/>
      <c r="AW27" s="376"/>
      <c r="AX27" s="376"/>
      <c r="AY27" s="376"/>
      <c r="AZ27" s="376"/>
      <c r="BA27" s="376"/>
      <c r="BB27" s="376"/>
      <c r="BC27" s="376"/>
      <c r="BD27" s="376"/>
      <c r="BE27" s="376"/>
      <c r="BF27" s="376"/>
      <c r="BG27" s="376"/>
      <c r="BH27" s="376"/>
      <c r="BI27" s="376"/>
      <c r="BJ27" s="376"/>
      <c r="BK27" s="376"/>
      <c r="BL27" s="376"/>
      <c r="BM27" s="376"/>
      <c r="BN27" s="376"/>
      <c r="BO27" s="376"/>
      <c r="BP27" s="376"/>
      <c r="BQ27" s="376"/>
      <c r="BR27" s="376"/>
      <c r="BS27" s="376"/>
      <c r="BT27" s="376"/>
      <c r="BU27" s="376"/>
      <c r="BV27" s="376"/>
      <c r="BW27" s="376"/>
      <c r="BX27" s="376"/>
      <c r="BY27" s="376"/>
      <c r="BZ27" s="376"/>
      <c r="CA27" s="376"/>
      <c r="CB27" s="376"/>
      <c r="CC27" s="376"/>
      <c r="CD27" s="376"/>
      <c r="CE27" s="376"/>
      <c r="CF27" s="376"/>
      <c r="CG27" s="376"/>
      <c r="CH27" s="376"/>
      <c r="CI27" s="376"/>
      <c r="CJ27" s="376"/>
      <c r="CK27" s="376"/>
      <c r="CL27" s="376"/>
      <c r="CM27" s="376"/>
      <c r="CN27" s="376"/>
      <c r="CO27" s="376"/>
      <c r="CP27" s="376"/>
      <c r="CQ27" s="376"/>
      <c r="CR27" s="376"/>
      <c r="CS27" s="376"/>
      <c r="CT27" s="376"/>
      <c r="CU27" s="376"/>
      <c r="CV27" s="376"/>
      <c r="CW27" s="376"/>
      <c r="CX27" s="376"/>
      <c r="CY27" s="376"/>
    </row>
    <row r="28" spans="2:103" x14ac:dyDescent="0.3">
      <c r="B28" s="380"/>
      <c r="C28" s="382"/>
      <c r="D28" s="389"/>
      <c r="E28" s="389"/>
      <c r="F28" s="389"/>
      <c r="G28" s="389"/>
      <c r="H28" s="389"/>
      <c r="I28" s="389"/>
      <c r="J28" s="389"/>
      <c r="K28" s="389"/>
      <c r="L28" s="389"/>
      <c r="M28" s="389"/>
      <c r="N28" s="1226"/>
      <c r="O28" s="1124"/>
      <c r="Q28" s="1125"/>
      <c r="R28" s="376"/>
      <c r="S28" s="376"/>
      <c r="T28" s="376"/>
      <c r="U28" s="376"/>
      <c r="V28" s="376"/>
      <c r="W28" s="376"/>
      <c r="X28" s="376"/>
      <c r="Y28" s="376"/>
      <c r="Z28" s="398"/>
      <c r="AA28" s="398"/>
      <c r="AB28" s="398"/>
      <c r="AC28" s="376"/>
      <c r="AD28" s="376"/>
      <c r="AE28" s="376"/>
      <c r="AF28" s="376"/>
      <c r="AG28" s="376"/>
      <c r="AH28" s="376"/>
      <c r="AI28" s="376"/>
      <c r="AJ28" s="376"/>
      <c r="AK28" s="376"/>
      <c r="AL28" s="376"/>
      <c r="AM28" s="376"/>
      <c r="AN28" s="376"/>
      <c r="AO28" s="376"/>
      <c r="AP28" s="376"/>
      <c r="AQ28" s="376"/>
      <c r="AR28" s="376"/>
      <c r="AS28" s="376"/>
      <c r="AT28" s="376"/>
      <c r="AU28" s="376"/>
      <c r="AV28" s="376"/>
      <c r="AW28" s="376"/>
      <c r="AX28" s="376"/>
      <c r="AY28" s="376"/>
      <c r="AZ28" s="376"/>
      <c r="BA28" s="376"/>
      <c r="BB28" s="376"/>
      <c r="BC28" s="376"/>
      <c r="BD28" s="376"/>
      <c r="BE28" s="376"/>
      <c r="BF28" s="376"/>
      <c r="BG28" s="376"/>
      <c r="BH28" s="376"/>
      <c r="BI28" s="376"/>
      <c r="BJ28" s="376"/>
      <c r="BK28" s="376"/>
      <c r="BL28" s="376"/>
      <c r="BM28" s="376"/>
      <c r="BN28" s="376"/>
      <c r="BO28" s="376"/>
      <c r="BP28" s="376"/>
      <c r="BQ28" s="376"/>
      <c r="BR28" s="376"/>
      <c r="BS28" s="376"/>
      <c r="BT28" s="376"/>
      <c r="BU28" s="376"/>
      <c r="BV28" s="376"/>
      <c r="BW28" s="376"/>
      <c r="BX28" s="376"/>
      <c r="BY28" s="376"/>
      <c r="BZ28" s="376"/>
      <c r="CA28" s="376"/>
      <c r="CB28" s="376"/>
      <c r="CC28" s="376"/>
      <c r="CD28" s="376"/>
      <c r="CE28" s="376"/>
      <c r="CF28" s="376"/>
      <c r="CG28" s="376"/>
      <c r="CH28" s="376"/>
      <c r="CI28" s="376"/>
      <c r="CJ28" s="376"/>
      <c r="CK28" s="376"/>
      <c r="CL28" s="376"/>
      <c r="CM28" s="376"/>
      <c r="CN28" s="376"/>
      <c r="CO28" s="376"/>
      <c r="CP28" s="376"/>
      <c r="CQ28" s="376"/>
      <c r="CR28" s="376"/>
      <c r="CT28" s="376"/>
      <c r="CU28" s="376"/>
      <c r="CV28" s="376"/>
      <c r="CW28" s="376"/>
      <c r="CX28" s="376"/>
      <c r="CY28" s="376"/>
    </row>
    <row r="29" spans="2:103" ht="12.5" thickBot="1" x14ac:dyDescent="0.35">
      <c r="B29" s="380"/>
      <c r="C29" s="384" t="s">
        <v>513</v>
      </c>
      <c r="D29" s="1505">
        <f t="shared" ref="D29:K29" si="16">+D23</f>
        <v>45.988699999999994</v>
      </c>
      <c r="E29" s="1505">
        <f t="shared" si="16"/>
        <v>47.998500000000007</v>
      </c>
      <c r="F29" s="1505">
        <f t="shared" si="16"/>
        <v>50.011500000000005</v>
      </c>
      <c r="G29" s="1505">
        <f t="shared" si="16"/>
        <v>54.014499999999998</v>
      </c>
      <c r="H29" s="1505">
        <f t="shared" si="16"/>
        <v>57.990499999999983</v>
      </c>
      <c r="I29" s="1505">
        <f t="shared" si="16"/>
        <v>98.597000000000008</v>
      </c>
      <c r="J29" s="1505">
        <f t="shared" si="16"/>
        <v>95.197000000000003</v>
      </c>
      <c r="K29" s="1505">
        <f t="shared" si="16"/>
        <v>68.167000000000016</v>
      </c>
      <c r="L29" s="1505">
        <f>+L23</f>
        <v>55.112000000000016</v>
      </c>
      <c r="M29" s="1505">
        <f>+M23</f>
        <v>66.921999999999997</v>
      </c>
      <c r="N29" s="1226"/>
      <c r="O29" s="1124"/>
      <c r="Q29" s="1125"/>
      <c r="R29" s="376"/>
      <c r="S29" s="376"/>
      <c r="T29" s="376"/>
      <c r="U29" s="376"/>
      <c r="V29" s="376"/>
      <c r="W29" s="376"/>
      <c r="X29" s="376"/>
      <c r="Y29" s="376"/>
      <c r="Z29" s="398"/>
      <c r="AA29" s="398"/>
      <c r="AB29" s="398"/>
      <c r="AC29" s="376"/>
      <c r="AD29" s="376"/>
      <c r="AE29" s="376"/>
      <c r="AF29" s="376"/>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c r="BW29" s="376"/>
      <c r="BX29" s="376"/>
      <c r="BY29" s="376"/>
      <c r="BZ29" s="376"/>
      <c r="CA29" s="376"/>
      <c r="CB29" s="376"/>
      <c r="CC29" s="376"/>
      <c r="CD29" s="376"/>
      <c r="CE29" s="376"/>
      <c r="CF29" s="376"/>
      <c r="CG29" s="376"/>
      <c r="CH29" s="376"/>
      <c r="CI29" s="376"/>
      <c r="CJ29" s="376"/>
      <c r="CK29" s="376"/>
      <c r="CL29" s="376"/>
      <c r="CM29" s="376"/>
      <c r="CN29" s="376"/>
      <c r="CO29" s="376"/>
      <c r="CP29" s="376"/>
      <c r="CQ29" s="376"/>
      <c r="CR29" s="376"/>
      <c r="CS29" s="376"/>
      <c r="CT29" s="376"/>
      <c r="CU29" s="376"/>
      <c r="CV29" s="376"/>
      <c r="CW29" s="376"/>
      <c r="CX29" s="376"/>
      <c r="CY29" s="376"/>
    </row>
    <row r="30" spans="2:103" x14ac:dyDescent="0.3">
      <c r="B30" s="380"/>
      <c r="C30" s="382"/>
      <c r="D30" s="1141"/>
      <c r="E30" s="1141"/>
      <c r="F30" s="1141"/>
      <c r="G30" s="1141"/>
      <c r="H30" s="1141"/>
      <c r="I30" s="1141"/>
      <c r="J30" s="1141"/>
      <c r="K30" s="1141"/>
      <c r="L30" s="1141"/>
      <c r="M30" s="1141"/>
      <c r="N30" s="1226"/>
      <c r="O30" s="1124"/>
      <c r="Q30" s="1125"/>
      <c r="R30" s="376"/>
      <c r="S30" s="376"/>
      <c r="T30" s="376"/>
      <c r="U30" s="376"/>
      <c r="V30" s="376"/>
      <c r="W30" s="376"/>
      <c r="X30" s="376"/>
      <c r="Y30" s="376"/>
      <c r="Z30" s="398"/>
      <c r="AA30" s="398"/>
      <c r="AB30" s="398"/>
      <c r="AC30" s="376"/>
      <c r="AD30" s="376"/>
      <c r="AE30" s="376"/>
      <c r="AF30" s="376"/>
      <c r="AG30" s="376"/>
      <c r="AH30" s="376"/>
      <c r="AI30" s="376"/>
      <c r="AJ30" s="376"/>
      <c r="AK30" s="376"/>
      <c r="AL30" s="376"/>
      <c r="AM30" s="376"/>
      <c r="AN30" s="376"/>
      <c r="AO30" s="376"/>
      <c r="AP30" s="376"/>
      <c r="AQ30" s="376"/>
      <c r="AR30" s="376"/>
      <c r="AS30" s="376"/>
      <c r="AT30" s="376"/>
      <c r="AU30" s="376"/>
      <c r="AV30" s="376"/>
      <c r="AW30" s="376"/>
      <c r="AX30" s="376"/>
      <c r="AY30" s="376"/>
      <c r="AZ30" s="376"/>
      <c r="BA30" s="376"/>
      <c r="BB30" s="376"/>
      <c r="BC30" s="376"/>
      <c r="BD30" s="376"/>
      <c r="BE30" s="376"/>
      <c r="BF30" s="376"/>
      <c r="BG30" s="376"/>
      <c r="BH30" s="376"/>
      <c r="BI30" s="376"/>
      <c r="BJ30" s="376"/>
      <c r="BK30" s="376"/>
      <c r="BL30" s="376"/>
      <c r="BM30" s="376"/>
      <c r="BN30" s="376"/>
      <c r="BO30" s="376"/>
      <c r="BP30" s="376"/>
      <c r="BQ30" s="376"/>
      <c r="BR30" s="376"/>
      <c r="BS30" s="376"/>
      <c r="BT30" s="376"/>
      <c r="BU30" s="376"/>
      <c r="BV30" s="376"/>
      <c r="BW30" s="376"/>
      <c r="BX30" s="376"/>
      <c r="BY30" s="376"/>
      <c r="BZ30" s="376"/>
      <c r="CA30" s="376"/>
      <c r="CB30" s="376"/>
      <c r="CC30" s="376"/>
      <c r="CD30" s="376"/>
      <c r="CE30" s="376"/>
      <c r="CF30" s="376"/>
      <c r="CG30" s="376"/>
      <c r="CH30" s="376"/>
      <c r="CI30" s="376"/>
      <c r="CJ30" s="376"/>
      <c r="CK30" s="376"/>
      <c r="CL30" s="376"/>
      <c r="CM30" s="376"/>
      <c r="CN30" s="376"/>
      <c r="CO30" s="376"/>
      <c r="CP30" s="376"/>
      <c r="CQ30" s="376"/>
      <c r="CR30" s="376"/>
      <c r="CS30" s="376"/>
      <c r="CT30" s="376"/>
      <c r="CU30" s="376"/>
      <c r="CV30" s="376"/>
      <c r="CW30" s="376"/>
      <c r="CX30" s="376"/>
      <c r="CY30" s="376"/>
    </row>
    <row r="31" spans="2:103" x14ac:dyDescent="0.3">
      <c r="B31" s="380"/>
      <c r="C31" s="382"/>
      <c r="D31" s="1141"/>
      <c r="E31" s="1141"/>
      <c r="F31" s="1141"/>
      <c r="G31" s="1141"/>
      <c r="H31" s="1141"/>
      <c r="I31" s="1141"/>
      <c r="J31" s="1141"/>
      <c r="K31" s="1141"/>
      <c r="L31" s="1141"/>
      <c r="M31" s="1141"/>
      <c r="N31" s="1226"/>
      <c r="O31" s="1124"/>
      <c r="Q31" s="1125"/>
      <c r="R31" s="376"/>
      <c r="S31" s="376"/>
      <c r="T31" s="376"/>
      <c r="U31" s="376"/>
      <c r="V31" s="376"/>
      <c r="W31" s="376"/>
      <c r="X31" s="376"/>
      <c r="Y31" s="376"/>
      <c r="Z31" s="398"/>
      <c r="AA31" s="398"/>
      <c r="AB31" s="398"/>
      <c r="AC31" s="376"/>
      <c r="AD31" s="376"/>
      <c r="AE31" s="376"/>
      <c r="AF31" s="376"/>
      <c r="AG31" s="376"/>
      <c r="AH31" s="376"/>
      <c r="AI31" s="376"/>
      <c r="AJ31" s="376"/>
      <c r="AK31" s="376"/>
      <c r="AL31" s="376"/>
      <c r="AM31" s="376"/>
      <c r="AN31" s="376"/>
      <c r="AO31" s="376"/>
      <c r="AP31" s="376"/>
      <c r="AQ31" s="1156"/>
      <c r="AR31" s="376"/>
      <c r="AS31" s="376"/>
      <c r="AT31" s="376"/>
      <c r="AU31" s="376"/>
      <c r="AV31" s="376"/>
      <c r="AW31" s="376"/>
      <c r="AX31" s="376"/>
      <c r="AY31" s="376"/>
      <c r="AZ31" s="376"/>
      <c r="BA31" s="376"/>
      <c r="BB31" s="376"/>
      <c r="BC31" s="376"/>
      <c r="BD31" s="376"/>
      <c r="BE31" s="376"/>
      <c r="BF31" s="376"/>
      <c r="BG31" s="376"/>
      <c r="BH31" s="376"/>
      <c r="BI31" s="376"/>
      <c r="BJ31" s="376"/>
      <c r="BK31" s="376"/>
      <c r="BL31" s="376"/>
      <c r="BM31" s="376"/>
      <c r="BN31" s="376"/>
      <c r="BO31" s="376"/>
      <c r="BP31" s="376"/>
      <c r="BQ31" s="376"/>
      <c r="BR31" s="376"/>
      <c r="BS31" s="376"/>
      <c r="BT31" s="376"/>
      <c r="BU31" s="376"/>
      <c r="BV31" s="376"/>
      <c r="BW31" s="376"/>
      <c r="BX31" s="376"/>
      <c r="BY31" s="376"/>
      <c r="BZ31" s="376"/>
      <c r="CA31" s="376"/>
      <c r="CB31" s="376"/>
      <c r="CC31" s="376"/>
      <c r="CD31" s="376"/>
      <c r="CE31" s="376"/>
      <c r="CF31" s="376"/>
      <c r="CG31" s="376"/>
      <c r="CH31" s="376"/>
      <c r="CI31" s="376"/>
      <c r="CJ31" s="376"/>
      <c r="CK31" s="376"/>
      <c r="CL31" s="376"/>
      <c r="CM31" s="376"/>
      <c r="CN31" s="376"/>
      <c r="CO31" s="376"/>
      <c r="CP31" s="376"/>
      <c r="CQ31" s="376"/>
      <c r="CR31" s="376"/>
      <c r="CS31" s="376"/>
      <c r="CT31" s="376"/>
      <c r="CU31" s="376"/>
      <c r="CV31" s="376"/>
      <c r="CW31" s="376"/>
      <c r="CX31" s="376"/>
      <c r="CY31" s="376"/>
    </row>
    <row r="32" spans="2:103" ht="12.5" thickBot="1" x14ac:dyDescent="0.35">
      <c r="B32" s="380"/>
      <c r="C32" s="384" t="s">
        <v>65</v>
      </c>
      <c r="D32" s="1505">
        <f t="shared" ref="D32:K32" ca="1" si="17">+BI41</f>
        <v>0.20910958333333329</v>
      </c>
      <c r="E32" s="1505">
        <f t="shared" ca="1" si="17"/>
        <v>0.76507958333333304</v>
      </c>
      <c r="F32" s="1505">
        <f t="shared" ca="1" si="17"/>
        <v>1.5033900000000002</v>
      </c>
      <c r="G32" s="1505">
        <f t="shared" ca="1" si="17"/>
        <v>2.3117972916666667</v>
      </c>
      <c r="H32" s="1505">
        <f t="shared" ca="1" si="17"/>
        <v>2.9036160416666656</v>
      </c>
      <c r="I32" s="1505">
        <f t="shared" ca="1" si="17"/>
        <v>3.8545045833333327</v>
      </c>
      <c r="J32" s="1505">
        <f t="shared" ca="1" si="17"/>
        <v>5.4187462500000043</v>
      </c>
      <c r="K32" s="1505">
        <f t="shared" ca="1" si="17"/>
        <v>6.9452170833333362</v>
      </c>
      <c r="L32" s="1505">
        <f ca="1">+BQ41</f>
        <v>8.1038233333333327</v>
      </c>
      <c r="M32" s="1505">
        <f ca="1">+BR41</f>
        <v>9.0227316666666688</v>
      </c>
      <c r="N32" s="1226"/>
      <c r="O32" s="1124"/>
      <c r="Q32" s="1125"/>
      <c r="R32" s="376"/>
      <c r="S32" s="376"/>
      <c r="T32" s="376"/>
      <c r="U32" s="376"/>
      <c r="V32" s="376"/>
      <c r="W32" s="376"/>
      <c r="X32" s="376"/>
      <c r="Y32" s="376"/>
      <c r="Z32" s="376"/>
      <c r="AA32" s="376"/>
      <c r="AB32" s="376"/>
      <c r="AC32" s="376"/>
      <c r="AD32" s="376"/>
      <c r="AE32" s="376"/>
      <c r="AF32" s="376"/>
      <c r="AG32" s="376"/>
      <c r="AH32" s="376"/>
      <c r="AI32" s="376"/>
      <c r="AJ32" s="376"/>
      <c r="AK32" s="376"/>
      <c r="AL32" s="376"/>
      <c r="AM32" s="376"/>
      <c r="AN32" s="376"/>
      <c r="AO32" s="376"/>
      <c r="AP32" s="376"/>
      <c r="AQ32" s="1156"/>
      <c r="AR32" s="376"/>
      <c r="AS32" s="376"/>
      <c r="AT32" s="376"/>
      <c r="AU32" s="376"/>
      <c r="AV32" s="376"/>
      <c r="AW32" s="376"/>
      <c r="AX32" s="376"/>
      <c r="AY32" s="376"/>
      <c r="AZ32" s="376"/>
      <c r="BA32" s="376"/>
      <c r="BB32" s="376"/>
      <c r="BC32" s="376"/>
      <c r="BD32" s="376"/>
      <c r="BE32" s="376"/>
      <c r="BF32" s="376"/>
      <c r="BG32" s="376"/>
      <c r="BH32" s="376"/>
      <c r="BI32" s="376"/>
      <c r="BJ32" s="376"/>
      <c r="BK32" s="376"/>
      <c r="BM32" s="376"/>
      <c r="BN32" s="376"/>
      <c r="BO32" s="376"/>
      <c r="BP32" s="376"/>
      <c r="BQ32" s="376"/>
      <c r="BR32" s="376"/>
      <c r="BS32" s="376"/>
      <c r="BT32" s="376"/>
      <c r="BU32" s="376"/>
      <c r="BV32" s="376"/>
      <c r="BW32" s="376"/>
      <c r="BX32" s="376"/>
      <c r="BY32" s="376"/>
      <c r="BZ32" s="376"/>
      <c r="CA32" s="376"/>
      <c r="CB32" s="376"/>
      <c r="CC32" s="376"/>
      <c r="CD32" s="376"/>
      <c r="CE32" s="376"/>
      <c r="CF32" s="376"/>
      <c r="CG32" s="376"/>
      <c r="CH32" s="376"/>
      <c r="CI32" s="376"/>
      <c r="CJ32" s="376"/>
      <c r="CK32" s="376"/>
      <c r="CL32" s="376"/>
      <c r="CM32" s="376"/>
      <c r="CN32" s="376"/>
      <c r="CO32" s="376"/>
      <c r="CP32" s="376"/>
      <c r="CQ32" s="376"/>
      <c r="CR32" s="376"/>
      <c r="CS32" s="376"/>
      <c r="CT32" s="376"/>
      <c r="CU32" s="376"/>
      <c r="CV32" s="376"/>
      <c r="CW32" s="376"/>
      <c r="CX32" s="376"/>
      <c r="CY32" s="376"/>
    </row>
    <row r="33" spans="2:103" x14ac:dyDescent="0.3">
      <c r="B33" s="380"/>
      <c r="C33" s="108"/>
      <c r="D33" s="382"/>
      <c r="E33" s="382"/>
      <c r="F33" s="382"/>
      <c r="G33" s="386"/>
      <c r="H33" s="386"/>
      <c r="I33" s="386"/>
      <c r="J33" s="386"/>
      <c r="K33" s="1222"/>
      <c r="L33" s="1222"/>
      <c r="M33" s="1222"/>
      <c r="N33" s="1226"/>
      <c r="O33" s="1124"/>
      <c r="Q33" s="1126"/>
      <c r="R33" s="386"/>
      <c r="S33" s="390"/>
      <c r="T33" s="390"/>
      <c r="U33" s="390"/>
      <c r="V33" s="390"/>
      <c r="W33" s="390"/>
      <c r="X33" s="390"/>
      <c r="Y33" s="390"/>
      <c r="Z33" s="376"/>
      <c r="AA33" s="376"/>
      <c r="AB33" s="376"/>
      <c r="AC33" s="376"/>
      <c r="AD33" s="376"/>
      <c r="AE33" s="376"/>
      <c r="AF33" s="376"/>
      <c r="AG33" s="376"/>
      <c r="AH33" s="376"/>
      <c r="AI33" s="376"/>
      <c r="AJ33" s="376"/>
      <c r="AK33" s="376"/>
      <c r="AL33" s="376"/>
      <c r="AM33" s="376"/>
      <c r="AN33" s="376"/>
      <c r="AO33" s="376"/>
      <c r="AP33" s="376"/>
      <c r="AQ33" s="1156"/>
      <c r="AR33" s="376"/>
      <c r="AS33" s="376"/>
      <c r="AT33" s="376"/>
      <c r="AU33" s="376"/>
      <c r="AV33" s="376"/>
      <c r="AW33" s="376"/>
      <c r="AX33" s="376"/>
      <c r="AY33" s="376"/>
      <c r="AZ33" s="376"/>
      <c r="BA33" s="376"/>
      <c r="BB33" s="376"/>
      <c r="BC33" s="376"/>
      <c r="BD33" s="376"/>
      <c r="BE33" s="376"/>
      <c r="BF33" s="376"/>
      <c r="BG33" s="376"/>
      <c r="BH33" s="376"/>
      <c r="BI33" s="376"/>
      <c r="BJ33" s="376"/>
      <c r="BK33" s="376"/>
      <c r="BL33" s="376"/>
      <c r="BM33" s="376"/>
      <c r="BN33" s="376"/>
      <c r="BO33" s="376"/>
      <c r="BP33" s="376"/>
      <c r="BQ33" s="376"/>
      <c r="BR33" s="376"/>
      <c r="BS33" s="376"/>
      <c r="BT33" s="376"/>
      <c r="BU33" s="376"/>
      <c r="BV33" s="376"/>
      <c r="BW33" s="376"/>
      <c r="BX33" s="376"/>
      <c r="BY33" s="376"/>
      <c r="BZ33" s="376"/>
      <c r="CA33" s="376"/>
      <c r="CB33" s="376"/>
      <c r="CC33" s="376"/>
      <c r="CD33" s="376"/>
      <c r="CE33" s="376"/>
      <c r="CF33" s="376"/>
      <c r="CG33" s="376"/>
      <c r="CH33" s="376"/>
      <c r="CI33" s="376"/>
      <c r="CJ33" s="376"/>
      <c r="CK33" s="376"/>
      <c r="CL33" s="376"/>
      <c r="CM33" s="376"/>
      <c r="CN33" s="376"/>
      <c r="CO33" s="376"/>
      <c r="CP33" s="376"/>
      <c r="CQ33" s="376"/>
      <c r="CR33" s="376"/>
      <c r="CS33" s="376"/>
      <c r="CT33" s="376"/>
      <c r="CU33" s="376"/>
      <c r="CW33" s="376"/>
      <c r="CX33" s="376"/>
      <c r="CY33" s="376"/>
    </row>
    <row r="34" spans="2:103" ht="12.5" thickBot="1" x14ac:dyDescent="0.35">
      <c r="B34" s="391"/>
      <c r="C34" s="392"/>
      <c r="D34" s="393"/>
      <c r="E34" s="393"/>
      <c r="F34" s="393"/>
      <c r="G34" s="394"/>
      <c r="H34" s="394"/>
      <c r="I34" s="394"/>
      <c r="J34" s="394"/>
      <c r="K34" s="1232"/>
      <c r="L34" s="1232"/>
      <c r="M34" s="1232"/>
      <c r="N34" s="1227"/>
      <c r="O34" s="1124"/>
      <c r="Q34" s="1126"/>
      <c r="R34" s="395"/>
      <c r="S34" s="395"/>
      <c r="T34" s="395"/>
      <c r="U34" s="395"/>
      <c r="V34" s="395"/>
      <c r="W34" s="395"/>
      <c r="X34" s="395"/>
      <c r="Y34" s="395"/>
      <c r="Z34" s="376"/>
      <c r="AA34" s="376"/>
      <c r="AB34" s="376"/>
      <c r="AC34" s="376"/>
      <c r="AD34" s="376"/>
      <c r="AE34" s="376"/>
      <c r="AF34" s="376"/>
      <c r="AG34" s="376"/>
      <c r="AH34" s="376"/>
      <c r="AI34" s="376"/>
      <c r="AJ34" s="376"/>
      <c r="AK34" s="376"/>
      <c r="AL34" s="376"/>
      <c r="AM34" s="376"/>
      <c r="AN34" s="376"/>
      <c r="AO34" s="376"/>
      <c r="AP34" s="376"/>
      <c r="AQ34" s="1156"/>
      <c r="AR34" s="376"/>
      <c r="AS34" s="376"/>
      <c r="AT34" s="376"/>
      <c r="AU34" s="376"/>
      <c r="AV34" s="376"/>
      <c r="AW34" s="376"/>
      <c r="AX34" s="376"/>
      <c r="AY34" s="376"/>
      <c r="AZ34" s="376"/>
      <c r="BA34" s="376"/>
      <c r="BB34" s="376"/>
      <c r="BC34" s="376"/>
      <c r="BD34" s="376"/>
      <c r="BE34" s="376"/>
      <c r="BF34" s="376"/>
      <c r="BG34" s="376"/>
      <c r="BH34" s="376"/>
      <c r="BI34" s="376"/>
      <c r="BJ34" s="376"/>
      <c r="BK34" s="376"/>
      <c r="BL34" s="376"/>
      <c r="BM34" s="376"/>
      <c r="BN34" s="376"/>
      <c r="BO34" s="376"/>
      <c r="BP34" s="376"/>
      <c r="BQ34" s="376"/>
      <c r="BR34" s="376"/>
      <c r="BS34" s="376"/>
      <c r="BT34" s="376"/>
      <c r="BU34" s="376"/>
      <c r="BV34" s="376"/>
      <c r="BW34" s="376"/>
      <c r="BX34" s="376"/>
      <c r="BY34" s="376"/>
      <c r="BZ34" s="376"/>
      <c r="CA34" s="376"/>
      <c r="CB34" s="376"/>
      <c r="CC34" s="376"/>
      <c r="CD34" s="376"/>
      <c r="CE34" s="376"/>
      <c r="CF34" s="376"/>
      <c r="CG34" s="376"/>
      <c r="CH34" s="376"/>
      <c r="CI34" s="376"/>
      <c r="CJ34" s="376"/>
      <c r="CK34" s="376"/>
      <c r="CL34" s="376"/>
      <c r="CM34" s="376"/>
      <c r="CN34" s="376"/>
      <c r="CO34" s="376"/>
      <c r="CP34" s="376"/>
      <c r="CQ34" s="376"/>
      <c r="CR34" s="376"/>
      <c r="CS34" s="376"/>
      <c r="CT34" s="376"/>
      <c r="CU34" s="376"/>
      <c r="CV34" s="376"/>
      <c r="CW34" s="376"/>
      <c r="CX34" s="376"/>
      <c r="CY34" s="376"/>
    </row>
    <row r="35" spans="2:103" x14ac:dyDescent="0.3">
      <c r="B35" s="126" t="str">
        <f>Expenditure_Detail!$B$6</f>
        <v>$m, 01/01/23</v>
      </c>
      <c r="C35" s="108"/>
      <c r="D35" s="382"/>
      <c r="E35" s="382"/>
      <c r="F35" s="382"/>
      <c r="G35" s="386"/>
      <c r="H35" s="386"/>
      <c r="I35" s="376"/>
      <c r="J35" s="1126"/>
      <c r="K35" s="376"/>
      <c r="L35" s="376"/>
      <c r="M35" s="376"/>
      <c r="N35" s="1124"/>
      <c r="O35" s="1124"/>
      <c r="P35" s="1126"/>
      <c r="Q35" s="1126"/>
      <c r="R35" s="376"/>
      <c r="S35" s="376"/>
      <c r="T35" s="376"/>
      <c r="U35" s="376"/>
      <c r="V35" s="376"/>
      <c r="W35" s="376"/>
      <c r="X35" s="376"/>
      <c r="Y35" s="376"/>
      <c r="Z35" s="376"/>
      <c r="AA35" s="376"/>
      <c r="AB35" s="376"/>
      <c r="AC35" s="376"/>
      <c r="AD35" s="376"/>
      <c r="AE35" s="376"/>
      <c r="AF35" s="376"/>
      <c r="AG35" s="376"/>
      <c r="AH35" s="376"/>
      <c r="AI35" s="376"/>
      <c r="AJ35" s="376"/>
      <c r="AK35" s="376"/>
      <c r="AL35" s="376"/>
      <c r="AM35" s="376"/>
      <c r="AN35" s="376"/>
      <c r="AO35" s="376"/>
      <c r="AP35" s="376"/>
      <c r="AQ35" s="376"/>
      <c r="AR35" s="376"/>
      <c r="AS35" s="376"/>
      <c r="AT35" s="376"/>
      <c r="AU35" s="376"/>
      <c r="AV35" s="376"/>
      <c r="AW35" s="376"/>
      <c r="AX35" s="376"/>
      <c r="AY35" s="376"/>
      <c r="AZ35" s="376"/>
      <c r="BA35" s="376"/>
      <c r="BB35" s="376"/>
      <c r="BC35" s="376"/>
      <c r="BD35" s="376"/>
      <c r="BE35" s="376"/>
      <c r="BF35" s="376"/>
      <c r="BG35" s="376"/>
      <c r="BH35" s="376"/>
      <c r="BI35" s="376"/>
      <c r="BJ35" s="376"/>
      <c r="BK35" s="376"/>
      <c r="BL35" s="376"/>
      <c r="BM35" s="376"/>
      <c r="BN35" s="376"/>
      <c r="BO35" s="376"/>
      <c r="BP35" s="376"/>
      <c r="BQ35" s="376"/>
      <c r="BR35" s="376"/>
      <c r="BS35" s="376"/>
      <c r="BT35" s="376"/>
      <c r="BU35" s="376"/>
      <c r="BV35" s="376"/>
      <c r="BW35" s="376"/>
      <c r="BX35" s="376"/>
      <c r="BY35" s="376"/>
      <c r="BZ35" s="376"/>
      <c r="CA35" s="376"/>
      <c r="CB35" s="376"/>
      <c r="CC35" s="376"/>
      <c r="CD35" s="376"/>
      <c r="CE35" s="376"/>
      <c r="CF35" s="376"/>
      <c r="CG35" s="376"/>
      <c r="CH35" s="376"/>
      <c r="CI35" s="376"/>
      <c r="CJ35" s="376"/>
      <c r="CK35" s="376"/>
      <c r="CL35" s="376"/>
      <c r="CM35" s="376"/>
      <c r="CN35" s="376"/>
      <c r="CO35" s="376"/>
      <c r="CP35" s="376"/>
      <c r="CQ35" s="376"/>
      <c r="CR35" s="376"/>
      <c r="CS35" s="376"/>
      <c r="CT35" s="376"/>
      <c r="CU35" s="376"/>
      <c r="CV35" s="376"/>
      <c r="CW35" s="376"/>
      <c r="CX35" s="376"/>
      <c r="CY35" s="376"/>
    </row>
    <row r="36" spans="2:103" x14ac:dyDescent="0.3">
      <c r="B36" s="376"/>
      <c r="C36" s="376"/>
      <c r="D36" s="807"/>
      <c r="E36" s="807"/>
      <c r="F36" s="807"/>
      <c r="G36" s="807"/>
      <c r="H36" s="807"/>
      <c r="I36" s="807"/>
      <c r="J36" s="807"/>
      <c r="K36" s="807"/>
      <c r="L36" s="1124"/>
      <c r="M36" s="1124"/>
      <c r="N36" s="1124"/>
      <c r="O36" s="1124"/>
      <c r="P36" s="376"/>
      <c r="Q36" s="396" t="s">
        <v>24</v>
      </c>
      <c r="R36" s="376"/>
      <c r="S36" s="376"/>
      <c r="T36" s="376"/>
      <c r="U36" s="376"/>
      <c r="V36" s="376"/>
      <c r="W36" s="376"/>
      <c r="X36" s="376"/>
      <c r="Y36" s="376"/>
      <c r="Z36" s="376"/>
      <c r="AA36" s="376"/>
      <c r="AB36" s="396" t="s">
        <v>20</v>
      </c>
      <c r="AC36" s="376"/>
      <c r="AD36" s="376"/>
      <c r="AE36" s="376"/>
      <c r="AF36" s="376"/>
      <c r="AG36" s="376"/>
      <c r="AH36" s="376"/>
      <c r="AI36" s="376"/>
      <c r="AJ36" s="376"/>
      <c r="AK36" s="376"/>
      <c r="AL36" s="376"/>
      <c r="AM36" s="396" t="s">
        <v>23</v>
      </c>
      <c r="AN36" s="376"/>
      <c r="AO36" s="376"/>
      <c r="AP36" s="376"/>
      <c r="AQ36" s="376"/>
      <c r="AR36" s="376"/>
      <c r="AS36" s="376"/>
      <c r="AT36" s="376"/>
      <c r="AU36" s="376"/>
      <c r="AV36" s="376"/>
      <c r="AW36" s="376"/>
      <c r="AX36" s="396" t="s">
        <v>25</v>
      </c>
      <c r="AY36" s="376"/>
      <c r="AZ36" s="376"/>
      <c r="BA36" s="376"/>
      <c r="BB36" s="376"/>
      <c r="BC36" s="376"/>
      <c r="BD36" s="376"/>
      <c r="BE36" s="376"/>
      <c r="BF36" s="376"/>
      <c r="BG36" s="376"/>
      <c r="BH36" s="376"/>
      <c r="BI36" s="396" t="s">
        <v>65</v>
      </c>
      <c r="BJ36" s="376"/>
      <c r="BK36" s="376"/>
      <c r="BL36" s="376"/>
      <c r="BM36" s="376"/>
      <c r="BN36" s="376"/>
      <c r="BO36" s="376"/>
      <c r="BP36" s="376"/>
      <c r="BQ36" s="376"/>
      <c r="BR36" s="376"/>
      <c r="BS36" s="376"/>
      <c r="BT36" s="396" t="s">
        <v>293</v>
      </c>
      <c r="BU36" s="376"/>
      <c r="BV36" s="376"/>
      <c r="BW36" s="376"/>
      <c r="BX36" s="376"/>
      <c r="BY36" s="376"/>
      <c r="BZ36" s="376"/>
      <c r="CA36" s="376"/>
      <c r="CB36" s="376"/>
      <c r="CC36" s="376"/>
      <c r="CD36" s="376"/>
      <c r="CE36" s="396" t="s">
        <v>24</v>
      </c>
      <c r="CF36" s="376"/>
      <c r="CG36" s="376"/>
      <c r="CH36" s="376"/>
      <c r="CI36" s="376"/>
      <c r="CJ36" s="376"/>
      <c r="CK36" s="376"/>
      <c r="CL36" s="376"/>
      <c r="CM36" s="376"/>
      <c r="CN36" s="376"/>
      <c r="CO36" s="376"/>
      <c r="CP36" s="396" t="s">
        <v>518</v>
      </c>
      <c r="CQ36" s="376"/>
      <c r="CR36" s="376"/>
      <c r="CS36" s="376"/>
      <c r="CT36" s="376"/>
      <c r="CU36" s="376"/>
      <c r="CV36" s="376"/>
      <c r="CW36" s="376"/>
      <c r="CX36" s="376"/>
      <c r="CY36" s="376"/>
    </row>
    <row r="37" spans="2:103" x14ac:dyDescent="0.3">
      <c r="B37" s="397"/>
      <c r="C37" s="376"/>
      <c r="D37" s="807"/>
      <c r="E37" s="807"/>
      <c r="F37" s="807"/>
      <c r="G37" s="807"/>
      <c r="H37" s="807"/>
      <c r="I37" s="807"/>
      <c r="J37" s="807"/>
      <c r="K37" s="807"/>
      <c r="L37" s="1124"/>
      <c r="M37" s="1124"/>
      <c r="N37" s="1124"/>
      <c r="O37" s="1124"/>
      <c r="P37" s="376"/>
      <c r="Q37" s="1502" t="str">
        <f>Expenditure_Detail!$B$6</f>
        <v>$m, 01/01/23</v>
      </c>
      <c r="R37" s="376"/>
      <c r="S37" s="376"/>
      <c r="T37" s="376"/>
      <c r="U37" s="376"/>
      <c r="V37" s="376"/>
      <c r="W37" s="376"/>
      <c r="X37" s="376"/>
      <c r="Y37" s="376"/>
      <c r="Z37" s="376"/>
      <c r="AA37" s="376"/>
      <c r="AB37" s="1502" t="str">
        <f>Expenditure_Detail!$B$6</f>
        <v>$m, 01/01/23</v>
      </c>
      <c r="AC37" s="376"/>
      <c r="AD37" s="376"/>
      <c r="AE37" s="376"/>
      <c r="AF37" s="376"/>
      <c r="AG37" s="376"/>
      <c r="AH37" s="376"/>
      <c r="AI37" s="376"/>
      <c r="AJ37" s="376"/>
      <c r="AK37" s="376"/>
      <c r="AL37" s="376"/>
      <c r="AM37" s="1502" t="str">
        <f>Expenditure_Detail!$B$6</f>
        <v>$m, 01/01/23</v>
      </c>
      <c r="AN37" s="376"/>
      <c r="AO37" s="376"/>
      <c r="AP37" s="376"/>
      <c r="AQ37" s="376"/>
      <c r="AR37" s="376"/>
      <c r="AS37" s="376"/>
      <c r="AT37" s="376"/>
      <c r="AU37" s="376"/>
      <c r="AV37" s="376"/>
      <c r="AW37" s="376"/>
      <c r="AX37" s="1502" t="str">
        <f>Expenditure_Detail!$B$6</f>
        <v>$m, 01/01/23</v>
      </c>
      <c r="AY37" s="376"/>
      <c r="AZ37" s="376"/>
      <c r="BA37" s="376"/>
      <c r="BB37" s="376"/>
      <c r="BC37" s="376"/>
      <c r="BD37" s="376"/>
      <c r="BE37" s="376"/>
      <c r="BF37" s="376"/>
      <c r="BG37" s="376"/>
      <c r="BH37" s="376"/>
      <c r="BI37" s="1502" t="str">
        <f>Expenditure_Detail!$B$6</f>
        <v>$m, 01/01/23</v>
      </c>
      <c r="BJ37" s="376"/>
      <c r="BK37" s="376"/>
      <c r="BL37" s="376"/>
      <c r="BM37" s="376"/>
      <c r="BN37" s="376"/>
      <c r="BO37" s="376"/>
      <c r="BP37" s="376"/>
      <c r="BQ37" s="376"/>
      <c r="BR37" s="376"/>
      <c r="BS37" s="376"/>
      <c r="BT37" s="1502" t="str">
        <f>Expenditure_Detail!$B$6</f>
        <v>$m, 01/01/23</v>
      </c>
      <c r="BU37" s="376"/>
      <c r="BV37" s="376"/>
      <c r="BW37" s="376"/>
      <c r="BX37" s="376"/>
      <c r="BY37" s="376"/>
      <c r="BZ37" s="376"/>
      <c r="CA37" s="376"/>
      <c r="CB37" s="376"/>
      <c r="CC37" s="376"/>
      <c r="CD37" s="376"/>
      <c r="CE37" s="77" t="s">
        <v>519</v>
      </c>
      <c r="CF37" s="376"/>
      <c r="CG37" s="376"/>
      <c r="CH37" s="376"/>
      <c r="CI37" s="376"/>
      <c r="CJ37" s="376"/>
      <c r="CK37" s="376"/>
      <c r="CL37" s="376"/>
      <c r="CM37" s="376"/>
      <c r="CN37" s="376"/>
      <c r="CO37" s="376"/>
      <c r="CP37" s="77" t="s">
        <v>519</v>
      </c>
      <c r="CQ37" s="376"/>
      <c r="CR37" s="376"/>
      <c r="CS37" s="376"/>
      <c r="CT37" s="376"/>
      <c r="CU37" s="376"/>
      <c r="CV37" s="376"/>
      <c r="CW37" s="376"/>
      <c r="CX37" s="376"/>
      <c r="CY37" s="376"/>
    </row>
    <row r="38" spans="2:103" x14ac:dyDescent="0.3">
      <c r="B38" s="397"/>
      <c r="C38" s="376"/>
      <c r="D38" s="807"/>
      <c r="E38" s="807"/>
      <c r="F38" s="807"/>
      <c r="G38" s="807"/>
      <c r="H38" s="807"/>
      <c r="I38" s="807"/>
      <c r="J38" s="807"/>
      <c r="K38" s="807"/>
      <c r="L38" s="376"/>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c r="AK38" s="376"/>
      <c r="AL38" s="376"/>
      <c r="AM38" s="376"/>
      <c r="AN38" s="376"/>
      <c r="AO38" s="376"/>
      <c r="AP38" s="376"/>
      <c r="AQ38" s="376"/>
      <c r="AR38" s="376"/>
      <c r="AS38" s="376"/>
      <c r="AT38" s="376"/>
      <c r="AU38" s="376"/>
      <c r="AV38" s="376"/>
      <c r="AW38" s="376"/>
      <c r="AX38" s="376"/>
      <c r="AY38" s="376"/>
      <c r="AZ38" s="376"/>
      <c r="BA38" s="376"/>
      <c r="BB38" s="376"/>
      <c r="BC38" s="376"/>
      <c r="BD38" s="376"/>
      <c r="BE38" s="376"/>
      <c r="BF38" s="376"/>
      <c r="BG38" s="376"/>
      <c r="BH38" s="376"/>
      <c r="BI38" s="376"/>
      <c r="BJ38" s="376"/>
      <c r="BK38" s="376"/>
      <c r="BL38" s="376"/>
      <c r="BM38" s="376"/>
      <c r="BN38" s="376"/>
      <c r="BO38" s="376"/>
      <c r="BP38" s="376"/>
      <c r="BQ38" s="376"/>
      <c r="BR38" s="376"/>
      <c r="BS38" s="376"/>
      <c r="BT38" s="376"/>
      <c r="BU38" s="376"/>
      <c r="BV38" s="376"/>
      <c r="BW38" s="376"/>
      <c r="BX38" s="376"/>
      <c r="BY38" s="376"/>
      <c r="BZ38" s="376"/>
      <c r="CA38" s="376"/>
      <c r="CB38" s="376"/>
      <c r="CC38" s="376"/>
      <c r="CD38" s="376"/>
      <c r="CE38" s="376"/>
      <c r="CF38" s="376"/>
      <c r="CG38" s="376"/>
      <c r="CH38" s="376"/>
      <c r="CI38" s="376"/>
      <c r="CJ38" s="376"/>
      <c r="CK38" s="376"/>
      <c r="CL38" s="376"/>
      <c r="CM38" s="376"/>
      <c r="CN38" s="376"/>
      <c r="CO38" s="376"/>
      <c r="CP38" s="376"/>
      <c r="CQ38" s="376"/>
      <c r="CR38" s="376"/>
      <c r="CS38" s="376"/>
      <c r="CT38" s="376"/>
      <c r="CU38" s="376"/>
      <c r="CV38" s="376"/>
      <c r="CW38" s="376"/>
      <c r="CX38" s="376"/>
      <c r="CY38" s="376"/>
    </row>
    <row r="39" spans="2:103" x14ac:dyDescent="0.3">
      <c r="B39" s="397"/>
      <c r="C39" s="376"/>
      <c r="D39" s="807"/>
      <c r="E39" s="807"/>
      <c r="F39" s="807"/>
      <c r="G39" s="807"/>
      <c r="H39" s="807"/>
      <c r="I39" s="807"/>
      <c r="J39" s="807"/>
      <c r="K39" s="807"/>
      <c r="L39" s="376"/>
      <c r="M39" s="376"/>
      <c r="N39" s="376"/>
      <c r="O39" s="376"/>
      <c r="P39" s="376"/>
      <c r="Q39" s="398" t="s">
        <v>520</v>
      </c>
      <c r="R39" s="398" t="s">
        <v>521</v>
      </c>
      <c r="S39" s="398" t="s">
        <v>522</v>
      </c>
      <c r="T39" s="398" t="s">
        <v>523</v>
      </c>
      <c r="U39" s="398" t="s">
        <v>524</v>
      </c>
      <c r="V39" s="398" t="s">
        <v>920</v>
      </c>
      <c r="W39" s="398" t="s">
        <v>921</v>
      </c>
      <c r="X39" s="398" t="s">
        <v>922</v>
      </c>
      <c r="Y39" s="398" t="s">
        <v>923</v>
      </c>
      <c r="Z39" s="398" t="s">
        <v>924</v>
      </c>
      <c r="AA39" s="399"/>
      <c r="AB39" s="398" t="s">
        <v>520</v>
      </c>
      <c r="AC39" s="398" t="s">
        <v>521</v>
      </c>
      <c r="AD39" s="398" t="s">
        <v>522</v>
      </c>
      <c r="AE39" s="398" t="s">
        <v>523</v>
      </c>
      <c r="AF39" s="398" t="s">
        <v>524</v>
      </c>
      <c r="AG39" s="398" t="s">
        <v>920</v>
      </c>
      <c r="AH39" s="398" t="s">
        <v>921</v>
      </c>
      <c r="AI39" s="398" t="s">
        <v>922</v>
      </c>
      <c r="AJ39" s="398" t="s">
        <v>923</v>
      </c>
      <c r="AK39" s="398" t="s">
        <v>924</v>
      </c>
      <c r="AL39" s="399"/>
      <c r="AM39" s="398" t="s">
        <v>520</v>
      </c>
      <c r="AN39" s="398" t="s">
        <v>521</v>
      </c>
      <c r="AO39" s="398" t="s">
        <v>522</v>
      </c>
      <c r="AP39" s="398" t="s">
        <v>523</v>
      </c>
      <c r="AQ39" s="398" t="s">
        <v>524</v>
      </c>
      <c r="AR39" s="398" t="s">
        <v>920</v>
      </c>
      <c r="AS39" s="398" t="s">
        <v>921</v>
      </c>
      <c r="AT39" s="398" t="s">
        <v>922</v>
      </c>
      <c r="AU39" s="398" t="s">
        <v>923</v>
      </c>
      <c r="AV39" s="398" t="s">
        <v>924</v>
      </c>
      <c r="AW39" s="399"/>
      <c r="AX39" s="398" t="s">
        <v>520</v>
      </c>
      <c r="AY39" s="398" t="s">
        <v>521</v>
      </c>
      <c r="AZ39" s="398" t="s">
        <v>522</v>
      </c>
      <c r="BA39" s="398" t="s">
        <v>523</v>
      </c>
      <c r="BB39" s="398" t="s">
        <v>524</v>
      </c>
      <c r="BC39" s="398" t="s">
        <v>920</v>
      </c>
      <c r="BD39" s="398" t="s">
        <v>921</v>
      </c>
      <c r="BE39" s="398" t="s">
        <v>922</v>
      </c>
      <c r="BF39" s="398" t="s">
        <v>923</v>
      </c>
      <c r="BG39" s="398" t="s">
        <v>924</v>
      </c>
      <c r="BH39" s="399"/>
      <c r="BI39" s="398" t="s">
        <v>520</v>
      </c>
      <c r="BJ39" s="398" t="s">
        <v>521</v>
      </c>
      <c r="BK39" s="398" t="s">
        <v>522</v>
      </c>
      <c r="BL39" s="398" t="s">
        <v>523</v>
      </c>
      <c r="BM39" s="398" t="s">
        <v>524</v>
      </c>
      <c r="BN39" s="398" t="s">
        <v>920</v>
      </c>
      <c r="BO39" s="398" t="s">
        <v>921</v>
      </c>
      <c r="BP39" s="398" t="s">
        <v>922</v>
      </c>
      <c r="BQ39" s="398" t="s">
        <v>923</v>
      </c>
      <c r="BR39" s="398" t="s">
        <v>924</v>
      </c>
      <c r="BS39" s="399"/>
      <c r="BT39" s="398" t="s">
        <v>520</v>
      </c>
      <c r="BU39" s="398" t="s">
        <v>521</v>
      </c>
      <c r="BV39" s="398" t="s">
        <v>522</v>
      </c>
      <c r="BW39" s="398" t="s">
        <v>523</v>
      </c>
      <c r="BX39" s="398" t="s">
        <v>524</v>
      </c>
      <c r="BY39" s="398" t="s">
        <v>920</v>
      </c>
      <c r="BZ39" s="398" t="s">
        <v>921</v>
      </c>
      <c r="CA39" s="398" t="s">
        <v>922</v>
      </c>
      <c r="CB39" s="398" t="s">
        <v>923</v>
      </c>
      <c r="CC39" s="398" t="s">
        <v>924</v>
      </c>
      <c r="CD39" s="399"/>
      <c r="CE39" s="398" t="s">
        <v>520</v>
      </c>
      <c r="CF39" s="398" t="s">
        <v>521</v>
      </c>
      <c r="CG39" s="398" t="s">
        <v>522</v>
      </c>
      <c r="CH39" s="398" t="s">
        <v>523</v>
      </c>
      <c r="CI39" s="398" t="s">
        <v>524</v>
      </c>
      <c r="CJ39" s="398" t="s">
        <v>920</v>
      </c>
      <c r="CK39" s="398" t="s">
        <v>921</v>
      </c>
      <c r="CL39" s="398" t="s">
        <v>922</v>
      </c>
      <c r="CM39" s="398" t="s">
        <v>923</v>
      </c>
      <c r="CN39" s="398" t="s">
        <v>924</v>
      </c>
      <c r="CO39" s="399"/>
      <c r="CP39" s="398" t="s">
        <v>520</v>
      </c>
      <c r="CQ39" s="398" t="s">
        <v>521</v>
      </c>
      <c r="CR39" s="398" t="s">
        <v>522</v>
      </c>
      <c r="CS39" s="398" t="s">
        <v>523</v>
      </c>
      <c r="CT39" s="398" t="s">
        <v>524</v>
      </c>
      <c r="CU39" s="398" t="s">
        <v>920</v>
      </c>
      <c r="CV39" s="398" t="s">
        <v>921</v>
      </c>
      <c r="CW39" s="398" t="s">
        <v>922</v>
      </c>
      <c r="CX39" s="398" t="s">
        <v>923</v>
      </c>
      <c r="CY39" s="398" t="s">
        <v>924</v>
      </c>
    </row>
    <row r="40" spans="2:103" ht="12.5" thickBot="1" x14ac:dyDescent="0.35">
      <c r="B40" s="397"/>
      <c r="C40" s="376"/>
      <c r="D40" s="376"/>
      <c r="E40" s="376"/>
      <c r="F40" s="376"/>
      <c r="G40" s="376"/>
      <c r="H40" s="376"/>
      <c r="I40" s="376"/>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376"/>
      <c r="AM40" s="376"/>
      <c r="AN40" s="376"/>
      <c r="AO40" s="376"/>
      <c r="AP40" s="376"/>
      <c r="AQ40" s="376"/>
      <c r="AR40" s="376"/>
      <c r="AS40" s="376"/>
      <c r="AT40" s="376"/>
      <c r="AU40" s="376"/>
      <c r="AV40" s="376"/>
      <c r="AW40" s="376"/>
      <c r="AX40" s="376"/>
      <c r="AY40" s="376"/>
      <c r="AZ40" s="376"/>
      <c r="BA40" s="376"/>
      <c r="BB40" s="376"/>
      <c r="BC40" s="376"/>
      <c r="BD40" s="376"/>
      <c r="BE40" s="376"/>
      <c r="BF40" s="376"/>
      <c r="BG40" s="376"/>
      <c r="BH40" s="376"/>
      <c r="BI40" s="1486">
        <v>1</v>
      </c>
      <c r="BJ40" s="1497">
        <v>2</v>
      </c>
      <c r="BK40" s="1497">
        <v>3</v>
      </c>
      <c r="BL40" s="1497">
        <v>4</v>
      </c>
      <c r="BM40" s="1497">
        <v>5</v>
      </c>
      <c r="BN40" s="1497">
        <v>6</v>
      </c>
      <c r="BO40" s="1497">
        <v>7</v>
      </c>
      <c r="BP40" s="1497">
        <v>8</v>
      </c>
      <c r="BQ40" s="1497">
        <v>9</v>
      </c>
      <c r="BR40" s="1497">
        <v>10</v>
      </c>
      <c r="BS40" s="376"/>
      <c r="BT40" s="376"/>
      <c r="BU40" s="376"/>
      <c r="BV40" s="376"/>
      <c r="BW40" s="376"/>
      <c r="BX40" s="376"/>
      <c r="BY40" s="376"/>
      <c r="BZ40" s="376"/>
      <c r="CA40" s="376"/>
      <c r="CB40" s="376"/>
      <c r="CC40" s="376"/>
      <c r="CD40" s="376"/>
      <c r="CE40" s="376"/>
      <c r="CF40" s="376"/>
      <c r="CG40" s="376"/>
      <c r="CH40" s="376"/>
      <c r="CI40" s="376"/>
      <c r="CJ40" s="376"/>
      <c r="CK40" s="376"/>
      <c r="CL40" s="376"/>
      <c r="CM40" s="376"/>
      <c r="CN40" s="376"/>
      <c r="CO40" s="376"/>
      <c r="CP40" s="1486">
        <v>1</v>
      </c>
      <c r="CQ40" s="1497">
        <v>2</v>
      </c>
      <c r="CR40" s="1497">
        <v>3</v>
      </c>
      <c r="CS40" s="1497">
        <v>4</v>
      </c>
      <c r="CT40" s="1497">
        <v>5</v>
      </c>
      <c r="CU40" s="1497">
        <v>6</v>
      </c>
      <c r="CV40" s="1497">
        <v>7</v>
      </c>
      <c r="CW40" s="1497">
        <v>8</v>
      </c>
      <c r="CX40" s="1497">
        <v>9</v>
      </c>
      <c r="CY40" s="1497">
        <v>10</v>
      </c>
    </row>
    <row r="41" spans="2:103" ht="24.5" thickBot="1" x14ac:dyDescent="0.35">
      <c r="B41" s="400"/>
      <c r="C41" s="401" t="s">
        <v>525</v>
      </c>
      <c r="D41" s="402"/>
      <c r="E41" s="402" t="s">
        <v>41</v>
      </c>
      <c r="F41" s="1228" t="s">
        <v>569</v>
      </c>
      <c r="G41" s="1229" t="s">
        <v>526</v>
      </c>
      <c r="H41" s="401" t="s">
        <v>527</v>
      </c>
      <c r="I41" s="2092"/>
      <c r="J41" s="403" t="s">
        <v>783</v>
      </c>
      <c r="K41" s="1230" t="s">
        <v>528</v>
      </c>
      <c r="L41" s="1231" t="s">
        <v>544</v>
      </c>
      <c r="M41" s="403" t="s">
        <v>545</v>
      </c>
      <c r="O41" s="404"/>
      <c r="P41" s="404"/>
      <c r="Q41" s="1506">
        <f t="shared" ref="Q41:X41" si="18">SUM(Q42:Q1016)</f>
        <v>45.988700000000001</v>
      </c>
      <c r="R41" s="1507">
        <f t="shared" si="18"/>
        <v>47.998500000000014</v>
      </c>
      <c r="S41" s="1507">
        <f t="shared" si="18"/>
        <v>50.011499999999991</v>
      </c>
      <c r="T41" s="1507">
        <f t="shared" si="18"/>
        <v>54.014499999999998</v>
      </c>
      <c r="U41" s="1508">
        <f t="shared" si="18"/>
        <v>57.990499999999983</v>
      </c>
      <c r="V41" s="1507">
        <f t="shared" si="18"/>
        <v>98.596999999999994</v>
      </c>
      <c r="W41" s="1507">
        <f t="shared" si="18"/>
        <v>95.196999999999974</v>
      </c>
      <c r="X41" s="1507">
        <f t="shared" si="18"/>
        <v>68.167000000000016</v>
      </c>
      <c r="Y41" s="1507">
        <f>SUM(Y42:Y1016)</f>
        <v>55.112000000000002</v>
      </c>
      <c r="Z41" s="1508">
        <f>SUM(Z42:Z1016)</f>
        <v>66.921999999999997</v>
      </c>
      <c r="AA41" s="1127"/>
      <c r="AB41" s="1506">
        <f t="shared" ref="AB41:AK41" si="19">SUM(AB42:AB1016)</f>
        <v>0</v>
      </c>
      <c r="AC41" s="1507">
        <f t="shared" si="19"/>
        <v>0</v>
      </c>
      <c r="AD41" s="1507">
        <f t="shared" si="19"/>
        <v>0</v>
      </c>
      <c r="AE41" s="1507">
        <f t="shared" si="19"/>
        <v>0</v>
      </c>
      <c r="AF41" s="1508">
        <f t="shared" si="19"/>
        <v>0</v>
      </c>
      <c r="AG41" s="1507">
        <f t="shared" si="19"/>
        <v>0</v>
      </c>
      <c r="AH41" s="1507">
        <f t="shared" si="19"/>
        <v>0</v>
      </c>
      <c r="AI41" s="1507">
        <f t="shared" si="19"/>
        <v>0</v>
      </c>
      <c r="AJ41" s="1507">
        <f t="shared" si="19"/>
        <v>0</v>
      </c>
      <c r="AK41" s="1508">
        <f t="shared" si="19"/>
        <v>0</v>
      </c>
      <c r="AL41" s="1128"/>
      <c r="AM41" s="1506">
        <f t="shared" ref="AM41:AV41" si="20">SUM(AM42:AM1016)</f>
        <v>4.51</v>
      </c>
      <c r="AN41" s="1507">
        <f t="shared" si="20"/>
        <v>6.15</v>
      </c>
      <c r="AO41" s="1507">
        <f t="shared" si="20"/>
        <v>7.91</v>
      </c>
      <c r="AP41" s="1507">
        <f t="shared" si="20"/>
        <v>9.86</v>
      </c>
      <c r="AQ41" s="1508">
        <f t="shared" si="20"/>
        <v>12.16</v>
      </c>
      <c r="AR41" s="1507">
        <f t="shared" si="20"/>
        <v>17.600000000000001</v>
      </c>
      <c r="AS41" s="1507">
        <f t="shared" si="20"/>
        <v>17.600000000000001</v>
      </c>
      <c r="AT41" s="1507">
        <f t="shared" si="20"/>
        <v>17.600000000000001</v>
      </c>
      <c r="AU41" s="1507">
        <f t="shared" si="20"/>
        <v>17.600000000000001</v>
      </c>
      <c r="AV41" s="1508">
        <f t="shared" si="20"/>
        <v>17.600000000000001</v>
      </c>
      <c r="AW41" s="1128"/>
      <c r="AX41" s="1506">
        <f t="shared" ref="AX41:BG41" si="21">SUM(AX42:AX1016)</f>
        <v>41.478700000000003</v>
      </c>
      <c r="AY41" s="1507">
        <f t="shared" si="21"/>
        <v>41.848500000000001</v>
      </c>
      <c r="AZ41" s="1507">
        <f t="shared" si="21"/>
        <v>42.101499999999994</v>
      </c>
      <c r="BA41" s="1507">
        <f t="shared" si="21"/>
        <v>44.154499999999999</v>
      </c>
      <c r="BB41" s="1508">
        <f t="shared" si="21"/>
        <v>45.830499999999979</v>
      </c>
      <c r="BC41" s="1507">
        <f t="shared" si="21"/>
        <v>80.997</v>
      </c>
      <c r="BD41" s="1507">
        <f t="shared" si="21"/>
        <v>77.597000000000008</v>
      </c>
      <c r="BE41" s="1507">
        <f t="shared" si="21"/>
        <v>50.567000000000014</v>
      </c>
      <c r="BF41" s="1507">
        <f t="shared" si="21"/>
        <v>37.512000000000015</v>
      </c>
      <c r="BG41" s="1508">
        <f t="shared" si="21"/>
        <v>49.32200000000001</v>
      </c>
      <c r="BH41" s="1128"/>
      <c r="BI41" s="1506">
        <f t="shared" ref="BI41:BP41" ca="1" si="22">SUM(BI42:BI1016)</f>
        <v>0.20910958333333329</v>
      </c>
      <c r="BJ41" s="1507">
        <f t="shared" ca="1" si="22"/>
        <v>0.76507958333333304</v>
      </c>
      <c r="BK41" s="1507">
        <f t="shared" ca="1" si="22"/>
        <v>1.5033900000000002</v>
      </c>
      <c r="BL41" s="1507">
        <f t="shared" ca="1" si="22"/>
        <v>2.3117972916666667</v>
      </c>
      <c r="BM41" s="1508">
        <f t="shared" ca="1" si="22"/>
        <v>2.9036160416666656</v>
      </c>
      <c r="BN41" s="1507">
        <f t="shared" ca="1" si="22"/>
        <v>3.8545045833333327</v>
      </c>
      <c r="BO41" s="1507">
        <f t="shared" ca="1" si="22"/>
        <v>5.4187462500000043</v>
      </c>
      <c r="BP41" s="1507">
        <f t="shared" ca="1" si="22"/>
        <v>6.9452170833333362</v>
      </c>
      <c r="BQ41" s="1507">
        <f ca="1">SUM(BQ42:BQ1016)</f>
        <v>8.1038233333333327</v>
      </c>
      <c r="BR41" s="1508">
        <f ca="1">SUM(BR42:BR1016)</f>
        <v>9.0227316666666688</v>
      </c>
      <c r="BS41" s="1127"/>
      <c r="BT41" s="1506">
        <f t="shared" ref="BT41:CA41" si="23">SUM(BT42:BT1016)</f>
        <v>20.008699999999997</v>
      </c>
      <c r="BU41" s="1507">
        <f t="shared" si="23"/>
        <v>42.1235</v>
      </c>
      <c r="BV41" s="1507">
        <f t="shared" si="23"/>
        <v>50.336499999999972</v>
      </c>
      <c r="BW41" s="1507">
        <f t="shared" si="23"/>
        <v>48.959499999999991</v>
      </c>
      <c r="BX41" s="1508">
        <f t="shared" si="23"/>
        <v>12.5655</v>
      </c>
      <c r="BY41" s="1507">
        <f t="shared" si="23"/>
        <v>84.10199999999999</v>
      </c>
      <c r="BZ41" s="1507">
        <f t="shared" si="23"/>
        <v>82.962000000000018</v>
      </c>
      <c r="CA41" s="1507">
        <f t="shared" si="23"/>
        <v>82.317000000000021</v>
      </c>
      <c r="CB41" s="1507">
        <f>SUM(CB42:CB1016)</f>
        <v>38.712000000000018</v>
      </c>
      <c r="CC41" s="1508">
        <f>SUM(CC42:CC1016)</f>
        <v>49.32200000000001</v>
      </c>
      <c r="CD41" s="1127"/>
      <c r="CE41" s="1506">
        <f t="shared" ref="CE41:CL41" si="24">SUM(CE42:CE1016)</f>
        <v>47.368361000000014</v>
      </c>
      <c r="CF41" s="1507">
        <f t="shared" si="24"/>
        <v>50.921608649999996</v>
      </c>
      <c r="CG41" s="1507">
        <f t="shared" si="24"/>
        <v>54.648916360500003</v>
      </c>
      <c r="CH41" s="1507">
        <f t="shared" si="24"/>
        <v>60.793795617745012</v>
      </c>
      <c r="CI41" s="1508">
        <f t="shared" si="24"/>
        <v>67.226883205694122</v>
      </c>
      <c r="CJ41" s="1507">
        <f t="shared" si="24"/>
        <v>117.7299742808698</v>
      </c>
      <c r="CK41" s="1507">
        <f t="shared" si="24"/>
        <v>117.08030236685134</v>
      </c>
      <c r="CL41" s="1507">
        <f t="shared" si="24"/>
        <v>86.351916137949644</v>
      </c>
      <c r="CM41" s="1507">
        <f>SUM(CM42:CM1016)</f>
        <v>71.908659707197316</v>
      </c>
      <c r="CN41" s="1508">
        <f>SUM(CN42:CN1016)</f>
        <v>89.937571938467329</v>
      </c>
      <c r="CO41" s="1127"/>
      <c r="CP41" s="1506">
        <f t="shared" ref="CP41:CW41" ca="1" si="25">SUM(CP42:CP1016)</f>
        <v>0.38383078749999994</v>
      </c>
      <c r="CQ41" s="1507">
        <f t="shared" ca="1" si="25"/>
        <v>1.1859059285416664</v>
      </c>
      <c r="CR41" s="1507">
        <f t="shared" ca="1" si="25"/>
        <v>2.0396384158166674</v>
      </c>
      <c r="CS41" s="1507">
        <f t="shared" ca="1" si="25"/>
        <v>2.9876070552983225</v>
      </c>
      <c r="CT41" s="1508">
        <f t="shared" ca="1" si="25"/>
        <v>4.0580449654300743</v>
      </c>
      <c r="CU41" s="1507">
        <f t="shared" ca="1" si="25"/>
        <v>5.6397728584216633</v>
      </c>
      <c r="CV41" s="1507">
        <f t="shared" ca="1" si="25"/>
        <v>7.7165152303366478</v>
      </c>
      <c r="CW41" s="1507">
        <f t="shared" ca="1" si="25"/>
        <v>9.5546549620265377</v>
      </c>
      <c r="CX41" s="1507">
        <f ca="1">SUM(CX42:CX1016)</f>
        <v>11.018761536615159</v>
      </c>
      <c r="CY41" s="1508">
        <f ca="1">SUM(CY42:CY1016)</f>
        <v>12.51555177477373</v>
      </c>
    </row>
    <row r="42" spans="2:103" x14ac:dyDescent="0.3">
      <c r="B42" s="397"/>
      <c r="C42" s="2088" t="s">
        <v>1093</v>
      </c>
      <c r="D42" s="1295"/>
      <c r="E42" s="2089" t="s">
        <v>21</v>
      </c>
      <c r="F42" s="2089" t="s">
        <v>12</v>
      </c>
      <c r="G42" s="2088" t="s">
        <v>14</v>
      </c>
      <c r="H42" s="2366" t="s">
        <v>514</v>
      </c>
      <c r="I42" s="2367"/>
      <c r="J42" s="2090" t="s">
        <v>279</v>
      </c>
      <c r="K42" s="2091" t="s">
        <v>524</v>
      </c>
      <c r="L42" s="2091">
        <v>80</v>
      </c>
      <c r="M42" s="2091">
        <v>80</v>
      </c>
      <c r="O42" s="376"/>
      <c r="P42" s="376"/>
      <c r="Q42" s="2337">
        <v>0.1</v>
      </c>
      <c r="R42" s="2338">
        <v>1.3</v>
      </c>
      <c r="S42" s="2338">
        <v>3.5</v>
      </c>
      <c r="T42" s="2338">
        <v>4.6500000000000004</v>
      </c>
      <c r="U42" s="2339">
        <v>3.4</v>
      </c>
      <c r="V42" s="2337">
        <v>9</v>
      </c>
      <c r="W42" s="2338">
        <v>0</v>
      </c>
      <c r="X42" s="2338">
        <v>0</v>
      </c>
      <c r="Y42" s="2338">
        <v>0</v>
      </c>
      <c r="Z42" s="2339">
        <v>0</v>
      </c>
      <c r="AA42" s="1132"/>
      <c r="AB42" s="1129"/>
      <c r="AC42" s="1130"/>
      <c r="AD42" s="1510"/>
      <c r="AE42" s="1130"/>
      <c r="AF42" s="1131"/>
      <c r="AG42" s="1129"/>
      <c r="AH42" s="1510"/>
      <c r="AI42" s="1130"/>
      <c r="AJ42" s="1130"/>
      <c r="AK42" s="1131"/>
      <c r="AL42" s="1132"/>
      <c r="AM42" s="2337">
        <v>4.51</v>
      </c>
      <c r="AN42" s="2343">
        <v>6.15</v>
      </c>
      <c r="AO42" s="2338">
        <v>7.91</v>
      </c>
      <c r="AP42" s="2338">
        <v>9.86</v>
      </c>
      <c r="AQ42" s="2344">
        <v>12.16</v>
      </c>
      <c r="AR42" s="2345">
        <v>17.600000000000001</v>
      </c>
      <c r="AS42" s="2343">
        <v>17.600000000000001</v>
      </c>
      <c r="AT42" s="2343">
        <v>17.600000000000001</v>
      </c>
      <c r="AU42" s="2343">
        <v>17.600000000000001</v>
      </c>
      <c r="AV42" s="2344">
        <v>17.600000000000001</v>
      </c>
      <c r="AW42" s="1133"/>
      <c r="AX42" s="1489">
        <f t="shared" ref="AX42:AX51" si="26">+Q42-AB42-AM42</f>
        <v>-4.41</v>
      </c>
      <c r="AY42" s="1487">
        <f t="shared" ref="AY42:AY51" si="27">+R42-AC42-AN42</f>
        <v>-4.8500000000000005</v>
      </c>
      <c r="AZ42" s="1487">
        <f t="shared" ref="AZ42:AZ51" si="28">+S42-AD42-AO42</f>
        <v>-4.41</v>
      </c>
      <c r="BA42" s="1487">
        <f t="shared" ref="BA42:BA51" si="29">+T42-AE42-AP42</f>
        <v>-5.2099999999999991</v>
      </c>
      <c r="BB42" s="1488">
        <f t="shared" ref="BB42:BB51" si="30">+U42-AF42-AQ42</f>
        <v>-8.76</v>
      </c>
      <c r="BC42" s="1489">
        <f t="shared" ref="BC42:BC51" si="31">+V42-AG42-AR42</f>
        <v>-8.6000000000000014</v>
      </c>
      <c r="BD42" s="1487">
        <f t="shared" ref="BD42:BD51" si="32">+W42-AH42-AS42</f>
        <v>-17.600000000000001</v>
      </c>
      <c r="BE42" s="1487">
        <f t="shared" ref="BE42:BE51" si="33">+X42-AI42-AT42</f>
        <v>-17.600000000000001</v>
      </c>
      <c r="BF42" s="1487">
        <f t="shared" ref="BF42:BF51" si="34">+Y42-AJ42-AU42</f>
        <v>-17.600000000000001</v>
      </c>
      <c r="BG42" s="1488">
        <f t="shared" ref="BG42:BG51" si="35">+Z42-AK42-AV42</f>
        <v>-17.600000000000001</v>
      </c>
      <c r="BH42" s="1133"/>
      <c r="BI42" s="1489">
        <f ca="1">IF($L42=0,0,
IF($L42&lt;=0.5,BT42,
IF($J42="straight line",
IF((LEFT(BI$39,4)*1)-INT($L42)&lt;LEFT($BI$39,4)*1,0,((OFFSET(BT42,0,-INT($L42+0.5),1,1))/$L42)*(IF($L42-INT($L42)&gt;0.5,$L42-0.5-INT($L42),IF($L42-INT($L42)&lt;=0.5,$L42-0.5-INT($L42)+1,0))))
+BT42/$L42*0.5,
IF($J42="Declining Balance",-$BI$38,0))))</f>
        <v>0</v>
      </c>
      <c r="BJ42" s="1487">
        <f ca="1">IF($L42=0,0,
IF($L42&lt;=0.5,BU42,
IF(AND($J42="straight line",$L42&lt;1.51),(BT42-((BT42/$L42)*0.5))+BU42/$L42*0.5,
IF($J42="straight line",
IF((LEFT(BJ$39,4)*1)-INT($L42)&lt;LEFT($BI$39,4)*1,0,((OFFSET(BU42,0,-INT($L42+0.5),1,1))/$L42)*(IF($L42-INT($L42)&gt;0.5,$L42-0.5-INT($L42),IF($L42-INT($L42)&lt;=0.5,$L42-0.5-INT($L42)+1,0))))
+BU42/$L42*0.5
+SUM(OFFSET(BU42,0,MAX(-INT($L42+(0.5-(10^-12))),-BJ$40)+1,1,MIN(INT($L42+(0.5-(10^-12))),BJ$40)-1))*1/$L42,
IF($J42="Declining Balance",-$BI$38,0)))))</f>
        <v>0</v>
      </c>
      <c r="BK42" s="1487">
        <f t="shared" ref="BK42:BK51" ca="1" si="36">IF($L42=0,0,
IF($L42&lt;=0.5,BV42,
IF(AND($J42="straight line",$L42&lt;1.51),(BU42-((BU42/$L42)*0.5))+BV42/$L42*0.5,
IF($J42="straight line",
IF((LEFT(BK$39,4)*1)-INT($L42)&lt;LEFT($BI$39,4)*1,0,((OFFSET(BV42,0,-INT($L42+0.5),1,1))/$L42)*(IF($L42-INT($L42)&gt;0.5,$L42-0.5-INT($L42),IF($L42-INT($L42)&lt;=0.5,$L42-0.5-INT($L42)+1,0))))
+BV42/$L42*0.5
+SUM(OFFSET(BV42,0,MAX(-INT($L42+(0.5-(10^-12))),-BK$40)+1,1,MIN(INT($L42+(0.5-(10^-12))),BK$40)-1))*1/$L42,
IF($J42="Declining Balance",-$BI$38,0)))))</f>
        <v>0</v>
      </c>
      <c r="BL42" s="1487">
        <f t="shared" ref="BL42:BL51" ca="1" si="37">IF($L42=0,0,
IF($L42&lt;=0.5,BW42,
IF(AND($J42="straight line",$L42&lt;1.51),(BV42-((BV42/$L42)*0.5))+BW42/$L42*0.5,
IF($J42="straight line",
IF((LEFT(BL$39,4)*1)-INT($L42)&lt;LEFT($BI$39,4)*1,0,((OFFSET(BW42,0,-INT($L42+0.5),1,1))/$L42)*(IF($L42-INT($L42)&gt;0.5,$L42-0.5-INT($L42),IF($L42-INT($L42)&lt;=0.5,$L42-0.5-INT($L42)+1,0))))
+BW42/$L42*0.5
+SUM(OFFSET(BW42,0,MAX(-INT($L42+(0.5-(10^-12))),-BL$40)+1,1,MIN(INT($L42+(0.5-(10^-12))),BL$40)-1))*1/$L42,
IF($J42="Declining Balance",-$BI$38,0)))))</f>
        <v>0</v>
      </c>
      <c r="BM42" s="1488">
        <f t="shared" ref="BM42:BM51" ca="1" si="38">IF($L42=0,0,
IF($L42&lt;=0.5,BX42,
IF(AND($J42="straight line",$L42&lt;1.51),(BW42-((BW42/$L42)*0.5))+BX42/$L42*0.5,
IF($J42="straight line",
IF((LEFT(BM$39,4)*1)-INT($L42)&lt;LEFT($BI$39,4)*1,0,((OFFSET(BX42,0,-INT($L42+0.5),1,1))/$L42)*(IF($L42-INT($L42)&gt;0.5,$L42-0.5-INT($L42),IF($L42-INT($L42)&lt;=0.5,$L42-0.5-INT($L42)+1,0))))
+BX42/$L42*0.5
+SUM(OFFSET(BX42,0,MAX(-INT($L42+(0.5-(10^-12))),-BM$40)+1,1,MIN(INT($L42+(0.5-(10^-12))),BM$40)-1))*1/$L42,
IF($J42="Declining Balance",-$BI$38,0)))))</f>
        <v>-0.17275000000000001</v>
      </c>
      <c r="BN42" s="1489">
        <f t="shared" ref="BN42:BN51" ca="1" si="39">IF($L42=0,0,
IF($L42&lt;=0.5,BY42,
IF(AND($J42="straight line",$L42&lt;1.51),(BX42-((BX42/$L42)*0.5))+BY42/$L42*0.5,
IF($J42="straight line",
IF((LEFT(BN$39,4)*1)-INT($L42)&lt;LEFT($BI$39,4)*1,0,((OFFSET(BY42,0,-INT($L42+0.5),1,1))/$L42)*(IF($L42-INT($L42)&gt;0.5,$L42-0.5-INT($L42),IF($L42-INT($L42)&lt;=0.5,$L42-0.5-INT($L42)+1,0))))
+BY42/$L42*0.5
+SUM(OFFSET(BY42,0,MAX(-INT($L42+(0.5-(10^-12))),-BN$40)+1,1,MIN(INT($L42+(0.5-(10^-12))),BN$40)-1))*1/$L42,
IF($J42="Declining Balance",-$BI$38,0)))))</f>
        <v>-0.39925000000000005</v>
      </c>
      <c r="BO42" s="1487">
        <f t="shared" ref="BO42:BO51" ca="1" si="40">IF($L42=0,0,
IF($L42&lt;=0.5,BZ42,
IF(AND($J42="straight line",$L42&lt;1.51),(BY42-((BY42/$L42)*0.5))+BZ42/$L42*0.5,
IF($J42="straight line",
IF((LEFT(BO$39,4)*1)-INT($L42)&lt;LEFT($BI$39,4)*1,0,((OFFSET(BZ42,0,-INT($L42+0.5),1,1))/$L42)*(IF($L42-INT($L42)&gt;0.5,$L42-0.5-INT($L42),IF($L42-INT($L42)&lt;=0.5,$L42-0.5-INT($L42)+1,0))))
+BZ42/$L42*0.5
+SUM(OFFSET(BZ42,0,MAX(-INT($L42+(0.5-(10^-12))),-BO$40)+1,1,MIN(INT($L42+(0.5-(10^-12))),BO$40)-1))*1/$L42,
IF($J42="Declining Balance",-$BI$38,0)))))</f>
        <v>-0.56300000000000006</v>
      </c>
      <c r="BP42" s="1487">
        <f t="shared" ref="BP42:BP51" ca="1" si="41">IF($L42=0,0,
IF($L42&lt;=0.5,CA42,
IF(AND($J42="straight line",$L42&lt;1.51),(BZ42-((BZ42/$L42)*0.5))+CA42/$L42*0.5,
IF($J42="straight line",
IF((LEFT(BP$39,4)*1)-INT($L42)&lt;LEFT($BI$39,4)*1,0,((OFFSET(CA42,0,-INT($L42+0.5),1,1))/$L42)*(IF($L42-INT($L42)&gt;0.5,$L42-0.5-INT($L42),IF($L42-INT($L42)&lt;=0.5,$L42-0.5-INT($L42)+1,0))))
+CA42/$L42*0.5
+SUM(OFFSET(CA42,0,MAX(-INT($L42+(0.5-(10^-12))),-BP$40)+1,1,MIN(INT($L42+(0.5-(10^-12))),BP$40)-1))*1/$L42,
IF($J42="Declining Balance",-$BI$38,0)))))</f>
        <v>-0.78300000000000003</v>
      </c>
      <c r="BQ42" s="1487">
        <f t="shared" ref="BQ42:BQ51" ca="1" si="42">IF($L42=0,0,
IF($L42&lt;=0.5,CB42,
IF(AND($J42="straight line",$L42&lt;1.51),(CA42-((CA42/$L42)*0.5))+CB42/$L42*0.5,
IF($J42="straight line",
IF((LEFT(BQ$39,4)*1)-INT($L42)&lt;LEFT($BI$39,4)*1,0,((OFFSET(CB42,0,-INT($L42+0.5),1,1))/$L42)*(IF($L42-INT($L42)&gt;0.5,$L42-0.5-INT($L42),IF($L42-INT($L42)&lt;=0.5,$L42-0.5-INT($L42)+1,0))))
+CB42/$L42*0.5
+SUM(OFFSET(CB42,0,MAX(-INT($L42+(0.5-(10^-12))),-BQ$40)+1,1,MIN(INT($L42+(0.5-(10^-12))),BQ$40)-1))*1/$L42,
IF($J42="Declining Balance",-$BI$38,0)))))</f>
        <v>-1.0030000000000001</v>
      </c>
      <c r="BR42" s="1488">
        <f t="shared" ref="BR42:BR51" ca="1" si="43">IF($L42=0,0,
IF($L42&lt;=0.5,CC42,
IF(AND($J42="straight line",$L42&lt;1.51),(CB42-((CB42/$L42)*0.5))+CC42/$L42*0.5,
IF($J42="straight line",
IF((LEFT(BR$39,4)*1)-INT($L42)&lt;LEFT($BI$39,4)*1,0,((OFFSET(CC42,0,-INT($L42+0.5),1,1))/$L42)*(IF($L42-INT($L42)&gt;0.5,$L42-0.5-INT($L42),IF($L42-INT($L42)&lt;=0.5,$L42-0.5-INT($L42)+1,0))))
+CC42/$L42*0.5
+SUM(OFFSET(CC42,0,MAX(-INT($L42+(0.5-(10^-12))),-BR$40)+1,1,MIN(INT($L42+(0.5-(10^-12))),BR$40)-1))*1/$L42,
IF($J42="Declining Balance",-$BI$38,0)))))</f>
        <v>-1.2230000000000001</v>
      </c>
      <c r="BS42" s="1133"/>
      <c r="BT42" s="1489">
        <f>+IF($K42="Ongoing",AX42,IF(RIGHT($K42,2)=RIGHT(BT$39,2),SUM($AX42:AX42),0)+IF(RIGHT(BT$39,2)&gt;RIGHT($K42,2),AX42,0))</f>
        <v>0</v>
      </c>
      <c r="BU42" s="1487">
        <f>+IF($K42="Ongoing",AY42,IF(RIGHT($K42,2)=RIGHT(BU$39,2),SUM($AX42:AY42),0)+IF(RIGHT(BU$39,2)&gt;RIGHT($K42,2),AY42,0))</f>
        <v>0</v>
      </c>
      <c r="BV42" s="1487">
        <f>+IF($K42="Ongoing",AZ42,IF(RIGHT($K42,2)=RIGHT(BV$39,2),SUM($AX42:AZ42),0)+IF(RIGHT(BV$39,2)&gt;RIGHT($K42,2),AZ42,0))</f>
        <v>0</v>
      </c>
      <c r="BW42" s="1487">
        <f>+IF($K42="Ongoing",BA42,IF(RIGHT($K42,2)=RIGHT(BW$39,2),SUM($AX42:BA42),0)+IF(RIGHT(BW$39,2)&gt;RIGHT($K42,2),BA42,0))</f>
        <v>0</v>
      </c>
      <c r="BX42" s="1488">
        <f>+IF($K42="Ongoing",BB42,IF(RIGHT($K42,2)=RIGHT(BX$39,2),SUM($AX42:BB42),0)+IF(RIGHT(BX$39,2)&gt;RIGHT($K42,2),BB42,0))</f>
        <v>-27.64</v>
      </c>
      <c r="BY42" s="1489">
        <f>+IF($K42="Ongoing",BC42,IF(RIGHT($K42,2)=RIGHT(BY$39,2),SUM($AX42:BC42),0)+IF(RIGHT(BY$39,2)&gt;RIGHT($K42,2),BC42,0))</f>
        <v>-8.6000000000000014</v>
      </c>
      <c r="BZ42" s="1487">
        <f>+IF($K42="Ongoing",BD42,IF(RIGHT($K42,2)=RIGHT(BZ$39,2),SUM($AX42:BD42),0)+IF(RIGHT(BZ$39,2)&gt;RIGHT($K42,2),BD42,0))</f>
        <v>-17.600000000000001</v>
      </c>
      <c r="CA42" s="1487">
        <f>+IF($K42="Ongoing",BE42,IF(RIGHT($K42,2)=RIGHT(CA$39,2),SUM($AX42:BE42),0)+IF(RIGHT(CA$39,2)&gt;RIGHT($K42,2),BE42,0))</f>
        <v>-17.600000000000001</v>
      </c>
      <c r="CB42" s="1487">
        <f>+IF($K42="Ongoing",BF42,IF(RIGHT($K42,2)=RIGHT(CB$39,2),SUM($AX42:BF42),0)+IF(RIGHT(CB$39,2)&gt;RIGHT($K42,2),BF42,0))</f>
        <v>-17.600000000000001</v>
      </c>
      <c r="CC42" s="1488">
        <f>+IF($K42="Ongoing",BG42,IF(RIGHT($K42,2)=RIGHT(CC$39,2),SUM($AX42:BG42),0)+IF(RIGHT(CC$39,2)&gt;RIGHT($K42,2),BG42,0))</f>
        <v>-17.600000000000001</v>
      </c>
      <c r="CD42" s="1133"/>
      <c r="CE42" s="1489">
        <f>+Q42*KeyAssumptionsPriceControl_FO!AC$15</f>
        <v>0.10300000000000001</v>
      </c>
      <c r="CF42" s="1487">
        <f>+R42*KeyAssumptionsPriceControl_FO!AD$15</f>
        <v>1.37917</v>
      </c>
      <c r="CG42" s="1487">
        <f>+S42*KeyAssumptionsPriceControl_FO!AE$15</f>
        <v>3.8245445</v>
      </c>
      <c r="CH42" s="1487">
        <f>+T42*KeyAssumptionsPriceControl_FO!AF$15</f>
        <v>5.2336159665000013</v>
      </c>
      <c r="CI42" s="1488">
        <f>+U42*KeyAssumptionsPriceControl_FO!AG$15</f>
        <v>3.9415318526200003</v>
      </c>
      <c r="CJ42" s="1489">
        <f>+V42*KeyAssumptionsPriceControl_FO!AH$15</f>
        <v>10.746470668761001</v>
      </c>
      <c r="CK42" s="1487">
        <f>+W42*KeyAssumptionsPriceControl_FO!AI$15</f>
        <v>0</v>
      </c>
      <c r="CL42" s="1487">
        <f>+X42*KeyAssumptionsPriceControl_FO!AJ$15</f>
        <v>0</v>
      </c>
      <c r="CM42" s="1487">
        <f>+Y42*KeyAssumptionsPriceControl_FO!AK$15</f>
        <v>0</v>
      </c>
      <c r="CN42" s="1488">
        <f>+Z42*KeyAssumptionsPriceControl_FO!AL$15</f>
        <v>0</v>
      </c>
      <c r="CO42" s="1133"/>
      <c r="CP42" s="1518">
        <f t="shared" ref="CP42:CP51" ca="1" si="44">IF($M42=0,0,
IF($M42&lt;=0.5,CE42,
IF($J42="straight line",
IF((LEFT(CP$39,4)*1)-INT($M42)&lt;LEFT($CP$39,4)*1,0,((OFFSET(CE42,0,-INT($M42+0.5),1,1))/$M42)*(IF($M42-INT($M42)&gt;0.5,$M42-0.5-INT($M42),IF($M42-INT($M42)&lt;=0.5,$M42-0.5-INT($M42)+1,0))))
+CE42/$M42*0.5,
IF($J42="Declining Balance",-$CP$38,0))))</f>
        <v>6.4375000000000001E-4</v>
      </c>
      <c r="CQ42" s="1519">
        <f t="shared" ref="CQ42:CQ51" ca="1" si="45">IF($M42=0,0,
IF($M42&lt;=0.5,CF42,
IF(AND($J42="straight line",$M42&lt;1.51),(CE42-((CE42/$M42)*0.5))+CF42/$M42*0.5,
IF($J42="straight line",
IF((LEFT(CQ$39,4)*1)-INT($M42)&lt;LEFT($CP$39,4)*1,0,((OFFSET(CF42,0,-INT($M42+0.5),1,1))/$M42)*(IF($M42-INT($M42)&gt;0.5,$M42-0.5-INT($M42),IF($M42-INT($M42)&lt;=0.5,$M42-0.5-INT($M42)+1,0))))
+CF42/$M42*0.5
+SUM(OFFSET(CF42,0,MAX(-INT($M42+(0.5-(10^-12))),-CQ$40)+1,1,MIN(INT($M42+(0.5-(10^-12))),CQ$40)-1))*1/$M42,
IF($J42="Declining Balance",-$CP$38,0)))))</f>
        <v>9.9073125000000012E-3</v>
      </c>
      <c r="CR42" s="1487">
        <f t="shared" ref="CR42:CR51" ca="1" si="46">IF($M42=0,0,
IF($M42&lt;=0.5,CG42,
IF(AND($J42="straight line",$M42&lt;1.51),(CF42-((CF42/$M42)*0.5))+CG42/$M42*0.5,
IF($J42="straight line",
IF((LEFT(CR$39,4)*1)-INT($M42)&lt;LEFT($CP$39,4)*1,0,((OFFSET(CG42,0,-INT($M42+0.5),1,1))/$M42)*(IF($M42-INT($M42)&gt;0.5,$M42-0.5-INT($M42),IF($M42-INT($M42)&lt;=0.5,$M42-0.5-INT($M42)+1,0))))
+CG42/$M42*0.5
+SUM(OFFSET(CG42,0,MAX(-INT($M42+(0.5-(10^-12))),-CR$40)+1,1,MIN(INT($M42+(0.5-(10^-12))),CR$40)-1))*1/$M42,
IF($J42="Declining Balance",-$CP$38,0)))))</f>
        <v>4.2430528124999999E-2</v>
      </c>
      <c r="CS42" s="1487">
        <f t="shared" ref="CS42:CS51" ca="1" si="47">IF($M42=0,0,
IF($M42&lt;=0.5,CH42,
IF(AND($J42="straight line",$M42&lt;1.51),(CG42-((CG42/$M42)*0.5))+CH42/$M42*0.5,
IF($J42="straight line",
IF((LEFT(CS$39,4)*1)-INT($M42)&lt;LEFT($CP$39,4)*1,0,((OFFSET(CH42,0,-INT($M42+0.5),1,1))/$M42)*(IF($M42-INT($M42)&gt;0.5,$M42-0.5-INT($M42),IF($M42-INT($M42)&lt;=0.5,$M42-0.5-INT($M42)+1,0))))
+CH42/$M42*0.5
+SUM(OFFSET(CH42,0,MAX(-INT($M42+(0.5-(10^-12))),-CS$40)+1,1,MIN(INT($M42+(0.5-(10^-12))),CS$40)-1))*1/$M42,
IF($J42="Declining Balance",-$CP$38,0)))))</f>
        <v>9.9044031040625008E-2</v>
      </c>
      <c r="CT42" s="1488">
        <f t="shared" ref="CT42:CT51" ca="1" si="48">IF($M42=0,0,
IF($M42&lt;=0.5,CI42,
IF(AND($J42="straight line",$M42&lt;1.51),(CH42-((CH42/$M42)*0.5))+CI42/$M42*0.5,
IF($J42="straight line",
IF((LEFT(CT$39,4)*1)-INT($M42)&lt;LEFT($CP$39,4)*1,0,((OFFSET(CI42,0,-INT($M42+0.5),1,1))/$M42)*(IF($M42-INT($M42)&gt;0.5,$M42-0.5-INT($M42),IF($M42-INT($M42)&lt;=0.5,$M42-0.5-INT($M42)+1,0))))
+CI42/$M42*0.5
+SUM(OFFSET(CI42,0,MAX(-INT($M42+(0.5-(10^-12))),-CT$40)+1,1,MIN(INT($M42+(0.5-(10^-12))),CT$40)-1))*1/$M42,
IF($J42="Declining Balance",-$CP$38,0)))))</f>
        <v>0.15638870491012505</v>
      </c>
      <c r="CU42" s="1489">
        <f t="shared" ref="CU42:CU51" ca="1" si="49">IF($M42=0,0,
IF($M42&lt;=0.5,CJ42,
IF(AND($J42="straight line",$M42&lt;1.51),(CI42-((CI42/$M42)*0.5))+CJ42/$M42*0.5,
IF($J42="straight line",
IF((LEFT(CU$39,4)*1)-INT($M42)&lt;LEFT($CP$39,4)*1,0,((OFFSET(CJ42,0,-INT($M42+0.5),1,1))/$M42)*(IF($M42-INT($M42)&gt;0.5,$M42-0.5-INT($M42),IF($M42-INT($M42)&lt;=0.5,$M42-0.5-INT($M42)+1,0))))
+CJ42/$M42*0.5
+SUM(OFFSET(CJ42,0,MAX(-INT($M42+(0.5-(10^-12))),-CU$40)+1,1,MIN(INT($M42+(0.5-(10^-12))),CU$40)-1))*1/$M42,
IF($J42="Declining Balance",-$CP$38,0)))))</f>
        <v>0.2481887206687563</v>
      </c>
      <c r="CV42" s="1487">
        <f t="shared" ref="CV42:CV51" ca="1" si="50">IF($M42=0,0,
IF($M42&lt;=0.5,CK42,
IF(AND($J42="straight line",$M42&lt;1.51),(CJ42-((CJ42/$M42)*0.5))+CK42/$M42*0.5,
IF($J42="straight line",
IF((LEFT(CV$39,4)*1)-INT($M42)&lt;LEFT($CP$39,4)*1,0,((OFFSET(CK42,0,-INT($M42+0.5),1,1))/$M42)*(IF($M42-INT($M42)&gt;0.5,$M42-0.5-INT($M42),IF($M42-INT($M42)&lt;=0.5,$M42-0.5-INT($M42)+1,0))))
+CK42/$M42*0.5
+SUM(OFFSET(CK42,0,MAX(-INT($M42+(0.5-(10^-12))),-CV$40)+1,1,MIN(INT($M42+(0.5-(10^-12))),CV$40)-1))*1/$M42,
IF($J42="Declining Balance",-$CP$38,0)))))</f>
        <v>0.31535416234851255</v>
      </c>
      <c r="CW42" s="1487">
        <f t="shared" ref="CW42:CW51" ca="1" si="51">IF($M42=0,0,
IF($M42&lt;=0.5,CL42,
IF(AND($J42="straight line",$M42&lt;1.51),(CK42-((CK42/$M42)*0.5))+CL42/$M42*0.5,
IF($J42="straight line",
IF((LEFT(CW$39,4)*1)-INT($M42)&lt;LEFT($CP$39,4)*1,0,((OFFSET(CL42,0,-INT($M42+0.5),1,1))/$M42)*(IF($M42-INT($M42)&gt;0.5,$M42-0.5-INT($M42),IF($M42-INT($M42)&lt;=0.5,$M42-0.5-INT($M42)+1,0))))
+CL42/$M42*0.5
+SUM(OFFSET(CL42,0,MAX(-INT($M42+(0.5-(10^-12))),-CW$40)+1,1,MIN(INT($M42+(0.5-(10^-12))),CW$40)-1))*1/$M42,
IF($J42="Declining Balance",-$CP$38,0)))))</f>
        <v>0.31535416234851255</v>
      </c>
      <c r="CX42" s="1487">
        <f t="shared" ref="CX42:CX51" ca="1" si="52">IF($M42=0,0,
IF($M42&lt;=0.5,CM42,
IF(AND($J42="straight line",$M42&lt;1.51),(CL42-((CL42/$M42)*0.5))+CM42/$M42*0.5,
IF($J42="straight line",
IF((LEFT(CX$39,4)*1)-INT($M42)&lt;LEFT($CP$39,4)*1,0,((OFFSET(CM42,0,-INT($M42+0.5),1,1))/$M42)*(IF($M42-INT($M42)&gt;0.5,$M42-0.5-INT($M42),IF($M42-INT($M42)&lt;=0.5,$M42-0.5-INT($M42)+1,0))))
+CM42/$M42*0.5
+SUM(OFFSET(CM42,0,MAX(-INT($M42+(0.5-(10^-12))),-CX$40)+1,1,MIN(INT($M42+(0.5-(10^-12))),CX$40)-1))*1/$M42,
IF($J42="Declining Balance",-$CP$38,0)))))</f>
        <v>0.31535416234851255</v>
      </c>
      <c r="CY42" s="1488">
        <f t="shared" ref="CY42:CY51" ca="1" si="53">IF($M42=0,0,
IF($M42&lt;=0.5,CN42,
IF(AND($J42="straight line",$M42&lt;1.51),(CM42-((CM42/$M42)*0.5))+CN42/$M42*0.5,
IF($J42="straight line",
IF((LEFT(CY$39,4)*1)-INT($M42)&lt;LEFT($CP$39,4)*1,0,((OFFSET(CN42,0,-INT($M42+0.5),1,1))/$M42)*(IF($M42-INT($M42)&gt;0.5,$M42-0.5-INT($M42),IF($M42-INT($M42)&lt;=0.5,$M42-0.5-INT($M42)+1,0))))
+CN42/$M42*0.5
+SUM(OFFSET(CN42,0,MAX(-INT($M42+(0.5-(10^-12))),-CY$40)+1,1,MIN(INT($M42+(0.5-(10^-12))),CY$40)-1))*1/$M42,
IF($J42="Declining Balance",-$CP$38,0)))))</f>
        <v>0.31535416234851255</v>
      </c>
    </row>
    <row r="43" spans="2:103" x14ac:dyDescent="0.3">
      <c r="B43" s="397"/>
      <c r="C43" s="1294" t="s">
        <v>1094</v>
      </c>
      <c r="D43" s="406"/>
      <c r="E43" s="1531" t="s">
        <v>22</v>
      </c>
      <c r="F43" s="2332" t="s">
        <v>12</v>
      </c>
      <c r="G43" s="2330" t="s">
        <v>14</v>
      </c>
      <c r="H43" s="2364" t="s">
        <v>514</v>
      </c>
      <c r="I43" s="2365"/>
      <c r="J43" s="2334" t="s">
        <v>279</v>
      </c>
      <c r="K43" s="1292" t="s">
        <v>922</v>
      </c>
      <c r="L43" s="2112">
        <v>80</v>
      </c>
      <c r="M43" s="2112">
        <v>80</v>
      </c>
      <c r="O43" s="376"/>
      <c r="P43" s="376"/>
      <c r="Q43" s="2337">
        <v>0</v>
      </c>
      <c r="R43" s="2338">
        <v>0.3</v>
      </c>
      <c r="S43" s="2338">
        <v>3</v>
      </c>
      <c r="T43" s="2338">
        <v>6.2</v>
      </c>
      <c r="U43" s="2339">
        <v>7.8</v>
      </c>
      <c r="V43" s="2337">
        <v>2.1</v>
      </c>
      <c r="W43" s="2338">
        <v>10</v>
      </c>
      <c r="X43" s="2338">
        <v>4</v>
      </c>
      <c r="Y43" s="2338">
        <v>0</v>
      </c>
      <c r="Z43" s="2339">
        <v>0</v>
      </c>
      <c r="AA43" s="1132"/>
      <c r="AB43" s="1129"/>
      <c r="AC43" s="1130"/>
      <c r="AD43" s="1510"/>
      <c r="AE43" s="1130"/>
      <c r="AF43" s="1131"/>
      <c r="AG43" s="1129"/>
      <c r="AH43" s="1510"/>
      <c r="AI43" s="1130"/>
      <c r="AJ43" s="1130"/>
      <c r="AK43" s="1131"/>
      <c r="AL43" s="1132"/>
      <c r="AM43" s="1509"/>
      <c r="AN43" s="1130"/>
      <c r="AO43" s="1510"/>
      <c r="AP43" s="1510"/>
      <c r="AQ43" s="1131"/>
      <c r="AR43" s="1129"/>
      <c r="AS43" s="1130"/>
      <c r="AT43" s="1130"/>
      <c r="AU43" s="1130"/>
      <c r="AV43" s="1131"/>
      <c r="AW43" s="1133"/>
      <c r="AX43" s="1492">
        <f t="shared" si="26"/>
        <v>0</v>
      </c>
      <c r="AY43" s="1490">
        <f t="shared" si="27"/>
        <v>0.3</v>
      </c>
      <c r="AZ43" s="1490">
        <f t="shared" si="28"/>
        <v>3</v>
      </c>
      <c r="BA43" s="1490">
        <f t="shared" si="29"/>
        <v>6.2</v>
      </c>
      <c r="BB43" s="1491">
        <f t="shared" si="30"/>
        <v>7.8</v>
      </c>
      <c r="BC43" s="1492">
        <f t="shared" si="31"/>
        <v>2.1</v>
      </c>
      <c r="BD43" s="1490">
        <f t="shared" si="32"/>
        <v>10</v>
      </c>
      <c r="BE43" s="1490">
        <f t="shared" si="33"/>
        <v>4</v>
      </c>
      <c r="BF43" s="1490">
        <f t="shared" si="34"/>
        <v>0</v>
      </c>
      <c r="BG43" s="1491">
        <f t="shared" si="35"/>
        <v>0</v>
      </c>
      <c r="BH43" s="1133"/>
      <c r="BI43" s="1492">
        <f t="shared" ref="BI43:BI51" ca="1" si="54">IF($L43=0,0,
IF($L43&lt;=0.5,BT43,
IF($J43="straight line",
IF((LEFT(BI$39,4)*1)-INT($L43)&lt;LEFT($BI$39,4)*1,0,((OFFSET(BT43,0,-INT($L43+0.5),1,1))/$L43)*(IF($L43-INT($L43)&gt;0.5,$L43-0.5-INT($L43),IF($L43-INT($L43)&lt;=0.5,$L43-0.5-INT($L43)+1,0))))
+BT43/$L43*0.5,
IF($J43="Declining Balance",-$BI$38,0))))</f>
        <v>0</v>
      </c>
      <c r="BJ43" s="1490">
        <f t="shared" ref="BJ43:BJ51" ca="1" si="55">IF($L43=0,0,
IF($L43&lt;=0.5,BU43,
IF(AND($J43="straight line",$L43&lt;1.51),(BT43-((BT43/$L43)*0.5))+BU43/$L43*0.5,
IF($J43="straight line",
IF((LEFT(BJ$39,4)*1)-INT($L43)&lt;LEFT($BI$39,4)*1,0,((OFFSET(BU43,0,-INT($L43+0.5),1,1))/$L43)*(IF($L43-INT($L43)&gt;0.5,$L43-0.5-INT($L43),IF($L43-INT($L43)&lt;=0.5,$L43-0.5-INT($L43)+1,0))))
+BU43/$L43*0.5
+SUM(OFFSET(BU43,0,MAX(-INT($L43+(0.5-(10^-12))),-BJ$40)+1,1,MIN(INT($L43+(0.5-(10^-12))),BJ$40)-1))*1/$L43,
IF($J43="Declining Balance",-$BI$38,0)))))</f>
        <v>0</v>
      </c>
      <c r="BK43" s="1490">
        <f t="shared" ca="1" si="36"/>
        <v>0</v>
      </c>
      <c r="BL43" s="1490">
        <f t="shared" ca="1" si="37"/>
        <v>0</v>
      </c>
      <c r="BM43" s="1491">
        <f t="shared" ca="1" si="38"/>
        <v>0</v>
      </c>
      <c r="BN43" s="1492">
        <f t="shared" ca="1" si="39"/>
        <v>0</v>
      </c>
      <c r="BO43" s="1490">
        <f t="shared" ca="1" si="40"/>
        <v>0</v>
      </c>
      <c r="BP43" s="1490">
        <f t="shared" ca="1" si="41"/>
        <v>0.20875000000000005</v>
      </c>
      <c r="BQ43" s="1490">
        <f t="shared" ca="1" si="42"/>
        <v>0.41750000000000009</v>
      </c>
      <c r="BR43" s="1491">
        <f t="shared" ca="1" si="43"/>
        <v>0.41750000000000009</v>
      </c>
      <c r="BS43" s="1133"/>
      <c r="BT43" s="1492">
        <f>+IF($K43="Ongoing",AX43,IF(RIGHT($K43,2)=RIGHT(BT$39,2),SUM($AX43:AX43),0)+IF(RIGHT(BT$39,2)&gt;RIGHT($K43,2),AX43,0))</f>
        <v>0</v>
      </c>
      <c r="BU43" s="1490">
        <f>+IF($K43="Ongoing",AY43,IF(RIGHT($K43,2)=RIGHT(BU$39,2),SUM($AX43:AY43),0)+IF(RIGHT(BU$39,2)&gt;RIGHT($K43,2),AY43,0))</f>
        <v>0</v>
      </c>
      <c r="BV43" s="1490">
        <f>+IF($K43="Ongoing",AZ43,IF(RIGHT($K43,2)=RIGHT(BV$39,2),SUM($AX43:AZ43),0)+IF(RIGHT(BV$39,2)&gt;RIGHT($K43,2),AZ43,0))</f>
        <v>0</v>
      </c>
      <c r="BW43" s="1490">
        <f>+IF($K43="Ongoing",BA43,IF(RIGHT($K43,2)=RIGHT(BW$39,2),SUM($AX43:BA43),0)+IF(RIGHT(BW$39,2)&gt;RIGHT($K43,2),BA43,0))</f>
        <v>0</v>
      </c>
      <c r="BX43" s="1491">
        <f>+IF($K43="Ongoing",BB43,IF(RIGHT($K43,2)=RIGHT(BX$39,2),SUM($AX43:BB43),0)+IF(RIGHT(BX$39,2)&gt;RIGHT($K43,2),BB43,0))</f>
        <v>0</v>
      </c>
      <c r="BY43" s="1492">
        <f>+IF($K43="Ongoing",BC43,IF(RIGHT($K43,2)=RIGHT(BY$39,2),SUM($AX43:BC43),0)+IF(RIGHT(BY$39,2)&gt;RIGHT($K43,2),BC43,0))</f>
        <v>0</v>
      </c>
      <c r="BZ43" s="1490">
        <f>+IF($K43="Ongoing",BD43,IF(RIGHT($K43,2)=RIGHT(BZ$39,2),SUM($AX43:BD43),0)+IF(RIGHT(BZ$39,2)&gt;RIGHT($K43,2),BD43,0))</f>
        <v>0</v>
      </c>
      <c r="CA43" s="1490">
        <f>+IF($K43="Ongoing",BE43,IF(RIGHT($K43,2)=RIGHT(CA$39,2),SUM($AX43:BE43),0)+IF(RIGHT(CA$39,2)&gt;RIGHT($K43,2),BE43,0))</f>
        <v>33.400000000000006</v>
      </c>
      <c r="CB43" s="1490">
        <f>+IF($K43="Ongoing",BF43,IF(RIGHT($K43,2)=RIGHT(CB$39,2),SUM($AX43:BF43),0)+IF(RIGHT(CB$39,2)&gt;RIGHT($K43,2),BF43,0))</f>
        <v>0</v>
      </c>
      <c r="CC43" s="1491">
        <f>+IF($K43="Ongoing",BG43,IF(RIGHT($K43,2)=RIGHT(CC$39,2),SUM($AX43:BG43),0)+IF(RIGHT(CC$39,2)&gt;RIGHT($K43,2),BG43,0))</f>
        <v>0</v>
      </c>
      <c r="CD43" s="1133"/>
      <c r="CE43" s="1492">
        <f>+Q43*KeyAssumptionsPriceControl_FO!AC$15</f>
        <v>0</v>
      </c>
      <c r="CF43" s="1490">
        <f>+R43*KeyAssumptionsPriceControl_FO!AD$15</f>
        <v>0.31827</v>
      </c>
      <c r="CG43" s="1490">
        <f>+S43*KeyAssumptionsPriceControl_FO!AE$15</f>
        <v>3.278181</v>
      </c>
      <c r="CH43" s="1490">
        <f>+T43*KeyAssumptionsPriceControl_FO!AF$15</f>
        <v>6.9781546220000008</v>
      </c>
      <c r="CI43" s="1491">
        <f>+U43*KeyAssumptionsPriceControl_FO!AG$15</f>
        <v>9.0423377795400004</v>
      </c>
      <c r="CJ43" s="1492">
        <f>+V43*KeyAssumptionsPriceControl_FO!AH$15</f>
        <v>2.5075098227109005</v>
      </c>
      <c r="CK43" s="1490">
        <f>+W43*KeyAssumptionsPriceControl_FO!AI$15</f>
        <v>12.298738654248702</v>
      </c>
      <c r="CL43" s="1490">
        <f>+X43*KeyAssumptionsPriceControl_FO!AJ$15</f>
        <v>5.0670803255504655</v>
      </c>
      <c r="CM43" s="1490">
        <f>+Y43*KeyAssumptionsPriceControl_FO!AK$15</f>
        <v>0</v>
      </c>
      <c r="CN43" s="1491">
        <f>+Z43*KeyAssumptionsPriceControl_FO!AL$15</f>
        <v>0</v>
      </c>
      <c r="CO43" s="1133"/>
      <c r="CP43" s="1520">
        <f t="shared" ca="1" si="44"/>
        <v>0</v>
      </c>
      <c r="CQ43" s="1521">
        <f t="shared" ca="1" si="45"/>
        <v>1.9891875000000001E-3</v>
      </c>
      <c r="CR43" s="1490">
        <f t="shared" ca="1" si="46"/>
        <v>2.4467006249999999E-2</v>
      </c>
      <c r="CS43" s="1490">
        <f t="shared" ca="1" si="47"/>
        <v>8.85691038875E-2</v>
      </c>
      <c r="CT43" s="1491">
        <f t="shared" ca="1" si="48"/>
        <v>0.18869718139712499</v>
      </c>
      <c r="CU43" s="1492">
        <f t="shared" ca="1" si="49"/>
        <v>0.2608837289111931</v>
      </c>
      <c r="CV43" s="1490">
        <f t="shared" ca="1" si="50"/>
        <v>0.35342278189219062</v>
      </c>
      <c r="CW43" s="1490">
        <f t="shared" ca="1" si="51"/>
        <v>0.46195915051593539</v>
      </c>
      <c r="CX43" s="1490">
        <f t="shared" ca="1" si="52"/>
        <v>0.49362840255062579</v>
      </c>
      <c r="CY43" s="1491">
        <f t="shared" ca="1" si="53"/>
        <v>0.49362840255062579</v>
      </c>
    </row>
    <row r="44" spans="2:103" x14ac:dyDescent="0.3">
      <c r="B44" s="397"/>
      <c r="C44" s="1294" t="s">
        <v>1095</v>
      </c>
      <c r="D44" s="406"/>
      <c r="E44" s="1531" t="s">
        <v>22</v>
      </c>
      <c r="F44" s="2332" t="s">
        <v>12</v>
      </c>
      <c r="G44" s="2330" t="s">
        <v>14</v>
      </c>
      <c r="H44" s="2364" t="s">
        <v>514</v>
      </c>
      <c r="I44" s="2365"/>
      <c r="J44" s="2334" t="s">
        <v>279</v>
      </c>
      <c r="K44" s="1292" t="s">
        <v>521</v>
      </c>
      <c r="L44" s="2112">
        <v>80</v>
      </c>
      <c r="M44" s="2112">
        <v>80</v>
      </c>
      <c r="O44" s="376"/>
      <c r="P44" s="376"/>
      <c r="Q44" s="2337">
        <v>11.84</v>
      </c>
      <c r="R44" s="2338">
        <v>0.3</v>
      </c>
      <c r="S44" s="2338">
        <v>0</v>
      </c>
      <c r="T44" s="2338">
        <v>0</v>
      </c>
      <c r="U44" s="2339">
        <v>0</v>
      </c>
      <c r="V44" s="2337">
        <v>0</v>
      </c>
      <c r="W44" s="2338">
        <v>0</v>
      </c>
      <c r="X44" s="2338">
        <v>0</v>
      </c>
      <c r="Y44" s="2338">
        <v>0</v>
      </c>
      <c r="Z44" s="2339">
        <v>0</v>
      </c>
      <c r="AA44" s="1132"/>
      <c r="AB44" s="1129"/>
      <c r="AC44" s="1130"/>
      <c r="AD44" s="1510"/>
      <c r="AE44" s="1130"/>
      <c r="AF44" s="1131"/>
      <c r="AG44" s="1129"/>
      <c r="AH44" s="1510"/>
      <c r="AI44" s="1130"/>
      <c r="AJ44" s="1130"/>
      <c r="AK44" s="1131"/>
      <c r="AL44" s="1132"/>
      <c r="AM44" s="1509"/>
      <c r="AN44" s="1130"/>
      <c r="AO44" s="1510"/>
      <c r="AP44" s="1510"/>
      <c r="AQ44" s="1131"/>
      <c r="AR44" s="1129"/>
      <c r="AS44" s="1130"/>
      <c r="AT44" s="1130"/>
      <c r="AU44" s="1130"/>
      <c r="AV44" s="1131"/>
      <c r="AW44" s="1133"/>
      <c r="AX44" s="1492">
        <f t="shared" si="26"/>
        <v>11.84</v>
      </c>
      <c r="AY44" s="1490">
        <f t="shared" si="27"/>
        <v>0.3</v>
      </c>
      <c r="AZ44" s="1490">
        <f t="shared" si="28"/>
        <v>0</v>
      </c>
      <c r="BA44" s="1490">
        <f t="shared" si="29"/>
        <v>0</v>
      </c>
      <c r="BB44" s="1491">
        <f t="shared" si="30"/>
        <v>0</v>
      </c>
      <c r="BC44" s="1492">
        <f t="shared" si="31"/>
        <v>0</v>
      </c>
      <c r="BD44" s="1490">
        <f t="shared" si="32"/>
        <v>0</v>
      </c>
      <c r="BE44" s="1490">
        <f t="shared" si="33"/>
        <v>0</v>
      </c>
      <c r="BF44" s="1490">
        <f t="shared" si="34"/>
        <v>0</v>
      </c>
      <c r="BG44" s="1491">
        <f t="shared" si="35"/>
        <v>0</v>
      </c>
      <c r="BH44" s="1133"/>
      <c r="BI44" s="1492">
        <f t="shared" ca="1" si="54"/>
        <v>0</v>
      </c>
      <c r="BJ44" s="1490">
        <f t="shared" ca="1" si="55"/>
        <v>7.5874999999999998E-2</v>
      </c>
      <c r="BK44" s="1490">
        <f t="shared" ca="1" si="36"/>
        <v>0.15175</v>
      </c>
      <c r="BL44" s="1490">
        <f t="shared" ca="1" si="37"/>
        <v>0.15175</v>
      </c>
      <c r="BM44" s="1491">
        <f t="shared" ca="1" si="38"/>
        <v>0.15175</v>
      </c>
      <c r="BN44" s="1492">
        <f t="shared" ca="1" si="39"/>
        <v>0.15175</v>
      </c>
      <c r="BO44" s="1490">
        <f t="shared" ca="1" si="40"/>
        <v>0.15175</v>
      </c>
      <c r="BP44" s="1490">
        <f t="shared" ca="1" si="41"/>
        <v>0.15175</v>
      </c>
      <c r="BQ44" s="1490">
        <f t="shared" ca="1" si="42"/>
        <v>0.15175</v>
      </c>
      <c r="BR44" s="1491">
        <f t="shared" ca="1" si="43"/>
        <v>0.15175</v>
      </c>
      <c r="BS44" s="1133"/>
      <c r="BT44" s="1492">
        <f>+IF($K44="Ongoing",AX44,IF(RIGHT($K44,2)=RIGHT(BT$39,2),SUM($AX44:AX44),0)+IF(RIGHT(BT$39,2)&gt;RIGHT($K44,2),AX44,0))</f>
        <v>0</v>
      </c>
      <c r="BU44" s="1490">
        <f>+IF($K44="Ongoing",AY44,IF(RIGHT($K44,2)=RIGHT(BU$39,2),SUM($AX44:AY44),0)+IF(RIGHT(BU$39,2)&gt;RIGHT($K44,2),AY44,0))</f>
        <v>12.14</v>
      </c>
      <c r="BV44" s="1490">
        <f>+IF($K44="Ongoing",AZ44,IF(RIGHT($K44,2)=RIGHT(BV$39,2),SUM($AX44:AZ44),0)+IF(RIGHT(BV$39,2)&gt;RIGHT($K44,2),AZ44,0))</f>
        <v>0</v>
      </c>
      <c r="BW44" s="1490">
        <f>+IF($K44="Ongoing",BA44,IF(RIGHT($K44,2)=RIGHT(BW$39,2),SUM($AX44:BA44),0)+IF(RIGHT(BW$39,2)&gt;RIGHT($K44,2),BA44,0))</f>
        <v>0</v>
      </c>
      <c r="BX44" s="1491">
        <f>+IF($K44="Ongoing",BB44,IF(RIGHT($K44,2)=RIGHT(BX$39,2),SUM($AX44:BB44),0)+IF(RIGHT(BX$39,2)&gt;RIGHT($K44,2),BB44,0))</f>
        <v>0</v>
      </c>
      <c r="BY44" s="1492">
        <f>+IF($K44="Ongoing",BC44,IF(RIGHT($K44,2)=RIGHT(BY$39,2),SUM($AX44:BC44),0)+IF(RIGHT(BY$39,2)&gt;RIGHT($K44,2),BC44,0))</f>
        <v>0</v>
      </c>
      <c r="BZ44" s="1490">
        <f>+IF($K44="Ongoing",BD44,IF(RIGHT($K44,2)=RIGHT(BZ$39,2),SUM($AX44:BD44),0)+IF(RIGHT(BZ$39,2)&gt;RIGHT($K44,2),BD44,0))</f>
        <v>0</v>
      </c>
      <c r="CA44" s="1490">
        <f>+IF($K44="Ongoing",BE44,IF(RIGHT($K44,2)=RIGHT(CA$39,2),SUM($AX44:BE44),0)+IF(RIGHT(CA$39,2)&gt;RIGHT($K44,2),BE44,0))</f>
        <v>0</v>
      </c>
      <c r="CB44" s="1490">
        <f>+IF($K44="Ongoing",BF44,IF(RIGHT($K44,2)=RIGHT(CB$39,2),SUM($AX44:BF44),0)+IF(RIGHT(CB$39,2)&gt;RIGHT($K44,2),BF44,0))</f>
        <v>0</v>
      </c>
      <c r="CC44" s="1491">
        <f>+IF($K44="Ongoing",BG44,IF(RIGHT($K44,2)=RIGHT(CC$39,2),SUM($AX44:BG44),0)+IF(RIGHT(CC$39,2)&gt;RIGHT($K44,2),BG44,0))</f>
        <v>0</v>
      </c>
      <c r="CD44" s="1133"/>
      <c r="CE44" s="1492">
        <f>+Q44*KeyAssumptionsPriceControl_FO!AC$15</f>
        <v>12.1952</v>
      </c>
      <c r="CF44" s="1490">
        <f>+R44*KeyAssumptionsPriceControl_FO!AD$15</f>
        <v>0.31827</v>
      </c>
      <c r="CG44" s="1490">
        <f>+S44*KeyAssumptionsPriceControl_FO!AE$15</f>
        <v>0</v>
      </c>
      <c r="CH44" s="1490">
        <f>+T44*KeyAssumptionsPriceControl_FO!AF$15</f>
        <v>0</v>
      </c>
      <c r="CI44" s="1491">
        <f>+U44*KeyAssumptionsPriceControl_FO!AG$15</f>
        <v>0</v>
      </c>
      <c r="CJ44" s="1492">
        <f>+V44*KeyAssumptionsPriceControl_FO!AH$15</f>
        <v>0</v>
      </c>
      <c r="CK44" s="1490">
        <f>+W44*KeyAssumptionsPriceControl_FO!AI$15</f>
        <v>0</v>
      </c>
      <c r="CL44" s="1490">
        <f>+X44*KeyAssumptionsPriceControl_FO!AJ$15</f>
        <v>0</v>
      </c>
      <c r="CM44" s="1490">
        <f>+Y44*KeyAssumptionsPriceControl_FO!AK$15</f>
        <v>0</v>
      </c>
      <c r="CN44" s="1491">
        <f>+Z44*KeyAssumptionsPriceControl_FO!AL$15</f>
        <v>0</v>
      </c>
      <c r="CO44" s="1133"/>
      <c r="CP44" s="1520">
        <f t="shared" ca="1" si="44"/>
        <v>7.6219999999999996E-2</v>
      </c>
      <c r="CQ44" s="1521">
        <f t="shared" ca="1" si="45"/>
        <v>0.15442918749999998</v>
      </c>
      <c r="CR44" s="1490">
        <f t="shared" ca="1" si="46"/>
        <v>0.156418375</v>
      </c>
      <c r="CS44" s="1490">
        <f t="shared" ca="1" si="47"/>
        <v>0.156418375</v>
      </c>
      <c r="CT44" s="1491">
        <f t="shared" ca="1" si="48"/>
        <v>0.156418375</v>
      </c>
      <c r="CU44" s="1492">
        <f t="shared" ca="1" si="49"/>
        <v>0.156418375</v>
      </c>
      <c r="CV44" s="1490">
        <f t="shared" ca="1" si="50"/>
        <v>0.156418375</v>
      </c>
      <c r="CW44" s="1490">
        <f t="shared" ca="1" si="51"/>
        <v>0.156418375</v>
      </c>
      <c r="CX44" s="1490">
        <f t="shared" ca="1" si="52"/>
        <v>0.156418375</v>
      </c>
      <c r="CY44" s="1491">
        <f t="shared" ca="1" si="53"/>
        <v>0.156418375</v>
      </c>
    </row>
    <row r="45" spans="2:103" x14ac:dyDescent="0.3">
      <c r="B45" s="397"/>
      <c r="C45" s="1294" t="s">
        <v>1096</v>
      </c>
      <c r="D45" s="406"/>
      <c r="E45" s="1531" t="s">
        <v>21</v>
      </c>
      <c r="F45" s="2332" t="s">
        <v>512</v>
      </c>
      <c r="G45" s="2330" t="s">
        <v>13</v>
      </c>
      <c r="H45" s="2364" t="s">
        <v>514</v>
      </c>
      <c r="I45" s="2365"/>
      <c r="J45" s="2334" t="s">
        <v>279</v>
      </c>
      <c r="K45" s="1292" t="s">
        <v>523</v>
      </c>
      <c r="L45" s="2112">
        <v>80</v>
      </c>
      <c r="M45" s="2112">
        <v>80</v>
      </c>
      <c r="O45" s="376"/>
      <c r="P45" s="376"/>
      <c r="Q45" s="2337">
        <v>0.08</v>
      </c>
      <c r="R45" s="2338">
        <v>7</v>
      </c>
      <c r="S45" s="2338">
        <v>6</v>
      </c>
      <c r="T45" s="2338">
        <v>6.5000000000000002E-2</v>
      </c>
      <c r="U45" s="2339">
        <v>0</v>
      </c>
      <c r="V45" s="2337">
        <v>0</v>
      </c>
      <c r="W45" s="2338">
        <v>0</v>
      </c>
      <c r="X45" s="2338">
        <v>0</v>
      </c>
      <c r="Y45" s="2338">
        <v>0</v>
      </c>
      <c r="Z45" s="2339">
        <v>0</v>
      </c>
      <c r="AA45" s="1132"/>
      <c r="AB45" s="1129"/>
      <c r="AC45" s="1130"/>
      <c r="AD45" s="1510"/>
      <c r="AE45" s="1510"/>
      <c r="AF45" s="1131"/>
      <c r="AG45" s="1129"/>
      <c r="AH45" s="1130"/>
      <c r="AI45" s="1130"/>
      <c r="AJ45" s="1130"/>
      <c r="AK45" s="1131"/>
      <c r="AL45" s="1132"/>
      <c r="AM45" s="1129"/>
      <c r="AN45" s="1130"/>
      <c r="AO45" s="1130"/>
      <c r="AP45" s="1510"/>
      <c r="AQ45" s="1131"/>
      <c r="AR45" s="1129"/>
      <c r="AS45" s="1130"/>
      <c r="AT45" s="1130"/>
      <c r="AU45" s="1510"/>
      <c r="AV45" s="1131"/>
      <c r="AW45" s="1133"/>
      <c r="AX45" s="1492">
        <f t="shared" si="26"/>
        <v>0.08</v>
      </c>
      <c r="AY45" s="1490">
        <f t="shared" si="27"/>
        <v>7</v>
      </c>
      <c r="AZ45" s="1490">
        <f t="shared" si="28"/>
        <v>6</v>
      </c>
      <c r="BA45" s="1490">
        <f t="shared" si="29"/>
        <v>6.5000000000000002E-2</v>
      </c>
      <c r="BB45" s="1491">
        <f t="shared" si="30"/>
        <v>0</v>
      </c>
      <c r="BC45" s="1492">
        <f t="shared" si="31"/>
        <v>0</v>
      </c>
      <c r="BD45" s="1490">
        <f t="shared" si="32"/>
        <v>0</v>
      </c>
      <c r="BE45" s="1490">
        <f t="shared" si="33"/>
        <v>0</v>
      </c>
      <c r="BF45" s="1490">
        <f t="shared" si="34"/>
        <v>0</v>
      </c>
      <c r="BG45" s="1491">
        <f t="shared" si="35"/>
        <v>0</v>
      </c>
      <c r="BH45" s="1133"/>
      <c r="BI45" s="1492">
        <f t="shared" ca="1" si="54"/>
        <v>0</v>
      </c>
      <c r="BJ45" s="1490">
        <f t="shared" ca="1" si="55"/>
        <v>0</v>
      </c>
      <c r="BK45" s="1490">
        <f t="shared" ca="1" si="36"/>
        <v>0</v>
      </c>
      <c r="BL45" s="1490">
        <f t="shared" ca="1" si="37"/>
        <v>8.215625E-2</v>
      </c>
      <c r="BM45" s="1491">
        <f t="shared" ca="1" si="38"/>
        <v>0.1643125</v>
      </c>
      <c r="BN45" s="1492">
        <f t="shared" ca="1" si="39"/>
        <v>0.1643125</v>
      </c>
      <c r="BO45" s="1490">
        <f t="shared" ca="1" si="40"/>
        <v>0.1643125</v>
      </c>
      <c r="BP45" s="1490">
        <f t="shared" ca="1" si="41"/>
        <v>0.1643125</v>
      </c>
      <c r="BQ45" s="1490">
        <f t="shared" ca="1" si="42"/>
        <v>0.1643125</v>
      </c>
      <c r="BR45" s="1491">
        <f t="shared" ca="1" si="43"/>
        <v>0.1643125</v>
      </c>
      <c r="BS45" s="1133"/>
      <c r="BT45" s="1492">
        <f>+IF($K45="Ongoing",AX45,IF(RIGHT($K45,2)=RIGHT(BT$39,2),SUM($AX45:AX45),0)+IF(RIGHT(BT$39,2)&gt;RIGHT($K45,2),AX45,0))</f>
        <v>0</v>
      </c>
      <c r="BU45" s="1490">
        <f>+IF($K45="Ongoing",AY45,IF(RIGHT($K45,2)=RIGHT(BU$39,2),SUM($AX45:AY45),0)+IF(RIGHT(BU$39,2)&gt;RIGHT($K45,2),AY45,0))</f>
        <v>0</v>
      </c>
      <c r="BV45" s="1490">
        <f>+IF($K45="Ongoing",AZ45,IF(RIGHT($K45,2)=RIGHT(BV$39,2),SUM($AX45:AZ45),0)+IF(RIGHT(BV$39,2)&gt;RIGHT($K45,2),AZ45,0))</f>
        <v>0</v>
      </c>
      <c r="BW45" s="1490">
        <f>+IF($K45="Ongoing",BA45,IF(RIGHT($K45,2)=RIGHT(BW$39,2),SUM($AX45:BA45),0)+IF(RIGHT(BW$39,2)&gt;RIGHT($K45,2),BA45,0))</f>
        <v>13.145</v>
      </c>
      <c r="BX45" s="1491">
        <f>+IF($K45="Ongoing",BB45,IF(RIGHT($K45,2)=RIGHT(BX$39,2),SUM($AX45:BB45),0)+IF(RIGHT(BX$39,2)&gt;RIGHT($K45,2),BB45,0))</f>
        <v>0</v>
      </c>
      <c r="BY45" s="1492">
        <f>+IF($K45="Ongoing",BC45,IF(RIGHT($K45,2)=RIGHT(BY$39,2),SUM($AX45:BC45),0)+IF(RIGHT(BY$39,2)&gt;RIGHT($K45,2),BC45,0))</f>
        <v>0</v>
      </c>
      <c r="BZ45" s="1490">
        <f>+IF($K45="Ongoing",BD45,IF(RIGHT($K45,2)=RIGHT(BZ$39,2),SUM($AX45:BD45),0)+IF(RIGHT(BZ$39,2)&gt;RIGHT($K45,2),BD45,0))</f>
        <v>0</v>
      </c>
      <c r="CA45" s="1490">
        <f>+IF($K45="Ongoing",BE45,IF(RIGHT($K45,2)=RIGHT(CA$39,2),SUM($AX45:BE45),0)+IF(RIGHT(CA$39,2)&gt;RIGHT($K45,2),BE45,0))</f>
        <v>0</v>
      </c>
      <c r="CB45" s="1490">
        <f>+IF($K45="Ongoing",BF45,IF(RIGHT($K45,2)=RIGHT(CB$39,2),SUM($AX45:BF45),0)+IF(RIGHT(CB$39,2)&gt;RIGHT($K45,2),BF45,0))</f>
        <v>0</v>
      </c>
      <c r="CC45" s="1491">
        <f>+IF($K45="Ongoing",BG45,IF(RIGHT($K45,2)=RIGHT(CC$39,2),SUM($AX45:BG45),0)+IF(RIGHT(CC$39,2)&gt;RIGHT($K45,2),BG45,0))</f>
        <v>0</v>
      </c>
      <c r="CD45" s="1133"/>
      <c r="CE45" s="1492">
        <f>+Q45*KeyAssumptionsPriceControl_FO!AC$15</f>
        <v>8.2400000000000001E-2</v>
      </c>
      <c r="CF45" s="1490">
        <f>+R45*KeyAssumptionsPriceControl_FO!AD$15</f>
        <v>7.4262999999999995</v>
      </c>
      <c r="CG45" s="1490">
        <f>+S45*KeyAssumptionsPriceControl_FO!AE$15</f>
        <v>6.556362</v>
      </c>
      <c r="CH45" s="1490">
        <f>+T45*KeyAssumptionsPriceControl_FO!AF$15</f>
        <v>7.3158072650000017E-2</v>
      </c>
      <c r="CI45" s="1491">
        <f>+U45*KeyAssumptionsPriceControl_FO!AG$15</f>
        <v>0</v>
      </c>
      <c r="CJ45" s="1492">
        <f>+V45*KeyAssumptionsPriceControl_FO!AH$15</f>
        <v>0</v>
      </c>
      <c r="CK45" s="1490">
        <f>+W45*KeyAssumptionsPriceControl_FO!AI$15</f>
        <v>0</v>
      </c>
      <c r="CL45" s="1490">
        <f>+X45*KeyAssumptionsPriceControl_FO!AJ$15</f>
        <v>0</v>
      </c>
      <c r="CM45" s="1490">
        <f>+Y45*KeyAssumptionsPriceControl_FO!AK$15</f>
        <v>0</v>
      </c>
      <c r="CN45" s="1491">
        <f>+Z45*KeyAssumptionsPriceControl_FO!AL$15</f>
        <v>0</v>
      </c>
      <c r="CO45" s="1133"/>
      <c r="CP45" s="1520">
        <f t="shared" ca="1" si="44"/>
        <v>5.1500000000000005E-4</v>
      </c>
      <c r="CQ45" s="1521">
        <f t="shared" ca="1" si="45"/>
        <v>4.7444374999999997E-2</v>
      </c>
      <c r="CR45" s="1490">
        <f t="shared" ca="1" si="46"/>
        <v>0.13483601249999999</v>
      </c>
      <c r="CS45" s="1490">
        <f t="shared" ca="1" si="47"/>
        <v>0.17627051295406249</v>
      </c>
      <c r="CT45" s="1491">
        <f t="shared" ca="1" si="48"/>
        <v>0.17672775090812498</v>
      </c>
      <c r="CU45" s="1492">
        <f t="shared" ca="1" si="49"/>
        <v>0.17672775090812498</v>
      </c>
      <c r="CV45" s="1490">
        <f t="shared" ca="1" si="50"/>
        <v>0.17672775090812498</v>
      </c>
      <c r="CW45" s="1490">
        <f t="shared" ca="1" si="51"/>
        <v>0.17672775090812498</v>
      </c>
      <c r="CX45" s="1490">
        <f t="shared" ca="1" si="52"/>
        <v>0.17672775090812498</v>
      </c>
      <c r="CY45" s="1491">
        <f t="shared" ca="1" si="53"/>
        <v>0.17672775090812498</v>
      </c>
    </row>
    <row r="46" spans="2:103" x14ac:dyDescent="0.3">
      <c r="B46" s="397"/>
      <c r="C46" s="1294" t="s">
        <v>1097</v>
      </c>
      <c r="D46" s="406"/>
      <c r="E46" s="1531" t="s">
        <v>21</v>
      </c>
      <c r="F46" s="2332" t="s">
        <v>512</v>
      </c>
      <c r="G46" s="2330" t="s">
        <v>14</v>
      </c>
      <c r="H46" s="2364" t="s">
        <v>514</v>
      </c>
      <c r="I46" s="2365"/>
      <c r="J46" s="2334" t="s">
        <v>279</v>
      </c>
      <c r="K46" s="1292" t="s">
        <v>521</v>
      </c>
      <c r="L46" s="2112">
        <v>80</v>
      </c>
      <c r="M46" s="2112">
        <v>80</v>
      </c>
      <c r="O46" s="376"/>
      <c r="P46" s="376"/>
      <c r="Q46" s="2337">
        <v>8.1999999999999993</v>
      </c>
      <c r="R46" s="2338">
        <v>0.3</v>
      </c>
      <c r="S46" s="2338">
        <v>0</v>
      </c>
      <c r="T46" s="2338">
        <v>0</v>
      </c>
      <c r="U46" s="2339">
        <v>0</v>
      </c>
      <c r="V46" s="2337">
        <v>0</v>
      </c>
      <c r="W46" s="2338">
        <v>0</v>
      </c>
      <c r="X46" s="2338">
        <v>0</v>
      </c>
      <c r="Y46" s="2338">
        <v>0</v>
      </c>
      <c r="Z46" s="2339">
        <v>0</v>
      </c>
      <c r="AA46" s="1132"/>
      <c r="AB46" s="1129"/>
      <c r="AC46" s="1130"/>
      <c r="AD46" s="1510"/>
      <c r="AE46" s="1130"/>
      <c r="AF46" s="1131"/>
      <c r="AG46" s="1129"/>
      <c r="AH46" s="1510"/>
      <c r="AI46" s="1130"/>
      <c r="AJ46" s="1130"/>
      <c r="AK46" s="1131"/>
      <c r="AL46" s="1132"/>
      <c r="AM46" s="1509"/>
      <c r="AN46" s="1130"/>
      <c r="AO46" s="1510"/>
      <c r="AP46" s="1510"/>
      <c r="AQ46" s="1131"/>
      <c r="AR46" s="1129"/>
      <c r="AS46" s="1130"/>
      <c r="AT46" s="1130"/>
      <c r="AU46" s="1130"/>
      <c r="AV46" s="1131"/>
      <c r="AW46" s="1133"/>
      <c r="AX46" s="1492">
        <f t="shared" si="26"/>
        <v>8.1999999999999993</v>
      </c>
      <c r="AY46" s="1490">
        <f t="shared" si="27"/>
        <v>0.3</v>
      </c>
      <c r="AZ46" s="1490">
        <f t="shared" si="28"/>
        <v>0</v>
      </c>
      <c r="BA46" s="1490">
        <f t="shared" si="29"/>
        <v>0</v>
      </c>
      <c r="BB46" s="1491">
        <f t="shared" si="30"/>
        <v>0</v>
      </c>
      <c r="BC46" s="1492">
        <f t="shared" si="31"/>
        <v>0</v>
      </c>
      <c r="BD46" s="1490">
        <f t="shared" si="32"/>
        <v>0</v>
      </c>
      <c r="BE46" s="1490">
        <f t="shared" si="33"/>
        <v>0</v>
      </c>
      <c r="BF46" s="1490">
        <f t="shared" si="34"/>
        <v>0</v>
      </c>
      <c r="BG46" s="1491">
        <f t="shared" si="35"/>
        <v>0</v>
      </c>
      <c r="BH46" s="1133"/>
      <c r="BI46" s="1492">
        <f t="shared" ca="1" si="54"/>
        <v>0</v>
      </c>
      <c r="BJ46" s="1490">
        <f t="shared" ca="1" si="55"/>
        <v>5.3124999999999999E-2</v>
      </c>
      <c r="BK46" s="1490">
        <f t="shared" ca="1" si="36"/>
        <v>0.10625</v>
      </c>
      <c r="BL46" s="1490">
        <f t="shared" ca="1" si="37"/>
        <v>0.10625</v>
      </c>
      <c r="BM46" s="1491">
        <f t="shared" ca="1" si="38"/>
        <v>0.10625</v>
      </c>
      <c r="BN46" s="1492">
        <f t="shared" ca="1" si="39"/>
        <v>0.10625</v>
      </c>
      <c r="BO46" s="1490">
        <f t="shared" ca="1" si="40"/>
        <v>0.10625</v>
      </c>
      <c r="BP46" s="1490">
        <f t="shared" ca="1" si="41"/>
        <v>0.10625</v>
      </c>
      <c r="BQ46" s="1490">
        <f t="shared" ca="1" si="42"/>
        <v>0.10625</v>
      </c>
      <c r="BR46" s="1491">
        <f t="shared" ca="1" si="43"/>
        <v>0.10625</v>
      </c>
      <c r="BS46" s="1133"/>
      <c r="BT46" s="1492">
        <f>+IF($K46="Ongoing",AX46,IF(RIGHT($K46,2)=RIGHT(BT$39,2),SUM($AX46:AX46),0)+IF(RIGHT(BT$39,2)&gt;RIGHT($K46,2),AX46,0))</f>
        <v>0</v>
      </c>
      <c r="BU46" s="1490">
        <f>+IF($K46="Ongoing",AY46,IF(RIGHT($K46,2)=RIGHT(BU$39,2),SUM($AX46:AY46),0)+IF(RIGHT(BU$39,2)&gt;RIGHT($K46,2),AY46,0))</f>
        <v>8.5</v>
      </c>
      <c r="BV46" s="1490">
        <f>+IF($K46="Ongoing",AZ46,IF(RIGHT($K46,2)=RIGHT(BV$39,2),SUM($AX46:AZ46),0)+IF(RIGHT(BV$39,2)&gt;RIGHT($K46,2),AZ46,0))</f>
        <v>0</v>
      </c>
      <c r="BW46" s="1490">
        <f>+IF($K46="Ongoing",BA46,IF(RIGHT($K46,2)=RIGHT(BW$39,2),SUM($AX46:BA46),0)+IF(RIGHT(BW$39,2)&gt;RIGHT($K46,2),BA46,0))</f>
        <v>0</v>
      </c>
      <c r="BX46" s="1491">
        <f>+IF($K46="Ongoing",BB46,IF(RIGHT($K46,2)=RIGHT(BX$39,2),SUM($AX46:BB46),0)+IF(RIGHT(BX$39,2)&gt;RIGHT($K46,2),BB46,0))</f>
        <v>0</v>
      </c>
      <c r="BY46" s="1492">
        <f>+IF($K46="Ongoing",BC46,IF(RIGHT($K46,2)=RIGHT(BY$39,2),SUM($AX46:BC46),0)+IF(RIGHT(BY$39,2)&gt;RIGHT($K46,2),BC46,0))</f>
        <v>0</v>
      </c>
      <c r="BZ46" s="1490">
        <f>+IF($K46="Ongoing",BD46,IF(RIGHT($K46,2)=RIGHT(BZ$39,2),SUM($AX46:BD46),0)+IF(RIGHT(BZ$39,2)&gt;RIGHT($K46,2),BD46,0))</f>
        <v>0</v>
      </c>
      <c r="CA46" s="1490">
        <f>+IF($K46="Ongoing",BE46,IF(RIGHT($K46,2)=RIGHT(CA$39,2),SUM($AX46:BE46),0)+IF(RIGHT(CA$39,2)&gt;RIGHT($K46,2),BE46,0))</f>
        <v>0</v>
      </c>
      <c r="CB46" s="1490">
        <f>+IF($K46="Ongoing",BF46,IF(RIGHT($K46,2)=RIGHT(CB$39,2),SUM($AX46:BF46),0)+IF(RIGHT(CB$39,2)&gt;RIGHT($K46,2),BF46,0))</f>
        <v>0</v>
      </c>
      <c r="CC46" s="1491">
        <f>+IF($K46="Ongoing",BG46,IF(RIGHT($K46,2)=RIGHT(CC$39,2),SUM($AX46:BG46),0)+IF(RIGHT(CC$39,2)&gt;RIGHT($K46,2),BG46,0))</f>
        <v>0</v>
      </c>
      <c r="CD46" s="1133"/>
      <c r="CE46" s="1492">
        <f>+Q46*KeyAssumptionsPriceControl_FO!AC$15</f>
        <v>8.4459999999999997</v>
      </c>
      <c r="CF46" s="1490">
        <f>+R46*KeyAssumptionsPriceControl_FO!AD$15</f>
        <v>0.31827</v>
      </c>
      <c r="CG46" s="1490">
        <f>+S46*KeyAssumptionsPriceControl_FO!AE$15</f>
        <v>0</v>
      </c>
      <c r="CH46" s="1490">
        <f>+T46*KeyAssumptionsPriceControl_FO!AF$15</f>
        <v>0</v>
      </c>
      <c r="CI46" s="1491">
        <f>+U46*KeyAssumptionsPriceControl_FO!AG$15</f>
        <v>0</v>
      </c>
      <c r="CJ46" s="1492">
        <f>+V46*KeyAssumptionsPriceControl_FO!AH$15</f>
        <v>0</v>
      </c>
      <c r="CK46" s="1490">
        <f>+W46*KeyAssumptionsPriceControl_FO!AI$15</f>
        <v>0</v>
      </c>
      <c r="CL46" s="1490">
        <f>+X46*KeyAssumptionsPriceControl_FO!AJ$15</f>
        <v>0</v>
      </c>
      <c r="CM46" s="1490">
        <f>+Y46*KeyAssumptionsPriceControl_FO!AK$15</f>
        <v>0</v>
      </c>
      <c r="CN46" s="1491">
        <f>+Z46*KeyAssumptionsPriceControl_FO!AL$15</f>
        <v>0</v>
      </c>
      <c r="CO46" s="1133"/>
      <c r="CP46" s="1520">
        <f t="shared" ca="1" si="44"/>
        <v>5.2787500000000001E-2</v>
      </c>
      <c r="CQ46" s="1521">
        <f t="shared" ca="1" si="45"/>
        <v>0.10756418750000001</v>
      </c>
      <c r="CR46" s="1490">
        <f t="shared" ca="1" si="46"/>
        <v>0.10955337499999999</v>
      </c>
      <c r="CS46" s="1490">
        <f t="shared" ca="1" si="47"/>
        <v>0.10955337499999999</v>
      </c>
      <c r="CT46" s="1491">
        <f t="shared" ca="1" si="48"/>
        <v>0.10955337499999999</v>
      </c>
      <c r="CU46" s="1492">
        <f t="shared" ca="1" si="49"/>
        <v>0.10955337499999999</v>
      </c>
      <c r="CV46" s="1490">
        <f t="shared" ca="1" si="50"/>
        <v>0.10955337499999999</v>
      </c>
      <c r="CW46" s="1490">
        <f t="shared" ca="1" si="51"/>
        <v>0.10955337499999999</v>
      </c>
      <c r="CX46" s="1490">
        <f t="shared" ca="1" si="52"/>
        <v>0.10955337499999999</v>
      </c>
      <c r="CY46" s="1491">
        <f t="shared" ca="1" si="53"/>
        <v>0.10955337499999999</v>
      </c>
    </row>
    <row r="47" spans="2:103" x14ac:dyDescent="0.3">
      <c r="B47" s="397"/>
      <c r="C47" s="1294" t="s">
        <v>1098</v>
      </c>
      <c r="D47" s="406"/>
      <c r="E47" s="1531" t="s">
        <v>21</v>
      </c>
      <c r="F47" s="2332" t="s">
        <v>12</v>
      </c>
      <c r="G47" s="2330" t="s">
        <v>14</v>
      </c>
      <c r="H47" s="2364" t="s">
        <v>514</v>
      </c>
      <c r="I47" s="2365"/>
      <c r="J47" s="2334" t="s">
        <v>279</v>
      </c>
      <c r="K47" s="1292" t="s">
        <v>522</v>
      </c>
      <c r="L47" s="2112">
        <v>80</v>
      </c>
      <c r="M47" s="2112">
        <v>80</v>
      </c>
      <c r="O47" s="376"/>
      <c r="P47" s="376"/>
      <c r="Q47" s="2337">
        <v>0.2</v>
      </c>
      <c r="R47" s="2338">
        <v>7</v>
      </c>
      <c r="S47" s="2338">
        <v>6.3</v>
      </c>
      <c r="T47" s="2338">
        <v>1</v>
      </c>
      <c r="U47" s="2339">
        <v>0</v>
      </c>
      <c r="V47" s="2337">
        <v>0</v>
      </c>
      <c r="W47" s="2338">
        <v>0</v>
      </c>
      <c r="X47" s="2338">
        <v>0</v>
      </c>
      <c r="Y47" s="2338">
        <v>0</v>
      </c>
      <c r="Z47" s="2339">
        <v>0</v>
      </c>
      <c r="AA47" s="1132"/>
      <c r="AB47" s="1129"/>
      <c r="AC47" s="1130"/>
      <c r="AD47" s="1510"/>
      <c r="AE47" s="1510"/>
      <c r="AF47" s="1131"/>
      <c r="AG47" s="1129"/>
      <c r="AH47" s="1130"/>
      <c r="AI47" s="1130"/>
      <c r="AJ47" s="1130"/>
      <c r="AK47" s="1131"/>
      <c r="AL47" s="1132"/>
      <c r="AM47" s="1129"/>
      <c r="AN47" s="1130"/>
      <c r="AO47" s="1130"/>
      <c r="AP47" s="1510"/>
      <c r="AQ47" s="1131"/>
      <c r="AR47" s="1129"/>
      <c r="AS47" s="1130"/>
      <c r="AT47" s="1130"/>
      <c r="AU47" s="1510"/>
      <c r="AV47" s="1131"/>
      <c r="AW47" s="1133"/>
      <c r="AX47" s="1492">
        <f t="shared" si="26"/>
        <v>0.2</v>
      </c>
      <c r="AY47" s="1490">
        <f t="shared" si="27"/>
        <v>7</v>
      </c>
      <c r="AZ47" s="1490">
        <f t="shared" si="28"/>
        <v>6.3</v>
      </c>
      <c r="BA47" s="1490">
        <f t="shared" si="29"/>
        <v>1</v>
      </c>
      <c r="BB47" s="1491">
        <f t="shared" si="30"/>
        <v>0</v>
      </c>
      <c r="BC47" s="1492">
        <f t="shared" si="31"/>
        <v>0</v>
      </c>
      <c r="BD47" s="1490">
        <f t="shared" si="32"/>
        <v>0</v>
      </c>
      <c r="BE47" s="1490">
        <f t="shared" si="33"/>
        <v>0</v>
      </c>
      <c r="BF47" s="1490">
        <f t="shared" si="34"/>
        <v>0</v>
      </c>
      <c r="BG47" s="1491">
        <f t="shared" si="35"/>
        <v>0</v>
      </c>
      <c r="BH47" s="1133"/>
      <c r="BI47" s="1492">
        <f t="shared" ca="1" si="54"/>
        <v>0</v>
      </c>
      <c r="BJ47" s="1490">
        <f t="shared" ca="1" si="55"/>
        <v>0</v>
      </c>
      <c r="BK47" s="1490">
        <f t="shared" ca="1" si="36"/>
        <v>8.4375000000000006E-2</v>
      </c>
      <c r="BL47" s="1490">
        <f t="shared" ca="1" si="37"/>
        <v>0.17500000000000002</v>
      </c>
      <c r="BM47" s="1491">
        <f t="shared" ca="1" si="38"/>
        <v>0.18124999999999999</v>
      </c>
      <c r="BN47" s="1492">
        <f t="shared" ca="1" si="39"/>
        <v>0.18124999999999999</v>
      </c>
      <c r="BO47" s="1490">
        <f t="shared" ca="1" si="40"/>
        <v>0.18124999999999999</v>
      </c>
      <c r="BP47" s="1490">
        <f t="shared" ca="1" si="41"/>
        <v>0.18124999999999999</v>
      </c>
      <c r="BQ47" s="1490">
        <f t="shared" ca="1" si="42"/>
        <v>0.18124999999999999</v>
      </c>
      <c r="BR47" s="1491">
        <f t="shared" ca="1" si="43"/>
        <v>0.18124999999999999</v>
      </c>
      <c r="BS47" s="1133"/>
      <c r="BT47" s="1492">
        <f>+IF($K47="Ongoing",AX47,IF(RIGHT($K47,2)=RIGHT(BT$39,2),SUM($AX47:AX47),0)+IF(RIGHT(BT$39,2)&gt;RIGHT($K47,2),AX47,0))</f>
        <v>0</v>
      </c>
      <c r="BU47" s="1490">
        <f>+IF($K47="Ongoing",AY47,IF(RIGHT($K47,2)=RIGHT(BU$39,2),SUM($AX47:AY47),0)+IF(RIGHT(BU$39,2)&gt;RIGHT($K47,2),AY47,0))</f>
        <v>0</v>
      </c>
      <c r="BV47" s="1490">
        <f>+IF($K47="Ongoing",AZ47,IF(RIGHT($K47,2)=RIGHT(BV$39,2),SUM($AX47:AZ47),0)+IF(RIGHT(BV$39,2)&gt;RIGHT($K47,2),AZ47,0))</f>
        <v>13.5</v>
      </c>
      <c r="BW47" s="1490">
        <f>+IF($K47="Ongoing",BA47,IF(RIGHT($K47,2)=RIGHT(BW$39,2),SUM($AX47:BA47),0)+IF(RIGHT(BW$39,2)&gt;RIGHT($K47,2),BA47,0))</f>
        <v>1</v>
      </c>
      <c r="BX47" s="1491">
        <f>+IF($K47="Ongoing",BB47,IF(RIGHT($K47,2)=RIGHT(BX$39,2),SUM($AX47:BB47),0)+IF(RIGHT(BX$39,2)&gt;RIGHT($K47,2),BB47,0))</f>
        <v>0</v>
      </c>
      <c r="BY47" s="1492">
        <f>+IF($K47="Ongoing",BC47,IF(RIGHT($K47,2)=RIGHT(BY$39,2),SUM($AX47:BC47),0)+IF(RIGHT(BY$39,2)&gt;RIGHT($K47,2),BC47,0))</f>
        <v>0</v>
      </c>
      <c r="BZ47" s="1490">
        <f>+IF($K47="Ongoing",BD47,IF(RIGHT($K47,2)=RIGHT(BZ$39,2),SUM($AX47:BD47),0)+IF(RIGHT(BZ$39,2)&gt;RIGHT($K47,2),BD47,0))</f>
        <v>0</v>
      </c>
      <c r="CA47" s="1490">
        <f>+IF($K47="Ongoing",BE47,IF(RIGHT($K47,2)=RIGHT(CA$39,2),SUM($AX47:BE47),0)+IF(RIGHT(CA$39,2)&gt;RIGHT($K47,2),BE47,0))</f>
        <v>0</v>
      </c>
      <c r="CB47" s="1490">
        <f>+IF($K47="Ongoing",BF47,IF(RIGHT($K47,2)=RIGHT(CB$39,2),SUM($AX47:BF47),0)+IF(RIGHT(CB$39,2)&gt;RIGHT($K47,2),BF47,0))</f>
        <v>0</v>
      </c>
      <c r="CC47" s="1491">
        <f>+IF($K47="Ongoing",BG47,IF(RIGHT($K47,2)=RIGHT(CC$39,2),SUM($AX47:BG47),0)+IF(RIGHT(CC$39,2)&gt;RIGHT($K47,2),BG47,0))</f>
        <v>0</v>
      </c>
      <c r="CD47" s="1133"/>
      <c r="CE47" s="1492">
        <f>+Q47*KeyAssumptionsPriceControl_FO!AC$15</f>
        <v>0.20600000000000002</v>
      </c>
      <c r="CF47" s="1490">
        <f>+R47*KeyAssumptionsPriceControl_FO!AD$15</f>
        <v>7.4262999999999995</v>
      </c>
      <c r="CG47" s="1490">
        <f>+S47*KeyAssumptionsPriceControl_FO!AE$15</f>
        <v>6.8841801</v>
      </c>
      <c r="CH47" s="1490">
        <f>+T47*KeyAssumptionsPriceControl_FO!AF$15</f>
        <v>1.1255088100000001</v>
      </c>
      <c r="CI47" s="1491">
        <f>+U47*KeyAssumptionsPriceControl_FO!AG$15</f>
        <v>0</v>
      </c>
      <c r="CJ47" s="1492">
        <f>+V47*KeyAssumptionsPriceControl_FO!AH$15</f>
        <v>0</v>
      </c>
      <c r="CK47" s="1490">
        <f>+W47*KeyAssumptionsPriceControl_FO!AI$15</f>
        <v>0</v>
      </c>
      <c r="CL47" s="1490">
        <f>+X47*KeyAssumptionsPriceControl_FO!AJ$15</f>
        <v>0</v>
      </c>
      <c r="CM47" s="1490">
        <f>+Y47*KeyAssumptionsPriceControl_FO!AK$15</f>
        <v>0</v>
      </c>
      <c r="CN47" s="1491">
        <f>+Z47*KeyAssumptionsPriceControl_FO!AL$15</f>
        <v>0</v>
      </c>
      <c r="CO47" s="1133"/>
      <c r="CP47" s="1520">
        <f t="shared" ca="1" si="44"/>
        <v>1.2875E-3</v>
      </c>
      <c r="CQ47" s="1521">
        <f t="shared" ca="1" si="45"/>
        <v>4.8989374999999995E-2</v>
      </c>
      <c r="CR47" s="1490">
        <f t="shared" ca="1" si="46"/>
        <v>0.138429875625</v>
      </c>
      <c r="CS47" s="1490">
        <f t="shared" ca="1" si="47"/>
        <v>0.18849043131250001</v>
      </c>
      <c r="CT47" s="1491">
        <f t="shared" ca="1" si="48"/>
        <v>0.19552486137499997</v>
      </c>
      <c r="CU47" s="1492">
        <f t="shared" ca="1" si="49"/>
        <v>0.19552486137499997</v>
      </c>
      <c r="CV47" s="1490">
        <f t="shared" ca="1" si="50"/>
        <v>0.19552486137499997</v>
      </c>
      <c r="CW47" s="1490">
        <f t="shared" ca="1" si="51"/>
        <v>0.19552486137499997</v>
      </c>
      <c r="CX47" s="1490">
        <f t="shared" ca="1" si="52"/>
        <v>0.19552486137499997</v>
      </c>
      <c r="CY47" s="1491">
        <f t="shared" ca="1" si="53"/>
        <v>0.19552486137499997</v>
      </c>
    </row>
    <row r="48" spans="2:103" x14ac:dyDescent="0.3">
      <c r="B48" s="397"/>
      <c r="C48" s="1294" t="s">
        <v>1099</v>
      </c>
      <c r="D48" s="406"/>
      <c r="E48" s="1531" t="s">
        <v>21</v>
      </c>
      <c r="F48" s="2332" t="s">
        <v>512</v>
      </c>
      <c r="G48" s="2330" t="s">
        <v>6</v>
      </c>
      <c r="H48" s="2364" t="s">
        <v>514</v>
      </c>
      <c r="I48" s="2365"/>
      <c r="J48" s="2334" t="s">
        <v>279</v>
      </c>
      <c r="K48" s="1292" t="s">
        <v>921</v>
      </c>
      <c r="L48" s="2112">
        <v>60</v>
      </c>
      <c r="M48" s="2112">
        <v>60</v>
      </c>
      <c r="O48" s="376"/>
      <c r="P48" s="376"/>
      <c r="Q48" s="2337">
        <v>0.25</v>
      </c>
      <c r="R48" s="2338">
        <v>5</v>
      </c>
      <c r="S48" s="2338">
        <v>3.5</v>
      </c>
      <c r="T48" s="2338">
        <v>0.21</v>
      </c>
      <c r="U48" s="2339">
        <v>0</v>
      </c>
      <c r="V48" s="2337">
        <v>1.3</v>
      </c>
      <c r="W48" s="2338">
        <v>3</v>
      </c>
      <c r="X48" s="2338">
        <v>0</v>
      </c>
      <c r="Y48" s="2338">
        <v>0</v>
      </c>
      <c r="Z48" s="2339">
        <v>0</v>
      </c>
      <c r="AA48" s="1132"/>
      <c r="AB48" s="1129"/>
      <c r="AC48" s="1130"/>
      <c r="AD48" s="1510"/>
      <c r="AE48" s="1130"/>
      <c r="AF48" s="1131"/>
      <c r="AG48" s="1129"/>
      <c r="AH48" s="1510"/>
      <c r="AI48" s="1130"/>
      <c r="AJ48" s="1130"/>
      <c r="AK48" s="1131"/>
      <c r="AL48" s="1132"/>
      <c r="AM48" s="1509"/>
      <c r="AN48" s="1130"/>
      <c r="AO48" s="1510"/>
      <c r="AP48" s="1510"/>
      <c r="AQ48" s="1131"/>
      <c r="AR48" s="1129"/>
      <c r="AS48" s="1130"/>
      <c r="AT48" s="1130"/>
      <c r="AU48" s="1130"/>
      <c r="AV48" s="1131"/>
      <c r="AW48" s="1133"/>
      <c r="AX48" s="1492">
        <f t="shared" si="26"/>
        <v>0.25</v>
      </c>
      <c r="AY48" s="1490">
        <f t="shared" si="27"/>
        <v>5</v>
      </c>
      <c r="AZ48" s="1490">
        <f t="shared" si="28"/>
        <v>3.5</v>
      </c>
      <c r="BA48" s="1490">
        <f t="shared" si="29"/>
        <v>0.21</v>
      </c>
      <c r="BB48" s="1491">
        <f t="shared" si="30"/>
        <v>0</v>
      </c>
      <c r="BC48" s="1492">
        <f t="shared" si="31"/>
        <v>1.3</v>
      </c>
      <c r="BD48" s="1490">
        <f t="shared" si="32"/>
        <v>3</v>
      </c>
      <c r="BE48" s="1490">
        <f t="shared" si="33"/>
        <v>0</v>
      </c>
      <c r="BF48" s="1490">
        <f t="shared" si="34"/>
        <v>0</v>
      </c>
      <c r="BG48" s="1491">
        <f t="shared" si="35"/>
        <v>0</v>
      </c>
      <c r="BH48" s="1133"/>
      <c r="BI48" s="1492">
        <f t="shared" ca="1" si="54"/>
        <v>0</v>
      </c>
      <c r="BJ48" s="1490">
        <f t="shared" ca="1" si="55"/>
        <v>0</v>
      </c>
      <c r="BK48" s="1490">
        <f t="shared" ca="1" si="36"/>
        <v>0</v>
      </c>
      <c r="BL48" s="1490">
        <f t="shared" ca="1" si="37"/>
        <v>0</v>
      </c>
      <c r="BM48" s="1491">
        <f t="shared" ca="1" si="38"/>
        <v>0</v>
      </c>
      <c r="BN48" s="1492">
        <f t="shared" ca="1" si="39"/>
        <v>0</v>
      </c>
      <c r="BO48" s="1490">
        <f t="shared" ca="1" si="40"/>
        <v>0.11050000000000001</v>
      </c>
      <c r="BP48" s="1490">
        <f t="shared" ca="1" si="41"/>
        <v>0.22100000000000003</v>
      </c>
      <c r="BQ48" s="1490">
        <f t="shared" ca="1" si="42"/>
        <v>0.22100000000000003</v>
      </c>
      <c r="BR48" s="1491">
        <f t="shared" ca="1" si="43"/>
        <v>0.22100000000000003</v>
      </c>
      <c r="BS48" s="1133"/>
      <c r="BT48" s="1492">
        <f>+IF($K48="Ongoing",AX48,IF(RIGHT($K48,2)=RIGHT(BT$39,2),SUM($AX48:AX48),0)+IF(RIGHT(BT$39,2)&gt;RIGHT($K48,2),AX48,0))</f>
        <v>0</v>
      </c>
      <c r="BU48" s="1490">
        <f>+IF($K48="Ongoing",AY48,IF(RIGHT($K48,2)=RIGHT(BU$39,2),SUM($AX48:AY48),0)+IF(RIGHT(BU$39,2)&gt;RIGHT($K48,2),AY48,0))</f>
        <v>0</v>
      </c>
      <c r="BV48" s="1490">
        <f>+IF($K48="Ongoing",AZ48,IF(RIGHT($K48,2)=RIGHT(BV$39,2),SUM($AX48:AZ48),0)+IF(RIGHT(BV$39,2)&gt;RIGHT($K48,2),AZ48,0))</f>
        <v>0</v>
      </c>
      <c r="BW48" s="1490">
        <f>+IF($K48="Ongoing",BA48,IF(RIGHT($K48,2)=RIGHT(BW$39,2),SUM($AX48:BA48),0)+IF(RIGHT(BW$39,2)&gt;RIGHT($K48,2),BA48,0))</f>
        <v>0</v>
      </c>
      <c r="BX48" s="1491">
        <f>+IF($K48="Ongoing",BB48,IF(RIGHT($K48,2)=RIGHT(BX$39,2),SUM($AX48:BB48),0)+IF(RIGHT(BX$39,2)&gt;RIGHT($K48,2),BB48,0))</f>
        <v>0</v>
      </c>
      <c r="BY48" s="1492">
        <f>+IF($K48="Ongoing",BC48,IF(RIGHT($K48,2)=RIGHT(BY$39,2),SUM($AX48:BC48),0)+IF(RIGHT(BY$39,2)&gt;RIGHT($K48,2),BC48,0))</f>
        <v>0</v>
      </c>
      <c r="BZ48" s="1490">
        <f>+IF($K48="Ongoing",BD48,IF(RIGHT($K48,2)=RIGHT(BZ$39,2),SUM($AX48:BD48),0)+IF(RIGHT(BZ$39,2)&gt;RIGHT($K48,2),BD48,0))</f>
        <v>13.260000000000002</v>
      </c>
      <c r="CA48" s="1490">
        <f>+IF($K48="Ongoing",BE48,IF(RIGHT($K48,2)=RIGHT(CA$39,2),SUM($AX48:BE48),0)+IF(RIGHT(CA$39,2)&gt;RIGHT($K48,2),BE48,0))</f>
        <v>0</v>
      </c>
      <c r="CB48" s="1490">
        <f>+IF($K48="Ongoing",BF48,IF(RIGHT($K48,2)=RIGHT(CB$39,2),SUM($AX48:BF48),0)+IF(RIGHT(CB$39,2)&gt;RIGHT($K48,2),BF48,0))</f>
        <v>0</v>
      </c>
      <c r="CC48" s="1491">
        <f>+IF($K48="Ongoing",BG48,IF(RIGHT($K48,2)=RIGHT(CC$39,2),SUM($AX48:BG48),0)+IF(RIGHT(CC$39,2)&gt;RIGHT($K48,2),BG48,0))</f>
        <v>0</v>
      </c>
      <c r="CD48" s="1133"/>
      <c r="CE48" s="1492">
        <f>+Q48*KeyAssumptionsPriceControl_FO!AC$15</f>
        <v>0.25750000000000001</v>
      </c>
      <c r="CF48" s="1490">
        <f>+R48*KeyAssumptionsPriceControl_FO!AD$15</f>
        <v>5.3045</v>
      </c>
      <c r="CG48" s="1490">
        <f>+S48*KeyAssumptionsPriceControl_FO!AE$15</f>
        <v>3.8245445</v>
      </c>
      <c r="CH48" s="1490">
        <f>+T48*KeyAssumptionsPriceControl_FO!AF$15</f>
        <v>0.23635685010000002</v>
      </c>
      <c r="CI48" s="1491">
        <f>+U48*KeyAssumptionsPriceControl_FO!AG$15</f>
        <v>0</v>
      </c>
      <c r="CJ48" s="1492">
        <f>+V48*KeyAssumptionsPriceControl_FO!AH$15</f>
        <v>1.5522679854877002</v>
      </c>
      <c r="CK48" s="1490">
        <f>+W48*KeyAssumptionsPriceControl_FO!AI$15</f>
        <v>3.6896215962746108</v>
      </c>
      <c r="CL48" s="1490">
        <f>+X48*KeyAssumptionsPriceControl_FO!AJ$15</f>
        <v>0</v>
      </c>
      <c r="CM48" s="1490">
        <f>+Y48*KeyAssumptionsPriceControl_FO!AK$15</f>
        <v>0</v>
      </c>
      <c r="CN48" s="1491">
        <f>+Z48*KeyAssumptionsPriceControl_FO!AL$15</f>
        <v>0</v>
      </c>
      <c r="CO48" s="1133"/>
      <c r="CP48" s="1520">
        <f t="shared" ca="1" si="44"/>
        <v>2.1458333333333334E-3</v>
      </c>
      <c r="CQ48" s="1521">
        <f t="shared" ca="1" si="45"/>
        <v>4.8495833333333335E-2</v>
      </c>
      <c r="CR48" s="1490">
        <f t="shared" ca="1" si="46"/>
        <v>0.12457120416666667</v>
      </c>
      <c r="CS48" s="1490">
        <f t="shared" ca="1" si="47"/>
        <v>0.15841204875083331</v>
      </c>
      <c r="CT48" s="1491">
        <f t="shared" ca="1" si="48"/>
        <v>0.16038168916833331</v>
      </c>
      <c r="CU48" s="1492">
        <f t="shared" ca="1" si="49"/>
        <v>0.17331725571406414</v>
      </c>
      <c r="CV48" s="1490">
        <f t="shared" ca="1" si="50"/>
        <v>0.21699966889541678</v>
      </c>
      <c r="CW48" s="1490">
        <f t="shared" ca="1" si="51"/>
        <v>0.24774651553103852</v>
      </c>
      <c r="CX48" s="1490">
        <f t="shared" ca="1" si="52"/>
        <v>0.24774651553103852</v>
      </c>
      <c r="CY48" s="1491">
        <f t="shared" ca="1" si="53"/>
        <v>0.24774651553103852</v>
      </c>
    </row>
    <row r="49" spans="2:103" x14ac:dyDescent="0.3">
      <c r="B49" s="397"/>
      <c r="C49" s="1294" t="s">
        <v>1100</v>
      </c>
      <c r="D49" s="406"/>
      <c r="E49" s="1531" t="s">
        <v>275</v>
      </c>
      <c r="F49" s="2332" t="s">
        <v>12</v>
      </c>
      <c r="G49" s="2330" t="s">
        <v>6</v>
      </c>
      <c r="H49" s="2364" t="s">
        <v>514</v>
      </c>
      <c r="I49" s="2365"/>
      <c r="J49" s="2334" t="s">
        <v>279</v>
      </c>
      <c r="K49" s="1292" t="s">
        <v>296</v>
      </c>
      <c r="L49" s="2112">
        <v>60</v>
      </c>
      <c r="M49" s="2112">
        <v>60</v>
      </c>
      <c r="O49" s="376"/>
      <c r="P49" s="376"/>
      <c r="Q49" s="2337">
        <v>0.21</v>
      </c>
      <c r="R49" s="2338">
        <v>2.96</v>
      </c>
      <c r="S49" s="2338">
        <v>1.51</v>
      </c>
      <c r="T49" s="2338">
        <v>3.76</v>
      </c>
      <c r="U49" s="2339">
        <v>1.06</v>
      </c>
      <c r="V49" s="2337">
        <v>2.83</v>
      </c>
      <c r="W49" s="2338">
        <v>1.03</v>
      </c>
      <c r="X49" s="2338">
        <v>1.03</v>
      </c>
      <c r="Y49" s="2338">
        <v>1.03</v>
      </c>
      <c r="Z49" s="2339">
        <v>1.03</v>
      </c>
      <c r="AA49" s="1132"/>
      <c r="AB49" s="1129"/>
      <c r="AC49" s="1130"/>
      <c r="AD49" s="1510"/>
      <c r="AE49" s="1130"/>
      <c r="AF49" s="1131"/>
      <c r="AG49" s="1129"/>
      <c r="AH49" s="1510"/>
      <c r="AI49" s="1130"/>
      <c r="AJ49" s="1130"/>
      <c r="AK49" s="1131"/>
      <c r="AL49" s="1132"/>
      <c r="AM49" s="1509"/>
      <c r="AN49" s="1130"/>
      <c r="AO49" s="1510"/>
      <c r="AP49" s="1510"/>
      <c r="AQ49" s="1131"/>
      <c r="AR49" s="1129"/>
      <c r="AS49" s="1130"/>
      <c r="AT49" s="1130"/>
      <c r="AU49" s="1130"/>
      <c r="AV49" s="1131"/>
      <c r="AW49" s="1133"/>
      <c r="AX49" s="1492">
        <f t="shared" si="26"/>
        <v>0.21</v>
      </c>
      <c r="AY49" s="1490">
        <f t="shared" si="27"/>
        <v>2.96</v>
      </c>
      <c r="AZ49" s="1490">
        <f t="shared" si="28"/>
        <v>1.51</v>
      </c>
      <c r="BA49" s="1490">
        <f t="shared" si="29"/>
        <v>3.76</v>
      </c>
      <c r="BB49" s="1491">
        <f t="shared" si="30"/>
        <v>1.06</v>
      </c>
      <c r="BC49" s="1492">
        <f t="shared" si="31"/>
        <v>2.83</v>
      </c>
      <c r="BD49" s="1490">
        <f t="shared" si="32"/>
        <v>1.03</v>
      </c>
      <c r="BE49" s="1490">
        <f t="shared" si="33"/>
        <v>1.03</v>
      </c>
      <c r="BF49" s="1490">
        <f t="shared" si="34"/>
        <v>1.03</v>
      </c>
      <c r="BG49" s="1491">
        <f t="shared" si="35"/>
        <v>1.03</v>
      </c>
      <c r="BH49" s="1133"/>
      <c r="BI49" s="1492">
        <f t="shared" ca="1" si="54"/>
        <v>1.75E-3</v>
      </c>
      <c r="BJ49" s="1490">
        <f t="shared" ca="1" si="55"/>
        <v>2.8166666666666666E-2</v>
      </c>
      <c r="BK49" s="1490">
        <f t="shared" ca="1" si="36"/>
        <v>6.5416666666666665E-2</v>
      </c>
      <c r="BL49" s="1490">
        <f t="shared" ca="1" si="37"/>
        <v>0.10933333333333334</v>
      </c>
      <c r="BM49" s="1491">
        <f t="shared" ca="1" si="38"/>
        <v>0.14949999999999999</v>
      </c>
      <c r="BN49" s="1492">
        <f t="shared" ca="1" si="39"/>
        <v>0.18191666666666667</v>
      </c>
      <c r="BO49" s="1490">
        <f t="shared" ca="1" si="40"/>
        <v>0.21408333333333332</v>
      </c>
      <c r="BP49" s="1490">
        <f t="shared" ca="1" si="41"/>
        <v>0.23124999999999998</v>
      </c>
      <c r="BQ49" s="1490">
        <f t="shared" ca="1" si="42"/>
        <v>0.24841666666666665</v>
      </c>
      <c r="BR49" s="1491">
        <f t="shared" ca="1" si="43"/>
        <v>0.26558333333333328</v>
      </c>
      <c r="BS49" s="1133"/>
      <c r="BT49" s="1492">
        <f>+IF($K49="Ongoing",AX49,IF(RIGHT($K49,2)=RIGHT(BT$39,2),SUM($AX49:AX49),0)+IF(RIGHT(BT$39,2)&gt;RIGHT($K49,2),AX49,0))</f>
        <v>0.21</v>
      </c>
      <c r="BU49" s="1490">
        <f>+IF($K49="Ongoing",AY49,IF(RIGHT($K49,2)=RIGHT(BU$39,2),SUM($AX49:AY49),0)+IF(RIGHT(BU$39,2)&gt;RIGHT($K49,2),AY49,0))</f>
        <v>2.96</v>
      </c>
      <c r="BV49" s="1490">
        <f>+IF($K49="Ongoing",AZ49,IF(RIGHT($K49,2)=RIGHT(BV$39,2),SUM($AX49:AZ49),0)+IF(RIGHT(BV$39,2)&gt;RIGHT($K49,2),AZ49,0))</f>
        <v>1.51</v>
      </c>
      <c r="BW49" s="1490">
        <f>+IF($K49="Ongoing",BA49,IF(RIGHT($K49,2)=RIGHT(BW$39,2),SUM($AX49:BA49),0)+IF(RIGHT(BW$39,2)&gt;RIGHT($K49,2),BA49,0))</f>
        <v>3.76</v>
      </c>
      <c r="BX49" s="1491">
        <f>+IF($K49="Ongoing",BB49,IF(RIGHT($K49,2)=RIGHT(BX$39,2),SUM($AX49:BB49),0)+IF(RIGHT(BX$39,2)&gt;RIGHT($K49,2),BB49,0))</f>
        <v>1.06</v>
      </c>
      <c r="BY49" s="1492">
        <f>+IF($K49="Ongoing",BC49,IF(RIGHT($K49,2)=RIGHT(BY$39,2),SUM($AX49:BC49),0)+IF(RIGHT(BY$39,2)&gt;RIGHT($K49,2),BC49,0))</f>
        <v>2.83</v>
      </c>
      <c r="BZ49" s="1490">
        <f>+IF($K49="Ongoing",BD49,IF(RIGHT($K49,2)=RIGHT(BZ$39,2),SUM($AX49:BD49),0)+IF(RIGHT(BZ$39,2)&gt;RIGHT($K49,2),BD49,0))</f>
        <v>1.03</v>
      </c>
      <c r="CA49" s="1490">
        <f>+IF($K49="Ongoing",BE49,IF(RIGHT($K49,2)=RIGHT(CA$39,2),SUM($AX49:BE49),0)+IF(RIGHT(CA$39,2)&gt;RIGHT($K49,2),BE49,0))</f>
        <v>1.03</v>
      </c>
      <c r="CB49" s="1490">
        <f>+IF($K49="Ongoing",BF49,IF(RIGHT($K49,2)=RIGHT(CB$39,2),SUM($AX49:BF49),0)+IF(RIGHT(CB$39,2)&gt;RIGHT($K49,2),BF49,0))</f>
        <v>1.03</v>
      </c>
      <c r="CC49" s="1491">
        <f>+IF($K49="Ongoing",BG49,IF(RIGHT($K49,2)=RIGHT(CC$39,2),SUM($AX49:BG49),0)+IF(RIGHT(CC$39,2)&gt;RIGHT($K49,2),BG49,0))</f>
        <v>1.03</v>
      </c>
      <c r="CD49" s="1133"/>
      <c r="CE49" s="1492">
        <f>+Q49*KeyAssumptionsPriceControl_FO!AC$15</f>
        <v>0.21629999999999999</v>
      </c>
      <c r="CF49" s="1490">
        <f>+R49*KeyAssumptionsPriceControl_FO!AD$15</f>
        <v>3.1402639999999997</v>
      </c>
      <c r="CG49" s="1490">
        <f>+S49*KeyAssumptionsPriceControl_FO!AE$15</f>
        <v>1.6500177700000001</v>
      </c>
      <c r="CH49" s="1490">
        <f>+T49*KeyAssumptionsPriceControl_FO!AF$15</f>
        <v>4.2319131256000002</v>
      </c>
      <c r="CI49" s="1491">
        <f>+U49*KeyAssumptionsPriceControl_FO!AG$15</f>
        <v>1.2288305187580002</v>
      </c>
      <c r="CJ49" s="1492">
        <f>+V49*KeyAssumptionsPriceControl_FO!AH$15</f>
        <v>3.3791679991770707</v>
      </c>
      <c r="CK49" s="1490">
        <f>+W49*KeyAssumptionsPriceControl_FO!AI$15</f>
        <v>1.2667700813876164</v>
      </c>
      <c r="CL49" s="1490">
        <f>+X49*KeyAssumptionsPriceControl_FO!AJ$15</f>
        <v>1.3047731838292449</v>
      </c>
      <c r="CM49" s="1490">
        <f>+Y49*KeyAssumptionsPriceControl_FO!AK$15</f>
        <v>1.3439163793441222</v>
      </c>
      <c r="CN49" s="1491">
        <f>+Z49*KeyAssumptionsPriceControl_FO!AL$15</f>
        <v>1.3842338707244459</v>
      </c>
      <c r="CO49" s="1133"/>
      <c r="CP49" s="1520">
        <f t="shared" ca="1" si="44"/>
        <v>1.8024999999999998E-3</v>
      </c>
      <c r="CQ49" s="1521">
        <f t="shared" ca="1" si="45"/>
        <v>2.9773866666666666E-2</v>
      </c>
      <c r="CR49" s="1490">
        <f t="shared" ca="1" si="46"/>
        <v>6.9692881416666658E-2</v>
      </c>
      <c r="CS49" s="1490">
        <f t="shared" ca="1" si="47"/>
        <v>0.11870897221333332</v>
      </c>
      <c r="CT49" s="1491">
        <f t="shared" ca="1" si="48"/>
        <v>0.16421516924964999</v>
      </c>
      <c r="CU49" s="1492">
        <f t="shared" ca="1" si="49"/>
        <v>0.20261515689910892</v>
      </c>
      <c r="CV49" s="1490">
        <f t="shared" ca="1" si="50"/>
        <v>0.2413313075704813</v>
      </c>
      <c r="CW49" s="1490">
        <f t="shared" ca="1" si="51"/>
        <v>0.26276083478062179</v>
      </c>
      <c r="CX49" s="1490">
        <f t="shared" ca="1" si="52"/>
        <v>0.28483324780706654</v>
      </c>
      <c r="CY49" s="1491">
        <f t="shared" ca="1" si="53"/>
        <v>0.30756783322430464</v>
      </c>
    </row>
    <row r="50" spans="2:103" x14ac:dyDescent="0.3">
      <c r="B50" s="397"/>
      <c r="C50" s="1294" t="s">
        <v>1101</v>
      </c>
      <c r="D50" s="406"/>
      <c r="E50" s="1531" t="s">
        <v>22</v>
      </c>
      <c r="F50" s="2332" t="s">
        <v>12</v>
      </c>
      <c r="G50" s="2330" t="s">
        <v>14</v>
      </c>
      <c r="H50" s="2364" t="s">
        <v>514</v>
      </c>
      <c r="I50" s="2365"/>
      <c r="J50" s="2334" t="s">
        <v>279</v>
      </c>
      <c r="K50" s="1292" t="s">
        <v>524</v>
      </c>
      <c r="L50" s="2112">
        <v>80</v>
      </c>
      <c r="M50" s="2112">
        <v>80</v>
      </c>
      <c r="O50" s="376"/>
      <c r="P50" s="376"/>
      <c r="Q50" s="2337">
        <v>0</v>
      </c>
      <c r="R50" s="2338">
        <v>0</v>
      </c>
      <c r="S50" s="2338">
        <v>0.2</v>
      </c>
      <c r="T50" s="2338">
        <v>4.03</v>
      </c>
      <c r="U50" s="2339">
        <v>2</v>
      </c>
      <c r="V50" s="2337">
        <v>0</v>
      </c>
      <c r="W50" s="2338">
        <v>0</v>
      </c>
      <c r="X50" s="2338">
        <v>0</v>
      </c>
      <c r="Y50" s="2338">
        <v>0</v>
      </c>
      <c r="Z50" s="2339">
        <v>0</v>
      </c>
      <c r="AA50" s="1132"/>
      <c r="AB50" s="1129"/>
      <c r="AC50" s="1130"/>
      <c r="AD50" s="1510"/>
      <c r="AE50" s="1510"/>
      <c r="AF50" s="1131"/>
      <c r="AG50" s="1129"/>
      <c r="AH50" s="1130"/>
      <c r="AI50" s="1130"/>
      <c r="AJ50" s="1130"/>
      <c r="AK50" s="1131"/>
      <c r="AL50" s="1132"/>
      <c r="AM50" s="1129"/>
      <c r="AN50" s="1130"/>
      <c r="AO50" s="1130"/>
      <c r="AP50" s="1510"/>
      <c r="AQ50" s="1131"/>
      <c r="AR50" s="1129"/>
      <c r="AS50" s="1130"/>
      <c r="AT50" s="1130"/>
      <c r="AU50" s="1510"/>
      <c r="AV50" s="1131"/>
      <c r="AW50" s="1133"/>
      <c r="AX50" s="1492">
        <f t="shared" si="26"/>
        <v>0</v>
      </c>
      <c r="AY50" s="1490">
        <f t="shared" si="27"/>
        <v>0</v>
      </c>
      <c r="AZ50" s="1490">
        <f t="shared" si="28"/>
        <v>0.2</v>
      </c>
      <c r="BA50" s="1490">
        <f t="shared" si="29"/>
        <v>4.03</v>
      </c>
      <c r="BB50" s="1491">
        <f t="shared" si="30"/>
        <v>2</v>
      </c>
      <c r="BC50" s="1492">
        <f t="shared" si="31"/>
        <v>0</v>
      </c>
      <c r="BD50" s="1490">
        <f t="shared" si="32"/>
        <v>0</v>
      </c>
      <c r="BE50" s="1490">
        <f t="shared" si="33"/>
        <v>0</v>
      </c>
      <c r="BF50" s="1490">
        <f t="shared" si="34"/>
        <v>0</v>
      </c>
      <c r="BG50" s="1491">
        <f t="shared" si="35"/>
        <v>0</v>
      </c>
      <c r="BH50" s="1133"/>
      <c r="BI50" s="1492">
        <f t="shared" ca="1" si="54"/>
        <v>0</v>
      </c>
      <c r="BJ50" s="1490">
        <f t="shared" ca="1" si="55"/>
        <v>0</v>
      </c>
      <c r="BK50" s="1490">
        <f t="shared" ca="1" si="36"/>
        <v>0</v>
      </c>
      <c r="BL50" s="1490">
        <f t="shared" ca="1" si="37"/>
        <v>0</v>
      </c>
      <c r="BM50" s="1491">
        <f t="shared" ca="1" si="38"/>
        <v>3.89375E-2</v>
      </c>
      <c r="BN50" s="1492">
        <f t="shared" ca="1" si="39"/>
        <v>7.7875E-2</v>
      </c>
      <c r="BO50" s="1490">
        <f t="shared" ca="1" si="40"/>
        <v>7.7875E-2</v>
      </c>
      <c r="BP50" s="1490">
        <f t="shared" ca="1" si="41"/>
        <v>7.7875E-2</v>
      </c>
      <c r="BQ50" s="1490">
        <f t="shared" ca="1" si="42"/>
        <v>7.7875E-2</v>
      </c>
      <c r="BR50" s="1491">
        <f t="shared" ca="1" si="43"/>
        <v>7.7875E-2</v>
      </c>
      <c r="BS50" s="1133"/>
      <c r="BT50" s="1492">
        <f>+IF($K50="Ongoing",AX50,IF(RIGHT($K50,2)=RIGHT(BT$39,2),SUM($AX50:AX50),0)+IF(RIGHT(BT$39,2)&gt;RIGHT($K50,2),AX50,0))</f>
        <v>0</v>
      </c>
      <c r="BU50" s="1490">
        <f>+IF($K50="Ongoing",AY50,IF(RIGHT($K50,2)=RIGHT(BU$39,2),SUM($AX50:AY50),0)+IF(RIGHT(BU$39,2)&gt;RIGHT($K50,2),AY50,0))</f>
        <v>0</v>
      </c>
      <c r="BV50" s="1490">
        <f>+IF($K50="Ongoing",AZ50,IF(RIGHT($K50,2)=RIGHT(BV$39,2),SUM($AX50:AZ50),0)+IF(RIGHT(BV$39,2)&gt;RIGHT($K50,2),AZ50,0))</f>
        <v>0</v>
      </c>
      <c r="BW50" s="1490">
        <f>+IF($K50="Ongoing",BA50,IF(RIGHT($K50,2)=RIGHT(BW$39,2),SUM($AX50:BA50),0)+IF(RIGHT(BW$39,2)&gt;RIGHT($K50,2),BA50,0))</f>
        <v>0</v>
      </c>
      <c r="BX50" s="1491">
        <f>+IF($K50="Ongoing",BB50,IF(RIGHT($K50,2)=RIGHT(BX$39,2),SUM($AX50:BB50),0)+IF(RIGHT(BX$39,2)&gt;RIGHT($K50,2),BB50,0))</f>
        <v>6.23</v>
      </c>
      <c r="BY50" s="1492">
        <f>+IF($K50="Ongoing",BC50,IF(RIGHT($K50,2)=RIGHT(BY$39,2),SUM($AX50:BC50),0)+IF(RIGHT(BY$39,2)&gt;RIGHT($K50,2),BC50,0))</f>
        <v>0</v>
      </c>
      <c r="BZ50" s="1490">
        <f>+IF($K50="Ongoing",BD50,IF(RIGHT($K50,2)=RIGHT(BZ$39,2),SUM($AX50:BD50),0)+IF(RIGHT(BZ$39,2)&gt;RIGHT($K50,2),BD50,0))</f>
        <v>0</v>
      </c>
      <c r="CA50" s="1490">
        <f>+IF($K50="Ongoing",BE50,IF(RIGHT($K50,2)=RIGHT(CA$39,2),SUM($AX50:BE50),0)+IF(RIGHT(CA$39,2)&gt;RIGHT($K50,2),BE50,0))</f>
        <v>0</v>
      </c>
      <c r="CB50" s="1490">
        <f>+IF($K50="Ongoing",BF50,IF(RIGHT($K50,2)=RIGHT(CB$39,2),SUM($AX50:BF50),0)+IF(RIGHT(CB$39,2)&gt;RIGHT($K50,2),BF50,0))</f>
        <v>0</v>
      </c>
      <c r="CC50" s="1491">
        <f>+IF($K50="Ongoing",BG50,IF(RIGHT($K50,2)=RIGHT(CC$39,2),SUM($AX50:BG50),0)+IF(RIGHT(CC$39,2)&gt;RIGHT($K50,2),BG50,0))</f>
        <v>0</v>
      </c>
      <c r="CD50" s="1133"/>
      <c r="CE50" s="1492">
        <f>+Q50*KeyAssumptionsPriceControl_FO!AC$15</f>
        <v>0</v>
      </c>
      <c r="CF50" s="1490">
        <f>+R50*KeyAssumptionsPriceControl_FO!AD$15</f>
        <v>0</v>
      </c>
      <c r="CG50" s="1490">
        <f>+S50*KeyAssumptionsPriceControl_FO!AE$15</f>
        <v>0.2185454</v>
      </c>
      <c r="CH50" s="1490">
        <f>+T50*KeyAssumptionsPriceControl_FO!AF$15</f>
        <v>4.5358005043000009</v>
      </c>
      <c r="CI50" s="1491">
        <f>+U50*KeyAssumptionsPriceControl_FO!AG$15</f>
        <v>2.3185481486000001</v>
      </c>
      <c r="CJ50" s="1492">
        <f>+V50*KeyAssumptionsPriceControl_FO!AH$15</f>
        <v>0</v>
      </c>
      <c r="CK50" s="1490">
        <f>+W50*KeyAssumptionsPriceControl_FO!AI$15</f>
        <v>0</v>
      </c>
      <c r="CL50" s="1490">
        <f>+X50*KeyAssumptionsPriceControl_FO!AJ$15</f>
        <v>0</v>
      </c>
      <c r="CM50" s="1490">
        <f>+Y50*KeyAssumptionsPriceControl_FO!AK$15</f>
        <v>0</v>
      </c>
      <c r="CN50" s="1491">
        <f>+Z50*KeyAssumptionsPriceControl_FO!AL$15</f>
        <v>0</v>
      </c>
      <c r="CO50" s="1133"/>
      <c r="CP50" s="1520">
        <f t="shared" ca="1" si="44"/>
        <v>0</v>
      </c>
      <c r="CQ50" s="1521">
        <f t="shared" ca="1" si="45"/>
        <v>0</v>
      </c>
      <c r="CR50" s="1490">
        <f t="shared" ca="1" si="46"/>
        <v>1.3659087499999999E-3</v>
      </c>
      <c r="CS50" s="1490">
        <f t="shared" ca="1" si="47"/>
        <v>3.1080570651875007E-2</v>
      </c>
      <c r="CT50" s="1491">
        <f t="shared" ca="1" si="48"/>
        <v>7.3920249732500012E-2</v>
      </c>
      <c r="CU50" s="1492">
        <f t="shared" ca="1" si="49"/>
        <v>8.8411175661250008E-2</v>
      </c>
      <c r="CV50" s="1490">
        <f t="shared" ca="1" si="50"/>
        <v>8.8411175661250008E-2</v>
      </c>
      <c r="CW50" s="1490">
        <f t="shared" ca="1" si="51"/>
        <v>8.8411175661250008E-2</v>
      </c>
      <c r="CX50" s="1490">
        <f t="shared" ca="1" si="52"/>
        <v>8.8411175661250008E-2</v>
      </c>
      <c r="CY50" s="1491">
        <f t="shared" ca="1" si="53"/>
        <v>8.8411175661250008E-2</v>
      </c>
    </row>
    <row r="51" spans="2:103" ht="12.5" thickBot="1" x14ac:dyDescent="0.35">
      <c r="B51" s="397"/>
      <c r="C51" s="2093" t="s">
        <v>1102</v>
      </c>
      <c r="D51" s="407"/>
      <c r="E51" s="1532" t="s">
        <v>21</v>
      </c>
      <c r="F51" s="2333" t="s">
        <v>512</v>
      </c>
      <c r="G51" s="2331" t="s">
        <v>14</v>
      </c>
      <c r="H51" s="2368" t="s">
        <v>514</v>
      </c>
      <c r="I51" s="2369"/>
      <c r="J51" s="2335" t="s">
        <v>279</v>
      </c>
      <c r="K51" s="1293" t="s">
        <v>522</v>
      </c>
      <c r="L51" s="2336">
        <v>80</v>
      </c>
      <c r="M51" s="2336">
        <v>80</v>
      </c>
      <c r="O51" s="376"/>
      <c r="P51" s="376"/>
      <c r="Q51" s="2340">
        <v>5</v>
      </c>
      <c r="R51" s="2341">
        <v>5</v>
      </c>
      <c r="S51" s="2341">
        <v>3</v>
      </c>
      <c r="T51" s="2341">
        <v>0</v>
      </c>
      <c r="U51" s="2342">
        <v>0</v>
      </c>
      <c r="V51" s="2340">
        <v>0</v>
      </c>
      <c r="W51" s="2341">
        <v>0</v>
      </c>
      <c r="X51" s="2341">
        <v>0</v>
      </c>
      <c r="Y51" s="2341">
        <v>0</v>
      </c>
      <c r="Z51" s="2342">
        <v>0</v>
      </c>
      <c r="AA51" s="1132"/>
      <c r="AB51" s="1134"/>
      <c r="AC51" s="1135"/>
      <c r="AD51" s="1513"/>
      <c r="AE51" s="1513"/>
      <c r="AF51" s="1136"/>
      <c r="AG51" s="1134"/>
      <c r="AH51" s="1135"/>
      <c r="AI51" s="1135"/>
      <c r="AJ51" s="1135"/>
      <c r="AK51" s="1136"/>
      <c r="AL51" s="1132"/>
      <c r="AM51" s="1134"/>
      <c r="AN51" s="1135"/>
      <c r="AO51" s="1135"/>
      <c r="AP51" s="1513"/>
      <c r="AQ51" s="1136"/>
      <c r="AR51" s="1134"/>
      <c r="AS51" s="1135"/>
      <c r="AT51" s="1135"/>
      <c r="AU51" s="1513"/>
      <c r="AV51" s="1136"/>
      <c r="AW51" s="1133"/>
      <c r="AX51" s="1495">
        <f t="shared" si="26"/>
        <v>5</v>
      </c>
      <c r="AY51" s="1493">
        <f t="shared" si="27"/>
        <v>5</v>
      </c>
      <c r="AZ51" s="1493">
        <f t="shared" si="28"/>
        <v>3</v>
      </c>
      <c r="BA51" s="1493">
        <f t="shared" si="29"/>
        <v>0</v>
      </c>
      <c r="BB51" s="1494">
        <f t="shared" si="30"/>
        <v>0</v>
      </c>
      <c r="BC51" s="1495">
        <f t="shared" si="31"/>
        <v>0</v>
      </c>
      <c r="BD51" s="1493">
        <f t="shared" si="32"/>
        <v>0</v>
      </c>
      <c r="BE51" s="1493">
        <f t="shared" si="33"/>
        <v>0</v>
      </c>
      <c r="BF51" s="1493">
        <f t="shared" si="34"/>
        <v>0</v>
      </c>
      <c r="BG51" s="1494">
        <f t="shared" si="35"/>
        <v>0</v>
      </c>
      <c r="BH51" s="1133"/>
      <c r="BI51" s="1495">
        <f t="shared" ca="1" si="54"/>
        <v>0</v>
      </c>
      <c r="BJ51" s="1493">
        <f t="shared" ca="1" si="55"/>
        <v>0</v>
      </c>
      <c r="BK51" s="1493">
        <f t="shared" ca="1" si="36"/>
        <v>8.1250000000000003E-2</v>
      </c>
      <c r="BL51" s="1493">
        <f t="shared" ca="1" si="37"/>
        <v>0.16250000000000001</v>
      </c>
      <c r="BM51" s="1494">
        <f t="shared" ca="1" si="38"/>
        <v>0.16250000000000001</v>
      </c>
      <c r="BN51" s="1495">
        <f t="shared" ca="1" si="39"/>
        <v>0.16250000000000001</v>
      </c>
      <c r="BO51" s="1493">
        <f t="shared" ca="1" si="40"/>
        <v>0.16250000000000001</v>
      </c>
      <c r="BP51" s="1493">
        <f t="shared" ca="1" si="41"/>
        <v>0.16250000000000001</v>
      </c>
      <c r="BQ51" s="1493">
        <f t="shared" ca="1" si="42"/>
        <v>0.16250000000000001</v>
      </c>
      <c r="BR51" s="1494">
        <f t="shared" ca="1" si="43"/>
        <v>0.16250000000000001</v>
      </c>
      <c r="BS51" s="1133"/>
      <c r="BT51" s="1495">
        <f>+IF($K51="Ongoing",AX51,IF(RIGHT($K51,2)=RIGHT(BT$39,2),SUM($AX51:AX51),0)+IF(RIGHT(BT$39,2)&gt;RIGHT($K51,2),AX51,0))</f>
        <v>0</v>
      </c>
      <c r="BU51" s="1493">
        <f>+IF($K51="Ongoing",AY51,IF(RIGHT($K51,2)=RIGHT(BU$39,2),SUM($AX51:AY51),0)+IF(RIGHT(BU$39,2)&gt;RIGHT($K51,2),AY51,0))</f>
        <v>0</v>
      </c>
      <c r="BV51" s="1493">
        <f>+IF($K51="Ongoing",AZ51,IF(RIGHT($K51,2)=RIGHT(BV$39,2),SUM($AX51:AZ51),0)+IF(RIGHT(BV$39,2)&gt;RIGHT($K51,2),AZ51,0))</f>
        <v>13</v>
      </c>
      <c r="BW51" s="1493">
        <f>+IF($K51="Ongoing",BA51,IF(RIGHT($K51,2)=RIGHT(BW$39,2),SUM($AX51:BA51),0)+IF(RIGHT(BW$39,2)&gt;RIGHT($K51,2),BA51,0))</f>
        <v>0</v>
      </c>
      <c r="BX51" s="1494">
        <f>+IF($K51="Ongoing",BB51,IF(RIGHT($K51,2)=RIGHT(BX$39,2),SUM($AX51:BB51),0)+IF(RIGHT(BX$39,2)&gt;RIGHT($K51,2),BB51,0))</f>
        <v>0</v>
      </c>
      <c r="BY51" s="1495">
        <f>+IF($K51="Ongoing",BC51,IF(RIGHT($K51,2)=RIGHT(BY$39,2),SUM($AX51:BC51),0)+IF(RIGHT(BY$39,2)&gt;RIGHT($K51,2),BC51,0))</f>
        <v>0</v>
      </c>
      <c r="BZ51" s="1493">
        <f>+IF($K51="Ongoing",BD51,IF(RIGHT($K51,2)=RIGHT(BZ$39,2),SUM($AX51:BD51),0)+IF(RIGHT(BZ$39,2)&gt;RIGHT($K51,2),BD51,0))</f>
        <v>0</v>
      </c>
      <c r="CA51" s="1493">
        <f>+IF($K51="Ongoing",BE51,IF(RIGHT($K51,2)=RIGHT(CA$39,2),SUM($AX51:BE51),0)+IF(RIGHT(CA$39,2)&gt;RIGHT($K51,2),BE51,0))</f>
        <v>0</v>
      </c>
      <c r="CB51" s="1493">
        <f>+IF($K51="Ongoing",BF51,IF(RIGHT($K51,2)=RIGHT(CB$39,2),SUM($AX51:BF51),0)+IF(RIGHT(CB$39,2)&gt;RIGHT($K51,2),BF51,0))</f>
        <v>0</v>
      </c>
      <c r="CC51" s="1494">
        <f>+IF($K51="Ongoing",BG51,IF(RIGHT($K51,2)=RIGHT(CC$39,2),SUM($AX51:BG51),0)+IF(RIGHT(CC$39,2)&gt;RIGHT($K51,2),BG51,0))</f>
        <v>0</v>
      </c>
      <c r="CD51" s="1133"/>
      <c r="CE51" s="1495">
        <f>+Q51*KeyAssumptionsPriceControl_FO!AC$15</f>
        <v>5.15</v>
      </c>
      <c r="CF51" s="1493">
        <f>+R51*KeyAssumptionsPriceControl_FO!AD$15</f>
        <v>5.3045</v>
      </c>
      <c r="CG51" s="1493">
        <f>+S51*KeyAssumptionsPriceControl_FO!AE$15</f>
        <v>3.278181</v>
      </c>
      <c r="CH51" s="1493">
        <f>+T51*KeyAssumptionsPriceControl_FO!AF$15</f>
        <v>0</v>
      </c>
      <c r="CI51" s="1494">
        <f>+U51*KeyAssumptionsPriceControl_FO!AG$15</f>
        <v>0</v>
      </c>
      <c r="CJ51" s="1495">
        <f>+V51*KeyAssumptionsPriceControl_FO!AH$15</f>
        <v>0</v>
      </c>
      <c r="CK51" s="1493">
        <f>+W51*KeyAssumptionsPriceControl_FO!AI$15</f>
        <v>0</v>
      </c>
      <c r="CL51" s="1493">
        <f>+X51*KeyAssumptionsPriceControl_FO!AJ$15</f>
        <v>0</v>
      </c>
      <c r="CM51" s="1493">
        <f>+Y51*KeyAssumptionsPriceControl_FO!AK$15</f>
        <v>0</v>
      </c>
      <c r="CN51" s="1494">
        <f>+Z51*KeyAssumptionsPriceControl_FO!AL$15</f>
        <v>0</v>
      </c>
      <c r="CO51" s="1133"/>
      <c r="CP51" s="1522">
        <f t="shared" ca="1" si="44"/>
        <v>3.2187500000000001E-2</v>
      </c>
      <c r="CQ51" s="1523">
        <f t="shared" ca="1" si="45"/>
        <v>9.7528124999999993E-2</v>
      </c>
      <c r="CR51" s="1493">
        <f t="shared" ca="1" si="46"/>
        <v>0.15116988125</v>
      </c>
      <c r="CS51" s="1493">
        <f t="shared" ca="1" si="47"/>
        <v>0.1716585125</v>
      </c>
      <c r="CT51" s="1494">
        <f t="shared" ca="1" si="48"/>
        <v>0.1716585125</v>
      </c>
      <c r="CU51" s="1495">
        <f t="shared" ca="1" si="49"/>
        <v>0.1716585125</v>
      </c>
      <c r="CV51" s="1493">
        <f t="shared" ca="1" si="50"/>
        <v>0.1716585125</v>
      </c>
      <c r="CW51" s="1493">
        <f t="shared" ca="1" si="51"/>
        <v>0.1716585125</v>
      </c>
      <c r="CX51" s="1493">
        <f t="shared" ca="1" si="52"/>
        <v>0.1716585125</v>
      </c>
      <c r="CY51" s="1494">
        <f t="shared" ca="1" si="53"/>
        <v>0.1716585125</v>
      </c>
    </row>
    <row r="52" spans="2:103" ht="12.5" thickBot="1" x14ac:dyDescent="0.35">
      <c r="B52" s="397"/>
      <c r="C52" s="408"/>
      <c r="D52" s="408"/>
      <c r="E52" s="1498"/>
      <c r="F52" s="1498"/>
      <c r="G52" s="1498"/>
      <c r="H52" s="408"/>
      <c r="I52" s="1498"/>
      <c r="J52" s="408"/>
      <c r="K52" s="408"/>
      <c r="L52" s="408"/>
      <c r="M52" s="408"/>
      <c r="O52" s="408"/>
      <c r="P52" s="408"/>
      <c r="Q52" s="1529"/>
      <c r="R52" s="1137"/>
      <c r="S52" s="1529"/>
      <c r="T52" s="1529"/>
      <c r="U52" s="1137"/>
      <c r="V52" s="1137"/>
      <c r="W52" s="1137"/>
      <c r="X52" s="1137"/>
      <c r="Y52" s="1137"/>
      <c r="Z52" s="1137"/>
      <c r="AA52" s="1138"/>
      <c r="AB52" s="1137"/>
      <c r="AC52" s="1137"/>
      <c r="AD52" s="1529"/>
      <c r="AE52" s="1137"/>
      <c r="AF52" s="1137"/>
      <c r="AG52" s="1137"/>
      <c r="AH52" s="1137"/>
      <c r="AI52" s="1137"/>
      <c r="AJ52" s="1137"/>
      <c r="AK52" s="1137"/>
      <c r="AL52" s="1138"/>
      <c r="AM52" s="1137"/>
      <c r="AN52" s="1137"/>
      <c r="AO52" s="1137"/>
      <c r="AP52" s="1529"/>
      <c r="AQ52" s="1137"/>
      <c r="AR52" s="1137"/>
      <c r="AS52" s="1137"/>
      <c r="AT52" s="1137"/>
      <c r="AU52" s="1137"/>
      <c r="AV52" s="1137"/>
      <c r="AW52" s="1139"/>
      <c r="AX52" s="1140"/>
      <c r="AY52" s="1140"/>
      <c r="AZ52" s="1928"/>
      <c r="BA52" s="1928"/>
      <c r="BB52" s="1140"/>
      <c r="BC52" s="1140"/>
      <c r="BD52" s="1140"/>
      <c r="BE52" s="1140"/>
      <c r="BF52" s="1140"/>
      <c r="BG52" s="1140"/>
      <c r="BH52" s="1139"/>
      <c r="BI52" s="1140"/>
      <c r="BJ52" s="1140"/>
      <c r="BK52" s="1140"/>
      <c r="BL52" s="1140"/>
      <c r="BM52" s="1140"/>
      <c r="BN52" s="1140"/>
      <c r="BO52" s="1140"/>
      <c r="BP52" s="1140"/>
      <c r="BQ52" s="1140"/>
      <c r="BR52" s="1140"/>
      <c r="BS52" s="1139"/>
      <c r="BT52" s="1140"/>
      <c r="BU52" s="1140"/>
      <c r="BV52" s="1140"/>
      <c r="BW52" s="1140"/>
      <c r="BX52" s="1140"/>
      <c r="BY52" s="1140"/>
      <c r="BZ52" s="1140"/>
      <c r="CA52" s="1140"/>
      <c r="CB52" s="1140"/>
      <c r="CC52" s="1140"/>
      <c r="CD52" s="1133"/>
      <c r="CE52" s="1140"/>
      <c r="CF52" s="1140"/>
      <c r="CG52" s="1140"/>
      <c r="CH52" s="1140"/>
      <c r="CI52" s="1140"/>
      <c r="CJ52" s="1140"/>
      <c r="CK52" s="1140"/>
      <c r="CL52" s="1140"/>
      <c r="CM52" s="1140"/>
      <c r="CN52" s="1140"/>
      <c r="CO52" s="1133"/>
      <c r="CP52" s="1140"/>
      <c r="CQ52" s="1140"/>
      <c r="CR52" s="1140"/>
      <c r="CS52" s="1140"/>
      <c r="CT52" s="1140"/>
      <c r="CU52" s="1140"/>
      <c r="CV52" s="1140"/>
      <c r="CW52" s="1140"/>
      <c r="CX52" s="1140"/>
      <c r="CY52" s="1140"/>
    </row>
    <row r="53" spans="2:103" x14ac:dyDescent="0.3">
      <c r="B53" s="397"/>
      <c r="C53" s="2094" t="s">
        <v>1103</v>
      </c>
      <c r="D53" s="2095"/>
      <c r="E53" s="2096" t="s">
        <v>21</v>
      </c>
      <c r="F53" s="2096" t="s">
        <v>12</v>
      </c>
      <c r="G53" s="2094" t="s">
        <v>14</v>
      </c>
      <c r="H53" s="2366" t="s">
        <v>516</v>
      </c>
      <c r="I53" s="2367"/>
      <c r="J53" s="2098" t="s">
        <v>279</v>
      </c>
      <c r="K53" s="2098" t="s">
        <v>296</v>
      </c>
      <c r="L53" s="2098">
        <v>80</v>
      </c>
      <c r="M53" s="2098">
        <v>80</v>
      </c>
      <c r="O53" s="376"/>
      <c r="P53" s="376"/>
      <c r="Q53" s="2346">
        <v>2.8</v>
      </c>
      <c r="R53" s="2347">
        <v>2.4</v>
      </c>
      <c r="S53" s="2347">
        <v>2.4</v>
      </c>
      <c r="T53" s="2347">
        <v>2.4</v>
      </c>
      <c r="U53" s="2348">
        <v>2.4</v>
      </c>
      <c r="V53" s="2346">
        <v>2</v>
      </c>
      <c r="W53" s="2347">
        <v>2</v>
      </c>
      <c r="X53" s="2347">
        <v>2</v>
      </c>
      <c r="Y53" s="2347">
        <v>2</v>
      </c>
      <c r="Z53" s="2348">
        <v>2</v>
      </c>
      <c r="AA53" s="1132"/>
      <c r="AB53" s="1233"/>
      <c r="AC53" s="1234"/>
      <c r="AD53" s="1515"/>
      <c r="AE53" s="1234"/>
      <c r="AF53" s="1235"/>
      <c r="AG53" s="1233"/>
      <c r="AH53" s="1515"/>
      <c r="AI53" s="1234"/>
      <c r="AJ53" s="1234"/>
      <c r="AK53" s="1235"/>
      <c r="AL53" s="1132"/>
      <c r="AM53" s="1514"/>
      <c r="AN53" s="1234"/>
      <c r="AO53" s="1515"/>
      <c r="AP53" s="1515"/>
      <c r="AQ53" s="1235"/>
      <c r="AR53" s="1233"/>
      <c r="AS53" s="1234"/>
      <c r="AT53" s="1234"/>
      <c r="AU53" s="1234"/>
      <c r="AV53" s="1235"/>
      <c r="AW53" s="1133"/>
      <c r="AX53" s="1496">
        <f t="shared" ref="AX53:AX84" si="56">+Q53-AB53-AM53</f>
        <v>2.8</v>
      </c>
      <c r="AY53" s="1516">
        <f t="shared" ref="AY53:AY84" si="57">+R53-AC53-AN53</f>
        <v>2.4</v>
      </c>
      <c r="AZ53" s="1516">
        <f t="shared" ref="AZ53:AZ84" si="58">+S53-AD53-AO53</f>
        <v>2.4</v>
      </c>
      <c r="BA53" s="1516">
        <f t="shared" ref="BA53:BA84" si="59">+T53-AE53-AP53</f>
        <v>2.4</v>
      </c>
      <c r="BB53" s="1499">
        <f t="shared" ref="BB53:BB84" si="60">+U53-AF53-AQ53</f>
        <v>2.4</v>
      </c>
      <c r="BC53" s="1496">
        <f t="shared" ref="BC53:BC84" si="61">+V53-AG53-AR53</f>
        <v>2</v>
      </c>
      <c r="BD53" s="1516">
        <f t="shared" ref="BD53:BD84" si="62">+W53-AH53-AS53</f>
        <v>2</v>
      </c>
      <c r="BE53" s="1516">
        <f t="shared" ref="BE53:BE84" si="63">+X53-AI53-AT53</f>
        <v>2</v>
      </c>
      <c r="BF53" s="1516">
        <f t="shared" ref="BF53:BF116" si="64">+Y53-AJ53-AU53</f>
        <v>2</v>
      </c>
      <c r="BG53" s="1499">
        <f t="shared" ref="BG53:BG116" si="65">+Z53-AK53-AV53</f>
        <v>2</v>
      </c>
      <c r="BH53" s="1133"/>
      <c r="BI53" s="1496">
        <f t="shared" ref="BI53:BI116" ca="1" si="66">IF($L53=0,0,
IF($L53&lt;=0.5,BT53,
IF($J53="straight line",
IF((LEFT(BI$39,4)*1)-INT($L53)&lt;LEFT($BI$39,4)*1,0,((OFFSET(BT53,0,-INT($L53+0.5),1,1))/$L53)*(IF($L53-INT($L53)&gt;0.5,$L53-0.5-INT($L53),IF($L53-INT($L53)&lt;=0.5,$L53-0.5-INT($L53)+1,0))))
+BT53/$L53*0.5,
IF($J53="Declining Balance",-$BI$38,0))))</f>
        <v>1.7499999999999998E-2</v>
      </c>
      <c r="BJ53" s="1516">
        <f t="shared" ref="BJ53:BJ116" ca="1" si="67">IF($L53=0,0,
IF($L53&lt;=0.5,BU53,
IF(AND($J53="straight line",$L53&lt;1.51),(BT53-((BT53/$L53)*0.5))+BU53/$L53*0.5,
IF($J53="straight line",
IF((LEFT(BJ$39,4)*1)-INT($L53)&lt;LEFT($BI$39,4)*1,0,((OFFSET(BU53,0,-INT($L53+0.5),1,1))/$L53)*(IF($L53-INT($L53)&gt;0.5,$L53-0.5-INT($L53),IF($L53-INT($L53)&lt;=0.5,$L53-0.5-INT($L53)+1,0))))
+BU53/$L53*0.5
+SUM(OFFSET(BU53,0,MAX(-INT($L53+(0.5-(10^-12))),-BJ$40)+1,1,MIN(INT($L53+(0.5-(10^-12))),BJ$40)-1))*1/$L53,
IF($J53="Declining Balance",-$BI$38,0)))))</f>
        <v>4.9999999999999996E-2</v>
      </c>
      <c r="BK53" s="1516">
        <f t="shared" ref="BK53:BK116" ca="1" si="68">IF($L53=0,0,
IF($L53&lt;=0.5,BV53,
IF(AND($J53="straight line",$L53&lt;1.51),(BU53-((BU53/$L53)*0.5))+BV53/$L53*0.5,
IF($J53="straight line",
IF((LEFT(BK$39,4)*1)-INT($L53)&lt;LEFT($BI$39,4)*1,0,((OFFSET(BV53,0,-INT($L53+0.5),1,1))/$L53)*(IF($L53-INT($L53)&gt;0.5,$L53-0.5-INT($L53),IF($L53-INT($L53)&lt;=0.5,$L53-0.5-INT($L53)+1,0))))
+BV53/$L53*0.5
+SUM(OFFSET(BV53,0,MAX(-INT($L53+(0.5-(10^-12))),-BK$40)+1,1,MIN(INT($L53+(0.5-(10^-12))),BK$40)-1))*1/$L53,
IF($J53="Declining Balance",-$BI$38,0)))))</f>
        <v>7.9999999999999988E-2</v>
      </c>
      <c r="BL53" s="1516">
        <f t="shared" ref="BL53:BL116" ca="1" si="69">IF($L53=0,0,
IF($L53&lt;=0.5,BW53,
IF(AND($J53="straight line",$L53&lt;1.51),(BV53-((BV53/$L53)*0.5))+BW53/$L53*0.5,
IF($J53="straight line",
IF((LEFT(BL$39,4)*1)-INT($L53)&lt;LEFT($BI$39,4)*1,0,((OFFSET(BW53,0,-INT($L53+0.5),1,1))/$L53)*(IF($L53-INT($L53)&gt;0.5,$L53-0.5-INT($L53),IF($L53-INT($L53)&lt;=0.5,$L53-0.5-INT($L53)+1,0))))
+BW53/$L53*0.5
+SUM(OFFSET(BW53,0,MAX(-INT($L53+(0.5-(10^-12))),-BL$40)+1,1,MIN(INT($L53+(0.5-(10^-12))),BL$40)-1))*1/$L53,
IF($J53="Declining Balance",-$BI$38,0)))))</f>
        <v>0.11</v>
      </c>
      <c r="BM53" s="1499">
        <f t="shared" ref="BM53:BM116" ca="1" si="70">IF($L53=0,0,
IF($L53&lt;=0.5,BX53,
IF(AND($J53="straight line",$L53&lt;1.51),(BW53-((BW53/$L53)*0.5))+BX53/$L53*0.5,
IF($J53="straight line",
IF((LEFT(BM$39,4)*1)-INT($L53)&lt;LEFT($BI$39,4)*1,0,((OFFSET(BX53,0,-INT($L53+0.5),1,1))/$L53)*(IF($L53-INT($L53)&gt;0.5,$L53-0.5-INT($L53),IF($L53-INT($L53)&lt;=0.5,$L53-0.5-INT($L53)+1,0))))
+BX53/$L53*0.5
+SUM(OFFSET(BX53,0,MAX(-INT($L53+(0.5-(10^-12))),-BM$40)+1,1,MIN(INT($L53+(0.5-(10^-12))),BM$40)-1))*1/$L53,
IF($J53="Declining Balance",-$BI$38,0)))))</f>
        <v>0.14000000000000001</v>
      </c>
      <c r="BN53" s="1496">
        <f t="shared" ref="BN53:BN116" ca="1" si="71">IF($L53=0,0,
IF($L53&lt;=0.5,BY53,
IF(AND($J53="straight line",$L53&lt;1.51),(BX53-((BX53/$L53)*0.5))+BY53/$L53*0.5,
IF($J53="straight line",
IF((LEFT(BN$39,4)*1)-INT($L53)&lt;LEFT($BI$39,4)*1,0,((OFFSET(BY53,0,-INT($L53+0.5),1,1))/$L53)*(IF($L53-INT($L53)&gt;0.5,$L53-0.5-INT($L53),IF($L53-INT($L53)&lt;=0.5,$L53-0.5-INT($L53)+1,0))))
+BY53/$L53*0.5
+SUM(OFFSET(BY53,0,MAX(-INT($L53+(0.5-(10^-12))),-BN$40)+1,1,MIN(INT($L53+(0.5-(10^-12))),BN$40)-1))*1/$L53,
IF($J53="Declining Balance",-$BI$38,0)))))</f>
        <v>0.16750000000000001</v>
      </c>
      <c r="BO53" s="1516">
        <f t="shared" ref="BO53:BO116" ca="1" si="72">IF($L53=0,0,
IF($L53&lt;=0.5,BZ53,
IF(AND($J53="straight line",$L53&lt;1.51),(BY53-((BY53/$L53)*0.5))+BZ53/$L53*0.5,
IF($J53="straight line",
IF((LEFT(BO$39,4)*1)-INT($L53)&lt;LEFT($BI$39,4)*1,0,((OFFSET(BZ53,0,-INT($L53+0.5),1,1))/$L53)*(IF($L53-INT($L53)&gt;0.5,$L53-0.5-INT($L53),IF($L53-INT($L53)&lt;=0.5,$L53-0.5-INT($L53)+1,0))))
+BZ53/$L53*0.5
+SUM(OFFSET(BZ53,0,MAX(-INT($L53+(0.5-(10^-12))),-BO$40)+1,1,MIN(INT($L53+(0.5-(10^-12))),BO$40)-1))*1/$L53,
IF($J53="Declining Balance",-$BI$38,0)))))</f>
        <v>0.1925</v>
      </c>
      <c r="BP53" s="1516">
        <f t="shared" ref="BP53:BP116" ca="1" si="73">IF($L53=0,0,
IF($L53&lt;=0.5,CA53,
IF(AND($J53="straight line",$L53&lt;1.51),(BZ53-((BZ53/$L53)*0.5))+CA53/$L53*0.5,
IF($J53="straight line",
IF((LEFT(BP$39,4)*1)-INT($L53)&lt;LEFT($BI$39,4)*1,0,((OFFSET(CA53,0,-INT($L53+0.5),1,1))/$L53)*(IF($L53-INT($L53)&gt;0.5,$L53-0.5-INT($L53),IF($L53-INT($L53)&lt;=0.5,$L53-0.5-INT($L53)+1,0))))
+CA53/$L53*0.5
+SUM(OFFSET(CA53,0,MAX(-INT($L53+(0.5-(10^-12))),-BP$40)+1,1,MIN(INT($L53+(0.5-(10^-12))),BP$40)-1))*1/$L53,
IF($J53="Declining Balance",-$BI$38,0)))))</f>
        <v>0.2175</v>
      </c>
      <c r="BQ53" s="1516">
        <f t="shared" ref="BQ53:BQ116" ca="1" si="74">IF($L53=0,0,
IF($L53&lt;=0.5,CB53,
IF(AND($J53="straight line",$L53&lt;1.51),(CA53-((CA53/$L53)*0.5))+CB53/$L53*0.5,
IF($J53="straight line",
IF((LEFT(BQ$39,4)*1)-INT($L53)&lt;LEFT($BI$39,4)*1,0,((OFFSET(CB53,0,-INT($L53+0.5),1,1))/$L53)*(IF($L53-INT($L53)&gt;0.5,$L53-0.5-INT($L53),IF($L53-INT($L53)&lt;=0.5,$L53-0.5-INT($L53)+1,0))))
+CB53/$L53*0.5
+SUM(OFFSET(CB53,0,MAX(-INT($L53+(0.5-(10^-12))),-BQ$40)+1,1,MIN(INT($L53+(0.5-(10^-12))),BQ$40)-1))*1/$L53,
IF($J53="Declining Balance",-$BI$38,0)))))</f>
        <v>0.24249999999999999</v>
      </c>
      <c r="BR53" s="1499">
        <f t="shared" ref="BR53:BR116" ca="1" si="75">IF($L53=0,0,
IF($L53&lt;=0.5,CC53,
IF(AND($J53="straight line",$L53&lt;1.51),(CB53-((CB53/$L53)*0.5))+CC53/$L53*0.5,
IF($J53="straight line",
IF((LEFT(BR$39,4)*1)-INT($L53)&lt;LEFT($BI$39,4)*1,0,((OFFSET(CC53,0,-INT($L53+0.5),1,1))/$L53)*(IF($L53-INT($L53)&gt;0.5,$L53-0.5-INT($L53),IF($L53-INT($L53)&lt;=0.5,$L53-0.5-INT($L53)+1,0))))
+CC53/$L53*0.5
+SUM(OFFSET(CC53,0,MAX(-INT($L53+(0.5-(10^-12))),-BR$40)+1,1,MIN(INT($L53+(0.5-(10^-12))),BR$40)-1))*1/$L53,
IF($J53="Declining Balance",-$BI$38,0)))))</f>
        <v>0.26750000000000002</v>
      </c>
      <c r="BS53" s="1133"/>
      <c r="BT53" s="1496">
        <f>+IF($K53="Ongoing",AX53,IF(RIGHT($K53,2)=RIGHT(BT$39,2),SUM($AX53:AX53),0)+IF(RIGHT(BT$39,2)&gt;RIGHT($K53,2),AX53,0))</f>
        <v>2.8</v>
      </c>
      <c r="BU53" s="1516">
        <f>+IF($K53="Ongoing",AY53,IF(RIGHT($K53,2)=RIGHT(BU$39,2),SUM($AX53:AY53),0)+IF(RIGHT(BU$39,2)&gt;RIGHT($K53,2),AY53,0))</f>
        <v>2.4</v>
      </c>
      <c r="BV53" s="1516">
        <f>+IF($K53="Ongoing",AZ53,IF(RIGHT($K53,2)=RIGHT(BV$39,2),SUM($AX53:AZ53),0)+IF(RIGHT(BV$39,2)&gt;RIGHT($K53,2),AZ53,0))</f>
        <v>2.4</v>
      </c>
      <c r="BW53" s="1516">
        <f>+IF($K53="Ongoing",BA53,IF(RIGHT($K53,2)=RIGHT(BW$39,2),SUM($AX53:BA53),0)+IF(RIGHT(BW$39,2)&gt;RIGHT($K53,2),BA53,0))</f>
        <v>2.4</v>
      </c>
      <c r="BX53" s="1499">
        <f>+IF($K53="Ongoing",BB53,IF(RIGHT($K53,2)=RIGHT(BX$39,2),SUM($AX53:BB53),0)+IF(RIGHT(BX$39,2)&gt;RIGHT($K53,2),BB53,0))</f>
        <v>2.4</v>
      </c>
      <c r="BY53" s="1496">
        <f>+IF($K53="Ongoing",BC53,IF(RIGHT($K53,2)=RIGHT(BY$39,2),SUM($AX53:BC53),0)+IF(RIGHT(BY$39,2)&gt;RIGHT($K53,2),BC53,0))</f>
        <v>2</v>
      </c>
      <c r="BZ53" s="1516">
        <f>+IF($K53="Ongoing",BD53,IF(RIGHT($K53,2)=RIGHT(BZ$39,2),SUM($AX53:BD53),0)+IF(RIGHT(BZ$39,2)&gt;RIGHT($K53,2),BD53,0))</f>
        <v>2</v>
      </c>
      <c r="CA53" s="1516">
        <f>+IF($K53="Ongoing",BE53,IF(RIGHT($K53,2)=RIGHT(CA$39,2),SUM($AX53:BE53),0)+IF(RIGHT(CA$39,2)&gt;RIGHT($K53,2),BE53,0))</f>
        <v>2</v>
      </c>
      <c r="CB53" s="1516">
        <f>+IF($K53="Ongoing",BF53,IF(RIGHT($K53,2)=RIGHT(CB$39,2),SUM($AX53:BF53),0)+IF(RIGHT(CB$39,2)&gt;RIGHT($K53,2),BF53,0))</f>
        <v>2</v>
      </c>
      <c r="CC53" s="1499">
        <f>+IF($K53="Ongoing",BG53,IF(RIGHT($K53,2)=RIGHT(CC$39,2),SUM($AX53:BG53),0)+IF(RIGHT(CC$39,2)&gt;RIGHT($K53,2),BG53,0))</f>
        <v>2</v>
      </c>
      <c r="CD53" s="1133"/>
      <c r="CE53" s="1496">
        <f>+Q53*KeyAssumptionsPriceControl_FO!AC$15</f>
        <v>2.8839999999999999</v>
      </c>
      <c r="CF53" s="1516">
        <f>+R53*KeyAssumptionsPriceControl_FO!AD$15</f>
        <v>2.54616</v>
      </c>
      <c r="CG53" s="1516">
        <f>+S53*KeyAssumptionsPriceControl_FO!AE$15</f>
        <v>2.6225448</v>
      </c>
      <c r="CH53" s="1516">
        <f>+T53*KeyAssumptionsPriceControl_FO!AF$15</f>
        <v>2.7012211440000002</v>
      </c>
      <c r="CI53" s="1499">
        <f>+U53*KeyAssumptionsPriceControl_FO!AG$15</f>
        <v>2.78225777832</v>
      </c>
      <c r="CJ53" s="1496">
        <f>+V53*KeyAssumptionsPriceControl_FO!AH$15</f>
        <v>2.3881045930580003</v>
      </c>
      <c r="CK53" s="1516">
        <f>+W53*KeyAssumptionsPriceControl_FO!AI$15</f>
        <v>2.4597477308497404</v>
      </c>
      <c r="CL53" s="1516">
        <f>+X53*KeyAssumptionsPriceControl_FO!AJ$15</f>
        <v>2.5335401627752328</v>
      </c>
      <c r="CM53" s="1516">
        <f>+Y53*KeyAssumptionsPriceControl_FO!AK$15</f>
        <v>2.6095463676584898</v>
      </c>
      <c r="CN53" s="1499">
        <f>+Z53*KeyAssumptionsPriceControl_FO!AL$15</f>
        <v>2.6878327586882444</v>
      </c>
      <c r="CO53" s="1133"/>
      <c r="CP53" s="1518">
        <f t="shared" ref="CP53:CP84" ca="1" si="76">IF($M53=0,0,
IF($M53&lt;=0.5,CE53,
IF($J53="straight line",
IF((LEFT(CP$39,4)*1)-INT($M53)&lt;LEFT($CP$39,4)*1,0,((OFFSET(CE53,0,-INT($M53+0.5),1,1))/$M53)*(IF($M53-INT($M53)&gt;0.5,$M53-0.5-INT($M53),IF($M53-INT($M53)&lt;=0.5,$M53-0.5-INT($M53)+1,0))))
+CE53/$M53*0.5,
IF($J53="Declining Balance",-$CP$38,0))))</f>
        <v>1.8024999999999999E-2</v>
      </c>
      <c r="CQ53" s="1519">
        <f t="shared" ref="CQ53:CQ84" ca="1" si="77">IF($M53=0,0,
IF($M53&lt;=0.5,CF53,
IF(AND($J53="straight line",$M53&lt;1.51),(CE53-((CE53/$M53)*0.5))+CF53/$M53*0.5,
IF($J53="straight line",
IF((LEFT(CQ$39,4)*1)-INT($M53)&lt;LEFT($CP$39,4)*1,0,((OFFSET(CF53,0,-INT($M53+0.5),1,1))/$M53)*(IF($M53-INT($M53)&gt;0.5,$M53-0.5-INT($M53),IF($M53-INT($M53)&lt;=0.5,$M53-0.5-INT($M53)+1,0))))
+CF53/$M53*0.5
+SUM(OFFSET(CF53,0,MAX(-INT($M53+(0.5-(10^-12))),-CQ$40)+1,1,MIN(INT($M53+(0.5-(10^-12))),CQ$40)-1))*1/$M53,
IF($J53="Declining Balance",-$CP$38,0)))))</f>
        <v>5.1963499999999996E-2</v>
      </c>
      <c r="CR53" s="1516">
        <f t="shared" ref="CR53:CR84" ca="1" si="78">IF($M53=0,0,
IF($M53&lt;=0.5,CG53,
IF(AND($J53="straight line",$M53&lt;1.51),(CF53-((CF53/$M53)*0.5))+CG53/$M53*0.5,
IF($J53="straight line",
IF((LEFT(CR$39,4)*1)-INT($M53)&lt;LEFT($CP$39,4)*1,0,((OFFSET(CG53,0,-INT($M53+0.5),1,1))/$M53)*(IF($M53-INT($M53)&gt;0.5,$M53-0.5-INT($M53),IF($M53-INT($M53)&lt;=0.5,$M53-0.5-INT($M53)+1,0))))
+CG53/$M53*0.5
+SUM(OFFSET(CG53,0,MAX(-INT($M53+(0.5-(10^-12))),-CR$40)+1,1,MIN(INT($M53+(0.5-(10^-12))),CR$40)-1))*1/$M53,
IF($J53="Declining Balance",-$CP$38,0)))))</f>
        <v>8.426790499999999E-2</v>
      </c>
      <c r="CS53" s="1516">
        <f t="shared" ref="CS53:CS84" ca="1" si="79">IF($M53=0,0,
IF($M53&lt;=0.5,CH53,
IF(AND($J53="straight line",$M53&lt;1.51),(CG53-((CG53/$M53)*0.5))+CH53/$M53*0.5,
IF($J53="straight line",
IF((LEFT(CS$39,4)*1)-INT($M53)&lt;LEFT($CP$39,4)*1,0,((OFFSET(CH53,0,-INT($M53+0.5),1,1))/$M53)*(IF($M53-INT($M53)&gt;0.5,$M53-0.5-INT($M53),IF($M53-INT($M53)&lt;=0.5,$M53-0.5-INT($M53)+1,0))))
+CH53/$M53*0.5
+SUM(OFFSET(CH53,0,MAX(-INT($M53+(0.5-(10^-12))),-CS$40)+1,1,MIN(INT($M53+(0.5-(10^-12))),CS$40)-1))*1/$M53,
IF($J53="Declining Balance",-$CP$38,0)))))</f>
        <v>0.11754144215000001</v>
      </c>
      <c r="CT53" s="1499">
        <f t="shared" ref="CT53:CT84" ca="1" si="80">IF($M53=0,0,
IF($M53&lt;=0.5,CI53,
IF(AND($J53="straight line",$M53&lt;1.51),(CH53-((CH53/$M53)*0.5))+CI53/$M53*0.5,
IF($J53="straight line",
IF((LEFT(CT$39,4)*1)-INT($M53)&lt;LEFT($CP$39,4)*1,0,((OFFSET(CI53,0,-INT($M53+0.5),1,1))/$M53)*(IF($M53-INT($M53)&gt;0.5,$M53-0.5-INT($M53),IF($M53-INT($M53)&lt;=0.5,$M53-0.5-INT($M53)+1,0))))
+CI53/$M53*0.5
+SUM(OFFSET(CI53,0,MAX(-INT($M53+(0.5-(10^-12))),-CT$40)+1,1,MIN(INT($M53+(0.5-(10^-12))),CT$40)-1))*1/$M53,
IF($J53="Declining Balance",-$CP$38,0)))))</f>
        <v>0.15181318541450001</v>
      </c>
      <c r="CU53" s="1496">
        <f t="shared" ref="CU53:CU84" ca="1" si="81">IF($M53=0,0,
IF($M53&lt;=0.5,CJ53,
IF(AND($J53="straight line",$M53&lt;1.51),(CI53-((CI53/$M53)*0.5))+CJ53/$M53*0.5,
IF($J53="straight line",
IF((LEFT(CU$39,4)*1)-INT($M53)&lt;LEFT($CP$39,4)*1,0,((OFFSET(CJ53,0,-INT($M53+0.5),1,1))/$M53)*(IF($M53-INT($M53)&gt;0.5,$M53-0.5-INT($M53),IF($M53-INT($M53)&lt;=0.5,$M53-0.5-INT($M53)+1,0))))
+CJ53/$M53*0.5
+SUM(OFFSET(CJ53,0,MAX(-INT($M53+(0.5-(10^-12))),-CU$40)+1,1,MIN(INT($M53+(0.5-(10^-12))),CU$40)-1))*1/$M53,
IF($J53="Declining Balance",-$CP$38,0)))))</f>
        <v>0.18412795023561251</v>
      </c>
      <c r="CV53" s="1516">
        <f t="shared" ref="CV53:CV84" ca="1" si="82">IF($M53=0,0,
IF($M53&lt;=0.5,CK53,
IF(AND($J53="straight line",$M53&lt;1.51),(CJ53-((CJ53/$M53)*0.5))+CK53/$M53*0.5,
IF($J53="straight line",
IF((LEFT(CV$39,4)*1)-INT($M53)&lt;LEFT($CP$39,4)*1,0,((OFFSET(CK53,0,-INT($M53+0.5),1,1))/$M53)*(IF($M53-INT($M53)&gt;0.5,$M53-0.5-INT($M53),IF($M53-INT($M53)&lt;=0.5,$M53-0.5-INT($M53)+1,0))))
+CK53/$M53*0.5
+SUM(OFFSET(CK53,0,MAX(-INT($M53+(0.5-(10^-12))),-CV$40)+1,1,MIN(INT($M53+(0.5-(10^-12))),CV$40)-1))*1/$M53,
IF($J53="Declining Balance",-$CP$38,0)))))</f>
        <v>0.21442702726003587</v>
      </c>
      <c r="CW53" s="1516">
        <f t="shared" ref="CW53:CW84" ca="1" si="83">IF($M53=0,0,
IF($M53&lt;=0.5,CL53,
IF(AND($J53="straight line",$M53&lt;1.51),(CK53-((CK53/$M53)*0.5))+CL53/$M53*0.5,
IF($J53="straight line",
IF((LEFT(CW$39,4)*1)-INT($M53)&lt;LEFT($CP$39,4)*1,0,((OFFSET(CL53,0,-INT($M53+0.5),1,1))/$M53)*(IF($M53-INT($M53)&gt;0.5,$M53-0.5-INT($M53),IF($M53-INT($M53)&lt;=0.5,$M53-0.5-INT($M53)+1,0))))
+CL53/$M53*0.5
+SUM(OFFSET(CL53,0,MAX(-INT($M53+(0.5-(10^-12))),-CW$40)+1,1,MIN(INT($M53+(0.5-(10^-12))),CW$40)-1))*1/$M53,
IF($J53="Declining Balance",-$CP$38,0)))))</f>
        <v>0.24563507659519196</v>
      </c>
      <c r="CX53" s="1516">
        <f t="shared" ref="CX53:CX84" ca="1" si="84">IF($M53=0,0,
IF($M53&lt;=0.5,CM53,
IF(AND($J53="straight line",$M53&lt;1.51),(CL53-((CL53/$M53)*0.5))+CM53/$M53*0.5,
IF($J53="straight line",
IF((LEFT(CX$39,4)*1)-INT($M53)&lt;LEFT($CP$39,4)*1,0,((OFFSET(CM53,0,-INT($M53+0.5),1,1))/$M53)*(IF($M53-INT($M53)&gt;0.5,$M53-0.5-INT($M53),IF($M53-INT($M53)&lt;=0.5,$M53-0.5-INT($M53)+1,0))))
+CM53/$M53*0.5
+SUM(OFFSET(CM53,0,MAX(-INT($M53+(0.5-(10^-12))),-CX$40)+1,1,MIN(INT($M53+(0.5-(10^-12))),CX$40)-1))*1/$M53,
IF($J53="Declining Balance",-$CP$38,0)))))</f>
        <v>0.27777936741040271</v>
      </c>
      <c r="CY53" s="1499">
        <f t="shared" ref="CY53:CY84" ca="1" si="85">IF($M53=0,0,
IF($M53&lt;=0.5,CN53,
IF(AND($J53="straight line",$M53&lt;1.51),(CM53-((CM53/$M53)*0.5))+CN53/$M53*0.5,
IF($J53="straight line",
IF((LEFT(CY$39,4)*1)-INT($M53)&lt;LEFT($CP$39,4)*1,0,((OFFSET(CN53,0,-INT($M53+0.5),1,1))/$M53)*(IF($M53-INT($M53)&gt;0.5,$M53-0.5-INT($M53),IF($M53-INT($M53)&lt;=0.5,$M53-0.5-INT($M53)+1,0))))
+CN53/$M53*0.5
+SUM(OFFSET(CN53,0,MAX(-INT($M53+(0.5-(10^-12))),-CY$40)+1,1,MIN(INT($M53+(0.5-(10^-12))),CY$40)-1))*1/$M53,
IF($J53="Declining Balance",-$CP$38,0)))))</f>
        <v>0.31088798695006981</v>
      </c>
    </row>
    <row r="54" spans="2:103" x14ac:dyDescent="0.3">
      <c r="B54" s="397"/>
      <c r="C54" s="1294" t="s">
        <v>1104</v>
      </c>
      <c r="D54" s="1295"/>
      <c r="E54" s="2097" t="s">
        <v>21</v>
      </c>
      <c r="F54" s="2097" t="s">
        <v>512</v>
      </c>
      <c r="G54" s="1294" t="s">
        <v>10</v>
      </c>
      <c r="H54" s="2364" t="s">
        <v>516</v>
      </c>
      <c r="I54" s="2365"/>
      <c r="J54" s="1292" t="s">
        <v>279</v>
      </c>
      <c r="K54" s="1292" t="s">
        <v>296</v>
      </c>
      <c r="L54" s="1292">
        <v>20</v>
      </c>
      <c r="M54" s="1292">
        <v>20</v>
      </c>
      <c r="O54" s="376"/>
      <c r="P54" s="376"/>
      <c r="Q54" s="2337">
        <v>3.1335000000000002</v>
      </c>
      <c r="R54" s="2338">
        <v>2.9975000000000001</v>
      </c>
      <c r="S54" s="2338">
        <v>2.6335000000000002</v>
      </c>
      <c r="T54" s="2338">
        <v>3.2639999999999998</v>
      </c>
      <c r="U54" s="2339">
        <v>2.8730000000000002</v>
      </c>
      <c r="V54" s="2337">
        <v>4</v>
      </c>
      <c r="W54" s="2338">
        <v>4</v>
      </c>
      <c r="X54" s="2338">
        <v>4</v>
      </c>
      <c r="Y54" s="2338">
        <v>4</v>
      </c>
      <c r="Z54" s="2339">
        <v>4</v>
      </c>
      <c r="AA54" s="1132"/>
      <c r="AB54" s="1129"/>
      <c r="AC54" s="1130"/>
      <c r="AD54" s="1510"/>
      <c r="AE54" s="1130"/>
      <c r="AF54" s="1131"/>
      <c r="AG54" s="1129"/>
      <c r="AH54" s="1510"/>
      <c r="AI54" s="1130"/>
      <c r="AJ54" s="1130"/>
      <c r="AK54" s="1131"/>
      <c r="AL54" s="1132"/>
      <c r="AM54" s="1509"/>
      <c r="AN54" s="1130"/>
      <c r="AO54" s="1510"/>
      <c r="AP54" s="1510"/>
      <c r="AQ54" s="1131"/>
      <c r="AR54" s="1129"/>
      <c r="AS54" s="1130"/>
      <c r="AT54" s="1130"/>
      <c r="AU54" s="1130"/>
      <c r="AV54" s="1131"/>
      <c r="AW54" s="1133"/>
      <c r="AX54" s="1492">
        <f t="shared" si="56"/>
        <v>3.1335000000000002</v>
      </c>
      <c r="AY54" s="1490">
        <f t="shared" si="57"/>
        <v>2.9975000000000001</v>
      </c>
      <c r="AZ54" s="1490">
        <f t="shared" si="58"/>
        <v>2.6335000000000002</v>
      </c>
      <c r="BA54" s="1490">
        <f t="shared" si="59"/>
        <v>3.2639999999999998</v>
      </c>
      <c r="BB54" s="1491">
        <f t="shared" si="60"/>
        <v>2.8730000000000002</v>
      </c>
      <c r="BC54" s="1492">
        <f t="shared" si="61"/>
        <v>4</v>
      </c>
      <c r="BD54" s="1490">
        <f t="shared" si="62"/>
        <v>4</v>
      </c>
      <c r="BE54" s="1490">
        <f t="shared" si="63"/>
        <v>4</v>
      </c>
      <c r="BF54" s="1490">
        <f t="shared" si="64"/>
        <v>4</v>
      </c>
      <c r="BG54" s="1491">
        <f t="shared" si="65"/>
        <v>4</v>
      </c>
      <c r="BH54" s="1133"/>
      <c r="BI54" s="1492">
        <f t="shared" ca="1" si="66"/>
        <v>7.8337500000000004E-2</v>
      </c>
      <c r="BJ54" s="1490">
        <f t="shared" ca="1" si="67"/>
        <v>0.2316125</v>
      </c>
      <c r="BK54" s="1490">
        <f t="shared" ca="1" si="68"/>
        <v>0.37238749999999998</v>
      </c>
      <c r="BL54" s="1490">
        <f t="shared" ca="1" si="69"/>
        <v>0.51982499999999998</v>
      </c>
      <c r="BM54" s="1491">
        <f t="shared" ca="1" si="70"/>
        <v>0.67325000000000002</v>
      </c>
      <c r="BN54" s="1492">
        <f t="shared" ca="1" si="71"/>
        <v>0.84507499999999991</v>
      </c>
      <c r="BO54" s="1490">
        <f t="shared" ca="1" si="72"/>
        <v>1.045075</v>
      </c>
      <c r="BP54" s="1490">
        <f t="shared" ca="1" si="73"/>
        <v>1.2450749999999999</v>
      </c>
      <c r="BQ54" s="1490">
        <f t="shared" ca="1" si="74"/>
        <v>1.4450750000000001</v>
      </c>
      <c r="BR54" s="1491">
        <f t="shared" ca="1" si="75"/>
        <v>1.6450750000000001</v>
      </c>
      <c r="BS54" s="1133"/>
      <c r="BT54" s="1492">
        <f>+IF($K54="Ongoing",AX54,IF(RIGHT($K54,2)=RIGHT(BT$39,2),SUM($AX54:AX54),0)+IF(RIGHT(BT$39,2)&gt;RIGHT($K54,2),AX54,0))</f>
        <v>3.1335000000000002</v>
      </c>
      <c r="BU54" s="1490">
        <f>+IF($K54="Ongoing",AY54,IF(RIGHT($K54,2)=RIGHT(BU$39,2),SUM($AX54:AY54),0)+IF(RIGHT(BU$39,2)&gt;RIGHT($K54,2),AY54,0))</f>
        <v>2.9975000000000001</v>
      </c>
      <c r="BV54" s="1490">
        <f>+IF($K54="Ongoing",AZ54,IF(RIGHT($K54,2)=RIGHT(BV$39,2),SUM($AX54:AZ54),0)+IF(RIGHT(BV$39,2)&gt;RIGHT($K54,2),AZ54,0))</f>
        <v>2.6335000000000002</v>
      </c>
      <c r="BW54" s="1490">
        <f>+IF($K54="Ongoing",BA54,IF(RIGHT($K54,2)=RIGHT(BW$39,2),SUM($AX54:BA54),0)+IF(RIGHT(BW$39,2)&gt;RIGHT($K54,2),BA54,0))</f>
        <v>3.2639999999999998</v>
      </c>
      <c r="BX54" s="1491">
        <f>+IF($K54="Ongoing",BB54,IF(RIGHT($K54,2)=RIGHT(BX$39,2),SUM($AX54:BB54),0)+IF(RIGHT(BX$39,2)&gt;RIGHT($K54,2),BB54,0))</f>
        <v>2.8730000000000002</v>
      </c>
      <c r="BY54" s="1492">
        <f>+IF($K54="Ongoing",BC54,IF(RIGHT($K54,2)=RIGHT(BY$39,2),SUM($AX54:BC54),0)+IF(RIGHT(BY$39,2)&gt;RIGHT($K54,2),BC54,0))</f>
        <v>4</v>
      </c>
      <c r="BZ54" s="1490">
        <f>+IF($K54="Ongoing",BD54,IF(RIGHT($K54,2)=RIGHT(BZ$39,2),SUM($AX54:BD54),0)+IF(RIGHT(BZ$39,2)&gt;RIGHT($K54,2),BD54,0))</f>
        <v>4</v>
      </c>
      <c r="CA54" s="1490">
        <f>+IF($K54="Ongoing",BE54,IF(RIGHT($K54,2)=RIGHT(CA$39,2),SUM($AX54:BE54),0)+IF(RIGHT(CA$39,2)&gt;RIGHT($K54,2),BE54,0))</f>
        <v>4</v>
      </c>
      <c r="CB54" s="1490">
        <f>+IF($K54="Ongoing",BF54,IF(RIGHT($K54,2)=RIGHT(CB$39,2),SUM($AX54:BF54),0)+IF(RIGHT(CB$39,2)&gt;RIGHT($K54,2),BF54,0))</f>
        <v>4</v>
      </c>
      <c r="CC54" s="1491">
        <f>+IF($K54="Ongoing",BG54,IF(RIGHT($K54,2)=RIGHT(CC$39,2),SUM($AX54:BG54),0)+IF(RIGHT(CC$39,2)&gt;RIGHT($K54,2),BG54,0))</f>
        <v>4</v>
      </c>
      <c r="CD54" s="1133"/>
      <c r="CE54" s="1492">
        <f>+Q54*KeyAssumptionsPriceControl_FO!AC$15</f>
        <v>3.2275050000000003</v>
      </c>
      <c r="CF54" s="1490">
        <f>+R54*KeyAssumptionsPriceControl_FO!AD$15</f>
        <v>3.18004775</v>
      </c>
      <c r="CG54" s="1490">
        <f>+S54*KeyAssumptionsPriceControl_FO!AE$15</f>
        <v>2.8776965545000004</v>
      </c>
      <c r="CH54" s="1490">
        <f>+T54*KeyAssumptionsPriceControl_FO!AF$15</f>
        <v>3.6736607558400003</v>
      </c>
      <c r="CI54" s="1491">
        <f>+U54*KeyAssumptionsPriceControl_FO!AG$15</f>
        <v>3.3305944154639007</v>
      </c>
      <c r="CJ54" s="1492">
        <f>+V54*KeyAssumptionsPriceControl_FO!AH$15</f>
        <v>4.7762091861160005</v>
      </c>
      <c r="CK54" s="1490">
        <f>+W54*KeyAssumptionsPriceControl_FO!AI$15</f>
        <v>4.9194954616994808</v>
      </c>
      <c r="CL54" s="1490">
        <f>+X54*KeyAssumptionsPriceControl_FO!AJ$15</f>
        <v>5.0670803255504655</v>
      </c>
      <c r="CM54" s="1490">
        <f>+Y54*KeyAssumptionsPriceControl_FO!AK$15</f>
        <v>5.2190927353169796</v>
      </c>
      <c r="CN54" s="1491">
        <f>+Z54*KeyAssumptionsPriceControl_FO!AL$15</f>
        <v>5.3756655173764889</v>
      </c>
      <c r="CO54" s="1133"/>
      <c r="CP54" s="1492">
        <f t="shared" ca="1" si="76"/>
        <v>8.0687625000000013E-2</v>
      </c>
      <c r="CQ54" s="1490">
        <f t="shared" ca="1" si="77"/>
        <v>0.24087644375000003</v>
      </c>
      <c r="CR54" s="1490">
        <f t="shared" ca="1" si="78"/>
        <v>0.39232005136250003</v>
      </c>
      <c r="CS54" s="1490">
        <f t="shared" ca="1" si="79"/>
        <v>0.55610398412100004</v>
      </c>
      <c r="CT54" s="1491">
        <f t="shared" ca="1" si="80"/>
        <v>0.73121036340359757</v>
      </c>
      <c r="CU54" s="1492">
        <f t="shared" ca="1" si="81"/>
        <v>0.93388045344309512</v>
      </c>
      <c r="CV54" s="1490">
        <f t="shared" ca="1" si="82"/>
        <v>1.1762730696384822</v>
      </c>
      <c r="CW54" s="1490">
        <f t="shared" ca="1" si="83"/>
        <v>1.4259374643197307</v>
      </c>
      <c r="CX54" s="1490">
        <f t="shared" ca="1" si="84"/>
        <v>1.6830917908414169</v>
      </c>
      <c r="CY54" s="1491">
        <f t="shared" ca="1" si="85"/>
        <v>1.9479607471587537</v>
      </c>
    </row>
    <row r="55" spans="2:103" x14ac:dyDescent="0.3">
      <c r="B55" s="397"/>
      <c r="C55" s="1294" t="s">
        <v>1105</v>
      </c>
      <c r="D55" s="1295"/>
      <c r="E55" s="2097" t="s">
        <v>22</v>
      </c>
      <c r="F55" s="2097" t="s">
        <v>239</v>
      </c>
      <c r="G55" s="1294" t="s">
        <v>14</v>
      </c>
      <c r="H55" s="2364" t="s">
        <v>516</v>
      </c>
      <c r="I55" s="2365"/>
      <c r="J55" s="1292" t="s">
        <v>279</v>
      </c>
      <c r="K55" s="1292" t="s">
        <v>296</v>
      </c>
      <c r="L55" s="1292">
        <v>80</v>
      </c>
      <c r="M55" s="1292">
        <v>80</v>
      </c>
      <c r="O55" s="376"/>
      <c r="P55" s="376"/>
      <c r="Q55" s="2337">
        <v>1.8</v>
      </c>
      <c r="R55" s="2338">
        <v>1.9</v>
      </c>
      <c r="S55" s="2338">
        <v>2</v>
      </c>
      <c r="T55" s="2338">
        <v>2.1</v>
      </c>
      <c r="U55" s="2339">
        <v>2.2000000000000002</v>
      </c>
      <c r="V55" s="2337">
        <v>4.4000000000000004</v>
      </c>
      <c r="W55" s="2338">
        <v>4.4000000000000004</v>
      </c>
      <c r="X55" s="2338">
        <v>4.4000000000000004</v>
      </c>
      <c r="Y55" s="2338">
        <v>4.4000000000000004</v>
      </c>
      <c r="Z55" s="2339">
        <v>4.4000000000000004</v>
      </c>
      <c r="AA55" s="1132"/>
      <c r="AB55" s="1129"/>
      <c r="AC55" s="1130"/>
      <c r="AD55" s="1510"/>
      <c r="AE55" s="1510"/>
      <c r="AF55" s="1131"/>
      <c r="AG55" s="1129"/>
      <c r="AH55" s="1130"/>
      <c r="AI55" s="1130"/>
      <c r="AJ55" s="1130"/>
      <c r="AK55" s="1131"/>
      <c r="AL55" s="1132"/>
      <c r="AM55" s="1129"/>
      <c r="AN55" s="1130"/>
      <c r="AO55" s="1130"/>
      <c r="AP55" s="1510"/>
      <c r="AQ55" s="1131"/>
      <c r="AR55" s="1129"/>
      <c r="AS55" s="1130"/>
      <c r="AT55" s="1130"/>
      <c r="AU55" s="1510"/>
      <c r="AV55" s="1131"/>
      <c r="AW55" s="1133"/>
      <c r="AX55" s="1492">
        <f t="shared" si="56"/>
        <v>1.8</v>
      </c>
      <c r="AY55" s="1490">
        <f t="shared" si="57"/>
        <v>1.9</v>
      </c>
      <c r="AZ55" s="1490">
        <f t="shared" si="58"/>
        <v>2</v>
      </c>
      <c r="BA55" s="1490">
        <f t="shared" si="59"/>
        <v>2.1</v>
      </c>
      <c r="BB55" s="1491">
        <f t="shared" si="60"/>
        <v>2.2000000000000002</v>
      </c>
      <c r="BC55" s="1492">
        <f t="shared" si="61"/>
        <v>4.4000000000000004</v>
      </c>
      <c r="BD55" s="1490">
        <f t="shared" si="62"/>
        <v>4.4000000000000004</v>
      </c>
      <c r="BE55" s="1490">
        <f t="shared" si="63"/>
        <v>4.4000000000000004</v>
      </c>
      <c r="BF55" s="1490">
        <f t="shared" si="64"/>
        <v>4.4000000000000004</v>
      </c>
      <c r="BG55" s="1491">
        <f t="shared" si="65"/>
        <v>4.4000000000000004</v>
      </c>
      <c r="BH55" s="1133"/>
      <c r="BI55" s="1492">
        <f t="shared" ca="1" si="66"/>
        <v>1.125E-2</v>
      </c>
      <c r="BJ55" s="1490">
        <f t="shared" ca="1" si="67"/>
        <v>3.4375000000000003E-2</v>
      </c>
      <c r="BK55" s="1490">
        <f t="shared" ca="1" si="68"/>
        <v>5.8749999999999997E-2</v>
      </c>
      <c r="BL55" s="1490">
        <f t="shared" ca="1" si="69"/>
        <v>8.4375000000000006E-2</v>
      </c>
      <c r="BM55" s="1491">
        <f t="shared" ca="1" si="70"/>
        <v>0.11125</v>
      </c>
      <c r="BN55" s="1492">
        <f t="shared" ca="1" si="71"/>
        <v>0.1525</v>
      </c>
      <c r="BO55" s="1490">
        <f t="shared" ca="1" si="72"/>
        <v>0.20749999999999999</v>
      </c>
      <c r="BP55" s="1490">
        <f t="shared" ca="1" si="73"/>
        <v>0.26250000000000001</v>
      </c>
      <c r="BQ55" s="1490">
        <f t="shared" ca="1" si="74"/>
        <v>0.31750000000000006</v>
      </c>
      <c r="BR55" s="1491">
        <f t="shared" ca="1" si="75"/>
        <v>0.37250000000000005</v>
      </c>
      <c r="BS55" s="1133"/>
      <c r="BT55" s="1492">
        <f>+IF($K55="Ongoing",AX55,IF(RIGHT($K55,2)=RIGHT(BT$39,2),SUM($AX55:AX55),0)+IF(RIGHT(BT$39,2)&gt;RIGHT($K55,2),AX55,0))</f>
        <v>1.8</v>
      </c>
      <c r="BU55" s="1490">
        <f>+IF($K55="Ongoing",AY55,IF(RIGHT($K55,2)=RIGHT(BU$39,2),SUM($AX55:AY55),0)+IF(RIGHT(BU$39,2)&gt;RIGHT($K55,2),AY55,0))</f>
        <v>1.9</v>
      </c>
      <c r="BV55" s="1490">
        <f>+IF($K55="Ongoing",AZ55,IF(RIGHT($K55,2)=RIGHT(BV$39,2),SUM($AX55:AZ55),0)+IF(RIGHT(BV$39,2)&gt;RIGHT($K55,2),AZ55,0))</f>
        <v>2</v>
      </c>
      <c r="BW55" s="1490">
        <f>+IF($K55="Ongoing",BA55,IF(RIGHT($K55,2)=RIGHT(BW$39,2),SUM($AX55:BA55),0)+IF(RIGHT(BW$39,2)&gt;RIGHT($K55,2),BA55,0))</f>
        <v>2.1</v>
      </c>
      <c r="BX55" s="1491">
        <f>+IF($K55="Ongoing",BB55,IF(RIGHT($K55,2)=RIGHT(BX$39,2),SUM($AX55:BB55),0)+IF(RIGHT(BX$39,2)&gt;RIGHT($K55,2),BB55,0))</f>
        <v>2.2000000000000002</v>
      </c>
      <c r="BY55" s="1492">
        <f>+IF($K55="Ongoing",BC55,IF(RIGHT($K55,2)=RIGHT(BY$39,2),SUM($AX55:BC55),0)+IF(RIGHT(BY$39,2)&gt;RIGHT($K55,2),BC55,0))</f>
        <v>4.4000000000000004</v>
      </c>
      <c r="BZ55" s="1490">
        <f>+IF($K55="Ongoing",BD55,IF(RIGHT($K55,2)=RIGHT(BZ$39,2),SUM($AX55:BD55),0)+IF(RIGHT(BZ$39,2)&gt;RIGHT($K55,2),BD55,0))</f>
        <v>4.4000000000000004</v>
      </c>
      <c r="CA55" s="1490">
        <f>+IF($K55="Ongoing",BE55,IF(RIGHT($K55,2)=RIGHT(CA$39,2),SUM($AX55:BE55),0)+IF(RIGHT(CA$39,2)&gt;RIGHT($K55,2),BE55,0))</f>
        <v>4.4000000000000004</v>
      </c>
      <c r="CB55" s="1490">
        <f>+IF($K55="Ongoing",BF55,IF(RIGHT($K55,2)=RIGHT(CB$39,2),SUM($AX55:BF55),0)+IF(RIGHT(CB$39,2)&gt;RIGHT($K55,2),BF55,0))</f>
        <v>4.4000000000000004</v>
      </c>
      <c r="CC55" s="1491">
        <f>+IF($K55="Ongoing",BG55,IF(RIGHT($K55,2)=RIGHT(CC$39,2),SUM($AX55:BG55),0)+IF(RIGHT(CC$39,2)&gt;RIGHT($K55,2),BG55,0))</f>
        <v>4.4000000000000004</v>
      </c>
      <c r="CD55" s="1133"/>
      <c r="CE55" s="1492">
        <f>+Q55*KeyAssumptionsPriceControl_FO!AC$15</f>
        <v>1.8540000000000001</v>
      </c>
      <c r="CF55" s="1490">
        <f>+R55*KeyAssumptionsPriceControl_FO!AD$15</f>
        <v>2.0157099999999999</v>
      </c>
      <c r="CG55" s="1490">
        <f>+S55*KeyAssumptionsPriceControl_FO!AE$15</f>
        <v>2.185454</v>
      </c>
      <c r="CH55" s="1490">
        <f>+T55*KeyAssumptionsPriceControl_FO!AF$15</f>
        <v>2.3635685010000005</v>
      </c>
      <c r="CI55" s="1491">
        <f>+U55*KeyAssumptionsPriceControl_FO!AG$15</f>
        <v>2.5504029634600003</v>
      </c>
      <c r="CJ55" s="1492">
        <f>+V55*KeyAssumptionsPriceControl_FO!AH$15</f>
        <v>5.2538301047276006</v>
      </c>
      <c r="CK55" s="1490">
        <f>+W55*KeyAssumptionsPriceControl_FO!AI$15</f>
        <v>5.4114450078694292</v>
      </c>
      <c r="CL55" s="1490">
        <f>+X55*KeyAssumptionsPriceControl_FO!AJ$15</f>
        <v>5.5737883581055128</v>
      </c>
      <c r="CM55" s="1490">
        <f>+Y55*KeyAssumptionsPriceControl_FO!AK$15</f>
        <v>5.7410020088486782</v>
      </c>
      <c r="CN55" s="1491">
        <f>+Z55*KeyAssumptionsPriceControl_FO!AL$15</f>
        <v>5.9132320691141382</v>
      </c>
      <c r="CO55" s="1133"/>
      <c r="CP55" s="1492">
        <f t="shared" ca="1" si="76"/>
        <v>1.1587500000000001E-2</v>
      </c>
      <c r="CQ55" s="1490">
        <f t="shared" ca="1" si="77"/>
        <v>3.5773187499999998E-2</v>
      </c>
      <c r="CR55" s="1490">
        <f t="shared" ca="1" si="78"/>
        <v>6.2030462500000001E-2</v>
      </c>
      <c r="CS55" s="1490">
        <f t="shared" ca="1" si="79"/>
        <v>9.0461853131249992E-2</v>
      </c>
      <c r="CT55" s="1491">
        <f t="shared" ca="1" si="80"/>
        <v>0.12117417478412501</v>
      </c>
      <c r="CU55" s="1492">
        <f t="shared" ca="1" si="81"/>
        <v>0.16995063146029751</v>
      </c>
      <c r="CV55" s="1490">
        <f t="shared" ca="1" si="82"/>
        <v>0.23660860091402891</v>
      </c>
      <c r="CW55" s="1490">
        <f t="shared" ca="1" si="83"/>
        <v>0.30526630945137234</v>
      </c>
      <c r="CX55" s="1490">
        <f t="shared" ca="1" si="84"/>
        <v>0.37598374924483602</v>
      </c>
      <c r="CY55" s="1491">
        <f t="shared" ca="1" si="85"/>
        <v>0.44882271223210368</v>
      </c>
    </row>
    <row r="56" spans="2:103" x14ac:dyDescent="0.3">
      <c r="B56" s="397"/>
      <c r="C56" s="1294" t="s">
        <v>1106</v>
      </c>
      <c r="D56" s="1295"/>
      <c r="E56" s="2097" t="s">
        <v>21</v>
      </c>
      <c r="F56" s="2097" t="s">
        <v>239</v>
      </c>
      <c r="G56" s="1294" t="s">
        <v>14</v>
      </c>
      <c r="H56" s="2364" t="s">
        <v>516</v>
      </c>
      <c r="I56" s="2365"/>
      <c r="J56" s="1292" t="s">
        <v>279</v>
      </c>
      <c r="K56" s="1292" t="s">
        <v>296</v>
      </c>
      <c r="L56" s="1292">
        <v>80</v>
      </c>
      <c r="M56" s="1292">
        <v>80</v>
      </c>
      <c r="O56" s="376"/>
      <c r="P56" s="376"/>
      <c r="Q56" s="2337">
        <v>0.75</v>
      </c>
      <c r="R56" s="2338">
        <v>1.75</v>
      </c>
      <c r="S56" s="2338">
        <v>2</v>
      </c>
      <c r="T56" s="2338">
        <v>2.5</v>
      </c>
      <c r="U56" s="2339">
        <v>2.9</v>
      </c>
      <c r="V56" s="2337">
        <v>3</v>
      </c>
      <c r="W56" s="2338">
        <v>3</v>
      </c>
      <c r="X56" s="2338">
        <v>3</v>
      </c>
      <c r="Y56" s="2338">
        <v>3</v>
      </c>
      <c r="Z56" s="2339">
        <v>3</v>
      </c>
      <c r="AA56" s="1132"/>
      <c r="AB56" s="1129"/>
      <c r="AC56" s="1130"/>
      <c r="AD56" s="1510"/>
      <c r="AE56" s="1510"/>
      <c r="AF56" s="1131"/>
      <c r="AG56" s="1129"/>
      <c r="AH56" s="1130"/>
      <c r="AI56" s="1130"/>
      <c r="AJ56" s="1130"/>
      <c r="AK56" s="1131"/>
      <c r="AL56" s="1132"/>
      <c r="AM56" s="1129"/>
      <c r="AN56" s="1130"/>
      <c r="AO56" s="1130"/>
      <c r="AP56" s="1510"/>
      <c r="AQ56" s="1131"/>
      <c r="AR56" s="1129"/>
      <c r="AS56" s="1130"/>
      <c r="AT56" s="1130"/>
      <c r="AU56" s="1510"/>
      <c r="AV56" s="1131"/>
      <c r="AW56" s="1133"/>
      <c r="AX56" s="1492">
        <f t="shared" si="56"/>
        <v>0.75</v>
      </c>
      <c r="AY56" s="1490">
        <f t="shared" si="57"/>
        <v>1.75</v>
      </c>
      <c r="AZ56" s="1490">
        <f t="shared" si="58"/>
        <v>2</v>
      </c>
      <c r="BA56" s="1490">
        <f t="shared" si="59"/>
        <v>2.5</v>
      </c>
      <c r="BB56" s="1491">
        <f t="shared" si="60"/>
        <v>2.9</v>
      </c>
      <c r="BC56" s="1492">
        <f t="shared" si="61"/>
        <v>3</v>
      </c>
      <c r="BD56" s="1490">
        <f t="shared" si="62"/>
        <v>3</v>
      </c>
      <c r="BE56" s="1490">
        <f t="shared" si="63"/>
        <v>3</v>
      </c>
      <c r="BF56" s="1490">
        <f t="shared" si="64"/>
        <v>3</v>
      </c>
      <c r="BG56" s="1491">
        <f t="shared" si="65"/>
        <v>3</v>
      </c>
      <c r="BH56" s="1133"/>
      <c r="BI56" s="1492">
        <f t="shared" ca="1" si="66"/>
        <v>4.6874999999999998E-3</v>
      </c>
      <c r="BJ56" s="1490">
        <f t="shared" ca="1" si="67"/>
        <v>2.0312499999999997E-2</v>
      </c>
      <c r="BK56" s="1490">
        <f t="shared" ca="1" si="68"/>
        <v>4.3749999999999997E-2</v>
      </c>
      <c r="BL56" s="1490">
        <f t="shared" ca="1" si="69"/>
        <v>7.1874999999999994E-2</v>
      </c>
      <c r="BM56" s="1491">
        <f t="shared" ca="1" si="70"/>
        <v>0.105625</v>
      </c>
      <c r="BN56" s="1492">
        <f t="shared" ca="1" si="71"/>
        <v>0.14249999999999999</v>
      </c>
      <c r="BO56" s="1490">
        <f t="shared" ca="1" si="72"/>
        <v>0.18</v>
      </c>
      <c r="BP56" s="1490">
        <f t="shared" ca="1" si="73"/>
        <v>0.2175</v>
      </c>
      <c r="BQ56" s="1490">
        <f t="shared" ca="1" si="74"/>
        <v>0.255</v>
      </c>
      <c r="BR56" s="1491">
        <f t="shared" ca="1" si="75"/>
        <v>0.29249999999999998</v>
      </c>
      <c r="BS56" s="1133"/>
      <c r="BT56" s="1492">
        <f>+IF($K56="Ongoing",AX56,IF(RIGHT($K56,2)=RIGHT(BT$39,2),SUM($AX56:AX56),0)+IF(RIGHT(BT$39,2)&gt;RIGHT($K56,2),AX56,0))</f>
        <v>0.75</v>
      </c>
      <c r="BU56" s="1490">
        <f>+IF($K56="Ongoing",AY56,IF(RIGHT($K56,2)=RIGHT(BU$39,2),SUM($AX56:AY56),0)+IF(RIGHT(BU$39,2)&gt;RIGHT($K56,2),AY56,0))</f>
        <v>1.75</v>
      </c>
      <c r="BV56" s="1490">
        <f>+IF($K56="Ongoing",AZ56,IF(RIGHT($K56,2)=RIGHT(BV$39,2),SUM($AX56:AZ56),0)+IF(RIGHT(BV$39,2)&gt;RIGHT($K56,2),AZ56,0))</f>
        <v>2</v>
      </c>
      <c r="BW56" s="1490">
        <f>+IF($K56="Ongoing",BA56,IF(RIGHT($K56,2)=RIGHT(BW$39,2),SUM($AX56:BA56),0)+IF(RIGHT(BW$39,2)&gt;RIGHT($K56,2),BA56,0))</f>
        <v>2.5</v>
      </c>
      <c r="BX56" s="1491">
        <f>+IF($K56="Ongoing",BB56,IF(RIGHT($K56,2)=RIGHT(BX$39,2),SUM($AX56:BB56),0)+IF(RIGHT(BX$39,2)&gt;RIGHT($K56,2),BB56,0))</f>
        <v>2.9</v>
      </c>
      <c r="BY56" s="1492">
        <f>+IF($K56="Ongoing",BC56,IF(RIGHT($K56,2)=RIGHT(BY$39,2),SUM($AX56:BC56),0)+IF(RIGHT(BY$39,2)&gt;RIGHT($K56,2),BC56,0))</f>
        <v>3</v>
      </c>
      <c r="BZ56" s="1490">
        <f>+IF($K56="Ongoing",BD56,IF(RIGHT($K56,2)=RIGHT(BZ$39,2),SUM($AX56:BD56),0)+IF(RIGHT(BZ$39,2)&gt;RIGHT($K56,2),BD56,0))</f>
        <v>3</v>
      </c>
      <c r="CA56" s="1490">
        <f>+IF($K56="Ongoing",BE56,IF(RIGHT($K56,2)=RIGHT(CA$39,2),SUM($AX56:BE56),0)+IF(RIGHT(CA$39,2)&gt;RIGHT($K56,2),BE56,0))</f>
        <v>3</v>
      </c>
      <c r="CB56" s="1490">
        <f>+IF($K56="Ongoing",BF56,IF(RIGHT($K56,2)=RIGHT(CB$39,2),SUM($AX56:BF56),0)+IF(RIGHT(CB$39,2)&gt;RIGHT($K56,2),BF56,0))</f>
        <v>3</v>
      </c>
      <c r="CC56" s="1491">
        <f>+IF($K56="Ongoing",BG56,IF(RIGHT($K56,2)=RIGHT(CC$39,2),SUM($AX56:BG56),0)+IF(RIGHT(CC$39,2)&gt;RIGHT($K56,2),BG56,0))</f>
        <v>3</v>
      </c>
      <c r="CD56" s="1133"/>
      <c r="CE56" s="1492">
        <f>+Q56*KeyAssumptionsPriceControl_FO!AC$15</f>
        <v>0.77249999999999996</v>
      </c>
      <c r="CF56" s="1490">
        <f>+R56*KeyAssumptionsPriceControl_FO!AD$15</f>
        <v>1.8565749999999999</v>
      </c>
      <c r="CG56" s="1490">
        <f>+S56*KeyAssumptionsPriceControl_FO!AE$15</f>
        <v>2.185454</v>
      </c>
      <c r="CH56" s="1490">
        <f>+T56*KeyAssumptionsPriceControl_FO!AF$15</f>
        <v>2.8137720250000005</v>
      </c>
      <c r="CI56" s="1491">
        <f>+U56*KeyAssumptionsPriceControl_FO!AG$15</f>
        <v>3.3618948154699999</v>
      </c>
      <c r="CJ56" s="1492">
        <f>+V56*KeyAssumptionsPriceControl_FO!AH$15</f>
        <v>3.5821568895870004</v>
      </c>
      <c r="CK56" s="1490">
        <f>+W56*KeyAssumptionsPriceControl_FO!AI$15</f>
        <v>3.6896215962746108</v>
      </c>
      <c r="CL56" s="1490">
        <f>+X56*KeyAssumptionsPriceControl_FO!AJ$15</f>
        <v>3.8003102441628491</v>
      </c>
      <c r="CM56" s="1490">
        <f>+Y56*KeyAssumptionsPriceControl_FO!AK$15</f>
        <v>3.9143195514877345</v>
      </c>
      <c r="CN56" s="1491">
        <f>+Z56*KeyAssumptionsPriceControl_FO!AL$15</f>
        <v>4.0317491380323665</v>
      </c>
      <c r="CO56" s="1133"/>
      <c r="CP56" s="1492">
        <f t="shared" ca="1" si="76"/>
        <v>4.828125E-3</v>
      </c>
      <c r="CQ56" s="1490">
        <f t="shared" ca="1" si="77"/>
        <v>2.125984375E-2</v>
      </c>
      <c r="CR56" s="1490">
        <f t="shared" ca="1" si="78"/>
        <v>4.6522524999999995E-2</v>
      </c>
      <c r="CS56" s="1490">
        <f t="shared" ca="1" si="79"/>
        <v>7.7767687656250001E-2</v>
      </c>
      <c r="CT56" s="1491">
        <f t="shared" ca="1" si="80"/>
        <v>0.1163656054091875</v>
      </c>
      <c r="CU56" s="1492">
        <f t="shared" ca="1" si="81"/>
        <v>0.15976592856579375</v>
      </c>
      <c r="CV56" s="1490">
        <f t="shared" ca="1" si="82"/>
        <v>0.20521454410242884</v>
      </c>
      <c r="CW56" s="1490">
        <f t="shared" ca="1" si="83"/>
        <v>0.25202661810516297</v>
      </c>
      <c r="CX56" s="1490">
        <f t="shared" ca="1" si="84"/>
        <v>0.30024305432797904</v>
      </c>
      <c r="CY56" s="1491">
        <f t="shared" ca="1" si="85"/>
        <v>0.34990598363747966</v>
      </c>
    </row>
    <row r="57" spans="2:103" x14ac:dyDescent="0.3">
      <c r="B57" s="397"/>
      <c r="C57" s="1294" t="s">
        <v>1107</v>
      </c>
      <c r="D57" s="1295"/>
      <c r="E57" s="2097" t="s">
        <v>22</v>
      </c>
      <c r="F57" s="2097" t="s">
        <v>239</v>
      </c>
      <c r="G57" s="1294" t="s">
        <v>14</v>
      </c>
      <c r="H57" s="2364" t="s">
        <v>516</v>
      </c>
      <c r="I57" s="2365"/>
      <c r="J57" s="1292" t="s">
        <v>279</v>
      </c>
      <c r="K57" s="1292" t="s">
        <v>296</v>
      </c>
      <c r="L57" s="1292">
        <v>80</v>
      </c>
      <c r="M57" s="1292">
        <v>80</v>
      </c>
      <c r="O57" s="376"/>
      <c r="P57" s="376"/>
      <c r="Q57" s="2337">
        <v>1.6</v>
      </c>
      <c r="R57" s="2338">
        <v>1.7</v>
      </c>
      <c r="S57" s="2338">
        <v>1.8</v>
      </c>
      <c r="T57" s="2338">
        <v>1.9</v>
      </c>
      <c r="U57" s="2339">
        <v>2</v>
      </c>
      <c r="V57" s="2337">
        <v>2.2000000000000002</v>
      </c>
      <c r="W57" s="2338">
        <v>2.2000000000000002</v>
      </c>
      <c r="X57" s="2338">
        <v>2.2000000000000002</v>
      </c>
      <c r="Y57" s="2338">
        <v>2.2000000000000002</v>
      </c>
      <c r="Z57" s="2339">
        <v>2.2000000000000002</v>
      </c>
      <c r="AA57" s="1132"/>
      <c r="AB57" s="1129"/>
      <c r="AC57" s="1130"/>
      <c r="AD57" s="1510"/>
      <c r="AE57" s="1510"/>
      <c r="AF57" s="1131"/>
      <c r="AG57" s="1129"/>
      <c r="AH57" s="1130"/>
      <c r="AI57" s="1130"/>
      <c r="AJ57" s="1130"/>
      <c r="AK57" s="1131"/>
      <c r="AL57" s="1132"/>
      <c r="AM57" s="1129"/>
      <c r="AN57" s="1130"/>
      <c r="AO57" s="1130"/>
      <c r="AP57" s="1510"/>
      <c r="AQ57" s="1131"/>
      <c r="AR57" s="1129"/>
      <c r="AS57" s="1130"/>
      <c r="AT57" s="1130"/>
      <c r="AU57" s="1510"/>
      <c r="AV57" s="1131"/>
      <c r="AW57" s="1133"/>
      <c r="AX57" s="1492">
        <f t="shared" si="56"/>
        <v>1.6</v>
      </c>
      <c r="AY57" s="1490">
        <f t="shared" si="57"/>
        <v>1.7</v>
      </c>
      <c r="AZ57" s="1490">
        <f t="shared" si="58"/>
        <v>1.8</v>
      </c>
      <c r="BA57" s="1490">
        <f t="shared" si="59"/>
        <v>1.9</v>
      </c>
      <c r="BB57" s="1491">
        <f t="shared" si="60"/>
        <v>2</v>
      </c>
      <c r="BC57" s="1492">
        <f t="shared" si="61"/>
        <v>2.2000000000000002</v>
      </c>
      <c r="BD57" s="1490">
        <f t="shared" si="62"/>
        <v>2.2000000000000002</v>
      </c>
      <c r="BE57" s="1490">
        <f t="shared" si="63"/>
        <v>2.2000000000000002</v>
      </c>
      <c r="BF57" s="1490">
        <f t="shared" si="64"/>
        <v>2.2000000000000002</v>
      </c>
      <c r="BG57" s="1491">
        <f t="shared" si="65"/>
        <v>2.2000000000000002</v>
      </c>
      <c r="BH57" s="1133"/>
      <c r="BI57" s="1492">
        <f t="shared" ca="1" si="66"/>
        <v>0.01</v>
      </c>
      <c r="BJ57" s="1490">
        <f t="shared" ca="1" si="67"/>
        <v>3.0624999999999999E-2</v>
      </c>
      <c r="BK57" s="1490">
        <f t="shared" ca="1" si="68"/>
        <v>5.2499999999999991E-2</v>
      </c>
      <c r="BL57" s="1490">
        <f t="shared" ca="1" si="69"/>
        <v>7.5624999999999998E-2</v>
      </c>
      <c r="BM57" s="1491">
        <f t="shared" ca="1" si="70"/>
        <v>9.9999999999999992E-2</v>
      </c>
      <c r="BN57" s="1492">
        <f t="shared" ca="1" si="71"/>
        <v>0.12625</v>
      </c>
      <c r="BO57" s="1490">
        <f t="shared" ca="1" si="72"/>
        <v>0.15375</v>
      </c>
      <c r="BP57" s="1490">
        <f t="shared" ca="1" si="73"/>
        <v>0.18124999999999999</v>
      </c>
      <c r="BQ57" s="1490">
        <f t="shared" ca="1" si="74"/>
        <v>0.20874999999999999</v>
      </c>
      <c r="BR57" s="1491">
        <f t="shared" ca="1" si="75"/>
        <v>0.23624999999999999</v>
      </c>
      <c r="BS57" s="1133"/>
      <c r="BT57" s="1492">
        <f>+IF($K57="Ongoing",AX57,IF(RIGHT($K57,2)=RIGHT(BT$39,2),SUM($AX57:AX57),0)+IF(RIGHT(BT$39,2)&gt;RIGHT($K57,2),AX57,0))</f>
        <v>1.6</v>
      </c>
      <c r="BU57" s="1490">
        <f>+IF($K57="Ongoing",AY57,IF(RIGHT($K57,2)=RIGHT(BU$39,2),SUM($AX57:AY57),0)+IF(RIGHT(BU$39,2)&gt;RIGHT($K57,2),AY57,0))</f>
        <v>1.7</v>
      </c>
      <c r="BV57" s="1490">
        <f>+IF($K57="Ongoing",AZ57,IF(RIGHT($K57,2)=RIGHT(BV$39,2),SUM($AX57:AZ57),0)+IF(RIGHT(BV$39,2)&gt;RIGHT($K57,2),AZ57,0))</f>
        <v>1.8</v>
      </c>
      <c r="BW57" s="1490">
        <f>+IF($K57="Ongoing",BA57,IF(RIGHT($K57,2)=RIGHT(BW$39,2),SUM($AX57:BA57),0)+IF(RIGHT(BW$39,2)&gt;RIGHT($K57,2),BA57,0))</f>
        <v>1.9</v>
      </c>
      <c r="BX57" s="1491">
        <f>+IF($K57="Ongoing",BB57,IF(RIGHT($K57,2)=RIGHT(BX$39,2),SUM($AX57:BB57),0)+IF(RIGHT(BX$39,2)&gt;RIGHT($K57,2),BB57,0))</f>
        <v>2</v>
      </c>
      <c r="BY57" s="1492">
        <f>+IF($K57="Ongoing",BC57,IF(RIGHT($K57,2)=RIGHT(BY$39,2),SUM($AX57:BC57),0)+IF(RIGHT(BY$39,2)&gt;RIGHT($K57,2),BC57,0))</f>
        <v>2.2000000000000002</v>
      </c>
      <c r="BZ57" s="1490">
        <f>+IF($K57="Ongoing",BD57,IF(RIGHT($K57,2)=RIGHT(BZ$39,2),SUM($AX57:BD57),0)+IF(RIGHT(BZ$39,2)&gt;RIGHT($K57,2),BD57,0))</f>
        <v>2.2000000000000002</v>
      </c>
      <c r="CA57" s="1490">
        <f>+IF($K57="Ongoing",BE57,IF(RIGHT($K57,2)=RIGHT(CA$39,2),SUM($AX57:BE57),0)+IF(RIGHT(CA$39,2)&gt;RIGHT($K57,2),BE57,0))</f>
        <v>2.2000000000000002</v>
      </c>
      <c r="CB57" s="1490">
        <f>+IF($K57="Ongoing",BF57,IF(RIGHT($K57,2)=RIGHT(CB$39,2),SUM($AX57:BF57),0)+IF(RIGHT(CB$39,2)&gt;RIGHT($K57,2),BF57,0))</f>
        <v>2.2000000000000002</v>
      </c>
      <c r="CC57" s="1491">
        <f>+IF($K57="Ongoing",BG57,IF(RIGHT($K57,2)=RIGHT(CC$39,2),SUM($AX57:BG57),0)+IF(RIGHT(CC$39,2)&gt;RIGHT($K57,2),BG57,0))</f>
        <v>2.2000000000000002</v>
      </c>
      <c r="CD57" s="1133"/>
      <c r="CE57" s="1492">
        <f>+Q57*KeyAssumptionsPriceControl_FO!AC$15</f>
        <v>1.6480000000000001</v>
      </c>
      <c r="CF57" s="1490">
        <f>+R57*KeyAssumptionsPriceControl_FO!AD$15</f>
        <v>1.8035299999999999</v>
      </c>
      <c r="CG57" s="1490">
        <f>+S57*KeyAssumptionsPriceControl_FO!AE$15</f>
        <v>1.9669086</v>
      </c>
      <c r="CH57" s="1490">
        <f>+T57*KeyAssumptionsPriceControl_FO!AF$15</f>
        <v>2.1384667390000001</v>
      </c>
      <c r="CI57" s="1491">
        <f>+U57*KeyAssumptionsPriceControl_FO!AG$15</f>
        <v>2.3185481486000001</v>
      </c>
      <c r="CJ57" s="1492">
        <f>+V57*KeyAssumptionsPriceControl_FO!AH$15</f>
        <v>2.6269150523638003</v>
      </c>
      <c r="CK57" s="1490">
        <f>+W57*KeyAssumptionsPriceControl_FO!AI$15</f>
        <v>2.7057225039347146</v>
      </c>
      <c r="CL57" s="1490">
        <f>+X57*KeyAssumptionsPriceControl_FO!AJ$15</f>
        <v>2.7868941790527564</v>
      </c>
      <c r="CM57" s="1490">
        <f>+Y57*KeyAssumptionsPriceControl_FO!AK$15</f>
        <v>2.8705010044243391</v>
      </c>
      <c r="CN57" s="1491">
        <f>+Z57*KeyAssumptionsPriceControl_FO!AL$15</f>
        <v>2.9566160345570691</v>
      </c>
      <c r="CO57" s="1133"/>
      <c r="CP57" s="1492">
        <f t="shared" ca="1" si="76"/>
        <v>1.03E-2</v>
      </c>
      <c r="CQ57" s="1490">
        <f t="shared" ca="1" si="77"/>
        <v>3.1872062499999999E-2</v>
      </c>
      <c r="CR57" s="1490">
        <f t="shared" ca="1" si="78"/>
        <v>5.543730375E-2</v>
      </c>
      <c r="CS57" s="1490">
        <f t="shared" ca="1" si="79"/>
        <v>8.1095899618749995E-2</v>
      </c>
      <c r="CT57" s="1491">
        <f t="shared" ca="1" si="80"/>
        <v>0.10895224266624999</v>
      </c>
      <c r="CU57" s="1492">
        <f t="shared" ca="1" si="81"/>
        <v>0.13986138767227374</v>
      </c>
      <c r="CV57" s="1490">
        <f t="shared" ca="1" si="82"/>
        <v>0.17319037239913945</v>
      </c>
      <c r="CW57" s="1490">
        <f t="shared" ca="1" si="83"/>
        <v>0.20751922666781117</v>
      </c>
      <c r="CX57" s="1490">
        <f t="shared" ca="1" si="84"/>
        <v>0.24287794656454301</v>
      </c>
      <c r="CY57" s="1491">
        <f t="shared" ca="1" si="85"/>
        <v>0.27929742805817681</v>
      </c>
    </row>
    <row r="58" spans="2:103" x14ac:dyDescent="0.3">
      <c r="B58" s="397"/>
      <c r="C58" s="1294" t="s">
        <v>1108</v>
      </c>
      <c r="D58" s="1295"/>
      <c r="E58" s="2097" t="s">
        <v>22</v>
      </c>
      <c r="F58" s="2097" t="s">
        <v>512</v>
      </c>
      <c r="G58" s="1294" t="s">
        <v>6</v>
      </c>
      <c r="H58" s="2349" t="s">
        <v>516</v>
      </c>
      <c r="I58" s="2350"/>
      <c r="J58" s="1292" t="s">
        <v>279</v>
      </c>
      <c r="K58" s="1292" t="s">
        <v>296</v>
      </c>
      <c r="L58" s="1292">
        <v>60</v>
      </c>
      <c r="M58" s="1292">
        <v>60</v>
      </c>
      <c r="O58" s="376"/>
      <c r="P58" s="376"/>
      <c r="Q58" s="2337">
        <v>0.9</v>
      </c>
      <c r="R58" s="2338">
        <v>0.83</v>
      </c>
      <c r="S58" s="2338">
        <v>0.70499999999999996</v>
      </c>
      <c r="T58" s="2338">
        <v>1.9450000000000001</v>
      </c>
      <c r="U58" s="2339">
        <v>1.34</v>
      </c>
      <c r="V58" s="2337">
        <v>2.56</v>
      </c>
      <c r="W58" s="2338">
        <v>4.1399999999999997</v>
      </c>
      <c r="X58" s="2338">
        <v>1.99</v>
      </c>
      <c r="Y58" s="2338">
        <v>3.54</v>
      </c>
      <c r="Z58" s="2339">
        <v>3.9550000000000001</v>
      </c>
      <c r="AA58" s="1132"/>
      <c r="AB58" s="1129"/>
      <c r="AC58" s="1130"/>
      <c r="AD58" s="1510"/>
      <c r="AE58" s="1510"/>
      <c r="AF58" s="1131"/>
      <c r="AG58" s="1129"/>
      <c r="AH58" s="1130"/>
      <c r="AI58" s="1130"/>
      <c r="AJ58" s="1130"/>
      <c r="AK58" s="1131"/>
      <c r="AL58" s="1132"/>
      <c r="AM58" s="1129"/>
      <c r="AN58" s="1130"/>
      <c r="AO58" s="1130"/>
      <c r="AP58" s="1510"/>
      <c r="AQ58" s="1131"/>
      <c r="AR58" s="1129"/>
      <c r="AS58" s="1130"/>
      <c r="AT58" s="1130"/>
      <c r="AU58" s="1510"/>
      <c r="AV58" s="1131"/>
      <c r="AW58" s="1133"/>
      <c r="AX58" s="1492">
        <f t="shared" si="56"/>
        <v>0.9</v>
      </c>
      <c r="AY58" s="1490">
        <f t="shared" si="57"/>
        <v>0.83</v>
      </c>
      <c r="AZ58" s="1490">
        <f t="shared" si="58"/>
        <v>0.70499999999999996</v>
      </c>
      <c r="BA58" s="1490">
        <f t="shared" si="59"/>
        <v>1.9450000000000001</v>
      </c>
      <c r="BB58" s="1491">
        <f t="shared" si="60"/>
        <v>1.34</v>
      </c>
      <c r="BC58" s="1492">
        <f t="shared" si="61"/>
        <v>2.56</v>
      </c>
      <c r="BD58" s="1490">
        <f t="shared" si="62"/>
        <v>4.1399999999999997</v>
      </c>
      <c r="BE58" s="1490">
        <f t="shared" si="63"/>
        <v>1.99</v>
      </c>
      <c r="BF58" s="1490">
        <f t="shared" si="64"/>
        <v>3.54</v>
      </c>
      <c r="BG58" s="1491">
        <f t="shared" si="65"/>
        <v>3.9550000000000001</v>
      </c>
      <c r="BH58" s="1133"/>
      <c r="BI58" s="1492">
        <f t="shared" ca="1" si="66"/>
        <v>7.5000000000000006E-3</v>
      </c>
      <c r="BJ58" s="1490">
        <f t="shared" ca="1" si="67"/>
        <v>2.1916666666666668E-2</v>
      </c>
      <c r="BK58" s="1490">
        <f t="shared" ca="1" si="68"/>
        <v>3.4708333333333334E-2</v>
      </c>
      <c r="BL58" s="1490">
        <f t="shared" ca="1" si="69"/>
        <v>5.6791666666666671E-2</v>
      </c>
      <c r="BM58" s="1491">
        <f t="shared" ca="1" si="70"/>
        <v>8.4166666666666667E-2</v>
      </c>
      <c r="BN58" s="1492">
        <f t="shared" ca="1" si="71"/>
        <v>0.11666666666666665</v>
      </c>
      <c r="BO58" s="1490">
        <f t="shared" ca="1" si="72"/>
        <v>0.17249999999999999</v>
      </c>
      <c r="BP58" s="1490">
        <f t="shared" ca="1" si="73"/>
        <v>0.2235833333333333</v>
      </c>
      <c r="BQ58" s="1490">
        <f t="shared" ca="1" si="74"/>
        <v>0.26966666666666667</v>
      </c>
      <c r="BR58" s="1491">
        <f t="shared" ca="1" si="75"/>
        <v>0.33212499999999995</v>
      </c>
      <c r="BS58" s="1133"/>
      <c r="BT58" s="1492">
        <f>+IF($K58="Ongoing",AX58,IF(RIGHT($K58,2)=RIGHT(BT$39,2),SUM($AX58:AX58),0)+IF(RIGHT(BT$39,2)&gt;RIGHT($K58,2),AX58,0))</f>
        <v>0.9</v>
      </c>
      <c r="BU58" s="1490">
        <f>+IF($K58="Ongoing",AY58,IF(RIGHT($K58,2)=RIGHT(BU$39,2),SUM($AX58:AY58),0)+IF(RIGHT(BU$39,2)&gt;RIGHT($K58,2),AY58,0))</f>
        <v>0.83</v>
      </c>
      <c r="BV58" s="1490">
        <f>+IF($K58="Ongoing",AZ58,IF(RIGHT($K58,2)=RIGHT(BV$39,2),SUM($AX58:AZ58),0)+IF(RIGHT(BV$39,2)&gt;RIGHT($K58,2),AZ58,0))</f>
        <v>0.70499999999999996</v>
      </c>
      <c r="BW58" s="1490">
        <f>+IF($K58="Ongoing",BA58,IF(RIGHT($K58,2)=RIGHT(BW$39,2),SUM($AX58:BA58),0)+IF(RIGHT(BW$39,2)&gt;RIGHT($K58,2),BA58,0))</f>
        <v>1.9450000000000001</v>
      </c>
      <c r="BX58" s="1491">
        <f>+IF($K58="Ongoing",BB58,IF(RIGHT($K58,2)=RIGHT(BX$39,2),SUM($AX58:BB58),0)+IF(RIGHT(BX$39,2)&gt;RIGHT($K58,2),BB58,0))</f>
        <v>1.34</v>
      </c>
      <c r="BY58" s="1492">
        <f>+IF($K58="Ongoing",BC58,IF(RIGHT($K58,2)=RIGHT(BY$39,2),SUM($AX58:BC58),0)+IF(RIGHT(BY$39,2)&gt;RIGHT($K58,2),BC58,0))</f>
        <v>2.56</v>
      </c>
      <c r="BZ58" s="1490">
        <f>+IF($K58="Ongoing",BD58,IF(RIGHT($K58,2)=RIGHT(BZ$39,2),SUM($AX58:BD58),0)+IF(RIGHT(BZ$39,2)&gt;RIGHT($K58,2),BD58,0))</f>
        <v>4.1399999999999997</v>
      </c>
      <c r="CA58" s="1490">
        <f>+IF($K58="Ongoing",BE58,IF(RIGHT($K58,2)=RIGHT(CA$39,2),SUM($AX58:BE58),0)+IF(RIGHT(CA$39,2)&gt;RIGHT($K58,2),BE58,0))</f>
        <v>1.99</v>
      </c>
      <c r="CB58" s="1490">
        <f>+IF($K58="Ongoing",BF58,IF(RIGHT($K58,2)=RIGHT(CB$39,2),SUM($AX58:BF58),0)+IF(RIGHT(CB$39,2)&gt;RIGHT($K58,2),BF58,0))</f>
        <v>3.54</v>
      </c>
      <c r="CC58" s="1491">
        <f>+IF($K58="Ongoing",BG58,IF(RIGHT($K58,2)=RIGHT(CC$39,2),SUM($AX58:BG58),0)+IF(RIGHT(CC$39,2)&gt;RIGHT($K58,2),BG58,0))</f>
        <v>3.9550000000000001</v>
      </c>
      <c r="CD58" s="1133"/>
      <c r="CE58" s="1492">
        <f>+Q58*KeyAssumptionsPriceControl_FO!AC$15</f>
        <v>0.92700000000000005</v>
      </c>
      <c r="CF58" s="1490">
        <f>+R58*KeyAssumptionsPriceControl_FO!AD$15</f>
        <v>0.88054699999999997</v>
      </c>
      <c r="CG58" s="1490">
        <f>+S58*KeyAssumptionsPriceControl_FO!AE$15</f>
        <v>0.77037253499999991</v>
      </c>
      <c r="CH58" s="1490">
        <f>+T58*KeyAssumptionsPriceControl_FO!AF$15</f>
        <v>2.1891146354500002</v>
      </c>
      <c r="CI58" s="1491">
        <f>+U58*KeyAssumptionsPriceControl_FO!AG$15</f>
        <v>1.5534272595620002</v>
      </c>
      <c r="CJ58" s="1492">
        <f>+V58*KeyAssumptionsPriceControl_FO!AH$15</f>
        <v>3.0567738791142403</v>
      </c>
      <c r="CK58" s="1490">
        <f>+W58*KeyAssumptionsPriceControl_FO!AI$15</f>
        <v>5.0916778028589622</v>
      </c>
      <c r="CL58" s="1490">
        <f>+X58*KeyAssumptionsPriceControl_FO!AJ$15</f>
        <v>2.5208724619613565</v>
      </c>
      <c r="CM58" s="1490">
        <f>+Y58*KeyAssumptionsPriceControl_FO!AK$15</f>
        <v>4.6188970707555272</v>
      </c>
      <c r="CN58" s="1491">
        <f>+Z58*KeyAssumptionsPriceControl_FO!AL$15</f>
        <v>5.3151892803060035</v>
      </c>
      <c r="CO58" s="1133"/>
      <c r="CP58" s="1492">
        <f t="shared" ca="1" si="76"/>
        <v>7.7250000000000001E-3</v>
      </c>
      <c r="CQ58" s="1490">
        <f t="shared" ca="1" si="77"/>
        <v>2.2787891666666667E-2</v>
      </c>
      <c r="CR58" s="1490">
        <f t="shared" ca="1" si="78"/>
        <v>3.6545554458333331E-2</v>
      </c>
      <c r="CS58" s="1490">
        <f t="shared" ca="1" si="79"/>
        <v>6.1207947545416669E-2</v>
      </c>
      <c r="CT58" s="1491">
        <f t="shared" ca="1" si="80"/>
        <v>9.2395796670516672E-2</v>
      </c>
      <c r="CU58" s="1492">
        <f t="shared" ca="1" si="81"/>
        <v>0.13081413949281867</v>
      </c>
      <c r="CV58" s="1490">
        <f t="shared" ca="1" si="82"/>
        <v>0.19871790350926202</v>
      </c>
      <c r="CW58" s="1490">
        <f t="shared" ca="1" si="83"/>
        <v>0.26215582238276469</v>
      </c>
      <c r="CX58" s="1490">
        <f t="shared" ca="1" si="84"/>
        <v>0.32165390182207204</v>
      </c>
      <c r="CY58" s="1491">
        <f t="shared" ca="1" si="85"/>
        <v>0.40443795474758476</v>
      </c>
    </row>
    <row r="59" spans="2:103" x14ac:dyDescent="0.3">
      <c r="B59" s="397"/>
      <c r="C59" s="1294" t="s">
        <v>1109</v>
      </c>
      <c r="D59" s="1295"/>
      <c r="E59" s="2097" t="s">
        <v>22</v>
      </c>
      <c r="F59" s="2097" t="s">
        <v>12</v>
      </c>
      <c r="G59" s="1294" t="s">
        <v>14</v>
      </c>
      <c r="H59" s="2349" t="s">
        <v>516</v>
      </c>
      <c r="I59" s="2350"/>
      <c r="J59" s="1292" t="s">
        <v>279</v>
      </c>
      <c r="K59" s="1292" t="s">
        <v>920</v>
      </c>
      <c r="L59" s="1292">
        <v>60</v>
      </c>
      <c r="M59" s="2112">
        <v>60</v>
      </c>
      <c r="O59" s="376"/>
      <c r="P59" s="376"/>
      <c r="Q59" s="2337">
        <v>0.1</v>
      </c>
      <c r="R59" s="2338">
        <v>0</v>
      </c>
      <c r="S59" s="2338">
        <v>0</v>
      </c>
      <c r="T59" s="2338">
        <v>0.11</v>
      </c>
      <c r="U59" s="2339">
        <v>3.2</v>
      </c>
      <c r="V59" s="2337">
        <v>3.1</v>
      </c>
      <c r="W59" s="2338">
        <v>0</v>
      </c>
      <c r="X59" s="2338">
        <v>0</v>
      </c>
      <c r="Y59" s="2338">
        <v>0</v>
      </c>
      <c r="Z59" s="2339">
        <v>0</v>
      </c>
      <c r="AA59" s="1132"/>
      <c r="AB59" s="1129"/>
      <c r="AC59" s="1130"/>
      <c r="AD59" s="1510"/>
      <c r="AE59" s="1510"/>
      <c r="AF59" s="1131"/>
      <c r="AG59" s="1129"/>
      <c r="AH59" s="1130"/>
      <c r="AI59" s="1130"/>
      <c r="AJ59" s="1130"/>
      <c r="AK59" s="1131"/>
      <c r="AL59" s="1132"/>
      <c r="AM59" s="1129"/>
      <c r="AN59" s="1130"/>
      <c r="AO59" s="1130"/>
      <c r="AP59" s="1510"/>
      <c r="AQ59" s="1131"/>
      <c r="AR59" s="1129"/>
      <c r="AS59" s="1130"/>
      <c r="AT59" s="1130"/>
      <c r="AU59" s="1510"/>
      <c r="AV59" s="1131"/>
      <c r="AW59" s="1133"/>
      <c r="AX59" s="1492">
        <f t="shared" si="56"/>
        <v>0.1</v>
      </c>
      <c r="AY59" s="1490">
        <f t="shared" si="57"/>
        <v>0</v>
      </c>
      <c r="AZ59" s="1490">
        <f t="shared" si="58"/>
        <v>0</v>
      </c>
      <c r="BA59" s="1490">
        <f t="shared" si="59"/>
        <v>0.11</v>
      </c>
      <c r="BB59" s="1491">
        <f t="shared" si="60"/>
        <v>3.2</v>
      </c>
      <c r="BC59" s="1492">
        <f t="shared" si="61"/>
        <v>3.1</v>
      </c>
      <c r="BD59" s="1490">
        <f t="shared" si="62"/>
        <v>0</v>
      </c>
      <c r="BE59" s="1490">
        <f t="shared" si="63"/>
        <v>0</v>
      </c>
      <c r="BF59" s="1490">
        <f t="shared" si="64"/>
        <v>0</v>
      </c>
      <c r="BG59" s="1491">
        <f t="shared" si="65"/>
        <v>0</v>
      </c>
      <c r="BH59" s="1133"/>
      <c r="BI59" s="1492">
        <f t="shared" ca="1" si="66"/>
        <v>0</v>
      </c>
      <c r="BJ59" s="1490">
        <f t="shared" ca="1" si="67"/>
        <v>0</v>
      </c>
      <c r="BK59" s="1490">
        <f t="shared" ca="1" si="68"/>
        <v>0</v>
      </c>
      <c r="BL59" s="1490">
        <f t="shared" ca="1" si="69"/>
        <v>0</v>
      </c>
      <c r="BM59" s="1491">
        <f t="shared" ca="1" si="70"/>
        <v>0</v>
      </c>
      <c r="BN59" s="1492">
        <f t="shared" ca="1" si="71"/>
        <v>5.425E-2</v>
      </c>
      <c r="BO59" s="1490">
        <f t="shared" ca="1" si="72"/>
        <v>0.1085</v>
      </c>
      <c r="BP59" s="1490">
        <f t="shared" ca="1" si="73"/>
        <v>0.1085</v>
      </c>
      <c r="BQ59" s="1490">
        <f t="shared" ca="1" si="74"/>
        <v>0.1085</v>
      </c>
      <c r="BR59" s="1491">
        <f t="shared" ca="1" si="75"/>
        <v>0.1085</v>
      </c>
      <c r="BS59" s="1133"/>
      <c r="BT59" s="1492">
        <f>+IF($K59="Ongoing",AX59,IF(RIGHT($K59,2)=RIGHT(BT$39,2),SUM($AX59:AX59),0)+IF(RIGHT(BT$39,2)&gt;RIGHT($K59,2),AX59,0))</f>
        <v>0</v>
      </c>
      <c r="BU59" s="1490">
        <f>+IF($K59="Ongoing",AY59,IF(RIGHT($K59,2)=RIGHT(BU$39,2),SUM($AX59:AY59),0)+IF(RIGHT(BU$39,2)&gt;RIGHT($K59,2),AY59,0))</f>
        <v>0</v>
      </c>
      <c r="BV59" s="1490">
        <f>+IF($K59="Ongoing",AZ59,IF(RIGHT($K59,2)=RIGHT(BV$39,2),SUM($AX59:AZ59),0)+IF(RIGHT(BV$39,2)&gt;RIGHT($K59,2),AZ59,0))</f>
        <v>0</v>
      </c>
      <c r="BW59" s="1490">
        <f>+IF($K59="Ongoing",BA59,IF(RIGHT($K59,2)=RIGHT(BW$39,2),SUM($AX59:BA59),0)+IF(RIGHT(BW$39,2)&gt;RIGHT($K59,2),BA59,0))</f>
        <v>0</v>
      </c>
      <c r="BX59" s="1491">
        <f>+IF($K59="Ongoing",BB59,IF(RIGHT($K59,2)=RIGHT(BX$39,2),SUM($AX59:BB59),0)+IF(RIGHT(BX$39,2)&gt;RIGHT($K59,2),BB59,0))</f>
        <v>0</v>
      </c>
      <c r="BY59" s="1492">
        <f>+IF($K59="Ongoing",BC59,IF(RIGHT($K59,2)=RIGHT(BY$39,2),SUM($AX59:BC59),0)+IF(RIGHT(BY$39,2)&gt;RIGHT($K59,2),BC59,0))</f>
        <v>6.51</v>
      </c>
      <c r="BZ59" s="1490">
        <f>+IF($K59="Ongoing",BD59,IF(RIGHT($K59,2)=RIGHT(BZ$39,2),SUM($AX59:BD59),0)+IF(RIGHT(BZ$39,2)&gt;RIGHT($K59,2),BD59,0))</f>
        <v>0</v>
      </c>
      <c r="CA59" s="1490">
        <f>+IF($K59="Ongoing",BE59,IF(RIGHT($K59,2)=RIGHT(CA$39,2),SUM($AX59:BE59),0)+IF(RIGHT(CA$39,2)&gt;RIGHT($K59,2),BE59,0))</f>
        <v>0</v>
      </c>
      <c r="CB59" s="1490">
        <f>+IF($K59="Ongoing",BF59,IF(RIGHT($K59,2)=RIGHT(CB$39,2),SUM($AX59:BF59),0)+IF(RIGHT(CB$39,2)&gt;RIGHT($K59,2),BF59,0))</f>
        <v>0</v>
      </c>
      <c r="CC59" s="1491">
        <f>+IF($K59="Ongoing",BG59,IF(RIGHT($K59,2)=RIGHT(CC$39,2),SUM($AX59:BG59),0)+IF(RIGHT(CC$39,2)&gt;RIGHT($K59,2),BG59,0))</f>
        <v>0</v>
      </c>
      <c r="CD59" s="1133"/>
      <c r="CE59" s="1492">
        <f>+Q59*KeyAssumptionsPriceControl_FO!AC$15</f>
        <v>0.10300000000000001</v>
      </c>
      <c r="CF59" s="1490">
        <f>+R59*KeyAssumptionsPriceControl_FO!AD$15</f>
        <v>0</v>
      </c>
      <c r="CG59" s="1490">
        <f>+S59*KeyAssumptionsPriceControl_FO!AE$15</f>
        <v>0</v>
      </c>
      <c r="CH59" s="1490">
        <f>+T59*KeyAssumptionsPriceControl_FO!AF$15</f>
        <v>0.12380596910000001</v>
      </c>
      <c r="CI59" s="1491">
        <f>+U59*KeyAssumptionsPriceControl_FO!AG$15</f>
        <v>3.7096770377600006</v>
      </c>
      <c r="CJ59" s="1492">
        <f>+V59*KeyAssumptionsPriceControl_FO!AH$15</f>
        <v>3.7015621192399006</v>
      </c>
      <c r="CK59" s="1490">
        <f>+W59*KeyAssumptionsPriceControl_FO!AI$15</f>
        <v>0</v>
      </c>
      <c r="CL59" s="1490">
        <f>+X59*KeyAssumptionsPriceControl_FO!AJ$15</f>
        <v>0</v>
      </c>
      <c r="CM59" s="1490">
        <f>+Y59*KeyAssumptionsPriceControl_FO!AK$15</f>
        <v>0</v>
      </c>
      <c r="CN59" s="1491">
        <f>+Z59*KeyAssumptionsPriceControl_FO!AL$15</f>
        <v>0</v>
      </c>
      <c r="CO59" s="1133"/>
      <c r="CP59" s="1492">
        <f t="shared" ca="1" si="76"/>
        <v>8.5833333333333345E-4</v>
      </c>
      <c r="CQ59" s="1490">
        <f t="shared" ca="1" si="77"/>
        <v>1.7166666666666669E-3</v>
      </c>
      <c r="CR59" s="1490">
        <f t="shared" ca="1" si="78"/>
        <v>1.7166666666666669E-3</v>
      </c>
      <c r="CS59" s="1490">
        <f t="shared" ca="1" si="79"/>
        <v>2.7483830758333336E-3</v>
      </c>
      <c r="CT59" s="1491">
        <f t="shared" ca="1" si="80"/>
        <v>3.4694074799666672E-2</v>
      </c>
      <c r="CU59" s="1492">
        <f t="shared" ca="1" si="81"/>
        <v>9.6454401107999174E-2</v>
      </c>
      <c r="CV59" s="1490">
        <f t="shared" ca="1" si="82"/>
        <v>0.12730075210166503</v>
      </c>
      <c r="CW59" s="1490">
        <f t="shared" ca="1" si="83"/>
        <v>0.12730075210166503</v>
      </c>
      <c r="CX59" s="1490">
        <f t="shared" ca="1" si="84"/>
        <v>0.12730075210166503</v>
      </c>
      <c r="CY59" s="1491">
        <f t="shared" ca="1" si="85"/>
        <v>0.12730075210166503</v>
      </c>
    </row>
    <row r="60" spans="2:103" x14ac:dyDescent="0.3">
      <c r="B60" s="397"/>
      <c r="C60" s="1294" t="s">
        <v>1110</v>
      </c>
      <c r="D60" s="1295"/>
      <c r="E60" s="2097" t="s">
        <v>22</v>
      </c>
      <c r="F60" s="2097" t="s">
        <v>12</v>
      </c>
      <c r="G60" s="1294" t="s">
        <v>6</v>
      </c>
      <c r="H60" s="2349" t="s">
        <v>516</v>
      </c>
      <c r="I60" s="2350"/>
      <c r="J60" s="1292" t="s">
        <v>279</v>
      </c>
      <c r="K60" s="1292" t="s">
        <v>296</v>
      </c>
      <c r="L60" s="1292">
        <v>60</v>
      </c>
      <c r="M60" s="1292">
        <v>60</v>
      </c>
      <c r="O60" s="376"/>
      <c r="P60" s="376"/>
      <c r="Q60" s="2337">
        <v>0</v>
      </c>
      <c r="R60" s="2338">
        <v>0</v>
      </c>
      <c r="S60" s="2338">
        <v>0.2</v>
      </c>
      <c r="T60" s="2338">
        <v>0.8</v>
      </c>
      <c r="U60" s="2339">
        <v>3.97</v>
      </c>
      <c r="V60" s="2337">
        <v>4.09</v>
      </c>
      <c r="W60" s="2338">
        <v>2.2999999999999998</v>
      </c>
      <c r="X60" s="2338">
        <v>2.2999999999999998</v>
      </c>
      <c r="Y60" s="2338">
        <v>2.2999999999999998</v>
      </c>
      <c r="Z60" s="2339">
        <v>2.6150000000000002</v>
      </c>
      <c r="AA60" s="1132"/>
      <c r="AB60" s="1129"/>
      <c r="AC60" s="1130"/>
      <c r="AD60" s="1510"/>
      <c r="AE60" s="1510"/>
      <c r="AF60" s="1131"/>
      <c r="AG60" s="1129"/>
      <c r="AH60" s="1130"/>
      <c r="AI60" s="1130"/>
      <c r="AJ60" s="1130"/>
      <c r="AK60" s="1131"/>
      <c r="AL60" s="1132"/>
      <c r="AM60" s="1129"/>
      <c r="AN60" s="1130"/>
      <c r="AO60" s="1130"/>
      <c r="AP60" s="1510"/>
      <c r="AQ60" s="1131"/>
      <c r="AR60" s="1129"/>
      <c r="AS60" s="1130"/>
      <c r="AT60" s="1130"/>
      <c r="AU60" s="1510"/>
      <c r="AV60" s="1131"/>
      <c r="AW60" s="1133"/>
      <c r="AX60" s="1492">
        <f t="shared" si="56"/>
        <v>0</v>
      </c>
      <c r="AY60" s="1490">
        <f t="shared" si="57"/>
        <v>0</v>
      </c>
      <c r="AZ60" s="1490">
        <f t="shared" si="58"/>
        <v>0.2</v>
      </c>
      <c r="BA60" s="1490">
        <f t="shared" si="59"/>
        <v>0.8</v>
      </c>
      <c r="BB60" s="1491">
        <f t="shared" si="60"/>
        <v>3.97</v>
      </c>
      <c r="BC60" s="1492">
        <f t="shared" si="61"/>
        <v>4.09</v>
      </c>
      <c r="BD60" s="1490">
        <f t="shared" si="62"/>
        <v>2.2999999999999998</v>
      </c>
      <c r="BE60" s="1490">
        <f t="shared" si="63"/>
        <v>2.2999999999999998</v>
      </c>
      <c r="BF60" s="1490">
        <f t="shared" si="64"/>
        <v>2.2999999999999998</v>
      </c>
      <c r="BG60" s="1491">
        <f t="shared" si="65"/>
        <v>2.6150000000000002</v>
      </c>
      <c r="BH60" s="1133"/>
      <c r="BI60" s="1492">
        <f t="shared" ca="1" si="66"/>
        <v>0</v>
      </c>
      <c r="BJ60" s="1490">
        <f t="shared" ca="1" si="67"/>
        <v>0</v>
      </c>
      <c r="BK60" s="1490">
        <f t="shared" ca="1" si="68"/>
        <v>1.6666666666666668E-3</v>
      </c>
      <c r="BL60" s="1490">
        <f t="shared" ca="1" si="69"/>
        <v>0.01</v>
      </c>
      <c r="BM60" s="1491">
        <f t="shared" ca="1" si="70"/>
        <v>4.9750000000000003E-2</v>
      </c>
      <c r="BN60" s="1492">
        <f t="shared" ca="1" si="71"/>
        <v>0.11691666666666667</v>
      </c>
      <c r="BO60" s="1490">
        <f t="shared" ca="1" si="72"/>
        <v>0.17016666666666666</v>
      </c>
      <c r="BP60" s="1490">
        <f t="shared" ca="1" si="73"/>
        <v>0.20849999999999999</v>
      </c>
      <c r="BQ60" s="1490">
        <f t="shared" ca="1" si="74"/>
        <v>0.24683333333333332</v>
      </c>
      <c r="BR60" s="1491">
        <f t="shared" ca="1" si="75"/>
        <v>0.28779166666666667</v>
      </c>
      <c r="BS60" s="1133"/>
      <c r="BT60" s="1492">
        <f>+IF($K60="Ongoing",AX60,IF(RIGHT($K60,2)=RIGHT(BT$39,2),SUM($AX60:AX60),0)+IF(RIGHT(BT$39,2)&gt;RIGHT($K60,2),AX60,0))</f>
        <v>0</v>
      </c>
      <c r="BU60" s="1490">
        <f>+IF($K60="Ongoing",AY60,IF(RIGHT($K60,2)=RIGHT(BU$39,2),SUM($AX60:AY60),0)+IF(RIGHT(BU$39,2)&gt;RIGHT($K60,2),AY60,0))</f>
        <v>0</v>
      </c>
      <c r="BV60" s="1490">
        <f>+IF($K60="Ongoing",AZ60,IF(RIGHT($K60,2)=RIGHT(BV$39,2),SUM($AX60:AZ60),0)+IF(RIGHT(BV$39,2)&gt;RIGHT($K60,2),AZ60,0))</f>
        <v>0.2</v>
      </c>
      <c r="BW60" s="1490">
        <f>+IF($K60="Ongoing",BA60,IF(RIGHT($K60,2)=RIGHT(BW$39,2),SUM($AX60:BA60),0)+IF(RIGHT(BW$39,2)&gt;RIGHT($K60,2),BA60,0))</f>
        <v>0.8</v>
      </c>
      <c r="BX60" s="1491">
        <f>+IF($K60="Ongoing",BB60,IF(RIGHT($K60,2)=RIGHT(BX$39,2),SUM($AX60:BB60),0)+IF(RIGHT(BX$39,2)&gt;RIGHT($K60,2),BB60,0))</f>
        <v>3.97</v>
      </c>
      <c r="BY60" s="1492">
        <f>+IF($K60="Ongoing",BC60,IF(RIGHT($K60,2)=RIGHT(BY$39,2),SUM($AX60:BC60),0)+IF(RIGHT(BY$39,2)&gt;RIGHT($K60,2),BC60,0))</f>
        <v>4.09</v>
      </c>
      <c r="BZ60" s="1490">
        <f>+IF($K60="Ongoing",BD60,IF(RIGHT($K60,2)=RIGHT(BZ$39,2),SUM($AX60:BD60),0)+IF(RIGHT(BZ$39,2)&gt;RIGHT($K60,2),BD60,0))</f>
        <v>2.2999999999999998</v>
      </c>
      <c r="CA60" s="1490">
        <f>+IF($K60="Ongoing",BE60,IF(RIGHT($K60,2)=RIGHT(CA$39,2),SUM($AX60:BE60),0)+IF(RIGHT(CA$39,2)&gt;RIGHT($K60,2),BE60,0))</f>
        <v>2.2999999999999998</v>
      </c>
      <c r="CB60" s="1490">
        <f>+IF($K60="Ongoing",BF60,IF(RIGHT($K60,2)=RIGHT(CB$39,2),SUM($AX60:BF60),0)+IF(RIGHT(CB$39,2)&gt;RIGHT($K60,2),BF60,0))</f>
        <v>2.2999999999999998</v>
      </c>
      <c r="CC60" s="1491">
        <f>+IF($K60="Ongoing",BG60,IF(RIGHT($K60,2)=RIGHT(CC$39,2),SUM($AX60:BG60),0)+IF(RIGHT(CC$39,2)&gt;RIGHT($K60,2),BG60,0))</f>
        <v>2.6150000000000002</v>
      </c>
      <c r="CD60" s="1133"/>
      <c r="CE60" s="1492">
        <f>+Q60*KeyAssumptionsPriceControl_FO!AC$15</f>
        <v>0</v>
      </c>
      <c r="CF60" s="1490">
        <f>+R60*KeyAssumptionsPriceControl_FO!AD$15</f>
        <v>0</v>
      </c>
      <c r="CG60" s="1490">
        <f>+S60*KeyAssumptionsPriceControl_FO!AE$15</f>
        <v>0.2185454</v>
      </c>
      <c r="CH60" s="1490">
        <f>+T60*KeyAssumptionsPriceControl_FO!AF$15</f>
        <v>0.90040704800000015</v>
      </c>
      <c r="CI60" s="1491">
        <f>+U60*KeyAssumptionsPriceControl_FO!AG$15</f>
        <v>4.6023180749710004</v>
      </c>
      <c r="CJ60" s="1492">
        <f>+V60*KeyAssumptionsPriceControl_FO!AH$15</f>
        <v>4.8836738928036105</v>
      </c>
      <c r="CK60" s="1490">
        <f>+W60*KeyAssumptionsPriceControl_FO!AI$15</f>
        <v>2.8287098904772012</v>
      </c>
      <c r="CL60" s="1490">
        <f>+X60*KeyAssumptionsPriceControl_FO!AJ$15</f>
        <v>2.9135711871915175</v>
      </c>
      <c r="CM60" s="1490">
        <f>+Y60*KeyAssumptionsPriceControl_FO!AK$15</f>
        <v>3.0009783228072631</v>
      </c>
      <c r="CN60" s="1491">
        <f>+Z60*KeyAssumptionsPriceControl_FO!AL$15</f>
        <v>3.51434133198488</v>
      </c>
      <c r="CO60" s="1133"/>
      <c r="CP60" s="1492">
        <f t="shared" ca="1" si="76"/>
        <v>0</v>
      </c>
      <c r="CQ60" s="1490">
        <f t="shared" ca="1" si="77"/>
        <v>0</v>
      </c>
      <c r="CR60" s="1490">
        <f t="shared" ca="1" si="78"/>
        <v>1.8212116666666666E-3</v>
      </c>
      <c r="CS60" s="1490">
        <f t="shared" ca="1" si="79"/>
        <v>1.1145815400000002E-2</v>
      </c>
      <c r="CT60" s="1491">
        <f t="shared" ca="1" si="80"/>
        <v>5.7001858091425009E-2</v>
      </c>
      <c r="CU60" s="1492">
        <f t="shared" ca="1" si="81"/>
        <v>0.13605179115621344</v>
      </c>
      <c r="CV60" s="1490">
        <f t="shared" ca="1" si="82"/>
        <v>0.20032165601688684</v>
      </c>
      <c r="CW60" s="1490">
        <f t="shared" ca="1" si="83"/>
        <v>0.24817399833079284</v>
      </c>
      <c r="CX60" s="1490">
        <f t="shared" ca="1" si="84"/>
        <v>0.297461910914116</v>
      </c>
      <c r="CY60" s="1491">
        <f t="shared" ca="1" si="85"/>
        <v>0.3517562413707172</v>
      </c>
    </row>
    <row r="61" spans="2:103" x14ac:dyDescent="0.3">
      <c r="B61" s="397"/>
      <c r="C61" s="1294" t="s">
        <v>1111</v>
      </c>
      <c r="D61" s="1295"/>
      <c r="E61" s="2097" t="s">
        <v>275</v>
      </c>
      <c r="F61" s="2097" t="s">
        <v>12</v>
      </c>
      <c r="G61" s="1294" t="s">
        <v>6</v>
      </c>
      <c r="H61" s="2349" t="s">
        <v>516</v>
      </c>
      <c r="I61" s="2350"/>
      <c r="J61" s="1292" t="s">
        <v>279</v>
      </c>
      <c r="K61" s="1292" t="s">
        <v>296</v>
      </c>
      <c r="L61" s="1292">
        <v>60</v>
      </c>
      <c r="M61" s="1292">
        <v>60</v>
      </c>
      <c r="O61" s="376"/>
      <c r="P61" s="376"/>
      <c r="Q61" s="2337">
        <v>2.4</v>
      </c>
      <c r="R61" s="2338">
        <v>0.5</v>
      </c>
      <c r="S61" s="2338">
        <v>0.1</v>
      </c>
      <c r="T61" s="2338">
        <v>0.3</v>
      </c>
      <c r="U61" s="2339">
        <v>1.2</v>
      </c>
      <c r="V61" s="2337">
        <v>1.6</v>
      </c>
      <c r="W61" s="2338">
        <v>1.6</v>
      </c>
      <c r="X61" s="2338">
        <v>1.6</v>
      </c>
      <c r="Y61" s="2338">
        <v>1.6</v>
      </c>
      <c r="Z61" s="2339">
        <v>1.6</v>
      </c>
      <c r="AA61" s="1132"/>
      <c r="AB61" s="1129"/>
      <c r="AC61" s="1130"/>
      <c r="AD61" s="1510"/>
      <c r="AE61" s="1130"/>
      <c r="AF61" s="1131"/>
      <c r="AG61" s="1129"/>
      <c r="AH61" s="1510"/>
      <c r="AI61" s="1130"/>
      <c r="AJ61" s="1130"/>
      <c r="AK61" s="1131"/>
      <c r="AL61" s="1132"/>
      <c r="AM61" s="1509"/>
      <c r="AN61" s="1130"/>
      <c r="AO61" s="1510"/>
      <c r="AP61" s="1510"/>
      <c r="AQ61" s="1131"/>
      <c r="AR61" s="1129"/>
      <c r="AS61" s="1130"/>
      <c r="AT61" s="1130"/>
      <c r="AU61" s="1130"/>
      <c r="AV61" s="1131"/>
      <c r="AW61" s="1133"/>
      <c r="AX61" s="1492">
        <f t="shared" si="56"/>
        <v>2.4</v>
      </c>
      <c r="AY61" s="1490">
        <f t="shared" si="57"/>
        <v>0.5</v>
      </c>
      <c r="AZ61" s="1490">
        <f t="shared" si="58"/>
        <v>0.1</v>
      </c>
      <c r="BA61" s="1490">
        <f t="shared" si="59"/>
        <v>0.3</v>
      </c>
      <c r="BB61" s="1491">
        <f t="shared" si="60"/>
        <v>1.2</v>
      </c>
      <c r="BC61" s="1492">
        <f t="shared" si="61"/>
        <v>1.6</v>
      </c>
      <c r="BD61" s="1490">
        <f t="shared" si="62"/>
        <v>1.6</v>
      </c>
      <c r="BE61" s="1490">
        <f t="shared" si="63"/>
        <v>1.6</v>
      </c>
      <c r="BF61" s="1490">
        <f t="shared" si="64"/>
        <v>1.6</v>
      </c>
      <c r="BG61" s="1491">
        <f t="shared" si="65"/>
        <v>1.6</v>
      </c>
      <c r="BH61" s="1133"/>
      <c r="BI61" s="1492">
        <f t="shared" ca="1" si="66"/>
        <v>0.02</v>
      </c>
      <c r="BJ61" s="1490">
        <f t="shared" ca="1" si="67"/>
        <v>4.4166666666666667E-2</v>
      </c>
      <c r="BK61" s="1490">
        <f t="shared" ca="1" si="68"/>
        <v>4.9166666666666664E-2</v>
      </c>
      <c r="BL61" s="1490">
        <f t="shared" ca="1" si="69"/>
        <v>5.2500000000000005E-2</v>
      </c>
      <c r="BM61" s="1491">
        <f t="shared" ca="1" si="70"/>
        <v>6.5000000000000002E-2</v>
      </c>
      <c r="BN61" s="1492">
        <f t="shared" ca="1" si="71"/>
        <v>8.8333333333333333E-2</v>
      </c>
      <c r="BO61" s="1490">
        <f t="shared" ca="1" si="72"/>
        <v>0.11499999999999999</v>
      </c>
      <c r="BP61" s="1490">
        <f t="shared" ca="1" si="73"/>
        <v>0.14166666666666666</v>
      </c>
      <c r="BQ61" s="1490">
        <f t="shared" ca="1" si="74"/>
        <v>0.16833333333333331</v>
      </c>
      <c r="BR61" s="1491">
        <f t="shared" ca="1" si="75"/>
        <v>0.19499999999999998</v>
      </c>
      <c r="BS61" s="1133"/>
      <c r="BT61" s="1492">
        <f>+IF($K61="Ongoing",AX61,IF(RIGHT($K61,2)=RIGHT(BT$39,2),SUM($AX61:AX61),0)+IF(RIGHT(BT$39,2)&gt;RIGHT($K61,2),AX61,0))</f>
        <v>2.4</v>
      </c>
      <c r="BU61" s="1490">
        <f>+IF($K61="Ongoing",AY61,IF(RIGHT($K61,2)=RIGHT(BU$39,2),SUM($AX61:AY61),0)+IF(RIGHT(BU$39,2)&gt;RIGHT($K61,2),AY61,0))</f>
        <v>0.5</v>
      </c>
      <c r="BV61" s="1490">
        <f>+IF($K61="Ongoing",AZ61,IF(RIGHT($K61,2)=RIGHT(BV$39,2),SUM($AX61:AZ61),0)+IF(RIGHT(BV$39,2)&gt;RIGHT($K61,2),AZ61,0))</f>
        <v>0.1</v>
      </c>
      <c r="BW61" s="1490">
        <f>+IF($K61="Ongoing",BA61,IF(RIGHT($K61,2)=RIGHT(BW$39,2),SUM($AX61:BA61),0)+IF(RIGHT(BW$39,2)&gt;RIGHT($K61,2),BA61,0))</f>
        <v>0.3</v>
      </c>
      <c r="BX61" s="1491">
        <f>+IF($K61="Ongoing",BB61,IF(RIGHT($K61,2)=RIGHT(BX$39,2),SUM($AX61:BB61),0)+IF(RIGHT(BX$39,2)&gt;RIGHT($K61,2),BB61,0))</f>
        <v>1.2</v>
      </c>
      <c r="BY61" s="1492">
        <f>+IF($K61="Ongoing",BC61,IF(RIGHT($K61,2)=RIGHT(BY$39,2),SUM($AX61:BC61),0)+IF(RIGHT(BY$39,2)&gt;RIGHT($K61,2),BC61,0))</f>
        <v>1.6</v>
      </c>
      <c r="BZ61" s="1490">
        <f>+IF($K61="Ongoing",BD61,IF(RIGHT($K61,2)=RIGHT(BZ$39,2),SUM($AX61:BD61),0)+IF(RIGHT(BZ$39,2)&gt;RIGHT($K61,2),BD61,0))</f>
        <v>1.6</v>
      </c>
      <c r="CA61" s="1490">
        <f>+IF($K61="Ongoing",BE61,IF(RIGHT($K61,2)=RIGHT(CA$39,2),SUM($AX61:BE61),0)+IF(RIGHT(CA$39,2)&gt;RIGHT($K61,2),BE61,0))</f>
        <v>1.6</v>
      </c>
      <c r="CB61" s="1490">
        <f>+IF($K61="Ongoing",BF61,IF(RIGHT($K61,2)=RIGHT(CB$39,2),SUM($AX61:BF61),0)+IF(RIGHT(CB$39,2)&gt;RIGHT($K61,2),BF61,0))</f>
        <v>1.6</v>
      </c>
      <c r="CC61" s="1491">
        <f>+IF($K61="Ongoing",BG61,IF(RIGHT($K61,2)=RIGHT(CC$39,2),SUM($AX61:BG61),0)+IF(RIGHT(CC$39,2)&gt;RIGHT($K61,2),BG61,0))</f>
        <v>1.6</v>
      </c>
      <c r="CD61" s="1133"/>
      <c r="CE61" s="1492">
        <f>+Q61*KeyAssumptionsPriceControl_FO!AC$15</f>
        <v>2.472</v>
      </c>
      <c r="CF61" s="1490">
        <f>+R61*KeyAssumptionsPriceControl_FO!AD$15</f>
        <v>0.53044999999999998</v>
      </c>
      <c r="CG61" s="1490">
        <f>+S61*KeyAssumptionsPriceControl_FO!AE$15</f>
        <v>0.1092727</v>
      </c>
      <c r="CH61" s="1490">
        <f>+T61*KeyAssumptionsPriceControl_FO!AF$15</f>
        <v>0.33765264300000003</v>
      </c>
      <c r="CI61" s="1491">
        <f>+U61*KeyAssumptionsPriceControl_FO!AG$15</f>
        <v>1.39112888916</v>
      </c>
      <c r="CJ61" s="1492">
        <f>+V61*KeyAssumptionsPriceControl_FO!AH$15</f>
        <v>1.9104836744464002</v>
      </c>
      <c r="CK61" s="1490">
        <f>+W61*KeyAssumptionsPriceControl_FO!AI$15</f>
        <v>1.9677981846797925</v>
      </c>
      <c r="CL61" s="1490">
        <f>+X61*KeyAssumptionsPriceControl_FO!AJ$15</f>
        <v>2.0268321302201864</v>
      </c>
      <c r="CM61" s="1490">
        <f>+Y61*KeyAssumptionsPriceControl_FO!AK$15</f>
        <v>2.0876370941267921</v>
      </c>
      <c r="CN61" s="1491">
        <f>+Z61*KeyAssumptionsPriceControl_FO!AL$15</f>
        <v>2.1502662069505956</v>
      </c>
      <c r="CO61" s="1133"/>
      <c r="CP61" s="1492">
        <f t="shared" ca="1" si="76"/>
        <v>2.06E-2</v>
      </c>
      <c r="CQ61" s="1490">
        <f t="shared" ca="1" si="77"/>
        <v>4.5620416666666663E-2</v>
      </c>
      <c r="CR61" s="1490">
        <f t="shared" ca="1" si="78"/>
        <v>5.0951439166666668E-2</v>
      </c>
      <c r="CS61" s="1490">
        <f t="shared" ca="1" si="79"/>
        <v>5.4675817025000004E-2</v>
      </c>
      <c r="CT61" s="1491">
        <f t="shared" ca="1" si="80"/>
        <v>6.9082329793000011E-2</v>
      </c>
      <c r="CU61" s="1492">
        <f t="shared" ca="1" si="81"/>
        <v>9.6595767823053347E-2</v>
      </c>
      <c r="CV61" s="1490">
        <f t="shared" ca="1" si="82"/>
        <v>0.12891478331577161</v>
      </c>
      <c r="CW61" s="1490">
        <f t="shared" ca="1" si="83"/>
        <v>0.16220336927327145</v>
      </c>
      <c r="CX61" s="1490">
        <f t="shared" ca="1" si="84"/>
        <v>0.19649061280949626</v>
      </c>
      <c r="CY61" s="1491">
        <f t="shared" ca="1" si="85"/>
        <v>0.23180647365180784</v>
      </c>
    </row>
    <row r="62" spans="2:103" x14ac:dyDescent="0.3">
      <c r="B62" s="397"/>
      <c r="C62" s="1294" t="s">
        <v>1112</v>
      </c>
      <c r="D62" s="1295"/>
      <c r="E62" s="2097" t="s">
        <v>21</v>
      </c>
      <c r="F62" s="2097" t="s">
        <v>512</v>
      </c>
      <c r="G62" s="1294" t="s">
        <v>6</v>
      </c>
      <c r="H62" s="2349" t="s">
        <v>516</v>
      </c>
      <c r="I62" s="2350"/>
      <c r="J62" s="1292" t="s">
        <v>279</v>
      </c>
      <c r="K62" s="1292" t="s">
        <v>920</v>
      </c>
      <c r="L62" s="1292">
        <v>60</v>
      </c>
      <c r="M62" s="1292">
        <v>60</v>
      </c>
      <c r="O62" s="376"/>
      <c r="P62" s="376"/>
      <c r="Q62" s="2337">
        <v>0.05</v>
      </c>
      <c r="R62" s="2338">
        <v>0</v>
      </c>
      <c r="S62" s="2338">
        <v>0</v>
      </c>
      <c r="T62" s="2338">
        <v>0.65</v>
      </c>
      <c r="U62" s="2339">
        <v>3.5</v>
      </c>
      <c r="V62" s="2337">
        <v>2</v>
      </c>
      <c r="W62" s="2338">
        <v>0</v>
      </c>
      <c r="X62" s="2338">
        <v>0</v>
      </c>
      <c r="Y62" s="2338">
        <v>0</v>
      </c>
      <c r="Z62" s="2339">
        <v>0</v>
      </c>
      <c r="AA62" s="1132"/>
      <c r="AB62" s="1129"/>
      <c r="AC62" s="1130"/>
      <c r="AD62" s="1510"/>
      <c r="AE62" s="1510"/>
      <c r="AF62" s="1131"/>
      <c r="AG62" s="1129"/>
      <c r="AH62" s="1130"/>
      <c r="AI62" s="1130"/>
      <c r="AJ62" s="1130"/>
      <c r="AK62" s="1131"/>
      <c r="AL62" s="1132"/>
      <c r="AM62" s="1129"/>
      <c r="AN62" s="1130"/>
      <c r="AO62" s="1130"/>
      <c r="AP62" s="1510"/>
      <c r="AQ62" s="1131"/>
      <c r="AR62" s="1129"/>
      <c r="AS62" s="1130"/>
      <c r="AT62" s="1130"/>
      <c r="AU62" s="1510"/>
      <c r="AV62" s="1131"/>
      <c r="AW62" s="1133"/>
      <c r="AX62" s="1492">
        <f t="shared" si="56"/>
        <v>0.05</v>
      </c>
      <c r="AY62" s="1490">
        <f t="shared" si="57"/>
        <v>0</v>
      </c>
      <c r="AZ62" s="1490">
        <f t="shared" si="58"/>
        <v>0</v>
      </c>
      <c r="BA62" s="1490">
        <f t="shared" si="59"/>
        <v>0.65</v>
      </c>
      <c r="BB62" s="1491">
        <f t="shared" si="60"/>
        <v>3.5</v>
      </c>
      <c r="BC62" s="1492">
        <f t="shared" si="61"/>
        <v>2</v>
      </c>
      <c r="BD62" s="1490">
        <f t="shared" si="62"/>
        <v>0</v>
      </c>
      <c r="BE62" s="1490">
        <f t="shared" si="63"/>
        <v>0</v>
      </c>
      <c r="BF62" s="1490">
        <f t="shared" si="64"/>
        <v>0</v>
      </c>
      <c r="BG62" s="1491">
        <f t="shared" si="65"/>
        <v>0</v>
      </c>
      <c r="BH62" s="1133"/>
      <c r="BI62" s="1492">
        <f t="shared" ca="1" si="66"/>
        <v>0</v>
      </c>
      <c r="BJ62" s="1490">
        <f t="shared" ca="1" si="67"/>
        <v>0</v>
      </c>
      <c r="BK62" s="1490">
        <f t="shared" ca="1" si="68"/>
        <v>0</v>
      </c>
      <c r="BL62" s="1490">
        <f t="shared" ca="1" si="69"/>
        <v>0</v>
      </c>
      <c r="BM62" s="1491">
        <f t="shared" ca="1" si="70"/>
        <v>0</v>
      </c>
      <c r="BN62" s="1492">
        <f t="shared" ca="1" si="71"/>
        <v>5.1666666666666666E-2</v>
      </c>
      <c r="BO62" s="1490">
        <f t="shared" ca="1" si="72"/>
        <v>0.10333333333333333</v>
      </c>
      <c r="BP62" s="1490">
        <f t="shared" ca="1" si="73"/>
        <v>0.10333333333333333</v>
      </c>
      <c r="BQ62" s="1490">
        <f t="shared" ca="1" si="74"/>
        <v>0.10333333333333333</v>
      </c>
      <c r="BR62" s="1491">
        <f t="shared" ca="1" si="75"/>
        <v>0.10333333333333333</v>
      </c>
      <c r="BS62" s="1133"/>
      <c r="BT62" s="1492">
        <f>+IF($K62="Ongoing",AX62,IF(RIGHT($K62,2)=RIGHT(BT$39,2),SUM($AX62:AX62),0)+IF(RIGHT(BT$39,2)&gt;RIGHT($K62,2),AX62,0))</f>
        <v>0</v>
      </c>
      <c r="BU62" s="1490">
        <f>+IF($K62="Ongoing",AY62,IF(RIGHT($K62,2)=RIGHT(BU$39,2),SUM($AX62:AY62),0)+IF(RIGHT(BU$39,2)&gt;RIGHT($K62,2),AY62,0))</f>
        <v>0</v>
      </c>
      <c r="BV62" s="1490">
        <f>+IF($K62="Ongoing",AZ62,IF(RIGHT($K62,2)=RIGHT(BV$39,2),SUM($AX62:AZ62),0)+IF(RIGHT(BV$39,2)&gt;RIGHT($K62,2),AZ62,0))</f>
        <v>0</v>
      </c>
      <c r="BW62" s="1490">
        <f>+IF($K62="Ongoing",BA62,IF(RIGHT($K62,2)=RIGHT(BW$39,2),SUM($AX62:BA62),0)+IF(RIGHT(BW$39,2)&gt;RIGHT($K62,2),BA62,0))</f>
        <v>0</v>
      </c>
      <c r="BX62" s="1491">
        <f>+IF($K62="Ongoing",BB62,IF(RIGHT($K62,2)=RIGHT(BX$39,2),SUM($AX62:BB62),0)+IF(RIGHT(BX$39,2)&gt;RIGHT($K62,2),BB62,0))</f>
        <v>0</v>
      </c>
      <c r="BY62" s="1492">
        <f>+IF($K62="Ongoing",BC62,IF(RIGHT($K62,2)=RIGHT(BY$39,2),SUM($AX62:BC62),0)+IF(RIGHT(BY$39,2)&gt;RIGHT($K62,2),BC62,0))</f>
        <v>6.2</v>
      </c>
      <c r="BZ62" s="1490">
        <f>+IF($K62="Ongoing",BD62,IF(RIGHT($K62,2)=RIGHT(BZ$39,2),SUM($AX62:BD62),0)+IF(RIGHT(BZ$39,2)&gt;RIGHT($K62,2),BD62,0))</f>
        <v>0</v>
      </c>
      <c r="CA62" s="1490">
        <f>+IF($K62="Ongoing",BE62,IF(RIGHT($K62,2)=RIGHT(CA$39,2),SUM($AX62:BE62),0)+IF(RIGHT(CA$39,2)&gt;RIGHT($K62,2),BE62,0))</f>
        <v>0</v>
      </c>
      <c r="CB62" s="1490">
        <f>+IF($K62="Ongoing",BF62,IF(RIGHT($K62,2)=RIGHT(CB$39,2),SUM($AX62:BF62),0)+IF(RIGHT(CB$39,2)&gt;RIGHT($K62,2),BF62,0))</f>
        <v>0</v>
      </c>
      <c r="CC62" s="1491">
        <f>+IF($K62="Ongoing",BG62,IF(RIGHT($K62,2)=RIGHT(CC$39,2),SUM($AX62:BG62),0)+IF(RIGHT(CC$39,2)&gt;RIGHT($K62,2),BG62,0))</f>
        <v>0</v>
      </c>
      <c r="CD62" s="1133"/>
      <c r="CE62" s="1492">
        <f>+Q62*KeyAssumptionsPriceControl_FO!AC$15</f>
        <v>5.1500000000000004E-2</v>
      </c>
      <c r="CF62" s="1490">
        <f>+R62*KeyAssumptionsPriceControl_FO!AD$15</f>
        <v>0</v>
      </c>
      <c r="CG62" s="1490">
        <f>+S62*KeyAssumptionsPriceControl_FO!AE$15</f>
        <v>0</v>
      </c>
      <c r="CH62" s="1490">
        <f>+T62*KeyAssumptionsPriceControl_FO!AF$15</f>
        <v>0.73158072650000017</v>
      </c>
      <c r="CI62" s="1491">
        <f>+U62*KeyAssumptionsPriceControl_FO!AG$15</f>
        <v>4.0574592600499999</v>
      </c>
      <c r="CJ62" s="1492">
        <f>+V62*KeyAssumptionsPriceControl_FO!AH$15</f>
        <v>2.3881045930580003</v>
      </c>
      <c r="CK62" s="1490">
        <f>+W62*KeyAssumptionsPriceControl_FO!AI$15</f>
        <v>0</v>
      </c>
      <c r="CL62" s="1490">
        <f>+X62*KeyAssumptionsPriceControl_FO!AJ$15</f>
        <v>0</v>
      </c>
      <c r="CM62" s="1490">
        <f>+Y62*KeyAssumptionsPriceControl_FO!AK$15</f>
        <v>0</v>
      </c>
      <c r="CN62" s="1491">
        <f>+Z62*KeyAssumptionsPriceControl_FO!AL$15</f>
        <v>0</v>
      </c>
      <c r="CO62" s="1133"/>
      <c r="CP62" s="1492">
        <f t="shared" ca="1" si="76"/>
        <v>4.2916666666666673E-4</v>
      </c>
      <c r="CQ62" s="1490">
        <f t="shared" ca="1" si="77"/>
        <v>8.5833333333333345E-4</v>
      </c>
      <c r="CR62" s="1490">
        <f t="shared" ca="1" si="78"/>
        <v>8.5833333333333345E-4</v>
      </c>
      <c r="CS62" s="1490">
        <f t="shared" ca="1" si="79"/>
        <v>6.9548393875000017E-3</v>
      </c>
      <c r="CT62" s="1491">
        <f t="shared" ca="1" si="80"/>
        <v>4.6863505942083335E-2</v>
      </c>
      <c r="CU62" s="1492">
        <f t="shared" ca="1" si="81"/>
        <v>0.10057653805131667</v>
      </c>
      <c r="CV62" s="1490">
        <f t="shared" ca="1" si="82"/>
        <v>0.12047740966013334</v>
      </c>
      <c r="CW62" s="1490">
        <f t="shared" ca="1" si="83"/>
        <v>0.12047740966013334</v>
      </c>
      <c r="CX62" s="1490">
        <f t="shared" ca="1" si="84"/>
        <v>0.12047740966013334</v>
      </c>
      <c r="CY62" s="1491">
        <f t="shared" ca="1" si="85"/>
        <v>0.12047740966013334</v>
      </c>
    </row>
    <row r="63" spans="2:103" x14ac:dyDescent="0.3">
      <c r="B63" s="397"/>
      <c r="C63" s="1294" t="s">
        <v>1113</v>
      </c>
      <c r="D63" s="1295"/>
      <c r="E63" s="2097" t="s">
        <v>22</v>
      </c>
      <c r="F63" s="2097" t="s">
        <v>239</v>
      </c>
      <c r="G63" s="1294" t="s">
        <v>10</v>
      </c>
      <c r="H63" s="2349" t="s">
        <v>516</v>
      </c>
      <c r="I63" s="2350"/>
      <c r="J63" s="1292" t="s">
        <v>279</v>
      </c>
      <c r="K63" s="1292" t="s">
        <v>296</v>
      </c>
      <c r="L63" s="1292">
        <v>80</v>
      </c>
      <c r="M63" s="1292">
        <v>80</v>
      </c>
      <c r="O63" s="376"/>
      <c r="P63" s="376"/>
      <c r="Q63" s="2337">
        <v>0.8</v>
      </c>
      <c r="R63" s="2338">
        <v>0.8</v>
      </c>
      <c r="S63" s="2338">
        <v>0.8</v>
      </c>
      <c r="T63" s="2338">
        <v>0.8</v>
      </c>
      <c r="U63" s="2339">
        <v>0.8</v>
      </c>
      <c r="V63" s="2337">
        <v>1.36</v>
      </c>
      <c r="W63" s="2338">
        <v>1</v>
      </c>
      <c r="X63" s="2338">
        <v>1</v>
      </c>
      <c r="Y63" s="2338">
        <v>1</v>
      </c>
      <c r="Z63" s="2339">
        <v>1</v>
      </c>
      <c r="AA63" s="1132"/>
      <c r="AB63" s="1129"/>
      <c r="AC63" s="1130"/>
      <c r="AD63" s="1510"/>
      <c r="AE63" s="1510"/>
      <c r="AF63" s="1131"/>
      <c r="AG63" s="1129"/>
      <c r="AH63" s="1130"/>
      <c r="AI63" s="1130"/>
      <c r="AJ63" s="1130"/>
      <c r="AK63" s="1131"/>
      <c r="AL63" s="1132"/>
      <c r="AM63" s="1129"/>
      <c r="AN63" s="1130"/>
      <c r="AO63" s="1130"/>
      <c r="AP63" s="1510"/>
      <c r="AQ63" s="1131"/>
      <c r="AR63" s="1129"/>
      <c r="AS63" s="1130"/>
      <c r="AT63" s="1130"/>
      <c r="AU63" s="1510"/>
      <c r="AV63" s="1131"/>
      <c r="AW63" s="1133"/>
      <c r="AX63" s="1492">
        <f t="shared" si="56"/>
        <v>0.8</v>
      </c>
      <c r="AY63" s="1490">
        <f t="shared" si="57"/>
        <v>0.8</v>
      </c>
      <c r="AZ63" s="1490">
        <f t="shared" si="58"/>
        <v>0.8</v>
      </c>
      <c r="BA63" s="1490">
        <f t="shared" si="59"/>
        <v>0.8</v>
      </c>
      <c r="BB63" s="1491">
        <f t="shared" si="60"/>
        <v>0.8</v>
      </c>
      <c r="BC63" s="1492">
        <f t="shared" si="61"/>
        <v>1.36</v>
      </c>
      <c r="BD63" s="1490">
        <f t="shared" si="62"/>
        <v>1</v>
      </c>
      <c r="BE63" s="1490">
        <f t="shared" si="63"/>
        <v>1</v>
      </c>
      <c r="BF63" s="1490">
        <f t="shared" si="64"/>
        <v>1</v>
      </c>
      <c r="BG63" s="1491">
        <f t="shared" si="65"/>
        <v>1</v>
      </c>
      <c r="BH63" s="1133"/>
      <c r="BI63" s="1492">
        <f t="shared" ca="1" si="66"/>
        <v>5.0000000000000001E-3</v>
      </c>
      <c r="BJ63" s="1490">
        <f t="shared" ca="1" si="67"/>
        <v>1.4999999999999999E-2</v>
      </c>
      <c r="BK63" s="1490">
        <f t="shared" ca="1" si="68"/>
        <v>2.5000000000000001E-2</v>
      </c>
      <c r="BL63" s="1490">
        <f t="shared" ca="1" si="69"/>
        <v>3.5000000000000003E-2</v>
      </c>
      <c r="BM63" s="1491">
        <f t="shared" ca="1" si="70"/>
        <v>4.4999999999999998E-2</v>
      </c>
      <c r="BN63" s="1492">
        <f t="shared" ca="1" si="71"/>
        <v>5.8500000000000003E-2</v>
      </c>
      <c r="BO63" s="1490">
        <f t="shared" ca="1" si="72"/>
        <v>7.325000000000001E-2</v>
      </c>
      <c r="BP63" s="1490">
        <f t="shared" ca="1" si="73"/>
        <v>8.5750000000000007E-2</v>
      </c>
      <c r="BQ63" s="1490">
        <f t="shared" ca="1" si="74"/>
        <v>9.8250000000000004E-2</v>
      </c>
      <c r="BR63" s="1491">
        <f t="shared" ca="1" si="75"/>
        <v>0.11075</v>
      </c>
      <c r="BS63" s="1133"/>
      <c r="BT63" s="1492">
        <f>+IF($K63="Ongoing",AX63,IF(RIGHT($K63,2)=RIGHT(BT$39,2),SUM($AX63:AX63),0)+IF(RIGHT(BT$39,2)&gt;RIGHT($K63,2),AX63,0))</f>
        <v>0.8</v>
      </c>
      <c r="BU63" s="1490">
        <f>+IF($K63="Ongoing",AY63,IF(RIGHT($K63,2)=RIGHT(BU$39,2),SUM($AX63:AY63),0)+IF(RIGHT(BU$39,2)&gt;RIGHT($K63,2),AY63,0))</f>
        <v>0.8</v>
      </c>
      <c r="BV63" s="1490">
        <f>+IF($K63="Ongoing",AZ63,IF(RIGHT($K63,2)=RIGHT(BV$39,2),SUM($AX63:AZ63),0)+IF(RIGHT(BV$39,2)&gt;RIGHT($K63,2),AZ63,0))</f>
        <v>0.8</v>
      </c>
      <c r="BW63" s="1490">
        <f>+IF($K63="Ongoing",BA63,IF(RIGHT($K63,2)=RIGHT(BW$39,2),SUM($AX63:BA63),0)+IF(RIGHT(BW$39,2)&gt;RIGHT($K63,2),BA63,0))</f>
        <v>0.8</v>
      </c>
      <c r="BX63" s="1491">
        <f>+IF($K63="Ongoing",BB63,IF(RIGHT($K63,2)=RIGHT(BX$39,2),SUM($AX63:BB63),0)+IF(RIGHT(BX$39,2)&gt;RIGHT($K63,2),BB63,0))</f>
        <v>0.8</v>
      </c>
      <c r="BY63" s="1492">
        <f>+IF($K63="Ongoing",BC63,IF(RIGHT($K63,2)=RIGHT(BY$39,2),SUM($AX63:BC63),0)+IF(RIGHT(BY$39,2)&gt;RIGHT($K63,2),BC63,0))</f>
        <v>1.36</v>
      </c>
      <c r="BZ63" s="1490">
        <f>+IF($K63="Ongoing",BD63,IF(RIGHT($K63,2)=RIGHT(BZ$39,2),SUM($AX63:BD63),0)+IF(RIGHT(BZ$39,2)&gt;RIGHT($K63,2),BD63,0))</f>
        <v>1</v>
      </c>
      <c r="CA63" s="1490">
        <f>+IF($K63="Ongoing",BE63,IF(RIGHT($K63,2)=RIGHT(CA$39,2),SUM($AX63:BE63),0)+IF(RIGHT(CA$39,2)&gt;RIGHT($K63,2),BE63,0))</f>
        <v>1</v>
      </c>
      <c r="CB63" s="1490">
        <f>+IF($K63="Ongoing",BF63,IF(RIGHT($K63,2)=RIGHT(CB$39,2),SUM($AX63:BF63),0)+IF(RIGHT(CB$39,2)&gt;RIGHT($K63,2),BF63,0))</f>
        <v>1</v>
      </c>
      <c r="CC63" s="1491">
        <f>+IF($K63="Ongoing",BG63,IF(RIGHT($K63,2)=RIGHT(CC$39,2),SUM($AX63:BG63),0)+IF(RIGHT(CC$39,2)&gt;RIGHT($K63,2),BG63,0))</f>
        <v>1</v>
      </c>
      <c r="CD63" s="1133"/>
      <c r="CE63" s="1492">
        <f>+Q63*KeyAssumptionsPriceControl_FO!AC$15</f>
        <v>0.82400000000000007</v>
      </c>
      <c r="CF63" s="1490">
        <f>+R63*KeyAssumptionsPriceControl_FO!AD$15</f>
        <v>0.84872000000000003</v>
      </c>
      <c r="CG63" s="1490">
        <f>+S63*KeyAssumptionsPriceControl_FO!AE$15</f>
        <v>0.8741816</v>
      </c>
      <c r="CH63" s="1490">
        <f>+T63*KeyAssumptionsPriceControl_FO!AF$15</f>
        <v>0.90040704800000015</v>
      </c>
      <c r="CI63" s="1491">
        <f>+U63*KeyAssumptionsPriceControl_FO!AG$15</f>
        <v>0.92741925944000014</v>
      </c>
      <c r="CJ63" s="1492">
        <f>+V63*KeyAssumptionsPriceControl_FO!AH$15</f>
        <v>1.6239111232794403</v>
      </c>
      <c r="CK63" s="1490">
        <f>+W63*KeyAssumptionsPriceControl_FO!AI$15</f>
        <v>1.2298738654248702</v>
      </c>
      <c r="CL63" s="1490">
        <f>+X63*KeyAssumptionsPriceControl_FO!AJ$15</f>
        <v>1.2667700813876164</v>
      </c>
      <c r="CM63" s="1490">
        <f>+Y63*KeyAssumptionsPriceControl_FO!AK$15</f>
        <v>1.3047731838292449</v>
      </c>
      <c r="CN63" s="1491">
        <f>+Z63*KeyAssumptionsPriceControl_FO!AL$15</f>
        <v>1.3439163793441222</v>
      </c>
      <c r="CO63" s="1133"/>
      <c r="CP63" s="1492">
        <f t="shared" ca="1" si="76"/>
        <v>5.1500000000000001E-3</v>
      </c>
      <c r="CQ63" s="1490">
        <f t="shared" ca="1" si="77"/>
        <v>1.56045E-2</v>
      </c>
      <c r="CR63" s="1490">
        <f t="shared" ca="1" si="78"/>
        <v>2.6372634999999998E-2</v>
      </c>
      <c r="CS63" s="1490">
        <f t="shared" ca="1" si="79"/>
        <v>3.7463814050000002E-2</v>
      </c>
      <c r="CT63" s="1491">
        <f t="shared" ca="1" si="80"/>
        <v>4.8887728471499997E-2</v>
      </c>
      <c r="CU63" s="1492">
        <f t="shared" ca="1" si="81"/>
        <v>6.4833543363496504E-2</v>
      </c>
      <c r="CV63" s="1490">
        <f t="shared" ca="1" si="82"/>
        <v>8.2669699542898462E-2</v>
      </c>
      <c r="CW63" s="1490">
        <f t="shared" ca="1" si="83"/>
        <v>9.827372421047649E-2</v>
      </c>
      <c r="CX63" s="1490">
        <f t="shared" ca="1" si="84"/>
        <v>0.11434586961808187</v>
      </c>
      <c r="CY63" s="1491">
        <f t="shared" ca="1" si="85"/>
        <v>0.1309001793879154</v>
      </c>
    </row>
    <row r="64" spans="2:103" x14ac:dyDescent="0.3">
      <c r="B64" s="397"/>
      <c r="C64" s="1294" t="s">
        <v>1114</v>
      </c>
      <c r="D64" s="1295"/>
      <c r="E64" s="2097" t="s">
        <v>21</v>
      </c>
      <c r="F64" s="2097" t="s">
        <v>239</v>
      </c>
      <c r="G64" s="1294" t="s">
        <v>14</v>
      </c>
      <c r="H64" s="2349" t="s">
        <v>516</v>
      </c>
      <c r="I64" s="2350"/>
      <c r="J64" s="1292" t="s">
        <v>279</v>
      </c>
      <c r="K64" s="1292" t="s">
        <v>296</v>
      </c>
      <c r="L64" s="1292">
        <v>80</v>
      </c>
      <c r="M64" s="1292">
        <v>80</v>
      </c>
      <c r="O64" s="376"/>
      <c r="P64" s="376"/>
      <c r="Q64" s="2337">
        <v>2.2999999999999998</v>
      </c>
      <c r="R64" s="2338">
        <v>0.1</v>
      </c>
      <c r="S64" s="2338">
        <v>0.15</v>
      </c>
      <c r="T64" s="2338">
        <v>0.4</v>
      </c>
      <c r="U64" s="2339">
        <v>0.35</v>
      </c>
      <c r="V64" s="2337">
        <v>0.48</v>
      </c>
      <c r="W64" s="2338">
        <v>0.23</v>
      </c>
      <c r="X64" s="2338">
        <v>0.23</v>
      </c>
      <c r="Y64" s="2338">
        <v>0.23</v>
      </c>
      <c r="Z64" s="2339">
        <v>0.23</v>
      </c>
      <c r="AA64" s="1132"/>
      <c r="AB64" s="1129"/>
      <c r="AC64" s="1130"/>
      <c r="AD64" s="1510"/>
      <c r="AE64" s="1510"/>
      <c r="AF64" s="1131"/>
      <c r="AG64" s="1129"/>
      <c r="AH64" s="1130"/>
      <c r="AI64" s="1130"/>
      <c r="AJ64" s="1130"/>
      <c r="AK64" s="1131"/>
      <c r="AL64" s="1132"/>
      <c r="AM64" s="1129"/>
      <c r="AN64" s="1130"/>
      <c r="AO64" s="1130"/>
      <c r="AP64" s="1510"/>
      <c r="AQ64" s="1131"/>
      <c r="AR64" s="1129"/>
      <c r="AS64" s="1130"/>
      <c r="AT64" s="1130"/>
      <c r="AU64" s="1510"/>
      <c r="AV64" s="1131"/>
      <c r="AW64" s="1133"/>
      <c r="AX64" s="1492">
        <f t="shared" si="56"/>
        <v>2.2999999999999998</v>
      </c>
      <c r="AY64" s="1490">
        <f t="shared" si="57"/>
        <v>0.1</v>
      </c>
      <c r="AZ64" s="1490">
        <f t="shared" si="58"/>
        <v>0.15</v>
      </c>
      <c r="BA64" s="1490">
        <f t="shared" si="59"/>
        <v>0.4</v>
      </c>
      <c r="BB64" s="1491">
        <f t="shared" si="60"/>
        <v>0.35</v>
      </c>
      <c r="BC64" s="1492">
        <f t="shared" si="61"/>
        <v>0.48</v>
      </c>
      <c r="BD64" s="1490">
        <f t="shared" si="62"/>
        <v>0.23</v>
      </c>
      <c r="BE64" s="1490">
        <f t="shared" si="63"/>
        <v>0.23</v>
      </c>
      <c r="BF64" s="1490">
        <f t="shared" si="64"/>
        <v>0.23</v>
      </c>
      <c r="BG64" s="1491">
        <f t="shared" si="65"/>
        <v>0.23</v>
      </c>
      <c r="BH64" s="1133"/>
      <c r="BI64" s="1492">
        <f t="shared" ca="1" si="66"/>
        <v>1.4374999999999999E-2</v>
      </c>
      <c r="BJ64" s="1490">
        <f t="shared" ca="1" si="67"/>
        <v>2.9374999999999998E-2</v>
      </c>
      <c r="BK64" s="1490">
        <f t="shared" ca="1" si="68"/>
        <v>3.09375E-2</v>
      </c>
      <c r="BL64" s="1490">
        <f t="shared" ca="1" si="69"/>
        <v>3.4375000000000003E-2</v>
      </c>
      <c r="BM64" s="1491">
        <f t="shared" ca="1" si="70"/>
        <v>3.90625E-2</v>
      </c>
      <c r="BN64" s="1492">
        <f t="shared" ca="1" si="71"/>
        <v>4.4249999999999998E-2</v>
      </c>
      <c r="BO64" s="1490">
        <f t="shared" ca="1" si="72"/>
        <v>4.8687500000000002E-2</v>
      </c>
      <c r="BP64" s="1490">
        <f t="shared" ca="1" si="73"/>
        <v>5.1562499999999997E-2</v>
      </c>
      <c r="BQ64" s="1490">
        <f t="shared" ca="1" si="74"/>
        <v>5.4437500000000007E-2</v>
      </c>
      <c r="BR64" s="1491">
        <f t="shared" ca="1" si="75"/>
        <v>5.7312500000000009E-2</v>
      </c>
      <c r="BS64" s="1133"/>
      <c r="BT64" s="1492">
        <f>+IF($K64="Ongoing",AX64,IF(RIGHT($K64,2)=RIGHT(BT$39,2),SUM($AX64:AX64),0)+IF(RIGHT(BT$39,2)&gt;RIGHT($K64,2),AX64,0))</f>
        <v>2.2999999999999998</v>
      </c>
      <c r="BU64" s="1490">
        <f>+IF($K64="Ongoing",AY64,IF(RIGHT($K64,2)=RIGHT(BU$39,2),SUM($AX64:AY64),0)+IF(RIGHT(BU$39,2)&gt;RIGHT($K64,2),AY64,0))</f>
        <v>0.1</v>
      </c>
      <c r="BV64" s="1490">
        <f>+IF($K64="Ongoing",AZ64,IF(RIGHT($K64,2)=RIGHT(BV$39,2),SUM($AX64:AZ64),0)+IF(RIGHT(BV$39,2)&gt;RIGHT($K64,2),AZ64,0))</f>
        <v>0.15</v>
      </c>
      <c r="BW64" s="1490">
        <f>+IF($K64="Ongoing",BA64,IF(RIGHT($K64,2)=RIGHT(BW$39,2),SUM($AX64:BA64),0)+IF(RIGHT(BW$39,2)&gt;RIGHT($K64,2),BA64,0))</f>
        <v>0.4</v>
      </c>
      <c r="BX64" s="1491">
        <f>+IF($K64="Ongoing",BB64,IF(RIGHT($K64,2)=RIGHT(BX$39,2),SUM($AX64:BB64),0)+IF(RIGHT(BX$39,2)&gt;RIGHT($K64,2),BB64,0))</f>
        <v>0.35</v>
      </c>
      <c r="BY64" s="1492">
        <f>+IF($K64="Ongoing",BC64,IF(RIGHT($K64,2)=RIGHT(BY$39,2),SUM($AX64:BC64),0)+IF(RIGHT(BY$39,2)&gt;RIGHT($K64,2),BC64,0))</f>
        <v>0.48</v>
      </c>
      <c r="BZ64" s="1490">
        <f>+IF($K64="Ongoing",BD64,IF(RIGHT($K64,2)=RIGHT(BZ$39,2),SUM($AX64:BD64),0)+IF(RIGHT(BZ$39,2)&gt;RIGHT($K64,2),BD64,0))</f>
        <v>0.23</v>
      </c>
      <c r="CA64" s="1490">
        <f>+IF($K64="Ongoing",BE64,IF(RIGHT($K64,2)=RIGHT(CA$39,2),SUM($AX64:BE64),0)+IF(RIGHT(CA$39,2)&gt;RIGHT($K64,2),BE64,0))</f>
        <v>0.23</v>
      </c>
      <c r="CB64" s="1490">
        <f>+IF($K64="Ongoing",BF64,IF(RIGHT($K64,2)=RIGHT(CB$39,2),SUM($AX64:BF64),0)+IF(RIGHT(CB$39,2)&gt;RIGHT($K64,2),BF64,0))</f>
        <v>0.23</v>
      </c>
      <c r="CC64" s="1491">
        <f>+IF($K64="Ongoing",BG64,IF(RIGHT($K64,2)=RIGHT(CC$39,2),SUM($AX64:BG64),0)+IF(RIGHT(CC$39,2)&gt;RIGHT($K64,2),BG64,0))</f>
        <v>0.23</v>
      </c>
      <c r="CD64" s="1133"/>
      <c r="CE64" s="1492">
        <f>+Q64*KeyAssumptionsPriceControl_FO!AC$15</f>
        <v>2.3689999999999998</v>
      </c>
      <c r="CF64" s="1490">
        <f>+R64*KeyAssumptionsPriceControl_FO!AD$15</f>
        <v>0.10609</v>
      </c>
      <c r="CG64" s="1490">
        <f>+S64*KeyAssumptionsPriceControl_FO!AE$15</f>
        <v>0.16390905</v>
      </c>
      <c r="CH64" s="1490">
        <f>+T64*KeyAssumptionsPriceControl_FO!AF$15</f>
        <v>0.45020352400000008</v>
      </c>
      <c r="CI64" s="1491">
        <f>+U64*KeyAssumptionsPriceControl_FO!AG$15</f>
        <v>0.40574592600499998</v>
      </c>
      <c r="CJ64" s="1492">
        <f>+V64*KeyAssumptionsPriceControl_FO!AH$15</f>
        <v>0.57314510233392002</v>
      </c>
      <c r="CK64" s="1490">
        <f>+W64*KeyAssumptionsPriceControl_FO!AI$15</f>
        <v>0.28287098904772018</v>
      </c>
      <c r="CL64" s="1490">
        <f>+X64*KeyAssumptionsPriceControl_FO!AJ$15</f>
        <v>0.29135711871915176</v>
      </c>
      <c r="CM64" s="1490">
        <f>+Y64*KeyAssumptionsPriceControl_FO!AK$15</f>
        <v>0.30009783228072634</v>
      </c>
      <c r="CN64" s="1491">
        <f>+Z64*KeyAssumptionsPriceControl_FO!AL$15</f>
        <v>0.30910076724914815</v>
      </c>
      <c r="CO64" s="1133"/>
      <c r="CP64" s="1492">
        <f t="shared" ca="1" si="76"/>
        <v>1.4806249999999998E-2</v>
      </c>
      <c r="CQ64" s="1490">
        <f t="shared" ca="1" si="77"/>
        <v>3.0275562499999995E-2</v>
      </c>
      <c r="CR64" s="1490">
        <f t="shared" ca="1" si="78"/>
        <v>3.1963056562499995E-2</v>
      </c>
      <c r="CS64" s="1490">
        <f t="shared" ca="1" si="79"/>
        <v>3.580126015E-2</v>
      </c>
      <c r="CT64" s="1491">
        <f t="shared" ca="1" si="80"/>
        <v>4.1150944212531244E-2</v>
      </c>
      <c r="CU64" s="1492">
        <f t="shared" ca="1" si="81"/>
        <v>4.7269013139649492E-2</v>
      </c>
      <c r="CV64" s="1490">
        <f t="shared" ca="1" si="82"/>
        <v>5.2619113710784739E-2</v>
      </c>
      <c r="CW64" s="1490">
        <f t="shared" ca="1" si="83"/>
        <v>5.6208039384327696E-2</v>
      </c>
      <c r="CX64" s="1490">
        <f t="shared" ca="1" si="84"/>
        <v>5.9904632828076933E-2</v>
      </c>
      <c r="CY64" s="1491">
        <f t="shared" ca="1" si="85"/>
        <v>6.371212407513864E-2</v>
      </c>
    </row>
    <row r="65" spans="2:103" x14ac:dyDescent="0.3">
      <c r="B65" s="397"/>
      <c r="C65" s="1294" t="s">
        <v>1115</v>
      </c>
      <c r="D65" s="1295"/>
      <c r="E65" s="2097" t="s">
        <v>21</v>
      </c>
      <c r="F65" s="2097" t="s">
        <v>12</v>
      </c>
      <c r="G65" s="1294" t="s">
        <v>14</v>
      </c>
      <c r="H65" s="2349" t="s">
        <v>516</v>
      </c>
      <c r="I65" s="2350"/>
      <c r="J65" s="1292" t="s">
        <v>279</v>
      </c>
      <c r="K65" s="1292" t="s">
        <v>296</v>
      </c>
      <c r="L65" s="1292">
        <v>60</v>
      </c>
      <c r="M65" s="1292">
        <v>60</v>
      </c>
      <c r="O65" s="376"/>
      <c r="P65" s="376"/>
      <c r="Q65" s="2337">
        <v>0</v>
      </c>
      <c r="R65" s="2338">
        <v>0.3</v>
      </c>
      <c r="S65" s="2338">
        <v>2.2250000000000001</v>
      </c>
      <c r="T65" s="2338">
        <v>0.5</v>
      </c>
      <c r="U65" s="2339">
        <v>0</v>
      </c>
      <c r="V65" s="2337">
        <v>0</v>
      </c>
      <c r="W65" s="2338">
        <v>0</v>
      </c>
      <c r="X65" s="2338">
        <v>0</v>
      </c>
      <c r="Y65" s="2338">
        <v>0</v>
      </c>
      <c r="Z65" s="2339">
        <v>0</v>
      </c>
      <c r="AA65" s="1132"/>
      <c r="AB65" s="1129"/>
      <c r="AC65" s="1130"/>
      <c r="AD65" s="1510"/>
      <c r="AE65" s="1130"/>
      <c r="AF65" s="1131"/>
      <c r="AG65" s="1129"/>
      <c r="AH65" s="1510"/>
      <c r="AI65" s="1130"/>
      <c r="AJ65" s="1130"/>
      <c r="AK65" s="1131"/>
      <c r="AL65" s="1132"/>
      <c r="AM65" s="1509"/>
      <c r="AN65" s="1130"/>
      <c r="AO65" s="1510"/>
      <c r="AP65" s="1510"/>
      <c r="AQ65" s="1131"/>
      <c r="AR65" s="1129"/>
      <c r="AS65" s="1130"/>
      <c r="AT65" s="1130"/>
      <c r="AU65" s="1130"/>
      <c r="AV65" s="1131"/>
      <c r="AW65" s="1133"/>
      <c r="AX65" s="1492">
        <f t="shared" si="56"/>
        <v>0</v>
      </c>
      <c r="AY65" s="1490">
        <f t="shared" si="57"/>
        <v>0.3</v>
      </c>
      <c r="AZ65" s="1490">
        <f t="shared" si="58"/>
        <v>2.2250000000000001</v>
      </c>
      <c r="BA65" s="1490">
        <f t="shared" si="59"/>
        <v>0.5</v>
      </c>
      <c r="BB65" s="1491">
        <f t="shared" si="60"/>
        <v>0</v>
      </c>
      <c r="BC65" s="1492">
        <f t="shared" si="61"/>
        <v>0</v>
      </c>
      <c r="BD65" s="1490">
        <f t="shared" si="62"/>
        <v>0</v>
      </c>
      <c r="BE65" s="1490">
        <f t="shared" si="63"/>
        <v>0</v>
      </c>
      <c r="BF65" s="1490">
        <f t="shared" si="64"/>
        <v>0</v>
      </c>
      <c r="BG65" s="1491">
        <f t="shared" si="65"/>
        <v>0</v>
      </c>
      <c r="BH65" s="1133"/>
      <c r="BI65" s="1492">
        <f t="shared" ca="1" si="66"/>
        <v>0</v>
      </c>
      <c r="BJ65" s="1490">
        <f t="shared" ca="1" si="67"/>
        <v>2.5000000000000001E-3</v>
      </c>
      <c r="BK65" s="1490">
        <f t="shared" ca="1" si="68"/>
        <v>2.3541666666666669E-2</v>
      </c>
      <c r="BL65" s="1490">
        <f t="shared" ca="1" si="69"/>
        <v>4.6249999999999999E-2</v>
      </c>
      <c r="BM65" s="1491">
        <f t="shared" ca="1" si="70"/>
        <v>5.0416666666666665E-2</v>
      </c>
      <c r="BN65" s="1492">
        <f t="shared" ca="1" si="71"/>
        <v>5.0416666666666665E-2</v>
      </c>
      <c r="BO65" s="1490">
        <f t="shared" ca="1" si="72"/>
        <v>5.0416666666666665E-2</v>
      </c>
      <c r="BP65" s="1490">
        <f t="shared" ca="1" si="73"/>
        <v>5.0416666666666665E-2</v>
      </c>
      <c r="BQ65" s="1490">
        <f t="shared" ca="1" si="74"/>
        <v>5.0416666666666665E-2</v>
      </c>
      <c r="BR65" s="1491">
        <f t="shared" ca="1" si="75"/>
        <v>5.0416666666666665E-2</v>
      </c>
      <c r="BS65" s="1133"/>
      <c r="BT65" s="1492">
        <f>+IF($K65="Ongoing",AX65,IF(RIGHT($K65,2)=RIGHT(BT$39,2),SUM($AX65:AX65),0)+IF(RIGHT(BT$39,2)&gt;RIGHT($K65,2),AX65,0))</f>
        <v>0</v>
      </c>
      <c r="BU65" s="1490">
        <f>+IF($K65="Ongoing",AY65,IF(RIGHT($K65,2)=RIGHT(BU$39,2),SUM($AX65:AY65),0)+IF(RIGHT(BU$39,2)&gt;RIGHT($K65,2),AY65,0))</f>
        <v>0.3</v>
      </c>
      <c r="BV65" s="1490">
        <f>+IF($K65="Ongoing",AZ65,IF(RIGHT($K65,2)=RIGHT(BV$39,2),SUM($AX65:AZ65),0)+IF(RIGHT(BV$39,2)&gt;RIGHT($K65,2),AZ65,0))</f>
        <v>2.2250000000000001</v>
      </c>
      <c r="BW65" s="1490">
        <f>+IF($K65="Ongoing",BA65,IF(RIGHT($K65,2)=RIGHT(BW$39,2),SUM($AX65:BA65),0)+IF(RIGHT(BW$39,2)&gt;RIGHT($K65,2),BA65,0))</f>
        <v>0.5</v>
      </c>
      <c r="BX65" s="1491">
        <f>+IF($K65="Ongoing",BB65,IF(RIGHT($K65,2)=RIGHT(BX$39,2),SUM($AX65:BB65),0)+IF(RIGHT(BX$39,2)&gt;RIGHT($K65,2),BB65,0))</f>
        <v>0</v>
      </c>
      <c r="BY65" s="1492">
        <f>+IF($K65="Ongoing",BC65,IF(RIGHT($K65,2)=RIGHT(BY$39,2),SUM($AX65:BC65),0)+IF(RIGHT(BY$39,2)&gt;RIGHT($K65,2),BC65,0))</f>
        <v>0</v>
      </c>
      <c r="BZ65" s="1490">
        <f>+IF($K65="Ongoing",BD65,IF(RIGHT($K65,2)=RIGHT(BZ$39,2),SUM($AX65:BD65),0)+IF(RIGHT(BZ$39,2)&gt;RIGHT($K65,2),BD65,0))</f>
        <v>0</v>
      </c>
      <c r="CA65" s="1490">
        <f>+IF($K65="Ongoing",BE65,IF(RIGHT($K65,2)=RIGHT(CA$39,2),SUM($AX65:BE65),0)+IF(RIGHT(CA$39,2)&gt;RIGHT($K65,2),BE65,0))</f>
        <v>0</v>
      </c>
      <c r="CB65" s="1490">
        <f>+IF($K65="Ongoing",BF65,IF(RIGHT($K65,2)=RIGHT(CB$39,2),SUM($AX65:BF65),0)+IF(RIGHT(CB$39,2)&gt;RIGHT($K65,2),BF65,0))</f>
        <v>0</v>
      </c>
      <c r="CC65" s="1491">
        <f>+IF($K65="Ongoing",BG65,IF(RIGHT($K65,2)=RIGHT(CC$39,2),SUM($AX65:BG65),0)+IF(RIGHT(CC$39,2)&gt;RIGHT($K65,2),BG65,0))</f>
        <v>0</v>
      </c>
      <c r="CD65" s="1133"/>
      <c r="CE65" s="1492">
        <f>+Q65*KeyAssumptionsPriceControl_FO!AC$15</f>
        <v>0</v>
      </c>
      <c r="CF65" s="1490">
        <f>+R65*KeyAssumptionsPriceControl_FO!AD$15</f>
        <v>0.31827</v>
      </c>
      <c r="CG65" s="1490">
        <f>+S65*KeyAssumptionsPriceControl_FO!AE$15</f>
        <v>2.431317575</v>
      </c>
      <c r="CH65" s="1490">
        <f>+T65*KeyAssumptionsPriceControl_FO!AF$15</f>
        <v>0.56275440500000007</v>
      </c>
      <c r="CI65" s="1491">
        <f>+U65*KeyAssumptionsPriceControl_FO!AG$15</f>
        <v>0</v>
      </c>
      <c r="CJ65" s="1492">
        <f>+V65*KeyAssumptionsPriceControl_FO!AH$15</f>
        <v>0</v>
      </c>
      <c r="CK65" s="1490">
        <f>+W65*KeyAssumptionsPriceControl_FO!AI$15</f>
        <v>0</v>
      </c>
      <c r="CL65" s="1490">
        <f>+X65*KeyAssumptionsPriceControl_FO!AJ$15</f>
        <v>0</v>
      </c>
      <c r="CM65" s="1490">
        <f>+Y65*KeyAssumptionsPriceControl_FO!AK$15</f>
        <v>0</v>
      </c>
      <c r="CN65" s="1491">
        <f>+Z65*KeyAssumptionsPriceControl_FO!AL$15</f>
        <v>0</v>
      </c>
      <c r="CO65" s="1133"/>
      <c r="CP65" s="1492">
        <f t="shared" ca="1" si="76"/>
        <v>0</v>
      </c>
      <c r="CQ65" s="1490">
        <f t="shared" ca="1" si="77"/>
        <v>2.6522500000000001E-3</v>
      </c>
      <c r="CR65" s="1490">
        <f t="shared" ca="1" si="78"/>
        <v>2.5565479791666668E-2</v>
      </c>
      <c r="CS65" s="1490">
        <f t="shared" ca="1" si="79"/>
        <v>5.0516079625000002E-2</v>
      </c>
      <c r="CT65" s="1491">
        <f t="shared" ca="1" si="80"/>
        <v>5.520569966666667E-2</v>
      </c>
      <c r="CU65" s="1492">
        <f t="shared" ca="1" si="81"/>
        <v>5.520569966666667E-2</v>
      </c>
      <c r="CV65" s="1490">
        <f t="shared" ca="1" si="82"/>
        <v>5.520569966666667E-2</v>
      </c>
      <c r="CW65" s="1490">
        <f t="shared" ca="1" si="83"/>
        <v>5.520569966666667E-2</v>
      </c>
      <c r="CX65" s="1490">
        <f t="shared" ca="1" si="84"/>
        <v>5.520569966666667E-2</v>
      </c>
      <c r="CY65" s="1491">
        <f t="shared" ca="1" si="85"/>
        <v>5.520569966666667E-2</v>
      </c>
    </row>
    <row r="66" spans="2:103" x14ac:dyDescent="0.3">
      <c r="B66" s="397"/>
      <c r="C66" s="1294" t="s">
        <v>1116</v>
      </c>
      <c r="D66" s="1295"/>
      <c r="E66" s="2097" t="s">
        <v>21</v>
      </c>
      <c r="F66" s="2097" t="s">
        <v>239</v>
      </c>
      <c r="G66" s="1294" t="s">
        <v>14</v>
      </c>
      <c r="H66" s="2349" t="s">
        <v>516</v>
      </c>
      <c r="I66" s="2350"/>
      <c r="J66" s="1292" t="s">
        <v>279</v>
      </c>
      <c r="K66" s="1292" t="s">
        <v>296</v>
      </c>
      <c r="L66" s="1292">
        <v>80</v>
      </c>
      <c r="M66" s="1292">
        <v>80</v>
      </c>
      <c r="O66" s="376"/>
      <c r="P66" s="376"/>
      <c r="Q66" s="2337">
        <v>0</v>
      </c>
      <c r="R66" s="2338">
        <v>0</v>
      </c>
      <c r="S66" s="2338">
        <v>0</v>
      </c>
      <c r="T66" s="2338">
        <v>0.1</v>
      </c>
      <c r="U66" s="2339">
        <v>2.9</v>
      </c>
      <c r="V66" s="2337">
        <v>0</v>
      </c>
      <c r="W66" s="2338">
        <v>0</v>
      </c>
      <c r="X66" s="2338">
        <v>0</v>
      </c>
      <c r="Y66" s="2338">
        <v>0.3</v>
      </c>
      <c r="Z66" s="2339">
        <v>4.7</v>
      </c>
      <c r="AA66" s="1132"/>
      <c r="AB66" s="1129"/>
      <c r="AC66" s="1130"/>
      <c r="AD66" s="1510"/>
      <c r="AE66" s="1510"/>
      <c r="AF66" s="1131"/>
      <c r="AG66" s="1129"/>
      <c r="AH66" s="1130"/>
      <c r="AI66" s="1130"/>
      <c r="AJ66" s="1130"/>
      <c r="AK66" s="1131"/>
      <c r="AL66" s="1132"/>
      <c r="AM66" s="1129"/>
      <c r="AN66" s="1130"/>
      <c r="AO66" s="1130"/>
      <c r="AP66" s="1510"/>
      <c r="AQ66" s="1131"/>
      <c r="AR66" s="1129"/>
      <c r="AS66" s="1130"/>
      <c r="AT66" s="1130"/>
      <c r="AU66" s="1510"/>
      <c r="AV66" s="1131"/>
      <c r="AW66" s="1133"/>
      <c r="AX66" s="1492">
        <f t="shared" si="56"/>
        <v>0</v>
      </c>
      <c r="AY66" s="1490">
        <f t="shared" si="57"/>
        <v>0</v>
      </c>
      <c r="AZ66" s="1490">
        <f t="shared" si="58"/>
        <v>0</v>
      </c>
      <c r="BA66" s="1490">
        <f t="shared" si="59"/>
        <v>0.1</v>
      </c>
      <c r="BB66" s="1491">
        <f t="shared" si="60"/>
        <v>2.9</v>
      </c>
      <c r="BC66" s="1492">
        <f t="shared" si="61"/>
        <v>0</v>
      </c>
      <c r="BD66" s="1490">
        <f t="shared" si="62"/>
        <v>0</v>
      </c>
      <c r="BE66" s="1490">
        <f t="shared" si="63"/>
        <v>0</v>
      </c>
      <c r="BF66" s="1490">
        <f t="shared" si="64"/>
        <v>0.3</v>
      </c>
      <c r="BG66" s="1491">
        <f t="shared" si="65"/>
        <v>4.7</v>
      </c>
      <c r="BH66" s="1133"/>
      <c r="BI66" s="1492">
        <f t="shared" ca="1" si="66"/>
        <v>0</v>
      </c>
      <c r="BJ66" s="1490">
        <f t="shared" ca="1" si="67"/>
        <v>0</v>
      </c>
      <c r="BK66" s="1490">
        <f t="shared" ca="1" si="68"/>
        <v>0</v>
      </c>
      <c r="BL66" s="1490">
        <f t="shared" ca="1" si="69"/>
        <v>6.2500000000000001E-4</v>
      </c>
      <c r="BM66" s="1491">
        <f t="shared" ca="1" si="70"/>
        <v>1.9375E-2</v>
      </c>
      <c r="BN66" s="1492">
        <f t="shared" ca="1" si="71"/>
        <v>3.7499999999999999E-2</v>
      </c>
      <c r="BO66" s="1490">
        <f t="shared" ca="1" si="72"/>
        <v>3.7499999999999999E-2</v>
      </c>
      <c r="BP66" s="1490">
        <f t="shared" ca="1" si="73"/>
        <v>3.7499999999999999E-2</v>
      </c>
      <c r="BQ66" s="1490">
        <f t="shared" ca="1" si="74"/>
        <v>3.9375E-2</v>
      </c>
      <c r="BR66" s="1491">
        <f t="shared" ca="1" si="75"/>
        <v>7.0624999999999993E-2</v>
      </c>
      <c r="BS66" s="1133"/>
      <c r="BT66" s="1492">
        <f>+IF($K66="Ongoing",AX66,IF(RIGHT($K66,2)=RIGHT(BT$39,2),SUM($AX66:AX66),0)+IF(RIGHT(BT$39,2)&gt;RIGHT($K66,2),AX66,0))</f>
        <v>0</v>
      </c>
      <c r="BU66" s="1490">
        <f>+IF($K66="Ongoing",AY66,IF(RIGHT($K66,2)=RIGHT(BU$39,2),SUM($AX66:AY66),0)+IF(RIGHT(BU$39,2)&gt;RIGHT($K66,2),AY66,0))</f>
        <v>0</v>
      </c>
      <c r="BV66" s="1490">
        <f>+IF($K66="Ongoing",AZ66,IF(RIGHT($K66,2)=RIGHT(BV$39,2),SUM($AX66:AZ66),0)+IF(RIGHT(BV$39,2)&gt;RIGHT($K66,2),AZ66,0))</f>
        <v>0</v>
      </c>
      <c r="BW66" s="1490">
        <f>+IF($K66="Ongoing",BA66,IF(RIGHT($K66,2)=RIGHT(BW$39,2),SUM($AX66:BA66),0)+IF(RIGHT(BW$39,2)&gt;RIGHT($K66,2),BA66,0))</f>
        <v>0.1</v>
      </c>
      <c r="BX66" s="1491">
        <f>+IF($K66="Ongoing",BB66,IF(RIGHT($K66,2)=RIGHT(BX$39,2),SUM($AX66:BB66),0)+IF(RIGHT(BX$39,2)&gt;RIGHT($K66,2),BB66,0))</f>
        <v>2.9</v>
      </c>
      <c r="BY66" s="1492">
        <f>+IF($K66="Ongoing",BC66,IF(RIGHT($K66,2)=RIGHT(BY$39,2),SUM($AX66:BC66),0)+IF(RIGHT(BY$39,2)&gt;RIGHT($K66,2),BC66,0))</f>
        <v>0</v>
      </c>
      <c r="BZ66" s="1490">
        <f>+IF($K66="Ongoing",BD66,IF(RIGHT($K66,2)=RIGHT(BZ$39,2),SUM($AX66:BD66),0)+IF(RIGHT(BZ$39,2)&gt;RIGHT($K66,2),BD66,0))</f>
        <v>0</v>
      </c>
      <c r="CA66" s="1490">
        <f>+IF($K66="Ongoing",BE66,IF(RIGHT($K66,2)=RIGHT(CA$39,2),SUM($AX66:BE66),0)+IF(RIGHT(CA$39,2)&gt;RIGHT($K66,2),BE66,0))</f>
        <v>0</v>
      </c>
      <c r="CB66" s="1490">
        <f>+IF($K66="Ongoing",BF66,IF(RIGHT($K66,2)=RIGHT(CB$39,2),SUM($AX66:BF66),0)+IF(RIGHT(CB$39,2)&gt;RIGHT($K66,2),BF66,0))</f>
        <v>0.3</v>
      </c>
      <c r="CC66" s="1491">
        <f>+IF($K66="Ongoing",BG66,IF(RIGHT($K66,2)=RIGHT(CC$39,2),SUM($AX66:BG66),0)+IF(RIGHT(CC$39,2)&gt;RIGHT($K66,2),BG66,0))</f>
        <v>4.7</v>
      </c>
      <c r="CD66" s="1133"/>
      <c r="CE66" s="1492">
        <f>+Q66*KeyAssumptionsPriceControl_FO!AC$15</f>
        <v>0</v>
      </c>
      <c r="CF66" s="1490">
        <f>+R66*KeyAssumptionsPriceControl_FO!AD$15</f>
        <v>0</v>
      </c>
      <c r="CG66" s="1490">
        <f>+S66*KeyAssumptionsPriceControl_FO!AE$15</f>
        <v>0</v>
      </c>
      <c r="CH66" s="1490">
        <f>+T66*KeyAssumptionsPriceControl_FO!AF$15</f>
        <v>0.11255088100000002</v>
      </c>
      <c r="CI66" s="1491">
        <f>+U66*KeyAssumptionsPriceControl_FO!AG$15</f>
        <v>3.3618948154699999</v>
      </c>
      <c r="CJ66" s="1492">
        <f>+V66*KeyAssumptionsPriceControl_FO!AH$15</f>
        <v>0</v>
      </c>
      <c r="CK66" s="1490">
        <f>+W66*KeyAssumptionsPriceControl_FO!AI$15</f>
        <v>0</v>
      </c>
      <c r="CL66" s="1490">
        <f>+X66*KeyAssumptionsPriceControl_FO!AJ$15</f>
        <v>0</v>
      </c>
      <c r="CM66" s="1490">
        <f>+Y66*KeyAssumptionsPriceControl_FO!AK$15</f>
        <v>0.39143195514877344</v>
      </c>
      <c r="CN66" s="1491">
        <f>+Z66*KeyAssumptionsPriceControl_FO!AL$15</f>
        <v>6.3164069829173748</v>
      </c>
      <c r="CO66" s="1133"/>
      <c r="CP66" s="1492">
        <f t="shared" ca="1" si="76"/>
        <v>0</v>
      </c>
      <c r="CQ66" s="1490">
        <f t="shared" ca="1" si="77"/>
        <v>0</v>
      </c>
      <c r="CR66" s="1490">
        <f t="shared" ca="1" si="78"/>
        <v>0</v>
      </c>
      <c r="CS66" s="1490">
        <f t="shared" ca="1" si="79"/>
        <v>7.0344300625000008E-4</v>
      </c>
      <c r="CT66" s="1491">
        <f t="shared" ca="1" si="80"/>
        <v>2.2418728609187501E-2</v>
      </c>
      <c r="CU66" s="1492">
        <f t="shared" ca="1" si="81"/>
        <v>4.3430571205874999E-2</v>
      </c>
      <c r="CV66" s="1490">
        <f t="shared" ca="1" si="82"/>
        <v>4.3430571205874999E-2</v>
      </c>
      <c r="CW66" s="1490">
        <f t="shared" ca="1" si="83"/>
        <v>4.3430571205874999E-2</v>
      </c>
      <c r="CX66" s="1490">
        <f t="shared" ca="1" si="84"/>
        <v>4.5877020925554832E-2</v>
      </c>
      <c r="CY66" s="1491">
        <f t="shared" ca="1" si="85"/>
        <v>8.780101428846826E-2</v>
      </c>
    </row>
    <row r="67" spans="2:103" x14ac:dyDescent="0.3">
      <c r="B67" s="397"/>
      <c r="C67" s="1294" t="s">
        <v>1117</v>
      </c>
      <c r="D67" s="1295"/>
      <c r="E67" s="2097" t="s">
        <v>21</v>
      </c>
      <c r="F67" s="2097" t="s">
        <v>512</v>
      </c>
      <c r="G67" s="1294" t="s">
        <v>6</v>
      </c>
      <c r="H67" s="2349" t="s">
        <v>516</v>
      </c>
      <c r="I67" s="2350"/>
      <c r="J67" s="1292" t="s">
        <v>279</v>
      </c>
      <c r="K67" s="1292" t="s">
        <v>523</v>
      </c>
      <c r="L67" s="1292">
        <v>60</v>
      </c>
      <c r="M67" s="1292">
        <v>60</v>
      </c>
      <c r="O67" s="376"/>
      <c r="P67" s="376"/>
      <c r="Q67" s="2337">
        <v>0</v>
      </c>
      <c r="R67" s="2338">
        <v>0</v>
      </c>
      <c r="S67" s="2338">
        <v>0</v>
      </c>
      <c r="T67" s="2338">
        <v>2.93</v>
      </c>
      <c r="U67" s="2339">
        <v>0</v>
      </c>
      <c r="V67" s="2337">
        <v>0</v>
      </c>
      <c r="W67" s="2338">
        <v>0</v>
      </c>
      <c r="X67" s="2338">
        <v>0</v>
      </c>
      <c r="Y67" s="2338">
        <v>0</v>
      </c>
      <c r="Z67" s="2339">
        <v>0</v>
      </c>
      <c r="AA67" s="1132"/>
      <c r="AB67" s="1129"/>
      <c r="AC67" s="1130"/>
      <c r="AD67" s="1510"/>
      <c r="AE67" s="1510"/>
      <c r="AF67" s="1131"/>
      <c r="AG67" s="1129"/>
      <c r="AH67" s="1130"/>
      <c r="AI67" s="1130"/>
      <c r="AJ67" s="1130"/>
      <c r="AK67" s="1131"/>
      <c r="AL67" s="1132"/>
      <c r="AM67" s="1129"/>
      <c r="AN67" s="1130"/>
      <c r="AO67" s="1130"/>
      <c r="AP67" s="1510"/>
      <c r="AQ67" s="1131"/>
      <c r="AR67" s="1129"/>
      <c r="AS67" s="1130"/>
      <c r="AT67" s="1130"/>
      <c r="AU67" s="1510"/>
      <c r="AV67" s="1131"/>
      <c r="AW67" s="1133"/>
      <c r="AX67" s="1492">
        <f t="shared" si="56"/>
        <v>0</v>
      </c>
      <c r="AY67" s="1490">
        <f t="shared" si="57"/>
        <v>0</v>
      </c>
      <c r="AZ67" s="1490">
        <f t="shared" si="58"/>
        <v>0</v>
      </c>
      <c r="BA67" s="1490">
        <f t="shared" si="59"/>
        <v>2.93</v>
      </c>
      <c r="BB67" s="1491">
        <f t="shared" si="60"/>
        <v>0</v>
      </c>
      <c r="BC67" s="1492">
        <f t="shared" si="61"/>
        <v>0</v>
      </c>
      <c r="BD67" s="1490">
        <f t="shared" si="62"/>
        <v>0</v>
      </c>
      <c r="BE67" s="1490">
        <f t="shared" si="63"/>
        <v>0</v>
      </c>
      <c r="BF67" s="1490">
        <f t="shared" si="64"/>
        <v>0</v>
      </c>
      <c r="BG67" s="1491">
        <f t="shared" si="65"/>
        <v>0</v>
      </c>
      <c r="BH67" s="1133"/>
      <c r="BI67" s="1492">
        <f t="shared" ca="1" si="66"/>
        <v>0</v>
      </c>
      <c r="BJ67" s="1490">
        <f t="shared" ca="1" si="67"/>
        <v>0</v>
      </c>
      <c r="BK67" s="1490">
        <f t="shared" ca="1" si="68"/>
        <v>0</v>
      </c>
      <c r="BL67" s="1490">
        <f t="shared" ca="1" si="69"/>
        <v>2.4416666666666666E-2</v>
      </c>
      <c r="BM67" s="1491">
        <f t="shared" ca="1" si="70"/>
        <v>4.8833333333333333E-2</v>
      </c>
      <c r="BN67" s="1492">
        <f t="shared" ca="1" si="71"/>
        <v>4.8833333333333333E-2</v>
      </c>
      <c r="BO67" s="1490">
        <f t="shared" ca="1" si="72"/>
        <v>4.8833333333333333E-2</v>
      </c>
      <c r="BP67" s="1490">
        <f t="shared" ca="1" si="73"/>
        <v>4.8833333333333333E-2</v>
      </c>
      <c r="BQ67" s="1490">
        <f t="shared" ca="1" si="74"/>
        <v>4.8833333333333333E-2</v>
      </c>
      <c r="BR67" s="1491">
        <f t="shared" ca="1" si="75"/>
        <v>4.8833333333333333E-2</v>
      </c>
      <c r="BS67" s="1133"/>
      <c r="BT67" s="1492">
        <f>+IF($K67="Ongoing",AX67,IF(RIGHT($K67,2)=RIGHT(BT$39,2),SUM($AX67:AX67),0)+IF(RIGHT(BT$39,2)&gt;RIGHT($K67,2),AX67,0))</f>
        <v>0</v>
      </c>
      <c r="BU67" s="1490">
        <f>+IF($K67="Ongoing",AY67,IF(RIGHT($K67,2)=RIGHT(BU$39,2),SUM($AX67:AY67),0)+IF(RIGHT(BU$39,2)&gt;RIGHT($K67,2),AY67,0))</f>
        <v>0</v>
      </c>
      <c r="BV67" s="1490">
        <f>+IF($K67="Ongoing",AZ67,IF(RIGHT($K67,2)=RIGHT(BV$39,2),SUM($AX67:AZ67),0)+IF(RIGHT(BV$39,2)&gt;RIGHT($K67,2),AZ67,0))</f>
        <v>0</v>
      </c>
      <c r="BW67" s="1490">
        <f>+IF($K67="Ongoing",BA67,IF(RIGHT($K67,2)=RIGHT(BW$39,2),SUM($AX67:BA67),0)+IF(RIGHT(BW$39,2)&gt;RIGHT($K67,2),BA67,0))</f>
        <v>2.93</v>
      </c>
      <c r="BX67" s="1491">
        <f>+IF($K67="Ongoing",BB67,IF(RIGHT($K67,2)=RIGHT(BX$39,2),SUM($AX67:BB67),0)+IF(RIGHT(BX$39,2)&gt;RIGHT($K67,2),BB67,0))</f>
        <v>0</v>
      </c>
      <c r="BY67" s="1492">
        <f>+IF($K67="Ongoing",BC67,IF(RIGHT($K67,2)=RIGHT(BY$39,2),SUM($AX67:BC67),0)+IF(RIGHT(BY$39,2)&gt;RIGHT($K67,2),BC67,0))</f>
        <v>0</v>
      </c>
      <c r="BZ67" s="1490">
        <f>+IF($K67="Ongoing",BD67,IF(RIGHT($K67,2)=RIGHT(BZ$39,2),SUM($AX67:BD67),0)+IF(RIGHT(BZ$39,2)&gt;RIGHT($K67,2),BD67,0))</f>
        <v>0</v>
      </c>
      <c r="CA67" s="1490">
        <f>+IF($K67="Ongoing",BE67,IF(RIGHT($K67,2)=RIGHT(CA$39,2),SUM($AX67:BE67),0)+IF(RIGHT(CA$39,2)&gt;RIGHT($K67,2),BE67,0))</f>
        <v>0</v>
      </c>
      <c r="CB67" s="1490">
        <f>+IF($K67="Ongoing",BF67,IF(RIGHT($K67,2)=RIGHT(CB$39,2),SUM($AX67:BF67),0)+IF(RIGHT(CB$39,2)&gt;RIGHT($K67,2),BF67,0))</f>
        <v>0</v>
      </c>
      <c r="CC67" s="1491">
        <f>+IF($K67="Ongoing",BG67,IF(RIGHT($K67,2)=RIGHT(CC$39,2),SUM($AX67:BG67),0)+IF(RIGHT(CC$39,2)&gt;RIGHT($K67,2),BG67,0))</f>
        <v>0</v>
      </c>
      <c r="CD67" s="1133"/>
      <c r="CE67" s="1492">
        <f>+Q67*KeyAssumptionsPriceControl_FO!AC$15</f>
        <v>0</v>
      </c>
      <c r="CF67" s="1490">
        <f>+R67*KeyAssumptionsPriceControl_FO!AD$15</f>
        <v>0</v>
      </c>
      <c r="CG67" s="1490">
        <f>+S67*KeyAssumptionsPriceControl_FO!AE$15</f>
        <v>0</v>
      </c>
      <c r="CH67" s="1490">
        <f>+T67*KeyAssumptionsPriceControl_FO!AF$15</f>
        <v>3.2977408133000008</v>
      </c>
      <c r="CI67" s="1491">
        <f>+U67*KeyAssumptionsPriceControl_FO!AG$15</f>
        <v>0</v>
      </c>
      <c r="CJ67" s="1492">
        <f>+V67*KeyAssumptionsPriceControl_FO!AH$15</f>
        <v>0</v>
      </c>
      <c r="CK67" s="1490">
        <f>+W67*KeyAssumptionsPriceControl_FO!AI$15</f>
        <v>0</v>
      </c>
      <c r="CL67" s="1490">
        <f>+X67*KeyAssumptionsPriceControl_FO!AJ$15</f>
        <v>0</v>
      </c>
      <c r="CM67" s="1490">
        <f>+Y67*KeyAssumptionsPriceControl_FO!AK$15</f>
        <v>0</v>
      </c>
      <c r="CN67" s="1491">
        <f>+Z67*KeyAssumptionsPriceControl_FO!AL$15</f>
        <v>0</v>
      </c>
      <c r="CO67" s="1133"/>
      <c r="CP67" s="1492">
        <f t="shared" ca="1" si="76"/>
        <v>0</v>
      </c>
      <c r="CQ67" s="1490">
        <f t="shared" ca="1" si="77"/>
        <v>0</v>
      </c>
      <c r="CR67" s="1490">
        <f t="shared" ca="1" si="78"/>
        <v>0</v>
      </c>
      <c r="CS67" s="1490">
        <f t="shared" ca="1" si="79"/>
        <v>2.7481173444166673E-2</v>
      </c>
      <c r="CT67" s="1491">
        <f t="shared" ca="1" si="80"/>
        <v>5.4962346888333347E-2</v>
      </c>
      <c r="CU67" s="1492">
        <f t="shared" ca="1" si="81"/>
        <v>5.4962346888333347E-2</v>
      </c>
      <c r="CV67" s="1490">
        <f t="shared" ca="1" si="82"/>
        <v>5.4962346888333347E-2</v>
      </c>
      <c r="CW67" s="1490">
        <f t="shared" ca="1" si="83"/>
        <v>5.4962346888333347E-2</v>
      </c>
      <c r="CX67" s="1490">
        <f t="shared" ca="1" si="84"/>
        <v>5.4962346888333347E-2</v>
      </c>
      <c r="CY67" s="1491">
        <f t="shared" ca="1" si="85"/>
        <v>5.4962346888333347E-2</v>
      </c>
    </row>
    <row r="68" spans="2:103" x14ac:dyDescent="0.3">
      <c r="B68" s="397"/>
      <c r="C68" s="1294" t="s">
        <v>1118</v>
      </c>
      <c r="D68" s="1295"/>
      <c r="E68" s="2097" t="s">
        <v>22</v>
      </c>
      <c r="F68" s="2097" t="s">
        <v>239</v>
      </c>
      <c r="G68" s="1294" t="s">
        <v>6</v>
      </c>
      <c r="H68" s="2349" t="s">
        <v>516</v>
      </c>
      <c r="I68" s="2350"/>
      <c r="J68" s="1292" t="s">
        <v>279</v>
      </c>
      <c r="K68" s="1292" t="s">
        <v>296</v>
      </c>
      <c r="L68" s="1292">
        <v>80</v>
      </c>
      <c r="M68" s="1292">
        <v>80</v>
      </c>
      <c r="O68" s="376"/>
      <c r="P68" s="376"/>
      <c r="Q68" s="2337">
        <v>0.08</v>
      </c>
      <c r="R68" s="2338">
        <v>0.56000000000000005</v>
      </c>
      <c r="S68" s="2338">
        <v>0.56000000000000005</v>
      </c>
      <c r="T68" s="2338">
        <v>0.56000000000000005</v>
      </c>
      <c r="U68" s="2339">
        <v>1.1399999999999999</v>
      </c>
      <c r="V68" s="2337">
        <v>0.82</v>
      </c>
      <c r="W68" s="2338">
        <v>0.82</v>
      </c>
      <c r="X68" s="2338">
        <v>0.42</v>
      </c>
      <c r="Y68" s="2338">
        <v>0.42</v>
      </c>
      <c r="Z68" s="2339">
        <v>0.42</v>
      </c>
      <c r="AA68" s="1132"/>
      <c r="AB68" s="1129"/>
      <c r="AC68" s="1130"/>
      <c r="AD68" s="1510"/>
      <c r="AE68" s="1510"/>
      <c r="AF68" s="1131"/>
      <c r="AG68" s="1129"/>
      <c r="AH68" s="1130"/>
      <c r="AI68" s="1130"/>
      <c r="AJ68" s="1130"/>
      <c r="AK68" s="1131"/>
      <c r="AL68" s="1132"/>
      <c r="AM68" s="1129"/>
      <c r="AN68" s="1130"/>
      <c r="AO68" s="1130"/>
      <c r="AP68" s="1510"/>
      <c r="AQ68" s="1131"/>
      <c r="AR68" s="1129"/>
      <c r="AS68" s="1130"/>
      <c r="AT68" s="1130"/>
      <c r="AU68" s="1510"/>
      <c r="AV68" s="1131"/>
      <c r="AW68" s="1133"/>
      <c r="AX68" s="1492">
        <f t="shared" si="56"/>
        <v>0.08</v>
      </c>
      <c r="AY68" s="1490">
        <f t="shared" si="57"/>
        <v>0.56000000000000005</v>
      </c>
      <c r="AZ68" s="1490">
        <f t="shared" si="58"/>
        <v>0.56000000000000005</v>
      </c>
      <c r="BA68" s="1490">
        <f t="shared" si="59"/>
        <v>0.56000000000000005</v>
      </c>
      <c r="BB68" s="1491">
        <f t="shared" si="60"/>
        <v>1.1399999999999999</v>
      </c>
      <c r="BC68" s="1492">
        <f t="shared" si="61"/>
        <v>0.82</v>
      </c>
      <c r="BD68" s="1490">
        <f t="shared" si="62"/>
        <v>0.82</v>
      </c>
      <c r="BE68" s="1490">
        <f t="shared" si="63"/>
        <v>0.42</v>
      </c>
      <c r="BF68" s="1490">
        <f t="shared" si="64"/>
        <v>0.42</v>
      </c>
      <c r="BG68" s="1491">
        <f t="shared" si="65"/>
        <v>0.42</v>
      </c>
      <c r="BH68" s="1133"/>
      <c r="BI68" s="1492">
        <f t="shared" ca="1" si="66"/>
        <v>5.0000000000000001E-4</v>
      </c>
      <c r="BJ68" s="1490">
        <f t="shared" ca="1" si="67"/>
        <v>4.5000000000000005E-3</v>
      </c>
      <c r="BK68" s="1490">
        <f t="shared" ca="1" si="68"/>
        <v>1.15E-2</v>
      </c>
      <c r="BL68" s="1490">
        <f t="shared" ca="1" si="69"/>
        <v>1.8500000000000003E-2</v>
      </c>
      <c r="BM68" s="1491">
        <f t="shared" ca="1" si="70"/>
        <v>2.9125000000000002E-2</v>
      </c>
      <c r="BN68" s="1492">
        <f t="shared" ca="1" si="71"/>
        <v>4.1375000000000002E-2</v>
      </c>
      <c r="BO68" s="1490">
        <f t="shared" ca="1" si="72"/>
        <v>5.1624999999999997E-2</v>
      </c>
      <c r="BP68" s="1490">
        <f t="shared" ca="1" si="73"/>
        <v>5.9375000000000004E-2</v>
      </c>
      <c r="BQ68" s="1490">
        <f t="shared" ca="1" si="74"/>
        <v>6.4625000000000002E-2</v>
      </c>
      <c r="BR68" s="1491">
        <f t="shared" ca="1" si="75"/>
        <v>6.9875000000000007E-2</v>
      </c>
      <c r="BS68" s="1133"/>
      <c r="BT68" s="1492">
        <f>+IF($K68="Ongoing",AX68,IF(RIGHT($K68,2)=RIGHT(BT$39,2),SUM($AX68:AX68),0)+IF(RIGHT(BT$39,2)&gt;RIGHT($K68,2),AX68,0))</f>
        <v>0.08</v>
      </c>
      <c r="BU68" s="1490">
        <f>+IF($K68="Ongoing",AY68,IF(RIGHT($K68,2)=RIGHT(BU$39,2),SUM($AX68:AY68),0)+IF(RIGHT(BU$39,2)&gt;RIGHT($K68,2),AY68,0))</f>
        <v>0.56000000000000005</v>
      </c>
      <c r="BV68" s="1490">
        <f>+IF($K68="Ongoing",AZ68,IF(RIGHT($K68,2)=RIGHT(BV$39,2),SUM($AX68:AZ68),0)+IF(RIGHT(BV$39,2)&gt;RIGHT($K68,2),AZ68,0))</f>
        <v>0.56000000000000005</v>
      </c>
      <c r="BW68" s="1490">
        <f>+IF($K68="Ongoing",BA68,IF(RIGHT($K68,2)=RIGHT(BW$39,2),SUM($AX68:BA68),0)+IF(RIGHT(BW$39,2)&gt;RIGHT($K68,2),BA68,0))</f>
        <v>0.56000000000000005</v>
      </c>
      <c r="BX68" s="1491">
        <f>+IF($K68="Ongoing",BB68,IF(RIGHT($K68,2)=RIGHT(BX$39,2),SUM($AX68:BB68),0)+IF(RIGHT(BX$39,2)&gt;RIGHT($K68,2),BB68,0))</f>
        <v>1.1399999999999999</v>
      </c>
      <c r="BY68" s="1492">
        <f>+IF($K68="Ongoing",BC68,IF(RIGHT($K68,2)=RIGHT(BY$39,2),SUM($AX68:BC68),0)+IF(RIGHT(BY$39,2)&gt;RIGHT($K68,2),BC68,0))</f>
        <v>0.82</v>
      </c>
      <c r="BZ68" s="1490">
        <f>+IF($K68="Ongoing",BD68,IF(RIGHT($K68,2)=RIGHT(BZ$39,2),SUM($AX68:BD68),0)+IF(RIGHT(BZ$39,2)&gt;RIGHT($K68,2),BD68,0))</f>
        <v>0.82</v>
      </c>
      <c r="CA68" s="1490">
        <f>+IF($K68="Ongoing",BE68,IF(RIGHT($K68,2)=RIGHT(CA$39,2),SUM($AX68:BE68),0)+IF(RIGHT(CA$39,2)&gt;RIGHT($K68,2),BE68,0))</f>
        <v>0.42</v>
      </c>
      <c r="CB68" s="1490">
        <f>+IF($K68="Ongoing",BF68,IF(RIGHT($K68,2)=RIGHT(CB$39,2),SUM($AX68:BF68),0)+IF(RIGHT(CB$39,2)&gt;RIGHT($K68,2),BF68,0))</f>
        <v>0.42</v>
      </c>
      <c r="CC68" s="1491">
        <f>+IF($K68="Ongoing",BG68,IF(RIGHT($K68,2)=RIGHT(CC$39,2),SUM($AX68:BG68),0)+IF(RIGHT(CC$39,2)&gt;RIGHT($K68,2),BG68,0))</f>
        <v>0.42</v>
      </c>
      <c r="CD68" s="1133"/>
      <c r="CE68" s="1492">
        <f>+Q68*KeyAssumptionsPriceControl_FO!AC$15</f>
        <v>8.2400000000000001E-2</v>
      </c>
      <c r="CF68" s="1490">
        <f>+R68*KeyAssumptionsPriceControl_FO!AD$15</f>
        <v>0.59410400000000008</v>
      </c>
      <c r="CG68" s="1490">
        <f>+S68*KeyAssumptionsPriceControl_FO!AE$15</f>
        <v>0.61192712000000005</v>
      </c>
      <c r="CH68" s="1490">
        <f>+T68*KeyAssumptionsPriceControl_FO!AF$15</f>
        <v>0.63028493360000015</v>
      </c>
      <c r="CI68" s="1491">
        <f>+U68*KeyAssumptionsPriceControl_FO!AG$15</f>
        <v>1.3215724447019999</v>
      </c>
      <c r="CJ68" s="1492">
        <f>+V68*KeyAssumptionsPriceControl_FO!AH$15</f>
        <v>0.97912288315378004</v>
      </c>
      <c r="CK68" s="1490">
        <f>+W68*KeyAssumptionsPriceControl_FO!AI$15</f>
        <v>1.0084965696483934</v>
      </c>
      <c r="CL68" s="1490">
        <f>+X68*KeyAssumptionsPriceControl_FO!AJ$15</f>
        <v>0.53204343418279887</v>
      </c>
      <c r="CM68" s="1490">
        <f>+Y68*KeyAssumptionsPriceControl_FO!AK$15</f>
        <v>0.5480047372082828</v>
      </c>
      <c r="CN68" s="1491">
        <f>+Z68*KeyAssumptionsPriceControl_FO!AL$15</f>
        <v>0.56444487932453136</v>
      </c>
      <c r="CO68" s="1133"/>
      <c r="CP68" s="1492">
        <f t="shared" ca="1" si="76"/>
        <v>5.1500000000000005E-4</v>
      </c>
      <c r="CQ68" s="1490">
        <f t="shared" ca="1" si="77"/>
        <v>4.7431500000000007E-3</v>
      </c>
      <c r="CR68" s="1490">
        <f t="shared" ca="1" si="78"/>
        <v>1.2280844500000002E-2</v>
      </c>
      <c r="CS68" s="1490">
        <f t="shared" ca="1" si="79"/>
        <v>2.0044669835000008E-2</v>
      </c>
      <c r="CT68" s="1491">
        <f t="shared" ca="1" si="80"/>
        <v>3.22437784493875E-2</v>
      </c>
      <c r="CU68" s="1492">
        <f t="shared" ca="1" si="81"/>
        <v>4.6623124248486129E-2</v>
      </c>
      <c r="CV68" s="1490">
        <f t="shared" ca="1" si="82"/>
        <v>5.904574582849971E-2</v>
      </c>
      <c r="CW68" s="1490">
        <f t="shared" ca="1" si="83"/>
        <v>6.8674120852444662E-2</v>
      </c>
      <c r="CX68" s="1490">
        <f t="shared" ca="1" si="84"/>
        <v>7.5424421923638921E-2</v>
      </c>
      <c r="CY68" s="1491">
        <f t="shared" ca="1" si="85"/>
        <v>8.2377232026969005E-2</v>
      </c>
    </row>
    <row r="69" spans="2:103" x14ac:dyDescent="0.3">
      <c r="B69" s="397"/>
      <c r="C69" s="1294" t="s">
        <v>1119</v>
      </c>
      <c r="D69" s="1295"/>
      <c r="E69" s="2097" t="s">
        <v>22</v>
      </c>
      <c r="F69" s="2097" t="s">
        <v>12</v>
      </c>
      <c r="G69" s="1294" t="s">
        <v>6</v>
      </c>
      <c r="H69" s="2349" t="s">
        <v>516</v>
      </c>
      <c r="I69" s="2350"/>
      <c r="J69" s="1292" t="s">
        <v>279</v>
      </c>
      <c r="K69" s="1292" t="s">
        <v>296</v>
      </c>
      <c r="L69" s="1292">
        <v>60</v>
      </c>
      <c r="M69" s="1292">
        <v>60</v>
      </c>
      <c r="O69" s="376"/>
      <c r="P69" s="376"/>
      <c r="Q69" s="2337">
        <v>0</v>
      </c>
      <c r="R69" s="2338">
        <v>0</v>
      </c>
      <c r="S69" s="2338">
        <v>0</v>
      </c>
      <c r="T69" s="2338">
        <v>2.75</v>
      </c>
      <c r="U69" s="2339">
        <v>0</v>
      </c>
      <c r="V69" s="2337">
        <v>0.4</v>
      </c>
      <c r="W69" s="2338">
        <v>0.4</v>
      </c>
      <c r="X69" s="2338">
        <v>1.9</v>
      </c>
      <c r="Y69" s="2338">
        <v>0.4</v>
      </c>
      <c r="Z69" s="2339">
        <v>0.4</v>
      </c>
      <c r="AA69" s="1132"/>
      <c r="AB69" s="1129"/>
      <c r="AC69" s="1130"/>
      <c r="AD69" s="1510"/>
      <c r="AE69" s="1510"/>
      <c r="AF69" s="1131"/>
      <c r="AG69" s="1129"/>
      <c r="AH69" s="1130"/>
      <c r="AI69" s="1130"/>
      <c r="AJ69" s="1130"/>
      <c r="AK69" s="1131"/>
      <c r="AL69" s="1132"/>
      <c r="AM69" s="1129"/>
      <c r="AN69" s="1130"/>
      <c r="AO69" s="1130"/>
      <c r="AP69" s="1510"/>
      <c r="AQ69" s="1131"/>
      <c r="AR69" s="1129"/>
      <c r="AS69" s="1130"/>
      <c r="AT69" s="1130"/>
      <c r="AU69" s="1510"/>
      <c r="AV69" s="1131"/>
      <c r="AW69" s="1133"/>
      <c r="AX69" s="1492">
        <f t="shared" si="56"/>
        <v>0</v>
      </c>
      <c r="AY69" s="1490">
        <f t="shared" si="57"/>
        <v>0</v>
      </c>
      <c r="AZ69" s="1490">
        <f t="shared" si="58"/>
        <v>0</v>
      </c>
      <c r="BA69" s="1490">
        <f t="shared" si="59"/>
        <v>2.75</v>
      </c>
      <c r="BB69" s="1491">
        <f t="shared" si="60"/>
        <v>0</v>
      </c>
      <c r="BC69" s="1492">
        <f t="shared" si="61"/>
        <v>0.4</v>
      </c>
      <c r="BD69" s="1490">
        <f t="shared" si="62"/>
        <v>0.4</v>
      </c>
      <c r="BE69" s="1490">
        <f t="shared" si="63"/>
        <v>1.9</v>
      </c>
      <c r="BF69" s="1490">
        <f t="shared" si="64"/>
        <v>0.4</v>
      </c>
      <c r="BG69" s="1491">
        <f t="shared" si="65"/>
        <v>0.4</v>
      </c>
      <c r="BH69" s="1133"/>
      <c r="BI69" s="1492">
        <f t="shared" ca="1" si="66"/>
        <v>0</v>
      </c>
      <c r="BJ69" s="1490">
        <f t="shared" ca="1" si="67"/>
        <v>0</v>
      </c>
      <c r="BK69" s="1490">
        <f t="shared" ca="1" si="68"/>
        <v>0</v>
      </c>
      <c r="BL69" s="1490">
        <f t="shared" ca="1" si="69"/>
        <v>2.2916666666666665E-2</v>
      </c>
      <c r="BM69" s="1491">
        <f t="shared" ca="1" si="70"/>
        <v>4.583333333333333E-2</v>
      </c>
      <c r="BN69" s="1492">
        <f t="shared" ca="1" si="71"/>
        <v>4.9166666666666664E-2</v>
      </c>
      <c r="BO69" s="1490">
        <f t="shared" ca="1" si="72"/>
        <v>5.5833333333333332E-2</v>
      </c>
      <c r="BP69" s="1490">
        <f t="shared" ca="1" si="73"/>
        <v>7.4999999999999997E-2</v>
      </c>
      <c r="BQ69" s="1490">
        <f t="shared" ca="1" si="74"/>
        <v>9.4166666666666649E-2</v>
      </c>
      <c r="BR69" s="1491">
        <f t="shared" ca="1" si="75"/>
        <v>0.10083333333333332</v>
      </c>
      <c r="BS69" s="1133"/>
      <c r="BT69" s="1492">
        <f>+IF($K69="Ongoing",AX69,IF(RIGHT($K69,2)=RIGHT(BT$39,2),SUM($AX69:AX69),0)+IF(RIGHT(BT$39,2)&gt;RIGHT($K69,2),AX69,0))</f>
        <v>0</v>
      </c>
      <c r="BU69" s="1490">
        <f>+IF($K69="Ongoing",AY69,IF(RIGHT($K69,2)=RIGHT(BU$39,2),SUM($AX69:AY69),0)+IF(RIGHT(BU$39,2)&gt;RIGHT($K69,2),AY69,0))</f>
        <v>0</v>
      </c>
      <c r="BV69" s="1490">
        <f>+IF($K69="Ongoing",AZ69,IF(RIGHT($K69,2)=RIGHT(BV$39,2),SUM($AX69:AZ69),0)+IF(RIGHT(BV$39,2)&gt;RIGHT($K69,2),AZ69,0))</f>
        <v>0</v>
      </c>
      <c r="BW69" s="1490">
        <f>+IF($K69="Ongoing",BA69,IF(RIGHT($K69,2)=RIGHT(BW$39,2),SUM($AX69:BA69),0)+IF(RIGHT(BW$39,2)&gt;RIGHT($K69,2),BA69,0))</f>
        <v>2.75</v>
      </c>
      <c r="BX69" s="1491">
        <f>+IF($K69="Ongoing",BB69,IF(RIGHT($K69,2)=RIGHT(BX$39,2),SUM($AX69:BB69),0)+IF(RIGHT(BX$39,2)&gt;RIGHT($K69,2),BB69,0))</f>
        <v>0</v>
      </c>
      <c r="BY69" s="1492">
        <f>+IF($K69="Ongoing",BC69,IF(RIGHT($K69,2)=RIGHT(BY$39,2),SUM($AX69:BC69),0)+IF(RIGHT(BY$39,2)&gt;RIGHT($K69,2),BC69,0))</f>
        <v>0.4</v>
      </c>
      <c r="BZ69" s="1490">
        <f>+IF($K69="Ongoing",BD69,IF(RIGHT($K69,2)=RIGHT(BZ$39,2),SUM($AX69:BD69),0)+IF(RIGHT(BZ$39,2)&gt;RIGHT($K69,2),BD69,0))</f>
        <v>0.4</v>
      </c>
      <c r="CA69" s="1490">
        <f>+IF($K69="Ongoing",BE69,IF(RIGHT($K69,2)=RIGHT(CA$39,2),SUM($AX69:BE69),0)+IF(RIGHT(CA$39,2)&gt;RIGHT($K69,2),BE69,0))</f>
        <v>1.9</v>
      </c>
      <c r="CB69" s="1490">
        <f>+IF($K69="Ongoing",BF69,IF(RIGHT($K69,2)=RIGHT(CB$39,2),SUM($AX69:BF69),0)+IF(RIGHT(CB$39,2)&gt;RIGHT($K69,2),BF69,0))</f>
        <v>0.4</v>
      </c>
      <c r="CC69" s="1491">
        <f>+IF($K69="Ongoing",BG69,IF(RIGHT($K69,2)=RIGHT(CC$39,2),SUM($AX69:BG69),0)+IF(RIGHT(CC$39,2)&gt;RIGHT($K69,2),BG69,0))</f>
        <v>0.4</v>
      </c>
      <c r="CD69" s="1133"/>
      <c r="CE69" s="1492">
        <f>+Q69*KeyAssumptionsPriceControl_FO!AC$15</f>
        <v>0</v>
      </c>
      <c r="CF69" s="1490">
        <f>+R69*KeyAssumptionsPriceControl_FO!AD$15</f>
        <v>0</v>
      </c>
      <c r="CG69" s="1490">
        <f>+S69*KeyAssumptionsPriceControl_FO!AE$15</f>
        <v>0</v>
      </c>
      <c r="CH69" s="1490">
        <f>+T69*KeyAssumptionsPriceControl_FO!AF$15</f>
        <v>3.0951492275000003</v>
      </c>
      <c r="CI69" s="1491">
        <f>+U69*KeyAssumptionsPriceControl_FO!AG$15</f>
        <v>0</v>
      </c>
      <c r="CJ69" s="1492">
        <f>+V69*KeyAssumptionsPriceControl_FO!AH$15</f>
        <v>0.47762091861160005</v>
      </c>
      <c r="CK69" s="1490">
        <f>+W69*KeyAssumptionsPriceControl_FO!AI$15</f>
        <v>0.49194954616994813</v>
      </c>
      <c r="CL69" s="1490">
        <f>+X69*KeyAssumptionsPriceControl_FO!AJ$15</f>
        <v>2.4068631546364712</v>
      </c>
      <c r="CM69" s="1490">
        <f>+Y69*KeyAssumptionsPriceControl_FO!AK$15</f>
        <v>0.52190927353169803</v>
      </c>
      <c r="CN69" s="1491">
        <f>+Z69*KeyAssumptionsPriceControl_FO!AL$15</f>
        <v>0.53756655173764889</v>
      </c>
      <c r="CO69" s="1133"/>
      <c r="CP69" s="1492">
        <f t="shared" ca="1" si="76"/>
        <v>0</v>
      </c>
      <c r="CQ69" s="1490">
        <f t="shared" ca="1" si="77"/>
        <v>0</v>
      </c>
      <c r="CR69" s="1490">
        <f t="shared" ca="1" si="78"/>
        <v>0</v>
      </c>
      <c r="CS69" s="1490">
        <f t="shared" ca="1" si="79"/>
        <v>2.5792910229166671E-2</v>
      </c>
      <c r="CT69" s="1491">
        <f t="shared" ca="1" si="80"/>
        <v>5.1585820458333341E-2</v>
      </c>
      <c r="CU69" s="1492">
        <f t="shared" ca="1" si="81"/>
        <v>5.5565994780096675E-2</v>
      </c>
      <c r="CV69" s="1490">
        <f t="shared" ca="1" si="82"/>
        <v>6.3645748653276241E-2</v>
      </c>
      <c r="CW69" s="1490">
        <f t="shared" ca="1" si="83"/>
        <v>8.78025211599964E-2</v>
      </c>
      <c r="CX69" s="1490">
        <f t="shared" ca="1" si="84"/>
        <v>0.11220895806139781</v>
      </c>
      <c r="CY69" s="1491">
        <f t="shared" ca="1" si="85"/>
        <v>0.1210379232719757</v>
      </c>
    </row>
    <row r="70" spans="2:103" x14ac:dyDescent="0.3">
      <c r="B70" s="397"/>
      <c r="C70" s="1294" t="s">
        <v>1120</v>
      </c>
      <c r="D70" s="1295"/>
      <c r="E70" s="2097" t="s">
        <v>21</v>
      </c>
      <c r="F70" s="2097" t="s">
        <v>239</v>
      </c>
      <c r="G70" s="1294" t="s">
        <v>14</v>
      </c>
      <c r="H70" s="2349" t="s">
        <v>516</v>
      </c>
      <c r="I70" s="2350"/>
      <c r="J70" s="1292" t="s">
        <v>279</v>
      </c>
      <c r="K70" s="1292" t="s">
        <v>296</v>
      </c>
      <c r="L70" s="1292">
        <v>80</v>
      </c>
      <c r="M70" s="1292">
        <v>80</v>
      </c>
      <c r="O70" s="376"/>
      <c r="P70" s="376"/>
      <c r="Q70" s="2337">
        <v>0.17599999999999999</v>
      </c>
      <c r="R70" s="2338">
        <v>0.30099999999999999</v>
      </c>
      <c r="S70" s="2338">
        <v>0.23100000000000001</v>
      </c>
      <c r="T70" s="2338">
        <v>0.86599999999999999</v>
      </c>
      <c r="U70" s="2339">
        <v>1.6930000000000001</v>
      </c>
      <c r="V70" s="2337">
        <v>0.25</v>
      </c>
      <c r="W70" s="2338">
        <v>0.4</v>
      </c>
      <c r="X70" s="2338">
        <v>3.1</v>
      </c>
      <c r="Y70" s="2338">
        <v>0.25</v>
      </c>
      <c r="Z70" s="2339">
        <v>0.25</v>
      </c>
      <c r="AA70" s="1132"/>
      <c r="AB70" s="1129"/>
      <c r="AC70" s="1130"/>
      <c r="AD70" s="1510"/>
      <c r="AE70" s="1510"/>
      <c r="AF70" s="1131"/>
      <c r="AG70" s="1129"/>
      <c r="AH70" s="1130"/>
      <c r="AI70" s="1130"/>
      <c r="AJ70" s="1130"/>
      <c r="AK70" s="1131"/>
      <c r="AL70" s="1132"/>
      <c r="AM70" s="1129"/>
      <c r="AN70" s="1130"/>
      <c r="AO70" s="1130"/>
      <c r="AP70" s="1510"/>
      <c r="AQ70" s="1131"/>
      <c r="AR70" s="1129"/>
      <c r="AS70" s="1130"/>
      <c r="AT70" s="1130"/>
      <c r="AU70" s="1510"/>
      <c r="AV70" s="1131"/>
      <c r="AW70" s="1133"/>
      <c r="AX70" s="1492">
        <f t="shared" si="56"/>
        <v>0.17599999999999999</v>
      </c>
      <c r="AY70" s="1490">
        <f t="shared" si="57"/>
        <v>0.30099999999999999</v>
      </c>
      <c r="AZ70" s="1490">
        <f t="shared" si="58"/>
        <v>0.23100000000000001</v>
      </c>
      <c r="BA70" s="1490">
        <f t="shared" si="59"/>
        <v>0.86599999999999999</v>
      </c>
      <c r="BB70" s="1491">
        <f t="shared" si="60"/>
        <v>1.6930000000000001</v>
      </c>
      <c r="BC70" s="1492">
        <f t="shared" si="61"/>
        <v>0.25</v>
      </c>
      <c r="BD70" s="1490">
        <f t="shared" si="62"/>
        <v>0.4</v>
      </c>
      <c r="BE70" s="1490">
        <f t="shared" si="63"/>
        <v>3.1</v>
      </c>
      <c r="BF70" s="1490">
        <f t="shared" si="64"/>
        <v>0.25</v>
      </c>
      <c r="BG70" s="1491">
        <f t="shared" si="65"/>
        <v>0.25</v>
      </c>
      <c r="BH70" s="1133"/>
      <c r="BI70" s="1492">
        <f t="shared" ca="1" si="66"/>
        <v>1.0999999999999998E-3</v>
      </c>
      <c r="BJ70" s="1490">
        <f t="shared" ca="1" si="67"/>
        <v>4.0812499999999998E-3</v>
      </c>
      <c r="BK70" s="1490">
        <f t="shared" ca="1" si="68"/>
        <v>7.4062499999999996E-3</v>
      </c>
      <c r="BL70" s="1490">
        <f t="shared" ca="1" si="69"/>
        <v>1.4262500000000001E-2</v>
      </c>
      <c r="BM70" s="1491">
        <f t="shared" ca="1" si="70"/>
        <v>3.0256249999999998E-2</v>
      </c>
      <c r="BN70" s="1492">
        <f t="shared" ca="1" si="71"/>
        <v>4.24E-2</v>
      </c>
      <c r="BO70" s="1490">
        <f t="shared" ca="1" si="72"/>
        <v>4.6462500000000004E-2</v>
      </c>
      <c r="BP70" s="1490">
        <f t="shared" ca="1" si="73"/>
        <v>6.8337499999999995E-2</v>
      </c>
      <c r="BQ70" s="1490">
        <f t="shared" ca="1" si="74"/>
        <v>8.9274999999999993E-2</v>
      </c>
      <c r="BR70" s="1491">
        <f t="shared" ca="1" si="75"/>
        <v>9.2399999999999982E-2</v>
      </c>
      <c r="BS70" s="1133"/>
      <c r="BT70" s="1492">
        <f>+IF($K70="Ongoing",AX70,IF(RIGHT($K70,2)=RIGHT(BT$39,2),SUM($AX70:AX70),0)+IF(RIGHT(BT$39,2)&gt;RIGHT($K70,2),AX70,0))</f>
        <v>0.17599999999999999</v>
      </c>
      <c r="BU70" s="1490">
        <f>+IF($K70="Ongoing",AY70,IF(RIGHT($K70,2)=RIGHT(BU$39,2),SUM($AX70:AY70),0)+IF(RIGHT(BU$39,2)&gt;RIGHT($K70,2),AY70,0))</f>
        <v>0.30099999999999999</v>
      </c>
      <c r="BV70" s="1490">
        <f>+IF($K70="Ongoing",AZ70,IF(RIGHT($K70,2)=RIGHT(BV$39,2),SUM($AX70:AZ70),0)+IF(RIGHT(BV$39,2)&gt;RIGHT($K70,2),AZ70,0))</f>
        <v>0.23100000000000001</v>
      </c>
      <c r="BW70" s="1490">
        <f>+IF($K70="Ongoing",BA70,IF(RIGHT($K70,2)=RIGHT(BW$39,2),SUM($AX70:BA70),0)+IF(RIGHT(BW$39,2)&gt;RIGHT($K70,2),BA70,0))</f>
        <v>0.86599999999999999</v>
      </c>
      <c r="BX70" s="1491">
        <f>+IF($K70="Ongoing",BB70,IF(RIGHT($K70,2)=RIGHT(BX$39,2),SUM($AX70:BB70),0)+IF(RIGHT(BX$39,2)&gt;RIGHT($K70,2),BB70,0))</f>
        <v>1.6930000000000001</v>
      </c>
      <c r="BY70" s="1492">
        <f>+IF($K70="Ongoing",BC70,IF(RIGHT($K70,2)=RIGHT(BY$39,2),SUM($AX70:BC70),0)+IF(RIGHT(BY$39,2)&gt;RIGHT($K70,2),BC70,0))</f>
        <v>0.25</v>
      </c>
      <c r="BZ70" s="1490">
        <f>+IF($K70="Ongoing",BD70,IF(RIGHT($K70,2)=RIGHT(BZ$39,2),SUM($AX70:BD70),0)+IF(RIGHT(BZ$39,2)&gt;RIGHT($K70,2),BD70,0))</f>
        <v>0.4</v>
      </c>
      <c r="CA70" s="1490">
        <f>+IF($K70="Ongoing",BE70,IF(RIGHT($K70,2)=RIGHT(CA$39,2),SUM($AX70:BE70),0)+IF(RIGHT(CA$39,2)&gt;RIGHT($K70,2),BE70,0))</f>
        <v>3.1</v>
      </c>
      <c r="CB70" s="1490">
        <f>+IF($K70="Ongoing",BF70,IF(RIGHT($K70,2)=RIGHT(CB$39,2),SUM($AX70:BF70),0)+IF(RIGHT(CB$39,2)&gt;RIGHT($K70,2),BF70,0))</f>
        <v>0.25</v>
      </c>
      <c r="CC70" s="1491">
        <f>+IF($K70="Ongoing",BG70,IF(RIGHT($K70,2)=RIGHT(CC$39,2),SUM($AX70:BG70),0)+IF(RIGHT(CC$39,2)&gt;RIGHT($K70,2),BG70,0))</f>
        <v>0.25</v>
      </c>
      <c r="CD70" s="1133"/>
      <c r="CE70" s="1492">
        <f>+Q70*KeyAssumptionsPriceControl_FO!AC$15</f>
        <v>0.18128</v>
      </c>
      <c r="CF70" s="1490">
        <f>+R70*KeyAssumptionsPriceControl_FO!AD$15</f>
        <v>0.31933089999999997</v>
      </c>
      <c r="CG70" s="1490">
        <f>+S70*KeyAssumptionsPriceControl_FO!AE$15</f>
        <v>0.25241993700000004</v>
      </c>
      <c r="CH70" s="1490">
        <f>+T70*KeyAssumptionsPriceControl_FO!AF$15</f>
        <v>0.97469062946000007</v>
      </c>
      <c r="CI70" s="1491">
        <f>+U70*KeyAssumptionsPriceControl_FO!AG$15</f>
        <v>1.9626510077899002</v>
      </c>
      <c r="CJ70" s="1492">
        <f>+V70*KeyAssumptionsPriceControl_FO!AH$15</f>
        <v>0.29851307413225003</v>
      </c>
      <c r="CK70" s="1490">
        <f>+W70*KeyAssumptionsPriceControl_FO!AI$15</f>
        <v>0.49194954616994813</v>
      </c>
      <c r="CL70" s="1490">
        <f>+X70*KeyAssumptionsPriceControl_FO!AJ$15</f>
        <v>3.9269872523016107</v>
      </c>
      <c r="CM70" s="1490">
        <f>+Y70*KeyAssumptionsPriceControl_FO!AK$15</f>
        <v>0.32619329595731122</v>
      </c>
      <c r="CN70" s="1491">
        <f>+Z70*KeyAssumptionsPriceControl_FO!AL$15</f>
        <v>0.33597909483603056</v>
      </c>
      <c r="CO70" s="1133"/>
      <c r="CP70" s="1492">
        <f t="shared" ca="1" si="76"/>
        <v>1.1329999999999999E-3</v>
      </c>
      <c r="CQ70" s="1490">
        <f t="shared" ca="1" si="77"/>
        <v>4.2618181249999996E-3</v>
      </c>
      <c r="CR70" s="1490">
        <f t="shared" ca="1" si="78"/>
        <v>7.8352608562499999E-3</v>
      </c>
      <c r="CS70" s="1490">
        <f t="shared" ca="1" si="79"/>
        <v>1.5504701896625003E-2</v>
      </c>
      <c r="CT70" s="1491">
        <f t="shared" ca="1" si="80"/>
        <v>3.3863087129436878E-2</v>
      </c>
      <c r="CU70" s="1492">
        <f t="shared" ca="1" si="81"/>
        <v>4.7995362641450323E-2</v>
      </c>
      <c r="CV70" s="1490">
        <f t="shared" ca="1" si="82"/>
        <v>5.2935754018339061E-2</v>
      </c>
      <c r="CW70" s="1490">
        <f t="shared" ca="1" si="83"/>
        <v>8.0554109008786304E-2</v>
      </c>
      <c r="CX70" s="1490">
        <f t="shared" ca="1" si="84"/>
        <v>0.10713648743540456</v>
      </c>
      <c r="CY70" s="1491">
        <f t="shared" ca="1" si="85"/>
        <v>0.11127506487786296</v>
      </c>
    </row>
    <row r="71" spans="2:103" x14ac:dyDescent="0.3">
      <c r="B71" s="397"/>
      <c r="C71" s="1294" t="s">
        <v>1121</v>
      </c>
      <c r="D71" s="1295"/>
      <c r="E71" s="2097" t="s">
        <v>22</v>
      </c>
      <c r="F71" s="2097" t="s">
        <v>512</v>
      </c>
      <c r="G71" s="1294" t="s">
        <v>14</v>
      </c>
      <c r="H71" s="2349" t="s">
        <v>516</v>
      </c>
      <c r="I71" s="2350"/>
      <c r="J71" s="1292" t="s">
        <v>279</v>
      </c>
      <c r="K71" s="1292" t="s">
        <v>296</v>
      </c>
      <c r="L71" s="1292">
        <v>60</v>
      </c>
      <c r="M71" s="1292">
        <v>60</v>
      </c>
      <c r="O71" s="376"/>
      <c r="P71" s="376"/>
      <c r="Q71" s="2337">
        <v>0.13</v>
      </c>
      <c r="R71" s="2338">
        <v>0.5</v>
      </c>
      <c r="S71" s="2338">
        <v>0.3</v>
      </c>
      <c r="T71" s="2338">
        <v>1.125</v>
      </c>
      <c r="U71" s="2339">
        <v>0.27500000000000002</v>
      </c>
      <c r="V71" s="2337">
        <v>0.03</v>
      </c>
      <c r="W71" s="2338">
        <v>0.13</v>
      </c>
      <c r="X71" s="2338">
        <v>0.63</v>
      </c>
      <c r="Y71" s="2338">
        <v>0.03</v>
      </c>
      <c r="Z71" s="2339">
        <v>0.03</v>
      </c>
      <c r="AA71" s="1132"/>
      <c r="AB71" s="1129"/>
      <c r="AC71" s="1130"/>
      <c r="AD71" s="1510"/>
      <c r="AE71" s="1130"/>
      <c r="AF71" s="1131"/>
      <c r="AG71" s="1129"/>
      <c r="AH71" s="1510"/>
      <c r="AI71" s="1130"/>
      <c r="AJ71" s="1130"/>
      <c r="AK71" s="1131"/>
      <c r="AL71" s="1132"/>
      <c r="AM71" s="1509"/>
      <c r="AN71" s="1130"/>
      <c r="AO71" s="1510"/>
      <c r="AP71" s="1510"/>
      <c r="AQ71" s="1131"/>
      <c r="AR71" s="1129"/>
      <c r="AS71" s="1130"/>
      <c r="AT71" s="1130"/>
      <c r="AU71" s="1130"/>
      <c r="AV71" s="1131"/>
      <c r="AW71" s="1133"/>
      <c r="AX71" s="1492">
        <f t="shared" si="56"/>
        <v>0.13</v>
      </c>
      <c r="AY71" s="1490">
        <f t="shared" si="57"/>
        <v>0.5</v>
      </c>
      <c r="AZ71" s="1490">
        <f t="shared" si="58"/>
        <v>0.3</v>
      </c>
      <c r="BA71" s="1490">
        <f t="shared" si="59"/>
        <v>1.125</v>
      </c>
      <c r="BB71" s="1491">
        <f t="shared" si="60"/>
        <v>0.27500000000000002</v>
      </c>
      <c r="BC71" s="1492">
        <f t="shared" si="61"/>
        <v>0.03</v>
      </c>
      <c r="BD71" s="1490">
        <f t="shared" si="62"/>
        <v>0.13</v>
      </c>
      <c r="BE71" s="1490">
        <f t="shared" si="63"/>
        <v>0.63</v>
      </c>
      <c r="BF71" s="1490">
        <f t="shared" si="64"/>
        <v>0.03</v>
      </c>
      <c r="BG71" s="1491">
        <f t="shared" si="65"/>
        <v>0.03</v>
      </c>
      <c r="BH71" s="1133"/>
      <c r="BI71" s="1492">
        <f t="shared" ca="1" si="66"/>
        <v>1.0833333333333333E-3</v>
      </c>
      <c r="BJ71" s="1490">
        <f t="shared" ca="1" si="67"/>
        <v>6.3333333333333332E-3</v>
      </c>
      <c r="BK71" s="1490">
        <f t="shared" ca="1" si="68"/>
        <v>1.3000000000000001E-2</v>
      </c>
      <c r="BL71" s="1490">
        <f t="shared" ca="1" si="69"/>
        <v>2.4874999999999998E-2</v>
      </c>
      <c r="BM71" s="1491">
        <f t="shared" ca="1" si="70"/>
        <v>3.654166666666666E-2</v>
      </c>
      <c r="BN71" s="1492">
        <f t="shared" ca="1" si="71"/>
        <v>3.9083333333333324E-2</v>
      </c>
      <c r="BO71" s="1490">
        <f t="shared" ca="1" si="72"/>
        <v>4.0416666666666656E-2</v>
      </c>
      <c r="BP71" s="1490">
        <f t="shared" ca="1" si="73"/>
        <v>4.6749999999999986E-2</v>
      </c>
      <c r="BQ71" s="1490">
        <f t="shared" ca="1" si="74"/>
        <v>5.2249999999999984E-2</v>
      </c>
      <c r="BR71" s="1491">
        <f t="shared" ca="1" si="75"/>
        <v>5.2749999999999984E-2</v>
      </c>
      <c r="BS71" s="1133"/>
      <c r="BT71" s="1492">
        <f>+IF($K71="Ongoing",AX71,IF(RIGHT($K71,2)=RIGHT(BT$39,2),SUM($AX71:AX71),0)+IF(RIGHT(BT$39,2)&gt;RIGHT($K71,2),AX71,0))</f>
        <v>0.13</v>
      </c>
      <c r="BU71" s="1490">
        <f>+IF($K71="Ongoing",AY71,IF(RIGHT($K71,2)=RIGHT(BU$39,2),SUM($AX71:AY71),0)+IF(RIGHT(BU$39,2)&gt;RIGHT($K71,2),AY71,0))</f>
        <v>0.5</v>
      </c>
      <c r="BV71" s="1490">
        <f>+IF($K71="Ongoing",AZ71,IF(RIGHT($K71,2)=RIGHT(BV$39,2),SUM($AX71:AZ71),0)+IF(RIGHT(BV$39,2)&gt;RIGHT($K71,2),AZ71,0))</f>
        <v>0.3</v>
      </c>
      <c r="BW71" s="1490">
        <f>+IF($K71="Ongoing",BA71,IF(RIGHT($K71,2)=RIGHT(BW$39,2),SUM($AX71:BA71),0)+IF(RIGHT(BW$39,2)&gt;RIGHT($K71,2),BA71,0))</f>
        <v>1.125</v>
      </c>
      <c r="BX71" s="1491">
        <f>+IF($K71="Ongoing",BB71,IF(RIGHT($K71,2)=RIGHT(BX$39,2),SUM($AX71:BB71),0)+IF(RIGHT(BX$39,2)&gt;RIGHT($K71,2),BB71,0))</f>
        <v>0.27500000000000002</v>
      </c>
      <c r="BY71" s="1492">
        <f>+IF($K71="Ongoing",BC71,IF(RIGHT($K71,2)=RIGHT(BY$39,2),SUM($AX71:BC71),0)+IF(RIGHT(BY$39,2)&gt;RIGHT($K71,2),BC71,0))</f>
        <v>0.03</v>
      </c>
      <c r="BZ71" s="1490">
        <f>+IF($K71="Ongoing",BD71,IF(RIGHT($K71,2)=RIGHT(BZ$39,2),SUM($AX71:BD71),0)+IF(RIGHT(BZ$39,2)&gt;RIGHT($K71,2),BD71,0))</f>
        <v>0.13</v>
      </c>
      <c r="CA71" s="1490">
        <f>+IF($K71="Ongoing",BE71,IF(RIGHT($K71,2)=RIGHT(CA$39,2),SUM($AX71:BE71),0)+IF(RIGHT(CA$39,2)&gt;RIGHT($K71,2),BE71,0))</f>
        <v>0.63</v>
      </c>
      <c r="CB71" s="1490">
        <f>+IF($K71="Ongoing",BF71,IF(RIGHT($K71,2)=RIGHT(CB$39,2),SUM($AX71:BF71),0)+IF(RIGHT(CB$39,2)&gt;RIGHT($K71,2),BF71,0))</f>
        <v>0.03</v>
      </c>
      <c r="CC71" s="1491">
        <f>+IF($K71="Ongoing",BG71,IF(RIGHT($K71,2)=RIGHT(CC$39,2),SUM($AX71:BG71),0)+IF(RIGHT(CC$39,2)&gt;RIGHT($K71,2),BG71,0))</f>
        <v>0.03</v>
      </c>
      <c r="CD71" s="1133"/>
      <c r="CE71" s="1492">
        <f>+Q71*KeyAssumptionsPriceControl_FO!AC$15</f>
        <v>0.13390000000000002</v>
      </c>
      <c r="CF71" s="1490">
        <f>+R71*KeyAssumptionsPriceControl_FO!AD$15</f>
        <v>0.53044999999999998</v>
      </c>
      <c r="CG71" s="1490">
        <f>+S71*KeyAssumptionsPriceControl_FO!AE$15</f>
        <v>0.3278181</v>
      </c>
      <c r="CH71" s="1490">
        <f>+T71*KeyAssumptionsPriceControl_FO!AF$15</f>
        <v>1.2661974112500001</v>
      </c>
      <c r="CI71" s="1491">
        <f>+U71*KeyAssumptionsPriceControl_FO!AG$15</f>
        <v>0.31880037043250004</v>
      </c>
      <c r="CJ71" s="1492">
        <f>+V71*KeyAssumptionsPriceControl_FO!AH$15</f>
        <v>3.5821568895870001E-2</v>
      </c>
      <c r="CK71" s="1490">
        <f>+W71*KeyAssumptionsPriceControl_FO!AI$15</f>
        <v>0.15988360250523312</v>
      </c>
      <c r="CL71" s="1490">
        <f>+X71*KeyAssumptionsPriceControl_FO!AJ$15</f>
        <v>0.7980651512741983</v>
      </c>
      <c r="CM71" s="1490">
        <f>+Y71*KeyAssumptionsPriceControl_FO!AK$15</f>
        <v>3.9143195514877348E-2</v>
      </c>
      <c r="CN71" s="1491">
        <f>+Z71*KeyAssumptionsPriceControl_FO!AL$15</f>
        <v>4.0317491380323665E-2</v>
      </c>
      <c r="CO71" s="1133"/>
      <c r="CP71" s="1492">
        <f t="shared" ca="1" si="76"/>
        <v>1.1158333333333335E-3</v>
      </c>
      <c r="CQ71" s="1490">
        <f t="shared" ca="1" si="77"/>
        <v>6.6520833333333328E-3</v>
      </c>
      <c r="CR71" s="1490">
        <f t="shared" ca="1" si="78"/>
        <v>1.38043175E-2</v>
      </c>
      <c r="CS71" s="1490">
        <f t="shared" ca="1" si="79"/>
        <v>2.708778009375E-2</v>
      </c>
      <c r="CT71" s="1491">
        <f t="shared" ca="1" si="80"/>
        <v>4.0296094941104164E-2</v>
      </c>
      <c r="CU71" s="1492">
        <f t="shared" ca="1" si="81"/>
        <v>4.3251277768840586E-2</v>
      </c>
      <c r="CV71" s="1490">
        <f t="shared" ca="1" si="82"/>
        <v>4.4882154197183111E-2</v>
      </c>
      <c r="CW71" s="1490">
        <f t="shared" ca="1" si="83"/>
        <v>5.2865060478678373E-2</v>
      </c>
      <c r="CX71" s="1490">
        <f t="shared" ca="1" si="84"/>
        <v>5.984179670192067E-2</v>
      </c>
      <c r="CY71" s="1491">
        <f t="shared" ca="1" si="85"/>
        <v>6.0503969092714008E-2</v>
      </c>
    </row>
    <row r="72" spans="2:103" x14ac:dyDescent="0.3">
      <c r="B72" s="397"/>
      <c r="C72" s="1294" t="s">
        <v>1122</v>
      </c>
      <c r="D72" s="1295"/>
      <c r="E72" s="2097" t="s">
        <v>22</v>
      </c>
      <c r="F72" s="2097" t="s">
        <v>239</v>
      </c>
      <c r="G72" s="1294" t="s">
        <v>14</v>
      </c>
      <c r="H72" s="2349" t="s">
        <v>516</v>
      </c>
      <c r="I72" s="2350"/>
      <c r="J72" s="1292" t="s">
        <v>279</v>
      </c>
      <c r="K72" s="1292" t="s">
        <v>296</v>
      </c>
      <c r="L72" s="1292">
        <v>80</v>
      </c>
      <c r="M72" s="1292">
        <v>80</v>
      </c>
      <c r="O72" s="376"/>
      <c r="P72" s="376"/>
      <c r="Q72" s="2337">
        <v>0.45</v>
      </c>
      <c r="R72" s="2338">
        <v>0.45</v>
      </c>
      <c r="S72" s="2338">
        <v>0.45</v>
      </c>
      <c r="T72" s="2338">
        <v>0.46</v>
      </c>
      <c r="U72" s="2339">
        <v>0.47</v>
      </c>
      <c r="V72" s="2337">
        <v>0.55000000000000004</v>
      </c>
      <c r="W72" s="2338">
        <v>0.55000000000000004</v>
      </c>
      <c r="X72" s="2338">
        <v>0.55000000000000004</v>
      </c>
      <c r="Y72" s="2338">
        <v>0.55000000000000004</v>
      </c>
      <c r="Z72" s="2339">
        <v>0.55000000000000004</v>
      </c>
      <c r="AA72" s="1132"/>
      <c r="AB72" s="1129"/>
      <c r="AC72" s="1130"/>
      <c r="AD72" s="1510"/>
      <c r="AE72" s="1510"/>
      <c r="AF72" s="1131"/>
      <c r="AG72" s="1129"/>
      <c r="AH72" s="1130"/>
      <c r="AI72" s="1130"/>
      <c r="AJ72" s="1130"/>
      <c r="AK72" s="1131"/>
      <c r="AL72" s="1132"/>
      <c r="AM72" s="1129"/>
      <c r="AN72" s="1130"/>
      <c r="AO72" s="1130"/>
      <c r="AP72" s="1510"/>
      <c r="AQ72" s="1131"/>
      <c r="AR72" s="1129"/>
      <c r="AS72" s="1130"/>
      <c r="AT72" s="1130"/>
      <c r="AU72" s="1510"/>
      <c r="AV72" s="1131"/>
      <c r="AW72" s="1133"/>
      <c r="AX72" s="1492">
        <f t="shared" si="56"/>
        <v>0.45</v>
      </c>
      <c r="AY72" s="1490">
        <f t="shared" si="57"/>
        <v>0.45</v>
      </c>
      <c r="AZ72" s="1490">
        <f t="shared" si="58"/>
        <v>0.45</v>
      </c>
      <c r="BA72" s="1490">
        <f t="shared" si="59"/>
        <v>0.46</v>
      </c>
      <c r="BB72" s="1491">
        <f t="shared" si="60"/>
        <v>0.47</v>
      </c>
      <c r="BC72" s="1492">
        <f t="shared" si="61"/>
        <v>0.55000000000000004</v>
      </c>
      <c r="BD72" s="1490">
        <f t="shared" si="62"/>
        <v>0.55000000000000004</v>
      </c>
      <c r="BE72" s="1490">
        <f t="shared" si="63"/>
        <v>0.55000000000000004</v>
      </c>
      <c r="BF72" s="1490">
        <f t="shared" si="64"/>
        <v>0.55000000000000004</v>
      </c>
      <c r="BG72" s="1491">
        <f t="shared" si="65"/>
        <v>0.55000000000000004</v>
      </c>
      <c r="BH72" s="1133"/>
      <c r="BI72" s="1492">
        <f t="shared" ca="1" si="66"/>
        <v>2.8124999999999999E-3</v>
      </c>
      <c r="BJ72" s="1490">
        <f t="shared" ca="1" si="67"/>
        <v>8.4375000000000006E-3</v>
      </c>
      <c r="BK72" s="1490">
        <f t="shared" ca="1" si="68"/>
        <v>1.4062499999999999E-2</v>
      </c>
      <c r="BL72" s="1490">
        <f t="shared" ca="1" si="69"/>
        <v>1.975E-2</v>
      </c>
      <c r="BM72" s="1491">
        <f t="shared" ca="1" si="70"/>
        <v>2.5562499999999998E-2</v>
      </c>
      <c r="BN72" s="1492">
        <f t="shared" ca="1" si="71"/>
        <v>3.1937500000000008E-2</v>
      </c>
      <c r="BO72" s="1490">
        <f t="shared" ca="1" si="72"/>
        <v>3.8812500000000007E-2</v>
      </c>
      <c r="BP72" s="1490">
        <f t="shared" ca="1" si="73"/>
        <v>4.5687499999999999E-2</v>
      </c>
      <c r="BQ72" s="1490">
        <f t="shared" ca="1" si="74"/>
        <v>5.2562499999999998E-2</v>
      </c>
      <c r="BR72" s="1491">
        <f t="shared" ca="1" si="75"/>
        <v>5.9437499999999997E-2</v>
      </c>
      <c r="BS72" s="1133"/>
      <c r="BT72" s="1492">
        <f>+IF($K72="Ongoing",AX72,IF(RIGHT($K72,2)=RIGHT(BT$39,2),SUM($AX72:AX72),0)+IF(RIGHT(BT$39,2)&gt;RIGHT($K72,2),AX72,0))</f>
        <v>0.45</v>
      </c>
      <c r="BU72" s="1490">
        <f>+IF($K72="Ongoing",AY72,IF(RIGHT($K72,2)=RIGHT(BU$39,2),SUM($AX72:AY72),0)+IF(RIGHT(BU$39,2)&gt;RIGHT($K72,2),AY72,0))</f>
        <v>0.45</v>
      </c>
      <c r="BV72" s="1490">
        <f>+IF($K72="Ongoing",AZ72,IF(RIGHT($K72,2)=RIGHT(BV$39,2),SUM($AX72:AZ72),0)+IF(RIGHT(BV$39,2)&gt;RIGHT($K72,2),AZ72,0))</f>
        <v>0.45</v>
      </c>
      <c r="BW72" s="1490">
        <f>+IF($K72="Ongoing",BA72,IF(RIGHT($K72,2)=RIGHT(BW$39,2),SUM($AX72:BA72),0)+IF(RIGHT(BW$39,2)&gt;RIGHT($K72,2),BA72,0))</f>
        <v>0.46</v>
      </c>
      <c r="BX72" s="1491">
        <f>+IF($K72="Ongoing",BB72,IF(RIGHT($K72,2)=RIGHT(BX$39,2),SUM($AX72:BB72),0)+IF(RIGHT(BX$39,2)&gt;RIGHT($K72,2),BB72,0))</f>
        <v>0.47</v>
      </c>
      <c r="BY72" s="1492">
        <f>+IF($K72="Ongoing",BC72,IF(RIGHT($K72,2)=RIGHT(BY$39,2),SUM($AX72:BC72),0)+IF(RIGHT(BY$39,2)&gt;RIGHT($K72,2),BC72,0))</f>
        <v>0.55000000000000004</v>
      </c>
      <c r="BZ72" s="1490">
        <f>+IF($K72="Ongoing",BD72,IF(RIGHT($K72,2)=RIGHT(BZ$39,2),SUM($AX72:BD72),0)+IF(RIGHT(BZ$39,2)&gt;RIGHT($K72,2),BD72,0))</f>
        <v>0.55000000000000004</v>
      </c>
      <c r="CA72" s="1490">
        <f>+IF($K72="Ongoing",BE72,IF(RIGHT($K72,2)=RIGHT(CA$39,2),SUM($AX72:BE72),0)+IF(RIGHT(CA$39,2)&gt;RIGHT($K72,2),BE72,0))</f>
        <v>0.55000000000000004</v>
      </c>
      <c r="CB72" s="1490">
        <f>+IF($K72="Ongoing",BF72,IF(RIGHT($K72,2)=RIGHT(CB$39,2),SUM($AX72:BF72),0)+IF(RIGHT(CB$39,2)&gt;RIGHT($K72,2),BF72,0))</f>
        <v>0.55000000000000004</v>
      </c>
      <c r="CC72" s="1491">
        <f>+IF($K72="Ongoing",BG72,IF(RIGHT($K72,2)=RIGHT(CC$39,2),SUM($AX72:BG72),0)+IF(RIGHT(CC$39,2)&gt;RIGHT($K72,2),BG72,0))</f>
        <v>0.55000000000000004</v>
      </c>
      <c r="CD72" s="1133"/>
      <c r="CE72" s="1492">
        <f>+Q72*KeyAssumptionsPriceControl_FO!AC$15</f>
        <v>0.46350000000000002</v>
      </c>
      <c r="CF72" s="1490">
        <f>+R72*KeyAssumptionsPriceControl_FO!AD$15</f>
        <v>0.47740499999999997</v>
      </c>
      <c r="CG72" s="1490">
        <f>+S72*KeyAssumptionsPriceControl_FO!AE$15</f>
        <v>0.49172715</v>
      </c>
      <c r="CH72" s="1490">
        <f>+T72*KeyAssumptionsPriceControl_FO!AF$15</f>
        <v>0.51773405260000005</v>
      </c>
      <c r="CI72" s="1491">
        <f>+U72*KeyAssumptionsPriceControl_FO!AG$15</f>
        <v>0.54485881492099997</v>
      </c>
      <c r="CJ72" s="1492">
        <f>+V72*KeyAssumptionsPriceControl_FO!AH$15</f>
        <v>0.65672876309095007</v>
      </c>
      <c r="CK72" s="1490">
        <f>+W72*KeyAssumptionsPriceControl_FO!AI$15</f>
        <v>0.67643062598367865</v>
      </c>
      <c r="CL72" s="1490">
        <f>+X72*KeyAssumptionsPriceControl_FO!AJ$15</f>
        <v>0.6967235447631891</v>
      </c>
      <c r="CM72" s="1490">
        <f>+Y72*KeyAssumptionsPriceControl_FO!AK$15</f>
        <v>0.71762525110608477</v>
      </c>
      <c r="CN72" s="1491">
        <f>+Z72*KeyAssumptionsPriceControl_FO!AL$15</f>
        <v>0.73915400863926728</v>
      </c>
      <c r="CO72" s="1133"/>
      <c r="CP72" s="1492">
        <f t="shared" ca="1" si="76"/>
        <v>2.8968750000000001E-3</v>
      </c>
      <c r="CQ72" s="1490">
        <f t="shared" ca="1" si="77"/>
        <v>8.7775312499999997E-3</v>
      </c>
      <c r="CR72" s="1490">
        <f t="shared" ca="1" si="78"/>
        <v>1.48346071875E-2</v>
      </c>
      <c r="CS72" s="1490">
        <f t="shared" ca="1" si="79"/>
        <v>2.1143739703750001E-2</v>
      </c>
      <c r="CT72" s="1491">
        <f t="shared" ca="1" si="80"/>
        <v>2.7784945125756248E-2</v>
      </c>
      <c r="CU72" s="1492">
        <f t="shared" ca="1" si="81"/>
        <v>3.5294867488330932E-2</v>
      </c>
      <c r="CV72" s="1490">
        <f t="shared" ca="1" si="82"/>
        <v>4.3627113670047367E-2</v>
      </c>
      <c r="CW72" s="1490">
        <f t="shared" ca="1" si="83"/>
        <v>5.2209327237215289E-2</v>
      </c>
      <c r="CX72" s="1490">
        <f t="shared" ca="1" si="84"/>
        <v>6.1049007211398248E-2</v>
      </c>
      <c r="CY72" s="1491">
        <f t="shared" ca="1" si="85"/>
        <v>7.0153877584806706E-2</v>
      </c>
    </row>
    <row r="73" spans="2:103" x14ac:dyDescent="0.3">
      <c r="B73" s="397"/>
      <c r="C73" s="1294" t="s">
        <v>1123</v>
      </c>
      <c r="D73" s="1295"/>
      <c r="E73" s="2097" t="s">
        <v>21</v>
      </c>
      <c r="F73" s="2097" t="s">
        <v>239</v>
      </c>
      <c r="G73" s="1294" t="s">
        <v>6</v>
      </c>
      <c r="H73" s="2349" t="s">
        <v>516</v>
      </c>
      <c r="I73" s="2350"/>
      <c r="J73" s="1292" t="s">
        <v>279</v>
      </c>
      <c r="K73" s="1292" t="s">
        <v>296</v>
      </c>
      <c r="L73" s="1292">
        <v>80</v>
      </c>
      <c r="M73" s="1292">
        <v>80</v>
      </c>
      <c r="O73" s="376"/>
      <c r="P73" s="376"/>
      <c r="Q73" s="2337">
        <v>0.10920000000000001</v>
      </c>
      <c r="R73" s="2338">
        <v>0.48499999999999999</v>
      </c>
      <c r="S73" s="2338">
        <v>1.302</v>
      </c>
      <c r="T73" s="2338">
        <v>4.4999999999999997E-3</v>
      </c>
      <c r="U73" s="2339">
        <v>4.4999999999999997E-3</v>
      </c>
      <c r="V73" s="2337">
        <v>0.1</v>
      </c>
      <c r="W73" s="2338">
        <v>0.1</v>
      </c>
      <c r="X73" s="2338">
        <v>0.1</v>
      </c>
      <c r="Y73" s="2338">
        <v>0.1</v>
      </c>
      <c r="Z73" s="2339">
        <v>0.1</v>
      </c>
      <c r="AA73" s="1132"/>
      <c r="AB73" s="1129"/>
      <c r="AC73" s="1130"/>
      <c r="AD73" s="1510"/>
      <c r="AE73" s="1130"/>
      <c r="AF73" s="1131"/>
      <c r="AG73" s="1129"/>
      <c r="AH73" s="1510"/>
      <c r="AI73" s="1130"/>
      <c r="AJ73" s="1130"/>
      <c r="AK73" s="1131"/>
      <c r="AL73" s="1132"/>
      <c r="AM73" s="1509"/>
      <c r="AN73" s="1130"/>
      <c r="AO73" s="1510"/>
      <c r="AP73" s="1510"/>
      <c r="AQ73" s="1131"/>
      <c r="AR73" s="1129"/>
      <c r="AS73" s="1130"/>
      <c r="AT73" s="1130"/>
      <c r="AU73" s="1130"/>
      <c r="AV73" s="1131"/>
      <c r="AW73" s="1133"/>
      <c r="AX73" s="1492">
        <f t="shared" si="56"/>
        <v>0.10920000000000001</v>
      </c>
      <c r="AY73" s="1490">
        <f t="shared" si="57"/>
        <v>0.48499999999999999</v>
      </c>
      <c r="AZ73" s="1490">
        <f t="shared" si="58"/>
        <v>1.302</v>
      </c>
      <c r="BA73" s="1490">
        <f t="shared" si="59"/>
        <v>4.4999999999999997E-3</v>
      </c>
      <c r="BB73" s="1491">
        <f t="shared" si="60"/>
        <v>4.4999999999999997E-3</v>
      </c>
      <c r="BC73" s="1492">
        <f t="shared" si="61"/>
        <v>0.1</v>
      </c>
      <c r="BD73" s="1490">
        <f t="shared" si="62"/>
        <v>0.1</v>
      </c>
      <c r="BE73" s="1490">
        <f t="shared" si="63"/>
        <v>0.1</v>
      </c>
      <c r="BF73" s="1490">
        <f t="shared" si="64"/>
        <v>0.1</v>
      </c>
      <c r="BG73" s="1491">
        <f t="shared" si="65"/>
        <v>0.1</v>
      </c>
      <c r="BH73" s="1133"/>
      <c r="BI73" s="1492">
        <f t="shared" ca="1" si="66"/>
        <v>6.8250000000000006E-4</v>
      </c>
      <c r="BJ73" s="1490">
        <f t="shared" ca="1" si="67"/>
        <v>4.39625E-3</v>
      </c>
      <c r="BK73" s="1490">
        <f t="shared" ca="1" si="68"/>
        <v>1.5564999999999999E-2</v>
      </c>
      <c r="BL73" s="1490">
        <f t="shared" ca="1" si="69"/>
        <v>2.3730624999999998E-2</v>
      </c>
      <c r="BM73" s="1491">
        <f t="shared" ca="1" si="70"/>
        <v>2.3786874999999999E-2</v>
      </c>
      <c r="BN73" s="1492">
        <f t="shared" ca="1" si="71"/>
        <v>2.4439999999999996E-2</v>
      </c>
      <c r="BO73" s="1490">
        <f t="shared" ca="1" si="72"/>
        <v>2.5689999999999998E-2</v>
      </c>
      <c r="BP73" s="1490">
        <f t="shared" ca="1" si="73"/>
        <v>2.6939999999999999E-2</v>
      </c>
      <c r="BQ73" s="1490">
        <f t="shared" ca="1" si="74"/>
        <v>2.819E-2</v>
      </c>
      <c r="BR73" s="1491">
        <f t="shared" ca="1" si="75"/>
        <v>2.9440000000000001E-2</v>
      </c>
      <c r="BS73" s="1133"/>
      <c r="BT73" s="1492">
        <f>+IF($K73="Ongoing",AX73,IF(RIGHT($K73,2)=RIGHT(BT$39,2),SUM($AX73:AX73),0)+IF(RIGHT(BT$39,2)&gt;RIGHT($K73,2),AX73,0))</f>
        <v>0.10920000000000001</v>
      </c>
      <c r="BU73" s="1490">
        <f>+IF($K73="Ongoing",AY73,IF(RIGHT($K73,2)=RIGHT(BU$39,2),SUM($AX73:AY73),0)+IF(RIGHT(BU$39,2)&gt;RIGHT($K73,2),AY73,0))</f>
        <v>0.48499999999999999</v>
      </c>
      <c r="BV73" s="1490">
        <f>+IF($K73="Ongoing",AZ73,IF(RIGHT($K73,2)=RIGHT(BV$39,2),SUM($AX73:AZ73),0)+IF(RIGHT(BV$39,2)&gt;RIGHT($K73,2),AZ73,0))</f>
        <v>1.302</v>
      </c>
      <c r="BW73" s="1490">
        <f>+IF($K73="Ongoing",BA73,IF(RIGHT($K73,2)=RIGHT(BW$39,2),SUM($AX73:BA73),0)+IF(RIGHT(BW$39,2)&gt;RIGHT($K73,2),BA73,0))</f>
        <v>4.4999999999999997E-3</v>
      </c>
      <c r="BX73" s="1491">
        <f>+IF($K73="Ongoing",BB73,IF(RIGHT($K73,2)=RIGHT(BX$39,2),SUM($AX73:BB73),0)+IF(RIGHT(BX$39,2)&gt;RIGHT($K73,2),BB73,0))</f>
        <v>4.4999999999999997E-3</v>
      </c>
      <c r="BY73" s="1492">
        <f>+IF($K73="Ongoing",BC73,IF(RIGHT($K73,2)=RIGHT(BY$39,2),SUM($AX73:BC73),0)+IF(RIGHT(BY$39,2)&gt;RIGHT($K73,2),BC73,0))</f>
        <v>0.1</v>
      </c>
      <c r="BZ73" s="1490">
        <f>+IF($K73="Ongoing",BD73,IF(RIGHT($K73,2)=RIGHT(BZ$39,2),SUM($AX73:BD73),0)+IF(RIGHT(BZ$39,2)&gt;RIGHT($K73,2),BD73,0))</f>
        <v>0.1</v>
      </c>
      <c r="CA73" s="1490">
        <f>+IF($K73="Ongoing",BE73,IF(RIGHT($K73,2)=RIGHT(CA$39,2),SUM($AX73:BE73),0)+IF(RIGHT(CA$39,2)&gt;RIGHT($K73,2),BE73,0))</f>
        <v>0.1</v>
      </c>
      <c r="CB73" s="1490">
        <f>+IF($K73="Ongoing",BF73,IF(RIGHT($K73,2)=RIGHT(CB$39,2),SUM($AX73:BF73),0)+IF(RIGHT(CB$39,2)&gt;RIGHT($K73,2),BF73,0))</f>
        <v>0.1</v>
      </c>
      <c r="CC73" s="1491">
        <f>+IF($K73="Ongoing",BG73,IF(RIGHT($K73,2)=RIGHT(CC$39,2),SUM($AX73:BG73),0)+IF(RIGHT(CC$39,2)&gt;RIGHT($K73,2),BG73,0))</f>
        <v>0.1</v>
      </c>
      <c r="CD73" s="1133"/>
      <c r="CE73" s="1492">
        <f>+Q73*KeyAssumptionsPriceControl_FO!AC$15</f>
        <v>0.11247600000000001</v>
      </c>
      <c r="CF73" s="1490">
        <f>+R73*KeyAssumptionsPriceControl_FO!AD$15</f>
        <v>0.51453649999999995</v>
      </c>
      <c r="CG73" s="1490">
        <f>+S73*KeyAssumptionsPriceControl_FO!AE$15</f>
        <v>1.4227305540000001</v>
      </c>
      <c r="CH73" s="1490">
        <f>+T73*KeyAssumptionsPriceControl_FO!AF$15</f>
        <v>5.0647896450000006E-3</v>
      </c>
      <c r="CI73" s="1491">
        <f>+U73*KeyAssumptionsPriceControl_FO!AG$15</f>
        <v>5.2167333343500003E-3</v>
      </c>
      <c r="CJ73" s="1492">
        <f>+V73*KeyAssumptionsPriceControl_FO!AH$15</f>
        <v>0.11940522965290001</v>
      </c>
      <c r="CK73" s="1490">
        <f>+W73*KeyAssumptionsPriceControl_FO!AI$15</f>
        <v>0.12298738654248703</v>
      </c>
      <c r="CL73" s="1490">
        <f>+X73*KeyAssumptionsPriceControl_FO!AJ$15</f>
        <v>0.12667700813876165</v>
      </c>
      <c r="CM73" s="1490">
        <f>+Y73*KeyAssumptionsPriceControl_FO!AK$15</f>
        <v>0.13047731838292451</v>
      </c>
      <c r="CN73" s="1491">
        <f>+Z73*KeyAssumptionsPriceControl_FO!AL$15</f>
        <v>0.13439163793441222</v>
      </c>
      <c r="CO73" s="1133"/>
      <c r="CP73" s="1492">
        <f t="shared" ca="1" si="76"/>
        <v>7.02975E-4</v>
      </c>
      <c r="CQ73" s="1490">
        <f t="shared" ca="1" si="77"/>
        <v>4.6218031249999998E-3</v>
      </c>
      <c r="CR73" s="1490">
        <f t="shared" ca="1" si="78"/>
        <v>1.6729722212499999E-2</v>
      </c>
      <c r="CS73" s="1490">
        <f t="shared" ca="1" si="79"/>
        <v>2.5653443110281254E-2</v>
      </c>
      <c r="CT73" s="1491">
        <f t="shared" ca="1" si="80"/>
        <v>2.5717702628902193E-2</v>
      </c>
      <c r="CU73" s="1492">
        <f t="shared" ca="1" si="81"/>
        <v>2.6496589897572507E-2</v>
      </c>
      <c r="CV73" s="1490">
        <f t="shared" ca="1" si="82"/>
        <v>2.8011543748793676E-2</v>
      </c>
      <c r="CW73" s="1490">
        <f t="shared" ca="1" si="83"/>
        <v>2.9571946215551481E-2</v>
      </c>
      <c r="CX73" s="1490">
        <f t="shared" ca="1" si="84"/>
        <v>3.1179160756312017E-2</v>
      </c>
      <c r="CY73" s="1491">
        <f t="shared" ca="1" si="85"/>
        <v>3.2834591733295372E-2</v>
      </c>
    </row>
    <row r="74" spans="2:103" x14ac:dyDescent="0.3">
      <c r="B74" s="397"/>
      <c r="C74" s="1294" t="s">
        <v>1124</v>
      </c>
      <c r="D74" s="1295"/>
      <c r="E74" s="2097" t="s">
        <v>21</v>
      </c>
      <c r="F74" s="2097" t="s">
        <v>239</v>
      </c>
      <c r="G74" s="1294" t="s">
        <v>14</v>
      </c>
      <c r="H74" s="2349" t="s">
        <v>516</v>
      </c>
      <c r="I74" s="2350"/>
      <c r="J74" s="1292" t="s">
        <v>279</v>
      </c>
      <c r="K74" s="1292" t="s">
        <v>296</v>
      </c>
      <c r="L74" s="1292">
        <v>80</v>
      </c>
      <c r="M74" s="1292">
        <v>80</v>
      </c>
      <c r="O74" s="376"/>
      <c r="P74" s="376"/>
      <c r="Q74" s="2337">
        <v>0.73</v>
      </c>
      <c r="R74" s="2338">
        <v>0.33</v>
      </c>
      <c r="S74" s="2338">
        <v>0.33</v>
      </c>
      <c r="T74" s="2338">
        <v>0.33</v>
      </c>
      <c r="U74" s="2339">
        <v>0.43</v>
      </c>
      <c r="V74" s="2337">
        <v>0.43</v>
      </c>
      <c r="W74" s="2338">
        <v>0.03</v>
      </c>
      <c r="X74" s="2338">
        <v>0.03</v>
      </c>
      <c r="Y74" s="2338">
        <v>0.03</v>
      </c>
      <c r="Z74" s="2339">
        <v>0.03</v>
      </c>
      <c r="AA74" s="1132"/>
      <c r="AB74" s="1129"/>
      <c r="AC74" s="1130"/>
      <c r="AD74" s="1510"/>
      <c r="AE74" s="1510"/>
      <c r="AF74" s="1131"/>
      <c r="AG74" s="1129"/>
      <c r="AH74" s="1130"/>
      <c r="AI74" s="1130"/>
      <c r="AJ74" s="1130"/>
      <c r="AK74" s="1131"/>
      <c r="AL74" s="1132"/>
      <c r="AM74" s="1129"/>
      <c r="AN74" s="1130"/>
      <c r="AO74" s="1130"/>
      <c r="AP74" s="1510"/>
      <c r="AQ74" s="1131"/>
      <c r="AR74" s="1129"/>
      <c r="AS74" s="1130"/>
      <c r="AT74" s="1130"/>
      <c r="AU74" s="1510"/>
      <c r="AV74" s="1131"/>
      <c r="AW74" s="1133"/>
      <c r="AX74" s="1492">
        <f t="shared" si="56"/>
        <v>0.73</v>
      </c>
      <c r="AY74" s="1490">
        <f t="shared" si="57"/>
        <v>0.33</v>
      </c>
      <c r="AZ74" s="1490">
        <f t="shared" si="58"/>
        <v>0.33</v>
      </c>
      <c r="BA74" s="1490">
        <f t="shared" si="59"/>
        <v>0.33</v>
      </c>
      <c r="BB74" s="1491">
        <f t="shared" si="60"/>
        <v>0.43</v>
      </c>
      <c r="BC74" s="1492">
        <f t="shared" si="61"/>
        <v>0.43</v>
      </c>
      <c r="BD74" s="1490">
        <f t="shared" si="62"/>
        <v>0.03</v>
      </c>
      <c r="BE74" s="1490">
        <f t="shared" si="63"/>
        <v>0.03</v>
      </c>
      <c r="BF74" s="1490">
        <f t="shared" si="64"/>
        <v>0.03</v>
      </c>
      <c r="BG74" s="1491">
        <f t="shared" si="65"/>
        <v>0.03</v>
      </c>
      <c r="BH74" s="1133"/>
      <c r="BI74" s="1492">
        <f t="shared" ca="1" si="66"/>
        <v>4.5624999999999997E-3</v>
      </c>
      <c r="BJ74" s="1490">
        <f t="shared" ca="1" si="67"/>
        <v>1.11875E-2</v>
      </c>
      <c r="BK74" s="1490">
        <f t="shared" ca="1" si="68"/>
        <v>1.5312500000000001E-2</v>
      </c>
      <c r="BL74" s="1490">
        <f t="shared" ca="1" si="69"/>
        <v>1.9437500000000003E-2</v>
      </c>
      <c r="BM74" s="1491">
        <f t="shared" ca="1" si="70"/>
        <v>2.4187500000000001E-2</v>
      </c>
      <c r="BN74" s="1492">
        <f t="shared" ca="1" si="71"/>
        <v>2.9562500000000002E-2</v>
      </c>
      <c r="BO74" s="1490">
        <f t="shared" ca="1" si="72"/>
        <v>3.2437500000000008E-2</v>
      </c>
      <c r="BP74" s="1490">
        <f t="shared" ca="1" si="73"/>
        <v>3.2812500000000001E-2</v>
      </c>
      <c r="BQ74" s="1490">
        <f t="shared" ca="1" si="74"/>
        <v>3.3187500000000002E-2</v>
      </c>
      <c r="BR74" s="1491">
        <f t="shared" ca="1" si="75"/>
        <v>3.3562500000000002E-2</v>
      </c>
      <c r="BS74" s="1133"/>
      <c r="BT74" s="1492">
        <f>+IF($K74="Ongoing",AX74,IF(RIGHT($K74,2)=RIGHT(BT$39,2),SUM($AX74:AX74),0)+IF(RIGHT(BT$39,2)&gt;RIGHT($K74,2),AX74,0))</f>
        <v>0.73</v>
      </c>
      <c r="BU74" s="1490">
        <f>+IF($K74="Ongoing",AY74,IF(RIGHT($K74,2)=RIGHT(BU$39,2),SUM($AX74:AY74),0)+IF(RIGHT(BU$39,2)&gt;RIGHT($K74,2),AY74,0))</f>
        <v>0.33</v>
      </c>
      <c r="BV74" s="1490">
        <f>+IF($K74="Ongoing",AZ74,IF(RIGHT($K74,2)=RIGHT(BV$39,2),SUM($AX74:AZ74),0)+IF(RIGHT(BV$39,2)&gt;RIGHT($K74,2),AZ74,0))</f>
        <v>0.33</v>
      </c>
      <c r="BW74" s="1490">
        <f>+IF($K74="Ongoing",BA74,IF(RIGHT($K74,2)=RIGHT(BW$39,2),SUM($AX74:BA74),0)+IF(RIGHT(BW$39,2)&gt;RIGHT($K74,2),BA74,0))</f>
        <v>0.33</v>
      </c>
      <c r="BX74" s="1491">
        <f>+IF($K74="Ongoing",BB74,IF(RIGHT($K74,2)=RIGHT(BX$39,2),SUM($AX74:BB74),0)+IF(RIGHT(BX$39,2)&gt;RIGHT($K74,2),BB74,0))</f>
        <v>0.43</v>
      </c>
      <c r="BY74" s="1492">
        <f>+IF($K74="Ongoing",BC74,IF(RIGHT($K74,2)=RIGHT(BY$39,2),SUM($AX74:BC74),0)+IF(RIGHT(BY$39,2)&gt;RIGHT($K74,2),BC74,0))</f>
        <v>0.43</v>
      </c>
      <c r="BZ74" s="1490">
        <f>+IF($K74="Ongoing",BD74,IF(RIGHT($K74,2)=RIGHT(BZ$39,2),SUM($AX74:BD74),0)+IF(RIGHT(BZ$39,2)&gt;RIGHT($K74,2),BD74,0))</f>
        <v>0.03</v>
      </c>
      <c r="CA74" s="1490">
        <f>+IF($K74="Ongoing",BE74,IF(RIGHT($K74,2)=RIGHT(CA$39,2),SUM($AX74:BE74),0)+IF(RIGHT(CA$39,2)&gt;RIGHT($K74,2),BE74,0))</f>
        <v>0.03</v>
      </c>
      <c r="CB74" s="1490">
        <f>+IF($K74="Ongoing",BF74,IF(RIGHT($K74,2)=RIGHT(CB$39,2),SUM($AX74:BF74),0)+IF(RIGHT(CB$39,2)&gt;RIGHT($K74,2),BF74,0))</f>
        <v>0.03</v>
      </c>
      <c r="CC74" s="1491">
        <f>+IF($K74="Ongoing",BG74,IF(RIGHT($K74,2)=RIGHT(CC$39,2),SUM($AX74:BG74),0)+IF(RIGHT(CC$39,2)&gt;RIGHT($K74,2),BG74,0))</f>
        <v>0.03</v>
      </c>
      <c r="CD74" s="1133"/>
      <c r="CE74" s="1492">
        <f>+Q74*KeyAssumptionsPriceControl_FO!AC$15</f>
        <v>0.75190000000000001</v>
      </c>
      <c r="CF74" s="1490">
        <f>+R74*KeyAssumptionsPriceControl_FO!AD$15</f>
        <v>0.35009699999999999</v>
      </c>
      <c r="CG74" s="1490">
        <f>+S74*KeyAssumptionsPriceControl_FO!AE$15</f>
        <v>0.36059991000000002</v>
      </c>
      <c r="CH74" s="1490">
        <f>+T74*KeyAssumptionsPriceControl_FO!AF$15</f>
        <v>0.37141790730000007</v>
      </c>
      <c r="CI74" s="1491">
        <f>+U74*KeyAssumptionsPriceControl_FO!AG$15</f>
        <v>0.49848785194900003</v>
      </c>
      <c r="CJ74" s="1492">
        <f>+V74*KeyAssumptionsPriceControl_FO!AH$15</f>
        <v>0.51344248750747001</v>
      </c>
      <c r="CK74" s="1490">
        <f>+W74*KeyAssumptionsPriceControl_FO!AI$15</f>
        <v>3.6896215962746108E-2</v>
      </c>
      <c r="CL74" s="1490">
        <f>+X74*KeyAssumptionsPriceControl_FO!AJ$15</f>
        <v>3.8003102441628488E-2</v>
      </c>
      <c r="CM74" s="1490">
        <f>+Y74*KeyAssumptionsPriceControl_FO!AK$15</f>
        <v>3.9143195514877348E-2</v>
      </c>
      <c r="CN74" s="1491">
        <f>+Z74*KeyAssumptionsPriceControl_FO!AL$15</f>
        <v>4.0317491380323665E-2</v>
      </c>
      <c r="CO74" s="1133"/>
      <c r="CP74" s="1492">
        <f t="shared" ca="1" si="76"/>
        <v>4.6993750000000004E-3</v>
      </c>
      <c r="CQ74" s="1490">
        <f t="shared" ca="1" si="77"/>
        <v>1.1586856250000001E-2</v>
      </c>
      <c r="CR74" s="1490">
        <f t="shared" ca="1" si="78"/>
        <v>1.6028711937499999E-2</v>
      </c>
      <c r="CS74" s="1490">
        <f t="shared" ca="1" si="79"/>
        <v>2.0603823295624997E-2</v>
      </c>
      <c r="CT74" s="1491">
        <f t="shared" ca="1" si="80"/>
        <v>2.6040734290931247E-2</v>
      </c>
      <c r="CU74" s="1492">
        <f t="shared" ca="1" si="81"/>
        <v>3.2365298912534188E-2</v>
      </c>
      <c r="CV74" s="1490">
        <f t="shared" ca="1" si="82"/>
        <v>3.5804915809223035E-2</v>
      </c>
      <c r="CW74" s="1490">
        <f t="shared" ca="1" si="83"/>
        <v>3.6273036549250376E-2</v>
      </c>
      <c r="CX74" s="1490">
        <f t="shared" ca="1" si="84"/>
        <v>3.6755200911478533E-2</v>
      </c>
      <c r="CY74" s="1491">
        <f t="shared" ca="1" si="85"/>
        <v>3.7251830204573545E-2</v>
      </c>
    </row>
    <row r="75" spans="2:103" x14ac:dyDescent="0.3">
      <c r="B75" s="397"/>
      <c r="C75" s="1294" t="s">
        <v>1125</v>
      </c>
      <c r="D75" s="1295"/>
      <c r="E75" s="2097" t="s">
        <v>22</v>
      </c>
      <c r="F75" s="2097" t="s">
        <v>12</v>
      </c>
      <c r="G75" s="1294" t="s">
        <v>14</v>
      </c>
      <c r="H75" s="2349" t="s">
        <v>516</v>
      </c>
      <c r="I75" s="2350"/>
      <c r="J75" s="1292" t="s">
        <v>279</v>
      </c>
      <c r="K75" s="1292" t="s">
        <v>921</v>
      </c>
      <c r="L75" s="1292">
        <v>60</v>
      </c>
      <c r="M75" s="1292">
        <v>60</v>
      </c>
      <c r="O75" s="376"/>
      <c r="P75" s="376"/>
      <c r="Q75" s="2337">
        <v>0</v>
      </c>
      <c r="R75" s="2338">
        <v>0</v>
      </c>
      <c r="S75" s="2338">
        <v>0.2</v>
      </c>
      <c r="T75" s="2338">
        <v>1</v>
      </c>
      <c r="U75" s="2339">
        <v>0.9</v>
      </c>
      <c r="V75" s="2337">
        <v>1</v>
      </c>
      <c r="W75" s="2338">
        <v>2.875</v>
      </c>
      <c r="X75" s="2338">
        <v>0</v>
      </c>
      <c r="Y75" s="2338">
        <v>0</v>
      </c>
      <c r="Z75" s="2339">
        <v>0</v>
      </c>
      <c r="AA75" s="1132"/>
      <c r="AB75" s="1129"/>
      <c r="AC75" s="1130"/>
      <c r="AD75" s="1510"/>
      <c r="AE75" s="1130"/>
      <c r="AF75" s="1131"/>
      <c r="AG75" s="1129"/>
      <c r="AH75" s="1510"/>
      <c r="AI75" s="1130"/>
      <c r="AJ75" s="1130"/>
      <c r="AK75" s="1131"/>
      <c r="AL75" s="1132"/>
      <c r="AM75" s="1509"/>
      <c r="AN75" s="1130"/>
      <c r="AO75" s="1510"/>
      <c r="AP75" s="1510"/>
      <c r="AQ75" s="1131"/>
      <c r="AR75" s="1129"/>
      <c r="AS75" s="1130"/>
      <c r="AT75" s="1130"/>
      <c r="AU75" s="1130"/>
      <c r="AV75" s="1131"/>
      <c r="AW75" s="1133"/>
      <c r="AX75" s="1492">
        <f t="shared" si="56"/>
        <v>0</v>
      </c>
      <c r="AY75" s="1490">
        <f t="shared" si="57"/>
        <v>0</v>
      </c>
      <c r="AZ75" s="1490">
        <f t="shared" si="58"/>
        <v>0.2</v>
      </c>
      <c r="BA75" s="1490">
        <f t="shared" si="59"/>
        <v>1</v>
      </c>
      <c r="BB75" s="1491">
        <f t="shared" si="60"/>
        <v>0.9</v>
      </c>
      <c r="BC75" s="1492">
        <f t="shared" si="61"/>
        <v>1</v>
      </c>
      <c r="BD75" s="1490">
        <f t="shared" si="62"/>
        <v>2.875</v>
      </c>
      <c r="BE75" s="1490">
        <f t="shared" si="63"/>
        <v>0</v>
      </c>
      <c r="BF75" s="1490">
        <f t="shared" si="64"/>
        <v>0</v>
      </c>
      <c r="BG75" s="1491">
        <f t="shared" si="65"/>
        <v>0</v>
      </c>
      <c r="BH75" s="1133"/>
      <c r="BI75" s="1492">
        <f t="shared" ca="1" si="66"/>
        <v>0</v>
      </c>
      <c r="BJ75" s="1490">
        <f t="shared" ca="1" si="67"/>
        <v>0</v>
      </c>
      <c r="BK75" s="1490">
        <f t="shared" ca="1" si="68"/>
        <v>0</v>
      </c>
      <c r="BL75" s="1490">
        <f t="shared" ca="1" si="69"/>
        <v>0</v>
      </c>
      <c r="BM75" s="1491">
        <f t="shared" ca="1" si="70"/>
        <v>0</v>
      </c>
      <c r="BN75" s="1492">
        <f t="shared" ca="1" si="71"/>
        <v>0</v>
      </c>
      <c r="BO75" s="1490">
        <f t="shared" ca="1" si="72"/>
        <v>4.9791666666666665E-2</v>
      </c>
      <c r="BP75" s="1490">
        <f t="shared" ca="1" si="73"/>
        <v>9.9583333333333329E-2</v>
      </c>
      <c r="BQ75" s="1490">
        <f t="shared" ca="1" si="74"/>
        <v>9.9583333333333329E-2</v>
      </c>
      <c r="BR75" s="1491">
        <f t="shared" ca="1" si="75"/>
        <v>9.9583333333333329E-2</v>
      </c>
      <c r="BS75" s="1133"/>
      <c r="BT75" s="1492">
        <f>+IF($K75="Ongoing",AX75,IF(RIGHT($K75,2)=RIGHT(BT$39,2),SUM($AX75:AX75),0)+IF(RIGHT(BT$39,2)&gt;RIGHT($K75,2),AX75,0))</f>
        <v>0</v>
      </c>
      <c r="BU75" s="1490">
        <f>+IF($K75="Ongoing",AY75,IF(RIGHT($K75,2)=RIGHT(BU$39,2),SUM($AX75:AY75),0)+IF(RIGHT(BU$39,2)&gt;RIGHT($K75,2),AY75,0))</f>
        <v>0</v>
      </c>
      <c r="BV75" s="1490">
        <f>+IF($K75="Ongoing",AZ75,IF(RIGHT($K75,2)=RIGHT(BV$39,2),SUM($AX75:AZ75),0)+IF(RIGHT(BV$39,2)&gt;RIGHT($K75,2),AZ75,0))</f>
        <v>0</v>
      </c>
      <c r="BW75" s="1490">
        <f>+IF($K75="Ongoing",BA75,IF(RIGHT($K75,2)=RIGHT(BW$39,2),SUM($AX75:BA75),0)+IF(RIGHT(BW$39,2)&gt;RIGHT($K75,2),BA75,0))</f>
        <v>0</v>
      </c>
      <c r="BX75" s="1491">
        <f>+IF($K75="Ongoing",BB75,IF(RIGHT($K75,2)=RIGHT(BX$39,2),SUM($AX75:BB75),0)+IF(RIGHT(BX$39,2)&gt;RIGHT($K75,2),BB75,0))</f>
        <v>0</v>
      </c>
      <c r="BY75" s="1492">
        <f>+IF($K75="Ongoing",BC75,IF(RIGHT($K75,2)=RIGHT(BY$39,2),SUM($AX75:BC75),0)+IF(RIGHT(BY$39,2)&gt;RIGHT($K75,2),BC75,0))</f>
        <v>0</v>
      </c>
      <c r="BZ75" s="1490">
        <f>+IF($K75="Ongoing",BD75,IF(RIGHT($K75,2)=RIGHT(BZ$39,2),SUM($AX75:BD75),0)+IF(RIGHT(BZ$39,2)&gt;RIGHT($K75,2),BD75,0))</f>
        <v>5.9749999999999996</v>
      </c>
      <c r="CA75" s="1490">
        <f>+IF($K75="Ongoing",BE75,IF(RIGHT($K75,2)=RIGHT(CA$39,2),SUM($AX75:BE75),0)+IF(RIGHT(CA$39,2)&gt;RIGHT($K75,2),BE75,0))</f>
        <v>0</v>
      </c>
      <c r="CB75" s="1490">
        <f>+IF($K75="Ongoing",BF75,IF(RIGHT($K75,2)=RIGHT(CB$39,2),SUM($AX75:BF75),0)+IF(RIGHT(CB$39,2)&gt;RIGHT($K75,2),BF75,0))</f>
        <v>0</v>
      </c>
      <c r="CC75" s="1491">
        <f>+IF($K75="Ongoing",BG75,IF(RIGHT($K75,2)=RIGHT(CC$39,2),SUM($AX75:BG75),0)+IF(RIGHT(CC$39,2)&gt;RIGHT($K75,2),BG75,0))</f>
        <v>0</v>
      </c>
      <c r="CD75" s="1133"/>
      <c r="CE75" s="1492">
        <f>+Q75*KeyAssumptionsPriceControl_FO!AC$15</f>
        <v>0</v>
      </c>
      <c r="CF75" s="1490">
        <f>+R75*KeyAssumptionsPriceControl_FO!AD$15</f>
        <v>0</v>
      </c>
      <c r="CG75" s="1490">
        <f>+S75*KeyAssumptionsPriceControl_FO!AE$15</f>
        <v>0.2185454</v>
      </c>
      <c r="CH75" s="1490">
        <f>+T75*KeyAssumptionsPriceControl_FO!AF$15</f>
        <v>1.1255088100000001</v>
      </c>
      <c r="CI75" s="1491">
        <f>+U75*KeyAssumptionsPriceControl_FO!AG$15</f>
        <v>1.04334666687</v>
      </c>
      <c r="CJ75" s="1492">
        <f>+V75*KeyAssumptionsPriceControl_FO!AH$15</f>
        <v>1.1940522965290001</v>
      </c>
      <c r="CK75" s="1490">
        <f>+W75*KeyAssumptionsPriceControl_FO!AI$15</f>
        <v>3.535887363096502</v>
      </c>
      <c r="CL75" s="1490">
        <f>+X75*KeyAssumptionsPriceControl_FO!AJ$15</f>
        <v>0</v>
      </c>
      <c r="CM75" s="1490">
        <f>+Y75*KeyAssumptionsPriceControl_FO!AK$15</f>
        <v>0</v>
      </c>
      <c r="CN75" s="1491">
        <f>+Z75*KeyAssumptionsPriceControl_FO!AL$15</f>
        <v>0</v>
      </c>
      <c r="CO75" s="1133"/>
      <c r="CP75" s="1492">
        <f t="shared" ca="1" si="76"/>
        <v>0</v>
      </c>
      <c r="CQ75" s="1490">
        <f t="shared" ca="1" si="77"/>
        <v>0</v>
      </c>
      <c r="CR75" s="1490">
        <f t="shared" ca="1" si="78"/>
        <v>1.8212116666666666E-3</v>
      </c>
      <c r="CS75" s="1490">
        <f t="shared" ca="1" si="79"/>
        <v>1.3021663416666667E-2</v>
      </c>
      <c r="CT75" s="1491">
        <f t="shared" ca="1" si="80"/>
        <v>3.1095459057250002E-2</v>
      </c>
      <c r="CU75" s="1492">
        <f t="shared" ca="1" si="81"/>
        <v>4.9740450418908337E-2</v>
      </c>
      <c r="CV75" s="1490">
        <f t="shared" ca="1" si="82"/>
        <v>8.9156614249120858E-2</v>
      </c>
      <c r="CW75" s="1490">
        <f t="shared" ca="1" si="83"/>
        <v>0.11862234227492505</v>
      </c>
      <c r="CX75" s="1490">
        <f t="shared" ca="1" si="84"/>
        <v>0.11862234227492505</v>
      </c>
      <c r="CY75" s="1491">
        <f t="shared" ca="1" si="85"/>
        <v>0.11862234227492505</v>
      </c>
    </row>
    <row r="76" spans="2:103" x14ac:dyDescent="0.3">
      <c r="B76" s="397"/>
      <c r="C76" s="1294" t="s">
        <v>1126</v>
      </c>
      <c r="D76" s="1295"/>
      <c r="E76" s="2097" t="s">
        <v>22</v>
      </c>
      <c r="F76" s="2097" t="s">
        <v>512</v>
      </c>
      <c r="G76" s="1294" t="s">
        <v>6</v>
      </c>
      <c r="H76" s="2349" t="s">
        <v>516</v>
      </c>
      <c r="I76" s="2350"/>
      <c r="J76" s="1292" t="s">
        <v>279</v>
      </c>
      <c r="K76" s="1292" t="s">
        <v>296</v>
      </c>
      <c r="L76" s="1292">
        <v>60</v>
      </c>
      <c r="M76" s="1292">
        <v>60</v>
      </c>
      <c r="O76" s="376"/>
      <c r="P76" s="376"/>
      <c r="Q76" s="2337">
        <v>0.15</v>
      </c>
      <c r="R76" s="2338">
        <v>0.3</v>
      </c>
      <c r="S76" s="2338">
        <v>0.35</v>
      </c>
      <c r="T76" s="2338">
        <v>0.57499999999999996</v>
      </c>
      <c r="U76" s="2339">
        <v>0.5</v>
      </c>
      <c r="V76" s="2337">
        <v>0.375</v>
      </c>
      <c r="W76" s="2338">
        <v>0.375</v>
      </c>
      <c r="X76" s="2338">
        <v>0.375</v>
      </c>
      <c r="Y76" s="2338">
        <v>0.375</v>
      </c>
      <c r="Z76" s="2339">
        <v>0.375</v>
      </c>
      <c r="AA76" s="1132"/>
      <c r="AB76" s="1129"/>
      <c r="AC76" s="1130"/>
      <c r="AD76" s="1510"/>
      <c r="AE76" s="1510"/>
      <c r="AF76" s="1131"/>
      <c r="AG76" s="1129"/>
      <c r="AH76" s="1130"/>
      <c r="AI76" s="1130"/>
      <c r="AJ76" s="1130"/>
      <c r="AK76" s="1131"/>
      <c r="AL76" s="1132"/>
      <c r="AM76" s="1129"/>
      <c r="AN76" s="1130"/>
      <c r="AO76" s="1130"/>
      <c r="AP76" s="1510"/>
      <c r="AQ76" s="1131"/>
      <c r="AR76" s="1129"/>
      <c r="AS76" s="1130"/>
      <c r="AT76" s="1130"/>
      <c r="AU76" s="1510"/>
      <c r="AV76" s="1131"/>
      <c r="AW76" s="1133"/>
      <c r="AX76" s="1492">
        <f t="shared" si="56"/>
        <v>0.15</v>
      </c>
      <c r="AY76" s="1490">
        <f t="shared" si="57"/>
        <v>0.3</v>
      </c>
      <c r="AZ76" s="1490">
        <f t="shared" si="58"/>
        <v>0.35</v>
      </c>
      <c r="BA76" s="1490">
        <f t="shared" si="59"/>
        <v>0.57499999999999996</v>
      </c>
      <c r="BB76" s="1491">
        <f t="shared" si="60"/>
        <v>0.5</v>
      </c>
      <c r="BC76" s="1492">
        <f t="shared" si="61"/>
        <v>0.375</v>
      </c>
      <c r="BD76" s="1490">
        <f t="shared" si="62"/>
        <v>0.375</v>
      </c>
      <c r="BE76" s="1490">
        <f t="shared" si="63"/>
        <v>0.375</v>
      </c>
      <c r="BF76" s="1490">
        <f t="shared" si="64"/>
        <v>0.375</v>
      </c>
      <c r="BG76" s="1491">
        <f t="shared" si="65"/>
        <v>0.375</v>
      </c>
      <c r="BH76" s="1133"/>
      <c r="BI76" s="1492">
        <f t="shared" ca="1" si="66"/>
        <v>1.25E-3</v>
      </c>
      <c r="BJ76" s="1490">
        <f t="shared" ca="1" si="67"/>
        <v>5.0000000000000001E-3</v>
      </c>
      <c r="BK76" s="1490">
        <f t="shared" ca="1" si="68"/>
        <v>1.0416666666666664E-2</v>
      </c>
      <c r="BL76" s="1490">
        <f t="shared" ca="1" si="69"/>
        <v>1.8124999999999999E-2</v>
      </c>
      <c r="BM76" s="1491">
        <f t="shared" ca="1" si="70"/>
        <v>2.7083333333333331E-2</v>
      </c>
      <c r="BN76" s="1492">
        <f t="shared" ca="1" si="71"/>
        <v>3.4375000000000003E-2</v>
      </c>
      <c r="BO76" s="1490">
        <f t="shared" ca="1" si="72"/>
        <v>4.0625000000000001E-2</v>
      </c>
      <c r="BP76" s="1490">
        <f t="shared" ca="1" si="73"/>
        <v>4.6875E-2</v>
      </c>
      <c r="BQ76" s="1490">
        <f t="shared" ca="1" si="74"/>
        <v>5.3125000000000006E-2</v>
      </c>
      <c r="BR76" s="1491">
        <f t="shared" ca="1" si="75"/>
        <v>5.9375000000000004E-2</v>
      </c>
      <c r="BS76" s="1133"/>
      <c r="BT76" s="1492">
        <f>+IF($K76="Ongoing",AX76,IF(RIGHT($K76,2)=RIGHT(BT$39,2),SUM($AX76:AX76),0)+IF(RIGHT(BT$39,2)&gt;RIGHT($K76,2),AX76,0))</f>
        <v>0.15</v>
      </c>
      <c r="BU76" s="1490">
        <f>+IF($K76="Ongoing",AY76,IF(RIGHT($K76,2)=RIGHT(BU$39,2),SUM($AX76:AY76),0)+IF(RIGHT(BU$39,2)&gt;RIGHT($K76,2),AY76,0))</f>
        <v>0.3</v>
      </c>
      <c r="BV76" s="1490">
        <f>+IF($K76="Ongoing",AZ76,IF(RIGHT($K76,2)=RIGHT(BV$39,2),SUM($AX76:AZ76),0)+IF(RIGHT(BV$39,2)&gt;RIGHT($K76,2),AZ76,0))</f>
        <v>0.35</v>
      </c>
      <c r="BW76" s="1490">
        <f>+IF($K76="Ongoing",BA76,IF(RIGHT($K76,2)=RIGHT(BW$39,2),SUM($AX76:BA76),0)+IF(RIGHT(BW$39,2)&gt;RIGHT($K76,2),BA76,0))</f>
        <v>0.57499999999999996</v>
      </c>
      <c r="BX76" s="1491">
        <f>+IF($K76="Ongoing",BB76,IF(RIGHT($K76,2)=RIGHT(BX$39,2),SUM($AX76:BB76),0)+IF(RIGHT(BX$39,2)&gt;RIGHT($K76,2),BB76,0))</f>
        <v>0.5</v>
      </c>
      <c r="BY76" s="1492">
        <f>+IF($K76="Ongoing",BC76,IF(RIGHT($K76,2)=RIGHT(BY$39,2),SUM($AX76:BC76),0)+IF(RIGHT(BY$39,2)&gt;RIGHT($K76,2),BC76,0))</f>
        <v>0.375</v>
      </c>
      <c r="BZ76" s="1490">
        <f>+IF($K76="Ongoing",BD76,IF(RIGHT($K76,2)=RIGHT(BZ$39,2),SUM($AX76:BD76),0)+IF(RIGHT(BZ$39,2)&gt;RIGHT($K76,2),BD76,0))</f>
        <v>0.375</v>
      </c>
      <c r="CA76" s="1490">
        <f>+IF($K76="Ongoing",BE76,IF(RIGHT($K76,2)=RIGHT(CA$39,2),SUM($AX76:BE76),0)+IF(RIGHT(CA$39,2)&gt;RIGHT($K76,2),BE76,0))</f>
        <v>0.375</v>
      </c>
      <c r="CB76" s="1490">
        <f>+IF($K76="Ongoing",BF76,IF(RIGHT($K76,2)=RIGHT(CB$39,2),SUM($AX76:BF76),0)+IF(RIGHT(CB$39,2)&gt;RIGHT($K76,2),BF76,0))</f>
        <v>0.375</v>
      </c>
      <c r="CC76" s="1491">
        <f>+IF($K76="Ongoing",BG76,IF(RIGHT($K76,2)=RIGHT(CC$39,2),SUM($AX76:BG76),0)+IF(RIGHT(CC$39,2)&gt;RIGHT($K76,2),BG76,0))</f>
        <v>0.375</v>
      </c>
      <c r="CD76" s="1133"/>
      <c r="CE76" s="1492">
        <f>+Q76*KeyAssumptionsPriceControl_FO!AC$15</f>
        <v>0.1545</v>
      </c>
      <c r="CF76" s="1490">
        <f>+R76*KeyAssumptionsPriceControl_FO!AD$15</f>
        <v>0.31827</v>
      </c>
      <c r="CG76" s="1490">
        <f>+S76*KeyAssumptionsPriceControl_FO!AE$15</f>
        <v>0.38245445</v>
      </c>
      <c r="CH76" s="1490">
        <f>+T76*KeyAssumptionsPriceControl_FO!AF$15</f>
        <v>0.64716756575000001</v>
      </c>
      <c r="CI76" s="1491">
        <f>+U76*KeyAssumptionsPriceControl_FO!AG$15</f>
        <v>0.57963703715000003</v>
      </c>
      <c r="CJ76" s="1492">
        <f>+V76*KeyAssumptionsPriceControl_FO!AH$15</f>
        <v>0.44776961119837505</v>
      </c>
      <c r="CK76" s="1490">
        <f>+W76*KeyAssumptionsPriceControl_FO!AI$15</f>
        <v>0.46120269953432635</v>
      </c>
      <c r="CL76" s="1490">
        <f>+X76*KeyAssumptionsPriceControl_FO!AJ$15</f>
        <v>0.47503878052035614</v>
      </c>
      <c r="CM76" s="1490">
        <f>+Y76*KeyAssumptionsPriceControl_FO!AK$15</f>
        <v>0.48928994393596681</v>
      </c>
      <c r="CN76" s="1491">
        <f>+Z76*KeyAssumptionsPriceControl_FO!AL$15</f>
        <v>0.50396864225404581</v>
      </c>
      <c r="CO76" s="1133"/>
      <c r="CP76" s="1492">
        <f t="shared" ca="1" si="76"/>
        <v>1.2875E-3</v>
      </c>
      <c r="CQ76" s="1490">
        <f t="shared" ca="1" si="77"/>
        <v>5.2272500000000001E-3</v>
      </c>
      <c r="CR76" s="1490">
        <f t="shared" ca="1" si="78"/>
        <v>1.1066620416666667E-2</v>
      </c>
      <c r="CS76" s="1490">
        <f t="shared" ca="1" si="79"/>
        <v>1.9646803881250001E-2</v>
      </c>
      <c r="CT76" s="1491">
        <f t="shared" ca="1" si="80"/>
        <v>2.9870175572083331E-2</v>
      </c>
      <c r="CU76" s="1492">
        <f t="shared" ca="1" si="81"/>
        <v>3.8431897641653126E-2</v>
      </c>
      <c r="CV76" s="1490">
        <f t="shared" ca="1" si="82"/>
        <v>4.6006666897758973E-2</v>
      </c>
      <c r="CW76" s="1490">
        <f t="shared" ca="1" si="83"/>
        <v>5.3808679231547994E-2</v>
      </c>
      <c r="CX76" s="1490">
        <f t="shared" ca="1" si="84"/>
        <v>6.1844751935350682E-2</v>
      </c>
      <c r="CY76" s="1491">
        <f t="shared" ca="1" si="85"/>
        <v>7.0121906820267449E-2</v>
      </c>
    </row>
    <row r="77" spans="2:103" x14ac:dyDescent="0.3">
      <c r="B77" s="397"/>
      <c r="C77" s="1294" t="s">
        <v>1127</v>
      </c>
      <c r="D77" s="1295"/>
      <c r="E77" s="2097" t="s">
        <v>22</v>
      </c>
      <c r="F77" s="2097" t="s">
        <v>239</v>
      </c>
      <c r="G77" s="1294" t="s">
        <v>14</v>
      </c>
      <c r="H77" s="2349" t="s">
        <v>516</v>
      </c>
      <c r="I77" s="2350"/>
      <c r="J77" s="1292" t="s">
        <v>279</v>
      </c>
      <c r="K77" s="1292" t="s">
        <v>296</v>
      </c>
      <c r="L77" s="1292">
        <v>80</v>
      </c>
      <c r="M77" s="1292">
        <v>80</v>
      </c>
      <c r="O77" s="376"/>
      <c r="P77" s="376"/>
      <c r="Q77" s="2337">
        <v>0.1</v>
      </c>
      <c r="R77" s="2338">
        <v>0.2</v>
      </c>
      <c r="S77" s="2338">
        <v>0.4</v>
      </c>
      <c r="T77" s="2338">
        <v>0.4</v>
      </c>
      <c r="U77" s="2339">
        <v>0.4</v>
      </c>
      <c r="V77" s="2337">
        <v>0.7</v>
      </c>
      <c r="W77" s="2338">
        <v>0.7</v>
      </c>
      <c r="X77" s="2338">
        <v>0.7</v>
      </c>
      <c r="Y77" s="2338">
        <v>0.7</v>
      </c>
      <c r="Z77" s="2339">
        <v>0.7</v>
      </c>
      <c r="AA77" s="1132"/>
      <c r="AB77" s="1129"/>
      <c r="AC77" s="1130"/>
      <c r="AD77" s="1510"/>
      <c r="AE77" s="1130"/>
      <c r="AF77" s="1131"/>
      <c r="AG77" s="1129"/>
      <c r="AH77" s="1510"/>
      <c r="AI77" s="1130"/>
      <c r="AJ77" s="1130"/>
      <c r="AK77" s="1131"/>
      <c r="AL77" s="1132"/>
      <c r="AM77" s="1509"/>
      <c r="AN77" s="1130"/>
      <c r="AO77" s="1510"/>
      <c r="AP77" s="1510"/>
      <c r="AQ77" s="1131"/>
      <c r="AR77" s="1129"/>
      <c r="AS77" s="1130"/>
      <c r="AT77" s="1130"/>
      <c r="AU77" s="1130"/>
      <c r="AV77" s="1131"/>
      <c r="AW77" s="1133"/>
      <c r="AX77" s="1492">
        <f t="shared" si="56"/>
        <v>0.1</v>
      </c>
      <c r="AY77" s="1490">
        <f t="shared" si="57"/>
        <v>0.2</v>
      </c>
      <c r="AZ77" s="1490">
        <f t="shared" si="58"/>
        <v>0.4</v>
      </c>
      <c r="BA77" s="1490">
        <f t="shared" si="59"/>
        <v>0.4</v>
      </c>
      <c r="BB77" s="1491">
        <f t="shared" si="60"/>
        <v>0.4</v>
      </c>
      <c r="BC77" s="1492">
        <f t="shared" si="61"/>
        <v>0.7</v>
      </c>
      <c r="BD77" s="1490">
        <f t="shared" si="62"/>
        <v>0.7</v>
      </c>
      <c r="BE77" s="1490">
        <f t="shared" si="63"/>
        <v>0.7</v>
      </c>
      <c r="BF77" s="1490">
        <f t="shared" si="64"/>
        <v>0.7</v>
      </c>
      <c r="BG77" s="1491">
        <f t="shared" si="65"/>
        <v>0.7</v>
      </c>
      <c r="BH77" s="1133"/>
      <c r="BI77" s="1492">
        <f t="shared" ca="1" si="66"/>
        <v>6.2500000000000001E-4</v>
      </c>
      <c r="BJ77" s="1490">
        <f t="shared" ca="1" si="67"/>
        <v>2.5000000000000001E-3</v>
      </c>
      <c r="BK77" s="1490">
        <f t="shared" ca="1" si="68"/>
        <v>6.2500000000000003E-3</v>
      </c>
      <c r="BL77" s="1490">
        <f t="shared" ca="1" si="69"/>
        <v>1.1250000000000001E-2</v>
      </c>
      <c r="BM77" s="1491">
        <f t="shared" ca="1" si="70"/>
        <v>1.6250000000000001E-2</v>
      </c>
      <c r="BN77" s="1492">
        <f t="shared" ca="1" si="71"/>
        <v>2.3125E-2</v>
      </c>
      <c r="BO77" s="1490">
        <f t="shared" ca="1" si="72"/>
        <v>3.1875000000000001E-2</v>
      </c>
      <c r="BP77" s="1490">
        <f t="shared" ca="1" si="73"/>
        <v>4.0625000000000001E-2</v>
      </c>
      <c r="BQ77" s="1490">
        <f t="shared" ca="1" si="74"/>
        <v>4.9375000000000002E-2</v>
      </c>
      <c r="BR77" s="1491">
        <f t="shared" ca="1" si="75"/>
        <v>5.8125000000000003E-2</v>
      </c>
      <c r="BS77" s="1133"/>
      <c r="BT77" s="1492">
        <f>+IF($K77="Ongoing",AX77,IF(RIGHT($K77,2)=RIGHT(BT$39,2),SUM($AX77:AX77),0)+IF(RIGHT(BT$39,2)&gt;RIGHT($K77,2),AX77,0))</f>
        <v>0.1</v>
      </c>
      <c r="BU77" s="1490">
        <f>+IF($K77="Ongoing",AY77,IF(RIGHT($K77,2)=RIGHT(BU$39,2),SUM($AX77:AY77),0)+IF(RIGHT(BU$39,2)&gt;RIGHT($K77,2),AY77,0))</f>
        <v>0.2</v>
      </c>
      <c r="BV77" s="1490">
        <f>+IF($K77="Ongoing",AZ77,IF(RIGHT($K77,2)=RIGHT(BV$39,2),SUM($AX77:AZ77),0)+IF(RIGHT(BV$39,2)&gt;RIGHT($K77,2),AZ77,0))</f>
        <v>0.4</v>
      </c>
      <c r="BW77" s="1490">
        <f>+IF($K77="Ongoing",BA77,IF(RIGHT($K77,2)=RIGHT(BW$39,2),SUM($AX77:BA77),0)+IF(RIGHT(BW$39,2)&gt;RIGHT($K77,2),BA77,0))</f>
        <v>0.4</v>
      </c>
      <c r="BX77" s="1491">
        <f>+IF($K77="Ongoing",BB77,IF(RIGHT($K77,2)=RIGHT(BX$39,2),SUM($AX77:BB77),0)+IF(RIGHT(BX$39,2)&gt;RIGHT($K77,2),BB77,0))</f>
        <v>0.4</v>
      </c>
      <c r="BY77" s="1492">
        <f>+IF($K77="Ongoing",BC77,IF(RIGHT($K77,2)=RIGHT(BY$39,2),SUM($AX77:BC77),0)+IF(RIGHT(BY$39,2)&gt;RIGHT($K77,2),BC77,0))</f>
        <v>0.7</v>
      </c>
      <c r="BZ77" s="1490">
        <f>+IF($K77="Ongoing",BD77,IF(RIGHT($K77,2)=RIGHT(BZ$39,2),SUM($AX77:BD77),0)+IF(RIGHT(BZ$39,2)&gt;RIGHT($K77,2),BD77,0))</f>
        <v>0.7</v>
      </c>
      <c r="CA77" s="1490">
        <f>+IF($K77="Ongoing",BE77,IF(RIGHT($K77,2)=RIGHT(CA$39,2),SUM($AX77:BE77),0)+IF(RIGHT(CA$39,2)&gt;RIGHT($K77,2),BE77,0))</f>
        <v>0.7</v>
      </c>
      <c r="CB77" s="1490">
        <f>+IF($K77="Ongoing",BF77,IF(RIGHT($K77,2)=RIGHT(CB$39,2),SUM($AX77:BF77),0)+IF(RIGHT(CB$39,2)&gt;RIGHT($K77,2),BF77,0))</f>
        <v>0.7</v>
      </c>
      <c r="CC77" s="1491">
        <f>+IF($K77="Ongoing",BG77,IF(RIGHT($K77,2)=RIGHT(CC$39,2),SUM($AX77:BG77),0)+IF(RIGHT(CC$39,2)&gt;RIGHT($K77,2),BG77,0))</f>
        <v>0.7</v>
      </c>
      <c r="CD77" s="1133"/>
      <c r="CE77" s="1492">
        <f>+Q77*KeyAssumptionsPriceControl_FO!AC$15</f>
        <v>0.10300000000000001</v>
      </c>
      <c r="CF77" s="1490">
        <f>+R77*KeyAssumptionsPriceControl_FO!AD$15</f>
        <v>0.21218000000000001</v>
      </c>
      <c r="CG77" s="1490">
        <f>+S77*KeyAssumptionsPriceControl_FO!AE$15</f>
        <v>0.4370908</v>
      </c>
      <c r="CH77" s="1490">
        <f>+T77*KeyAssumptionsPriceControl_FO!AF$15</f>
        <v>0.45020352400000008</v>
      </c>
      <c r="CI77" s="1491">
        <f>+U77*KeyAssumptionsPriceControl_FO!AG$15</f>
        <v>0.46370962972000007</v>
      </c>
      <c r="CJ77" s="1492">
        <f>+V77*KeyAssumptionsPriceControl_FO!AH$15</f>
        <v>0.83583660757030009</v>
      </c>
      <c r="CK77" s="1490">
        <f>+W77*KeyAssumptionsPriceControl_FO!AI$15</f>
        <v>0.86091170579740905</v>
      </c>
      <c r="CL77" s="1490">
        <f>+X77*KeyAssumptionsPriceControl_FO!AJ$15</f>
        <v>0.88673905697133137</v>
      </c>
      <c r="CM77" s="1490">
        <f>+Y77*KeyAssumptionsPriceControl_FO!AK$15</f>
        <v>0.91334122868047141</v>
      </c>
      <c r="CN77" s="1491">
        <f>+Z77*KeyAssumptionsPriceControl_FO!AL$15</f>
        <v>0.94074146554088545</v>
      </c>
      <c r="CO77" s="1133"/>
      <c r="CP77" s="1492">
        <f t="shared" ca="1" si="76"/>
        <v>6.4375000000000001E-4</v>
      </c>
      <c r="CQ77" s="1490">
        <f t="shared" ca="1" si="77"/>
        <v>2.6136250000000001E-3</v>
      </c>
      <c r="CR77" s="1490">
        <f t="shared" ca="1" si="78"/>
        <v>6.6715675000000004E-3</v>
      </c>
      <c r="CS77" s="1490">
        <f t="shared" ca="1" si="79"/>
        <v>1.2217157025000001E-2</v>
      </c>
      <c r="CT77" s="1491">
        <f t="shared" ca="1" si="80"/>
        <v>1.7929114235750002E-2</v>
      </c>
      <c r="CU77" s="1492">
        <f t="shared" ca="1" si="81"/>
        <v>2.6051278218814377E-2</v>
      </c>
      <c r="CV77" s="1490">
        <f t="shared" ca="1" si="82"/>
        <v>3.6655955177362559E-2</v>
      </c>
      <c r="CW77" s="1490">
        <f t="shared" ca="1" si="83"/>
        <v>4.757877244466719E-2</v>
      </c>
      <c r="CX77" s="1490">
        <f t="shared" ca="1" si="84"/>
        <v>5.8829274229990958E-2</v>
      </c>
      <c r="CY77" s="1491">
        <f t="shared" ca="1" si="85"/>
        <v>7.0417291068874455E-2</v>
      </c>
    </row>
    <row r="78" spans="2:103" x14ac:dyDescent="0.3">
      <c r="B78" s="397"/>
      <c r="C78" s="1294" t="s">
        <v>1128</v>
      </c>
      <c r="D78" s="1295"/>
      <c r="E78" s="2097" t="s">
        <v>21</v>
      </c>
      <c r="F78" s="2097" t="s">
        <v>12</v>
      </c>
      <c r="G78" s="1294" t="s">
        <v>14</v>
      </c>
      <c r="H78" s="2349" t="s">
        <v>516</v>
      </c>
      <c r="I78" s="2350"/>
      <c r="J78" s="1292" t="s">
        <v>279</v>
      </c>
      <c r="K78" s="1292" t="s">
        <v>920</v>
      </c>
      <c r="L78" s="1292">
        <v>60</v>
      </c>
      <c r="M78" s="1292">
        <v>60</v>
      </c>
      <c r="O78" s="376"/>
      <c r="P78" s="376"/>
      <c r="Q78" s="2337">
        <v>0.15</v>
      </c>
      <c r="R78" s="2338">
        <v>0</v>
      </c>
      <c r="S78" s="2338">
        <v>0</v>
      </c>
      <c r="T78" s="2338">
        <v>0.4</v>
      </c>
      <c r="U78" s="2339">
        <v>0.95</v>
      </c>
      <c r="V78" s="2337">
        <v>2.5</v>
      </c>
      <c r="W78" s="2338">
        <v>0</v>
      </c>
      <c r="X78" s="2338">
        <v>0</v>
      </c>
      <c r="Y78" s="2338">
        <v>0</v>
      </c>
      <c r="Z78" s="2339">
        <v>0</v>
      </c>
      <c r="AA78" s="1132"/>
      <c r="AB78" s="1129"/>
      <c r="AC78" s="1130"/>
      <c r="AD78" s="1510"/>
      <c r="AE78" s="1510"/>
      <c r="AF78" s="1131"/>
      <c r="AG78" s="1129"/>
      <c r="AH78" s="1130"/>
      <c r="AI78" s="1130"/>
      <c r="AJ78" s="1130"/>
      <c r="AK78" s="1131"/>
      <c r="AL78" s="1132"/>
      <c r="AM78" s="1129"/>
      <c r="AN78" s="1130"/>
      <c r="AO78" s="1130"/>
      <c r="AP78" s="1510"/>
      <c r="AQ78" s="1131"/>
      <c r="AR78" s="1129"/>
      <c r="AS78" s="1130"/>
      <c r="AT78" s="1130"/>
      <c r="AU78" s="1510"/>
      <c r="AV78" s="1131"/>
      <c r="AW78" s="1133"/>
      <c r="AX78" s="1492">
        <f t="shared" si="56"/>
        <v>0.15</v>
      </c>
      <c r="AY78" s="1490">
        <f t="shared" si="57"/>
        <v>0</v>
      </c>
      <c r="AZ78" s="1490">
        <f t="shared" si="58"/>
        <v>0</v>
      </c>
      <c r="BA78" s="1490">
        <f t="shared" si="59"/>
        <v>0.4</v>
      </c>
      <c r="BB78" s="1491">
        <f t="shared" si="60"/>
        <v>0.95</v>
      </c>
      <c r="BC78" s="1492">
        <f t="shared" si="61"/>
        <v>2.5</v>
      </c>
      <c r="BD78" s="1490">
        <f t="shared" si="62"/>
        <v>0</v>
      </c>
      <c r="BE78" s="1490">
        <f t="shared" si="63"/>
        <v>0</v>
      </c>
      <c r="BF78" s="1490">
        <f t="shared" si="64"/>
        <v>0</v>
      </c>
      <c r="BG78" s="1491">
        <f t="shared" si="65"/>
        <v>0</v>
      </c>
      <c r="BH78" s="1133"/>
      <c r="BI78" s="1492">
        <f t="shared" ca="1" si="66"/>
        <v>0</v>
      </c>
      <c r="BJ78" s="1490">
        <f t="shared" ca="1" si="67"/>
        <v>0</v>
      </c>
      <c r="BK78" s="1490">
        <f t="shared" ca="1" si="68"/>
        <v>0</v>
      </c>
      <c r="BL78" s="1490">
        <f t="shared" ca="1" si="69"/>
        <v>0</v>
      </c>
      <c r="BM78" s="1491">
        <f t="shared" ca="1" si="70"/>
        <v>0</v>
      </c>
      <c r="BN78" s="1492">
        <f t="shared" ca="1" si="71"/>
        <v>3.3333333333333333E-2</v>
      </c>
      <c r="BO78" s="1490">
        <f t="shared" ca="1" si="72"/>
        <v>6.6666666666666666E-2</v>
      </c>
      <c r="BP78" s="1490">
        <f t="shared" ca="1" si="73"/>
        <v>6.6666666666666666E-2</v>
      </c>
      <c r="BQ78" s="1490">
        <f t="shared" ca="1" si="74"/>
        <v>6.6666666666666666E-2</v>
      </c>
      <c r="BR78" s="1491">
        <f t="shared" ca="1" si="75"/>
        <v>6.6666666666666666E-2</v>
      </c>
      <c r="BS78" s="1133"/>
      <c r="BT78" s="1492">
        <f>+IF($K78="Ongoing",AX78,IF(RIGHT($K78,2)=RIGHT(BT$39,2),SUM($AX78:AX78),0)+IF(RIGHT(BT$39,2)&gt;RIGHT($K78,2),AX78,0))</f>
        <v>0</v>
      </c>
      <c r="BU78" s="1490">
        <f>+IF($K78="Ongoing",AY78,IF(RIGHT($K78,2)=RIGHT(BU$39,2),SUM($AX78:AY78),0)+IF(RIGHT(BU$39,2)&gt;RIGHT($K78,2),AY78,0))</f>
        <v>0</v>
      </c>
      <c r="BV78" s="1490">
        <f>+IF($K78="Ongoing",AZ78,IF(RIGHT($K78,2)=RIGHT(BV$39,2),SUM($AX78:AZ78),0)+IF(RIGHT(BV$39,2)&gt;RIGHT($K78,2),AZ78,0))</f>
        <v>0</v>
      </c>
      <c r="BW78" s="1490">
        <f>+IF($K78="Ongoing",BA78,IF(RIGHT($K78,2)=RIGHT(BW$39,2),SUM($AX78:BA78),0)+IF(RIGHT(BW$39,2)&gt;RIGHT($K78,2),BA78,0))</f>
        <v>0</v>
      </c>
      <c r="BX78" s="1491">
        <f>+IF($K78="Ongoing",BB78,IF(RIGHT($K78,2)=RIGHT(BX$39,2),SUM($AX78:BB78),0)+IF(RIGHT(BX$39,2)&gt;RIGHT($K78,2),BB78,0))</f>
        <v>0</v>
      </c>
      <c r="BY78" s="1492">
        <f>+IF($K78="Ongoing",BC78,IF(RIGHT($K78,2)=RIGHT(BY$39,2),SUM($AX78:BC78),0)+IF(RIGHT(BY$39,2)&gt;RIGHT($K78,2),BC78,0))</f>
        <v>4</v>
      </c>
      <c r="BZ78" s="1490">
        <f>+IF($K78="Ongoing",BD78,IF(RIGHT($K78,2)=RIGHT(BZ$39,2),SUM($AX78:BD78),0)+IF(RIGHT(BZ$39,2)&gt;RIGHT($K78,2),BD78,0))</f>
        <v>0</v>
      </c>
      <c r="CA78" s="1490">
        <f>+IF($K78="Ongoing",BE78,IF(RIGHT($K78,2)=RIGHT(CA$39,2),SUM($AX78:BE78),0)+IF(RIGHT(CA$39,2)&gt;RIGHT($K78,2),BE78,0))</f>
        <v>0</v>
      </c>
      <c r="CB78" s="1490">
        <f>+IF($K78="Ongoing",BF78,IF(RIGHT($K78,2)=RIGHT(CB$39,2),SUM($AX78:BF78),0)+IF(RIGHT(CB$39,2)&gt;RIGHT($K78,2),BF78,0))</f>
        <v>0</v>
      </c>
      <c r="CC78" s="1491">
        <f>+IF($K78="Ongoing",BG78,IF(RIGHT($K78,2)=RIGHT(CC$39,2),SUM($AX78:BG78),0)+IF(RIGHT(CC$39,2)&gt;RIGHT($K78,2),BG78,0))</f>
        <v>0</v>
      </c>
      <c r="CD78" s="1133"/>
      <c r="CE78" s="1492">
        <f>+Q78*KeyAssumptionsPriceControl_FO!AC$15</f>
        <v>0.1545</v>
      </c>
      <c r="CF78" s="1490">
        <f>+R78*KeyAssumptionsPriceControl_FO!AD$15</f>
        <v>0</v>
      </c>
      <c r="CG78" s="1490">
        <f>+S78*KeyAssumptionsPriceControl_FO!AE$15</f>
        <v>0</v>
      </c>
      <c r="CH78" s="1490">
        <f>+T78*KeyAssumptionsPriceControl_FO!AF$15</f>
        <v>0.45020352400000008</v>
      </c>
      <c r="CI78" s="1491">
        <f>+U78*KeyAssumptionsPriceControl_FO!AG$15</f>
        <v>1.101310370585</v>
      </c>
      <c r="CJ78" s="1492">
        <f>+V78*KeyAssumptionsPriceControl_FO!AH$15</f>
        <v>2.9851307413225001</v>
      </c>
      <c r="CK78" s="1490">
        <f>+W78*KeyAssumptionsPriceControl_FO!AI$15</f>
        <v>0</v>
      </c>
      <c r="CL78" s="1490">
        <f>+X78*KeyAssumptionsPriceControl_FO!AJ$15</f>
        <v>0</v>
      </c>
      <c r="CM78" s="1490">
        <f>+Y78*KeyAssumptionsPriceControl_FO!AK$15</f>
        <v>0</v>
      </c>
      <c r="CN78" s="1491">
        <f>+Z78*KeyAssumptionsPriceControl_FO!AL$15</f>
        <v>0</v>
      </c>
      <c r="CO78" s="1133"/>
      <c r="CP78" s="1492">
        <f t="shared" ca="1" si="76"/>
        <v>1.2875E-3</v>
      </c>
      <c r="CQ78" s="1490">
        <f t="shared" ca="1" si="77"/>
        <v>2.575E-3</v>
      </c>
      <c r="CR78" s="1490">
        <f t="shared" ca="1" si="78"/>
        <v>2.575E-3</v>
      </c>
      <c r="CS78" s="1490">
        <f t="shared" ca="1" si="79"/>
        <v>6.3266960333333341E-3</v>
      </c>
      <c r="CT78" s="1491">
        <f t="shared" ca="1" si="80"/>
        <v>1.9255978488208335E-2</v>
      </c>
      <c r="CU78" s="1492">
        <f t="shared" ca="1" si="81"/>
        <v>5.3309654420770833E-2</v>
      </c>
      <c r="CV78" s="1490">
        <f t="shared" ca="1" si="82"/>
        <v>7.8185743931791674E-2</v>
      </c>
      <c r="CW78" s="1490">
        <f t="shared" ca="1" si="83"/>
        <v>7.8185743931791674E-2</v>
      </c>
      <c r="CX78" s="1490">
        <f t="shared" ca="1" si="84"/>
        <v>7.8185743931791674E-2</v>
      </c>
      <c r="CY78" s="1491">
        <f t="shared" ca="1" si="85"/>
        <v>7.8185743931791674E-2</v>
      </c>
    </row>
    <row r="79" spans="2:103" x14ac:dyDescent="0.3">
      <c r="B79" s="397"/>
      <c r="C79" s="1294" t="s">
        <v>1129</v>
      </c>
      <c r="D79" s="1295"/>
      <c r="E79" s="2097" t="s">
        <v>21</v>
      </c>
      <c r="F79" s="2097" t="s">
        <v>512</v>
      </c>
      <c r="G79" s="1294" t="s">
        <v>14</v>
      </c>
      <c r="H79" s="2349" t="s">
        <v>516</v>
      </c>
      <c r="I79" s="2350"/>
      <c r="J79" s="1292" t="s">
        <v>279</v>
      </c>
      <c r="K79" s="1292" t="s">
        <v>296</v>
      </c>
      <c r="L79" s="1292">
        <v>60</v>
      </c>
      <c r="M79" s="1292">
        <v>60</v>
      </c>
      <c r="O79" s="376"/>
      <c r="P79" s="376"/>
      <c r="Q79" s="2337">
        <v>0</v>
      </c>
      <c r="R79" s="2338">
        <v>0.2</v>
      </c>
      <c r="S79" s="2338">
        <v>0.32</v>
      </c>
      <c r="T79" s="2338">
        <v>0.39</v>
      </c>
      <c r="U79" s="2339">
        <v>0.44</v>
      </c>
      <c r="V79" s="2337">
        <v>0.3</v>
      </c>
      <c r="W79" s="2338">
        <v>0.3</v>
      </c>
      <c r="X79" s="2338">
        <v>0.05</v>
      </c>
      <c r="Y79" s="2338">
        <v>0.2</v>
      </c>
      <c r="Z79" s="2339">
        <v>0.05</v>
      </c>
      <c r="AA79" s="1132"/>
      <c r="AB79" s="1129"/>
      <c r="AC79" s="1130"/>
      <c r="AD79" s="1510"/>
      <c r="AE79" s="1130"/>
      <c r="AF79" s="1131"/>
      <c r="AG79" s="1129"/>
      <c r="AH79" s="1510"/>
      <c r="AI79" s="1130"/>
      <c r="AJ79" s="1130"/>
      <c r="AK79" s="1131"/>
      <c r="AL79" s="1132"/>
      <c r="AM79" s="1509"/>
      <c r="AN79" s="1130"/>
      <c r="AO79" s="1510"/>
      <c r="AP79" s="1510"/>
      <c r="AQ79" s="1131"/>
      <c r="AR79" s="1129"/>
      <c r="AS79" s="1130"/>
      <c r="AT79" s="1130"/>
      <c r="AU79" s="1130"/>
      <c r="AV79" s="1131"/>
      <c r="AW79" s="1133"/>
      <c r="AX79" s="1492">
        <f t="shared" si="56"/>
        <v>0</v>
      </c>
      <c r="AY79" s="1490">
        <f t="shared" si="57"/>
        <v>0.2</v>
      </c>
      <c r="AZ79" s="1490">
        <f t="shared" si="58"/>
        <v>0.32</v>
      </c>
      <c r="BA79" s="1490">
        <f t="shared" si="59"/>
        <v>0.39</v>
      </c>
      <c r="BB79" s="1491">
        <f t="shared" si="60"/>
        <v>0.44</v>
      </c>
      <c r="BC79" s="1492">
        <f t="shared" si="61"/>
        <v>0.3</v>
      </c>
      <c r="BD79" s="1490">
        <f t="shared" si="62"/>
        <v>0.3</v>
      </c>
      <c r="BE79" s="1490">
        <f t="shared" si="63"/>
        <v>0.05</v>
      </c>
      <c r="BF79" s="1490">
        <f t="shared" si="64"/>
        <v>0.2</v>
      </c>
      <c r="BG79" s="1491">
        <f t="shared" si="65"/>
        <v>0.05</v>
      </c>
      <c r="BH79" s="1133"/>
      <c r="BI79" s="1492">
        <f t="shared" ca="1" si="66"/>
        <v>0</v>
      </c>
      <c r="BJ79" s="1490">
        <f t="shared" ca="1" si="67"/>
        <v>1.6666666666666668E-3</v>
      </c>
      <c r="BK79" s="1490">
        <f t="shared" ca="1" si="68"/>
        <v>6.0000000000000001E-3</v>
      </c>
      <c r="BL79" s="1490">
        <f t="shared" ca="1" si="69"/>
        <v>1.1916666666666666E-2</v>
      </c>
      <c r="BM79" s="1491">
        <f t="shared" ca="1" si="70"/>
        <v>1.8833333333333334E-2</v>
      </c>
      <c r="BN79" s="1492">
        <f t="shared" ca="1" si="71"/>
        <v>2.5000000000000001E-2</v>
      </c>
      <c r="BO79" s="1490">
        <f t="shared" ca="1" si="72"/>
        <v>3.0000000000000002E-2</v>
      </c>
      <c r="BP79" s="1490">
        <f t="shared" ca="1" si="73"/>
        <v>3.291666666666667E-2</v>
      </c>
      <c r="BQ79" s="1490">
        <f t="shared" ca="1" si="74"/>
        <v>3.4999999999999996E-2</v>
      </c>
      <c r="BR79" s="1491">
        <f t="shared" ca="1" si="75"/>
        <v>3.7083333333333336E-2</v>
      </c>
      <c r="BS79" s="1133"/>
      <c r="BT79" s="1492">
        <f>+IF($K79="Ongoing",AX79,IF(RIGHT($K79,2)=RIGHT(BT$39,2),SUM($AX79:AX79),0)+IF(RIGHT(BT$39,2)&gt;RIGHT($K79,2),AX79,0))</f>
        <v>0</v>
      </c>
      <c r="BU79" s="1490">
        <f>+IF($K79="Ongoing",AY79,IF(RIGHT($K79,2)=RIGHT(BU$39,2),SUM($AX79:AY79),0)+IF(RIGHT(BU$39,2)&gt;RIGHT($K79,2),AY79,0))</f>
        <v>0.2</v>
      </c>
      <c r="BV79" s="1490">
        <f>+IF($K79="Ongoing",AZ79,IF(RIGHT($K79,2)=RIGHT(BV$39,2),SUM($AX79:AZ79),0)+IF(RIGHT(BV$39,2)&gt;RIGHT($K79,2),AZ79,0))</f>
        <v>0.32</v>
      </c>
      <c r="BW79" s="1490">
        <f>+IF($K79="Ongoing",BA79,IF(RIGHT($K79,2)=RIGHT(BW$39,2),SUM($AX79:BA79),0)+IF(RIGHT(BW$39,2)&gt;RIGHT($K79,2),BA79,0))</f>
        <v>0.39</v>
      </c>
      <c r="BX79" s="1491">
        <f>+IF($K79="Ongoing",BB79,IF(RIGHT($K79,2)=RIGHT(BX$39,2),SUM($AX79:BB79),0)+IF(RIGHT(BX$39,2)&gt;RIGHT($K79,2),BB79,0))</f>
        <v>0.44</v>
      </c>
      <c r="BY79" s="1492">
        <f>+IF($K79="Ongoing",BC79,IF(RIGHT($K79,2)=RIGHT(BY$39,2),SUM($AX79:BC79),0)+IF(RIGHT(BY$39,2)&gt;RIGHT($K79,2),BC79,0))</f>
        <v>0.3</v>
      </c>
      <c r="BZ79" s="1490">
        <f>+IF($K79="Ongoing",BD79,IF(RIGHT($K79,2)=RIGHT(BZ$39,2),SUM($AX79:BD79),0)+IF(RIGHT(BZ$39,2)&gt;RIGHT($K79,2),BD79,0))</f>
        <v>0.3</v>
      </c>
      <c r="CA79" s="1490">
        <f>+IF($K79="Ongoing",BE79,IF(RIGHT($K79,2)=RIGHT(CA$39,2),SUM($AX79:BE79),0)+IF(RIGHT(CA$39,2)&gt;RIGHT($K79,2),BE79,0))</f>
        <v>0.05</v>
      </c>
      <c r="CB79" s="1490">
        <f>+IF($K79="Ongoing",BF79,IF(RIGHT($K79,2)=RIGHT(CB$39,2),SUM($AX79:BF79),0)+IF(RIGHT(CB$39,2)&gt;RIGHT($K79,2),BF79,0))</f>
        <v>0.2</v>
      </c>
      <c r="CC79" s="1491">
        <f>+IF($K79="Ongoing",BG79,IF(RIGHT($K79,2)=RIGHT(CC$39,2),SUM($AX79:BG79),0)+IF(RIGHT(CC$39,2)&gt;RIGHT($K79,2),BG79,0))</f>
        <v>0.05</v>
      </c>
      <c r="CD79" s="1133"/>
      <c r="CE79" s="1492">
        <f>+Q79*KeyAssumptionsPriceControl_FO!AC$15</f>
        <v>0</v>
      </c>
      <c r="CF79" s="1490">
        <f>+R79*KeyAssumptionsPriceControl_FO!AD$15</f>
        <v>0.21218000000000001</v>
      </c>
      <c r="CG79" s="1490">
        <f>+S79*KeyAssumptionsPriceControl_FO!AE$15</f>
        <v>0.34967264000000003</v>
      </c>
      <c r="CH79" s="1490">
        <f>+T79*KeyAssumptionsPriceControl_FO!AF$15</f>
        <v>0.43894843590000004</v>
      </c>
      <c r="CI79" s="1491">
        <f>+U79*KeyAssumptionsPriceControl_FO!AG$15</f>
        <v>0.51008059269200001</v>
      </c>
      <c r="CJ79" s="1492">
        <f>+V79*KeyAssumptionsPriceControl_FO!AH$15</f>
        <v>0.35821568895870004</v>
      </c>
      <c r="CK79" s="1490">
        <f>+W79*KeyAssumptionsPriceControl_FO!AI$15</f>
        <v>0.36896215962746104</v>
      </c>
      <c r="CL79" s="1490">
        <f>+X79*KeyAssumptionsPriceControl_FO!AJ$15</f>
        <v>6.3338504069380824E-2</v>
      </c>
      <c r="CM79" s="1490">
        <f>+Y79*KeyAssumptionsPriceControl_FO!AK$15</f>
        <v>0.26095463676584901</v>
      </c>
      <c r="CN79" s="1491">
        <f>+Z79*KeyAssumptionsPriceControl_FO!AL$15</f>
        <v>6.7195818967206111E-2</v>
      </c>
      <c r="CO79" s="1133"/>
      <c r="CP79" s="1492">
        <f t="shared" ca="1" si="76"/>
        <v>0</v>
      </c>
      <c r="CQ79" s="1490">
        <f t="shared" ca="1" si="77"/>
        <v>1.7681666666666668E-3</v>
      </c>
      <c r="CR79" s="1490">
        <f t="shared" ca="1" si="78"/>
        <v>6.450272E-3</v>
      </c>
      <c r="CS79" s="1490">
        <f t="shared" ca="1" si="79"/>
        <v>1.3022114299166668E-2</v>
      </c>
      <c r="CT79" s="1491">
        <f t="shared" ca="1" si="80"/>
        <v>2.0930689537433336E-2</v>
      </c>
      <c r="CU79" s="1492">
        <f t="shared" ca="1" si="81"/>
        <v>2.8166491884522502E-2</v>
      </c>
      <c r="CV79" s="1490">
        <f t="shared" ca="1" si="82"/>
        <v>3.4226307289407176E-2</v>
      </c>
      <c r="CW79" s="1490">
        <f t="shared" ca="1" si="83"/>
        <v>3.7828812820214192E-2</v>
      </c>
      <c r="CX79" s="1490">
        <f t="shared" ca="1" si="84"/>
        <v>4.0531255660507776E-2</v>
      </c>
      <c r="CY79" s="1491">
        <f t="shared" ca="1" si="85"/>
        <v>4.326584279161657E-2</v>
      </c>
    </row>
    <row r="80" spans="2:103" x14ac:dyDescent="0.3">
      <c r="B80" s="397"/>
      <c r="C80" s="1294" t="s">
        <v>1130</v>
      </c>
      <c r="D80" s="1295"/>
      <c r="E80" s="2097" t="s">
        <v>22</v>
      </c>
      <c r="F80" s="2097" t="s">
        <v>512</v>
      </c>
      <c r="G80" s="1294" t="s">
        <v>10</v>
      </c>
      <c r="H80" s="2349" t="s">
        <v>516</v>
      </c>
      <c r="I80" s="2350"/>
      <c r="J80" s="1292" t="s">
        <v>279</v>
      </c>
      <c r="K80" s="1292" t="s">
        <v>920</v>
      </c>
      <c r="L80" s="1292">
        <v>60</v>
      </c>
      <c r="M80" s="1292">
        <v>60</v>
      </c>
      <c r="O80" s="376"/>
      <c r="P80" s="376"/>
      <c r="Q80" s="2337">
        <v>0</v>
      </c>
      <c r="R80" s="2338">
        <v>0</v>
      </c>
      <c r="S80" s="2338">
        <v>0</v>
      </c>
      <c r="T80" s="2338">
        <v>0.2</v>
      </c>
      <c r="U80" s="2339">
        <v>1</v>
      </c>
      <c r="V80" s="2337">
        <v>0.75</v>
      </c>
      <c r="W80" s="2338">
        <v>0</v>
      </c>
      <c r="X80" s="2338">
        <v>0</v>
      </c>
      <c r="Y80" s="2338">
        <v>0</v>
      </c>
      <c r="Z80" s="2339">
        <v>0</v>
      </c>
      <c r="AA80" s="1132"/>
      <c r="AB80" s="1129"/>
      <c r="AC80" s="1130"/>
      <c r="AD80" s="1510"/>
      <c r="AE80" s="1130"/>
      <c r="AF80" s="1131"/>
      <c r="AG80" s="1129"/>
      <c r="AH80" s="1510"/>
      <c r="AI80" s="1130"/>
      <c r="AJ80" s="1130"/>
      <c r="AK80" s="1131"/>
      <c r="AL80" s="1132"/>
      <c r="AM80" s="1509"/>
      <c r="AN80" s="1130"/>
      <c r="AO80" s="1510"/>
      <c r="AP80" s="1510"/>
      <c r="AQ80" s="1131"/>
      <c r="AR80" s="1129"/>
      <c r="AS80" s="1130"/>
      <c r="AT80" s="1130"/>
      <c r="AU80" s="1130"/>
      <c r="AV80" s="1131"/>
      <c r="AW80" s="1133"/>
      <c r="AX80" s="1492">
        <f t="shared" si="56"/>
        <v>0</v>
      </c>
      <c r="AY80" s="1490">
        <f t="shared" si="57"/>
        <v>0</v>
      </c>
      <c r="AZ80" s="1490">
        <f t="shared" si="58"/>
        <v>0</v>
      </c>
      <c r="BA80" s="1490">
        <f t="shared" si="59"/>
        <v>0.2</v>
      </c>
      <c r="BB80" s="1491">
        <f t="shared" si="60"/>
        <v>1</v>
      </c>
      <c r="BC80" s="1492">
        <f t="shared" si="61"/>
        <v>0.75</v>
      </c>
      <c r="BD80" s="1490">
        <f t="shared" si="62"/>
        <v>0</v>
      </c>
      <c r="BE80" s="1490">
        <f t="shared" si="63"/>
        <v>0</v>
      </c>
      <c r="BF80" s="1490">
        <f t="shared" si="64"/>
        <v>0</v>
      </c>
      <c r="BG80" s="1491">
        <f t="shared" si="65"/>
        <v>0</v>
      </c>
      <c r="BH80" s="1133"/>
      <c r="BI80" s="1492">
        <f t="shared" ca="1" si="66"/>
        <v>0</v>
      </c>
      <c r="BJ80" s="1490">
        <f t="shared" ca="1" si="67"/>
        <v>0</v>
      </c>
      <c r="BK80" s="1490">
        <f t="shared" ca="1" si="68"/>
        <v>0</v>
      </c>
      <c r="BL80" s="1490">
        <f t="shared" ca="1" si="69"/>
        <v>0</v>
      </c>
      <c r="BM80" s="1491">
        <f t="shared" ca="1" si="70"/>
        <v>0</v>
      </c>
      <c r="BN80" s="1492">
        <f t="shared" ca="1" si="71"/>
        <v>1.6250000000000001E-2</v>
      </c>
      <c r="BO80" s="1490">
        <f t="shared" ca="1" si="72"/>
        <v>3.2500000000000001E-2</v>
      </c>
      <c r="BP80" s="1490">
        <f t="shared" ca="1" si="73"/>
        <v>3.2500000000000001E-2</v>
      </c>
      <c r="BQ80" s="1490">
        <f t="shared" ca="1" si="74"/>
        <v>3.2500000000000001E-2</v>
      </c>
      <c r="BR80" s="1491">
        <f t="shared" ca="1" si="75"/>
        <v>3.2500000000000001E-2</v>
      </c>
      <c r="BS80" s="1133"/>
      <c r="BT80" s="1492">
        <f>+IF($K80="Ongoing",AX80,IF(RIGHT($K80,2)=RIGHT(BT$39,2),SUM($AX80:AX80),0)+IF(RIGHT(BT$39,2)&gt;RIGHT($K80,2),AX80,0))</f>
        <v>0</v>
      </c>
      <c r="BU80" s="1490">
        <f>+IF($K80="Ongoing",AY80,IF(RIGHT($K80,2)=RIGHT(BU$39,2),SUM($AX80:AY80),0)+IF(RIGHT(BU$39,2)&gt;RIGHT($K80,2),AY80,0))</f>
        <v>0</v>
      </c>
      <c r="BV80" s="1490">
        <f>+IF($K80="Ongoing",AZ80,IF(RIGHT($K80,2)=RIGHT(BV$39,2),SUM($AX80:AZ80),0)+IF(RIGHT(BV$39,2)&gt;RIGHT($K80,2),AZ80,0))</f>
        <v>0</v>
      </c>
      <c r="BW80" s="1490">
        <f>+IF($K80="Ongoing",BA80,IF(RIGHT($K80,2)=RIGHT(BW$39,2),SUM($AX80:BA80),0)+IF(RIGHT(BW$39,2)&gt;RIGHT($K80,2),BA80,0))</f>
        <v>0</v>
      </c>
      <c r="BX80" s="1491">
        <f>+IF($K80="Ongoing",BB80,IF(RIGHT($K80,2)=RIGHT(BX$39,2),SUM($AX80:BB80),0)+IF(RIGHT(BX$39,2)&gt;RIGHT($K80,2),BB80,0))</f>
        <v>0</v>
      </c>
      <c r="BY80" s="1492">
        <f>+IF($K80="Ongoing",BC80,IF(RIGHT($K80,2)=RIGHT(BY$39,2),SUM($AX80:BC80),0)+IF(RIGHT(BY$39,2)&gt;RIGHT($K80,2),BC80,0))</f>
        <v>1.95</v>
      </c>
      <c r="BZ80" s="1490">
        <f>+IF($K80="Ongoing",BD80,IF(RIGHT($K80,2)=RIGHT(BZ$39,2),SUM($AX80:BD80),0)+IF(RIGHT(BZ$39,2)&gt;RIGHT($K80,2),BD80,0))</f>
        <v>0</v>
      </c>
      <c r="CA80" s="1490">
        <f>+IF($K80="Ongoing",BE80,IF(RIGHT($K80,2)=RIGHT(CA$39,2),SUM($AX80:BE80),0)+IF(RIGHT(CA$39,2)&gt;RIGHT($K80,2),BE80,0))</f>
        <v>0</v>
      </c>
      <c r="CB80" s="1490">
        <f>+IF($K80="Ongoing",BF80,IF(RIGHT($K80,2)=RIGHT(CB$39,2),SUM($AX80:BF80),0)+IF(RIGHT(CB$39,2)&gt;RIGHT($K80,2),BF80,0))</f>
        <v>0</v>
      </c>
      <c r="CC80" s="1491">
        <f>+IF($K80="Ongoing",BG80,IF(RIGHT($K80,2)=RIGHT(CC$39,2),SUM($AX80:BG80),0)+IF(RIGHT(CC$39,2)&gt;RIGHT($K80,2),BG80,0))</f>
        <v>0</v>
      </c>
      <c r="CD80" s="1133"/>
      <c r="CE80" s="1492">
        <f>+Q80*KeyAssumptionsPriceControl_FO!AC$15</f>
        <v>0</v>
      </c>
      <c r="CF80" s="1490">
        <f>+R80*KeyAssumptionsPriceControl_FO!AD$15</f>
        <v>0</v>
      </c>
      <c r="CG80" s="1490">
        <f>+S80*KeyAssumptionsPriceControl_FO!AE$15</f>
        <v>0</v>
      </c>
      <c r="CH80" s="1490">
        <f>+T80*KeyAssumptionsPriceControl_FO!AF$15</f>
        <v>0.22510176200000004</v>
      </c>
      <c r="CI80" s="1491">
        <f>+U80*KeyAssumptionsPriceControl_FO!AG$15</f>
        <v>1.1592740743000001</v>
      </c>
      <c r="CJ80" s="1492">
        <f>+V80*KeyAssumptionsPriceControl_FO!AH$15</f>
        <v>0.8955392223967501</v>
      </c>
      <c r="CK80" s="1490">
        <f>+W80*KeyAssumptionsPriceControl_FO!AI$15</f>
        <v>0</v>
      </c>
      <c r="CL80" s="1490">
        <f>+X80*KeyAssumptionsPriceControl_FO!AJ$15</f>
        <v>0</v>
      </c>
      <c r="CM80" s="1490">
        <f>+Y80*KeyAssumptionsPriceControl_FO!AK$15</f>
        <v>0</v>
      </c>
      <c r="CN80" s="1491">
        <f>+Z80*KeyAssumptionsPriceControl_FO!AL$15</f>
        <v>0</v>
      </c>
      <c r="CO80" s="1133"/>
      <c r="CP80" s="1492">
        <f t="shared" ca="1" si="76"/>
        <v>0</v>
      </c>
      <c r="CQ80" s="1490">
        <f t="shared" ca="1" si="77"/>
        <v>0</v>
      </c>
      <c r="CR80" s="1490">
        <f t="shared" ca="1" si="78"/>
        <v>0</v>
      </c>
      <c r="CS80" s="1490">
        <f t="shared" ca="1" si="79"/>
        <v>1.875848016666667E-3</v>
      </c>
      <c r="CT80" s="1491">
        <f t="shared" ca="1" si="80"/>
        <v>1.3412313319166667E-2</v>
      </c>
      <c r="CU80" s="1492">
        <f t="shared" ca="1" si="81"/>
        <v>3.0535757458306251E-2</v>
      </c>
      <c r="CV80" s="1490">
        <f t="shared" ca="1" si="82"/>
        <v>3.7998584311612502E-2</v>
      </c>
      <c r="CW80" s="1490">
        <f t="shared" ca="1" si="83"/>
        <v>3.7998584311612502E-2</v>
      </c>
      <c r="CX80" s="1490">
        <f t="shared" ca="1" si="84"/>
        <v>3.7998584311612502E-2</v>
      </c>
      <c r="CY80" s="1491">
        <f t="shared" ca="1" si="85"/>
        <v>3.7998584311612502E-2</v>
      </c>
    </row>
    <row r="81" spans="2:103" x14ac:dyDescent="0.3">
      <c r="B81" s="397"/>
      <c r="C81" s="1294" t="s">
        <v>1131</v>
      </c>
      <c r="D81" s="1295"/>
      <c r="E81" s="2097" t="s">
        <v>22</v>
      </c>
      <c r="F81" s="2097" t="s">
        <v>12</v>
      </c>
      <c r="G81" s="1294" t="s">
        <v>14</v>
      </c>
      <c r="H81" s="2349" t="s">
        <v>516</v>
      </c>
      <c r="I81" s="2350"/>
      <c r="J81" s="1292" t="s">
        <v>279</v>
      </c>
      <c r="K81" s="1292" t="s">
        <v>296</v>
      </c>
      <c r="L81" s="1292">
        <v>60</v>
      </c>
      <c r="M81" s="1292">
        <v>60</v>
      </c>
      <c r="O81" s="376"/>
      <c r="P81" s="376"/>
      <c r="Q81" s="2337">
        <v>0</v>
      </c>
      <c r="R81" s="2338">
        <v>0</v>
      </c>
      <c r="S81" s="2338">
        <v>0</v>
      </c>
      <c r="T81" s="2338">
        <v>0.35</v>
      </c>
      <c r="U81" s="2339">
        <v>0.77</v>
      </c>
      <c r="V81" s="2337">
        <v>3.68</v>
      </c>
      <c r="W81" s="2338">
        <v>6.15</v>
      </c>
      <c r="X81" s="2338">
        <v>5.15</v>
      </c>
      <c r="Y81" s="2338">
        <v>2.15</v>
      </c>
      <c r="Z81" s="2339">
        <v>2.15</v>
      </c>
      <c r="AA81" s="1132"/>
      <c r="AB81" s="1129"/>
      <c r="AC81" s="1130"/>
      <c r="AD81" s="1510"/>
      <c r="AE81" s="1130"/>
      <c r="AF81" s="1131"/>
      <c r="AG81" s="1129"/>
      <c r="AH81" s="1510"/>
      <c r="AI81" s="1130"/>
      <c r="AJ81" s="1130"/>
      <c r="AK81" s="1131"/>
      <c r="AL81" s="1132"/>
      <c r="AM81" s="1509"/>
      <c r="AN81" s="1130"/>
      <c r="AO81" s="1510"/>
      <c r="AP81" s="1510"/>
      <c r="AQ81" s="1131"/>
      <c r="AR81" s="1129"/>
      <c r="AS81" s="1130"/>
      <c r="AT81" s="1130"/>
      <c r="AU81" s="1130"/>
      <c r="AV81" s="1131"/>
      <c r="AW81" s="1133"/>
      <c r="AX81" s="1492">
        <f t="shared" si="56"/>
        <v>0</v>
      </c>
      <c r="AY81" s="1490">
        <f t="shared" si="57"/>
        <v>0</v>
      </c>
      <c r="AZ81" s="1490">
        <f t="shared" si="58"/>
        <v>0</v>
      </c>
      <c r="BA81" s="1490">
        <f t="shared" si="59"/>
        <v>0.35</v>
      </c>
      <c r="BB81" s="1491">
        <f t="shared" si="60"/>
        <v>0.77</v>
      </c>
      <c r="BC81" s="1492">
        <f t="shared" si="61"/>
        <v>3.68</v>
      </c>
      <c r="BD81" s="1490">
        <f t="shared" si="62"/>
        <v>6.15</v>
      </c>
      <c r="BE81" s="1490">
        <f t="shared" si="63"/>
        <v>5.15</v>
      </c>
      <c r="BF81" s="1490">
        <f t="shared" si="64"/>
        <v>2.15</v>
      </c>
      <c r="BG81" s="1491">
        <f t="shared" si="65"/>
        <v>2.15</v>
      </c>
      <c r="BH81" s="1133"/>
      <c r="BI81" s="1492">
        <f t="shared" ca="1" si="66"/>
        <v>0</v>
      </c>
      <c r="BJ81" s="1490">
        <f t="shared" ca="1" si="67"/>
        <v>0</v>
      </c>
      <c r="BK81" s="1490">
        <f t="shared" ca="1" si="68"/>
        <v>0</v>
      </c>
      <c r="BL81" s="1490">
        <f t="shared" ca="1" si="69"/>
        <v>2.9166666666666664E-3</v>
      </c>
      <c r="BM81" s="1491">
        <f t="shared" ca="1" si="70"/>
        <v>1.225E-2</v>
      </c>
      <c r="BN81" s="1492">
        <f t="shared" ca="1" si="71"/>
        <v>4.933333333333334E-2</v>
      </c>
      <c r="BO81" s="1490">
        <f t="shared" ca="1" si="72"/>
        <v>0.13125000000000003</v>
      </c>
      <c r="BP81" s="1490">
        <f t="shared" ca="1" si="73"/>
        <v>0.22541666666666671</v>
      </c>
      <c r="BQ81" s="1490">
        <f t="shared" ca="1" si="74"/>
        <v>0.28625000000000006</v>
      </c>
      <c r="BR81" s="1491">
        <f t="shared" ca="1" si="75"/>
        <v>0.32208333333333333</v>
      </c>
      <c r="BS81" s="1133"/>
      <c r="BT81" s="1492">
        <f>+IF($K81="Ongoing",AX81,IF(RIGHT($K81,2)=RIGHT(BT$39,2),SUM($AX81:AX81),0)+IF(RIGHT(BT$39,2)&gt;RIGHT($K81,2),AX81,0))</f>
        <v>0</v>
      </c>
      <c r="BU81" s="1490">
        <f>+IF($K81="Ongoing",AY81,IF(RIGHT($K81,2)=RIGHT(BU$39,2),SUM($AX81:AY81),0)+IF(RIGHT(BU$39,2)&gt;RIGHT($K81,2),AY81,0))</f>
        <v>0</v>
      </c>
      <c r="BV81" s="1490">
        <f>+IF($K81="Ongoing",AZ81,IF(RIGHT($K81,2)=RIGHT(BV$39,2),SUM($AX81:AZ81),0)+IF(RIGHT(BV$39,2)&gt;RIGHT($K81,2),AZ81,0))</f>
        <v>0</v>
      </c>
      <c r="BW81" s="1490">
        <f>+IF($K81="Ongoing",BA81,IF(RIGHT($K81,2)=RIGHT(BW$39,2),SUM($AX81:BA81),0)+IF(RIGHT(BW$39,2)&gt;RIGHT($K81,2),BA81,0))</f>
        <v>0.35</v>
      </c>
      <c r="BX81" s="1491">
        <f>+IF($K81="Ongoing",BB81,IF(RIGHT($K81,2)=RIGHT(BX$39,2),SUM($AX81:BB81),0)+IF(RIGHT(BX$39,2)&gt;RIGHT($K81,2),BB81,0))</f>
        <v>0.77</v>
      </c>
      <c r="BY81" s="1492">
        <f>+IF($K81="Ongoing",BC81,IF(RIGHT($K81,2)=RIGHT(BY$39,2),SUM($AX81:BC81),0)+IF(RIGHT(BY$39,2)&gt;RIGHT($K81,2),BC81,0))</f>
        <v>3.68</v>
      </c>
      <c r="BZ81" s="1490">
        <f>+IF($K81="Ongoing",BD81,IF(RIGHT($K81,2)=RIGHT(BZ$39,2),SUM($AX81:BD81),0)+IF(RIGHT(BZ$39,2)&gt;RIGHT($K81,2),BD81,0))</f>
        <v>6.15</v>
      </c>
      <c r="CA81" s="1490">
        <f>+IF($K81="Ongoing",BE81,IF(RIGHT($K81,2)=RIGHT(CA$39,2),SUM($AX81:BE81),0)+IF(RIGHT(CA$39,2)&gt;RIGHT($K81,2),BE81,0))</f>
        <v>5.15</v>
      </c>
      <c r="CB81" s="1490">
        <f>+IF($K81="Ongoing",BF81,IF(RIGHT($K81,2)=RIGHT(CB$39,2),SUM($AX81:BF81),0)+IF(RIGHT(CB$39,2)&gt;RIGHT($K81,2),BF81,0))</f>
        <v>2.15</v>
      </c>
      <c r="CC81" s="1491">
        <f>+IF($K81="Ongoing",BG81,IF(RIGHT($K81,2)=RIGHT(CC$39,2),SUM($AX81:BG81),0)+IF(RIGHT(CC$39,2)&gt;RIGHT($K81,2),BG81,0))</f>
        <v>2.15</v>
      </c>
      <c r="CD81" s="1133"/>
      <c r="CE81" s="1492">
        <f>+Q81*KeyAssumptionsPriceControl_FO!AC$15</f>
        <v>0</v>
      </c>
      <c r="CF81" s="1490">
        <f>+R81*KeyAssumptionsPriceControl_FO!AD$15</f>
        <v>0</v>
      </c>
      <c r="CG81" s="1490">
        <f>+S81*KeyAssumptionsPriceControl_FO!AE$15</f>
        <v>0</v>
      </c>
      <c r="CH81" s="1490">
        <f>+T81*KeyAssumptionsPriceControl_FO!AF$15</f>
        <v>0.39392808350000003</v>
      </c>
      <c r="CI81" s="1491">
        <f>+U81*KeyAssumptionsPriceControl_FO!AG$15</f>
        <v>0.89264103721100008</v>
      </c>
      <c r="CJ81" s="1492">
        <f>+V81*KeyAssumptionsPriceControl_FO!AH$15</f>
        <v>4.3941124512267207</v>
      </c>
      <c r="CK81" s="1490">
        <f>+W81*KeyAssumptionsPriceControl_FO!AI$15</f>
        <v>7.5637242723629523</v>
      </c>
      <c r="CL81" s="1490">
        <f>+X81*KeyAssumptionsPriceControl_FO!AJ$15</f>
        <v>6.5238659191462247</v>
      </c>
      <c r="CM81" s="1490">
        <f>+Y81*KeyAssumptionsPriceControl_FO!AK$15</f>
        <v>2.8052623452328764</v>
      </c>
      <c r="CN81" s="1491">
        <f>+Z81*KeyAssumptionsPriceControl_FO!AL$15</f>
        <v>2.8894202155898627</v>
      </c>
      <c r="CO81" s="1133"/>
      <c r="CP81" s="1492">
        <f t="shared" ca="1" si="76"/>
        <v>0</v>
      </c>
      <c r="CQ81" s="1490">
        <f t="shared" ca="1" si="77"/>
        <v>0</v>
      </c>
      <c r="CR81" s="1490">
        <f t="shared" ca="1" si="78"/>
        <v>0</v>
      </c>
      <c r="CS81" s="1490">
        <f t="shared" ca="1" si="79"/>
        <v>3.2827340291666667E-3</v>
      </c>
      <c r="CT81" s="1491">
        <f t="shared" ca="1" si="80"/>
        <v>1.4004143368425001E-2</v>
      </c>
      <c r="CU81" s="1492">
        <f t="shared" ca="1" si="81"/>
        <v>5.8060422438739344E-2</v>
      </c>
      <c r="CV81" s="1490">
        <f t="shared" ca="1" si="82"/>
        <v>0.15770906180198663</v>
      </c>
      <c r="CW81" s="1490">
        <f t="shared" ca="1" si="83"/>
        <v>0.27510564673122972</v>
      </c>
      <c r="CX81" s="1490">
        <f t="shared" ca="1" si="84"/>
        <v>0.35284838226772225</v>
      </c>
      <c r="CY81" s="1491">
        <f t="shared" ca="1" si="85"/>
        <v>0.40030407027457837</v>
      </c>
    </row>
    <row r="82" spans="2:103" x14ac:dyDescent="0.3">
      <c r="B82" s="397"/>
      <c r="C82" s="1294" t="s">
        <v>1132</v>
      </c>
      <c r="D82" s="1295"/>
      <c r="E82" s="2097" t="s">
        <v>21</v>
      </c>
      <c r="F82" s="2097" t="s">
        <v>512</v>
      </c>
      <c r="G82" s="1294" t="s">
        <v>14</v>
      </c>
      <c r="H82" s="2349" t="s">
        <v>516</v>
      </c>
      <c r="I82" s="2350"/>
      <c r="J82" s="1292" t="s">
        <v>279</v>
      </c>
      <c r="K82" s="1292" t="s">
        <v>296</v>
      </c>
      <c r="L82" s="1292">
        <v>60</v>
      </c>
      <c r="M82" s="1292">
        <v>60</v>
      </c>
      <c r="O82" s="376"/>
      <c r="P82" s="376"/>
      <c r="Q82" s="2337">
        <v>0</v>
      </c>
      <c r="R82" s="2338">
        <v>0.20499999999999999</v>
      </c>
      <c r="S82" s="2338">
        <v>0.17499999999999999</v>
      </c>
      <c r="T82" s="2338">
        <v>0.31</v>
      </c>
      <c r="U82" s="2339">
        <v>0.36</v>
      </c>
      <c r="V82" s="2337">
        <v>0.38500000000000001</v>
      </c>
      <c r="W82" s="2338">
        <v>0.35499999999999998</v>
      </c>
      <c r="X82" s="2338">
        <v>0.35499999999999998</v>
      </c>
      <c r="Y82" s="2338">
        <v>0.30499999999999999</v>
      </c>
      <c r="Z82" s="2339">
        <v>0.30499999999999999</v>
      </c>
      <c r="AA82" s="1132"/>
      <c r="AB82" s="1129"/>
      <c r="AC82" s="1130"/>
      <c r="AD82" s="1510"/>
      <c r="AE82" s="1130"/>
      <c r="AF82" s="1131"/>
      <c r="AG82" s="1129"/>
      <c r="AH82" s="1510"/>
      <c r="AI82" s="1130"/>
      <c r="AJ82" s="1130"/>
      <c r="AK82" s="1131"/>
      <c r="AL82" s="1132"/>
      <c r="AM82" s="1509"/>
      <c r="AN82" s="1130"/>
      <c r="AO82" s="1510"/>
      <c r="AP82" s="1510"/>
      <c r="AQ82" s="1131"/>
      <c r="AR82" s="1129"/>
      <c r="AS82" s="1130"/>
      <c r="AT82" s="1130"/>
      <c r="AU82" s="1130"/>
      <c r="AV82" s="1131"/>
      <c r="AW82" s="1133"/>
      <c r="AX82" s="1492">
        <f t="shared" si="56"/>
        <v>0</v>
      </c>
      <c r="AY82" s="1490">
        <f t="shared" si="57"/>
        <v>0.20499999999999999</v>
      </c>
      <c r="AZ82" s="1490">
        <f t="shared" si="58"/>
        <v>0.17499999999999999</v>
      </c>
      <c r="BA82" s="1490">
        <f t="shared" si="59"/>
        <v>0.31</v>
      </c>
      <c r="BB82" s="1491">
        <f t="shared" si="60"/>
        <v>0.36</v>
      </c>
      <c r="BC82" s="1492">
        <f t="shared" si="61"/>
        <v>0.38500000000000001</v>
      </c>
      <c r="BD82" s="1490">
        <f t="shared" si="62"/>
        <v>0.35499999999999998</v>
      </c>
      <c r="BE82" s="1490">
        <f t="shared" si="63"/>
        <v>0.35499999999999998</v>
      </c>
      <c r="BF82" s="1490">
        <f t="shared" si="64"/>
        <v>0.30499999999999999</v>
      </c>
      <c r="BG82" s="1491">
        <f t="shared" si="65"/>
        <v>0.30499999999999999</v>
      </c>
      <c r="BH82" s="1133"/>
      <c r="BI82" s="1492">
        <f t="shared" ca="1" si="66"/>
        <v>0</v>
      </c>
      <c r="BJ82" s="1490">
        <f t="shared" ca="1" si="67"/>
        <v>1.7083333333333332E-3</v>
      </c>
      <c r="BK82" s="1490">
        <f t="shared" ca="1" si="68"/>
        <v>4.8749999999999991E-3</v>
      </c>
      <c r="BL82" s="1490">
        <f t="shared" ca="1" si="69"/>
        <v>8.9166666666666665E-3</v>
      </c>
      <c r="BM82" s="1491">
        <f t="shared" ca="1" si="70"/>
        <v>1.4499999999999999E-2</v>
      </c>
      <c r="BN82" s="1492">
        <f t="shared" ca="1" si="71"/>
        <v>2.0708333333333332E-2</v>
      </c>
      <c r="BO82" s="1490">
        <f t="shared" ca="1" si="72"/>
        <v>2.6874999999999996E-2</v>
      </c>
      <c r="BP82" s="1490">
        <f t="shared" ca="1" si="73"/>
        <v>3.2791666666666663E-2</v>
      </c>
      <c r="BQ82" s="1490">
        <f t="shared" ca="1" si="74"/>
        <v>3.8291666666666654E-2</v>
      </c>
      <c r="BR82" s="1491">
        <f t="shared" ca="1" si="75"/>
        <v>4.337499999999999E-2</v>
      </c>
      <c r="BS82" s="1133"/>
      <c r="BT82" s="1492">
        <f>+IF($K82="Ongoing",AX82,IF(RIGHT($K82,2)=RIGHT(BT$39,2),SUM($AX82:AX82),0)+IF(RIGHT(BT$39,2)&gt;RIGHT($K82,2),AX82,0))</f>
        <v>0</v>
      </c>
      <c r="BU82" s="1490">
        <f>+IF($K82="Ongoing",AY82,IF(RIGHT($K82,2)=RIGHT(BU$39,2),SUM($AX82:AY82),0)+IF(RIGHT(BU$39,2)&gt;RIGHT($K82,2),AY82,0))</f>
        <v>0.20499999999999999</v>
      </c>
      <c r="BV82" s="1490">
        <f>+IF($K82="Ongoing",AZ82,IF(RIGHT($K82,2)=RIGHT(BV$39,2),SUM($AX82:AZ82),0)+IF(RIGHT(BV$39,2)&gt;RIGHT($K82,2),AZ82,0))</f>
        <v>0.17499999999999999</v>
      </c>
      <c r="BW82" s="1490">
        <f>+IF($K82="Ongoing",BA82,IF(RIGHT($K82,2)=RIGHT(BW$39,2),SUM($AX82:BA82),0)+IF(RIGHT(BW$39,2)&gt;RIGHT($K82,2),BA82,0))</f>
        <v>0.31</v>
      </c>
      <c r="BX82" s="1491">
        <f>+IF($K82="Ongoing",BB82,IF(RIGHT($K82,2)=RIGHT(BX$39,2),SUM($AX82:BB82),0)+IF(RIGHT(BX$39,2)&gt;RIGHT($K82,2),BB82,0))</f>
        <v>0.36</v>
      </c>
      <c r="BY82" s="1492">
        <f>+IF($K82="Ongoing",BC82,IF(RIGHT($K82,2)=RIGHT(BY$39,2),SUM($AX82:BC82),0)+IF(RIGHT(BY$39,2)&gt;RIGHT($K82,2),BC82,0))</f>
        <v>0.38500000000000001</v>
      </c>
      <c r="BZ82" s="1490">
        <f>+IF($K82="Ongoing",BD82,IF(RIGHT($K82,2)=RIGHT(BZ$39,2),SUM($AX82:BD82),0)+IF(RIGHT(BZ$39,2)&gt;RIGHT($K82,2),BD82,0))</f>
        <v>0.35499999999999998</v>
      </c>
      <c r="CA82" s="1490">
        <f>+IF($K82="Ongoing",BE82,IF(RIGHT($K82,2)=RIGHT(CA$39,2),SUM($AX82:BE82),0)+IF(RIGHT(CA$39,2)&gt;RIGHT($K82,2),BE82,0))</f>
        <v>0.35499999999999998</v>
      </c>
      <c r="CB82" s="1490">
        <f>+IF($K82="Ongoing",BF82,IF(RIGHT($K82,2)=RIGHT(CB$39,2),SUM($AX82:BF82),0)+IF(RIGHT(CB$39,2)&gt;RIGHT($K82,2),BF82,0))</f>
        <v>0.30499999999999999</v>
      </c>
      <c r="CC82" s="1491">
        <f>+IF($K82="Ongoing",BG82,IF(RIGHT($K82,2)=RIGHT(CC$39,2),SUM($AX82:BG82),0)+IF(RIGHT(CC$39,2)&gt;RIGHT($K82,2),BG82,0))</f>
        <v>0.30499999999999999</v>
      </c>
      <c r="CD82" s="1133"/>
      <c r="CE82" s="1492">
        <f>+Q82*KeyAssumptionsPriceControl_FO!AC$15</f>
        <v>0</v>
      </c>
      <c r="CF82" s="1490">
        <f>+R82*KeyAssumptionsPriceControl_FO!AD$15</f>
        <v>0.21748449999999997</v>
      </c>
      <c r="CG82" s="1490">
        <f>+S82*KeyAssumptionsPriceControl_FO!AE$15</f>
        <v>0.191227225</v>
      </c>
      <c r="CH82" s="1490">
        <f>+T82*KeyAssumptionsPriceControl_FO!AF$15</f>
        <v>0.34890773110000006</v>
      </c>
      <c r="CI82" s="1491">
        <f>+U82*KeyAssumptionsPriceControl_FO!AG$15</f>
        <v>0.41733866674800002</v>
      </c>
      <c r="CJ82" s="1492">
        <f>+V82*KeyAssumptionsPriceControl_FO!AH$15</f>
        <v>0.45971013416366507</v>
      </c>
      <c r="CK82" s="1490">
        <f>+W82*KeyAssumptionsPriceControl_FO!AI$15</f>
        <v>0.43660522222582893</v>
      </c>
      <c r="CL82" s="1490">
        <f>+X82*KeyAssumptionsPriceControl_FO!AJ$15</f>
        <v>0.44970337889260381</v>
      </c>
      <c r="CM82" s="1490">
        <f>+Y82*KeyAssumptionsPriceControl_FO!AK$15</f>
        <v>0.39795582106791971</v>
      </c>
      <c r="CN82" s="1491">
        <f>+Z82*KeyAssumptionsPriceControl_FO!AL$15</f>
        <v>0.40989449569995728</v>
      </c>
      <c r="CO82" s="1133"/>
      <c r="CP82" s="1492">
        <f t="shared" ca="1" si="76"/>
        <v>0</v>
      </c>
      <c r="CQ82" s="1490">
        <f t="shared" ca="1" si="77"/>
        <v>1.8123708333333331E-3</v>
      </c>
      <c r="CR82" s="1490">
        <f t="shared" ca="1" si="78"/>
        <v>5.2183018749999994E-3</v>
      </c>
      <c r="CS82" s="1490">
        <f t="shared" ca="1" si="79"/>
        <v>9.7194265091666669E-3</v>
      </c>
      <c r="CT82" s="1491">
        <f t="shared" ca="1" si="80"/>
        <v>1.6104813157900001E-2</v>
      </c>
      <c r="CU82" s="1492">
        <f t="shared" ca="1" si="81"/>
        <v>2.341355316549721E-2</v>
      </c>
      <c r="CV82" s="1490">
        <f t="shared" ca="1" si="82"/>
        <v>3.0882847802076327E-2</v>
      </c>
      <c r="CW82" s="1490">
        <f t="shared" ca="1" si="83"/>
        <v>3.8268752811396599E-2</v>
      </c>
      <c r="CX82" s="1490">
        <f t="shared" ca="1" si="84"/>
        <v>4.5332579477734287E-2</v>
      </c>
      <c r="CY82" s="1491">
        <f t="shared" ca="1" si="85"/>
        <v>5.2064665450799942E-2</v>
      </c>
    </row>
    <row r="83" spans="2:103" x14ac:dyDescent="0.3">
      <c r="B83" s="397"/>
      <c r="C83" s="1294" t="s">
        <v>1133</v>
      </c>
      <c r="D83" s="1295"/>
      <c r="E83" s="2097" t="s">
        <v>21</v>
      </c>
      <c r="F83" s="2097" t="s">
        <v>239</v>
      </c>
      <c r="G83" s="1294" t="s">
        <v>13</v>
      </c>
      <c r="H83" s="2349" t="s">
        <v>516</v>
      </c>
      <c r="I83" s="2350"/>
      <c r="J83" s="1292" t="s">
        <v>279</v>
      </c>
      <c r="K83" s="1292" t="s">
        <v>296</v>
      </c>
      <c r="L83" s="1292">
        <v>80</v>
      </c>
      <c r="M83" s="1292">
        <v>80</v>
      </c>
      <c r="O83" s="376"/>
      <c r="P83" s="376"/>
      <c r="Q83" s="2337">
        <v>0.2</v>
      </c>
      <c r="R83" s="2338">
        <v>0.38</v>
      </c>
      <c r="S83" s="2338">
        <v>0.16</v>
      </c>
      <c r="T83" s="2338">
        <v>0.16</v>
      </c>
      <c r="U83" s="2339">
        <v>0.16</v>
      </c>
      <c r="V83" s="2337">
        <v>1.6</v>
      </c>
      <c r="W83" s="2338">
        <v>1</v>
      </c>
      <c r="X83" s="2338">
        <v>1</v>
      </c>
      <c r="Y83" s="2338">
        <v>1</v>
      </c>
      <c r="Z83" s="2339">
        <v>1</v>
      </c>
      <c r="AA83" s="1132"/>
      <c r="AB83" s="1129"/>
      <c r="AC83" s="1130"/>
      <c r="AD83" s="1510"/>
      <c r="AE83" s="1510"/>
      <c r="AF83" s="1131"/>
      <c r="AG83" s="1129"/>
      <c r="AH83" s="1130"/>
      <c r="AI83" s="1130"/>
      <c r="AJ83" s="1130"/>
      <c r="AK83" s="1131"/>
      <c r="AL83" s="1132"/>
      <c r="AM83" s="1129"/>
      <c r="AN83" s="1130"/>
      <c r="AO83" s="1130"/>
      <c r="AP83" s="1510"/>
      <c r="AQ83" s="1131"/>
      <c r="AR83" s="1129"/>
      <c r="AS83" s="1130"/>
      <c r="AT83" s="1130"/>
      <c r="AU83" s="1510"/>
      <c r="AV83" s="1131"/>
      <c r="AW83" s="1133"/>
      <c r="AX83" s="1492">
        <f t="shared" si="56"/>
        <v>0.2</v>
      </c>
      <c r="AY83" s="1490">
        <f t="shared" si="57"/>
        <v>0.38</v>
      </c>
      <c r="AZ83" s="1490">
        <f t="shared" si="58"/>
        <v>0.16</v>
      </c>
      <c r="BA83" s="1490">
        <f t="shared" si="59"/>
        <v>0.16</v>
      </c>
      <c r="BB83" s="1491">
        <f t="shared" si="60"/>
        <v>0.16</v>
      </c>
      <c r="BC83" s="1492">
        <f t="shared" si="61"/>
        <v>1.6</v>
      </c>
      <c r="BD83" s="1490">
        <f t="shared" si="62"/>
        <v>1</v>
      </c>
      <c r="BE83" s="1490">
        <f t="shared" si="63"/>
        <v>1</v>
      </c>
      <c r="BF83" s="1490">
        <f t="shared" si="64"/>
        <v>1</v>
      </c>
      <c r="BG83" s="1491">
        <f t="shared" si="65"/>
        <v>1</v>
      </c>
      <c r="BH83" s="1133"/>
      <c r="BI83" s="1492">
        <f t="shared" ca="1" si="66"/>
        <v>1.25E-3</v>
      </c>
      <c r="BJ83" s="1490">
        <f t="shared" ca="1" si="67"/>
        <v>4.875E-3</v>
      </c>
      <c r="BK83" s="1490">
        <f t="shared" ca="1" si="68"/>
        <v>8.2500000000000004E-3</v>
      </c>
      <c r="BL83" s="1490">
        <f t="shared" ca="1" si="69"/>
        <v>1.0250000000000002E-2</v>
      </c>
      <c r="BM83" s="1491">
        <f t="shared" ca="1" si="70"/>
        <v>1.225E-2</v>
      </c>
      <c r="BN83" s="1492">
        <f t="shared" ca="1" si="71"/>
        <v>2.325E-2</v>
      </c>
      <c r="BO83" s="1490">
        <f t="shared" ca="1" si="72"/>
        <v>3.95E-2</v>
      </c>
      <c r="BP83" s="1490">
        <f t="shared" ca="1" si="73"/>
        <v>5.1999999999999998E-2</v>
      </c>
      <c r="BQ83" s="1490">
        <f t="shared" ca="1" si="74"/>
        <v>6.4500000000000002E-2</v>
      </c>
      <c r="BR83" s="1491">
        <f t="shared" ca="1" si="75"/>
        <v>7.7000000000000013E-2</v>
      </c>
      <c r="BS83" s="1133"/>
      <c r="BT83" s="1492">
        <f>+IF($K83="Ongoing",AX83,IF(RIGHT($K83,2)=RIGHT(BT$39,2),SUM($AX83:AX83),0)+IF(RIGHT(BT$39,2)&gt;RIGHT($K83,2),AX83,0))</f>
        <v>0.2</v>
      </c>
      <c r="BU83" s="1490">
        <f>+IF($K83="Ongoing",AY83,IF(RIGHT($K83,2)=RIGHT(BU$39,2),SUM($AX83:AY83),0)+IF(RIGHT(BU$39,2)&gt;RIGHT($K83,2),AY83,0))</f>
        <v>0.38</v>
      </c>
      <c r="BV83" s="1490">
        <f>+IF($K83="Ongoing",AZ83,IF(RIGHT($K83,2)=RIGHT(BV$39,2),SUM($AX83:AZ83),0)+IF(RIGHT(BV$39,2)&gt;RIGHT($K83,2),AZ83,0))</f>
        <v>0.16</v>
      </c>
      <c r="BW83" s="1490">
        <f>+IF($K83="Ongoing",BA83,IF(RIGHT($K83,2)=RIGHT(BW$39,2),SUM($AX83:BA83),0)+IF(RIGHT(BW$39,2)&gt;RIGHT($K83,2),BA83,0))</f>
        <v>0.16</v>
      </c>
      <c r="BX83" s="1491">
        <f>+IF($K83="Ongoing",BB83,IF(RIGHT($K83,2)=RIGHT(BX$39,2),SUM($AX83:BB83),0)+IF(RIGHT(BX$39,2)&gt;RIGHT($K83,2),BB83,0))</f>
        <v>0.16</v>
      </c>
      <c r="BY83" s="1492">
        <f>+IF($K83="Ongoing",BC83,IF(RIGHT($K83,2)=RIGHT(BY$39,2),SUM($AX83:BC83),0)+IF(RIGHT(BY$39,2)&gt;RIGHT($K83,2),BC83,0))</f>
        <v>1.6</v>
      </c>
      <c r="BZ83" s="1490">
        <f>+IF($K83="Ongoing",BD83,IF(RIGHT($K83,2)=RIGHT(BZ$39,2),SUM($AX83:BD83),0)+IF(RIGHT(BZ$39,2)&gt;RIGHT($K83,2),BD83,0))</f>
        <v>1</v>
      </c>
      <c r="CA83" s="1490">
        <f>+IF($K83="Ongoing",BE83,IF(RIGHT($K83,2)=RIGHT(CA$39,2),SUM($AX83:BE83),0)+IF(RIGHT(CA$39,2)&gt;RIGHT($K83,2),BE83,0))</f>
        <v>1</v>
      </c>
      <c r="CB83" s="1490">
        <f>+IF($K83="Ongoing",BF83,IF(RIGHT($K83,2)=RIGHT(CB$39,2),SUM($AX83:BF83),0)+IF(RIGHT(CB$39,2)&gt;RIGHT($K83,2),BF83,0))</f>
        <v>1</v>
      </c>
      <c r="CC83" s="1491">
        <f>+IF($K83="Ongoing",BG83,IF(RIGHT($K83,2)=RIGHT(CC$39,2),SUM($AX83:BG83),0)+IF(RIGHT(CC$39,2)&gt;RIGHT($K83,2),BG83,0))</f>
        <v>1</v>
      </c>
      <c r="CD83" s="1133"/>
      <c r="CE83" s="1492">
        <f>+Q83*KeyAssumptionsPriceControl_FO!AC$15</f>
        <v>0.20600000000000002</v>
      </c>
      <c r="CF83" s="1490">
        <f>+R83*KeyAssumptionsPriceControl_FO!AD$15</f>
        <v>0.403142</v>
      </c>
      <c r="CG83" s="1490">
        <f>+S83*KeyAssumptionsPriceControl_FO!AE$15</f>
        <v>0.17483632000000002</v>
      </c>
      <c r="CH83" s="1490">
        <f>+T83*KeyAssumptionsPriceControl_FO!AF$15</f>
        <v>0.18008140960000002</v>
      </c>
      <c r="CI83" s="1491">
        <f>+U83*KeyAssumptionsPriceControl_FO!AG$15</f>
        <v>0.18548385188800001</v>
      </c>
      <c r="CJ83" s="1492">
        <f>+V83*KeyAssumptionsPriceControl_FO!AH$15</f>
        <v>1.9104836744464002</v>
      </c>
      <c r="CK83" s="1490">
        <f>+W83*KeyAssumptionsPriceControl_FO!AI$15</f>
        <v>1.2298738654248702</v>
      </c>
      <c r="CL83" s="1490">
        <f>+X83*KeyAssumptionsPriceControl_FO!AJ$15</f>
        <v>1.2667700813876164</v>
      </c>
      <c r="CM83" s="1490">
        <f>+Y83*KeyAssumptionsPriceControl_FO!AK$15</f>
        <v>1.3047731838292449</v>
      </c>
      <c r="CN83" s="1491">
        <f>+Z83*KeyAssumptionsPriceControl_FO!AL$15</f>
        <v>1.3439163793441222</v>
      </c>
      <c r="CO83" s="1133"/>
      <c r="CP83" s="1492">
        <f t="shared" ca="1" si="76"/>
        <v>1.2875E-3</v>
      </c>
      <c r="CQ83" s="1490">
        <f t="shared" ca="1" si="77"/>
        <v>5.0946375000000006E-3</v>
      </c>
      <c r="CR83" s="1490">
        <f t="shared" ca="1" si="78"/>
        <v>8.7070020000000019E-3</v>
      </c>
      <c r="CS83" s="1490">
        <f t="shared" ca="1" si="79"/>
        <v>1.0925237810000002E-2</v>
      </c>
      <c r="CT83" s="1491">
        <f t="shared" ca="1" si="80"/>
        <v>1.3210020694300002E-2</v>
      </c>
      <c r="CU83" s="1492">
        <f t="shared" ca="1" si="81"/>
        <v>2.6309817733890004E-2</v>
      </c>
      <c r="CV83" s="1490">
        <f t="shared" ca="1" si="82"/>
        <v>4.5937052358085442E-2</v>
      </c>
      <c r="CW83" s="1490">
        <f t="shared" ca="1" si="83"/>
        <v>6.1541077025663485E-2</v>
      </c>
      <c r="CX83" s="1490">
        <f t="shared" ca="1" si="84"/>
        <v>7.7613222433268875E-2</v>
      </c>
      <c r="CY83" s="1491">
        <f t="shared" ca="1" si="85"/>
        <v>9.4167532203102422E-2</v>
      </c>
    </row>
    <row r="84" spans="2:103" x14ac:dyDescent="0.3">
      <c r="B84" s="397"/>
      <c r="C84" s="1294" t="s">
        <v>1134</v>
      </c>
      <c r="D84" s="1295"/>
      <c r="E84" s="2097" t="s">
        <v>21</v>
      </c>
      <c r="F84" s="2097" t="s">
        <v>512</v>
      </c>
      <c r="G84" s="1294" t="s">
        <v>14</v>
      </c>
      <c r="H84" s="2349" t="s">
        <v>516</v>
      </c>
      <c r="I84" s="2350"/>
      <c r="J84" s="1292" t="s">
        <v>279</v>
      </c>
      <c r="K84" s="1292" t="s">
        <v>296</v>
      </c>
      <c r="L84" s="1292">
        <v>60</v>
      </c>
      <c r="M84" s="1292">
        <v>60</v>
      </c>
      <c r="O84" s="376"/>
      <c r="P84" s="376"/>
      <c r="Q84" s="2337">
        <v>0.02</v>
      </c>
      <c r="R84" s="2338">
        <v>6.5000000000000002E-2</v>
      </c>
      <c r="S84" s="2338">
        <v>0.16500000000000001</v>
      </c>
      <c r="T84" s="2338">
        <v>0.36499999999999999</v>
      </c>
      <c r="U84" s="2339">
        <v>0.41499999999999998</v>
      </c>
      <c r="V84" s="2337">
        <v>0.182</v>
      </c>
      <c r="W84" s="2338">
        <v>0.182</v>
      </c>
      <c r="X84" s="2338">
        <v>3.2000000000000001E-2</v>
      </c>
      <c r="Y84" s="2338">
        <v>3.2000000000000001E-2</v>
      </c>
      <c r="Z84" s="2339">
        <v>3.2000000000000001E-2</v>
      </c>
      <c r="AA84" s="1132"/>
      <c r="AB84" s="1129"/>
      <c r="AC84" s="1130"/>
      <c r="AD84" s="1510"/>
      <c r="AE84" s="1510"/>
      <c r="AF84" s="1131"/>
      <c r="AG84" s="1129"/>
      <c r="AH84" s="1130"/>
      <c r="AI84" s="1130"/>
      <c r="AJ84" s="1130"/>
      <c r="AK84" s="1131"/>
      <c r="AL84" s="1132"/>
      <c r="AM84" s="1129"/>
      <c r="AN84" s="1130"/>
      <c r="AO84" s="1130"/>
      <c r="AP84" s="1510"/>
      <c r="AQ84" s="1131"/>
      <c r="AR84" s="1129"/>
      <c r="AS84" s="1130"/>
      <c r="AT84" s="1130"/>
      <c r="AU84" s="1510"/>
      <c r="AV84" s="1131"/>
      <c r="AW84" s="1133"/>
      <c r="AX84" s="1492">
        <f t="shared" si="56"/>
        <v>0.02</v>
      </c>
      <c r="AY84" s="1490">
        <f t="shared" si="57"/>
        <v>6.5000000000000002E-2</v>
      </c>
      <c r="AZ84" s="1490">
        <f t="shared" si="58"/>
        <v>0.16500000000000001</v>
      </c>
      <c r="BA84" s="1490">
        <f t="shared" si="59"/>
        <v>0.36499999999999999</v>
      </c>
      <c r="BB84" s="1491">
        <f t="shared" si="60"/>
        <v>0.41499999999999998</v>
      </c>
      <c r="BC84" s="1492">
        <f t="shared" si="61"/>
        <v>0.182</v>
      </c>
      <c r="BD84" s="1490">
        <f t="shared" si="62"/>
        <v>0.182</v>
      </c>
      <c r="BE84" s="1490">
        <f t="shared" si="63"/>
        <v>3.2000000000000001E-2</v>
      </c>
      <c r="BF84" s="1490">
        <f t="shared" si="64"/>
        <v>3.2000000000000001E-2</v>
      </c>
      <c r="BG84" s="1491">
        <f t="shared" si="65"/>
        <v>3.2000000000000001E-2</v>
      </c>
      <c r="BH84" s="1133"/>
      <c r="BI84" s="1492">
        <f t="shared" ca="1" si="66"/>
        <v>1.6666666666666666E-4</v>
      </c>
      <c r="BJ84" s="1490">
        <f t="shared" ca="1" si="67"/>
        <v>8.7499999999999991E-4</v>
      </c>
      <c r="BK84" s="1490">
        <f t="shared" ca="1" si="68"/>
        <v>2.7916666666666671E-3</v>
      </c>
      <c r="BL84" s="1490">
        <f t="shared" ca="1" si="69"/>
        <v>7.2083333333333331E-3</v>
      </c>
      <c r="BM84" s="1491">
        <f t="shared" ca="1" si="70"/>
        <v>1.3708333333333333E-2</v>
      </c>
      <c r="BN84" s="1492">
        <f t="shared" ca="1" si="71"/>
        <v>1.8683333333333333E-2</v>
      </c>
      <c r="BO84" s="1490">
        <f t="shared" ca="1" si="72"/>
        <v>2.1716666666666665E-2</v>
      </c>
      <c r="BP84" s="1490">
        <f t="shared" ca="1" si="73"/>
        <v>2.3499999999999997E-2</v>
      </c>
      <c r="BQ84" s="1490">
        <f t="shared" ca="1" si="74"/>
        <v>2.403333333333333E-2</v>
      </c>
      <c r="BR84" s="1491">
        <f t="shared" ca="1" si="75"/>
        <v>2.4566666666666664E-2</v>
      </c>
      <c r="BS84" s="1133"/>
      <c r="BT84" s="1492">
        <f>+IF($K84="Ongoing",AX84,IF(RIGHT($K84,2)=RIGHT(BT$39,2),SUM($AX84:AX84),0)+IF(RIGHT(BT$39,2)&gt;RIGHT($K84,2),AX84,0))</f>
        <v>0.02</v>
      </c>
      <c r="BU84" s="1490">
        <f>+IF($K84="Ongoing",AY84,IF(RIGHT($K84,2)=RIGHT(BU$39,2),SUM($AX84:AY84),0)+IF(RIGHT(BU$39,2)&gt;RIGHT($K84,2),AY84,0))</f>
        <v>6.5000000000000002E-2</v>
      </c>
      <c r="BV84" s="1490">
        <f>+IF($K84="Ongoing",AZ84,IF(RIGHT($K84,2)=RIGHT(BV$39,2),SUM($AX84:AZ84),0)+IF(RIGHT(BV$39,2)&gt;RIGHT($K84,2),AZ84,0))</f>
        <v>0.16500000000000001</v>
      </c>
      <c r="BW84" s="1490">
        <f>+IF($K84="Ongoing",BA84,IF(RIGHT($K84,2)=RIGHT(BW$39,2),SUM($AX84:BA84),0)+IF(RIGHT(BW$39,2)&gt;RIGHT($K84,2),BA84,0))</f>
        <v>0.36499999999999999</v>
      </c>
      <c r="BX84" s="1491">
        <f>+IF($K84="Ongoing",BB84,IF(RIGHT($K84,2)=RIGHT(BX$39,2),SUM($AX84:BB84),0)+IF(RIGHT(BX$39,2)&gt;RIGHT($K84,2),BB84,0))</f>
        <v>0.41499999999999998</v>
      </c>
      <c r="BY84" s="1492">
        <f>+IF($K84="Ongoing",BC84,IF(RIGHT($K84,2)=RIGHT(BY$39,2),SUM($AX84:BC84),0)+IF(RIGHT(BY$39,2)&gt;RIGHT($K84,2),BC84,0))</f>
        <v>0.182</v>
      </c>
      <c r="BZ84" s="1490">
        <f>+IF($K84="Ongoing",BD84,IF(RIGHT($K84,2)=RIGHT(BZ$39,2),SUM($AX84:BD84),0)+IF(RIGHT(BZ$39,2)&gt;RIGHT($K84,2),BD84,0))</f>
        <v>0.182</v>
      </c>
      <c r="CA84" s="1490">
        <f>+IF($K84="Ongoing",BE84,IF(RIGHT($K84,2)=RIGHT(CA$39,2),SUM($AX84:BE84),0)+IF(RIGHT(CA$39,2)&gt;RIGHT($K84,2),BE84,0))</f>
        <v>3.2000000000000001E-2</v>
      </c>
      <c r="CB84" s="1490">
        <f>+IF($K84="Ongoing",BF84,IF(RIGHT($K84,2)=RIGHT(CB$39,2),SUM($AX84:BF84),0)+IF(RIGHT(CB$39,2)&gt;RIGHT($K84,2),BF84,0))</f>
        <v>3.2000000000000001E-2</v>
      </c>
      <c r="CC84" s="1491">
        <f>+IF($K84="Ongoing",BG84,IF(RIGHT($K84,2)=RIGHT(CC$39,2),SUM($AX84:BG84),0)+IF(RIGHT(CC$39,2)&gt;RIGHT($K84,2),BG84,0))</f>
        <v>3.2000000000000001E-2</v>
      </c>
      <c r="CD84" s="1133"/>
      <c r="CE84" s="1492">
        <f>+Q84*KeyAssumptionsPriceControl_FO!AC$15</f>
        <v>2.06E-2</v>
      </c>
      <c r="CF84" s="1490">
        <f>+R84*KeyAssumptionsPriceControl_FO!AD$15</f>
        <v>6.8958500000000006E-2</v>
      </c>
      <c r="CG84" s="1490">
        <f>+S84*KeyAssumptionsPriceControl_FO!AE$15</f>
        <v>0.18029995500000001</v>
      </c>
      <c r="CH84" s="1490">
        <f>+T84*KeyAssumptionsPriceControl_FO!AF$15</f>
        <v>0.41081071565000005</v>
      </c>
      <c r="CI84" s="1491">
        <f>+U84*KeyAssumptionsPriceControl_FO!AG$15</f>
        <v>0.48109874083449999</v>
      </c>
      <c r="CJ84" s="1492">
        <f>+V84*KeyAssumptionsPriceControl_FO!AH$15</f>
        <v>0.21731751796827803</v>
      </c>
      <c r="CK84" s="1490">
        <f>+W84*KeyAssumptionsPriceControl_FO!AI$15</f>
        <v>0.22383704350732636</v>
      </c>
      <c r="CL84" s="1490">
        <f>+X84*KeyAssumptionsPriceControl_FO!AJ$15</f>
        <v>4.0536642604403726E-2</v>
      </c>
      <c r="CM84" s="1490">
        <f>+Y84*KeyAssumptionsPriceControl_FO!AK$15</f>
        <v>4.1752741882535839E-2</v>
      </c>
      <c r="CN84" s="1491">
        <f>+Z84*KeyAssumptionsPriceControl_FO!AL$15</f>
        <v>4.3005324139011911E-2</v>
      </c>
      <c r="CO84" s="1133"/>
      <c r="CP84" s="1492">
        <f t="shared" ca="1" si="76"/>
        <v>1.7166666666666667E-4</v>
      </c>
      <c r="CQ84" s="1490">
        <f t="shared" ca="1" si="77"/>
        <v>9.1798750000000005E-4</v>
      </c>
      <c r="CR84" s="1490">
        <f t="shared" ca="1" si="78"/>
        <v>2.9951412916666672E-3</v>
      </c>
      <c r="CS84" s="1490">
        <f t="shared" ca="1" si="79"/>
        <v>7.9210635470833343E-3</v>
      </c>
      <c r="CT84" s="1491">
        <f t="shared" ca="1" si="80"/>
        <v>1.5353642351120834E-2</v>
      </c>
      <c r="CU84" s="1492">
        <f t="shared" ca="1" si="81"/>
        <v>2.1173777841143986E-2</v>
      </c>
      <c r="CV84" s="1490">
        <f t="shared" ca="1" si="82"/>
        <v>2.4850065853440687E-2</v>
      </c>
      <c r="CW84" s="1490">
        <f t="shared" ca="1" si="83"/>
        <v>2.7053179904371772E-2</v>
      </c>
      <c r="CX84" s="1490">
        <f t="shared" ca="1" si="84"/>
        <v>2.773892477509627E-2</v>
      </c>
      <c r="CY84" s="1491">
        <f t="shared" ca="1" si="85"/>
        <v>2.84452419919425E-2</v>
      </c>
    </row>
    <row r="85" spans="2:103" x14ac:dyDescent="0.3">
      <c r="B85" s="397"/>
      <c r="C85" s="1294" t="s">
        <v>1135</v>
      </c>
      <c r="D85" s="1295"/>
      <c r="E85" s="2097" t="s">
        <v>22</v>
      </c>
      <c r="F85" s="2097" t="s">
        <v>512</v>
      </c>
      <c r="G85" s="1294" t="s">
        <v>10</v>
      </c>
      <c r="H85" s="2349" t="s">
        <v>516</v>
      </c>
      <c r="I85" s="2350"/>
      <c r="J85" s="1292" t="s">
        <v>279</v>
      </c>
      <c r="K85" s="1292" t="s">
        <v>296</v>
      </c>
      <c r="L85" s="1292">
        <v>60</v>
      </c>
      <c r="M85" s="1292">
        <v>60</v>
      </c>
      <c r="O85" s="376"/>
      <c r="P85" s="376"/>
      <c r="Q85" s="2337">
        <v>0</v>
      </c>
      <c r="R85" s="2338">
        <v>0</v>
      </c>
      <c r="S85" s="2338">
        <v>0</v>
      </c>
      <c r="T85" s="2338">
        <v>0.5</v>
      </c>
      <c r="U85" s="2339">
        <v>0.5</v>
      </c>
      <c r="V85" s="2337">
        <v>1.5</v>
      </c>
      <c r="W85" s="2338">
        <v>1.5</v>
      </c>
      <c r="X85" s="2338">
        <v>1.5</v>
      </c>
      <c r="Y85" s="2338">
        <v>1.5</v>
      </c>
      <c r="Z85" s="2339">
        <v>1.5</v>
      </c>
      <c r="AA85" s="1132"/>
      <c r="AB85" s="1129"/>
      <c r="AC85" s="1130"/>
      <c r="AD85" s="1510"/>
      <c r="AE85" s="1130"/>
      <c r="AF85" s="1131"/>
      <c r="AG85" s="1129"/>
      <c r="AH85" s="1510"/>
      <c r="AI85" s="1130"/>
      <c r="AJ85" s="1130"/>
      <c r="AK85" s="1131"/>
      <c r="AL85" s="1132"/>
      <c r="AM85" s="1509"/>
      <c r="AN85" s="1130"/>
      <c r="AO85" s="1510"/>
      <c r="AP85" s="1510"/>
      <c r="AQ85" s="1131"/>
      <c r="AR85" s="1129"/>
      <c r="AS85" s="1130"/>
      <c r="AT85" s="1130"/>
      <c r="AU85" s="1130"/>
      <c r="AV85" s="1131"/>
      <c r="AW85" s="1133"/>
      <c r="AX85" s="1492">
        <f t="shared" ref="AX85:AX116" si="86">+Q85-AB85-AM85</f>
        <v>0</v>
      </c>
      <c r="AY85" s="1490">
        <f t="shared" ref="AY85:AY116" si="87">+R85-AC85-AN85</f>
        <v>0</v>
      </c>
      <c r="AZ85" s="1490">
        <f t="shared" ref="AZ85:AZ116" si="88">+S85-AD85-AO85</f>
        <v>0</v>
      </c>
      <c r="BA85" s="1490">
        <f t="shared" ref="BA85:BA116" si="89">+T85-AE85-AP85</f>
        <v>0.5</v>
      </c>
      <c r="BB85" s="1491">
        <f t="shared" ref="BB85:BB116" si="90">+U85-AF85-AQ85</f>
        <v>0.5</v>
      </c>
      <c r="BC85" s="1492">
        <f t="shared" ref="BC85:BC116" si="91">+V85-AG85-AR85</f>
        <v>1.5</v>
      </c>
      <c r="BD85" s="1490">
        <f t="shared" ref="BD85:BD116" si="92">+W85-AH85-AS85</f>
        <v>1.5</v>
      </c>
      <c r="BE85" s="1490">
        <f t="shared" ref="BE85:BE116" si="93">+X85-AI85-AT85</f>
        <v>1.5</v>
      </c>
      <c r="BF85" s="1490">
        <f t="shared" si="64"/>
        <v>1.5</v>
      </c>
      <c r="BG85" s="1491">
        <f t="shared" si="65"/>
        <v>1.5</v>
      </c>
      <c r="BH85" s="1133"/>
      <c r="BI85" s="1492">
        <f t="shared" ca="1" si="66"/>
        <v>0</v>
      </c>
      <c r="BJ85" s="1490">
        <f t="shared" ca="1" si="67"/>
        <v>0</v>
      </c>
      <c r="BK85" s="1490">
        <f t="shared" ca="1" si="68"/>
        <v>0</v>
      </c>
      <c r="BL85" s="1490">
        <f t="shared" ca="1" si="69"/>
        <v>4.1666666666666666E-3</v>
      </c>
      <c r="BM85" s="1491">
        <f t="shared" ca="1" si="70"/>
        <v>1.2500000000000001E-2</v>
      </c>
      <c r="BN85" s="1492">
        <f t="shared" ca="1" si="71"/>
        <v>2.9166666666666667E-2</v>
      </c>
      <c r="BO85" s="1490">
        <f t="shared" ca="1" si="72"/>
        <v>5.4166666666666669E-2</v>
      </c>
      <c r="BP85" s="1490">
        <f t="shared" ca="1" si="73"/>
        <v>7.9166666666666663E-2</v>
      </c>
      <c r="BQ85" s="1490">
        <f t="shared" ca="1" si="74"/>
        <v>0.10416666666666666</v>
      </c>
      <c r="BR85" s="1491">
        <f t="shared" ca="1" si="75"/>
        <v>0.12916666666666668</v>
      </c>
      <c r="BS85" s="1133"/>
      <c r="BT85" s="1492">
        <f>+IF($K85="Ongoing",AX85,IF(RIGHT($K85,2)=RIGHT(BT$39,2),SUM($AX85:AX85),0)+IF(RIGHT(BT$39,2)&gt;RIGHT($K85,2),AX85,0))</f>
        <v>0</v>
      </c>
      <c r="BU85" s="1490">
        <f>+IF($K85="Ongoing",AY85,IF(RIGHT($K85,2)=RIGHT(BU$39,2),SUM($AX85:AY85),0)+IF(RIGHT(BU$39,2)&gt;RIGHT($K85,2),AY85,0))</f>
        <v>0</v>
      </c>
      <c r="BV85" s="1490">
        <f>+IF($K85="Ongoing",AZ85,IF(RIGHT($K85,2)=RIGHT(BV$39,2),SUM($AX85:AZ85),0)+IF(RIGHT(BV$39,2)&gt;RIGHT($K85,2),AZ85,0))</f>
        <v>0</v>
      </c>
      <c r="BW85" s="1490">
        <f>+IF($K85="Ongoing",BA85,IF(RIGHT($K85,2)=RIGHT(BW$39,2),SUM($AX85:BA85),0)+IF(RIGHT(BW$39,2)&gt;RIGHT($K85,2),BA85,0))</f>
        <v>0.5</v>
      </c>
      <c r="BX85" s="1491">
        <f>+IF($K85="Ongoing",BB85,IF(RIGHT($K85,2)=RIGHT(BX$39,2),SUM($AX85:BB85),0)+IF(RIGHT(BX$39,2)&gt;RIGHT($K85,2),BB85,0))</f>
        <v>0.5</v>
      </c>
      <c r="BY85" s="1492">
        <f>+IF($K85="Ongoing",BC85,IF(RIGHT($K85,2)=RIGHT(BY$39,2),SUM($AX85:BC85),0)+IF(RIGHT(BY$39,2)&gt;RIGHT($K85,2),BC85,0))</f>
        <v>1.5</v>
      </c>
      <c r="BZ85" s="1490">
        <f>+IF($K85="Ongoing",BD85,IF(RIGHT($K85,2)=RIGHT(BZ$39,2),SUM($AX85:BD85),0)+IF(RIGHT(BZ$39,2)&gt;RIGHT($K85,2),BD85,0))</f>
        <v>1.5</v>
      </c>
      <c r="CA85" s="1490">
        <f>+IF($K85="Ongoing",BE85,IF(RIGHT($K85,2)=RIGHT(CA$39,2),SUM($AX85:BE85),0)+IF(RIGHT(CA$39,2)&gt;RIGHT($K85,2),BE85,0))</f>
        <v>1.5</v>
      </c>
      <c r="CB85" s="1490">
        <f>+IF($K85="Ongoing",BF85,IF(RIGHT($K85,2)=RIGHT(CB$39,2),SUM($AX85:BF85),0)+IF(RIGHT(CB$39,2)&gt;RIGHT($K85,2),BF85,0))</f>
        <v>1.5</v>
      </c>
      <c r="CC85" s="1491">
        <f>+IF($K85="Ongoing",BG85,IF(RIGHT($K85,2)=RIGHT(CC$39,2),SUM($AX85:BG85),0)+IF(RIGHT(CC$39,2)&gt;RIGHT($K85,2),BG85,0))</f>
        <v>1.5</v>
      </c>
      <c r="CD85" s="1133"/>
      <c r="CE85" s="1492">
        <f>+Q85*KeyAssumptionsPriceControl_FO!AC$15</f>
        <v>0</v>
      </c>
      <c r="CF85" s="1490">
        <f>+R85*KeyAssumptionsPriceControl_FO!AD$15</f>
        <v>0</v>
      </c>
      <c r="CG85" s="1490">
        <f>+S85*KeyAssumptionsPriceControl_FO!AE$15</f>
        <v>0</v>
      </c>
      <c r="CH85" s="1490">
        <f>+T85*KeyAssumptionsPriceControl_FO!AF$15</f>
        <v>0.56275440500000007</v>
      </c>
      <c r="CI85" s="1491">
        <f>+U85*KeyAssumptionsPriceControl_FO!AG$15</f>
        <v>0.57963703715000003</v>
      </c>
      <c r="CJ85" s="1492">
        <f>+V85*KeyAssumptionsPriceControl_FO!AH$15</f>
        <v>1.7910784447935002</v>
      </c>
      <c r="CK85" s="1490">
        <f>+W85*KeyAssumptionsPriceControl_FO!AI$15</f>
        <v>1.8448107981373054</v>
      </c>
      <c r="CL85" s="1490">
        <f>+X85*KeyAssumptionsPriceControl_FO!AJ$15</f>
        <v>1.9001551220814246</v>
      </c>
      <c r="CM85" s="1490">
        <f>+Y85*KeyAssumptionsPriceControl_FO!AK$15</f>
        <v>1.9571597757438672</v>
      </c>
      <c r="CN85" s="1491">
        <f>+Z85*KeyAssumptionsPriceControl_FO!AL$15</f>
        <v>2.0158745690161832</v>
      </c>
      <c r="CO85" s="1133"/>
      <c r="CP85" s="1492">
        <f t="shared" ref="CP85:CP116" ca="1" si="94">IF($M85=0,0,
IF($M85&lt;=0.5,CE85,
IF($J85="straight line",
IF((LEFT(CP$39,4)*1)-INT($M85)&lt;LEFT($CP$39,4)*1,0,((OFFSET(CE85,0,-INT($M85+0.5),1,1))/$M85)*(IF($M85-INT($M85)&gt;0.5,$M85-0.5-INT($M85),IF($M85-INT($M85)&lt;=0.5,$M85-0.5-INT($M85)+1,0))))
+CE85/$M85*0.5,
IF($J85="Declining Balance",-$CP$38,0))))</f>
        <v>0</v>
      </c>
      <c r="CQ85" s="1490">
        <f t="shared" ref="CQ85:CQ116" ca="1" si="95">IF($M85=0,0,
IF($M85&lt;=0.5,CF85,
IF(AND($J85="straight line",$M85&lt;1.51),(CE85-((CE85/$M85)*0.5))+CF85/$M85*0.5,
IF($J85="straight line",
IF((LEFT(CQ$39,4)*1)-INT($M85)&lt;LEFT($CP$39,4)*1,0,((OFFSET(CF85,0,-INT($M85+0.5),1,1))/$M85)*(IF($M85-INT($M85)&gt;0.5,$M85-0.5-INT($M85),IF($M85-INT($M85)&lt;=0.5,$M85-0.5-INT($M85)+1,0))))
+CF85/$M85*0.5
+SUM(OFFSET(CF85,0,MAX(-INT($M85+(0.5-(10^-12))),-CQ$40)+1,1,MIN(INT($M85+(0.5-(10^-12))),CQ$40)-1))*1/$M85,
IF($J85="Declining Balance",-$CP$38,0)))))</f>
        <v>0</v>
      </c>
      <c r="CR85" s="1490">
        <f t="shared" ref="CR85:CR116" ca="1" si="96">IF($M85=0,0,
IF($M85&lt;=0.5,CG85,
IF(AND($J85="straight line",$M85&lt;1.51),(CF85-((CF85/$M85)*0.5))+CG85/$M85*0.5,
IF($J85="straight line",
IF((LEFT(CR$39,4)*1)-INT($M85)&lt;LEFT($CP$39,4)*1,0,((OFFSET(CG85,0,-INT($M85+0.5),1,1))/$M85)*(IF($M85-INT($M85)&gt;0.5,$M85-0.5-INT($M85),IF($M85-INT($M85)&lt;=0.5,$M85-0.5-INT($M85)+1,0))))
+CG85/$M85*0.5
+SUM(OFFSET(CG85,0,MAX(-INT($M85+(0.5-(10^-12))),-CR$40)+1,1,MIN(INT($M85+(0.5-(10^-12))),CR$40)-1))*1/$M85,
IF($J85="Declining Balance",-$CP$38,0)))))</f>
        <v>0</v>
      </c>
      <c r="CS85" s="1490">
        <f t="shared" ref="CS85:CS116" ca="1" si="97">IF($M85=0,0,
IF($M85&lt;=0.5,CH85,
IF(AND($J85="straight line",$M85&lt;1.51),(CG85-((CG85/$M85)*0.5))+CH85/$M85*0.5,
IF($J85="straight line",
IF((LEFT(CS$39,4)*1)-INT($M85)&lt;LEFT($CP$39,4)*1,0,((OFFSET(CH85,0,-INT($M85+0.5),1,1))/$M85)*(IF($M85-INT($M85)&gt;0.5,$M85-0.5-INT($M85),IF($M85-INT($M85)&lt;=0.5,$M85-0.5-INT($M85)+1,0))))
+CH85/$M85*0.5
+SUM(OFFSET(CH85,0,MAX(-INT($M85+(0.5-(10^-12))),-CS$40)+1,1,MIN(INT($M85+(0.5-(10^-12))),CS$40)-1))*1/$M85,
IF($J85="Declining Balance",-$CP$38,0)))))</f>
        <v>4.6896200416666669E-3</v>
      </c>
      <c r="CT85" s="1491">
        <f t="shared" ref="CT85:CT116" ca="1" si="98">IF($M85=0,0,
IF($M85&lt;=0.5,CI85,
IF(AND($J85="straight line",$M85&lt;1.51),(CH85-((CH85/$M85)*0.5))+CI85/$M85*0.5,
IF($J85="straight line",
IF((LEFT(CT$39,4)*1)-INT($M85)&lt;LEFT($CP$39,4)*1,0,((OFFSET(CI85,0,-INT($M85+0.5),1,1))/$M85)*(IF($M85-INT($M85)&gt;0.5,$M85-0.5-INT($M85),IF($M85-INT($M85)&lt;=0.5,$M85-0.5-INT($M85)+1,0))))
+CI85/$M85*0.5
+SUM(OFFSET(CI85,0,MAX(-INT($M85+(0.5-(10^-12))),-CT$40)+1,1,MIN(INT($M85+(0.5-(10^-12))),CT$40)-1))*1/$M85,
IF($J85="Declining Balance",-$CP$38,0)))))</f>
        <v>1.420954872625E-2</v>
      </c>
      <c r="CU85" s="1492">
        <f t="shared" ref="CU85:CU116" ca="1" si="99">IF($M85=0,0,
IF($M85&lt;=0.5,CJ85,
IF(AND($J85="straight line",$M85&lt;1.51),(CI85-((CI85/$M85)*0.5))+CJ85/$M85*0.5,
IF($J85="straight line",
IF((LEFT(CU$39,4)*1)-INT($M85)&lt;LEFT($CP$39,4)*1,0,((OFFSET(CJ85,0,-INT($M85+0.5),1,1))/$M85)*(IF($M85-INT($M85)&gt;0.5,$M85-0.5-INT($M85),IF($M85-INT($M85)&lt;=0.5,$M85-0.5-INT($M85)+1,0))))
+CJ85/$M85*0.5
+SUM(OFFSET(CJ85,0,MAX(-INT($M85+(0.5-(10^-12))),-CU$40)+1,1,MIN(INT($M85+(0.5-(10^-12))),CU$40)-1))*1/$M85,
IF($J85="Declining Balance",-$CP$38,0)))))</f>
        <v>3.3965511075779171E-2</v>
      </c>
      <c r="CV85" s="1490">
        <f t="shared" ref="CV85:CV116" ca="1" si="100">IF($M85=0,0,
IF($M85&lt;=0.5,CK85,
IF(AND($J85="straight line",$M85&lt;1.51),(CJ85-((CJ85/$M85)*0.5))+CK85/$M85*0.5,
IF($J85="straight line",
IF((LEFT(CV$39,4)*1)-INT($M85)&lt;LEFT($CP$39,4)*1,0,((OFFSET(CK85,0,-INT($M85+0.5),1,1))/$M85)*(IF($M85-INT($M85)&gt;0.5,$M85-0.5-INT($M85),IF($M85-INT($M85)&lt;=0.5,$M85-0.5-INT($M85)+1,0))))
+CK85/$M85*0.5
+SUM(OFFSET(CK85,0,MAX(-INT($M85+(0.5-(10^-12))),-CV$40)+1,1,MIN(INT($M85+(0.5-(10^-12))),CV$40)-1))*1/$M85,
IF($J85="Declining Balance",-$CP$38,0)))))</f>
        <v>6.4264588100202552E-2</v>
      </c>
      <c r="CW85" s="1490">
        <f t="shared" ref="CW85:CW116" ca="1" si="101">IF($M85=0,0,
IF($M85&lt;=0.5,CL85,
IF(AND($J85="straight line",$M85&lt;1.51),(CK85-((CK85/$M85)*0.5))+CL85/$M85*0.5,
IF($J85="straight line",
IF((LEFT(CW$39,4)*1)-INT($M85)&lt;LEFT($CP$39,4)*1,0,((OFFSET(CL85,0,-INT($M85+0.5),1,1))/$M85)*(IF($M85-INT($M85)&gt;0.5,$M85-0.5-INT($M85),IF($M85-INT($M85)&lt;=0.5,$M85-0.5-INT($M85)+1,0))))
+CL85/$M85*0.5
+SUM(OFFSET(CL85,0,MAX(-INT($M85+(0.5-(10^-12))),-CW$40)+1,1,MIN(INT($M85+(0.5-(10^-12))),CW$40)-1))*1/$M85,
IF($J85="Declining Balance",-$CP$38,0)))))</f>
        <v>9.5472637435358637E-2</v>
      </c>
      <c r="CX85" s="1490">
        <f t="shared" ref="CX85:CX116" ca="1" si="102">IF($M85=0,0,
IF($M85&lt;=0.5,CM85,
IF(AND($J85="straight line",$M85&lt;1.51),(CL85-((CL85/$M85)*0.5))+CM85/$M85*0.5,
IF($J85="straight line",
IF((LEFT(CX$39,4)*1)-INT($M85)&lt;LEFT($CP$39,4)*1,0,((OFFSET(CM85,0,-INT($M85+0.5),1,1))/$M85)*(IF($M85-INT($M85)&gt;0.5,$M85-0.5-INT($M85),IF($M85-INT($M85)&lt;=0.5,$M85-0.5-INT($M85)+1,0))))
+CM85/$M85*0.5
+SUM(OFFSET(CM85,0,MAX(-INT($M85+(0.5-(10^-12))),-CX$40)+1,1,MIN(INT($M85+(0.5-(10^-12))),CX$40)-1))*1/$M85,
IF($J85="Declining Balance",-$CP$38,0)))))</f>
        <v>0.12761692825056942</v>
      </c>
      <c r="CY85" s="1491">
        <f t="shared" ref="CY85:CY116" ca="1" si="103">IF($M85=0,0,
IF($M85&lt;=0.5,CN85,
IF(AND($J85="straight line",$M85&lt;1.51),(CM85-((CM85/$M85)*0.5))+CN85/$M85*0.5,
IF($J85="straight line",
IF((LEFT(CY$39,4)*1)-INT($M85)&lt;LEFT($CP$39,4)*1,0,((OFFSET(CN85,0,-INT($M85+0.5),1,1))/$M85)*(IF($M85-INT($M85)&gt;0.5,$M85-0.5-INT($M85),IF($M85-INT($M85)&lt;=0.5,$M85-0.5-INT($M85)+1,0))))
+CN85/$M85*0.5
+SUM(OFFSET(CN85,0,MAX(-INT($M85+(0.5-(10^-12))),-CY$40)+1,1,MIN(INT($M85+(0.5-(10^-12))),CY$40)-1))*1/$M85,
IF($J85="Declining Balance",-$CP$38,0)))))</f>
        <v>0.16072554779023651</v>
      </c>
    </row>
    <row r="86" spans="2:103" x14ac:dyDescent="0.3">
      <c r="B86" s="397"/>
      <c r="C86" s="1294" t="s">
        <v>1136</v>
      </c>
      <c r="D86" s="1295"/>
      <c r="E86" s="2097" t="s">
        <v>22</v>
      </c>
      <c r="F86" s="2097" t="s">
        <v>512</v>
      </c>
      <c r="G86" s="1294" t="s">
        <v>10</v>
      </c>
      <c r="H86" s="2349" t="s">
        <v>516</v>
      </c>
      <c r="I86" s="2350"/>
      <c r="J86" s="1292" t="s">
        <v>279</v>
      </c>
      <c r="K86" s="1292" t="s">
        <v>296</v>
      </c>
      <c r="L86" s="1292">
        <v>10</v>
      </c>
      <c r="M86" s="1292">
        <v>10</v>
      </c>
      <c r="O86" s="376"/>
      <c r="P86" s="376"/>
      <c r="Q86" s="2337">
        <v>0.2</v>
      </c>
      <c r="R86" s="2338">
        <v>0.2</v>
      </c>
      <c r="S86" s="2338">
        <v>0.2</v>
      </c>
      <c r="T86" s="2338">
        <v>0.2</v>
      </c>
      <c r="U86" s="2339">
        <v>0.2</v>
      </c>
      <c r="V86" s="2337">
        <v>0.6</v>
      </c>
      <c r="W86" s="2338">
        <v>0.6</v>
      </c>
      <c r="X86" s="2338">
        <v>0.6</v>
      </c>
      <c r="Y86" s="2338">
        <v>0.6</v>
      </c>
      <c r="Z86" s="2339">
        <v>0.6</v>
      </c>
      <c r="AA86" s="1132"/>
      <c r="AB86" s="1129"/>
      <c r="AC86" s="1130"/>
      <c r="AD86" s="1510"/>
      <c r="AE86" s="1130"/>
      <c r="AF86" s="1131"/>
      <c r="AG86" s="1129"/>
      <c r="AH86" s="1510"/>
      <c r="AI86" s="1130"/>
      <c r="AJ86" s="1130"/>
      <c r="AK86" s="1131"/>
      <c r="AL86" s="1132"/>
      <c r="AM86" s="1509"/>
      <c r="AN86" s="1130"/>
      <c r="AO86" s="1510"/>
      <c r="AP86" s="1510"/>
      <c r="AQ86" s="1131"/>
      <c r="AR86" s="1129"/>
      <c r="AS86" s="1130"/>
      <c r="AT86" s="1130"/>
      <c r="AU86" s="1130"/>
      <c r="AV86" s="1131"/>
      <c r="AW86" s="1133"/>
      <c r="AX86" s="1492">
        <f t="shared" si="86"/>
        <v>0.2</v>
      </c>
      <c r="AY86" s="1490">
        <f t="shared" si="87"/>
        <v>0.2</v>
      </c>
      <c r="AZ86" s="1490">
        <f t="shared" si="88"/>
        <v>0.2</v>
      </c>
      <c r="BA86" s="1490">
        <f t="shared" si="89"/>
        <v>0.2</v>
      </c>
      <c r="BB86" s="1491">
        <f t="shared" si="90"/>
        <v>0.2</v>
      </c>
      <c r="BC86" s="1492">
        <f t="shared" si="91"/>
        <v>0.6</v>
      </c>
      <c r="BD86" s="1490">
        <f t="shared" si="92"/>
        <v>0.6</v>
      </c>
      <c r="BE86" s="1490">
        <f t="shared" si="93"/>
        <v>0.6</v>
      </c>
      <c r="BF86" s="1490">
        <f t="shared" si="64"/>
        <v>0.6</v>
      </c>
      <c r="BG86" s="1491">
        <f t="shared" si="65"/>
        <v>0.6</v>
      </c>
      <c r="BH86" s="1133"/>
      <c r="BI86" s="1492">
        <f t="shared" ca="1" si="66"/>
        <v>0.01</v>
      </c>
      <c r="BJ86" s="1490">
        <f t="shared" ca="1" si="67"/>
        <v>0.03</v>
      </c>
      <c r="BK86" s="1490">
        <f t="shared" ca="1" si="68"/>
        <v>0.05</v>
      </c>
      <c r="BL86" s="1490">
        <f t="shared" ca="1" si="69"/>
        <v>7.0000000000000007E-2</v>
      </c>
      <c r="BM86" s="1491">
        <f t="shared" ca="1" si="70"/>
        <v>0.09</v>
      </c>
      <c r="BN86" s="1492">
        <f t="shared" ca="1" si="71"/>
        <v>0.13</v>
      </c>
      <c r="BO86" s="1490">
        <f t="shared" ca="1" si="72"/>
        <v>0.19</v>
      </c>
      <c r="BP86" s="1490">
        <f t="shared" ca="1" si="73"/>
        <v>0.25</v>
      </c>
      <c r="BQ86" s="1490">
        <f t="shared" ca="1" si="74"/>
        <v>0.31000000000000005</v>
      </c>
      <c r="BR86" s="1491">
        <f t="shared" ca="1" si="75"/>
        <v>0.37</v>
      </c>
      <c r="BS86" s="1133"/>
      <c r="BT86" s="1492">
        <f>+IF($K86="Ongoing",AX86,IF(RIGHT($K86,2)=RIGHT(BT$39,2),SUM($AX86:AX86),0)+IF(RIGHT(BT$39,2)&gt;RIGHT($K86,2),AX86,0))</f>
        <v>0.2</v>
      </c>
      <c r="BU86" s="1490">
        <f>+IF($K86="Ongoing",AY86,IF(RIGHT($K86,2)=RIGHT(BU$39,2),SUM($AX86:AY86),0)+IF(RIGHT(BU$39,2)&gt;RIGHT($K86,2),AY86,0))</f>
        <v>0.2</v>
      </c>
      <c r="BV86" s="1490">
        <f>+IF($K86="Ongoing",AZ86,IF(RIGHT($K86,2)=RIGHT(BV$39,2),SUM($AX86:AZ86),0)+IF(RIGHT(BV$39,2)&gt;RIGHT($K86,2),AZ86,0))</f>
        <v>0.2</v>
      </c>
      <c r="BW86" s="1490">
        <f>+IF($K86="Ongoing",BA86,IF(RIGHT($K86,2)=RIGHT(BW$39,2),SUM($AX86:BA86),0)+IF(RIGHT(BW$39,2)&gt;RIGHT($K86,2),BA86,0))</f>
        <v>0.2</v>
      </c>
      <c r="BX86" s="1491">
        <f>+IF($K86="Ongoing",BB86,IF(RIGHT($K86,2)=RIGHT(BX$39,2),SUM($AX86:BB86),0)+IF(RIGHT(BX$39,2)&gt;RIGHT($K86,2),BB86,0))</f>
        <v>0.2</v>
      </c>
      <c r="BY86" s="1492">
        <f>+IF($K86="Ongoing",BC86,IF(RIGHT($K86,2)=RIGHT(BY$39,2),SUM($AX86:BC86),0)+IF(RIGHT(BY$39,2)&gt;RIGHT($K86,2),BC86,0))</f>
        <v>0.6</v>
      </c>
      <c r="BZ86" s="1490">
        <f>+IF($K86="Ongoing",BD86,IF(RIGHT($K86,2)=RIGHT(BZ$39,2),SUM($AX86:BD86),0)+IF(RIGHT(BZ$39,2)&gt;RIGHT($K86,2),BD86,0))</f>
        <v>0.6</v>
      </c>
      <c r="CA86" s="1490">
        <f>+IF($K86="Ongoing",BE86,IF(RIGHT($K86,2)=RIGHT(CA$39,2),SUM($AX86:BE86),0)+IF(RIGHT(CA$39,2)&gt;RIGHT($K86,2),BE86,0))</f>
        <v>0.6</v>
      </c>
      <c r="CB86" s="1490">
        <f>+IF($K86="Ongoing",BF86,IF(RIGHT($K86,2)=RIGHT(CB$39,2),SUM($AX86:BF86),0)+IF(RIGHT(CB$39,2)&gt;RIGHT($K86,2),BF86,0))</f>
        <v>0.6</v>
      </c>
      <c r="CC86" s="1491">
        <f>+IF($K86="Ongoing",BG86,IF(RIGHT($K86,2)=RIGHT(CC$39,2),SUM($AX86:BG86),0)+IF(RIGHT(CC$39,2)&gt;RIGHT($K86,2),BG86,0))</f>
        <v>0.6</v>
      </c>
      <c r="CD86" s="1133"/>
      <c r="CE86" s="1492">
        <f>+Q86*KeyAssumptionsPriceControl_FO!AC$15</f>
        <v>0.20600000000000002</v>
      </c>
      <c r="CF86" s="1490">
        <f>+R86*KeyAssumptionsPriceControl_FO!AD$15</f>
        <v>0.21218000000000001</v>
      </c>
      <c r="CG86" s="1490">
        <f>+S86*KeyAssumptionsPriceControl_FO!AE$15</f>
        <v>0.2185454</v>
      </c>
      <c r="CH86" s="1490">
        <f>+T86*KeyAssumptionsPriceControl_FO!AF$15</f>
        <v>0.22510176200000004</v>
      </c>
      <c r="CI86" s="1491">
        <f>+U86*KeyAssumptionsPriceControl_FO!AG$15</f>
        <v>0.23185481486000004</v>
      </c>
      <c r="CJ86" s="1492">
        <f>+V86*KeyAssumptionsPriceControl_FO!AH$15</f>
        <v>0.71643137791740008</v>
      </c>
      <c r="CK86" s="1490">
        <f>+W86*KeyAssumptionsPriceControl_FO!AI$15</f>
        <v>0.73792431925492208</v>
      </c>
      <c r="CL86" s="1490">
        <f>+X86*KeyAssumptionsPriceControl_FO!AJ$15</f>
        <v>0.76006204883256978</v>
      </c>
      <c r="CM86" s="1490">
        <f>+Y86*KeyAssumptionsPriceControl_FO!AK$15</f>
        <v>0.78286391029754687</v>
      </c>
      <c r="CN86" s="1491">
        <f>+Z86*KeyAssumptionsPriceControl_FO!AL$15</f>
        <v>0.80634982760647333</v>
      </c>
      <c r="CO86" s="1133"/>
      <c r="CP86" s="1492">
        <f t="shared" ca="1" si="94"/>
        <v>1.03E-2</v>
      </c>
      <c r="CQ86" s="1490">
        <f t="shared" ca="1" si="95"/>
        <v>3.1209000000000001E-2</v>
      </c>
      <c r="CR86" s="1490">
        <f t="shared" ca="1" si="96"/>
        <v>5.2745269999999997E-2</v>
      </c>
      <c r="CS86" s="1490">
        <f t="shared" ca="1" si="97"/>
        <v>7.4927628100000004E-2</v>
      </c>
      <c r="CT86" s="1491">
        <f t="shared" ca="1" si="98"/>
        <v>9.7775456942999994E-2</v>
      </c>
      <c r="CU86" s="1492">
        <f t="shared" ca="1" si="99"/>
        <v>0.14518976658186999</v>
      </c>
      <c r="CV86" s="1490">
        <f t="shared" ca="1" si="100"/>
        <v>0.21790755144048612</v>
      </c>
      <c r="CW86" s="1490">
        <f t="shared" ca="1" si="101"/>
        <v>0.29280686984486071</v>
      </c>
      <c r="CX86" s="1490">
        <f t="shared" ca="1" si="102"/>
        <v>0.3699531678013665</v>
      </c>
      <c r="CY86" s="1491">
        <f t="shared" ca="1" si="103"/>
        <v>0.44941385469656747</v>
      </c>
    </row>
    <row r="87" spans="2:103" x14ac:dyDescent="0.3">
      <c r="B87" s="397"/>
      <c r="C87" s="1294" t="s">
        <v>1137</v>
      </c>
      <c r="D87" s="1295"/>
      <c r="E87" s="2097" t="s">
        <v>21</v>
      </c>
      <c r="F87" s="2097" t="s">
        <v>239</v>
      </c>
      <c r="G87" s="1294" t="s">
        <v>13</v>
      </c>
      <c r="H87" s="2349" t="s">
        <v>516</v>
      </c>
      <c r="I87" s="2350"/>
      <c r="J87" s="1292" t="s">
        <v>279</v>
      </c>
      <c r="K87" s="1292" t="s">
        <v>296</v>
      </c>
      <c r="L87" s="1292">
        <v>80</v>
      </c>
      <c r="M87" s="1292">
        <v>80</v>
      </c>
      <c r="O87" s="376"/>
      <c r="P87" s="376"/>
      <c r="Q87" s="2337">
        <v>0.14000000000000001</v>
      </c>
      <c r="R87" s="2338">
        <v>0.28999999999999998</v>
      </c>
      <c r="S87" s="2338">
        <v>0.28999999999999998</v>
      </c>
      <c r="T87" s="2338">
        <v>0.14000000000000001</v>
      </c>
      <c r="U87" s="2339">
        <v>0.14000000000000001</v>
      </c>
      <c r="V87" s="2337">
        <v>0.64500000000000002</v>
      </c>
      <c r="W87" s="2338">
        <v>0.64500000000000002</v>
      </c>
      <c r="X87" s="2338">
        <v>0.42</v>
      </c>
      <c r="Y87" s="2338">
        <v>0.42</v>
      </c>
      <c r="Z87" s="2339">
        <v>0.42</v>
      </c>
      <c r="AA87" s="1132"/>
      <c r="AB87" s="1129"/>
      <c r="AC87" s="1130"/>
      <c r="AD87" s="1510"/>
      <c r="AE87" s="1510"/>
      <c r="AF87" s="1131"/>
      <c r="AG87" s="1129"/>
      <c r="AH87" s="1130"/>
      <c r="AI87" s="1130"/>
      <c r="AJ87" s="1130"/>
      <c r="AK87" s="1131"/>
      <c r="AL87" s="1132"/>
      <c r="AM87" s="1129"/>
      <c r="AN87" s="1130"/>
      <c r="AO87" s="1130"/>
      <c r="AP87" s="1510"/>
      <c r="AQ87" s="1131"/>
      <c r="AR87" s="1129"/>
      <c r="AS87" s="1130"/>
      <c r="AT87" s="1130"/>
      <c r="AU87" s="1510"/>
      <c r="AV87" s="1131"/>
      <c r="AW87" s="1133"/>
      <c r="AX87" s="1492">
        <f t="shared" si="86"/>
        <v>0.14000000000000001</v>
      </c>
      <c r="AY87" s="1490">
        <f t="shared" si="87"/>
        <v>0.28999999999999998</v>
      </c>
      <c r="AZ87" s="1490">
        <f t="shared" si="88"/>
        <v>0.28999999999999998</v>
      </c>
      <c r="BA87" s="1490">
        <f t="shared" si="89"/>
        <v>0.14000000000000001</v>
      </c>
      <c r="BB87" s="1491">
        <f t="shared" si="90"/>
        <v>0.14000000000000001</v>
      </c>
      <c r="BC87" s="1492">
        <f t="shared" si="91"/>
        <v>0.64500000000000002</v>
      </c>
      <c r="BD87" s="1490">
        <f t="shared" si="92"/>
        <v>0.64500000000000002</v>
      </c>
      <c r="BE87" s="1490">
        <f t="shared" si="93"/>
        <v>0.42</v>
      </c>
      <c r="BF87" s="1490">
        <f t="shared" si="64"/>
        <v>0.42</v>
      </c>
      <c r="BG87" s="1491">
        <f t="shared" si="65"/>
        <v>0.42</v>
      </c>
      <c r="BH87" s="1133"/>
      <c r="BI87" s="1492">
        <f t="shared" ca="1" si="66"/>
        <v>8.7500000000000013E-4</v>
      </c>
      <c r="BJ87" s="1490">
        <f t="shared" ca="1" si="67"/>
        <v>3.5625000000000001E-3</v>
      </c>
      <c r="BK87" s="1490">
        <f t="shared" ca="1" si="68"/>
        <v>7.1874999999999994E-3</v>
      </c>
      <c r="BL87" s="1490">
        <f t="shared" ca="1" si="69"/>
        <v>9.8750000000000001E-3</v>
      </c>
      <c r="BM87" s="1491">
        <f t="shared" ca="1" si="70"/>
        <v>1.1625E-2</v>
      </c>
      <c r="BN87" s="1492">
        <f t="shared" ca="1" si="71"/>
        <v>1.6531250000000001E-2</v>
      </c>
      <c r="BO87" s="1490">
        <f t="shared" ca="1" si="72"/>
        <v>2.4593750000000001E-2</v>
      </c>
      <c r="BP87" s="1490">
        <f t="shared" ca="1" si="73"/>
        <v>3.125E-2</v>
      </c>
      <c r="BQ87" s="1490">
        <f t="shared" ca="1" si="74"/>
        <v>3.6500000000000005E-2</v>
      </c>
      <c r="BR87" s="1491">
        <f t="shared" ca="1" si="75"/>
        <v>4.1750000000000002E-2</v>
      </c>
      <c r="BS87" s="1133"/>
      <c r="BT87" s="1492">
        <f>+IF($K87="Ongoing",AX87,IF(RIGHT($K87,2)=RIGHT(BT$39,2),SUM($AX87:AX87),0)+IF(RIGHT(BT$39,2)&gt;RIGHT($K87,2),AX87,0))</f>
        <v>0.14000000000000001</v>
      </c>
      <c r="BU87" s="1490">
        <f>+IF($K87="Ongoing",AY87,IF(RIGHT($K87,2)=RIGHT(BU$39,2),SUM($AX87:AY87),0)+IF(RIGHT(BU$39,2)&gt;RIGHT($K87,2),AY87,0))</f>
        <v>0.28999999999999998</v>
      </c>
      <c r="BV87" s="1490">
        <f>+IF($K87="Ongoing",AZ87,IF(RIGHT($K87,2)=RIGHT(BV$39,2),SUM($AX87:AZ87),0)+IF(RIGHT(BV$39,2)&gt;RIGHT($K87,2),AZ87,0))</f>
        <v>0.28999999999999998</v>
      </c>
      <c r="BW87" s="1490">
        <f>+IF($K87="Ongoing",BA87,IF(RIGHT($K87,2)=RIGHT(BW$39,2),SUM($AX87:BA87),0)+IF(RIGHT(BW$39,2)&gt;RIGHT($K87,2),BA87,0))</f>
        <v>0.14000000000000001</v>
      </c>
      <c r="BX87" s="1491">
        <f>+IF($K87="Ongoing",BB87,IF(RIGHT($K87,2)=RIGHT(BX$39,2),SUM($AX87:BB87),0)+IF(RIGHT(BX$39,2)&gt;RIGHT($K87,2),BB87,0))</f>
        <v>0.14000000000000001</v>
      </c>
      <c r="BY87" s="1492">
        <f>+IF($K87="Ongoing",BC87,IF(RIGHT($K87,2)=RIGHT(BY$39,2),SUM($AX87:BC87),0)+IF(RIGHT(BY$39,2)&gt;RIGHT($K87,2),BC87,0))</f>
        <v>0.64500000000000002</v>
      </c>
      <c r="BZ87" s="1490">
        <f>+IF($K87="Ongoing",BD87,IF(RIGHT($K87,2)=RIGHT(BZ$39,2),SUM($AX87:BD87),0)+IF(RIGHT(BZ$39,2)&gt;RIGHT($K87,2),BD87,0))</f>
        <v>0.64500000000000002</v>
      </c>
      <c r="CA87" s="1490">
        <f>+IF($K87="Ongoing",BE87,IF(RIGHT($K87,2)=RIGHT(CA$39,2),SUM($AX87:BE87),0)+IF(RIGHT(CA$39,2)&gt;RIGHT($K87,2),BE87,0))</f>
        <v>0.42</v>
      </c>
      <c r="CB87" s="1490">
        <f>+IF($K87="Ongoing",BF87,IF(RIGHT($K87,2)=RIGHT(CB$39,2),SUM($AX87:BF87),0)+IF(RIGHT(CB$39,2)&gt;RIGHT($K87,2),BF87,0))</f>
        <v>0.42</v>
      </c>
      <c r="CC87" s="1491">
        <f>+IF($K87="Ongoing",BG87,IF(RIGHT($K87,2)=RIGHT(CC$39,2),SUM($AX87:BG87),0)+IF(RIGHT(CC$39,2)&gt;RIGHT($K87,2),BG87,0))</f>
        <v>0.42</v>
      </c>
      <c r="CD87" s="1133"/>
      <c r="CE87" s="1492">
        <f>+Q87*KeyAssumptionsPriceControl_FO!AC$15</f>
        <v>0.14420000000000002</v>
      </c>
      <c r="CF87" s="1490">
        <f>+R87*KeyAssumptionsPriceControl_FO!AD$15</f>
        <v>0.30766099999999996</v>
      </c>
      <c r="CG87" s="1490">
        <f>+S87*KeyAssumptionsPriceControl_FO!AE$15</f>
        <v>0.31689082999999996</v>
      </c>
      <c r="CH87" s="1490">
        <f>+T87*KeyAssumptionsPriceControl_FO!AF$15</f>
        <v>0.15757123340000004</v>
      </c>
      <c r="CI87" s="1491">
        <f>+U87*KeyAssumptionsPriceControl_FO!AG$15</f>
        <v>0.16229837040200001</v>
      </c>
      <c r="CJ87" s="1492">
        <f>+V87*KeyAssumptionsPriceControl_FO!AH$15</f>
        <v>0.77016373126120508</v>
      </c>
      <c r="CK87" s="1490">
        <f>+W87*KeyAssumptionsPriceControl_FO!AI$15</f>
        <v>0.79326864319904133</v>
      </c>
      <c r="CL87" s="1490">
        <f>+X87*KeyAssumptionsPriceControl_FO!AJ$15</f>
        <v>0.53204343418279887</v>
      </c>
      <c r="CM87" s="1490">
        <f>+Y87*KeyAssumptionsPriceControl_FO!AK$15</f>
        <v>0.5480047372082828</v>
      </c>
      <c r="CN87" s="1491">
        <f>+Z87*KeyAssumptionsPriceControl_FO!AL$15</f>
        <v>0.56444487932453136</v>
      </c>
      <c r="CO87" s="1133"/>
      <c r="CP87" s="1492">
        <f t="shared" ca="1" si="94"/>
        <v>9.0125000000000014E-4</v>
      </c>
      <c r="CQ87" s="1490">
        <f t="shared" ca="1" si="95"/>
        <v>3.7253812500000001E-3</v>
      </c>
      <c r="CR87" s="1490">
        <f t="shared" ca="1" si="96"/>
        <v>7.6288301874999987E-3</v>
      </c>
      <c r="CS87" s="1490">
        <f t="shared" ca="1" si="97"/>
        <v>1.0594218083749999E-2</v>
      </c>
      <c r="CT87" s="1491">
        <f t="shared" ca="1" si="98"/>
        <v>1.25934031075125E-2</v>
      </c>
      <c r="CU87" s="1492">
        <f t="shared" ca="1" si="99"/>
        <v>1.842129124290753E-2</v>
      </c>
      <c r="CV87" s="1490">
        <f t="shared" ca="1" si="100"/>
        <v>2.8192743583284073E-2</v>
      </c>
      <c r="CW87" s="1490">
        <f t="shared" ca="1" si="101"/>
        <v>3.647594406692057E-2</v>
      </c>
      <c r="CX87" s="1490">
        <f t="shared" ca="1" si="102"/>
        <v>4.3226245138114835E-2</v>
      </c>
      <c r="CY87" s="1491">
        <f t="shared" ca="1" si="103"/>
        <v>5.0179055241444927E-2</v>
      </c>
    </row>
    <row r="88" spans="2:103" x14ac:dyDescent="0.3">
      <c r="B88" s="397"/>
      <c r="C88" s="1294" t="s">
        <v>1138</v>
      </c>
      <c r="D88" s="1295"/>
      <c r="E88" s="2097" t="s">
        <v>21</v>
      </c>
      <c r="F88" s="2097" t="s">
        <v>512</v>
      </c>
      <c r="G88" s="1294" t="s">
        <v>13</v>
      </c>
      <c r="H88" s="2349" t="s">
        <v>516</v>
      </c>
      <c r="I88" s="2350"/>
      <c r="J88" s="1292" t="s">
        <v>279</v>
      </c>
      <c r="K88" s="1292" t="s">
        <v>920</v>
      </c>
      <c r="L88" s="1292">
        <v>60</v>
      </c>
      <c r="M88" s="1292">
        <v>60</v>
      </c>
      <c r="O88" s="376"/>
      <c r="P88" s="376"/>
      <c r="Q88" s="2337">
        <v>0</v>
      </c>
      <c r="R88" s="2338">
        <v>0</v>
      </c>
      <c r="S88" s="2338">
        <v>0.25</v>
      </c>
      <c r="T88" s="2338">
        <v>0.25</v>
      </c>
      <c r="U88" s="2339">
        <v>0.5</v>
      </c>
      <c r="V88" s="2337">
        <v>0.5</v>
      </c>
      <c r="W88" s="2338">
        <v>0</v>
      </c>
      <c r="X88" s="2338">
        <v>0</v>
      </c>
      <c r="Y88" s="2338">
        <v>0</v>
      </c>
      <c r="Z88" s="2339">
        <v>0</v>
      </c>
      <c r="AA88" s="1132"/>
      <c r="AB88" s="1129"/>
      <c r="AC88" s="1130"/>
      <c r="AD88" s="1510"/>
      <c r="AE88" s="1130"/>
      <c r="AF88" s="1131"/>
      <c r="AG88" s="1129"/>
      <c r="AH88" s="1510"/>
      <c r="AI88" s="1130"/>
      <c r="AJ88" s="1130"/>
      <c r="AK88" s="1131"/>
      <c r="AL88" s="1132"/>
      <c r="AM88" s="1509"/>
      <c r="AN88" s="1130"/>
      <c r="AO88" s="1510"/>
      <c r="AP88" s="1510"/>
      <c r="AQ88" s="1131"/>
      <c r="AR88" s="1129"/>
      <c r="AS88" s="1130"/>
      <c r="AT88" s="1130"/>
      <c r="AU88" s="1130"/>
      <c r="AV88" s="1131"/>
      <c r="AW88" s="1133"/>
      <c r="AX88" s="1492">
        <f t="shared" si="86"/>
        <v>0</v>
      </c>
      <c r="AY88" s="1490">
        <f t="shared" si="87"/>
        <v>0</v>
      </c>
      <c r="AZ88" s="1490">
        <f t="shared" si="88"/>
        <v>0.25</v>
      </c>
      <c r="BA88" s="1490">
        <f t="shared" si="89"/>
        <v>0.25</v>
      </c>
      <c r="BB88" s="1491">
        <f t="shared" si="90"/>
        <v>0.5</v>
      </c>
      <c r="BC88" s="1492">
        <f t="shared" si="91"/>
        <v>0.5</v>
      </c>
      <c r="BD88" s="1490">
        <f t="shared" si="92"/>
        <v>0</v>
      </c>
      <c r="BE88" s="1490">
        <f t="shared" si="93"/>
        <v>0</v>
      </c>
      <c r="BF88" s="1490">
        <f t="shared" si="64"/>
        <v>0</v>
      </c>
      <c r="BG88" s="1491">
        <f t="shared" si="65"/>
        <v>0</v>
      </c>
      <c r="BH88" s="1133"/>
      <c r="BI88" s="1492">
        <f t="shared" ca="1" si="66"/>
        <v>0</v>
      </c>
      <c r="BJ88" s="1490">
        <f t="shared" ca="1" si="67"/>
        <v>0</v>
      </c>
      <c r="BK88" s="1490">
        <f t="shared" ca="1" si="68"/>
        <v>0</v>
      </c>
      <c r="BL88" s="1490">
        <f t="shared" ca="1" si="69"/>
        <v>0</v>
      </c>
      <c r="BM88" s="1491">
        <f t="shared" ca="1" si="70"/>
        <v>0</v>
      </c>
      <c r="BN88" s="1492">
        <f t="shared" ca="1" si="71"/>
        <v>1.2500000000000001E-2</v>
      </c>
      <c r="BO88" s="1490">
        <f t="shared" ca="1" si="72"/>
        <v>2.5000000000000001E-2</v>
      </c>
      <c r="BP88" s="1490">
        <f t="shared" ca="1" si="73"/>
        <v>2.5000000000000001E-2</v>
      </c>
      <c r="BQ88" s="1490">
        <f t="shared" ca="1" si="74"/>
        <v>2.5000000000000001E-2</v>
      </c>
      <c r="BR88" s="1491">
        <f t="shared" ca="1" si="75"/>
        <v>2.5000000000000001E-2</v>
      </c>
      <c r="BS88" s="1133"/>
      <c r="BT88" s="1492">
        <f>+IF($K88="Ongoing",AX88,IF(RIGHT($K88,2)=RIGHT(BT$39,2),SUM($AX88:AX88),0)+IF(RIGHT(BT$39,2)&gt;RIGHT($K88,2),AX88,0))</f>
        <v>0</v>
      </c>
      <c r="BU88" s="1490">
        <f>+IF($K88="Ongoing",AY88,IF(RIGHT($K88,2)=RIGHT(BU$39,2),SUM($AX88:AY88),0)+IF(RIGHT(BU$39,2)&gt;RIGHT($K88,2),AY88,0))</f>
        <v>0</v>
      </c>
      <c r="BV88" s="1490">
        <f>+IF($K88="Ongoing",AZ88,IF(RIGHT($K88,2)=RIGHT(BV$39,2),SUM($AX88:AZ88),0)+IF(RIGHT(BV$39,2)&gt;RIGHT($K88,2),AZ88,0))</f>
        <v>0</v>
      </c>
      <c r="BW88" s="1490">
        <f>+IF($K88="Ongoing",BA88,IF(RIGHT($K88,2)=RIGHT(BW$39,2),SUM($AX88:BA88),0)+IF(RIGHT(BW$39,2)&gt;RIGHT($K88,2),BA88,0))</f>
        <v>0</v>
      </c>
      <c r="BX88" s="1491">
        <f>+IF($K88="Ongoing",BB88,IF(RIGHT($K88,2)=RIGHT(BX$39,2),SUM($AX88:BB88),0)+IF(RIGHT(BX$39,2)&gt;RIGHT($K88,2),BB88,0))</f>
        <v>0</v>
      </c>
      <c r="BY88" s="1492">
        <f>+IF($K88="Ongoing",BC88,IF(RIGHT($K88,2)=RIGHT(BY$39,2),SUM($AX88:BC88),0)+IF(RIGHT(BY$39,2)&gt;RIGHT($K88,2),BC88,0))</f>
        <v>1.5</v>
      </c>
      <c r="BZ88" s="1490">
        <f>+IF($K88="Ongoing",BD88,IF(RIGHT($K88,2)=RIGHT(BZ$39,2),SUM($AX88:BD88),0)+IF(RIGHT(BZ$39,2)&gt;RIGHT($K88,2),BD88,0))</f>
        <v>0</v>
      </c>
      <c r="CA88" s="1490">
        <f>+IF($K88="Ongoing",BE88,IF(RIGHT($K88,2)=RIGHT(CA$39,2),SUM($AX88:BE88),0)+IF(RIGHT(CA$39,2)&gt;RIGHT($K88,2),BE88,0))</f>
        <v>0</v>
      </c>
      <c r="CB88" s="1490">
        <f>+IF($K88="Ongoing",BF88,IF(RIGHT($K88,2)=RIGHT(CB$39,2),SUM($AX88:BF88),0)+IF(RIGHT(CB$39,2)&gt;RIGHT($K88,2),BF88,0))</f>
        <v>0</v>
      </c>
      <c r="CC88" s="1491">
        <f>+IF($K88="Ongoing",BG88,IF(RIGHT($K88,2)=RIGHT(CC$39,2),SUM($AX88:BG88),0)+IF(RIGHT(CC$39,2)&gt;RIGHT($K88,2),BG88,0))</f>
        <v>0</v>
      </c>
      <c r="CD88" s="1133"/>
      <c r="CE88" s="1492">
        <f>+Q88*KeyAssumptionsPriceControl_FO!AC$15</f>
        <v>0</v>
      </c>
      <c r="CF88" s="1490">
        <f>+R88*KeyAssumptionsPriceControl_FO!AD$15</f>
        <v>0</v>
      </c>
      <c r="CG88" s="1490">
        <f>+S88*KeyAssumptionsPriceControl_FO!AE$15</f>
        <v>0.27318175</v>
      </c>
      <c r="CH88" s="1490">
        <f>+T88*KeyAssumptionsPriceControl_FO!AF$15</f>
        <v>0.28137720250000003</v>
      </c>
      <c r="CI88" s="1491">
        <f>+U88*KeyAssumptionsPriceControl_FO!AG$15</f>
        <v>0.57963703715000003</v>
      </c>
      <c r="CJ88" s="1492">
        <f>+V88*KeyAssumptionsPriceControl_FO!AH$15</f>
        <v>0.59702614826450007</v>
      </c>
      <c r="CK88" s="1490">
        <f>+W88*KeyAssumptionsPriceControl_FO!AI$15</f>
        <v>0</v>
      </c>
      <c r="CL88" s="1490">
        <f>+X88*KeyAssumptionsPriceControl_FO!AJ$15</f>
        <v>0</v>
      </c>
      <c r="CM88" s="1490">
        <f>+Y88*KeyAssumptionsPriceControl_FO!AK$15</f>
        <v>0</v>
      </c>
      <c r="CN88" s="1491">
        <f>+Z88*KeyAssumptionsPriceControl_FO!AL$15</f>
        <v>0</v>
      </c>
      <c r="CO88" s="1133"/>
      <c r="CP88" s="1492">
        <f t="shared" ca="1" si="94"/>
        <v>0</v>
      </c>
      <c r="CQ88" s="1490">
        <f t="shared" ca="1" si="95"/>
        <v>0</v>
      </c>
      <c r="CR88" s="1490">
        <f t="shared" ca="1" si="96"/>
        <v>2.2765145833333333E-3</v>
      </c>
      <c r="CS88" s="1490">
        <f t="shared" ca="1" si="97"/>
        <v>6.8978391875000001E-3</v>
      </c>
      <c r="CT88" s="1491">
        <f t="shared" ca="1" si="98"/>
        <v>1.4072957851250002E-2</v>
      </c>
      <c r="CU88" s="1492">
        <f t="shared" ca="1" si="99"/>
        <v>2.3878484396370837E-2</v>
      </c>
      <c r="CV88" s="1490">
        <f t="shared" ca="1" si="100"/>
        <v>2.8853702298575003E-2</v>
      </c>
      <c r="CW88" s="1490">
        <f t="shared" ca="1" si="101"/>
        <v>2.8853702298575003E-2</v>
      </c>
      <c r="CX88" s="1490">
        <f t="shared" ca="1" si="102"/>
        <v>2.8853702298575003E-2</v>
      </c>
      <c r="CY88" s="1491">
        <f t="shared" ca="1" si="103"/>
        <v>2.8853702298575003E-2</v>
      </c>
    </row>
    <row r="89" spans="2:103" x14ac:dyDescent="0.3">
      <c r="B89" s="397"/>
      <c r="C89" s="1294" t="s">
        <v>1139</v>
      </c>
      <c r="D89" s="1295"/>
      <c r="E89" s="2097" t="s">
        <v>21</v>
      </c>
      <c r="F89" s="2097" t="s">
        <v>12</v>
      </c>
      <c r="G89" s="1294" t="s">
        <v>14</v>
      </c>
      <c r="H89" s="2349" t="s">
        <v>516</v>
      </c>
      <c r="I89" s="2350"/>
      <c r="J89" s="1292" t="s">
        <v>279</v>
      </c>
      <c r="K89" s="1292" t="s">
        <v>296</v>
      </c>
      <c r="L89" s="1292">
        <v>60</v>
      </c>
      <c r="M89" s="1292">
        <v>60</v>
      </c>
      <c r="O89" s="376"/>
      <c r="P89" s="376"/>
      <c r="Q89" s="2337">
        <v>0.2</v>
      </c>
      <c r="R89" s="2338">
        <v>0.2</v>
      </c>
      <c r="S89" s="2338">
        <v>0</v>
      </c>
      <c r="T89" s="2338">
        <v>0.05</v>
      </c>
      <c r="U89" s="2339">
        <v>0.48</v>
      </c>
      <c r="V89" s="2337">
        <v>13.3</v>
      </c>
      <c r="W89" s="2338">
        <v>10</v>
      </c>
      <c r="X89" s="2338">
        <v>5</v>
      </c>
      <c r="Y89" s="2338">
        <v>0.3</v>
      </c>
      <c r="Z89" s="2339">
        <v>2.8</v>
      </c>
      <c r="AA89" s="1132"/>
      <c r="AB89" s="1129"/>
      <c r="AC89" s="1130"/>
      <c r="AD89" s="1510"/>
      <c r="AE89" s="1510"/>
      <c r="AF89" s="1131"/>
      <c r="AG89" s="1129"/>
      <c r="AH89" s="1130"/>
      <c r="AI89" s="1130"/>
      <c r="AJ89" s="1130"/>
      <c r="AK89" s="1131"/>
      <c r="AL89" s="1132"/>
      <c r="AM89" s="1129"/>
      <c r="AN89" s="1130"/>
      <c r="AO89" s="1130"/>
      <c r="AP89" s="1510"/>
      <c r="AQ89" s="1131"/>
      <c r="AR89" s="1129"/>
      <c r="AS89" s="1130"/>
      <c r="AT89" s="1130"/>
      <c r="AU89" s="1510"/>
      <c r="AV89" s="1131"/>
      <c r="AW89" s="1133"/>
      <c r="AX89" s="1492">
        <f t="shared" si="86"/>
        <v>0.2</v>
      </c>
      <c r="AY89" s="1490">
        <f t="shared" si="87"/>
        <v>0.2</v>
      </c>
      <c r="AZ89" s="1490">
        <f t="shared" si="88"/>
        <v>0</v>
      </c>
      <c r="BA89" s="1490">
        <f t="shared" si="89"/>
        <v>0.05</v>
      </c>
      <c r="BB89" s="1491">
        <f t="shared" si="90"/>
        <v>0.48</v>
      </c>
      <c r="BC89" s="1492">
        <f t="shared" si="91"/>
        <v>13.3</v>
      </c>
      <c r="BD89" s="1490">
        <f t="shared" si="92"/>
        <v>10</v>
      </c>
      <c r="BE89" s="1490">
        <f t="shared" si="93"/>
        <v>5</v>
      </c>
      <c r="BF89" s="1490">
        <f t="shared" si="64"/>
        <v>0.3</v>
      </c>
      <c r="BG89" s="1491">
        <f t="shared" si="65"/>
        <v>2.8</v>
      </c>
      <c r="BH89" s="1133"/>
      <c r="BI89" s="1492">
        <f t="shared" ca="1" si="66"/>
        <v>1.6666666666666668E-3</v>
      </c>
      <c r="BJ89" s="1490">
        <f t="shared" ca="1" si="67"/>
        <v>5.0000000000000001E-3</v>
      </c>
      <c r="BK89" s="1490">
        <f t="shared" ca="1" si="68"/>
        <v>6.6666666666666671E-3</v>
      </c>
      <c r="BL89" s="1490">
        <f t="shared" ca="1" si="69"/>
        <v>7.0833333333333338E-3</v>
      </c>
      <c r="BM89" s="1491">
        <f t="shared" ca="1" si="70"/>
        <v>1.15E-2</v>
      </c>
      <c r="BN89" s="1492">
        <f t="shared" ca="1" si="71"/>
        <v>0.12633333333333333</v>
      </c>
      <c r="BO89" s="1490">
        <f t="shared" ca="1" si="72"/>
        <v>0.32050000000000001</v>
      </c>
      <c r="BP89" s="1490">
        <f t="shared" ca="1" si="73"/>
        <v>0.44550000000000001</v>
      </c>
      <c r="BQ89" s="1490">
        <f t="shared" ca="1" si="74"/>
        <v>0.48966666666666669</v>
      </c>
      <c r="BR89" s="1491">
        <f t="shared" ca="1" si="75"/>
        <v>0.51550000000000007</v>
      </c>
      <c r="BS89" s="1133"/>
      <c r="BT89" s="1492">
        <f>+IF($K89="Ongoing",AX89,IF(RIGHT($K89,2)=RIGHT(BT$39,2),SUM($AX89:AX89),0)+IF(RIGHT(BT$39,2)&gt;RIGHT($K89,2),AX89,0))</f>
        <v>0.2</v>
      </c>
      <c r="BU89" s="1490">
        <f>+IF($K89="Ongoing",AY89,IF(RIGHT($K89,2)=RIGHT(BU$39,2),SUM($AX89:AY89),0)+IF(RIGHT(BU$39,2)&gt;RIGHT($K89,2),AY89,0))</f>
        <v>0.2</v>
      </c>
      <c r="BV89" s="1490">
        <f>+IF($K89="Ongoing",AZ89,IF(RIGHT($K89,2)=RIGHT(BV$39,2),SUM($AX89:AZ89),0)+IF(RIGHT(BV$39,2)&gt;RIGHT($K89,2),AZ89,0))</f>
        <v>0</v>
      </c>
      <c r="BW89" s="1490">
        <f>+IF($K89="Ongoing",BA89,IF(RIGHT($K89,2)=RIGHT(BW$39,2),SUM($AX89:BA89),0)+IF(RIGHT(BW$39,2)&gt;RIGHT($K89,2),BA89,0))</f>
        <v>0.05</v>
      </c>
      <c r="BX89" s="1491">
        <f>+IF($K89="Ongoing",BB89,IF(RIGHT($K89,2)=RIGHT(BX$39,2),SUM($AX89:BB89),0)+IF(RIGHT(BX$39,2)&gt;RIGHT($K89,2),BB89,0))</f>
        <v>0.48</v>
      </c>
      <c r="BY89" s="1492">
        <f>+IF($K89="Ongoing",BC89,IF(RIGHT($K89,2)=RIGHT(BY$39,2),SUM($AX89:BC89),0)+IF(RIGHT(BY$39,2)&gt;RIGHT($K89,2),BC89,0))</f>
        <v>13.3</v>
      </c>
      <c r="BZ89" s="1490">
        <f>+IF($K89="Ongoing",BD89,IF(RIGHT($K89,2)=RIGHT(BZ$39,2),SUM($AX89:BD89),0)+IF(RIGHT(BZ$39,2)&gt;RIGHT($K89,2),BD89,0))</f>
        <v>10</v>
      </c>
      <c r="CA89" s="1490">
        <f>+IF($K89="Ongoing",BE89,IF(RIGHT($K89,2)=RIGHT(CA$39,2),SUM($AX89:BE89),0)+IF(RIGHT(CA$39,2)&gt;RIGHT($K89,2),BE89,0))</f>
        <v>5</v>
      </c>
      <c r="CB89" s="1490">
        <f>+IF($K89="Ongoing",BF89,IF(RIGHT($K89,2)=RIGHT(CB$39,2),SUM($AX89:BF89),0)+IF(RIGHT(CB$39,2)&gt;RIGHT($K89,2),BF89,0))</f>
        <v>0.3</v>
      </c>
      <c r="CC89" s="1491">
        <f>+IF($K89="Ongoing",BG89,IF(RIGHT($K89,2)=RIGHT(CC$39,2),SUM($AX89:BG89),0)+IF(RIGHT(CC$39,2)&gt;RIGHT($K89,2),BG89,0))</f>
        <v>2.8</v>
      </c>
      <c r="CD89" s="1133"/>
      <c r="CE89" s="1492">
        <f>+Q89*KeyAssumptionsPriceControl_FO!AC$15</f>
        <v>0.20600000000000002</v>
      </c>
      <c r="CF89" s="1490">
        <f>+R89*KeyAssumptionsPriceControl_FO!AD$15</f>
        <v>0.21218000000000001</v>
      </c>
      <c r="CG89" s="1490">
        <f>+S89*KeyAssumptionsPriceControl_FO!AE$15</f>
        <v>0</v>
      </c>
      <c r="CH89" s="1490">
        <f>+T89*KeyAssumptionsPriceControl_FO!AF$15</f>
        <v>5.627544050000001E-2</v>
      </c>
      <c r="CI89" s="1491">
        <f>+U89*KeyAssumptionsPriceControl_FO!AG$15</f>
        <v>0.55645155566400006</v>
      </c>
      <c r="CJ89" s="1492">
        <f>+V89*KeyAssumptionsPriceControl_FO!AH$15</f>
        <v>15.880895543835702</v>
      </c>
      <c r="CK89" s="1490">
        <f>+W89*KeyAssumptionsPriceControl_FO!AI$15</f>
        <v>12.298738654248702</v>
      </c>
      <c r="CL89" s="1490">
        <f>+X89*KeyAssumptionsPriceControl_FO!AJ$15</f>
        <v>6.3338504069380814</v>
      </c>
      <c r="CM89" s="1490">
        <f>+Y89*KeyAssumptionsPriceControl_FO!AK$15</f>
        <v>0.39143195514877344</v>
      </c>
      <c r="CN89" s="1491">
        <f>+Z89*KeyAssumptionsPriceControl_FO!AL$15</f>
        <v>3.7629658621635418</v>
      </c>
      <c r="CO89" s="1133"/>
      <c r="CP89" s="1492">
        <f t="shared" ca="1" si="94"/>
        <v>1.7166666666666669E-3</v>
      </c>
      <c r="CQ89" s="1490">
        <f t="shared" ca="1" si="95"/>
        <v>5.2015000000000004E-3</v>
      </c>
      <c r="CR89" s="1490">
        <f t="shared" ca="1" si="96"/>
        <v>6.9696666666666665E-3</v>
      </c>
      <c r="CS89" s="1490">
        <f t="shared" ca="1" si="97"/>
        <v>7.4386286708333334E-3</v>
      </c>
      <c r="CT89" s="1491">
        <f t="shared" ca="1" si="98"/>
        <v>1.25446869722E-2</v>
      </c>
      <c r="CU89" s="1492">
        <f t="shared" ca="1" si="99"/>
        <v>0.14952257946803085</v>
      </c>
      <c r="CV89" s="1490">
        <f t="shared" ca="1" si="100"/>
        <v>0.38435286445206751</v>
      </c>
      <c r="CW89" s="1490">
        <f t="shared" ca="1" si="101"/>
        <v>0.53962443996195741</v>
      </c>
      <c r="CX89" s="1490">
        <f t="shared" ca="1" si="102"/>
        <v>0.59566845964601445</v>
      </c>
      <c r="CY89" s="1491">
        <f t="shared" ca="1" si="103"/>
        <v>0.63028844145695051</v>
      </c>
    </row>
    <row r="90" spans="2:103" x14ac:dyDescent="0.3">
      <c r="B90" s="397"/>
      <c r="C90" s="1294" t="s">
        <v>1140</v>
      </c>
      <c r="D90" s="1295"/>
      <c r="E90" s="2097" t="s">
        <v>21</v>
      </c>
      <c r="F90" s="2097" t="s">
        <v>512</v>
      </c>
      <c r="G90" s="1294" t="s">
        <v>14</v>
      </c>
      <c r="H90" s="2349" t="s">
        <v>516</v>
      </c>
      <c r="I90" s="2350"/>
      <c r="J90" s="1292" t="s">
        <v>279</v>
      </c>
      <c r="K90" s="1292" t="s">
        <v>923</v>
      </c>
      <c r="L90" s="1292">
        <v>60</v>
      </c>
      <c r="M90" s="1292">
        <v>60</v>
      </c>
      <c r="O90" s="376"/>
      <c r="P90" s="376"/>
      <c r="Q90" s="2337">
        <v>0</v>
      </c>
      <c r="R90" s="2338">
        <v>0.04</v>
      </c>
      <c r="S90" s="2338">
        <v>0.3</v>
      </c>
      <c r="T90" s="2338">
        <v>0.215</v>
      </c>
      <c r="U90" s="2339">
        <v>0.34499999999999997</v>
      </c>
      <c r="V90" s="2337">
        <v>0.18</v>
      </c>
      <c r="W90" s="2338">
        <v>0.12</v>
      </c>
      <c r="X90" s="2338">
        <v>0</v>
      </c>
      <c r="Y90" s="2338">
        <v>0.75</v>
      </c>
      <c r="Z90" s="2339">
        <v>0</v>
      </c>
      <c r="AA90" s="1132"/>
      <c r="AB90" s="1129"/>
      <c r="AC90" s="1130"/>
      <c r="AD90" s="1510"/>
      <c r="AE90" s="1130"/>
      <c r="AF90" s="1131"/>
      <c r="AG90" s="1129"/>
      <c r="AH90" s="1510"/>
      <c r="AI90" s="1130"/>
      <c r="AJ90" s="1130"/>
      <c r="AK90" s="1131"/>
      <c r="AL90" s="1132"/>
      <c r="AM90" s="1509"/>
      <c r="AN90" s="1130"/>
      <c r="AO90" s="1510"/>
      <c r="AP90" s="1510"/>
      <c r="AQ90" s="1131"/>
      <c r="AR90" s="1129"/>
      <c r="AS90" s="1130"/>
      <c r="AT90" s="1130"/>
      <c r="AU90" s="1130"/>
      <c r="AV90" s="1131"/>
      <c r="AW90" s="1133"/>
      <c r="AX90" s="1492">
        <f t="shared" si="86"/>
        <v>0</v>
      </c>
      <c r="AY90" s="1490">
        <f t="shared" si="87"/>
        <v>0.04</v>
      </c>
      <c r="AZ90" s="1490">
        <f t="shared" si="88"/>
        <v>0.3</v>
      </c>
      <c r="BA90" s="1490">
        <f t="shared" si="89"/>
        <v>0.215</v>
      </c>
      <c r="BB90" s="1491">
        <f t="shared" si="90"/>
        <v>0.34499999999999997</v>
      </c>
      <c r="BC90" s="1492">
        <f t="shared" si="91"/>
        <v>0.18</v>
      </c>
      <c r="BD90" s="1490">
        <f t="shared" si="92"/>
        <v>0.12</v>
      </c>
      <c r="BE90" s="1490">
        <f t="shared" si="93"/>
        <v>0</v>
      </c>
      <c r="BF90" s="1490">
        <f t="shared" si="64"/>
        <v>0.75</v>
      </c>
      <c r="BG90" s="1491">
        <f t="shared" si="65"/>
        <v>0</v>
      </c>
      <c r="BH90" s="1133"/>
      <c r="BI90" s="1492">
        <f t="shared" ca="1" si="66"/>
        <v>0</v>
      </c>
      <c r="BJ90" s="1490">
        <f t="shared" ca="1" si="67"/>
        <v>0</v>
      </c>
      <c r="BK90" s="1490">
        <f t="shared" ca="1" si="68"/>
        <v>0</v>
      </c>
      <c r="BL90" s="1490">
        <f t="shared" ca="1" si="69"/>
        <v>0</v>
      </c>
      <c r="BM90" s="1491">
        <f t="shared" ca="1" si="70"/>
        <v>0</v>
      </c>
      <c r="BN90" s="1492">
        <f t="shared" ca="1" si="71"/>
        <v>0</v>
      </c>
      <c r="BO90" s="1490">
        <f t="shared" ca="1" si="72"/>
        <v>0</v>
      </c>
      <c r="BP90" s="1490">
        <f t="shared" ca="1" si="73"/>
        <v>0</v>
      </c>
      <c r="BQ90" s="1490">
        <f t="shared" ca="1" si="74"/>
        <v>1.6249999999999997E-2</v>
      </c>
      <c r="BR90" s="1491">
        <f t="shared" ca="1" si="75"/>
        <v>3.2499999999999994E-2</v>
      </c>
      <c r="BS90" s="1133"/>
      <c r="BT90" s="1492">
        <f>+IF($K90="Ongoing",AX90,IF(RIGHT($K90,2)=RIGHT(BT$39,2),SUM($AX90:AX90),0)+IF(RIGHT(BT$39,2)&gt;RIGHT($K90,2),AX90,0))</f>
        <v>0</v>
      </c>
      <c r="BU90" s="1490">
        <f>+IF($K90="Ongoing",AY90,IF(RIGHT($K90,2)=RIGHT(BU$39,2),SUM($AX90:AY90),0)+IF(RIGHT(BU$39,2)&gt;RIGHT($K90,2),AY90,0))</f>
        <v>0</v>
      </c>
      <c r="BV90" s="1490">
        <f>+IF($K90="Ongoing",AZ90,IF(RIGHT($K90,2)=RIGHT(BV$39,2),SUM($AX90:AZ90),0)+IF(RIGHT(BV$39,2)&gt;RIGHT($K90,2),AZ90,0))</f>
        <v>0</v>
      </c>
      <c r="BW90" s="1490">
        <f>+IF($K90="Ongoing",BA90,IF(RIGHT($K90,2)=RIGHT(BW$39,2),SUM($AX90:BA90),0)+IF(RIGHT(BW$39,2)&gt;RIGHT($K90,2),BA90,0))</f>
        <v>0</v>
      </c>
      <c r="BX90" s="1491">
        <f>+IF($K90="Ongoing",BB90,IF(RIGHT($K90,2)=RIGHT(BX$39,2),SUM($AX90:BB90),0)+IF(RIGHT(BX$39,2)&gt;RIGHT($K90,2),BB90,0))</f>
        <v>0</v>
      </c>
      <c r="BY90" s="1492">
        <f>+IF($K90="Ongoing",BC90,IF(RIGHT($K90,2)=RIGHT(BY$39,2),SUM($AX90:BC90),0)+IF(RIGHT(BY$39,2)&gt;RIGHT($K90,2),BC90,0))</f>
        <v>0</v>
      </c>
      <c r="BZ90" s="1490">
        <f>+IF($K90="Ongoing",BD90,IF(RIGHT($K90,2)=RIGHT(BZ$39,2),SUM($AX90:BD90),0)+IF(RIGHT(BZ$39,2)&gt;RIGHT($K90,2),BD90,0))</f>
        <v>0</v>
      </c>
      <c r="CA90" s="1490">
        <f>+IF($K90="Ongoing",BE90,IF(RIGHT($K90,2)=RIGHT(CA$39,2),SUM($AX90:BE90),0)+IF(RIGHT(CA$39,2)&gt;RIGHT($K90,2),BE90,0))</f>
        <v>0</v>
      </c>
      <c r="CB90" s="1490">
        <f>+IF($K90="Ongoing",BF90,IF(RIGHT($K90,2)=RIGHT(CB$39,2),SUM($AX90:BF90),0)+IF(RIGHT(CB$39,2)&gt;RIGHT($K90,2),BF90,0))</f>
        <v>1.9499999999999997</v>
      </c>
      <c r="CC90" s="1491">
        <f>+IF($K90="Ongoing",BG90,IF(RIGHT($K90,2)=RIGHT(CC$39,2),SUM($AX90:BG90),0)+IF(RIGHT(CC$39,2)&gt;RIGHT($K90,2),BG90,0))</f>
        <v>0</v>
      </c>
      <c r="CD90" s="1133"/>
      <c r="CE90" s="1492">
        <f>+Q90*KeyAssumptionsPriceControl_FO!AC$15</f>
        <v>0</v>
      </c>
      <c r="CF90" s="1490">
        <f>+R90*KeyAssumptionsPriceControl_FO!AD$15</f>
        <v>4.2436000000000001E-2</v>
      </c>
      <c r="CG90" s="1490">
        <f>+S90*KeyAssumptionsPriceControl_FO!AE$15</f>
        <v>0.3278181</v>
      </c>
      <c r="CH90" s="1490">
        <f>+T90*KeyAssumptionsPriceControl_FO!AF$15</f>
        <v>0.24198439415000003</v>
      </c>
      <c r="CI90" s="1491">
        <f>+U90*KeyAssumptionsPriceControl_FO!AG$15</f>
        <v>0.39994955563349999</v>
      </c>
      <c r="CJ90" s="1492">
        <f>+V90*KeyAssumptionsPriceControl_FO!AH$15</f>
        <v>0.21492941337522001</v>
      </c>
      <c r="CK90" s="1490">
        <f>+W90*KeyAssumptionsPriceControl_FO!AI$15</f>
        <v>0.14758486385098443</v>
      </c>
      <c r="CL90" s="1490">
        <f>+X90*KeyAssumptionsPriceControl_FO!AJ$15</f>
        <v>0</v>
      </c>
      <c r="CM90" s="1490">
        <f>+Y90*KeyAssumptionsPriceControl_FO!AK$15</f>
        <v>0.97857988787193362</v>
      </c>
      <c r="CN90" s="1491">
        <f>+Z90*KeyAssumptionsPriceControl_FO!AL$15</f>
        <v>0</v>
      </c>
      <c r="CO90" s="1133"/>
      <c r="CP90" s="1492">
        <f t="shared" ca="1" si="94"/>
        <v>0</v>
      </c>
      <c r="CQ90" s="1490">
        <f t="shared" ca="1" si="95"/>
        <v>3.5363333333333333E-4</v>
      </c>
      <c r="CR90" s="1490">
        <f t="shared" ca="1" si="96"/>
        <v>3.4390841666666664E-3</v>
      </c>
      <c r="CS90" s="1490">
        <f t="shared" ca="1" si="97"/>
        <v>8.1874382845833343E-3</v>
      </c>
      <c r="CT90" s="1491">
        <f t="shared" ca="1" si="98"/>
        <v>1.3536887866112502E-2</v>
      </c>
      <c r="CU90" s="1492">
        <f t="shared" ca="1" si="99"/>
        <v>1.86608792745185E-2</v>
      </c>
      <c r="CV90" s="1490">
        <f t="shared" ca="1" si="100"/>
        <v>2.1681831584736872E-2</v>
      </c>
      <c r="CW90" s="1490">
        <f t="shared" ca="1" si="101"/>
        <v>2.2911705450161742E-2</v>
      </c>
      <c r="CX90" s="1490">
        <f t="shared" ca="1" si="102"/>
        <v>3.1066537849094522E-2</v>
      </c>
      <c r="CY90" s="1491">
        <f t="shared" ca="1" si="103"/>
        <v>3.9221370248027299E-2</v>
      </c>
    </row>
    <row r="91" spans="2:103" x14ac:dyDescent="0.3">
      <c r="B91" s="397"/>
      <c r="C91" s="1294" t="s">
        <v>1141</v>
      </c>
      <c r="D91" s="1295"/>
      <c r="E91" s="2097" t="s">
        <v>21</v>
      </c>
      <c r="F91" s="2097" t="s">
        <v>239</v>
      </c>
      <c r="G91" s="1294" t="s">
        <v>14</v>
      </c>
      <c r="H91" s="2349" t="s">
        <v>516</v>
      </c>
      <c r="I91" s="2350"/>
      <c r="J91" s="1292" t="s">
        <v>279</v>
      </c>
      <c r="K91" s="1292" t="s">
        <v>522</v>
      </c>
      <c r="L91" s="1292">
        <v>80</v>
      </c>
      <c r="M91" s="1292">
        <v>80</v>
      </c>
      <c r="O91" s="376"/>
      <c r="P91" s="376"/>
      <c r="Q91" s="2337">
        <v>0</v>
      </c>
      <c r="R91" s="2338">
        <v>0.1</v>
      </c>
      <c r="S91" s="2338">
        <v>0.7</v>
      </c>
      <c r="T91" s="2338">
        <v>0</v>
      </c>
      <c r="U91" s="2339">
        <v>0</v>
      </c>
      <c r="V91" s="2337">
        <v>0</v>
      </c>
      <c r="W91" s="2338">
        <v>0</v>
      </c>
      <c r="X91" s="2338">
        <v>0</v>
      </c>
      <c r="Y91" s="2338">
        <v>0</v>
      </c>
      <c r="Z91" s="2339">
        <v>0</v>
      </c>
      <c r="AA91" s="1132"/>
      <c r="AB91" s="1129"/>
      <c r="AC91" s="1130"/>
      <c r="AD91" s="1510"/>
      <c r="AE91" s="1130"/>
      <c r="AF91" s="1131"/>
      <c r="AG91" s="1129"/>
      <c r="AH91" s="1510"/>
      <c r="AI91" s="1130"/>
      <c r="AJ91" s="1130"/>
      <c r="AK91" s="1131"/>
      <c r="AL91" s="1132"/>
      <c r="AM91" s="1509"/>
      <c r="AN91" s="1130"/>
      <c r="AO91" s="1510"/>
      <c r="AP91" s="1510"/>
      <c r="AQ91" s="1131"/>
      <c r="AR91" s="1129"/>
      <c r="AS91" s="1130"/>
      <c r="AT91" s="1130"/>
      <c r="AU91" s="1130"/>
      <c r="AV91" s="1131"/>
      <c r="AW91" s="1133"/>
      <c r="AX91" s="1492">
        <f t="shared" si="86"/>
        <v>0</v>
      </c>
      <c r="AY91" s="1490">
        <f t="shared" si="87"/>
        <v>0.1</v>
      </c>
      <c r="AZ91" s="1490">
        <f t="shared" si="88"/>
        <v>0.7</v>
      </c>
      <c r="BA91" s="1490">
        <f t="shared" si="89"/>
        <v>0</v>
      </c>
      <c r="BB91" s="1491">
        <f t="shared" si="90"/>
        <v>0</v>
      </c>
      <c r="BC91" s="1492">
        <f t="shared" si="91"/>
        <v>0</v>
      </c>
      <c r="BD91" s="1490">
        <f t="shared" si="92"/>
        <v>0</v>
      </c>
      <c r="BE91" s="1490">
        <f t="shared" si="93"/>
        <v>0</v>
      </c>
      <c r="BF91" s="1490">
        <f t="shared" si="64"/>
        <v>0</v>
      </c>
      <c r="BG91" s="1491">
        <f t="shared" si="65"/>
        <v>0</v>
      </c>
      <c r="BH91" s="1133"/>
      <c r="BI91" s="1492">
        <f t="shared" ca="1" si="66"/>
        <v>0</v>
      </c>
      <c r="BJ91" s="1490">
        <f t="shared" ca="1" si="67"/>
        <v>0</v>
      </c>
      <c r="BK91" s="1490">
        <f t="shared" ca="1" si="68"/>
        <v>4.9999999999999992E-3</v>
      </c>
      <c r="BL91" s="1490">
        <f t="shared" ca="1" si="69"/>
        <v>9.9999999999999985E-3</v>
      </c>
      <c r="BM91" s="1491">
        <f t="shared" ca="1" si="70"/>
        <v>9.9999999999999985E-3</v>
      </c>
      <c r="BN91" s="1492">
        <f t="shared" ca="1" si="71"/>
        <v>9.9999999999999985E-3</v>
      </c>
      <c r="BO91" s="1490">
        <f t="shared" ca="1" si="72"/>
        <v>9.9999999999999985E-3</v>
      </c>
      <c r="BP91" s="1490">
        <f t="shared" ca="1" si="73"/>
        <v>9.9999999999999985E-3</v>
      </c>
      <c r="BQ91" s="1490">
        <f t="shared" ca="1" si="74"/>
        <v>9.9999999999999985E-3</v>
      </c>
      <c r="BR91" s="1491">
        <f t="shared" ca="1" si="75"/>
        <v>9.9999999999999985E-3</v>
      </c>
      <c r="BS91" s="1133"/>
      <c r="BT91" s="1492">
        <f>+IF($K91="Ongoing",AX91,IF(RIGHT($K91,2)=RIGHT(BT$39,2),SUM($AX91:AX91),0)+IF(RIGHT(BT$39,2)&gt;RIGHT($K91,2),AX91,0))</f>
        <v>0</v>
      </c>
      <c r="BU91" s="1490">
        <f>+IF($K91="Ongoing",AY91,IF(RIGHT($K91,2)=RIGHT(BU$39,2),SUM($AX91:AY91),0)+IF(RIGHT(BU$39,2)&gt;RIGHT($K91,2),AY91,0))</f>
        <v>0</v>
      </c>
      <c r="BV91" s="1490">
        <f>+IF($K91="Ongoing",AZ91,IF(RIGHT($K91,2)=RIGHT(BV$39,2),SUM($AX91:AZ91),0)+IF(RIGHT(BV$39,2)&gt;RIGHT($K91,2),AZ91,0))</f>
        <v>0.79999999999999993</v>
      </c>
      <c r="BW91" s="1490">
        <f>+IF($K91="Ongoing",BA91,IF(RIGHT($K91,2)=RIGHT(BW$39,2),SUM($AX91:BA91),0)+IF(RIGHT(BW$39,2)&gt;RIGHT($K91,2),BA91,0))</f>
        <v>0</v>
      </c>
      <c r="BX91" s="1491">
        <f>+IF($K91="Ongoing",BB91,IF(RIGHT($K91,2)=RIGHT(BX$39,2),SUM($AX91:BB91),0)+IF(RIGHT(BX$39,2)&gt;RIGHT($K91,2),BB91,0))</f>
        <v>0</v>
      </c>
      <c r="BY91" s="1492">
        <f>+IF($K91="Ongoing",BC91,IF(RIGHT($K91,2)=RIGHT(BY$39,2),SUM($AX91:BC91),0)+IF(RIGHT(BY$39,2)&gt;RIGHT($K91,2),BC91,0))</f>
        <v>0</v>
      </c>
      <c r="BZ91" s="1490">
        <f>+IF($K91="Ongoing",BD91,IF(RIGHT($K91,2)=RIGHT(BZ$39,2),SUM($AX91:BD91),0)+IF(RIGHT(BZ$39,2)&gt;RIGHT($K91,2),BD91,0))</f>
        <v>0</v>
      </c>
      <c r="CA91" s="1490">
        <f>+IF($K91="Ongoing",BE91,IF(RIGHT($K91,2)=RIGHT(CA$39,2),SUM($AX91:BE91),0)+IF(RIGHT(CA$39,2)&gt;RIGHT($K91,2),BE91,0))</f>
        <v>0</v>
      </c>
      <c r="CB91" s="1490">
        <f>+IF($K91="Ongoing",BF91,IF(RIGHT($K91,2)=RIGHT(CB$39,2),SUM($AX91:BF91),0)+IF(RIGHT(CB$39,2)&gt;RIGHT($K91,2),BF91,0))</f>
        <v>0</v>
      </c>
      <c r="CC91" s="1491">
        <f>+IF($K91="Ongoing",BG91,IF(RIGHT($K91,2)=RIGHT(CC$39,2),SUM($AX91:BG91),0)+IF(RIGHT(CC$39,2)&gt;RIGHT($K91,2),BG91,0))</f>
        <v>0</v>
      </c>
      <c r="CD91" s="1133"/>
      <c r="CE91" s="1492">
        <f>+Q91*KeyAssumptionsPriceControl_FO!AC$15</f>
        <v>0</v>
      </c>
      <c r="CF91" s="1490">
        <f>+R91*KeyAssumptionsPriceControl_FO!AD$15</f>
        <v>0.10609</v>
      </c>
      <c r="CG91" s="1490">
        <f>+S91*KeyAssumptionsPriceControl_FO!AE$15</f>
        <v>0.7649089</v>
      </c>
      <c r="CH91" s="1490">
        <f>+T91*KeyAssumptionsPriceControl_FO!AF$15</f>
        <v>0</v>
      </c>
      <c r="CI91" s="1491">
        <f>+U91*KeyAssumptionsPriceControl_FO!AG$15</f>
        <v>0</v>
      </c>
      <c r="CJ91" s="1492">
        <f>+V91*KeyAssumptionsPriceControl_FO!AH$15</f>
        <v>0</v>
      </c>
      <c r="CK91" s="1490">
        <f>+W91*KeyAssumptionsPriceControl_FO!AI$15</f>
        <v>0</v>
      </c>
      <c r="CL91" s="1490">
        <f>+X91*KeyAssumptionsPriceControl_FO!AJ$15</f>
        <v>0</v>
      </c>
      <c r="CM91" s="1490">
        <f>+Y91*KeyAssumptionsPriceControl_FO!AK$15</f>
        <v>0</v>
      </c>
      <c r="CN91" s="1491">
        <f>+Z91*KeyAssumptionsPriceControl_FO!AL$15</f>
        <v>0</v>
      </c>
      <c r="CO91" s="1133"/>
      <c r="CP91" s="1492">
        <f t="shared" ca="1" si="94"/>
        <v>0</v>
      </c>
      <c r="CQ91" s="1490">
        <f t="shared" ca="1" si="95"/>
        <v>6.6306250000000002E-4</v>
      </c>
      <c r="CR91" s="1490">
        <f t="shared" ca="1" si="96"/>
        <v>6.1068056250000004E-3</v>
      </c>
      <c r="CS91" s="1490">
        <f t="shared" ca="1" si="97"/>
        <v>1.088748625E-2</v>
      </c>
      <c r="CT91" s="1491">
        <f t="shared" ca="1" si="98"/>
        <v>1.088748625E-2</v>
      </c>
      <c r="CU91" s="1492">
        <f t="shared" ca="1" si="99"/>
        <v>1.088748625E-2</v>
      </c>
      <c r="CV91" s="1490">
        <f t="shared" ca="1" si="100"/>
        <v>1.088748625E-2</v>
      </c>
      <c r="CW91" s="1490">
        <f t="shared" ca="1" si="101"/>
        <v>1.088748625E-2</v>
      </c>
      <c r="CX91" s="1490">
        <f t="shared" ca="1" si="102"/>
        <v>1.088748625E-2</v>
      </c>
      <c r="CY91" s="1491">
        <f t="shared" ca="1" si="103"/>
        <v>1.088748625E-2</v>
      </c>
    </row>
    <row r="92" spans="2:103" x14ac:dyDescent="0.3">
      <c r="B92" s="397"/>
      <c r="C92" s="1294" t="s">
        <v>1142</v>
      </c>
      <c r="D92" s="1295"/>
      <c r="E92" s="2097" t="s">
        <v>22</v>
      </c>
      <c r="F92" s="2097" t="s">
        <v>512</v>
      </c>
      <c r="G92" s="1294" t="s">
        <v>14</v>
      </c>
      <c r="H92" s="2349" t="s">
        <v>516</v>
      </c>
      <c r="I92" s="2350"/>
      <c r="J92" s="1292" t="s">
        <v>279</v>
      </c>
      <c r="K92" s="1292" t="s">
        <v>921</v>
      </c>
      <c r="L92" s="1292">
        <v>60</v>
      </c>
      <c r="M92" s="1292">
        <v>60</v>
      </c>
      <c r="O92" s="376"/>
      <c r="P92" s="376"/>
      <c r="Q92" s="2337">
        <v>0.01</v>
      </c>
      <c r="R92" s="2338">
        <v>7.4999999999999997E-2</v>
      </c>
      <c r="S92" s="2338">
        <v>0.125</v>
      </c>
      <c r="T92" s="2338">
        <v>0.22</v>
      </c>
      <c r="U92" s="2339">
        <v>0.32</v>
      </c>
      <c r="V92" s="2337">
        <v>0.1</v>
      </c>
      <c r="W92" s="2338">
        <v>0.1</v>
      </c>
      <c r="X92" s="2338">
        <v>0</v>
      </c>
      <c r="Y92" s="2338">
        <v>0</v>
      </c>
      <c r="Z92" s="2339">
        <v>0</v>
      </c>
      <c r="AA92" s="1132"/>
      <c r="AB92" s="1129"/>
      <c r="AC92" s="1130"/>
      <c r="AD92" s="1510"/>
      <c r="AE92" s="1510"/>
      <c r="AF92" s="1131"/>
      <c r="AG92" s="1129"/>
      <c r="AH92" s="1130"/>
      <c r="AI92" s="1130"/>
      <c r="AJ92" s="1130"/>
      <c r="AK92" s="1131"/>
      <c r="AL92" s="1132"/>
      <c r="AM92" s="1129"/>
      <c r="AN92" s="1130"/>
      <c r="AO92" s="1130"/>
      <c r="AP92" s="1510"/>
      <c r="AQ92" s="1131"/>
      <c r="AR92" s="1129"/>
      <c r="AS92" s="1130"/>
      <c r="AT92" s="1130"/>
      <c r="AU92" s="1510"/>
      <c r="AV92" s="1131"/>
      <c r="AW92" s="1133"/>
      <c r="AX92" s="1492">
        <f t="shared" si="86"/>
        <v>0.01</v>
      </c>
      <c r="AY92" s="1490">
        <f t="shared" si="87"/>
        <v>7.4999999999999997E-2</v>
      </c>
      <c r="AZ92" s="1490">
        <f t="shared" si="88"/>
        <v>0.125</v>
      </c>
      <c r="BA92" s="1490">
        <f t="shared" si="89"/>
        <v>0.22</v>
      </c>
      <c r="BB92" s="1491">
        <f t="shared" si="90"/>
        <v>0.32</v>
      </c>
      <c r="BC92" s="1492">
        <f t="shared" si="91"/>
        <v>0.1</v>
      </c>
      <c r="BD92" s="1490">
        <f t="shared" si="92"/>
        <v>0.1</v>
      </c>
      <c r="BE92" s="1490">
        <f t="shared" si="93"/>
        <v>0</v>
      </c>
      <c r="BF92" s="1490">
        <f t="shared" si="64"/>
        <v>0</v>
      </c>
      <c r="BG92" s="1491">
        <f t="shared" si="65"/>
        <v>0</v>
      </c>
      <c r="BH92" s="1133"/>
      <c r="BI92" s="1492">
        <f t="shared" ca="1" si="66"/>
        <v>0</v>
      </c>
      <c r="BJ92" s="1490">
        <f t="shared" ca="1" si="67"/>
        <v>0</v>
      </c>
      <c r="BK92" s="1490">
        <f t="shared" ca="1" si="68"/>
        <v>0</v>
      </c>
      <c r="BL92" s="1490">
        <f t="shared" ca="1" si="69"/>
        <v>0</v>
      </c>
      <c r="BM92" s="1491">
        <f t="shared" ca="1" si="70"/>
        <v>0</v>
      </c>
      <c r="BN92" s="1492">
        <f t="shared" ca="1" si="71"/>
        <v>0</v>
      </c>
      <c r="BO92" s="1490">
        <f t="shared" ca="1" si="72"/>
        <v>7.9166666666666656E-3</v>
      </c>
      <c r="BP92" s="1490">
        <f t="shared" ca="1" si="73"/>
        <v>1.5833333333333331E-2</v>
      </c>
      <c r="BQ92" s="1490">
        <f t="shared" ca="1" si="74"/>
        <v>1.5833333333333331E-2</v>
      </c>
      <c r="BR92" s="1491">
        <f t="shared" ca="1" si="75"/>
        <v>1.5833333333333331E-2</v>
      </c>
      <c r="BS92" s="1133"/>
      <c r="BT92" s="1492">
        <f>+IF($K92="Ongoing",AX92,IF(RIGHT($K92,2)=RIGHT(BT$39,2),SUM($AX92:AX92),0)+IF(RIGHT(BT$39,2)&gt;RIGHT($K92,2),AX92,0))</f>
        <v>0</v>
      </c>
      <c r="BU92" s="1490">
        <f>+IF($K92="Ongoing",AY92,IF(RIGHT($K92,2)=RIGHT(BU$39,2),SUM($AX92:AY92),0)+IF(RIGHT(BU$39,2)&gt;RIGHT($K92,2),AY92,0))</f>
        <v>0</v>
      </c>
      <c r="BV92" s="1490">
        <f>+IF($K92="Ongoing",AZ92,IF(RIGHT($K92,2)=RIGHT(BV$39,2),SUM($AX92:AZ92),0)+IF(RIGHT(BV$39,2)&gt;RIGHT($K92,2),AZ92,0))</f>
        <v>0</v>
      </c>
      <c r="BW92" s="1490">
        <f>+IF($K92="Ongoing",BA92,IF(RIGHT($K92,2)=RIGHT(BW$39,2),SUM($AX92:BA92),0)+IF(RIGHT(BW$39,2)&gt;RIGHT($K92,2),BA92,0))</f>
        <v>0</v>
      </c>
      <c r="BX92" s="1491">
        <f>+IF($K92="Ongoing",BB92,IF(RIGHT($K92,2)=RIGHT(BX$39,2),SUM($AX92:BB92),0)+IF(RIGHT(BX$39,2)&gt;RIGHT($K92,2),BB92,0))</f>
        <v>0</v>
      </c>
      <c r="BY92" s="1492">
        <f>+IF($K92="Ongoing",BC92,IF(RIGHT($K92,2)=RIGHT(BY$39,2),SUM($AX92:BC92),0)+IF(RIGHT(BY$39,2)&gt;RIGHT($K92,2),BC92,0))</f>
        <v>0</v>
      </c>
      <c r="BZ92" s="1490">
        <f>+IF($K92="Ongoing",BD92,IF(RIGHT($K92,2)=RIGHT(BZ$39,2),SUM($AX92:BD92),0)+IF(RIGHT(BZ$39,2)&gt;RIGHT($K92,2),BD92,0))</f>
        <v>0.95</v>
      </c>
      <c r="CA92" s="1490">
        <f>+IF($K92="Ongoing",BE92,IF(RIGHT($K92,2)=RIGHT(CA$39,2),SUM($AX92:BE92),0)+IF(RIGHT(CA$39,2)&gt;RIGHT($K92,2),BE92,0))</f>
        <v>0</v>
      </c>
      <c r="CB92" s="1490">
        <f>+IF($K92="Ongoing",BF92,IF(RIGHT($K92,2)=RIGHT(CB$39,2),SUM($AX92:BF92),0)+IF(RIGHT(CB$39,2)&gt;RIGHT($K92,2),BF92,0))</f>
        <v>0</v>
      </c>
      <c r="CC92" s="1491">
        <f>+IF($K92="Ongoing",BG92,IF(RIGHT($K92,2)=RIGHT(CC$39,2),SUM($AX92:BG92),0)+IF(RIGHT(CC$39,2)&gt;RIGHT($K92,2),BG92,0))</f>
        <v>0</v>
      </c>
      <c r="CD92" s="1133"/>
      <c r="CE92" s="1492">
        <f>+Q92*KeyAssumptionsPriceControl_FO!AC$15</f>
        <v>1.03E-2</v>
      </c>
      <c r="CF92" s="1490">
        <f>+R92*KeyAssumptionsPriceControl_FO!AD$15</f>
        <v>7.9567499999999999E-2</v>
      </c>
      <c r="CG92" s="1490">
        <f>+S92*KeyAssumptionsPriceControl_FO!AE$15</f>
        <v>0.136590875</v>
      </c>
      <c r="CH92" s="1490">
        <f>+T92*KeyAssumptionsPriceControl_FO!AF$15</f>
        <v>0.24761193820000002</v>
      </c>
      <c r="CI92" s="1491">
        <f>+U92*KeyAssumptionsPriceControl_FO!AG$15</f>
        <v>0.37096770377600002</v>
      </c>
      <c r="CJ92" s="1492">
        <f>+V92*KeyAssumptionsPriceControl_FO!AH$15</f>
        <v>0.11940522965290001</v>
      </c>
      <c r="CK92" s="1490">
        <f>+W92*KeyAssumptionsPriceControl_FO!AI$15</f>
        <v>0.12298738654248703</v>
      </c>
      <c r="CL92" s="1490">
        <f>+X92*KeyAssumptionsPriceControl_FO!AJ$15</f>
        <v>0</v>
      </c>
      <c r="CM92" s="1490">
        <f>+Y92*KeyAssumptionsPriceControl_FO!AK$15</f>
        <v>0</v>
      </c>
      <c r="CN92" s="1491">
        <f>+Z92*KeyAssumptionsPriceControl_FO!AL$15</f>
        <v>0</v>
      </c>
      <c r="CO92" s="1133"/>
      <c r="CP92" s="1492">
        <f t="shared" ca="1" si="94"/>
        <v>8.5833333333333337E-5</v>
      </c>
      <c r="CQ92" s="1490">
        <f t="shared" ca="1" si="95"/>
        <v>8.3472916666666667E-4</v>
      </c>
      <c r="CR92" s="1490">
        <f t="shared" ca="1" si="96"/>
        <v>2.6360489583333335E-3</v>
      </c>
      <c r="CS92" s="1490">
        <f t="shared" ca="1" si="97"/>
        <v>5.8377390683333336E-3</v>
      </c>
      <c r="CT92" s="1491">
        <f t="shared" ca="1" si="98"/>
        <v>1.0992569418133334E-2</v>
      </c>
      <c r="CU92" s="1492">
        <f t="shared" ca="1" si="99"/>
        <v>1.5079010530040836E-2</v>
      </c>
      <c r="CV92" s="1490">
        <f t="shared" ca="1" si="100"/>
        <v>1.7098948998335729E-2</v>
      </c>
      <c r="CW92" s="1490">
        <f t="shared" ca="1" si="101"/>
        <v>1.8123843886189785E-2</v>
      </c>
      <c r="CX92" s="1490">
        <f t="shared" ca="1" si="102"/>
        <v>1.8123843886189785E-2</v>
      </c>
      <c r="CY92" s="1491">
        <f t="shared" ca="1" si="103"/>
        <v>1.8123843886189785E-2</v>
      </c>
    </row>
    <row r="93" spans="2:103" x14ac:dyDescent="0.3">
      <c r="B93" s="397"/>
      <c r="C93" s="1294" t="s">
        <v>1143</v>
      </c>
      <c r="D93" s="1295"/>
      <c r="E93" s="2097" t="s">
        <v>21</v>
      </c>
      <c r="F93" s="2097" t="s">
        <v>12</v>
      </c>
      <c r="G93" s="1294" t="s">
        <v>14</v>
      </c>
      <c r="H93" s="2349" t="s">
        <v>516</v>
      </c>
      <c r="I93" s="2350"/>
      <c r="J93" s="1292" t="s">
        <v>279</v>
      </c>
      <c r="K93" s="1292" t="s">
        <v>296</v>
      </c>
      <c r="L93" s="1292">
        <v>60</v>
      </c>
      <c r="M93" s="1292">
        <v>60</v>
      </c>
      <c r="O93" s="376"/>
      <c r="P93" s="376"/>
      <c r="Q93" s="2337">
        <v>0</v>
      </c>
      <c r="R93" s="2338">
        <v>0</v>
      </c>
      <c r="S93" s="2338">
        <v>0</v>
      </c>
      <c r="T93" s="2338">
        <v>0.1</v>
      </c>
      <c r="U93" s="2339">
        <v>0.51</v>
      </c>
      <c r="V93" s="2337">
        <v>5.0199999999999996</v>
      </c>
      <c r="W93" s="2338">
        <v>6.56</v>
      </c>
      <c r="X93" s="2338">
        <v>0.45</v>
      </c>
      <c r="Y93" s="2338">
        <v>0.42</v>
      </c>
      <c r="Z93" s="2339">
        <v>2.25</v>
      </c>
      <c r="AA93" s="1132"/>
      <c r="AB93" s="1129"/>
      <c r="AC93" s="1130"/>
      <c r="AD93" s="1510"/>
      <c r="AE93" s="1510"/>
      <c r="AF93" s="1131"/>
      <c r="AG93" s="1129"/>
      <c r="AH93" s="1130"/>
      <c r="AI93" s="1130"/>
      <c r="AJ93" s="1130"/>
      <c r="AK93" s="1131"/>
      <c r="AL93" s="1132"/>
      <c r="AM93" s="1129"/>
      <c r="AN93" s="1130"/>
      <c r="AO93" s="1130"/>
      <c r="AP93" s="1510"/>
      <c r="AQ93" s="1131"/>
      <c r="AR93" s="1129"/>
      <c r="AS93" s="1130"/>
      <c r="AT93" s="1130"/>
      <c r="AU93" s="1510"/>
      <c r="AV93" s="1131"/>
      <c r="AW93" s="1133"/>
      <c r="AX93" s="1492">
        <f t="shared" si="86"/>
        <v>0</v>
      </c>
      <c r="AY93" s="1490">
        <f t="shared" si="87"/>
        <v>0</v>
      </c>
      <c r="AZ93" s="1490">
        <f t="shared" si="88"/>
        <v>0</v>
      </c>
      <c r="BA93" s="1490">
        <f t="shared" si="89"/>
        <v>0.1</v>
      </c>
      <c r="BB93" s="1491">
        <f t="shared" si="90"/>
        <v>0.51</v>
      </c>
      <c r="BC93" s="1492">
        <f t="shared" si="91"/>
        <v>5.0199999999999996</v>
      </c>
      <c r="BD93" s="1490">
        <f t="shared" si="92"/>
        <v>6.56</v>
      </c>
      <c r="BE93" s="1490">
        <f t="shared" si="93"/>
        <v>0.45</v>
      </c>
      <c r="BF93" s="1490">
        <f t="shared" si="64"/>
        <v>0.42</v>
      </c>
      <c r="BG93" s="1491">
        <f t="shared" si="65"/>
        <v>2.25</v>
      </c>
      <c r="BH93" s="1133"/>
      <c r="BI93" s="1492">
        <f t="shared" ca="1" si="66"/>
        <v>0</v>
      </c>
      <c r="BJ93" s="1490">
        <f t="shared" ca="1" si="67"/>
        <v>0</v>
      </c>
      <c r="BK93" s="1490">
        <f t="shared" ca="1" si="68"/>
        <v>0</v>
      </c>
      <c r="BL93" s="1490">
        <f t="shared" ca="1" si="69"/>
        <v>8.3333333333333339E-4</v>
      </c>
      <c r="BM93" s="1491">
        <f t="shared" ca="1" si="70"/>
        <v>5.9166666666666673E-3</v>
      </c>
      <c r="BN93" s="1492">
        <f t="shared" ca="1" si="71"/>
        <v>5.1999999999999991E-2</v>
      </c>
      <c r="BO93" s="1490">
        <f t="shared" ca="1" si="72"/>
        <v>0.14849999999999999</v>
      </c>
      <c r="BP93" s="1490">
        <f t="shared" ca="1" si="73"/>
        <v>0.20691666666666667</v>
      </c>
      <c r="BQ93" s="1490">
        <f t="shared" ca="1" si="74"/>
        <v>0.21416666666666664</v>
      </c>
      <c r="BR93" s="1491">
        <f t="shared" ca="1" si="75"/>
        <v>0.23641666666666664</v>
      </c>
      <c r="BS93" s="1133"/>
      <c r="BT93" s="1492">
        <f>+IF($K93="Ongoing",AX93,IF(RIGHT($K93,2)=RIGHT(BT$39,2),SUM($AX93:AX93),0)+IF(RIGHT(BT$39,2)&gt;RIGHT($K93,2),AX93,0))</f>
        <v>0</v>
      </c>
      <c r="BU93" s="1490">
        <f>+IF($K93="Ongoing",AY93,IF(RIGHT($K93,2)=RIGHT(BU$39,2),SUM($AX93:AY93),0)+IF(RIGHT(BU$39,2)&gt;RIGHT($K93,2),AY93,0))</f>
        <v>0</v>
      </c>
      <c r="BV93" s="1490">
        <f>+IF($K93="Ongoing",AZ93,IF(RIGHT($K93,2)=RIGHT(BV$39,2),SUM($AX93:AZ93),0)+IF(RIGHT(BV$39,2)&gt;RIGHT($K93,2),AZ93,0))</f>
        <v>0</v>
      </c>
      <c r="BW93" s="1490">
        <f>+IF($K93="Ongoing",BA93,IF(RIGHT($K93,2)=RIGHT(BW$39,2),SUM($AX93:BA93),0)+IF(RIGHT(BW$39,2)&gt;RIGHT($K93,2),BA93,0))</f>
        <v>0.1</v>
      </c>
      <c r="BX93" s="1491">
        <f>+IF($K93="Ongoing",BB93,IF(RIGHT($K93,2)=RIGHT(BX$39,2),SUM($AX93:BB93),0)+IF(RIGHT(BX$39,2)&gt;RIGHT($K93,2),BB93,0))</f>
        <v>0.51</v>
      </c>
      <c r="BY93" s="1492">
        <f>+IF($K93="Ongoing",BC93,IF(RIGHT($K93,2)=RIGHT(BY$39,2),SUM($AX93:BC93),0)+IF(RIGHT(BY$39,2)&gt;RIGHT($K93,2),BC93,0))</f>
        <v>5.0199999999999996</v>
      </c>
      <c r="BZ93" s="1490">
        <f>+IF($K93="Ongoing",BD93,IF(RIGHT($K93,2)=RIGHT(BZ$39,2),SUM($AX93:BD93),0)+IF(RIGHT(BZ$39,2)&gt;RIGHT($K93,2),BD93,0))</f>
        <v>6.56</v>
      </c>
      <c r="CA93" s="1490">
        <f>+IF($K93="Ongoing",BE93,IF(RIGHT($K93,2)=RIGHT(CA$39,2),SUM($AX93:BE93),0)+IF(RIGHT(CA$39,2)&gt;RIGHT($K93,2),BE93,0))</f>
        <v>0.45</v>
      </c>
      <c r="CB93" s="1490">
        <f>+IF($K93="Ongoing",BF93,IF(RIGHT($K93,2)=RIGHT(CB$39,2),SUM($AX93:BF93),0)+IF(RIGHT(CB$39,2)&gt;RIGHT($K93,2),BF93,0))</f>
        <v>0.42</v>
      </c>
      <c r="CC93" s="1491">
        <f>+IF($K93="Ongoing",BG93,IF(RIGHT($K93,2)=RIGHT(CC$39,2),SUM($AX93:BG93),0)+IF(RIGHT(CC$39,2)&gt;RIGHT($K93,2),BG93,0))</f>
        <v>2.25</v>
      </c>
      <c r="CD93" s="1133"/>
      <c r="CE93" s="1492">
        <f>+Q93*KeyAssumptionsPriceControl_FO!AC$15</f>
        <v>0</v>
      </c>
      <c r="CF93" s="1490">
        <f>+R93*KeyAssumptionsPriceControl_FO!AD$15</f>
        <v>0</v>
      </c>
      <c r="CG93" s="1490">
        <f>+S93*KeyAssumptionsPriceControl_FO!AE$15</f>
        <v>0</v>
      </c>
      <c r="CH93" s="1490">
        <f>+T93*KeyAssumptionsPriceControl_FO!AF$15</f>
        <v>0.11255088100000002</v>
      </c>
      <c r="CI93" s="1491">
        <f>+U93*KeyAssumptionsPriceControl_FO!AG$15</f>
        <v>0.59122977789300002</v>
      </c>
      <c r="CJ93" s="1492">
        <f>+V93*KeyAssumptionsPriceControl_FO!AH$15</f>
        <v>5.9941425285755798</v>
      </c>
      <c r="CK93" s="1490">
        <f>+W93*KeyAssumptionsPriceControl_FO!AI$15</f>
        <v>8.0679725571871472</v>
      </c>
      <c r="CL93" s="1490">
        <f>+X93*KeyAssumptionsPriceControl_FO!AJ$15</f>
        <v>0.57004653662442739</v>
      </c>
      <c r="CM93" s="1490">
        <f>+Y93*KeyAssumptionsPriceControl_FO!AK$15</f>
        <v>0.5480047372082828</v>
      </c>
      <c r="CN93" s="1491">
        <f>+Z93*KeyAssumptionsPriceControl_FO!AL$15</f>
        <v>3.0238118535242751</v>
      </c>
      <c r="CO93" s="1133"/>
      <c r="CP93" s="1492">
        <f t="shared" ca="1" si="94"/>
        <v>0</v>
      </c>
      <c r="CQ93" s="1490">
        <f t="shared" ca="1" si="95"/>
        <v>0</v>
      </c>
      <c r="CR93" s="1490">
        <f t="shared" ca="1" si="96"/>
        <v>0</v>
      </c>
      <c r="CS93" s="1490">
        <f t="shared" ca="1" si="97"/>
        <v>9.3792400833333351E-4</v>
      </c>
      <c r="CT93" s="1491">
        <f t="shared" ca="1" si="98"/>
        <v>6.8027628324416663E-3</v>
      </c>
      <c r="CU93" s="1492">
        <f t="shared" ca="1" si="99"/>
        <v>6.1680865386346498E-2</v>
      </c>
      <c r="CV93" s="1490">
        <f t="shared" ca="1" si="100"/>
        <v>0.17886515776770257</v>
      </c>
      <c r="CW93" s="1490">
        <f t="shared" ca="1" si="101"/>
        <v>0.25084865021613234</v>
      </c>
      <c r="CX93" s="1490">
        <f t="shared" ca="1" si="102"/>
        <v>0.26016574416473826</v>
      </c>
      <c r="CY93" s="1491">
        <f t="shared" ca="1" si="103"/>
        <v>0.28993088242084292</v>
      </c>
    </row>
    <row r="94" spans="2:103" x14ac:dyDescent="0.3">
      <c r="B94" s="397"/>
      <c r="C94" s="1294" t="s">
        <v>1144</v>
      </c>
      <c r="D94" s="1295"/>
      <c r="E94" s="2097" t="s">
        <v>21</v>
      </c>
      <c r="F94" s="2097" t="s">
        <v>239</v>
      </c>
      <c r="G94" s="1294" t="s">
        <v>14</v>
      </c>
      <c r="H94" s="2349" t="s">
        <v>516</v>
      </c>
      <c r="I94" s="2350"/>
      <c r="J94" s="1292" t="s">
        <v>279</v>
      </c>
      <c r="K94" s="1292" t="s">
        <v>296</v>
      </c>
      <c r="L94" s="1292">
        <v>80</v>
      </c>
      <c r="M94" s="1292">
        <v>80</v>
      </c>
      <c r="O94" s="376"/>
      <c r="P94" s="376"/>
      <c r="Q94" s="2337">
        <v>0</v>
      </c>
      <c r="R94" s="2338">
        <v>0</v>
      </c>
      <c r="S94" s="2338">
        <v>0.05</v>
      </c>
      <c r="T94" s="2338">
        <v>0.45</v>
      </c>
      <c r="U94" s="2339">
        <v>0</v>
      </c>
      <c r="V94" s="2337">
        <v>0</v>
      </c>
      <c r="W94" s="2338">
        <v>0.05</v>
      </c>
      <c r="X94" s="2338">
        <v>0.45</v>
      </c>
      <c r="Y94" s="2338">
        <v>0.1</v>
      </c>
      <c r="Z94" s="2339">
        <v>0.6</v>
      </c>
      <c r="AA94" s="1132"/>
      <c r="AB94" s="1129"/>
      <c r="AC94" s="1130"/>
      <c r="AD94" s="1510"/>
      <c r="AE94" s="1130"/>
      <c r="AF94" s="1131"/>
      <c r="AG94" s="1129"/>
      <c r="AH94" s="1510"/>
      <c r="AI94" s="1130"/>
      <c r="AJ94" s="1130"/>
      <c r="AK94" s="1131"/>
      <c r="AL94" s="1132"/>
      <c r="AM94" s="1509"/>
      <c r="AN94" s="1130"/>
      <c r="AO94" s="1510"/>
      <c r="AP94" s="1510"/>
      <c r="AQ94" s="1131"/>
      <c r="AR94" s="1129"/>
      <c r="AS94" s="1130"/>
      <c r="AT94" s="1130"/>
      <c r="AU94" s="1130"/>
      <c r="AV94" s="1131"/>
      <c r="AW94" s="1133"/>
      <c r="AX94" s="1492">
        <f t="shared" si="86"/>
        <v>0</v>
      </c>
      <c r="AY94" s="1490">
        <f t="shared" si="87"/>
        <v>0</v>
      </c>
      <c r="AZ94" s="1490">
        <f t="shared" si="88"/>
        <v>0.05</v>
      </c>
      <c r="BA94" s="1490">
        <f t="shared" si="89"/>
        <v>0.45</v>
      </c>
      <c r="BB94" s="1491">
        <f t="shared" si="90"/>
        <v>0</v>
      </c>
      <c r="BC94" s="1492">
        <f t="shared" si="91"/>
        <v>0</v>
      </c>
      <c r="BD94" s="1490">
        <f t="shared" si="92"/>
        <v>0.05</v>
      </c>
      <c r="BE94" s="1490">
        <f t="shared" si="93"/>
        <v>0.45</v>
      </c>
      <c r="BF94" s="1490">
        <f t="shared" si="64"/>
        <v>0.1</v>
      </c>
      <c r="BG94" s="1491">
        <f t="shared" si="65"/>
        <v>0.6</v>
      </c>
      <c r="BH94" s="1133"/>
      <c r="BI94" s="1492">
        <f t="shared" ca="1" si="66"/>
        <v>0</v>
      </c>
      <c r="BJ94" s="1490">
        <f t="shared" ca="1" si="67"/>
        <v>0</v>
      </c>
      <c r="BK94" s="1490">
        <f t="shared" ca="1" si="68"/>
        <v>3.1250000000000001E-4</v>
      </c>
      <c r="BL94" s="1490">
        <f t="shared" ca="1" si="69"/>
        <v>3.4375E-3</v>
      </c>
      <c r="BM94" s="1491">
        <f t="shared" ca="1" si="70"/>
        <v>6.2500000000000003E-3</v>
      </c>
      <c r="BN94" s="1492">
        <f t="shared" ca="1" si="71"/>
        <v>6.2500000000000003E-3</v>
      </c>
      <c r="BO94" s="1490">
        <f t="shared" ca="1" si="72"/>
        <v>6.5625000000000006E-3</v>
      </c>
      <c r="BP94" s="1490">
        <f t="shared" ca="1" si="73"/>
        <v>9.6875000000000017E-3</v>
      </c>
      <c r="BQ94" s="1490">
        <f t="shared" ca="1" si="74"/>
        <v>1.3125000000000001E-2</v>
      </c>
      <c r="BR94" s="1491">
        <f t="shared" ca="1" si="75"/>
        <v>1.7500000000000002E-2</v>
      </c>
      <c r="BS94" s="1133"/>
      <c r="BT94" s="1492">
        <f>+IF($K94="Ongoing",AX94,IF(RIGHT($K94,2)=RIGHT(BT$39,2),SUM($AX94:AX94),0)+IF(RIGHT(BT$39,2)&gt;RIGHT($K94,2),AX94,0))</f>
        <v>0</v>
      </c>
      <c r="BU94" s="1490">
        <f>+IF($K94="Ongoing",AY94,IF(RIGHT($K94,2)=RIGHT(BU$39,2),SUM($AX94:AY94),0)+IF(RIGHT(BU$39,2)&gt;RIGHT($K94,2),AY94,0))</f>
        <v>0</v>
      </c>
      <c r="BV94" s="1490">
        <f>+IF($K94="Ongoing",AZ94,IF(RIGHT($K94,2)=RIGHT(BV$39,2),SUM($AX94:AZ94),0)+IF(RIGHT(BV$39,2)&gt;RIGHT($K94,2),AZ94,0))</f>
        <v>0.05</v>
      </c>
      <c r="BW94" s="1490">
        <f>+IF($K94="Ongoing",BA94,IF(RIGHT($K94,2)=RIGHT(BW$39,2),SUM($AX94:BA94),0)+IF(RIGHT(BW$39,2)&gt;RIGHT($K94,2),BA94,0))</f>
        <v>0.45</v>
      </c>
      <c r="BX94" s="1491">
        <f>+IF($K94="Ongoing",BB94,IF(RIGHT($K94,2)=RIGHT(BX$39,2),SUM($AX94:BB94),0)+IF(RIGHT(BX$39,2)&gt;RIGHT($K94,2),BB94,0))</f>
        <v>0</v>
      </c>
      <c r="BY94" s="1492">
        <f>+IF($K94="Ongoing",BC94,IF(RIGHT($K94,2)=RIGHT(BY$39,2),SUM($AX94:BC94),0)+IF(RIGHT(BY$39,2)&gt;RIGHT($K94,2),BC94,0))</f>
        <v>0</v>
      </c>
      <c r="BZ94" s="1490">
        <f>+IF($K94="Ongoing",BD94,IF(RIGHT($K94,2)=RIGHT(BZ$39,2),SUM($AX94:BD94),0)+IF(RIGHT(BZ$39,2)&gt;RIGHT($K94,2),BD94,0))</f>
        <v>0.05</v>
      </c>
      <c r="CA94" s="1490">
        <f>+IF($K94="Ongoing",BE94,IF(RIGHT($K94,2)=RIGHT(CA$39,2),SUM($AX94:BE94),0)+IF(RIGHT(CA$39,2)&gt;RIGHT($K94,2),BE94,0))</f>
        <v>0.45</v>
      </c>
      <c r="CB94" s="1490">
        <f>+IF($K94="Ongoing",BF94,IF(RIGHT($K94,2)=RIGHT(CB$39,2),SUM($AX94:BF94),0)+IF(RIGHT(CB$39,2)&gt;RIGHT($K94,2),BF94,0))</f>
        <v>0.1</v>
      </c>
      <c r="CC94" s="1491">
        <f>+IF($K94="Ongoing",BG94,IF(RIGHT($K94,2)=RIGHT(CC$39,2),SUM($AX94:BG94),0)+IF(RIGHT(CC$39,2)&gt;RIGHT($K94,2),BG94,0))</f>
        <v>0.6</v>
      </c>
      <c r="CD94" s="1133"/>
      <c r="CE94" s="1492">
        <f>+Q94*KeyAssumptionsPriceControl_FO!AC$15</f>
        <v>0</v>
      </c>
      <c r="CF94" s="1490">
        <f>+R94*KeyAssumptionsPriceControl_FO!AD$15</f>
        <v>0</v>
      </c>
      <c r="CG94" s="1490">
        <f>+S94*KeyAssumptionsPriceControl_FO!AE$15</f>
        <v>5.463635E-2</v>
      </c>
      <c r="CH94" s="1490">
        <f>+T94*KeyAssumptionsPriceControl_FO!AF$15</f>
        <v>0.50647896450000007</v>
      </c>
      <c r="CI94" s="1491">
        <f>+U94*KeyAssumptionsPriceControl_FO!AG$15</f>
        <v>0</v>
      </c>
      <c r="CJ94" s="1492">
        <f>+V94*KeyAssumptionsPriceControl_FO!AH$15</f>
        <v>0</v>
      </c>
      <c r="CK94" s="1490">
        <f>+W94*KeyAssumptionsPriceControl_FO!AI$15</f>
        <v>6.1493693271243516E-2</v>
      </c>
      <c r="CL94" s="1490">
        <f>+X94*KeyAssumptionsPriceControl_FO!AJ$15</f>
        <v>0.57004653662442739</v>
      </c>
      <c r="CM94" s="1490">
        <f>+Y94*KeyAssumptionsPriceControl_FO!AK$15</f>
        <v>0.13047731838292451</v>
      </c>
      <c r="CN94" s="1491">
        <f>+Z94*KeyAssumptionsPriceControl_FO!AL$15</f>
        <v>0.80634982760647333</v>
      </c>
      <c r="CO94" s="1133"/>
      <c r="CP94" s="1492">
        <f t="shared" ca="1" si="94"/>
        <v>0</v>
      </c>
      <c r="CQ94" s="1490">
        <f t="shared" ca="1" si="95"/>
        <v>0</v>
      </c>
      <c r="CR94" s="1490">
        <f t="shared" ca="1" si="96"/>
        <v>3.4147718749999998E-4</v>
      </c>
      <c r="CS94" s="1490">
        <f t="shared" ca="1" si="97"/>
        <v>3.8484479031250006E-3</v>
      </c>
      <c r="CT94" s="1491">
        <f t="shared" ca="1" si="98"/>
        <v>7.0139414312500011E-3</v>
      </c>
      <c r="CU94" s="1492">
        <f t="shared" ca="1" si="99"/>
        <v>7.0139414312500011E-3</v>
      </c>
      <c r="CV94" s="1490">
        <f t="shared" ca="1" si="100"/>
        <v>7.3982770141952734E-3</v>
      </c>
      <c r="CW94" s="1490">
        <f t="shared" ca="1" si="101"/>
        <v>1.1345403451043217E-2</v>
      </c>
      <c r="CX94" s="1490">
        <f t="shared" ca="1" si="102"/>
        <v>1.5723677544839165E-2</v>
      </c>
      <c r="CY94" s="1491">
        <f t="shared" ca="1" si="103"/>
        <v>2.1578847207272902E-2</v>
      </c>
    </row>
    <row r="95" spans="2:103" x14ac:dyDescent="0.3">
      <c r="B95" s="397"/>
      <c r="C95" s="1294" t="s">
        <v>1145</v>
      </c>
      <c r="D95" s="1295"/>
      <c r="E95" s="2097" t="s">
        <v>22</v>
      </c>
      <c r="F95" s="2097" t="s">
        <v>512</v>
      </c>
      <c r="G95" s="1294" t="s">
        <v>6</v>
      </c>
      <c r="H95" s="2349" t="s">
        <v>516</v>
      </c>
      <c r="I95" s="2350"/>
      <c r="J95" s="1292" t="s">
        <v>279</v>
      </c>
      <c r="K95" s="1292" t="s">
        <v>296</v>
      </c>
      <c r="L95" s="1292">
        <v>10</v>
      </c>
      <c r="M95" s="1292">
        <v>10</v>
      </c>
      <c r="O95" s="376"/>
      <c r="P95" s="376"/>
      <c r="Q95" s="2337">
        <v>0.05</v>
      </c>
      <c r="R95" s="2338">
        <v>0.1</v>
      </c>
      <c r="S95" s="2338">
        <v>0.1</v>
      </c>
      <c r="T95" s="2338">
        <v>0.1</v>
      </c>
      <c r="U95" s="2339">
        <v>0.15</v>
      </c>
      <c r="V95" s="2337">
        <v>0.1</v>
      </c>
      <c r="W95" s="2338">
        <v>0.1</v>
      </c>
      <c r="X95" s="2338">
        <v>0.1</v>
      </c>
      <c r="Y95" s="2338">
        <v>0.1</v>
      </c>
      <c r="Z95" s="2339">
        <v>0.1</v>
      </c>
      <c r="AA95" s="1132"/>
      <c r="AB95" s="1129"/>
      <c r="AC95" s="1130"/>
      <c r="AD95" s="1510"/>
      <c r="AE95" s="1130"/>
      <c r="AF95" s="1131"/>
      <c r="AG95" s="1129"/>
      <c r="AH95" s="1510"/>
      <c r="AI95" s="1130"/>
      <c r="AJ95" s="1130"/>
      <c r="AK95" s="1131"/>
      <c r="AL95" s="1132"/>
      <c r="AM95" s="1509"/>
      <c r="AN95" s="1130"/>
      <c r="AO95" s="1510"/>
      <c r="AP95" s="1510"/>
      <c r="AQ95" s="1131"/>
      <c r="AR95" s="1129"/>
      <c r="AS95" s="1130"/>
      <c r="AT95" s="1130"/>
      <c r="AU95" s="1130"/>
      <c r="AV95" s="1131"/>
      <c r="AW95" s="1133"/>
      <c r="AX95" s="1492">
        <f t="shared" si="86"/>
        <v>0.05</v>
      </c>
      <c r="AY95" s="1490">
        <f t="shared" si="87"/>
        <v>0.1</v>
      </c>
      <c r="AZ95" s="1490">
        <f t="shared" si="88"/>
        <v>0.1</v>
      </c>
      <c r="BA95" s="1490">
        <f t="shared" si="89"/>
        <v>0.1</v>
      </c>
      <c r="BB95" s="1491">
        <f t="shared" si="90"/>
        <v>0.15</v>
      </c>
      <c r="BC95" s="1492">
        <f t="shared" si="91"/>
        <v>0.1</v>
      </c>
      <c r="BD95" s="1490">
        <f t="shared" si="92"/>
        <v>0.1</v>
      </c>
      <c r="BE95" s="1490">
        <f t="shared" si="93"/>
        <v>0.1</v>
      </c>
      <c r="BF95" s="1490">
        <f t="shared" si="64"/>
        <v>0.1</v>
      </c>
      <c r="BG95" s="1491">
        <f t="shared" si="65"/>
        <v>0.1</v>
      </c>
      <c r="BH95" s="1133"/>
      <c r="BI95" s="1492">
        <f t="shared" ca="1" si="66"/>
        <v>2.5000000000000001E-3</v>
      </c>
      <c r="BJ95" s="1490">
        <f t="shared" ca="1" si="67"/>
        <v>0.01</v>
      </c>
      <c r="BK95" s="1490">
        <f t="shared" ca="1" si="68"/>
        <v>2.0000000000000004E-2</v>
      </c>
      <c r="BL95" s="1490">
        <f t="shared" ca="1" si="69"/>
        <v>3.0000000000000002E-2</v>
      </c>
      <c r="BM95" s="1491">
        <f t="shared" ca="1" si="70"/>
        <v>4.2499999999999996E-2</v>
      </c>
      <c r="BN95" s="1492">
        <f t="shared" ca="1" si="71"/>
        <v>5.5E-2</v>
      </c>
      <c r="BO95" s="1490">
        <f t="shared" ca="1" si="72"/>
        <v>6.5000000000000002E-2</v>
      </c>
      <c r="BP95" s="1490">
        <f t="shared" ca="1" si="73"/>
        <v>7.4999999999999997E-2</v>
      </c>
      <c r="BQ95" s="1490">
        <f t="shared" ca="1" si="74"/>
        <v>8.4999999999999992E-2</v>
      </c>
      <c r="BR95" s="1491">
        <f t="shared" ca="1" si="75"/>
        <v>9.5000000000000001E-2</v>
      </c>
      <c r="BS95" s="1133"/>
      <c r="BT95" s="1492">
        <f>+IF($K95="Ongoing",AX95,IF(RIGHT($K95,2)=RIGHT(BT$39,2),SUM($AX95:AX95),0)+IF(RIGHT(BT$39,2)&gt;RIGHT($K95,2),AX95,0))</f>
        <v>0.05</v>
      </c>
      <c r="BU95" s="1490">
        <f>+IF($K95="Ongoing",AY95,IF(RIGHT($K95,2)=RIGHT(BU$39,2),SUM($AX95:AY95),0)+IF(RIGHT(BU$39,2)&gt;RIGHT($K95,2),AY95,0))</f>
        <v>0.1</v>
      </c>
      <c r="BV95" s="1490">
        <f>+IF($K95="Ongoing",AZ95,IF(RIGHT($K95,2)=RIGHT(BV$39,2),SUM($AX95:AZ95),0)+IF(RIGHT(BV$39,2)&gt;RIGHT($K95,2),AZ95,0))</f>
        <v>0.1</v>
      </c>
      <c r="BW95" s="1490">
        <f>+IF($K95="Ongoing",BA95,IF(RIGHT($K95,2)=RIGHT(BW$39,2),SUM($AX95:BA95),0)+IF(RIGHT(BW$39,2)&gt;RIGHT($K95,2),BA95,0))</f>
        <v>0.1</v>
      </c>
      <c r="BX95" s="1491">
        <f>+IF($K95="Ongoing",BB95,IF(RIGHT($K95,2)=RIGHT(BX$39,2),SUM($AX95:BB95),0)+IF(RIGHT(BX$39,2)&gt;RIGHT($K95,2),BB95,0))</f>
        <v>0.15</v>
      </c>
      <c r="BY95" s="1492">
        <f>+IF($K95="Ongoing",BC95,IF(RIGHT($K95,2)=RIGHT(BY$39,2),SUM($AX95:BC95),0)+IF(RIGHT(BY$39,2)&gt;RIGHT($K95,2),BC95,0))</f>
        <v>0.1</v>
      </c>
      <c r="BZ95" s="1490">
        <f>+IF($K95="Ongoing",BD95,IF(RIGHT($K95,2)=RIGHT(BZ$39,2),SUM($AX95:BD95),0)+IF(RIGHT(BZ$39,2)&gt;RIGHT($K95,2),BD95,0))</f>
        <v>0.1</v>
      </c>
      <c r="CA95" s="1490">
        <f>+IF($K95="Ongoing",BE95,IF(RIGHT($K95,2)=RIGHT(CA$39,2),SUM($AX95:BE95),0)+IF(RIGHT(CA$39,2)&gt;RIGHT($K95,2),BE95,0))</f>
        <v>0.1</v>
      </c>
      <c r="CB95" s="1490">
        <f>+IF($K95="Ongoing",BF95,IF(RIGHT($K95,2)=RIGHT(CB$39,2),SUM($AX95:BF95),0)+IF(RIGHT(CB$39,2)&gt;RIGHT($K95,2),BF95,0))</f>
        <v>0.1</v>
      </c>
      <c r="CC95" s="1491">
        <f>+IF($K95="Ongoing",BG95,IF(RIGHT($K95,2)=RIGHT(CC$39,2),SUM($AX95:BG95),0)+IF(RIGHT(CC$39,2)&gt;RIGHT($K95,2),BG95,0))</f>
        <v>0.1</v>
      </c>
      <c r="CD95" s="1133"/>
      <c r="CE95" s="1492">
        <f>+Q95*KeyAssumptionsPriceControl_FO!AC$15</f>
        <v>5.1500000000000004E-2</v>
      </c>
      <c r="CF95" s="1490">
        <f>+R95*KeyAssumptionsPriceControl_FO!AD$15</f>
        <v>0.10609</v>
      </c>
      <c r="CG95" s="1490">
        <f>+S95*KeyAssumptionsPriceControl_FO!AE$15</f>
        <v>0.1092727</v>
      </c>
      <c r="CH95" s="1490">
        <f>+T95*KeyAssumptionsPriceControl_FO!AF$15</f>
        <v>0.11255088100000002</v>
      </c>
      <c r="CI95" s="1491">
        <f>+U95*KeyAssumptionsPriceControl_FO!AG$15</f>
        <v>0.173891111145</v>
      </c>
      <c r="CJ95" s="1492">
        <f>+V95*KeyAssumptionsPriceControl_FO!AH$15</f>
        <v>0.11940522965290001</v>
      </c>
      <c r="CK95" s="1490">
        <f>+W95*KeyAssumptionsPriceControl_FO!AI$15</f>
        <v>0.12298738654248703</v>
      </c>
      <c r="CL95" s="1490">
        <f>+X95*KeyAssumptionsPriceControl_FO!AJ$15</f>
        <v>0.12667700813876165</v>
      </c>
      <c r="CM95" s="1490">
        <f>+Y95*KeyAssumptionsPriceControl_FO!AK$15</f>
        <v>0.13047731838292451</v>
      </c>
      <c r="CN95" s="1491">
        <f>+Z95*KeyAssumptionsPriceControl_FO!AL$15</f>
        <v>0.13439163793441222</v>
      </c>
      <c r="CO95" s="1133"/>
      <c r="CP95" s="1492">
        <f t="shared" ca="1" si="94"/>
        <v>2.575E-3</v>
      </c>
      <c r="CQ95" s="1490">
        <f t="shared" ca="1" si="95"/>
        <v>1.04545E-2</v>
      </c>
      <c r="CR95" s="1490">
        <f t="shared" ca="1" si="96"/>
        <v>2.1222635000000004E-2</v>
      </c>
      <c r="CS95" s="1490">
        <f t="shared" ca="1" si="97"/>
        <v>3.231381405E-2</v>
      </c>
      <c r="CT95" s="1491">
        <f t="shared" ca="1" si="98"/>
        <v>4.6635913657250005E-2</v>
      </c>
      <c r="CU95" s="1492">
        <f t="shared" ca="1" si="99"/>
        <v>6.1300730697144999E-2</v>
      </c>
      <c r="CV95" s="1490">
        <f t="shared" ca="1" si="100"/>
        <v>7.3420361506914361E-2</v>
      </c>
      <c r="CW95" s="1490">
        <f t="shared" ca="1" si="101"/>
        <v>8.5903581240976787E-2</v>
      </c>
      <c r="CX95" s="1490">
        <f t="shared" ca="1" si="102"/>
        <v>9.876129756706109E-2</v>
      </c>
      <c r="CY95" s="1491">
        <f t="shared" ca="1" si="103"/>
        <v>0.11200474538292793</v>
      </c>
    </row>
    <row r="96" spans="2:103" x14ac:dyDescent="0.3">
      <c r="B96" s="397"/>
      <c r="C96" s="1294" t="s">
        <v>1146</v>
      </c>
      <c r="D96" s="1295"/>
      <c r="E96" s="2097" t="s">
        <v>22</v>
      </c>
      <c r="F96" s="2097" t="s">
        <v>239</v>
      </c>
      <c r="G96" s="1294" t="s">
        <v>10</v>
      </c>
      <c r="H96" s="2349" t="s">
        <v>516</v>
      </c>
      <c r="I96" s="2350"/>
      <c r="J96" s="1292" t="s">
        <v>279</v>
      </c>
      <c r="K96" s="1292" t="s">
        <v>296</v>
      </c>
      <c r="L96" s="1292">
        <v>80</v>
      </c>
      <c r="M96" s="1292">
        <v>80</v>
      </c>
      <c r="O96" s="376"/>
      <c r="P96" s="376"/>
      <c r="Q96" s="2337">
        <v>0.1</v>
      </c>
      <c r="R96" s="2338">
        <v>0.1</v>
      </c>
      <c r="S96" s="2338">
        <v>0.1</v>
      </c>
      <c r="T96" s="2338">
        <v>0.1</v>
      </c>
      <c r="U96" s="2339">
        <v>0.1</v>
      </c>
      <c r="V96" s="2337">
        <v>0.1</v>
      </c>
      <c r="W96" s="2338">
        <v>0.1</v>
      </c>
      <c r="X96" s="2338">
        <v>0.1</v>
      </c>
      <c r="Y96" s="2338">
        <v>0.1</v>
      </c>
      <c r="Z96" s="2339">
        <v>0.1</v>
      </c>
      <c r="AA96" s="1132"/>
      <c r="AB96" s="1129"/>
      <c r="AC96" s="1130"/>
      <c r="AD96" s="1510"/>
      <c r="AE96" s="1130"/>
      <c r="AF96" s="1131"/>
      <c r="AG96" s="1129"/>
      <c r="AH96" s="1510"/>
      <c r="AI96" s="1130"/>
      <c r="AJ96" s="1130"/>
      <c r="AK96" s="1131"/>
      <c r="AL96" s="1132"/>
      <c r="AM96" s="1509"/>
      <c r="AN96" s="1130"/>
      <c r="AO96" s="1510"/>
      <c r="AP96" s="1510"/>
      <c r="AQ96" s="1131"/>
      <c r="AR96" s="1129"/>
      <c r="AS96" s="1130"/>
      <c r="AT96" s="1130"/>
      <c r="AU96" s="1130"/>
      <c r="AV96" s="1131"/>
      <c r="AW96" s="1133"/>
      <c r="AX96" s="1492">
        <f t="shared" si="86"/>
        <v>0.1</v>
      </c>
      <c r="AY96" s="1490">
        <f t="shared" si="87"/>
        <v>0.1</v>
      </c>
      <c r="AZ96" s="1490">
        <f t="shared" si="88"/>
        <v>0.1</v>
      </c>
      <c r="BA96" s="1490">
        <f t="shared" si="89"/>
        <v>0.1</v>
      </c>
      <c r="BB96" s="1491">
        <f t="shared" si="90"/>
        <v>0.1</v>
      </c>
      <c r="BC96" s="1492">
        <f t="shared" si="91"/>
        <v>0.1</v>
      </c>
      <c r="BD96" s="1490">
        <f t="shared" si="92"/>
        <v>0.1</v>
      </c>
      <c r="BE96" s="1490">
        <f t="shared" si="93"/>
        <v>0.1</v>
      </c>
      <c r="BF96" s="1490">
        <f t="shared" si="64"/>
        <v>0.1</v>
      </c>
      <c r="BG96" s="1491">
        <f t="shared" si="65"/>
        <v>0.1</v>
      </c>
      <c r="BH96" s="1133"/>
      <c r="BI96" s="1492">
        <f t="shared" ca="1" si="66"/>
        <v>6.2500000000000001E-4</v>
      </c>
      <c r="BJ96" s="1490">
        <f t="shared" ca="1" si="67"/>
        <v>1.8749999999999999E-3</v>
      </c>
      <c r="BK96" s="1490">
        <f t="shared" ca="1" si="68"/>
        <v>3.1250000000000002E-3</v>
      </c>
      <c r="BL96" s="1490">
        <f t="shared" ca="1" si="69"/>
        <v>4.3750000000000004E-3</v>
      </c>
      <c r="BM96" s="1491">
        <f t="shared" ca="1" si="70"/>
        <v>5.6249999999999998E-3</v>
      </c>
      <c r="BN96" s="1492">
        <f t="shared" ca="1" si="71"/>
        <v>6.875E-3</v>
      </c>
      <c r="BO96" s="1490">
        <f t="shared" ca="1" si="72"/>
        <v>8.1250000000000003E-3</v>
      </c>
      <c r="BP96" s="1490">
        <f t="shared" ca="1" si="73"/>
        <v>9.3749999999999997E-3</v>
      </c>
      <c r="BQ96" s="1490">
        <f t="shared" ca="1" si="74"/>
        <v>1.0624999999999999E-2</v>
      </c>
      <c r="BR96" s="1491">
        <f t="shared" ca="1" si="75"/>
        <v>1.1875E-2</v>
      </c>
      <c r="BS96" s="1133"/>
      <c r="BT96" s="1492">
        <f>+IF($K96="Ongoing",AX96,IF(RIGHT($K96,2)=RIGHT(BT$39,2),SUM($AX96:AX96),0)+IF(RIGHT(BT$39,2)&gt;RIGHT($K96,2),AX96,0))</f>
        <v>0.1</v>
      </c>
      <c r="BU96" s="1490">
        <f>+IF($K96="Ongoing",AY96,IF(RIGHT($K96,2)=RIGHT(BU$39,2),SUM($AX96:AY96),0)+IF(RIGHT(BU$39,2)&gt;RIGHT($K96,2),AY96,0))</f>
        <v>0.1</v>
      </c>
      <c r="BV96" s="1490">
        <f>+IF($K96="Ongoing",AZ96,IF(RIGHT($K96,2)=RIGHT(BV$39,2),SUM($AX96:AZ96),0)+IF(RIGHT(BV$39,2)&gt;RIGHT($K96,2),AZ96,0))</f>
        <v>0.1</v>
      </c>
      <c r="BW96" s="1490">
        <f>+IF($K96="Ongoing",BA96,IF(RIGHT($K96,2)=RIGHT(BW$39,2),SUM($AX96:BA96),0)+IF(RIGHT(BW$39,2)&gt;RIGHT($K96,2),BA96,0))</f>
        <v>0.1</v>
      </c>
      <c r="BX96" s="1491">
        <f>+IF($K96="Ongoing",BB96,IF(RIGHT($K96,2)=RIGHT(BX$39,2),SUM($AX96:BB96),0)+IF(RIGHT(BX$39,2)&gt;RIGHT($K96,2),BB96,0))</f>
        <v>0.1</v>
      </c>
      <c r="BY96" s="1492">
        <f>+IF($K96="Ongoing",BC96,IF(RIGHT($K96,2)=RIGHT(BY$39,2),SUM($AX96:BC96),0)+IF(RIGHT(BY$39,2)&gt;RIGHT($K96,2),BC96,0))</f>
        <v>0.1</v>
      </c>
      <c r="BZ96" s="1490">
        <f>+IF($K96="Ongoing",BD96,IF(RIGHT($K96,2)=RIGHT(BZ$39,2),SUM($AX96:BD96),0)+IF(RIGHT(BZ$39,2)&gt;RIGHT($K96,2),BD96,0))</f>
        <v>0.1</v>
      </c>
      <c r="CA96" s="1490">
        <f>+IF($K96="Ongoing",BE96,IF(RIGHT($K96,2)=RIGHT(CA$39,2),SUM($AX96:BE96),0)+IF(RIGHT(CA$39,2)&gt;RIGHT($K96,2),BE96,0))</f>
        <v>0.1</v>
      </c>
      <c r="CB96" s="1490">
        <f>+IF($K96="Ongoing",BF96,IF(RIGHT($K96,2)=RIGHT(CB$39,2),SUM($AX96:BF96),0)+IF(RIGHT(CB$39,2)&gt;RIGHT($K96,2),BF96,0))</f>
        <v>0.1</v>
      </c>
      <c r="CC96" s="1491">
        <f>+IF($K96="Ongoing",BG96,IF(RIGHT($K96,2)=RIGHT(CC$39,2),SUM($AX96:BG96),0)+IF(RIGHT(CC$39,2)&gt;RIGHT($K96,2),BG96,0))</f>
        <v>0.1</v>
      </c>
      <c r="CD96" s="1133"/>
      <c r="CE96" s="1492">
        <f>+Q96*KeyAssumptionsPriceControl_FO!AC$15</f>
        <v>0.10300000000000001</v>
      </c>
      <c r="CF96" s="1490">
        <f>+R96*KeyAssumptionsPriceControl_FO!AD$15</f>
        <v>0.10609</v>
      </c>
      <c r="CG96" s="1490">
        <f>+S96*KeyAssumptionsPriceControl_FO!AE$15</f>
        <v>0.1092727</v>
      </c>
      <c r="CH96" s="1490">
        <f>+T96*KeyAssumptionsPriceControl_FO!AF$15</f>
        <v>0.11255088100000002</v>
      </c>
      <c r="CI96" s="1491">
        <f>+U96*KeyAssumptionsPriceControl_FO!AG$15</f>
        <v>0.11592740743000002</v>
      </c>
      <c r="CJ96" s="1492">
        <f>+V96*KeyAssumptionsPriceControl_FO!AH$15</f>
        <v>0.11940522965290001</v>
      </c>
      <c r="CK96" s="1490">
        <f>+W96*KeyAssumptionsPriceControl_FO!AI$15</f>
        <v>0.12298738654248703</v>
      </c>
      <c r="CL96" s="1490">
        <f>+X96*KeyAssumptionsPriceControl_FO!AJ$15</f>
        <v>0.12667700813876165</v>
      </c>
      <c r="CM96" s="1490">
        <f>+Y96*KeyAssumptionsPriceControl_FO!AK$15</f>
        <v>0.13047731838292451</v>
      </c>
      <c r="CN96" s="1491">
        <f>+Z96*KeyAssumptionsPriceControl_FO!AL$15</f>
        <v>0.13439163793441222</v>
      </c>
      <c r="CO96" s="1133"/>
      <c r="CP96" s="1492">
        <f t="shared" ca="1" si="94"/>
        <v>6.4375000000000001E-4</v>
      </c>
      <c r="CQ96" s="1490">
        <f t="shared" ca="1" si="95"/>
        <v>1.9505625E-3</v>
      </c>
      <c r="CR96" s="1490">
        <f t="shared" ca="1" si="96"/>
        <v>3.2965793749999998E-3</v>
      </c>
      <c r="CS96" s="1490">
        <f t="shared" ca="1" si="97"/>
        <v>4.6829767562500003E-3</v>
      </c>
      <c r="CT96" s="1491">
        <f t="shared" ca="1" si="98"/>
        <v>6.1109660589374996E-3</v>
      </c>
      <c r="CU96" s="1492">
        <f t="shared" ca="1" si="99"/>
        <v>7.5817950407056252E-3</v>
      </c>
      <c r="CV96" s="1490">
        <f t="shared" ca="1" si="100"/>
        <v>9.0967488919267963E-3</v>
      </c>
      <c r="CW96" s="1490">
        <f t="shared" ca="1" si="101"/>
        <v>1.06571513586846E-2</v>
      </c>
      <c r="CX96" s="1490">
        <f t="shared" ca="1" si="102"/>
        <v>1.2264365899445137E-2</v>
      </c>
      <c r="CY96" s="1491">
        <f t="shared" ca="1" si="103"/>
        <v>1.3919796876428492E-2</v>
      </c>
    </row>
    <row r="97" spans="2:103" x14ac:dyDescent="0.3">
      <c r="B97" s="397"/>
      <c r="C97" s="1294" t="s">
        <v>1147</v>
      </c>
      <c r="D97" s="1295"/>
      <c r="E97" s="2097" t="s">
        <v>21</v>
      </c>
      <c r="F97" s="2097" t="s">
        <v>239</v>
      </c>
      <c r="G97" s="1294" t="s">
        <v>14</v>
      </c>
      <c r="H97" s="2349" t="s">
        <v>516</v>
      </c>
      <c r="I97" s="2350"/>
      <c r="J97" s="1292" t="s">
        <v>279</v>
      </c>
      <c r="K97" s="1292" t="s">
        <v>296</v>
      </c>
      <c r="L97" s="1292">
        <v>80</v>
      </c>
      <c r="M97" s="1292">
        <v>80</v>
      </c>
      <c r="O97" s="376"/>
      <c r="P97" s="376"/>
      <c r="Q97" s="2337">
        <v>0.1</v>
      </c>
      <c r="R97" s="2338">
        <v>0.1</v>
      </c>
      <c r="S97" s="2338">
        <v>0.1</v>
      </c>
      <c r="T97" s="2338">
        <v>0.1</v>
      </c>
      <c r="U97" s="2339">
        <v>0.1</v>
      </c>
      <c r="V97" s="2337">
        <v>0.1</v>
      </c>
      <c r="W97" s="2338">
        <v>0.1</v>
      </c>
      <c r="X97" s="2338">
        <v>0.1</v>
      </c>
      <c r="Y97" s="2338">
        <v>0.1</v>
      </c>
      <c r="Z97" s="2339">
        <v>0.1</v>
      </c>
      <c r="AA97" s="1132"/>
      <c r="AB97" s="1129"/>
      <c r="AC97" s="1130"/>
      <c r="AD97" s="1510"/>
      <c r="AE97" s="1510"/>
      <c r="AF97" s="1131"/>
      <c r="AG97" s="1129"/>
      <c r="AH97" s="1130"/>
      <c r="AI97" s="1130"/>
      <c r="AJ97" s="1130"/>
      <c r="AK97" s="1131"/>
      <c r="AL97" s="1132"/>
      <c r="AM97" s="1129"/>
      <c r="AN97" s="1130"/>
      <c r="AO97" s="1130"/>
      <c r="AP97" s="1510"/>
      <c r="AQ97" s="1131"/>
      <c r="AR97" s="1129"/>
      <c r="AS97" s="1130"/>
      <c r="AT97" s="1130"/>
      <c r="AU97" s="1510"/>
      <c r="AV97" s="1131"/>
      <c r="AW97" s="1133"/>
      <c r="AX97" s="1492">
        <f t="shared" si="86"/>
        <v>0.1</v>
      </c>
      <c r="AY97" s="1490">
        <f t="shared" si="87"/>
        <v>0.1</v>
      </c>
      <c r="AZ97" s="1490">
        <f t="shared" si="88"/>
        <v>0.1</v>
      </c>
      <c r="BA97" s="1490">
        <f t="shared" si="89"/>
        <v>0.1</v>
      </c>
      <c r="BB97" s="1491">
        <f t="shared" si="90"/>
        <v>0.1</v>
      </c>
      <c r="BC97" s="1492">
        <f t="shared" si="91"/>
        <v>0.1</v>
      </c>
      <c r="BD97" s="1490">
        <f t="shared" si="92"/>
        <v>0.1</v>
      </c>
      <c r="BE97" s="1490">
        <f t="shared" si="93"/>
        <v>0.1</v>
      </c>
      <c r="BF97" s="1490">
        <f t="shared" si="64"/>
        <v>0.1</v>
      </c>
      <c r="BG97" s="1491">
        <f t="shared" si="65"/>
        <v>0.1</v>
      </c>
      <c r="BH97" s="1133"/>
      <c r="BI97" s="1492">
        <f t="shared" ca="1" si="66"/>
        <v>6.2500000000000001E-4</v>
      </c>
      <c r="BJ97" s="1490">
        <f t="shared" ca="1" si="67"/>
        <v>1.8749999999999999E-3</v>
      </c>
      <c r="BK97" s="1490">
        <f t="shared" ca="1" si="68"/>
        <v>3.1250000000000002E-3</v>
      </c>
      <c r="BL97" s="1490">
        <f t="shared" ca="1" si="69"/>
        <v>4.3750000000000004E-3</v>
      </c>
      <c r="BM97" s="1491">
        <f t="shared" ca="1" si="70"/>
        <v>5.6249999999999998E-3</v>
      </c>
      <c r="BN97" s="1492">
        <f t="shared" ca="1" si="71"/>
        <v>6.875E-3</v>
      </c>
      <c r="BO97" s="1490">
        <f t="shared" ca="1" si="72"/>
        <v>8.1250000000000003E-3</v>
      </c>
      <c r="BP97" s="1490">
        <f t="shared" ca="1" si="73"/>
        <v>9.3749999999999997E-3</v>
      </c>
      <c r="BQ97" s="1490">
        <f t="shared" ca="1" si="74"/>
        <v>1.0624999999999999E-2</v>
      </c>
      <c r="BR97" s="1491">
        <f t="shared" ca="1" si="75"/>
        <v>1.1875E-2</v>
      </c>
      <c r="BS97" s="1133"/>
      <c r="BT97" s="1492">
        <f>+IF($K97="Ongoing",AX97,IF(RIGHT($K97,2)=RIGHT(BT$39,2),SUM($AX97:AX97),0)+IF(RIGHT(BT$39,2)&gt;RIGHT($K97,2),AX97,0))</f>
        <v>0.1</v>
      </c>
      <c r="BU97" s="1490">
        <f>+IF($K97="Ongoing",AY97,IF(RIGHT($K97,2)=RIGHT(BU$39,2),SUM($AX97:AY97),0)+IF(RIGHT(BU$39,2)&gt;RIGHT($K97,2),AY97,0))</f>
        <v>0.1</v>
      </c>
      <c r="BV97" s="1490">
        <f>+IF($K97="Ongoing",AZ97,IF(RIGHT($K97,2)=RIGHT(BV$39,2),SUM($AX97:AZ97),0)+IF(RIGHT(BV$39,2)&gt;RIGHT($K97,2),AZ97,0))</f>
        <v>0.1</v>
      </c>
      <c r="BW97" s="1490">
        <f>+IF($K97="Ongoing",BA97,IF(RIGHT($K97,2)=RIGHT(BW$39,2),SUM($AX97:BA97),0)+IF(RIGHT(BW$39,2)&gt;RIGHT($K97,2),BA97,0))</f>
        <v>0.1</v>
      </c>
      <c r="BX97" s="1491">
        <f>+IF($K97="Ongoing",BB97,IF(RIGHT($K97,2)=RIGHT(BX$39,2),SUM($AX97:BB97),0)+IF(RIGHT(BX$39,2)&gt;RIGHT($K97,2),BB97,0))</f>
        <v>0.1</v>
      </c>
      <c r="BY97" s="1492">
        <f>+IF($K97="Ongoing",BC97,IF(RIGHT($K97,2)=RIGHT(BY$39,2),SUM($AX97:BC97),0)+IF(RIGHT(BY$39,2)&gt;RIGHT($K97,2),BC97,0))</f>
        <v>0.1</v>
      </c>
      <c r="BZ97" s="1490">
        <f>+IF($K97="Ongoing",BD97,IF(RIGHT($K97,2)=RIGHT(BZ$39,2),SUM($AX97:BD97),0)+IF(RIGHT(BZ$39,2)&gt;RIGHT($K97,2),BD97,0))</f>
        <v>0.1</v>
      </c>
      <c r="CA97" s="1490">
        <f>+IF($K97="Ongoing",BE97,IF(RIGHT($K97,2)=RIGHT(CA$39,2),SUM($AX97:BE97),0)+IF(RIGHT(CA$39,2)&gt;RIGHT($K97,2),BE97,0))</f>
        <v>0.1</v>
      </c>
      <c r="CB97" s="1490">
        <f>+IF($K97="Ongoing",BF97,IF(RIGHT($K97,2)=RIGHT(CB$39,2),SUM($AX97:BF97),0)+IF(RIGHT(CB$39,2)&gt;RIGHT($K97,2),BF97,0))</f>
        <v>0.1</v>
      </c>
      <c r="CC97" s="1491">
        <f>+IF($K97="Ongoing",BG97,IF(RIGHT($K97,2)=RIGHT(CC$39,2),SUM($AX97:BG97),0)+IF(RIGHT(CC$39,2)&gt;RIGHT($K97,2),BG97,0))</f>
        <v>0.1</v>
      </c>
      <c r="CD97" s="1133"/>
      <c r="CE97" s="1492">
        <f>+Q97*KeyAssumptionsPriceControl_FO!AC$15</f>
        <v>0.10300000000000001</v>
      </c>
      <c r="CF97" s="1490">
        <f>+R97*KeyAssumptionsPriceControl_FO!AD$15</f>
        <v>0.10609</v>
      </c>
      <c r="CG97" s="1490">
        <f>+S97*KeyAssumptionsPriceControl_FO!AE$15</f>
        <v>0.1092727</v>
      </c>
      <c r="CH97" s="1490">
        <f>+T97*KeyAssumptionsPriceControl_FO!AF$15</f>
        <v>0.11255088100000002</v>
      </c>
      <c r="CI97" s="1491">
        <f>+U97*KeyAssumptionsPriceControl_FO!AG$15</f>
        <v>0.11592740743000002</v>
      </c>
      <c r="CJ97" s="1492">
        <f>+V97*KeyAssumptionsPriceControl_FO!AH$15</f>
        <v>0.11940522965290001</v>
      </c>
      <c r="CK97" s="1490">
        <f>+W97*KeyAssumptionsPriceControl_FO!AI$15</f>
        <v>0.12298738654248703</v>
      </c>
      <c r="CL97" s="1490">
        <f>+X97*KeyAssumptionsPriceControl_FO!AJ$15</f>
        <v>0.12667700813876165</v>
      </c>
      <c r="CM97" s="1490">
        <f>+Y97*KeyAssumptionsPriceControl_FO!AK$15</f>
        <v>0.13047731838292451</v>
      </c>
      <c r="CN97" s="1491">
        <f>+Z97*KeyAssumptionsPriceControl_FO!AL$15</f>
        <v>0.13439163793441222</v>
      </c>
      <c r="CO97" s="1133"/>
      <c r="CP97" s="1492">
        <f t="shared" ca="1" si="94"/>
        <v>6.4375000000000001E-4</v>
      </c>
      <c r="CQ97" s="1490">
        <f t="shared" ca="1" si="95"/>
        <v>1.9505625E-3</v>
      </c>
      <c r="CR97" s="1490">
        <f t="shared" ca="1" si="96"/>
        <v>3.2965793749999998E-3</v>
      </c>
      <c r="CS97" s="1490">
        <f t="shared" ca="1" si="97"/>
        <v>4.6829767562500003E-3</v>
      </c>
      <c r="CT97" s="1491">
        <f t="shared" ca="1" si="98"/>
        <v>6.1109660589374996E-3</v>
      </c>
      <c r="CU97" s="1492">
        <f t="shared" ca="1" si="99"/>
        <v>7.5817950407056252E-3</v>
      </c>
      <c r="CV97" s="1490">
        <f t="shared" ca="1" si="100"/>
        <v>9.0967488919267963E-3</v>
      </c>
      <c r="CW97" s="1490">
        <f t="shared" ca="1" si="101"/>
        <v>1.06571513586846E-2</v>
      </c>
      <c r="CX97" s="1490">
        <f t="shared" ca="1" si="102"/>
        <v>1.2264365899445137E-2</v>
      </c>
      <c r="CY97" s="1491">
        <f t="shared" ca="1" si="103"/>
        <v>1.3919796876428492E-2</v>
      </c>
    </row>
    <row r="98" spans="2:103" x14ac:dyDescent="0.3">
      <c r="B98" s="397"/>
      <c r="C98" s="1294" t="s">
        <v>1148</v>
      </c>
      <c r="D98" s="1295"/>
      <c r="E98" s="2097" t="s">
        <v>21</v>
      </c>
      <c r="F98" s="2097" t="s">
        <v>239</v>
      </c>
      <c r="G98" s="1294" t="s">
        <v>14</v>
      </c>
      <c r="H98" s="2349" t="s">
        <v>516</v>
      </c>
      <c r="I98" s="2350"/>
      <c r="J98" s="1292" t="s">
        <v>279</v>
      </c>
      <c r="K98" s="1292" t="s">
        <v>296</v>
      </c>
      <c r="L98" s="1292">
        <v>80</v>
      </c>
      <c r="M98" s="1292">
        <v>80</v>
      </c>
      <c r="O98" s="376"/>
      <c r="P98" s="376"/>
      <c r="Q98" s="2337">
        <v>0.1</v>
      </c>
      <c r="R98" s="2338">
        <v>0.1</v>
      </c>
      <c r="S98" s="2338">
        <v>0.1</v>
      </c>
      <c r="T98" s="2338">
        <v>0.1</v>
      </c>
      <c r="U98" s="2339">
        <v>0.1</v>
      </c>
      <c r="V98" s="2337">
        <v>0.1</v>
      </c>
      <c r="W98" s="2338">
        <v>0.1</v>
      </c>
      <c r="X98" s="2338">
        <v>0.1</v>
      </c>
      <c r="Y98" s="2338">
        <v>0.1</v>
      </c>
      <c r="Z98" s="2339">
        <v>0.1</v>
      </c>
      <c r="AA98" s="1132"/>
      <c r="AB98" s="1129"/>
      <c r="AC98" s="1130"/>
      <c r="AD98" s="1510"/>
      <c r="AE98" s="1130"/>
      <c r="AF98" s="1131"/>
      <c r="AG98" s="1129"/>
      <c r="AH98" s="1510"/>
      <c r="AI98" s="1130"/>
      <c r="AJ98" s="1130"/>
      <c r="AK98" s="1131"/>
      <c r="AL98" s="1132"/>
      <c r="AM98" s="1509"/>
      <c r="AN98" s="1130"/>
      <c r="AO98" s="1510"/>
      <c r="AP98" s="1510"/>
      <c r="AQ98" s="1131"/>
      <c r="AR98" s="1129"/>
      <c r="AS98" s="1130"/>
      <c r="AT98" s="1130"/>
      <c r="AU98" s="1130"/>
      <c r="AV98" s="1131"/>
      <c r="AW98" s="1133"/>
      <c r="AX98" s="1492">
        <f t="shared" si="86"/>
        <v>0.1</v>
      </c>
      <c r="AY98" s="1490">
        <f t="shared" si="87"/>
        <v>0.1</v>
      </c>
      <c r="AZ98" s="1490">
        <f t="shared" si="88"/>
        <v>0.1</v>
      </c>
      <c r="BA98" s="1490">
        <f t="shared" si="89"/>
        <v>0.1</v>
      </c>
      <c r="BB98" s="1491">
        <f t="shared" si="90"/>
        <v>0.1</v>
      </c>
      <c r="BC98" s="1492">
        <f t="shared" si="91"/>
        <v>0.1</v>
      </c>
      <c r="BD98" s="1490">
        <f t="shared" si="92"/>
        <v>0.1</v>
      </c>
      <c r="BE98" s="1490">
        <f t="shared" si="93"/>
        <v>0.1</v>
      </c>
      <c r="BF98" s="1490">
        <f t="shared" si="64"/>
        <v>0.1</v>
      </c>
      <c r="BG98" s="1491">
        <f t="shared" si="65"/>
        <v>0.1</v>
      </c>
      <c r="BH98" s="1133"/>
      <c r="BI98" s="1492">
        <f t="shared" ca="1" si="66"/>
        <v>6.2500000000000001E-4</v>
      </c>
      <c r="BJ98" s="1490">
        <f t="shared" ca="1" si="67"/>
        <v>1.8749999999999999E-3</v>
      </c>
      <c r="BK98" s="1490">
        <f t="shared" ca="1" si="68"/>
        <v>3.1250000000000002E-3</v>
      </c>
      <c r="BL98" s="1490">
        <f t="shared" ca="1" si="69"/>
        <v>4.3750000000000004E-3</v>
      </c>
      <c r="BM98" s="1491">
        <f t="shared" ca="1" si="70"/>
        <v>5.6249999999999998E-3</v>
      </c>
      <c r="BN98" s="1492">
        <f t="shared" ca="1" si="71"/>
        <v>6.875E-3</v>
      </c>
      <c r="BO98" s="1490">
        <f t="shared" ca="1" si="72"/>
        <v>8.1250000000000003E-3</v>
      </c>
      <c r="BP98" s="1490">
        <f t="shared" ca="1" si="73"/>
        <v>9.3749999999999997E-3</v>
      </c>
      <c r="BQ98" s="1490">
        <f t="shared" ca="1" si="74"/>
        <v>1.0624999999999999E-2</v>
      </c>
      <c r="BR98" s="1491">
        <f t="shared" ca="1" si="75"/>
        <v>1.1875E-2</v>
      </c>
      <c r="BS98" s="1133"/>
      <c r="BT98" s="1492">
        <f>+IF($K98="Ongoing",AX98,IF(RIGHT($K98,2)=RIGHT(BT$39,2),SUM($AX98:AX98),0)+IF(RIGHT(BT$39,2)&gt;RIGHT($K98,2),AX98,0))</f>
        <v>0.1</v>
      </c>
      <c r="BU98" s="1490">
        <f>+IF($K98="Ongoing",AY98,IF(RIGHT($K98,2)=RIGHT(BU$39,2),SUM($AX98:AY98),0)+IF(RIGHT(BU$39,2)&gt;RIGHT($K98,2),AY98,0))</f>
        <v>0.1</v>
      </c>
      <c r="BV98" s="1490">
        <f>+IF($K98="Ongoing",AZ98,IF(RIGHT($K98,2)=RIGHT(BV$39,2),SUM($AX98:AZ98),0)+IF(RIGHT(BV$39,2)&gt;RIGHT($K98,2),AZ98,0))</f>
        <v>0.1</v>
      </c>
      <c r="BW98" s="1490">
        <f>+IF($K98="Ongoing",BA98,IF(RIGHT($K98,2)=RIGHT(BW$39,2),SUM($AX98:BA98),0)+IF(RIGHT(BW$39,2)&gt;RIGHT($K98,2),BA98,0))</f>
        <v>0.1</v>
      </c>
      <c r="BX98" s="1491">
        <f>+IF($K98="Ongoing",BB98,IF(RIGHT($K98,2)=RIGHT(BX$39,2),SUM($AX98:BB98),0)+IF(RIGHT(BX$39,2)&gt;RIGHT($K98,2),BB98,0))</f>
        <v>0.1</v>
      </c>
      <c r="BY98" s="1492">
        <f>+IF($K98="Ongoing",BC98,IF(RIGHT($K98,2)=RIGHT(BY$39,2),SUM($AX98:BC98),0)+IF(RIGHT(BY$39,2)&gt;RIGHT($K98,2),BC98,0))</f>
        <v>0.1</v>
      </c>
      <c r="BZ98" s="1490">
        <f>+IF($K98="Ongoing",BD98,IF(RIGHT($K98,2)=RIGHT(BZ$39,2),SUM($AX98:BD98),0)+IF(RIGHT(BZ$39,2)&gt;RIGHT($K98,2),BD98,0))</f>
        <v>0.1</v>
      </c>
      <c r="CA98" s="1490">
        <f>+IF($K98="Ongoing",BE98,IF(RIGHT($K98,2)=RIGHT(CA$39,2),SUM($AX98:BE98),0)+IF(RIGHT(CA$39,2)&gt;RIGHT($K98,2),BE98,0))</f>
        <v>0.1</v>
      </c>
      <c r="CB98" s="1490">
        <f>+IF($K98="Ongoing",BF98,IF(RIGHT($K98,2)=RIGHT(CB$39,2),SUM($AX98:BF98),0)+IF(RIGHT(CB$39,2)&gt;RIGHT($K98,2),BF98,0))</f>
        <v>0.1</v>
      </c>
      <c r="CC98" s="1491">
        <f>+IF($K98="Ongoing",BG98,IF(RIGHT($K98,2)=RIGHT(CC$39,2),SUM($AX98:BG98),0)+IF(RIGHT(CC$39,2)&gt;RIGHT($K98,2),BG98,0))</f>
        <v>0.1</v>
      </c>
      <c r="CD98" s="1133"/>
      <c r="CE98" s="1492">
        <f>+Q98*KeyAssumptionsPriceControl_FO!AC$15</f>
        <v>0.10300000000000001</v>
      </c>
      <c r="CF98" s="1490">
        <f>+R98*KeyAssumptionsPriceControl_FO!AD$15</f>
        <v>0.10609</v>
      </c>
      <c r="CG98" s="1490">
        <f>+S98*KeyAssumptionsPriceControl_FO!AE$15</f>
        <v>0.1092727</v>
      </c>
      <c r="CH98" s="1490">
        <f>+T98*KeyAssumptionsPriceControl_FO!AF$15</f>
        <v>0.11255088100000002</v>
      </c>
      <c r="CI98" s="1491">
        <f>+U98*KeyAssumptionsPriceControl_FO!AG$15</f>
        <v>0.11592740743000002</v>
      </c>
      <c r="CJ98" s="1492">
        <f>+V98*KeyAssumptionsPriceControl_FO!AH$15</f>
        <v>0.11940522965290001</v>
      </c>
      <c r="CK98" s="1490">
        <f>+W98*KeyAssumptionsPriceControl_FO!AI$15</f>
        <v>0.12298738654248703</v>
      </c>
      <c r="CL98" s="1490">
        <f>+X98*KeyAssumptionsPriceControl_FO!AJ$15</f>
        <v>0.12667700813876165</v>
      </c>
      <c r="CM98" s="1490">
        <f>+Y98*KeyAssumptionsPriceControl_FO!AK$15</f>
        <v>0.13047731838292451</v>
      </c>
      <c r="CN98" s="1491">
        <f>+Z98*KeyAssumptionsPriceControl_FO!AL$15</f>
        <v>0.13439163793441222</v>
      </c>
      <c r="CO98" s="1133"/>
      <c r="CP98" s="1492">
        <f t="shared" ca="1" si="94"/>
        <v>6.4375000000000001E-4</v>
      </c>
      <c r="CQ98" s="1490">
        <f t="shared" ca="1" si="95"/>
        <v>1.9505625E-3</v>
      </c>
      <c r="CR98" s="1490">
        <f t="shared" ca="1" si="96"/>
        <v>3.2965793749999998E-3</v>
      </c>
      <c r="CS98" s="1490">
        <f t="shared" ca="1" si="97"/>
        <v>4.6829767562500003E-3</v>
      </c>
      <c r="CT98" s="1491">
        <f t="shared" ca="1" si="98"/>
        <v>6.1109660589374996E-3</v>
      </c>
      <c r="CU98" s="1492">
        <f t="shared" ca="1" si="99"/>
        <v>7.5817950407056252E-3</v>
      </c>
      <c r="CV98" s="1490">
        <f t="shared" ca="1" si="100"/>
        <v>9.0967488919267963E-3</v>
      </c>
      <c r="CW98" s="1490">
        <f t="shared" ca="1" si="101"/>
        <v>1.06571513586846E-2</v>
      </c>
      <c r="CX98" s="1490">
        <f t="shared" ca="1" si="102"/>
        <v>1.2264365899445137E-2</v>
      </c>
      <c r="CY98" s="1491">
        <f t="shared" ca="1" si="103"/>
        <v>1.3919796876428492E-2</v>
      </c>
    </row>
    <row r="99" spans="2:103" x14ac:dyDescent="0.3">
      <c r="B99" s="397"/>
      <c r="C99" s="1294" t="s">
        <v>1149</v>
      </c>
      <c r="D99" s="1295"/>
      <c r="E99" s="2097" t="s">
        <v>22</v>
      </c>
      <c r="F99" s="2097" t="s">
        <v>239</v>
      </c>
      <c r="G99" s="1294" t="s">
        <v>14</v>
      </c>
      <c r="H99" s="2349" t="s">
        <v>516</v>
      </c>
      <c r="I99" s="2350"/>
      <c r="J99" s="1292" t="s">
        <v>279</v>
      </c>
      <c r="K99" s="1292" t="s">
        <v>522</v>
      </c>
      <c r="L99" s="1292">
        <v>80</v>
      </c>
      <c r="M99" s="1292">
        <v>80</v>
      </c>
      <c r="O99" s="376"/>
      <c r="P99" s="376"/>
      <c r="Q99" s="2337">
        <v>0</v>
      </c>
      <c r="R99" s="2338">
        <v>0.1</v>
      </c>
      <c r="S99" s="2338">
        <v>0.45</v>
      </c>
      <c r="T99" s="2338">
        <v>0.35</v>
      </c>
      <c r="U99" s="2339">
        <v>0</v>
      </c>
      <c r="V99" s="2337">
        <v>0</v>
      </c>
      <c r="W99" s="2338">
        <v>0</v>
      </c>
      <c r="X99" s="2338">
        <v>0</v>
      </c>
      <c r="Y99" s="2338">
        <v>0</v>
      </c>
      <c r="Z99" s="2339">
        <v>0</v>
      </c>
      <c r="AA99" s="1132"/>
      <c r="AB99" s="1129"/>
      <c r="AC99" s="1130"/>
      <c r="AD99" s="1510"/>
      <c r="AE99" s="1130"/>
      <c r="AF99" s="1131"/>
      <c r="AG99" s="1129"/>
      <c r="AH99" s="1510"/>
      <c r="AI99" s="1130"/>
      <c r="AJ99" s="1130"/>
      <c r="AK99" s="1131"/>
      <c r="AL99" s="1132"/>
      <c r="AM99" s="1509"/>
      <c r="AN99" s="1130"/>
      <c r="AO99" s="1510"/>
      <c r="AP99" s="1510"/>
      <c r="AQ99" s="1131"/>
      <c r="AR99" s="1129"/>
      <c r="AS99" s="1130"/>
      <c r="AT99" s="1130"/>
      <c r="AU99" s="1130"/>
      <c r="AV99" s="1131"/>
      <c r="AW99" s="1133"/>
      <c r="AX99" s="1492">
        <f t="shared" si="86"/>
        <v>0</v>
      </c>
      <c r="AY99" s="1490">
        <f t="shared" si="87"/>
        <v>0.1</v>
      </c>
      <c r="AZ99" s="1490">
        <f t="shared" si="88"/>
        <v>0.45</v>
      </c>
      <c r="BA99" s="1490">
        <f t="shared" si="89"/>
        <v>0.35</v>
      </c>
      <c r="BB99" s="1491">
        <f t="shared" si="90"/>
        <v>0</v>
      </c>
      <c r="BC99" s="1492">
        <f t="shared" si="91"/>
        <v>0</v>
      </c>
      <c r="BD99" s="1490">
        <f t="shared" si="92"/>
        <v>0</v>
      </c>
      <c r="BE99" s="1490">
        <f t="shared" si="93"/>
        <v>0</v>
      </c>
      <c r="BF99" s="1490">
        <f t="shared" si="64"/>
        <v>0</v>
      </c>
      <c r="BG99" s="1491">
        <f t="shared" si="65"/>
        <v>0</v>
      </c>
      <c r="BH99" s="1133"/>
      <c r="BI99" s="1492">
        <f t="shared" ca="1" si="66"/>
        <v>0</v>
      </c>
      <c r="BJ99" s="1490">
        <f t="shared" ca="1" si="67"/>
        <v>0</v>
      </c>
      <c r="BK99" s="1490">
        <f t="shared" ca="1" si="68"/>
        <v>3.4375000000000005E-3</v>
      </c>
      <c r="BL99" s="1490">
        <f t="shared" ca="1" si="69"/>
        <v>9.0625000000000011E-3</v>
      </c>
      <c r="BM99" s="1491">
        <f t="shared" ca="1" si="70"/>
        <v>1.125E-2</v>
      </c>
      <c r="BN99" s="1492">
        <f t="shared" ca="1" si="71"/>
        <v>1.125E-2</v>
      </c>
      <c r="BO99" s="1490">
        <f t="shared" ca="1" si="72"/>
        <v>1.125E-2</v>
      </c>
      <c r="BP99" s="1490">
        <f t="shared" ca="1" si="73"/>
        <v>1.125E-2</v>
      </c>
      <c r="BQ99" s="1490">
        <f t="shared" ca="1" si="74"/>
        <v>1.125E-2</v>
      </c>
      <c r="BR99" s="1491">
        <f t="shared" ca="1" si="75"/>
        <v>1.125E-2</v>
      </c>
      <c r="BS99" s="1133"/>
      <c r="BT99" s="1492">
        <f>+IF($K99="Ongoing",AX99,IF(RIGHT($K99,2)=RIGHT(BT$39,2),SUM($AX99:AX99),0)+IF(RIGHT(BT$39,2)&gt;RIGHT($K99,2),AX99,0))</f>
        <v>0</v>
      </c>
      <c r="BU99" s="1490">
        <f>+IF($K99="Ongoing",AY99,IF(RIGHT($K99,2)=RIGHT(BU$39,2),SUM($AX99:AY99),0)+IF(RIGHT(BU$39,2)&gt;RIGHT($K99,2),AY99,0))</f>
        <v>0</v>
      </c>
      <c r="BV99" s="1490">
        <f>+IF($K99="Ongoing",AZ99,IF(RIGHT($K99,2)=RIGHT(BV$39,2),SUM($AX99:AZ99),0)+IF(RIGHT(BV$39,2)&gt;RIGHT($K99,2),AZ99,0))</f>
        <v>0.55000000000000004</v>
      </c>
      <c r="BW99" s="1490">
        <f>+IF($K99="Ongoing",BA99,IF(RIGHT($K99,2)=RIGHT(BW$39,2),SUM($AX99:BA99),0)+IF(RIGHT(BW$39,2)&gt;RIGHT($K99,2),BA99,0))</f>
        <v>0.35</v>
      </c>
      <c r="BX99" s="1491">
        <f>+IF($K99="Ongoing",BB99,IF(RIGHT($K99,2)=RIGHT(BX$39,2),SUM($AX99:BB99),0)+IF(RIGHT(BX$39,2)&gt;RIGHT($K99,2),BB99,0))</f>
        <v>0</v>
      </c>
      <c r="BY99" s="1492">
        <f>+IF($K99="Ongoing",BC99,IF(RIGHT($K99,2)=RIGHT(BY$39,2),SUM($AX99:BC99),0)+IF(RIGHT(BY$39,2)&gt;RIGHT($K99,2),BC99,0))</f>
        <v>0</v>
      </c>
      <c r="BZ99" s="1490">
        <f>+IF($K99="Ongoing",BD99,IF(RIGHT($K99,2)=RIGHT(BZ$39,2),SUM($AX99:BD99),0)+IF(RIGHT(BZ$39,2)&gt;RIGHT($K99,2),BD99,0))</f>
        <v>0</v>
      </c>
      <c r="CA99" s="1490">
        <f>+IF($K99="Ongoing",BE99,IF(RIGHT($K99,2)=RIGHT(CA$39,2),SUM($AX99:BE99),0)+IF(RIGHT(CA$39,2)&gt;RIGHT($K99,2),BE99,0))</f>
        <v>0</v>
      </c>
      <c r="CB99" s="1490">
        <f>+IF($K99="Ongoing",BF99,IF(RIGHT($K99,2)=RIGHT(CB$39,2),SUM($AX99:BF99),0)+IF(RIGHT(CB$39,2)&gt;RIGHT($K99,2),BF99,0))</f>
        <v>0</v>
      </c>
      <c r="CC99" s="1491">
        <f>+IF($K99="Ongoing",BG99,IF(RIGHT($K99,2)=RIGHT(CC$39,2),SUM($AX99:BG99),0)+IF(RIGHT(CC$39,2)&gt;RIGHT($K99,2),BG99,0))</f>
        <v>0</v>
      </c>
      <c r="CD99" s="1133"/>
      <c r="CE99" s="1492">
        <f>+Q99*KeyAssumptionsPriceControl_FO!AC$15</f>
        <v>0</v>
      </c>
      <c r="CF99" s="1490">
        <f>+R99*KeyAssumptionsPriceControl_FO!AD$15</f>
        <v>0.10609</v>
      </c>
      <c r="CG99" s="1490">
        <f>+S99*KeyAssumptionsPriceControl_FO!AE$15</f>
        <v>0.49172715</v>
      </c>
      <c r="CH99" s="1490">
        <f>+T99*KeyAssumptionsPriceControl_FO!AF$15</f>
        <v>0.39392808350000003</v>
      </c>
      <c r="CI99" s="1491">
        <f>+U99*KeyAssumptionsPriceControl_FO!AG$15</f>
        <v>0</v>
      </c>
      <c r="CJ99" s="1492">
        <f>+V99*KeyAssumptionsPriceControl_FO!AH$15</f>
        <v>0</v>
      </c>
      <c r="CK99" s="1490">
        <f>+W99*KeyAssumptionsPriceControl_FO!AI$15</f>
        <v>0</v>
      </c>
      <c r="CL99" s="1490">
        <f>+X99*KeyAssumptionsPriceControl_FO!AJ$15</f>
        <v>0</v>
      </c>
      <c r="CM99" s="1490">
        <f>+Y99*KeyAssumptionsPriceControl_FO!AK$15</f>
        <v>0</v>
      </c>
      <c r="CN99" s="1491">
        <f>+Z99*KeyAssumptionsPriceControl_FO!AL$15</f>
        <v>0</v>
      </c>
      <c r="CO99" s="1133"/>
      <c r="CP99" s="1492">
        <f t="shared" ca="1" si="94"/>
        <v>0</v>
      </c>
      <c r="CQ99" s="1490">
        <f t="shared" ca="1" si="95"/>
        <v>6.6306250000000002E-4</v>
      </c>
      <c r="CR99" s="1490">
        <f t="shared" ca="1" si="96"/>
        <v>4.3994196874999995E-3</v>
      </c>
      <c r="CS99" s="1490">
        <f t="shared" ca="1" si="97"/>
        <v>9.9347648968750001E-3</v>
      </c>
      <c r="CT99" s="1491">
        <f t="shared" ca="1" si="98"/>
        <v>1.2396815418750002E-2</v>
      </c>
      <c r="CU99" s="1492">
        <f t="shared" ca="1" si="99"/>
        <v>1.2396815418750002E-2</v>
      </c>
      <c r="CV99" s="1490">
        <f t="shared" ca="1" si="100"/>
        <v>1.2396815418750002E-2</v>
      </c>
      <c r="CW99" s="1490">
        <f t="shared" ca="1" si="101"/>
        <v>1.2396815418750002E-2</v>
      </c>
      <c r="CX99" s="1490">
        <f t="shared" ca="1" si="102"/>
        <v>1.2396815418750002E-2</v>
      </c>
      <c r="CY99" s="1491">
        <f t="shared" ca="1" si="103"/>
        <v>1.2396815418750002E-2</v>
      </c>
    </row>
    <row r="100" spans="2:103" x14ac:dyDescent="0.3">
      <c r="B100" s="397"/>
      <c r="C100" s="1294" t="s">
        <v>1150</v>
      </c>
      <c r="D100" s="1295"/>
      <c r="E100" s="2097" t="s">
        <v>21</v>
      </c>
      <c r="F100" s="2097" t="s">
        <v>12</v>
      </c>
      <c r="G100" s="1294" t="s">
        <v>14</v>
      </c>
      <c r="H100" s="2349" t="s">
        <v>516</v>
      </c>
      <c r="I100" s="2350"/>
      <c r="J100" s="1292" t="s">
        <v>279</v>
      </c>
      <c r="K100" s="1292" t="s">
        <v>296</v>
      </c>
      <c r="L100" s="1292">
        <v>60</v>
      </c>
      <c r="M100" s="1292">
        <v>60</v>
      </c>
      <c r="O100" s="376"/>
      <c r="P100" s="376"/>
      <c r="Q100" s="2337">
        <v>0</v>
      </c>
      <c r="R100" s="2338">
        <v>0</v>
      </c>
      <c r="S100" s="2338">
        <v>0</v>
      </c>
      <c r="T100" s="2338">
        <v>0</v>
      </c>
      <c r="U100" s="2339">
        <v>0.42499999999999999</v>
      </c>
      <c r="V100" s="2337">
        <v>4.8250000000000002</v>
      </c>
      <c r="W100" s="2338">
        <v>8.4499999999999993</v>
      </c>
      <c r="X100" s="2338">
        <v>8</v>
      </c>
      <c r="Y100" s="2338">
        <v>7.5</v>
      </c>
      <c r="Z100" s="2339">
        <v>9.5</v>
      </c>
      <c r="AA100" s="1132"/>
      <c r="AB100" s="1129"/>
      <c r="AC100" s="1130"/>
      <c r="AD100" s="1510"/>
      <c r="AE100" s="1130"/>
      <c r="AF100" s="1131"/>
      <c r="AG100" s="1129"/>
      <c r="AH100" s="1510"/>
      <c r="AI100" s="1130"/>
      <c r="AJ100" s="1130"/>
      <c r="AK100" s="1131"/>
      <c r="AL100" s="1132"/>
      <c r="AM100" s="1509"/>
      <c r="AN100" s="1130"/>
      <c r="AO100" s="1510"/>
      <c r="AP100" s="1510"/>
      <c r="AQ100" s="1131"/>
      <c r="AR100" s="1129"/>
      <c r="AS100" s="1130"/>
      <c r="AT100" s="1130"/>
      <c r="AU100" s="1130"/>
      <c r="AV100" s="1131"/>
      <c r="AW100" s="1133"/>
      <c r="AX100" s="1492">
        <f t="shared" si="86"/>
        <v>0</v>
      </c>
      <c r="AY100" s="1490">
        <f t="shared" si="87"/>
        <v>0</v>
      </c>
      <c r="AZ100" s="1490">
        <f t="shared" si="88"/>
        <v>0</v>
      </c>
      <c r="BA100" s="1490">
        <f t="shared" si="89"/>
        <v>0</v>
      </c>
      <c r="BB100" s="1491">
        <f t="shared" si="90"/>
        <v>0.42499999999999999</v>
      </c>
      <c r="BC100" s="1492">
        <f t="shared" si="91"/>
        <v>4.8250000000000002</v>
      </c>
      <c r="BD100" s="1490">
        <f t="shared" si="92"/>
        <v>8.4499999999999993</v>
      </c>
      <c r="BE100" s="1490">
        <f t="shared" si="93"/>
        <v>8</v>
      </c>
      <c r="BF100" s="1490">
        <f t="shared" si="64"/>
        <v>7.5</v>
      </c>
      <c r="BG100" s="1491">
        <f t="shared" si="65"/>
        <v>9.5</v>
      </c>
      <c r="BH100" s="1133"/>
      <c r="BI100" s="1492">
        <f t="shared" ca="1" si="66"/>
        <v>0</v>
      </c>
      <c r="BJ100" s="1490">
        <f t="shared" ca="1" si="67"/>
        <v>0</v>
      </c>
      <c r="BK100" s="1490">
        <f t="shared" ca="1" si="68"/>
        <v>0</v>
      </c>
      <c r="BL100" s="1490">
        <f t="shared" ca="1" si="69"/>
        <v>0</v>
      </c>
      <c r="BM100" s="1491">
        <f t="shared" ca="1" si="70"/>
        <v>3.5416666666666665E-3</v>
      </c>
      <c r="BN100" s="1492">
        <f t="shared" ca="1" si="71"/>
        <v>4.7291666666666662E-2</v>
      </c>
      <c r="BO100" s="1490">
        <f t="shared" ca="1" si="72"/>
        <v>0.15791666666666665</v>
      </c>
      <c r="BP100" s="1490">
        <f t="shared" ca="1" si="73"/>
        <v>0.29499999999999998</v>
      </c>
      <c r="BQ100" s="1490">
        <f t="shared" ca="1" si="74"/>
        <v>0.42416666666666664</v>
      </c>
      <c r="BR100" s="1491">
        <f t="shared" ca="1" si="75"/>
        <v>0.5658333333333333</v>
      </c>
      <c r="BS100" s="1133"/>
      <c r="BT100" s="1492">
        <f>+IF($K100="Ongoing",AX100,IF(RIGHT($K100,2)=RIGHT(BT$39,2),SUM($AX100:AX100),0)+IF(RIGHT(BT$39,2)&gt;RIGHT($K100,2),AX100,0))</f>
        <v>0</v>
      </c>
      <c r="BU100" s="1490">
        <f>+IF($K100="Ongoing",AY100,IF(RIGHT($K100,2)=RIGHT(BU$39,2),SUM($AX100:AY100),0)+IF(RIGHT(BU$39,2)&gt;RIGHT($K100,2),AY100,0))</f>
        <v>0</v>
      </c>
      <c r="BV100" s="1490">
        <f>+IF($K100="Ongoing",AZ100,IF(RIGHT($K100,2)=RIGHT(BV$39,2),SUM($AX100:AZ100),0)+IF(RIGHT(BV$39,2)&gt;RIGHT($K100,2),AZ100,0))</f>
        <v>0</v>
      </c>
      <c r="BW100" s="1490">
        <f>+IF($K100="Ongoing",BA100,IF(RIGHT($K100,2)=RIGHT(BW$39,2),SUM($AX100:BA100),0)+IF(RIGHT(BW$39,2)&gt;RIGHT($K100,2),BA100,0))</f>
        <v>0</v>
      </c>
      <c r="BX100" s="1491">
        <f>+IF($K100="Ongoing",BB100,IF(RIGHT($K100,2)=RIGHT(BX$39,2),SUM($AX100:BB100),0)+IF(RIGHT(BX$39,2)&gt;RIGHT($K100,2),BB100,0))</f>
        <v>0.42499999999999999</v>
      </c>
      <c r="BY100" s="1492">
        <f>+IF($K100="Ongoing",BC100,IF(RIGHT($K100,2)=RIGHT(BY$39,2),SUM($AX100:BC100),0)+IF(RIGHT(BY$39,2)&gt;RIGHT($K100,2),BC100,0))</f>
        <v>4.8250000000000002</v>
      </c>
      <c r="BZ100" s="1490">
        <f>+IF($K100="Ongoing",BD100,IF(RIGHT($K100,2)=RIGHT(BZ$39,2),SUM($AX100:BD100),0)+IF(RIGHT(BZ$39,2)&gt;RIGHT($K100,2),BD100,0))</f>
        <v>8.4499999999999993</v>
      </c>
      <c r="CA100" s="1490">
        <f>+IF($K100="Ongoing",BE100,IF(RIGHT($K100,2)=RIGHT(CA$39,2),SUM($AX100:BE100),0)+IF(RIGHT(CA$39,2)&gt;RIGHT($K100,2),BE100,0))</f>
        <v>8</v>
      </c>
      <c r="CB100" s="1490">
        <f>+IF($K100="Ongoing",BF100,IF(RIGHT($K100,2)=RIGHT(CB$39,2),SUM($AX100:BF100),0)+IF(RIGHT(CB$39,2)&gt;RIGHT($K100,2),BF100,0))</f>
        <v>7.5</v>
      </c>
      <c r="CC100" s="1491">
        <f>+IF($K100="Ongoing",BG100,IF(RIGHT($K100,2)=RIGHT(CC$39,2),SUM($AX100:BG100),0)+IF(RIGHT(CC$39,2)&gt;RIGHT($K100,2),BG100,0))</f>
        <v>9.5</v>
      </c>
      <c r="CD100" s="1133"/>
      <c r="CE100" s="1492">
        <f>+Q100*KeyAssumptionsPriceControl_FO!AC$15</f>
        <v>0</v>
      </c>
      <c r="CF100" s="1490">
        <f>+R100*KeyAssumptionsPriceControl_FO!AD$15</f>
        <v>0</v>
      </c>
      <c r="CG100" s="1490">
        <f>+S100*KeyAssumptionsPriceControl_FO!AE$15</f>
        <v>0</v>
      </c>
      <c r="CH100" s="1490">
        <f>+T100*KeyAssumptionsPriceControl_FO!AF$15</f>
        <v>0</v>
      </c>
      <c r="CI100" s="1491">
        <f>+U100*KeyAssumptionsPriceControl_FO!AG$15</f>
        <v>0.49269148157750003</v>
      </c>
      <c r="CJ100" s="1492">
        <f>+V100*KeyAssumptionsPriceControl_FO!AH$15</f>
        <v>5.761302330752426</v>
      </c>
      <c r="CK100" s="1490">
        <f>+W100*KeyAssumptionsPriceControl_FO!AI$15</f>
        <v>10.392434162840152</v>
      </c>
      <c r="CL100" s="1490">
        <f>+X100*KeyAssumptionsPriceControl_FO!AJ$15</f>
        <v>10.134160651100931</v>
      </c>
      <c r="CM100" s="1490">
        <f>+Y100*KeyAssumptionsPriceControl_FO!AK$15</f>
        <v>9.7857988787193371</v>
      </c>
      <c r="CN100" s="1491">
        <f>+Z100*KeyAssumptionsPriceControl_FO!AL$15</f>
        <v>12.767205603769161</v>
      </c>
      <c r="CO100" s="1133"/>
      <c r="CP100" s="1492">
        <f t="shared" ca="1" si="94"/>
        <v>0</v>
      </c>
      <c r="CQ100" s="1490">
        <f t="shared" ca="1" si="95"/>
        <v>0</v>
      </c>
      <c r="CR100" s="1490">
        <f t="shared" ca="1" si="96"/>
        <v>0</v>
      </c>
      <c r="CS100" s="1490">
        <f t="shared" ca="1" si="97"/>
        <v>0</v>
      </c>
      <c r="CT100" s="1491">
        <f t="shared" ca="1" si="98"/>
        <v>4.1057623464791672E-3</v>
      </c>
      <c r="CU100" s="1492">
        <f t="shared" ca="1" si="99"/>
        <v>5.6222377449228554E-2</v>
      </c>
      <c r="CV100" s="1490">
        <f t="shared" ca="1" si="100"/>
        <v>0.19083684822916669</v>
      </c>
      <c r="CW100" s="1490">
        <f t="shared" ca="1" si="101"/>
        <v>0.36189180501200907</v>
      </c>
      <c r="CX100" s="1490">
        <f t="shared" ca="1" si="102"/>
        <v>0.52789146776051121</v>
      </c>
      <c r="CY100" s="1491">
        <f t="shared" ca="1" si="103"/>
        <v>0.71583317178124872</v>
      </c>
    </row>
    <row r="101" spans="2:103" x14ac:dyDescent="0.3">
      <c r="B101" s="397"/>
      <c r="C101" s="1294" t="s">
        <v>1151</v>
      </c>
      <c r="D101" s="1295"/>
      <c r="E101" s="2097" t="s">
        <v>21</v>
      </c>
      <c r="F101" s="2097" t="s">
        <v>239</v>
      </c>
      <c r="G101" s="1294" t="s">
        <v>6</v>
      </c>
      <c r="H101" s="2349" t="s">
        <v>516</v>
      </c>
      <c r="I101" s="2350"/>
      <c r="J101" s="1292" t="s">
        <v>279</v>
      </c>
      <c r="K101" s="1292" t="s">
        <v>296</v>
      </c>
      <c r="L101" s="1292">
        <v>80</v>
      </c>
      <c r="M101" s="1292">
        <v>80</v>
      </c>
      <c r="O101" s="376"/>
      <c r="P101" s="376"/>
      <c r="Q101" s="2337">
        <v>0.08</v>
      </c>
      <c r="R101" s="2338">
        <v>0.08</v>
      </c>
      <c r="S101" s="2338">
        <v>0.08</v>
      </c>
      <c r="T101" s="2338">
        <v>0.08</v>
      </c>
      <c r="U101" s="2339">
        <v>7.0000000000000007E-2</v>
      </c>
      <c r="V101" s="2337">
        <v>0.1</v>
      </c>
      <c r="W101" s="2338">
        <v>0.1</v>
      </c>
      <c r="X101" s="2338">
        <v>0.1</v>
      </c>
      <c r="Y101" s="2338">
        <v>0.1</v>
      </c>
      <c r="Z101" s="2339">
        <v>0.1</v>
      </c>
      <c r="AA101" s="1132"/>
      <c r="AB101" s="1129"/>
      <c r="AC101" s="1130"/>
      <c r="AD101" s="1510"/>
      <c r="AE101" s="1510"/>
      <c r="AF101" s="1131"/>
      <c r="AG101" s="1129"/>
      <c r="AH101" s="1130"/>
      <c r="AI101" s="1130"/>
      <c r="AJ101" s="1130"/>
      <c r="AK101" s="1131"/>
      <c r="AL101" s="1132"/>
      <c r="AM101" s="1129"/>
      <c r="AN101" s="1130"/>
      <c r="AO101" s="1130"/>
      <c r="AP101" s="1510"/>
      <c r="AQ101" s="1131"/>
      <c r="AR101" s="1129"/>
      <c r="AS101" s="1130"/>
      <c r="AT101" s="1130"/>
      <c r="AU101" s="1510"/>
      <c r="AV101" s="1131"/>
      <c r="AW101" s="1133"/>
      <c r="AX101" s="1492">
        <f t="shared" si="86"/>
        <v>0.08</v>
      </c>
      <c r="AY101" s="1490">
        <f t="shared" si="87"/>
        <v>0.08</v>
      </c>
      <c r="AZ101" s="1490">
        <f t="shared" si="88"/>
        <v>0.08</v>
      </c>
      <c r="BA101" s="1490">
        <f t="shared" si="89"/>
        <v>0.08</v>
      </c>
      <c r="BB101" s="1491">
        <f t="shared" si="90"/>
        <v>7.0000000000000007E-2</v>
      </c>
      <c r="BC101" s="1492">
        <f t="shared" si="91"/>
        <v>0.1</v>
      </c>
      <c r="BD101" s="1490">
        <f t="shared" si="92"/>
        <v>0.1</v>
      </c>
      <c r="BE101" s="1490">
        <f t="shared" si="93"/>
        <v>0.1</v>
      </c>
      <c r="BF101" s="1490">
        <f t="shared" si="64"/>
        <v>0.1</v>
      </c>
      <c r="BG101" s="1491">
        <f t="shared" si="65"/>
        <v>0.1</v>
      </c>
      <c r="BH101" s="1133"/>
      <c r="BI101" s="1492">
        <f t="shared" ca="1" si="66"/>
        <v>5.0000000000000001E-4</v>
      </c>
      <c r="BJ101" s="1490">
        <f t="shared" ca="1" si="67"/>
        <v>1.5E-3</v>
      </c>
      <c r="BK101" s="1490">
        <f t="shared" ca="1" si="68"/>
        <v>2.5000000000000001E-3</v>
      </c>
      <c r="BL101" s="1490">
        <f t="shared" ca="1" si="69"/>
        <v>3.5000000000000001E-3</v>
      </c>
      <c r="BM101" s="1491">
        <f t="shared" ca="1" si="70"/>
        <v>4.4375000000000005E-3</v>
      </c>
      <c r="BN101" s="1492">
        <f t="shared" ca="1" si="71"/>
        <v>5.4999999999999997E-3</v>
      </c>
      <c r="BO101" s="1490">
        <f t="shared" ca="1" si="72"/>
        <v>6.7499999999999999E-3</v>
      </c>
      <c r="BP101" s="1490">
        <f t="shared" ca="1" si="73"/>
        <v>8.0000000000000002E-3</v>
      </c>
      <c r="BQ101" s="1490">
        <f t="shared" ca="1" si="74"/>
        <v>9.2499999999999995E-3</v>
      </c>
      <c r="BR101" s="1491">
        <f t="shared" ca="1" si="75"/>
        <v>1.0499999999999999E-2</v>
      </c>
      <c r="BS101" s="1133"/>
      <c r="BT101" s="1492">
        <f>+IF($K101="Ongoing",AX101,IF(RIGHT($K101,2)=RIGHT(BT$39,2),SUM($AX101:AX101),0)+IF(RIGHT(BT$39,2)&gt;RIGHT($K101,2),AX101,0))</f>
        <v>0.08</v>
      </c>
      <c r="BU101" s="1490">
        <f>+IF($K101="Ongoing",AY101,IF(RIGHT($K101,2)=RIGHT(BU$39,2),SUM($AX101:AY101),0)+IF(RIGHT(BU$39,2)&gt;RIGHT($K101,2),AY101,0))</f>
        <v>0.08</v>
      </c>
      <c r="BV101" s="1490">
        <f>+IF($K101="Ongoing",AZ101,IF(RIGHT($K101,2)=RIGHT(BV$39,2),SUM($AX101:AZ101),0)+IF(RIGHT(BV$39,2)&gt;RIGHT($K101,2),AZ101,0))</f>
        <v>0.08</v>
      </c>
      <c r="BW101" s="1490">
        <f>+IF($K101="Ongoing",BA101,IF(RIGHT($K101,2)=RIGHT(BW$39,2),SUM($AX101:BA101),0)+IF(RIGHT(BW$39,2)&gt;RIGHT($K101,2),BA101,0))</f>
        <v>0.08</v>
      </c>
      <c r="BX101" s="1491">
        <f>+IF($K101="Ongoing",BB101,IF(RIGHT($K101,2)=RIGHT(BX$39,2),SUM($AX101:BB101),0)+IF(RIGHT(BX$39,2)&gt;RIGHT($K101,2),BB101,0))</f>
        <v>7.0000000000000007E-2</v>
      </c>
      <c r="BY101" s="1492">
        <f>+IF($K101="Ongoing",BC101,IF(RIGHT($K101,2)=RIGHT(BY$39,2),SUM($AX101:BC101),0)+IF(RIGHT(BY$39,2)&gt;RIGHT($K101,2),BC101,0))</f>
        <v>0.1</v>
      </c>
      <c r="BZ101" s="1490">
        <f>+IF($K101="Ongoing",BD101,IF(RIGHT($K101,2)=RIGHT(BZ$39,2),SUM($AX101:BD101),0)+IF(RIGHT(BZ$39,2)&gt;RIGHT($K101,2),BD101,0))</f>
        <v>0.1</v>
      </c>
      <c r="CA101" s="1490">
        <f>+IF($K101="Ongoing",BE101,IF(RIGHT($K101,2)=RIGHT(CA$39,2),SUM($AX101:BE101),0)+IF(RIGHT(CA$39,2)&gt;RIGHT($K101,2),BE101,0))</f>
        <v>0.1</v>
      </c>
      <c r="CB101" s="1490">
        <f>+IF($K101="Ongoing",BF101,IF(RIGHT($K101,2)=RIGHT(CB$39,2),SUM($AX101:BF101),0)+IF(RIGHT(CB$39,2)&gt;RIGHT($K101,2),BF101,0))</f>
        <v>0.1</v>
      </c>
      <c r="CC101" s="1491">
        <f>+IF($K101="Ongoing",BG101,IF(RIGHT($K101,2)=RIGHT(CC$39,2),SUM($AX101:BG101),0)+IF(RIGHT(CC$39,2)&gt;RIGHT($K101,2),BG101,0))</f>
        <v>0.1</v>
      </c>
      <c r="CD101" s="1133"/>
      <c r="CE101" s="1492">
        <f>+Q101*KeyAssumptionsPriceControl_FO!AC$15</f>
        <v>8.2400000000000001E-2</v>
      </c>
      <c r="CF101" s="1490">
        <f>+R101*KeyAssumptionsPriceControl_FO!AD$15</f>
        <v>8.4872000000000003E-2</v>
      </c>
      <c r="CG101" s="1490">
        <f>+S101*KeyAssumptionsPriceControl_FO!AE$15</f>
        <v>8.7418160000000009E-2</v>
      </c>
      <c r="CH101" s="1490">
        <f>+T101*KeyAssumptionsPriceControl_FO!AF$15</f>
        <v>9.004070480000001E-2</v>
      </c>
      <c r="CI101" s="1491">
        <f>+U101*KeyAssumptionsPriceControl_FO!AG$15</f>
        <v>8.1149185201000007E-2</v>
      </c>
      <c r="CJ101" s="1492">
        <f>+V101*KeyAssumptionsPriceControl_FO!AH$15</f>
        <v>0.11940522965290001</v>
      </c>
      <c r="CK101" s="1490">
        <f>+W101*KeyAssumptionsPriceControl_FO!AI$15</f>
        <v>0.12298738654248703</v>
      </c>
      <c r="CL101" s="1490">
        <f>+X101*KeyAssumptionsPriceControl_FO!AJ$15</f>
        <v>0.12667700813876165</v>
      </c>
      <c r="CM101" s="1490">
        <f>+Y101*KeyAssumptionsPriceControl_FO!AK$15</f>
        <v>0.13047731838292451</v>
      </c>
      <c r="CN101" s="1491">
        <f>+Z101*KeyAssumptionsPriceControl_FO!AL$15</f>
        <v>0.13439163793441222</v>
      </c>
      <c r="CO101" s="1133"/>
      <c r="CP101" s="1492">
        <f t="shared" ca="1" si="94"/>
        <v>5.1500000000000005E-4</v>
      </c>
      <c r="CQ101" s="1490">
        <f t="shared" ca="1" si="95"/>
        <v>1.5604500000000001E-3</v>
      </c>
      <c r="CR101" s="1490">
        <f t="shared" ca="1" si="96"/>
        <v>2.6372635000000001E-3</v>
      </c>
      <c r="CS101" s="1490">
        <f t="shared" ca="1" si="97"/>
        <v>3.7463814050000001E-3</v>
      </c>
      <c r="CT101" s="1491">
        <f t="shared" ca="1" si="98"/>
        <v>4.8163182175062508E-3</v>
      </c>
      <c r="CU101" s="1492">
        <f t="shared" ca="1" si="99"/>
        <v>6.0697833103431249E-3</v>
      </c>
      <c r="CV101" s="1490">
        <f t="shared" ca="1" si="100"/>
        <v>7.5847371615642943E-3</v>
      </c>
      <c r="CW101" s="1490">
        <f t="shared" ca="1" si="101"/>
        <v>9.1451396283220993E-3</v>
      </c>
      <c r="CX101" s="1490">
        <f t="shared" ca="1" si="102"/>
        <v>1.0752354169082637E-2</v>
      </c>
      <c r="CY101" s="1491">
        <f t="shared" ca="1" si="103"/>
        <v>1.2407785146065994E-2</v>
      </c>
    </row>
    <row r="102" spans="2:103" x14ac:dyDescent="0.3">
      <c r="B102" s="397"/>
      <c r="C102" s="1294" t="s">
        <v>1152</v>
      </c>
      <c r="D102" s="1295"/>
      <c r="E102" s="2097" t="s">
        <v>21</v>
      </c>
      <c r="F102" s="2097" t="s">
        <v>12</v>
      </c>
      <c r="G102" s="1294" t="s">
        <v>14</v>
      </c>
      <c r="H102" s="2349" t="s">
        <v>516</v>
      </c>
      <c r="I102" s="2350"/>
      <c r="J102" s="1292" t="s">
        <v>279</v>
      </c>
      <c r="K102" s="1292" t="s">
        <v>296</v>
      </c>
      <c r="L102" s="1292">
        <v>60</v>
      </c>
      <c r="M102" s="1292">
        <v>60</v>
      </c>
      <c r="O102" s="376"/>
      <c r="P102" s="376"/>
      <c r="Q102" s="2337">
        <v>0.05</v>
      </c>
      <c r="R102" s="2338">
        <v>0.05</v>
      </c>
      <c r="S102" s="2338">
        <v>0.05</v>
      </c>
      <c r="T102" s="2338">
        <v>0.05</v>
      </c>
      <c r="U102" s="2339">
        <v>0.05</v>
      </c>
      <c r="V102" s="2337">
        <v>0.1</v>
      </c>
      <c r="W102" s="2338">
        <v>0.1</v>
      </c>
      <c r="X102" s="2338">
        <v>0.1</v>
      </c>
      <c r="Y102" s="2338">
        <v>0.1</v>
      </c>
      <c r="Z102" s="2339">
        <v>0.1</v>
      </c>
      <c r="AA102" s="1132"/>
      <c r="AB102" s="1129"/>
      <c r="AC102" s="1130"/>
      <c r="AD102" s="1510"/>
      <c r="AE102" s="1130"/>
      <c r="AF102" s="1131"/>
      <c r="AG102" s="1129"/>
      <c r="AH102" s="1510"/>
      <c r="AI102" s="1130"/>
      <c r="AJ102" s="1130"/>
      <c r="AK102" s="1131"/>
      <c r="AL102" s="1132"/>
      <c r="AM102" s="1509"/>
      <c r="AN102" s="1130"/>
      <c r="AO102" s="1510"/>
      <c r="AP102" s="1510"/>
      <c r="AQ102" s="1131"/>
      <c r="AR102" s="1129"/>
      <c r="AS102" s="1130"/>
      <c r="AT102" s="1130"/>
      <c r="AU102" s="1130"/>
      <c r="AV102" s="1131"/>
      <c r="AW102" s="1133"/>
      <c r="AX102" s="1492">
        <f t="shared" si="86"/>
        <v>0.05</v>
      </c>
      <c r="AY102" s="1490">
        <f t="shared" si="87"/>
        <v>0.05</v>
      </c>
      <c r="AZ102" s="1490">
        <f t="shared" si="88"/>
        <v>0.05</v>
      </c>
      <c r="BA102" s="1490">
        <f t="shared" si="89"/>
        <v>0.05</v>
      </c>
      <c r="BB102" s="1491">
        <f t="shared" si="90"/>
        <v>0.05</v>
      </c>
      <c r="BC102" s="1492">
        <f t="shared" si="91"/>
        <v>0.1</v>
      </c>
      <c r="BD102" s="1490">
        <f t="shared" si="92"/>
        <v>0.1</v>
      </c>
      <c r="BE102" s="1490">
        <f t="shared" si="93"/>
        <v>0.1</v>
      </c>
      <c r="BF102" s="1490">
        <f t="shared" si="64"/>
        <v>0.1</v>
      </c>
      <c r="BG102" s="1491">
        <f t="shared" si="65"/>
        <v>0.1</v>
      </c>
      <c r="BH102" s="1133"/>
      <c r="BI102" s="1492">
        <f t="shared" ca="1" si="66"/>
        <v>4.1666666666666669E-4</v>
      </c>
      <c r="BJ102" s="1490">
        <f t="shared" ca="1" si="67"/>
        <v>1.25E-3</v>
      </c>
      <c r="BK102" s="1490">
        <f t="shared" ca="1" si="68"/>
        <v>2.0833333333333333E-3</v>
      </c>
      <c r="BL102" s="1490">
        <f t="shared" ca="1" si="69"/>
        <v>2.9166666666666672E-3</v>
      </c>
      <c r="BM102" s="1491">
        <f t="shared" ca="1" si="70"/>
        <v>3.7500000000000003E-3</v>
      </c>
      <c r="BN102" s="1492">
        <f t="shared" ca="1" si="71"/>
        <v>5.0000000000000001E-3</v>
      </c>
      <c r="BO102" s="1490">
        <f t="shared" ca="1" si="72"/>
        <v>6.6666666666666662E-3</v>
      </c>
      <c r="BP102" s="1490">
        <f t="shared" ca="1" si="73"/>
        <v>8.3333333333333315E-3</v>
      </c>
      <c r="BQ102" s="1490">
        <f t="shared" ca="1" si="74"/>
        <v>9.9999999999999985E-3</v>
      </c>
      <c r="BR102" s="1491">
        <f t="shared" ca="1" si="75"/>
        <v>1.1666666666666665E-2</v>
      </c>
      <c r="BS102" s="1133"/>
      <c r="BT102" s="1492">
        <f>+IF($K102="Ongoing",AX102,IF(RIGHT($K102,2)=RIGHT(BT$39,2),SUM($AX102:AX102),0)+IF(RIGHT(BT$39,2)&gt;RIGHT($K102,2),AX102,0))</f>
        <v>0.05</v>
      </c>
      <c r="BU102" s="1490">
        <f>+IF($K102="Ongoing",AY102,IF(RIGHT($K102,2)=RIGHT(BU$39,2),SUM($AX102:AY102),0)+IF(RIGHT(BU$39,2)&gt;RIGHT($K102,2),AY102,0))</f>
        <v>0.05</v>
      </c>
      <c r="BV102" s="1490">
        <f>+IF($K102="Ongoing",AZ102,IF(RIGHT($K102,2)=RIGHT(BV$39,2),SUM($AX102:AZ102),0)+IF(RIGHT(BV$39,2)&gt;RIGHT($K102,2),AZ102,0))</f>
        <v>0.05</v>
      </c>
      <c r="BW102" s="1490">
        <f>+IF($K102="Ongoing",BA102,IF(RIGHT($K102,2)=RIGHT(BW$39,2),SUM($AX102:BA102),0)+IF(RIGHT(BW$39,2)&gt;RIGHT($K102,2),BA102,0))</f>
        <v>0.05</v>
      </c>
      <c r="BX102" s="1491">
        <f>+IF($K102="Ongoing",BB102,IF(RIGHT($K102,2)=RIGHT(BX$39,2),SUM($AX102:BB102),0)+IF(RIGHT(BX$39,2)&gt;RIGHT($K102,2),BB102,0))</f>
        <v>0.05</v>
      </c>
      <c r="BY102" s="1492">
        <f>+IF($K102="Ongoing",BC102,IF(RIGHT($K102,2)=RIGHT(BY$39,2),SUM($AX102:BC102),0)+IF(RIGHT(BY$39,2)&gt;RIGHT($K102,2),BC102,0))</f>
        <v>0.1</v>
      </c>
      <c r="BZ102" s="1490">
        <f>+IF($K102="Ongoing",BD102,IF(RIGHT($K102,2)=RIGHT(BZ$39,2),SUM($AX102:BD102),0)+IF(RIGHT(BZ$39,2)&gt;RIGHT($K102,2),BD102,0))</f>
        <v>0.1</v>
      </c>
      <c r="CA102" s="1490">
        <f>+IF($K102="Ongoing",BE102,IF(RIGHT($K102,2)=RIGHT(CA$39,2),SUM($AX102:BE102),0)+IF(RIGHT(CA$39,2)&gt;RIGHT($K102,2),BE102,0))</f>
        <v>0.1</v>
      </c>
      <c r="CB102" s="1490">
        <f>+IF($K102="Ongoing",BF102,IF(RIGHT($K102,2)=RIGHT(CB$39,2),SUM($AX102:BF102),0)+IF(RIGHT(CB$39,2)&gt;RIGHT($K102,2),BF102,0))</f>
        <v>0.1</v>
      </c>
      <c r="CC102" s="1491">
        <f>+IF($K102="Ongoing",BG102,IF(RIGHT($K102,2)=RIGHT(CC$39,2),SUM($AX102:BG102),0)+IF(RIGHT(CC$39,2)&gt;RIGHT($K102,2),BG102,0))</f>
        <v>0.1</v>
      </c>
      <c r="CD102" s="1133"/>
      <c r="CE102" s="1492">
        <f>+Q102*KeyAssumptionsPriceControl_FO!AC$15</f>
        <v>5.1500000000000004E-2</v>
      </c>
      <c r="CF102" s="1490">
        <f>+R102*KeyAssumptionsPriceControl_FO!AD$15</f>
        <v>5.3045000000000002E-2</v>
      </c>
      <c r="CG102" s="1490">
        <f>+S102*KeyAssumptionsPriceControl_FO!AE$15</f>
        <v>5.463635E-2</v>
      </c>
      <c r="CH102" s="1490">
        <f>+T102*KeyAssumptionsPriceControl_FO!AF$15</f>
        <v>5.627544050000001E-2</v>
      </c>
      <c r="CI102" s="1491">
        <f>+U102*KeyAssumptionsPriceControl_FO!AG$15</f>
        <v>5.7963703715000009E-2</v>
      </c>
      <c r="CJ102" s="1492">
        <f>+V102*KeyAssumptionsPriceControl_FO!AH$15</f>
        <v>0.11940522965290001</v>
      </c>
      <c r="CK102" s="1490">
        <f>+W102*KeyAssumptionsPriceControl_FO!AI$15</f>
        <v>0.12298738654248703</v>
      </c>
      <c r="CL102" s="1490">
        <f>+X102*KeyAssumptionsPriceControl_FO!AJ$15</f>
        <v>0.12667700813876165</v>
      </c>
      <c r="CM102" s="1490">
        <f>+Y102*KeyAssumptionsPriceControl_FO!AK$15</f>
        <v>0.13047731838292451</v>
      </c>
      <c r="CN102" s="1491">
        <f>+Z102*KeyAssumptionsPriceControl_FO!AL$15</f>
        <v>0.13439163793441222</v>
      </c>
      <c r="CO102" s="1133"/>
      <c r="CP102" s="1492">
        <f t="shared" ca="1" si="94"/>
        <v>4.2916666666666673E-4</v>
      </c>
      <c r="CQ102" s="1490">
        <f t="shared" ca="1" si="95"/>
        <v>1.3003750000000001E-3</v>
      </c>
      <c r="CR102" s="1490">
        <f t="shared" ca="1" si="96"/>
        <v>2.1977195833333333E-3</v>
      </c>
      <c r="CS102" s="1490">
        <f t="shared" ca="1" si="97"/>
        <v>3.1219845041666667E-3</v>
      </c>
      <c r="CT102" s="1491">
        <f t="shared" ca="1" si="98"/>
        <v>4.0739773726249998E-3</v>
      </c>
      <c r="CU102" s="1492">
        <f t="shared" ca="1" si="99"/>
        <v>5.5520518173575008E-3</v>
      </c>
      <c r="CV102" s="1490">
        <f t="shared" ca="1" si="100"/>
        <v>7.571990285652393E-3</v>
      </c>
      <c r="CW102" s="1490">
        <f t="shared" ca="1" si="101"/>
        <v>9.652526907996133E-3</v>
      </c>
      <c r="CX102" s="1490">
        <f t="shared" ca="1" si="102"/>
        <v>1.1795479629010182E-2</v>
      </c>
      <c r="CY102" s="1491">
        <f t="shared" ca="1" si="103"/>
        <v>1.4002720931654656E-2</v>
      </c>
    </row>
    <row r="103" spans="2:103" x14ac:dyDescent="0.3">
      <c r="B103" s="397"/>
      <c r="C103" s="1294" t="s">
        <v>1153</v>
      </c>
      <c r="D103" s="1295"/>
      <c r="E103" s="2097" t="s">
        <v>21</v>
      </c>
      <c r="F103" s="2097" t="s">
        <v>239</v>
      </c>
      <c r="G103" s="1294" t="s">
        <v>14</v>
      </c>
      <c r="H103" s="2349" t="s">
        <v>516</v>
      </c>
      <c r="I103" s="2350"/>
      <c r="J103" s="1292" t="s">
        <v>279</v>
      </c>
      <c r="K103" s="1292" t="s">
        <v>296</v>
      </c>
      <c r="L103" s="1292">
        <v>80</v>
      </c>
      <c r="M103" s="1292">
        <v>80</v>
      </c>
      <c r="O103" s="376"/>
      <c r="P103" s="376"/>
      <c r="Q103" s="2337">
        <v>0</v>
      </c>
      <c r="R103" s="2338">
        <v>0</v>
      </c>
      <c r="S103" s="2338">
        <v>0.05</v>
      </c>
      <c r="T103" s="2338">
        <v>0.05</v>
      </c>
      <c r="U103" s="2339">
        <v>0.05</v>
      </c>
      <c r="V103" s="2337">
        <v>0.25</v>
      </c>
      <c r="W103" s="2338">
        <v>0.25</v>
      </c>
      <c r="X103" s="2338">
        <v>0.25</v>
      </c>
      <c r="Y103" s="2338">
        <v>0.25</v>
      </c>
      <c r="Z103" s="2339">
        <v>0.25</v>
      </c>
      <c r="AA103" s="1132"/>
      <c r="AB103" s="1129"/>
      <c r="AC103" s="1130"/>
      <c r="AD103" s="1510"/>
      <c r="AE103" s="1510"/>
      <c r="AF103" s="1131"/>
      <c r="AG103" s="1129"/>
      <c r="AH103" s="1130"/>
      <c r="AI103" s="1130"/>
      <c r="AJ103" s="1130"/>
      <c r="AK103" s="1131"/>
      <c r="AL103" s="1132"/>
      <c r="AM103" s="1129"/>
      <c r="AN103" s="1130"/>
      <c r="AO103" s="1130"/>
      <c r="AP103" s="1510"/>
      <c r="AQ103" s="1131"/>
      <c r="AR103" s="1129"/>
      <c r="AS103" s="1130"/>
      <c r="AT103" s="1130"/>
      <c r="AU103" s="1510"/>
      <c r="AV103" s="1131"/>
      <c r="AW103" s="1133"/>
      <c r="AX103" s="1492">
        <f t="shared" si="86"/>
        <v>0</v>
      </c>
      <c r="AY103" s="1490">
        <f t="shared" si="87"/>
        <v>0</v>
      </c>
      <c r="AZ103" s="1490">
        <f t="shared" si="88"/>
        <v>0.05</v>
      </c>
      <c r="BA103" s="1490">
        <f t="shared" si="89"/>
        <v>0.05</v>
      </c>
      <c r="BB103" s="1491">
        <f t="shared" si="90"/>
        <v>0.05</v>
      </c>
      <c r="BC103" s="1492">
        <f t="shared" si="91"/>
        <v>0.25</v>
      </c>
      <c r="BD103" s="1490">
        <f t="shared" si="92"/>
        <v>0.25</v>
      </c>
      <c r="BE103" s="1490">
        <f t="shared" si="93"/>
        <v>0.25</v>
      </c>
      <c r="BF103" s="1490">
        <f t="shared" si="64"/>
        <v>0.25</v>
      </c>
      <c r="BG103" s="1491">
        <f t="shared" si="65"/>
        <v>0.25</v>
      </c>
      <c r="BH103" s="1133"/>
      <c r="BI103" s="1492">
        <f t="shared" ca="1" si="66"/>
        <v>0</v>
      </c>
      <c r="BJ103" s="1490">
        <f t="shared" ca="1" si="67"/>
        <v>0</v>
      </c>
      <c r="BK103" s="1490">
        <f t="shared" ca="1" si="68"/>
        <v>3.1250000000000001E-4</v>
      </c>
      <c r="BL103" s="1490">
        <f t="shared" ca="1" si="69"/>
        <v>9.3749999999999997E-4</v>
      </c>
      <c r="BM103" s="1491">
        <f t="shared" ca="1" si="70"/>
        <v>1.5625000000000001E-3</v>
      </c>
      <c r="BN103" s="1492">
        <f t="shared" ca="1" si="71"/>
        <v>3.4375000000000005E-3</v>
      </c>
      <c r="BO103" s="1490">
        <f t="shared" ca="1" si="72"/>
        <v>6.5625000000000006E-3</v>
      </c>
      <c r="BP103" s="1490">
        <f t="shared" ca="1" si="73"/>
        <v>9.6874999999999999E-3</v>
      </c>
      <c r="BQ103" s="1490">
        <f t="shared" ca="1" si="74"/>
        <v>1.2812499999999999E-2</v>
      </c>
      <c r="BR103" s="1491">
        <f t="shared" ca="1" si="75"/>
        <v>1.59375E-2</v>
      </c>
      <c r="BS103" s="1133"/>
      <c r="BT103" s="1492">
        <f>+IF($K103="Ongoing",AX103,IF(RIGHT($K103,2)=RIGHT(BT$39,2),SUM($AX103:AX103),0)+IF(RIGHT(BT$39,2)&gt;RIGHT($K103,2),AX103,0))</f>
        <v>0</v>
      </c>
      <c r="BU103" s="1490">
        <f>+IF($K103="Ongoing",AY103,IF(RIGHT($K103,2)=RIGHT(BU$39,2),SUM($AX103:AY103),0)+IF(RIGHT(BU$39,2)&gt;RIGHT($K103,2),AY103,0))</f>
        <v>0</v>
      </c>
      <c r="BV103" s="1490">
        <f>+IF($K103="Ongoing",AZ103,IF(RIGHT($K103,2)=RIGHT(BV$39,2),SUM($AX103:AZ103),0)+IF(RIGHT(BV$39,2)&gt;RIGHT($K103,2),AZ103,0))</f>
        <v>0.05</v>
      </c>
      <c r="BW103" s="1490">
        <f>+IF($K103="Ongoing",BA103,IF(RIGHT($K103,2)=RIGHT(BW$39,2),SUM($AX103:BA103),0)+IF(RIGHT(BW$39,2)&gt;RIGHT($K103,2),BA103,0))</f>
        <v>0.05</v>
      </c>
      <c r="BX103" s="1491">
        <f>+IF($K103="Ongoing",BB103,IF(RIGHT($K103,2)=RIGHT(BX$39,2),SUM($AX103:BB103),0)+IF(RIGHT(BX$39,2)&gt;RIGHT($K103,2),BB103,0))</f>
        <v>0.05</v>
      </c>
      <c r="BY103" s="1492">
        <f>+IF($K103="Ongoing",BC103,IF(RIGHT($K103,2)=RIGHT(BY$39,2),SUM($AX103:BC103),0)+IF(RIGHT(BY$39,2)&gt;RIGHT($K103,2),BC103,0))</f>
        <v>0.25</v>
      </c>
      <c r="BZ103" s="1490">
        <f>+IF($K103="Ongoing",BD103,IF(RIGHT($K103,2)=RIGHT(BZ$39,2),SUM($AX103:BD103),0)+IF(RIGHT(BZ$39,2)&gt;RIGHT($K103,2),BD103,0))</f>
        <v>0.25</v>
      </c>
      <c r="CA103" s="1490">
        <f>+IF($K103="Ongoing",BE103,IF(RIGHT($K103,2)=RIGHT(CA$39,2),SUM($AX103:BE103),0)+IF(RIGHT(CA$39,2)&gt;RIGHT($K103,2),BE103,0))</f>
        <v>0.25</v>
      </c>
      <c r="CB103" s="1490">
        <f>+IF($K103="Ongoing",BF103,IF(RIGHT($K103,2)=RIGHT(CB$39,2),SUM($AX103:BF103),0)+IF(RIGHT(CB$39,2)&gt;RIGHT($K103,2),BF103,0))</f>
        <v>0.25</v>
      </c>
      <c r="CC103" s="1491">
        <f>+IF($K103="Ongoing",BG103,IF(RIGHT($K103,2)=RIGHT(CC$39,2),SUM($AX103:BG103),0)+IF(RIGHT(CC$39,2)&gt;RIGHT($K103,2),BG103,0))</f>
        <v>0.25</v>
      </c>
      <c r="CD103" s="1133"/>
      <c r="CE103" s="1492">
        <f>+Q103*KeyAssumptionsPriceControl_FO!AC$15</f>
        <v>0</v>
      </c>
      <c r="CF103" s="1490">
        <f>+R103*KeyAssumptionsPriceControl_FO!AD$15</f>
        <v>0</v>
      </c>
      <c r="CG103" s="1490">
        <f>+S103*KeyAssumptionsPriceControl_FO!AE$15</f>
        <v>5.463635E-2</v>
      </c>
      <c r="CH103" s="1490">
        <f>+T103*KeyAssumptionsPriceControl_FO!AF$15</f>
        <v>5.627544050000001E-2</v>
      </c>
      <c r="CI103" s="1491">
        <f>+U103*KeyAssumptionsPriceControl_FO!AG$15</f>
        <v>5.7963703715000009E-2</v>
      </c>
      <c r="CJ103" s="1492">
        <f>+V103*KeyAssumptionsPriceControl_FO!AH$15</f>
        <v>0.29851307413225003</v>
      </c>
      <c r="CK103" s="1490">
        <f>+W103*KeyAssumptionsPriceControl_FO!AI$15</f>
        <v>0.30746846635621755</v>
      </c>
      <c r="CL103" s="1490">
        <f>+X103*KeyAssumptionsPriceControl_FO!AJ$15</f>
        <v>0.31669252034690409</v>
      </c>
      <c r="CM103" s="1490">
        <f>+Y103*KeyAssumptionsPriceControl_FO!AK$15</f>
        <v>0.32619329595731122</v>
      </c>
      <c r="CN103" s="1491">
        <f>+Z103*KeyAssumptionsPriceControl_FO!AL$15</f>
        <v>0.33597909483603056</v>
      </c>
      <c r="CO103" s="1133"/>
      <c r="CP103" s="1492">
        <f t="shared" ca="1" si="94"/>
        <v>0</v>
      </c>
      <c r="CQ103" s="1490">
        <f t="shared" ca="1" si="95"/>
        <v>0</v>
      </c>
      <c r="CR103" s="1490">
        <f t="shared" ca="1" si="96"/>
        <v>3.4147718749999998E-4</v>
      </c>
      <c r="CS103" s="1490">
        <f t="shared" ca="1" si="97"/>
        <v>1.0346758781249999E-3</v>
      </c>
      <c r="CT103" s="1491">
        <f t="shared" ca="1" si="98"/>
        <v>1.74867052946875E-3</v>
      </c>
      <c r="CU103" s="1492">
        <f t="shared" ca="1" si="99"/>
        <v>3.9766503910140631E-3</v>
      </c>
      <c r="CV103" s="1490">
        <f t="shared" ca="1" si="100"/>
        <v>7.7640350190669857E-3</v>
      </c>
      <c r="CW103" s="1490">
        <f t="shared" ca="1" si="101"/>
        <v>1.1665041185961494E-2</v>
      </c>
      <c r="CX103" s="1490">
        <f t="shared" ca="1" si="102"/>
        <v>1.5683077537862838E-2</v>
      </c>
      <c r="CY103" s="1491">
        <f t="shared" ca="1" si="103"/>
        <v>1.9821654980321228E-2</v>
      </c>
    </row>
    <row r="104" spans="2:103" x14ac:dyDescent="0.3">
      <c r="B104" s="397"/>
      <c r="C104" s="1294" t="s">
        <v>1154</v>
      </c>
      <c r="D104" s="1295"/>
      <c r="E104" s="2097" t="s">
        <v>22</v>
      </c>
      <c r="F104" s="2097" t="s">
        <v>239</v>
      </c>
      <c r="G104" s="1294" t="s">
        <v>10</v>
      </c>
      <c r="H104" s="2349" t="s">
        <v>516</v>
      </c>
      <c r="I104" s="2350"/>
      <c r="J104" s="1292" t="s">
        <v>279</v>
      </c>
      <c r="K104" s="1292" t="s">
        <v>296</v>
      </c>
      <c r="L104" s="1292">
        <v>10</v>
      </c>
      <c r="M104" s="1292">
        <v>10</v>
      </c>
      <c r="O104" s="376"/>
      <c r="P104" s="376"/>
      <c r="Q104" s="2337">
        <v>0.11</v>
      </c>
      <c r="R104" s="2338">
        <v>0.01</v>
      </c>
      <c r="S104" s="2338">
        <v>0.01</v>
      </c>
      <c r="T104" s="2338">
        <v>0.01</v>
      </c>
      <c r="U104" s="2339">
        <v>0.01</v>
      </c>
      <c r="V104" s="2337">
        <v>0.01</v>
      </c>
      <c r="W104" s="2338">
        <v>0.01</v>
      </c>
      <c r="X104" s="2338">
        <v>0.01</v>
      </c>
      <c r="Y104" s="2338">
        <v>0.01</v>
      </c>
      <c r="Z104" s="2339">
        <v>0.01</v>
      </c>
      <c r="AA104" s="1132"/>
      <c r="AB104" s="1129"/>
      <c r="AC104" s="1130"/>
      <c r="AD104" s="1510"/>
      <c r="AE104" s="1130"/>
      <c r="AF104" s="1131"/>
      <c r="AG104" s="1129"/>
      <c r="AH104" s="1510"/>
      <c r="AI104" s="1130"/>
      <c r="AJ104" s="1130"/>
      <c r="AK104" s="1131"/>
      <c r="AL104" s="1132"/>
      <c r="AM104" s="1509"/>
      <c r="AN104" s="1130"/>
      <c r="AO104" s="1510"/>
      <c r="AP104" s="1510"/>
      <c r="AQ104" s="1131"/>
      <c r="AR104" s="1129"/>
      <c r="AS104" s="1130"/>
      <c r="AT104" s="1130"/>
      <c r="AU104" s="1130"/>
      <c r="AV104" s="1131"/>
      <c r="AW104" s="1133"/>
      <c r="AX104" s="1492">
        <f t="shared" si="86"/>
        <v>0.11</v>
      </c>
      <c r="AY104" s="1490">
        <f t="shared" si="87"/>
        <v>0.01</v>
      </c>
      <c r="AZ104" s="1490">
        <f t="shared" si="88"/>
        <v>0.01</v>
      </c>
      <c r="BA104" s="1490">
        <f t="shared" si="89"/>
        <v>0.01</v>
      </c>
      <c r="BB104" s="1491">
        <f t="shared" si="90"/>
        <v>0.01</v>
      </c>
      <c r="BC104" s="1492">
        <f t="shared" si="91"/>
        <v>0.01</v>
      </c>
      <c r="BD104" s="1490">
        <f t="shared" si="92"/>
        <v>0.01</v>
      </c>
      <c r="BE104" s="1490">
        <f t="shared" si="93"/>
        <v>0.01</v>
      </c>
      <c r="BF104" s="1490">
        <f t="shared" si="64"/>
        <v>0.01</v>
      </c>
      <c r="BG104" s="1491">
        <f t="shared" si="65"/>
        <v>0.01</v>
      </c>
      <c r="BH104" s="1133"/>
      <c r="BI104" s="1492">
        <f t="shared" ca="1" si="66"/>
        <v>5.4999999999999997E-3</v>
      </c>
      <c r="BJ104" s="1490">
        <f t="shared" ca="1" si="67"/>
        <v>1.15E-2</v>
      </c>
      <c r="BK104" s="1490">
        <f t="shared" ca="1" si="68"/>
        <v>1.2500000000000001E-2</v>
      </c>
      <c r="BL104" s="1490">
        <f t="shared" ca="1" si="69"/>
        <v>1.3500000000000002E-2</v>
      </c>
      <c r="BM104" s="1491">
        <f t="shared" ca="1" si="70"/>
        <v>1.4500000000000002E-2</v>
      </c>
      <c r="BN104" s="1492">
        <f t="shared" ca="1" si="71"/>
        <v>1.5500000000000003E-2</v>
      </c>
      <c r="BO104" s="1490">
        <f t="shared" ca="1" si="72"/>
        <v>1.6500000000000004E-2</v>
      </c>
      <c r="BP104" s="1490">
        <f t="shared" ca="1" si="73"/>
        <v>1.7500000000000005E-2</v>
      </c>
      <c r="BQ104" s="1490">
        <f t="shared" ca="1" si="74"/>
        <v>1.8500000000000006E-2</v>
      </c>
      <c r="BR104" s="1491">
        <f t="shared" ca="1" si="75"/>
        <v>1.9500000000000007E-2</v>
      </c>
      <c r="BS104" s="1133"/>
      <c r="BT104" s="1492">
        <f>+IF($K104="Ongoing",AX104,IF(RIGHT($K104,2)=RIGHT(BT$39,2),SUM($AX104:AX104),0)+IF(RIGHT(BT$39,2)&gt;RIGHT($K104,2),AX104,0))</f>
        <v>0.11</v>
      </c>
      <c r="BU104" s="1490">
        <f>+IF($K104="Ongoing",AY104,IF(RIGHT($K104,2)=RIGHT(BU$39,2),SUM($AX104:AY104),0)+IF(RIGHT(BU$39,2)&gt;RIGHT($K104,2),AY104,0))</f>
        <v>0.01</v>
      </c>
      <c r="BV104" s="1490">
        <f>+IF($K104="Ongoing",AZ104,IF(RIGHT($K104,2)=RIGHT(BV$39,2),SUM($AX104:AZ104),0)+IF(RIGHT(BV$39,2)&gt;RIGHT($K104,2),AZ104,0))</f>
        <v>0.01</v>
      </c>
      <c r="BW104" s="1490">
        <f>+IF($K104="Ongoing",BA104,IF(RIGHT($K104,2)=RIGHT(BW$39,2),SUM($AX104:BA104),0)+IF(RIGHT(BW$39,2)&gt;RIGHT($K104,2),BA104,0))</f>
        <v>0.01</v>
      </c>
      <c r="BX104" s="1491">
        <f>+IF($K104="Ongoing",BB104,IF(RIGHT($K104,2)=RIGHT(BX$39,2),SUM($AX104:BB104),0)+IF(RIGHT(BX$39,2)&gt;RIGHT($K104,2),BB104,0))</f>
        <v>0.01</v>
      </c>
      <c r="BY104" s="1492">
        <f>+IF($K104="Ongoing",BC104,IF(RIGHT($K104,2)=RIGHT(BY$39,2),SUM($AX104:BC104),0)+IF(RIGHT(BY$39,2)&gt;RIGHT($K104,2),BC104,0))</f>
        <v>0.01</v>
      </c>
      <c r="BZ104" s="1490">
        <f>+IF($K104="Ongoing",BD104,IF(RIGHT($K104,2)=RIGHT(BZ$39,2),SUM($AX104:BD104),0)+IF(RIGHT(BZ$39,2)&gt;RIGHT($K104,2),BD104,0))</f>
        <v>0.01</v>
      </c>
      <c r="CA104" s="1490">
        <f>+IF($K104="Ongoing",BE104,IF(RIGHT($K104,2)=RIGHT(CA$39,2),SUM($AX104:BE104),0)+IF(RIGHT(CA$39,2)&gt;RIGHT($K104,2),BE104,0))</f>
        <v>0.01</v>
      </c>
      <c r="CB104" s="1490">
        <f>+IF($K104="Ongoing",BF104,IF(RIGHT($K104,2)=RIGHT(CB$39,2),SUM($AX104:BF104),0)+IF(RIGHT(CB$39,2)&gt;RIGHT($K104,2),BF104,0))</f>
        <v>0.01</v>
      </c>
      <c r="CC104" s="1491">
        <f>+IF($K104="Ongoing",BG104,IF(RIGHT($K104,2)=RIGHT(CC$39,2),SUM($AX104:BG104),0)+IF(RIGHT(CC$39,2)&gt;RIGHT($K104,2),BG104,0))</f>
        <v>0.01</v>
      </c>
      <c r="CD104" s="1133"/>
      <c r="CE104" s="1492">
        <f>+Q104*KeyAssumptionsPriceControl_FO!AC$15</f>
        <v>0.1133</v>
      </c>
      <c r="CF104" s="1490">
        <f>+R104*KeyAssumptionsPriceControl_FO!AD$15</f>
        <v>1.0609E-2</v>
      </c>
      <c r="CG104" s="1490">
        <f>+S104*KeyAssumptionsPriceControl_FO!AE$15</f>
        <v>1.0927270000000001E-2</v>
      </c>
      <c r="CH104" s="1490">
        <f>+T104*KeyAssumptionsPriceControl_FO!AF$15</f>
        <v>1.1255088100000001E-2</v>
      </c>
      <c r="CI104" s="1491">
        <f>+U104*KeyAssumptionsPriceControl_FO!AG$15</f>
        <v>1.1592740743000001E-2</v>
      </c>
      <c r="CJ104" s="1492">
        <f>+V104*KeyAssumptionsPriceControl_FO!AH$15</f>
        <v>1.1940522965290001E-2</v>
      </c>
      <c r="CK104" s="1490">
        <f>+W104*KeyAssumptionsPriceControl_FO!AI$15</f>
        <v>1.2298738654248702E-2</v>
      </c>
      <c r="CL104" s="1490">
        <f>+X104*KeyAssumptionsPriceControl_FO!AJ$15</f>
        <v>1.2667700813876165E-2</v>
      </c>
      <c r="CM104" s="1490">
        <f>+Y104*KeyAssumptionsPriceControl_FO!AK$15</f>
        <v>1.3047731838292449E-2</v>
      </c>
      <c r="CN104" s="1491">
        <f>+Z104*KeyAssumptionsPriceControl_FO!AL$15</f>
        <v>1.3439163793441223E-2</v>
      </c>
      <c r="CO104" s="1133"/>
      <c r="CP104" s="1492">
        <f t="shared" ca="1" si="94"/>
        <v>5.6649999999999999E-3</v>
      </c>
      <c r="CQ104" s="1490">
        <f t="shared" ca="1" si="95"/>
        <v>1.186045E-2</v>
      </c>
      <c r="CR104" s="1490">
        <f t="shared" ca="1" si="96"/>
        <v>1.2937263500000001E-2</v>
      </c>
      <c r="CS104" s="1490">
        <f t="shared" ca="1" si="97"/>
        <v>1.4046381404999999E-2</v>
      </c>
      <c r="CT104" s="1491">
        <f t="shared" ca="1" si="98"/>
        <v>1.5188772847149997E-2</v>
      </c>
      <c r="CU104" s="1492">
        <f t="shared" ca="1" si="99"/>
        <v>1.6365436032564497E-2</v>
      </c>
      <c r="CV104" s="1490">
        <f t="shared" ca="1" si="100"/>
        <v>1.7577399113541434E-2</v>
      </c>
      <c r="CW104" s="1490">
        <f t="shared" ca="1" si="101"/>
        <v>1.8825721086947682E-2</v>
      </c>
      <c r="CX104" s="1490">
        <f t="shared" ca="1" si="102"/>
        <v>2.0111492719556111E-2</v>
      </c>
      <c r="CY104" s="1491">
        <f t="shared" ca="1" si="103"/>
        <v>2.143583750114279E-2</v>
      </c>
    </row>
    <row r="105" spans="2:103" x14ac:dyDescent="0.3">
      <c r="B105" s="397"/>
      <c r="C105" s="1294" t="s">
        <v>1155</v>
      </c>
      <c r="D105" s="1295"/>
      <c r="E105" s="2097" t="s">
        <v>22</v>
      </c>
      <c r="F105" s="2097" t="s">
        <v>512</v>
      </c>
      <c r="G105" s="1294" t="s">
        <v>10</v>
      </c>
      <c r="H105" s="2349" t="s">
        <v>516</v>
      </c>
      <c r="I105" s="2350"/>
      <c r="J105" s="1292" t="s">
        <v>279</v>
      </c>
      <c r="K105" s="1292" t="s">
        <v>296</v>
      </c>
      <c r="L105" s="1292">
        <v>10</v>
      </c>
      <c r="M105" s="1292">
        <v>10</v>
      </c>
      <c r="O105" s="376"/>
      <c r="P105" s="376"/>
      <c r="Q105" s="2337">
        <v>2.5000000000000001E-2</v>
      </c>
      <c r="R105" s="2338">
        <v>2.5000000000000001E-2</v>
      </c>
      <c r="S105" s="2338">
        <v>2.5000000000000001E-2</v>
      </c>
      <c r="T105" s="2338">
        <v>2.5000000000000001E-2</v>
      </c>
      <c r="U105" s="2339">
        <v>2.5000000000000001E-2</v>
      </c>
      <c r="V105" s="2337">
        <v>2.5000000000000001E-2</v>
      </c>
      <c r="W105" s="2338">
        <v>2.5000000000000001E-2</v>
      </c>
      <c r="X105" s="2338">
        <v>2.5000000000000001E-2</v>
      </c>
      <c r="Y105" s="2338">
        <v>2.5000000000000001E-2</v>
      </c>
      <c r="Z105" s="2339">
        <v>2.5000000000000001E-2</v>
      </c>
      <c r="AA105" s="1132"/>
      <c r="AB105" s="1129"/>
      <c r="AC105" s="1130"/>
      <c r="AD105" s="1510"/>
      <c r="AE105" s="1130"/>
      <c r="AF105" s="1131"/>
      <c r="AG105" s="1129"/>
      <c r="AH105" s="1510"/>
      <c r="AI105" s="1130"/>
      <c r="AJ105" s="1130"/>
      <c r="AK105" s="1131"/>
      <c r="AL105" s="1132"/>
      <c r="AM105" s="1509"/>
      <c r="AN105" s="1130"/>
      <c r="AO105" s="1510"/>
      <c r="AP105" s="1510"/>
      <c r="AQ105" s="1131"/>
      <c r="AR105" s="1129"/>
      <c r="AS105" s="1130"/>
      <c r="AT105" s="1130"/>
      <c r="AU105" s="1130"/>
      <c r="AV105" s="1131"/>
      <c r="AW105" s="1133"/>
      <c r="AX105" s="1492">
        <f t="shared" si="86"/>
        <v>2.5000000000000001E-2</v>
      </c>
      <c r="AY105" s="1490">
        <f t="shared" si="87"/>
        <v>2.5000000000000001E-2</v>
      </c>
      <c r="AZ105" s="1490">
        <f t="shared" si="88"/>
        <v>2.5000000000000001E-2</v>
      </c>
      <c r="BA105" s="1490">
        <f t="shared" si="89"/>
        <v>2.5000000000000001E-2</v>
      </c>
      <c r="BB105" s="1491">
        <f t="shared" si="90"/>
        <v>2.5000000000000001E-2</v>
      </c>
      <c r="BC105" s="1492">
        <f t="shared" si="91"/>
        <v>2.5000000000000001E-2</v>
      </c>
      <c r="BD105" s="1490">
        <f t="shared" si="92"/>
        <v>2.5000000000000001E-2</v>
      </c>
      <c r="BE105" s="1490">
        <f t="shared" si="93"/>
        <v>2.5000000000000001E-2</v>
      </c>
      <c r="BF105" s="1490">
        <f t="shared" si="64"/>
        <v>2.5000000000000001E-2</v>
      </c>
      <c r="BG105" s="1491">
        <f t="shared" si="65"/>
        <v>2.5000000000000001E-2</v>
      </c>
      <c r="BH105" s="1133"/>
      <c r="BI105" s="1492">
        <f t="shared" ca="1" si="66"/>
        <v>1.25E-3</v>
      </c>
      <c r="BJ105" s="1490">
        <f t="shared" ca="1" si="67"/>
        <v>3.7499999999999999E-3</v>
      </c>
      <c r="BK105" s="1490">
        <f t="shared" ca="1" si="68"/>
        <v>6.2500000000000003E-3</v>
      </c>
      <c r="BL105" s="1490">
        <f t="shared" ca="1" si="69"/>
        <v>8.7500000000000008E-3</v>
      </c>
      <c r="BM105" s="1491">
        <f t="shared" ca="1" si="70"/>
        <v>1.125E-2</v>
      </c>
      <c r="BN105" s="1492">
        <f t="shared" ca="1" si="71"/>
        <v>1.375E-2</v>
      </c>
      <c r="BO105" s="1490">
        <f t="shared" ca="1" si="72"/>
        <v>1.6250000000000001E-2</v>
      </c>
      <c r="BP105" s="1490">
        <f t="shared" ca="1" si="73"/>
        <v>1.8749999999999999E-2</v>
      </c>
      <c r="BQ105" s="1490">
        <f t="shared" ca="1" si="74"/>
        <v>2.1249999999999998E-2</v>
      </c>
      <c r="BR105" s="1491">
        <f t="shared" ca="1" si="75"/>
        <v>2.375E-2</v>
      </c>
      <c r="BS105" s="1133"/>
      <c r="BT105" s="1492">
        <f>+IF($K105="Ongoing",AX105,IF(RIGHT($K105,2)=RIGHT(BT$39,2),SUM($AX105:AX105),0)+IF(RIGHT(BT$39,2)&gt;RIGHT($K105,2),AX105,0))</f>
        <v>2.5000000000000001E-2</v>
      </c>
      <c r="BU105" s="1490">
        <f>+IF($K105="Ongoing",AY105,IF(RIGHT($K105,2)=RIGHT(BU$39,2),SUM($AX105:AY105),0)+IF(RIGHT(BU$39,2)&gt;RIGHT($K105,2),AY105,0))</f>
        <v>2.5000000000000001E-2</v>
      </c>
      <c r="BV105" s="1490">
        <f>+IF($K105="Ongoing",AZ105,IF(RIGHT($K105,2)=RIGHT(BV$39,2),SUM($AX105:AZ105),0)+IF(RIGHT(BV$39,2)&gt;RIGHT($K105,2),AZ105,0))</f>
        <v>2.5000000000000001E-2</v>
      </c>
      <c r="BW105" s="1490">
        <f>+IF($K105="Ongoing",BA105,IF(RIGHT($K105,2)=RIGHT(BW$39,2),SUM($AX105:BA105),0)+IF(RIGHT(BW$39,2)&gt;RIGHT($K105,2),BA105,0))</f>
        <v>2.5000000000000001E-2</v>
      </c>
      <c r="BX105" s="1491">
        <f>+IF($K105="Ongoing",BB105,IF(RIGHT($K105,2)=RIGHT(BX$39,2),SUM($AX105:BB105),0)+IF(RIGHT(BX$39,2)&gt;RIGHT($K105,2),BB105,0))</f>
        <v>2.5000000000000001E-2</v>
      </c>
      <c r="BY105" s="1492">
        <f>+IF($K105="Ongoing",BC105,IF(RIGHT($K105,2)=RIGHT(BY$39,2),SUM($AX105:BC105),0)+IF(RIGHT(BY$39,2)&gt;RIGHT($K105,2),BC105,0))</f>
        <v>2.5000000000000001E-2</v>
      </c>
      <c r="BZ105" s="1490">
        <f>+IF($K105="Ongoing",BD105,IF(RIGHT($K105,2)=RIGHT(BZ$39,2),SUM($AX105:BD105),0)+IF(RIGHT(BZ$39,2)&gt;RIGHT($K105,2),BD105,0))</f>
        <v>2.5000000000000001E-2</v>
      </c>
      <c r="CA105" s="1490">
        <f>+IF($K105="Ongoing",BE105,IF(RIGHT($K105,2)=RIGHT(CA$39,2),SUM($AX105:BE105),0)+IF(RIGHT(CA$39,2)&gt;RIGHT($K105,2),BE105,0))</f>
        <v>2.5000000000000001E-2</v>
      </c>
      <c r="CB105" s="1490">
        <f>+IF($K105="Ongoing",BF105,IF(RIGHT($K105,2)=RIGHT(CB$39,2),SUM($AX105:BF105),0)+IF(RIGHT(CB$39,2)&gt;RIGHT($K105,2),BF105,0))</f>
        <v>2.5000000000000001E-2</v>
      </c>
      <c r="CC105" s="1491">
        <f>+IF($K105="Ongoing",BG105,IF(RIGHT($K105,2)=RIGHT(CC$39,2),SUM($AX105:BG105),0)+IF(RIGHT(CC$39,2)&gt;RIGHT($K105,2),BG105,0))</f>
        <v>2.5000000000000001E-2</v>
      </c>
      <c r="CD105" s="1133"/>
      <c r="CE105" s="1492">
        <f>+Q105*KeyAssumptionsPriceControl_FO!AC$15</f>
        <v>2.5750000000000002E-2</v>
      </c>
      <c r="CF105" s="1490">
        <f>+R105*KeyAssumptionsPriceControl_FO!AD$15</f>
        <v>2.6522500000000001E-2</v>
      </c>
      <c r="CG105" s="1490">
        <f>+S105*KeyAssumptionsPriceControl_FO!AE$15</f>
        <v>2.7318175E-2</v>
      </c>
      <c r="CH105" s="1490">
        <f>+T105*KeyAssumptionsPriceControl_FO!AF$15</f>
        <v>2.8137720250000005E-2</v>
      </c>
      <c r="CI105" s="1491">
        <f>+U105*KeyAssumptionsPriceControl_FO!AG$15</f>
        <v>2.8981851857500004E-2</v>
      </c>
      <c r="CJ105" s="1492">
        <f>+V105*KeyAssumptionsPriceControl_FO!AH$15</f>
        <v>2.9851307413225003E-2</v>
      </c>
      <c r="CK105" s="1490">
        <f>+W105*KeyAssumptionsPriceControl_FO!AI$15</f>
        <v>3.0746846635621758E-2</v>
      </c>
      <c r="CL105" s="1490">
        <f>+X105*KeyAssumptionsPriceControl_FO!AJ$15</f>
        <v>3.1669252034690412E-2</v>
      </c>
      <c r="CM105" s="1490">
        <f>+Y105*KeyAssumptionsPriceControl_FO!AK$15</f>
        <v>3.2619329595731127E-2</v>
      </c>
      <c r="CN105" s="1491">
        <f>+Z105*KeyAssumptionsPriceControl_FO!AL$15</f>
        <v>3.3597909483603056E-2</v>
      </c>
      <c r="CO105" s="1133"/>
      <c r="CP105" s="1492">
        <f t="shared" ca="1" si="94"/>
        <v>1.2875E-3</v>
      </c>
      <c r="CQ105" s="1490">
        <f t="shared" ca="1" si="95"/>
        <v>3.9011250000000001E-3</v>
      </c>
      <c r="CR105" s="1490">
        <f t="shared" ca="1" si="96"/>
        <v>6.5931587499999996E-3</v>
      </c>
      <c r="CS105" s="1490">
        <f t="shared" ca="1" si="97"/>
        <v>9.3659535125000005E-3</v>
      </c>
      <c r="CT105" s="1491">
        <f t="shared" ca="1" si="98"/>
        <v>1.2221932117874999E-2</v>
      </c>
      <c r="CU105" s="1492">
        <f t="shared" ca="1" si="99"/>
        <v>1.516359008141125E-2</v>
      </c>
      <c r="CV105" s="1490">
        <f t="shared" ca="1" si="100"/>
        <v>1.8193497783853593E-2</v>
      </c>
      <c r="CW105" s="1490">
        <f t="shared" ca="1" si="101"/>
        <v>2.1314302717369199E-2</v>
      </c>
      <c r="CX105" s="1490">
        <f t="shared" ca="1" si="102"/>
        <v>2.4528731798890275E-2</v>
      </c>
      <c r="CY105" s="1491">
        <f t="shared" ca="1" si="103"/>
        <v>2.7839593752856984E-2</v>
      </c>
    </row>
    <row r="106" spans="2:103" x14ac:dyDescent="0.3">
      <c r="B106" s="397"/>
      <c r="C106" s="1294" t="s">
        <v>1156</v>
      </c>
      <c r="D106" s="1295"/>
      <c r="E106" s="2097" t="s">
        <v>22</v>
      </c>
      <c r="F106" s="2097" t="s">
        <v>512</v>
      </c>
      <c r="G106" s="1294" t="s">
        <v>14</v>
      </c>
      <c r="H106" s="2349" t="s">
        <v>516</v>
      </c>
      <c r="I106" s="2350"/>
      <c r="J106" s="1292" t="s">
        <v>279</v>
      </c>
      <c r="K106" s="1292" t="s">
        <v>296</v>
      </c>
      <c r="L106" s="1292">
        <v>60</v>
      </c>
      <c r="M106" s="1292">
        <v>60</v>
      </c>
      <c r="O106" s="376"/>
      <c r="P106" s="376"/>
      <c r="Q106" s="2337">
        <v>0</v>
      </c>
      <c r="R106" s="2338">
        <v>0</v>
      </c>
      <c r="S106" s="2338">
        <v>0.05</v>
      </c>
      <c r="T106" s="2338">
        <v>0.05</v>
      </c>
      <c r="U106" s="2339">
        <v>0</v>
      </c>
      <c r="V106" s="2337">
        <v>0.15</v>
      </c>
      <c r="W106" s="2338">
        <v>0.15</v>
      </c>
      <c r="X106" s="2338">
        <v>0.15</v>
      </c>
      <c r="Y106" s="2338">
        <v>0.15</v>
      </c>
      <c r="Z106" s="2339">
        <v>0.15</v>
      </c>
      <c r="AA106" s="1132"/>
      <c r="AB106" s="1129"/>
      <c r="AC106" s="1130"/>
      <c r="AD106" s="1510"/>
      <c r="AE106" s="1130"/>
      <c r="AF106" s="1131"/>
      <c r="AG106" s="1129"/>
      <c r="AH106" s="1510"/>
      <c r="AI106" s="1130"/>
      <c r="AJ106" s="1130"/>
      <c r="AK106" s="1131"/>
      <c r="AL106" s="1132"/>
      <c r="AM106" s="1509"/>
      <c r="AN106" s="1130"/>
      <c r="AO106" s="1510"/>
      <c r="AP106" s="1510"/>
      <c r="AQ106" s="1131"/>
      <c r="AR106" s="1129"/>
      <c r="AS106" s="1130"/>
      <c r="AT106" s="1130"/>
      <c r="AU106" s="1130"/>
      <c r="AV106" s="1131"/>
      <c r="AW106" s="1133"/>
      <c r="AX106" s="1492">
        <f t="shared" si="86"/>
        <v>0</v>
      </c>
      <c r="AY106" s="1490">
        <f t="shared" si="87"/>
        <v>0</v>
      </c>
      <c r="AZ106" s="1490">
        <f t="shared" si="88"/>
        <v>0.05</v>
      </c>
      <c r="BA106" s="1490">
        <f t="shared" si="89"/>
        <v>0.05</v>
      </c>
      <c r="BB106" s="1491">
        <f t="shared" si="90"/>
        <v>0</v>
      </c>
      <c r="BC106" s="1492">
        <f t="shared" si="91"/>
        <v>0.15</v>
      </c>
      <c r="BD106" s="1490">
        <f t="shared" si="92"/>
        <v>0.15</v>
      </c>
      <c r="BE106" s="1490">
        <f t="shared" si="93"/>
        <v>0.15</v>
      </c>
      <c r="BF106" s="1490">
        <f t="shared" si="64"/>
        <v>0.15</v>
      </c>
      <c r="BG106" s="1491">
        <f t="shared" si="65"/>
        <v>0.15</v>
      </c>
      <c r="BH106" s="1133"/>
      <c r="BI106" s="1492">
        <f t="shared" ca="1" si="66"/>
        <v>0</v>
      </c>
      <c r="BJ106" s="1490">
        <f t="shared" ca="1" si="67"/>
        <v>0</v>
      </c>
      <c r="BK106" s="1490">
        <f t="shared" ca="1" si="68"/>
        <v>4.1666666666666669E-4</v>
      </c>
      <c r="BL106" s="1490">
        <f t="shared" ca="1" si="69"/>
        <v>1.25E-3</v>
      </c>
      <c r="BM106" s="1491">
        <f t="shared" ca="1" si="70"/>
        <v>1.6666666666666668E-3</v>
      </c>
      <c r="BN106" s="1492">
        <f t="shared" ca="1" si="71"/>
        <v>2.9166666666666668E-3</v>
      </c>
      <c r="BO106" s="1490">
        <f t="shared" ca="1" si="72"/>
        <v>5.4166666666666669E-3</v>
      </c>
      <c r="BP106" s="1490">
        <f t="shared" ca="1" si="73"/>
        <v>7.9166666666666673E-3</v>
      </c>
      <c r="BQ106" s="1490">
        <f t="shared" ca="1" si="74"/>
        <v>1.0416666666666666E-2</v>
      </c>
      <c r="BR106" s="1491">
        <f t="shared" ca="1" si="75"/>
        <v>1.2916666666666667E-2</v>
      </c>
      <c r="BS106" s="1133"/>
      <c r="BT106" s="1492">
        <f>+IF($K106="Ongoing",AX106,IF(RIGHT($K106,2)=RIGHT(BT$39,2),SUM($AX106:AX106),0)+IF(RIGHT(BT$39,2)&gt;RIGHT($K106,2),AX106,0))</f>
        <v>0</v>
      </c>
      <c r="BU106" s="1490">
        <f>+IF($K106="Ongoing",AY106,IF(RIGHT($K106,2)=RIGHT(BU$39,2),SUM($AX106:AY106),0)+IF(RIGHT(BU$39,2)&gt;RIGHT($K106,2),AY106,0))</f>
        <v>0</v>
      </c>
      <c r="BV106" s="1490">
        <f>+IF($K106="Ongoing",AZ106,IF(RIGHT($K106,2)=RIGHT(BV$39,2),SUM($AX106:AZ106),0)+IF(RIGHT(BV$39,2)&gt;RIGHT($K106,2),AZ106,0))</f>
        <v>0.05</v>
      </c>
      <c r="BW106" s="1490">
        <f>+IF($K106="Ongoing",BA106,IF(RIGHT($K106,2)=RIGHT(BW$39,2),SUM($AX106:BA106),0)+IF(RIGHT(BW$39,2)&gt;RIGHT($K106,2),BA106,0))</f>
        <v>0.05</v>
      </c>
      <c r="BX106" s="1491">
        <f>+IF($K106="Ongoing",BB106,IF(RIGHT($K106,2)=RIGHT(BX$39,2),SUM($AX106:BB106),0)+IF(RIGHT(BX$39,2)&gt;RIGHT($K106,2),BB106,0))</f>
        <v>0</v>
      </c>
      <c r="BY106" s="1492">
        <f>+IF($K106="Ongoing",BC106,IF(RIGHT($K106,2)=RIGHT(BY$39,2),SUM($AX106:BC106),0)+IF(RIGHT(BY$39,2)&gt;RIGHT($K106,2),BC106,0))</f>
        <v>0.15</v>
      </c>
      <c r="BZ106" s="1490">
        <f>+IF($K106="Ongoing",BD106,IF(RIGHT($K106,2)=RIGHT(BZ$39,2),SUM($AX106:BD106),0)+IF(RIGHT(BZ$39,2)&gt;RIGHT($K106,2),BD106,0))</f>
        <v>0.15</v>
      </c>
      <c r="CA106" s="1490">
        <f>+IF($K106="Ongoing",BE106,IF(RIGHT($K106,2)=RIGHT(CA$39,2),SUM($AX106:BE106),0)+IF(RIGHT(CA$39,2)&gt;RIGHT($K106,2),BE106,0))</f>
        <v>0.15</v>
      </c>
      <c r="CB106" s="1490">
        <f>+IF($K106="Ongoing",BF106,IF(RIGHT($K106,2)=RIGHT(CB$39,2),SUM($AX106:BF106),0)+IF(RIGHT(CB$39,2)&gt;RIGHT($K106,2),BF106,0))</f>
        <v>0.15</v>
      </c>
      <c r="CC106" s="1491">
        <f>+IF($K106="Ongoing",BG106,IF(RIGHT($K106,2)=RIGHT(CC$39,2),SUM($AX106:BG106),0)+IF(RIGHT(CC$39,2)&gt;RIGHT($K106,2),BG106,0))</f>
        <v>0.15</v>
      </c>
      <c r="CD106" s="1133"/>
      <c r="CE106" s="1492">
        <f>+Q106*KeyAssumptionsPriceControl_FO!AC$15</f>
        <v>0</v>
      </c>
      <c r="CF106" s="1490">
        <f>+R106*KeyAssumptionsPriceControl_FO!AD$15</f>
        <v>0</v>
      </c>
      <c r="CG106" s="1490">
        <f>+S106*KeyAssumptionsPriceControl_FO!AE$15</f>
        <v>5.463635E-2</v>
      </c>
      <c r="CH106" s="1490">
        <f>+T106*KeyAssumptionsPriceControl_FO!AF$15</f>
        <v>5.627544050000001E-2</v>
      </c>
      <c r="CI106" s="1491">
        <f>+U106*KeyAssumptionsPriceControl_FO!AG$15</f>
        <v>0</v>
      </c>
      <c r="CJ106" s="1492">
        <f>+V106*KeyAssumptionsPriceControl_FO!AH$15</f>
        <v>0.17910784447935002</v>
      </c>
      <c r="CK106" s="1490">
        <f>+W106*KeyAssumptionsPriceControl_FO!AI$15</f>
        <v>0.18448107981373052</v>
      </c>
      <c r="CL106" s="1490">
        <f>+X106*KeyAssumptionsPriceControl_FO!AJ$15</f>
        <v>0.19001551220814245</v>
      </c>
      <c r="CM106" s="1490">
        <f>+Y106*KeyAssumptionsPriceControl_FO!AK$15</f>
        <v>0.19571597757438672</v>
      </c>
      <c r="CN106" s="1491">
        <f>+Z106*KeyAssumptionsPriceControl_FO!AL$15</f>
        <v>0.20158745690161833</v>
      </c>
      <c r="CO106" s="1133"/>
      <c r="CP106" s="1492">
        <f t="shared" ca="1" si="94"/>
        <v>0</v>
      </c>
      <c r="CQ106" s="1490">
        <f t="shared" ca="1" si="95"/>
        <v>0</v>
      </c>
      <c r="CR106" s="1490">
        <f t="shared" ca="1" si="96"/>
        <v>4.5530291666666666E-4</v>
      </c>
      <c r="CS106" s="1490">
        <f t="shared" ca="1" si="97"/>
        <v>1.3795678375000001E-3</v>
      </c>
      <c r="CT106" s="1491">
        <f t="shared" ca="1" si="98"/>
        <v>1.8485298416666669E-3</v>
      </c>
      <c r="CU106" s="1492">
        <f t="shared" ca="1" si="99"/>
        <v>3.3410952123279171E-3</v>
      </c>
      <c r="CV106" s="1490">
        <f t="shared" ca="1" si="100"/>
        <v>6.3710029147702541E-3</v>
      </c>
      <c r="CW106" s="1490">
        <f t="shared" ca="1" si="101"/>
        <v>9.4918078482858631E-3</v>
      </c>
      <c r="CX106" s="1490">
        <f t="shared" ca="1" si="102"/>
        <v>1.2706236929806939E-2</v>
      </c>
      <c r="CY106" s="1491">
        <f t="shared" ca="1" si="103"/>
        <v>1.6017098883773648E-2</v>
      </c>
    </row>
    <row r="107" spans="2:103" x14ac:dyDescent="0.3">
      <c r="B107" s="397"/>
      <c r="C107" s="1294" t="s">
        <v>1157</v>
      </c>
      <c r="D107" s="1295"/>
      <c r="E107" s="2097" t="s">
        <v>22</v>
      </c>
      <c r="F107" s="2097" t="s">
        <v>512</v>
      </c>
      <c r="G107" s="1294" t="s">
        <v>14</v>
      </c>
      <c r="H107" s="2349" t="s">
        <v>516</v>
      </c>
      <c r="I107" s="2350"/>
      <c r="J107" s="1292" t="s">
        <v>279</v>
      </c>
      <c r="K107" s="1292" t="s">
        <v>920</v>
      </c>
      <c r="L107" s="1292">
        <v>60</v>
      </c>
      <c r="M107" s="1292">
        <v>60</v>
      </c>
      <c r="O107" s="376"/>
      <c r="P107" s="376"/>
      <c r="Q107" s="2337">
        <v>0</v>
      </c>
      <c r="R107" s="2338">
        <v>0</v>
      </c>
      <c r="S107" s="2338">
        <v>0</v>
      </c>
      <c r="T107" s="2338">
        <v>0</v>
      </c>
      <c r="U107" s="2339">
        <v>0.1</v>
      </c>
      <c r="V107" s="2337">
        <v>0.7</v>
      </c>
      <c r="W107" s="2338">
        <v>0</v>
      </c>
      <c r="X107" s="2338">
        <v>0</v>
      </c>
      <c r="Y107" s="2338">
        <v>0</v>
      </c>
      <c r="Z107" s="2339">
        <v>0</v>
      </c>
      <c r="AA107" s="1132"/>
      <c r="AB107" s="1129"/>
      <c r="AC107" s="1130"/>
      <c r="AD107" s="1510"/>
      <c r="AE107" s="1130"/>
      <c r="AF107" s="1131"/>
      <c r="AG107" s="1129"/>
      <c r="AH107" s="1510"/>
      <c r="AI107" s="1130"/>
      <c r="AJ107" s="1130"/>
      <c r="AK107" s="1131"/>
      <c r="AL107" s="1132"/>
      <c r="AM107" s="1509"/>
      <c r="AN107" s="1510"/>
      <c r="AO107" s="1510"/>
      <c r="AP107" s="1510"/>
      <c r="AQ107" s="1511"/>
      <c r="AR107" s="1509"/>
      <c r="AS107" s="1510"/>
      <c r="AT107" s="1510"/>
      <c r="AU107" s="1510"/>
      <c r="AV107" s="1511"/>
      <c r="AW107" s="1133"/>
      <c r="AX107" s="1492">
        <f t="shared" si="86"/>
        <v>0</v>
      </c>
      <c r="AY107" s="1490">
        <f t="shared" si="87"/>
        <v>0</v>
      </c>
      <c r="AZ107" s="1490">
        <f t="shared" si="88"/>
        <v>0</v>
      </c>
      <c r="BA107" s="1490">
        <f t="shared" si="89"/>
        <v>0</v>
      </c>
      <c r="BB107" s="1491">
        <f t="shared" si="90"/>
        <v>0.1</v>
      </c>
      <c r="BC107" s="1492">
        <f t="shared" si="91"/>
        <v>0.7</v>
      </c>
      <c r="BD107" s="1490">
        <f t="shared" si="92"/>
        <v>0</v>
      </c>
      <c r="BE107" s="1490">
        <f t="shared" si="93"/>
        <v>0</v>
      </c>
      <c r="BF107" s="1490">
        <f t="shared" si="64"/>
        <v>0</v>
      </c>
      <c r="BG107" s="1491">
        <f t="shared" si="65"/>
        <v>0</v>
      </c>
      <c r="BH107" s="1133"/>
      <c r="BI107" s="1492">
        <f t="shared" ca="1" si="66"/>
        <v>0</v>
      </c>
      <c r="BJ107" s="1490">
        <f t="shared" ca="1" si="67"/>
        <v>0</v>
      </c>
      <c r="BK107" s="1490">
        <f t="shared" ca="1" si="68"/>
        <v>0</v>
      </c>
      <c r="BL107" s="1490">
        <f t="shared" ca="1" si="69"/>
        <v>0</v>
      </c>
      <c r="BM107" s="1491">
        <f t="shared" ca="1" si="70"/>
        <v>0</v>
      </c>
      <c r="BN107" s="1492">
        <f t="shared" ca="1" si="71"/>
        <v>6.6666666666666662E-3</v>
      </c>
      <c r="BO107" s="1490">
        <f t="shared" ca="1" si="72"/>
        <v>1.3333333333333332E-2</v>
      </c>
      <c r="BP107" s="1490">
        <f t="shared" ca="1" si="73"/>
        <v>1.3333333333333332E-2</v>
      </c>
      <c r="BQ107" s="1490">
        <f t="shared" ca="1" si="74"/>
        <v>1.3333333333333332E-2</v>
      </c>
      <c r="BR107" s="1491">
        <f t="shared" ca="1" si="75"/>
        <v>1.3333333333333332E-2</v>
      </c>
      <c r="BS107" s="1133"/>
      <c r="BT107" s="1492">
        <f>+IF($K107="Ongoing",AX107,IF(RIGHT($K107,2)=RIGHT(BT$39,2),SUM($AX107:AX107),0)+IF(RIGHT(BT$39,2)&gt;RIGHT($K107,2),AX107,0))</f>
        <v>0</v>
      </c>
      <c r="BU107" s="1490">
        <f>+IF($K107="Ongoing",AY107,IF(RIGHT($K107,2)=RIGHT(BU$39,2),SUM($AX107:AY107),0)+IF(RIGHT(BU$39,2)&gt;RIGHT($K107,2),AY107,0))</f>
        <v>0</v>
      </c>
      <c r="BV107" s="1490">
        <f>+IF($K107="Ongoing",AZ107,IF(RIGHT($K107,2)=RIGHT(BV$39,2),SUM($AX107:AZ107),0)+IF(RIGHT(BV$39,2)&gt;RIGHT($K107,2),AZ107,0))</f>
        <v>0</v>
      </c>
      <c r="BW107" s="1490">
        <f>+IF($K107="Ongoing",BA107,IF(RIGHT($K107,2)=RIGHT(BW$39,2),SUM($AX107:BA107),0)+IF(RIGHT(BW$39,2)&gt;RIGHT($K107,2),BA107,0))</f>
        <v>0</v>
      </c>
      <c r="BX107" s="1491">
        <f>+IF($K107="Ongoing",BB107,IF(RIGHT($K107,2)=RIGHT(BX$39,2),SUM($AX107:BB107),0)+IF(RIGHT(BX$39,2)&gt;RIGHT($K107,2),BB107,0))</f>
        <v>0</v>
      </c>
      <c r="BY107" s="1492">
        <f>+IF($K107="Ongoing",BC107,IF(RIGHT($K107,2)=RIGHT(BY$39,2),SUM($AX107:BC107),0)+IF(RIGHT(BY$39,2)&gt;RIGHT($K107,2),BC107,0))</f>
        <v>0.79999999999999993</v>
      </c>
      <c r="BZ107" s="1490">
        <f>+IF($K107="Ongoing",BD107,IF(RIGHT($K107,2)=RIGHT(BZ$39,2),SUM($AX107:BD107),0)+IF(RIGHT(BZ$39,2)&gt;RIGHT($K107,2),BD107,0))</f>
        <v>0</v>
      </c>
      <c r="CA107" s="1490">
        <f>+IF($K107="Ongoing",BE107,IF(RIGHT($K107,2)=RIGHT(CA$39,2),SUM($AX107:BE107),0)+IF(RIGHT(CA$39,2)&gt;RIGHT($K107,2),BE107,0))</f>
        <v>0</v>
      </c>
      <c r="CB107" s="1490">
        <f>+IF($K107="Ongoing",BF107,IF(RIGHT($K107,2)=RIGHT(CB$39,2),SUM($AX107:BF107),0)+IF(RIGHT(CB$39,2)&gt;RIGHT($K107,2),BF107,0))</f>
        <v>0</v>
      </c>
      <c r="CC107" s="1491">
        <f>+IF($K107="Ongoing",BG107,IF(RIGHT($K107,2)=RIGHT(CC$39,2),SUM($AX107:BG107),0)+IF(RIGHT(CC$39,2)&gt;RIGHT($K107,2),BG107,0))</f>
        <v>0</v>
      </c>
      <c r="CD107" s="1133"/>
      <c r="CE107" s="1492">
        <f>+Q107*KeyAssumptionsPriceControl_FO!AC$15</f>
        <v>0</v>
      </c>
      <c r="CF107" s="1490">
        <f>+R107*KeyAssumptionsPriceControl_FO!AD$15</f>
        <v>0</v>
      </c>
      <c r="CG107" s="1490">
        <f>+S107*KeyAssumptionsPriceControl_FO!AE$15</f>
        <v>0</v>
      </c>
      <c r="CH107" s="1490">
        <f>+T107*KeyAssumptionsPriceControl_FO!AF$15</f>
        <v>0</v>
      </c>
      <c r="CI107" s="1491">
        <f>+U107*KeyAssumptionsPriceControl_FO!AG$15</f>
        <v>0.11592740743000002</v>
      </c>
      <c r="CJ107" s="1492">
        <f>+V107*KeyAssumptionsPriceControl_FO!AH$15</f>
        <v>0.83583660757030009</v>
      </c>
      <c r="CK107" s="1490">
        <f>+W107*KeyAssumptionsPriceControl_FO!AI$15</f>
        <v>0</v>
      </c>
      <c r="CL107" s="1490">
        <f>+X107*KeyAssumptionsPriceControl_FO!AJ$15</f>
        <v>0</v>
      </c>
      <c r="CM107" s="1490">
        <f>+Y107*KeyAssumptionsPriceControl_FO!AK$15</f>
        <v>0</v>
      </c>
      <c r="CN107" s="1491">
        <f>+Z107*KeyAssumptionsPriceControl_FO!AL$15</f>
        <v>0</v>
      </c>
      <c r="CO107" s="1133"/>
      <c r="CP107" s="1492">
        <f t="shared" ca="1" si="94"/>
        <v>0</v>
      </c>
      <c r="CQ107" s="1490">
        <f t="shared" ca="1" si="95"/>
        <v>0</v>
      </c>
      <c r="CR107" s="1490">
        <f t="shared" ca="1" si="96"/>
        <v>0</v>
      </c>
      <c r="CS107" s="1490">
        <f t="shared" ca="1" si="97"/>
        <v>0</v>
      </c>
      <c r="CT107" s="1491">
        <f t="shared" ca="1" si="98"/>
        <v>9.6606172858333347E-4</v>
      </c>
      <c r="CU107" s="1492">
        <f t="shared" ca="1" si="99"/>
        <v>8.8974285202525014E-3</v>
      </c>
      <c r="CV107" s="1490">
        <f t="shared" ca="1" si="100"/>
        <v>1.5862733583338336E-2</v>
      </c>
      <c r="CW107" s="1490">
        <f t="shared" ca="1" si="101"/>
        <v>1.5862733583338336E-2</v>
      </c>
      <c r="CX107" s="1490">
        <f t="shared" ca="1" si="102"/>
        <v>1.5862733583338336E-2</v>
      </c>
      <c r="CY107" s="1491">
        <f t="shared" ca="1" si="103"/>
        <v>1.5862733583338336E-2</v>
      </c>
    </row>
    <row r="108" spans="2:103" x14ac:dyDescent="0.3">
      <c r="B108" s="397"/>
      <c r="C108" s="1294" t="s">
        <v>1158</v>
      </c>
      <c r="D108" s="1295"/>
      <c r="E108" s="2097" t="s">
        <v>22</v>
      </c>
      <c r="F108" s="2097" t="s">
        <v>239</v>
      </c>
      <c r="G108" s="1294" t="s">
        <v>14</v>
      </c>
      <c r="H108" s="2349" t="s">
        <v>516</v>
      </c>
      <c r="I108" s="2350"/>
      <c r="J108" s="1292" t="s">
        <v>279</v>
      </c>
      <c r="K108" s="1292" t="s">
        <v>296</v>
      </c>
      <c r="L108" s="1292">
        <v>80</v>
      </c>
      <c r="M108" s="1292">
        <v>80</v>
      </c>
      <c r="O108" s="376"/>
      <c r="P108" s="376"/>
      <c r="Q108" s="2337">
        <v>1.4999999999999999E-2</v>
      </c>
      <c r="R108" s="2338">
        <v>1.4999999999999999E-2</v>
      </c>
      <c r="S108" s="2338">
        <v>1.4999999999999999E-2</v>
      </c>
      <c r="T108" s="2338">
        <v>1.4999999999999999E-2</v>
      </c>
      <c r="U108" s="2339">
        <v>1.4999999999999999E-2</v>
      </c>
      <c r="V108" s="2337">
        <v>0.03</v>
      </c>
      <c r="W108" s="2338">
        <v>0.03</v>
      </c>
      <c r="X108" s="2338">
        <v>0.03</v>
      </c>
      <c r="Y108" s="2338">
        <v>0.03</v>
      </c>
      <c r="Z108" s="2339">
        <v>0.03</v>
      </c>
      <c r="AA108" s="1132"/>
      <c r="AB108" s="1129"/>
      <c r="AC108" s="1130"/>
      <c r="AD108" s="1510"/>
      <c r="AE108" s="1510"/>
      <c r="AF108" s="1131"/>
      <c r="AG108" s="1129"/>
      <c r="AH108" s="1130"/>
      <c r="AI108" s="1130"/>
      <c r="AJ108" s="1130"/>
      <c r="AK108" s="1131"/>
      <c r="AL108" s="1132"/>
      <c r="AM108" s="1129"/>
      <c r="AN108" s="1130"/>
      <c r="AO108" s="1130"/>
      <c r="AP108" s="1510"/>
      <c r="AQ108" s="1131"/>
      <c r="AR108" s="1129"/>
      <c r="AS108" s="1130"/>
      <c r="AT108" s="1130"/>
      <c r="AU108" s="1510"/>
      <c r="AV108" s="1131"/>
      <c r="AW108" s="1133"/>
      <c r="AX108" s="1492">
        <f t="shared" si="86"/>
        <v>1.4999999999999999E-2</v>
      </c>
      <c r="AY108" s="1490">
        <f t="shared" si="87"/>
        <v>1.4999999999999999E-2</v>
      </c>
      <c r="AZ108" s="1490">
        <f t="shared" si="88"/>
        <v>1.4999999999999999E-2</v>
      </c>
      <c r="BA108" s="1490">
        <f t="shared" si="89"/>
        <v>1.4999999999999999E-2</v>
      </c>
      <c r="BB108" s="1491">
        <f t="shared" si="90"/>
        <v>1.4999999999999999E-2</v>
      </c>
      <c r="BC108" s="1492">
        <f t="shared" si="91"/>
        <v>0.03</v>
      </c>
      <c r="BD108" s="1490">
        <f t="shared" si="92"/>
        <v>0.03</v>
      </c>
      <c r="BE108" s="1490">
        <f t="shared" si="93"/>
        <v>0.03</v>
      </c>
      <c r="BF108" s="1490">
        <f t="shared" si="64"/>
        <v>0.03</v>
      </c>
      <c r="BG108" s="1491">
        <f t="shared" si="65"/>
        <v>0.03</v>
      </c>
      <c r="BH108" s="1133"/>
      <c r="BI108" s="1492">
        <f t="shared" ca="1" si="66"/>
        <v>9.3750000000000002E-5</v>
      </c>
      <c r="BJ108" s="1490">
        <f t="shared" ca="1" si="67"/>
        <v>2.8125000000000003E-4</v>
      </c>
      <c r="BK108" s="1490">
        <f t="shared" ca="1" si="68"/>
        <v>4.6874999999999998E-4</v>
      </c>
      <c r="BL108" s="1490">
        <f t="shared" ca="1" si="69"/>
        <v>6.5624999999999993E-4</v>
      </c>
      <c r="BM108" s="1491">
        <f t="shared" ca="1" si="70"/>
        <v>8.4374999999999999E-4</v>
      </c>
      <c r="BN108" s="1492">
        <f t="shared" ca="1" si="71"/>
        <v>1.1249999999999999E-3</v>
      </c>
      <c r="BO108" s="1490">
        <f t="shared" ca="1" si="72"/>
        <v>1.4999999999999998E-3</v>
      </c>
      <c r="BP108" s="1490">
        <f t="shared" ca="1" si="73"/>
        <v>1.8750000000000001E-3</v>
      </c>
      <c r="BQ108" s="1490">
        <f t="shared" ca="1" si="74"/>
        <v>2.2500000000000003E-3</v>
      </c>
      <c r="BR108" s="1491">
        <f t="shared" ca="1" si="75"/>
        <v>2.6250000000000002E-3</v>
      </c>
      <c r="BS108" s="1133"/>
      <c r="BT108" s="1492">
        <f>+IF($K108="Ongoing",AX108,IF(RIGHT($K108,2)=RIGHT(BT$39,2),SUM($AX108:AX108),0)+IF(RIGHT(BT$39,2)&gt;RIGHT($K108,2),AX108,0))</f>
        <v>1.4999999999999999E-2</v>
      </c>
      <c r="BU108" s="1490">
        <f>+IF($K108="Ongoing",AY108,IF(RIGHT($K108,2)=RIGHT(BU$39,2),SUM($AX108:AY108),0)+IF(RIGHT(BU$39,2)&gt;RIGHT($K108,2),AY108,0))</f>
        <v>1.4999999999999999E-2</v>
      </c>
      <c r="BV108" s="1490">
        <f>+IF($K108="Ongoing",AZ108,IF(RIGHT($K108,2)=RIGHT(BV$39,2),SUM($AX108:AZ108),0)+IF(RIGHT(BV$39,2)&gt;RIGHT($K108,2),AZ108,0))</f>
        <v>1.4999999999999999E-2</v>
      </c>
      <c r="BW108" s="1490">
        <f>+IF($K108="Ongoing",BA108,IF(RIGHT($K108,2)=RIGHT(BW$39,2),SUM($AX108:BA108),0)+IF(RIGHT(BW$39,2)&gt;RIGHT($K108,2),BA108,0))</f>
        <v>1.4999999999999999E-2</v>
      </c>
      <c r="BX108" s="1491">
        <f>+IF($K108="Ongoing",BB108,IF(RIGHT($K108,2)=RIGHT(BX$39,2),SUM($AX108:BB108),0)+IF(RIGHT(BX$39,2)&gt;RIGHT($K108,2),BB108,0))</f>
        <v>1.4999999999999999E-2</v>
      </c>
      <c r="BY108" s="1492">
        <f>+IF($K108="Ongoing",BC108,IF(RIGHT($K108,2)=RIGHT(BY$39,2),SUM($AX108:BC108),0)+IF(RIGHT(BY$39,2)&gt;RIGHT($K108,2),BC108,0))</f>
        <v>0.03</v>
      </c>
      <c r="BZ108" s="1490">
        <f>+IF($K108="Ongoing",BD108,IF(RIGHT($K108,2)=RIGHT(BZ$39,2),SUM($AX108:BD108),0)+IF(RIGHT(BZ$39,2)&gt;RIGHT($K108,2),BD108,0))</f>
        <v>0.03</v>
      </c>
      <c r="CA108" s="1490">
        <f>+IF($K108="Ongoing",BE108,IF(RIGHT($K108,2)=RIGHT(CA$39,2),SUM($AX108:BE108),0)+IF(RIGHT(CA$39,2)&gt;RIGHT($K108,2),BE108,0))</f>
        <v>0.03</v>
      </c>
      <c r="CB108" s="1490">
        <f>+IF($K108="Ongoing",BF108,IF(RIGHT($K108,2)=RIGHT(CB$39,2),SUM($AX108:BF108),0)+IF(RIGHT(CB$39,2)&gt;RIGHT($K108,2),BF108,0))</f>
        <v>0.03</v>
      </c>
      <c r="CC108" s="1491">
        <f>+IF($K108="Ongoing",BG108,IF(RIGHT($K108,2)=RIGHT(CC$39,2),SUM($AX108:BG108),0)+IF(RIGHT(CC$39,2)&gt;RIGHT($K108,2),BG108,0))</f>
        <v>0.03</v>
      </c>
      <c r="CD108" s="1133"/>
      <c r="CE108" s="1492">
        <f>+Q108*KeyAssumptionsPriceControl_FO!AC$15</f>
        <v>1.545E-2</v>
      </c>
      <c r="CF108" s="1490">
        <f>+R108*KeyAssumptionsPriceControl_FO!AD$15</f>
        <v>1.5913499999999997E-2</v>
      </c>
      <c r="CG108" s="1490">
        <f>+S108*KeyAssumptionsPriceControl_FO!AE$15</f>
        <v>1.6390905000000001E-2</v>
      </c>
      <c r="CH108" s="1490">
        <f>+T108*KeyAssumptionsPriceControl_FO!AF$15</f>
        <v>1.688263215E-2</v>
      </c>
      <c r="CI108" s="1491">
        <f>+U108*KeyAssumptionsPriceControl_FO!AG$15</f>
        <v>1.7389111114500002E-2</v>
      </c>
      <c r="CJ108" s="1492">
        <f>+V108*KeyAssumptionsPriceControl_FO!AH$15</f>
        <v>3.5821568895870001E-2</v>
      </c>
      <c r="CK108" s="1490">
        <f>+W108*KeyAssumptionsPriceControl_FO!AI$15</f>
        <v>3.6896215962746108E-2</v>
      </c>
      <c r="CL108" s="1490">
        <f>+X108*KeyAssumptionsPriceControl_FO!AJ$15</f>
        <v>3.8003102441628488E-2</v>
      </c>
      <c r="CM108" s="1490">
        <f>+Y108*KeyAssumptionsPriceControl_FO!AK$15</f>
        <v>3.9143195514877348E-2</v>
      </c>
      <c r="CN108" s="1491">
        <f>+Z108*KeyAssumptionsPriceControl_FO!AL$15</f>
        <v>4.0317491380323665E-2</v>
      </c>
      <c r="CO108" s="1133"/>
      <c r="CP108" s="1492">
        <f t="shared" ca="1" si="94"/>
        <v>9.6562499999999996E-5</v>
      </c>
      <c r="CQ108" s="1490">
        <f t="shared" ca="1" si="95"/>
        <v>2.9258437499999994E-4</v>
      </c>
      <c r="CR108" s="1490">
        <f t="shared" ca="1" si="96"/>
        <v>4.9448690624999999E-4</v>
      </c>
      <c r="CS108" s="1490">
        <f t="shared" ca="1" si="97"/>
        <v>7.024465134375E-4</v>
      </c>
      <c r="CT108" s="1491">
        <f t="shared" ca="1" si="98"/>
        <v>9.1664490884062492E-4</v>
      </c>
      <c r="CU108" s="1492">
        <f t="shared" ca="1" si="99"/>
        <v>1.2492116589054374E-3</v>
      </c>
      <c r="CV108" s="1490">
        <f t="shared" ca="1" si="100"/>
        <v>1.7036978142717881E-3</v>
      </c>
      <c r="CW108" s="1490">
        <f t="shared" ca="1" si="101"/>
        <v>2.1718185542991294E-3</v>
      </c>
      <c r="CX108" s="1490">
        <f t="shared" ca="1" si="102"/>
        <v>2.6539829165272912E-3</v>
      </c>
      <c r="CY108" s="1491">
        <f t="shared" ca="1" si="103"/>
        <v>3.1506122096222971E-3</v>
      </c>
    </row>
    <row r="109" spans="2:103" x14ac:dyDescent="0.3">
      <c r="B109" s="397"/>
      <c r="C109" s="1294" t="s">
        <v>1159</v>
      </c>
      <c r="D109" s="1295"/>
      <c r="E109" s="2097" t="s">
        <v>22</v>
      </c>
      <c r="F109" s="2097" t="s">
        <v>512</v>
      </c>
      <c r="G109" s="1294" t="s">
        <v>14</v>
      </c>
      <c r="H109" s="2349" t="s">
        <v>516</v>
      </c>
      <c r="I109" s="2350"/>
      <c r="J109" s="1292" t="s">
        <v>279</v>
      </c>
      <c r="K109" s="1292" t="s">
        <v>296</v>
      </c>
      <c r="L109" s="1292">
        <v>60</v>
      </c>
      <c r="M109" s="1292">
        <v>60</v>
      </c>
      <c r="O109" s="376"/>
      <c r="P109" s="376"/>
      <c r="Q109" s="2337">
        <v>0</v>
      </c>
      <c r="R109" s="2338">
        <v>0</v>
      </c>
      <c r="S109" s="2338">
        <v>0</v>
      </c>
      <c r="T109" s="2338">
        <v>0</v>
      </c>
      <c r="U109" s="2339">
        <v>0</v>
      </c>
      <c r="V109" s="2337">
        <v>2</v>
      </c>
      <c r="W109" s="2338">
        <v>2</v>
      </c>
      <c r="X109" s="2338">
        <v>2</v>
      </c>
      <c r="Y109" s="2338">
        <v>2</v>
      </c>
      <c r="Z109" s="2339">
        <v>2</v>
      </c>
      <c r="AA109" s="1132"/>
      <c r="AB109" s="1129"/>
      <c r="AC109" s="1130"/>
      <c r="AD109" s="1510"/>
      <c r="AE109" s="1130"/>
      <c r="AF109" s="1131"/>
      <c r="AG109" s="1129"/>
      <c r="AH109" s="1510"/>
      <c r="AI109" s="1130"/>
      <c r="AJ109" s="1130"/>
      <c r="AK109" s="1131"/>
      <c r="AL109" s="1132"/>
      <c r="AM109" s="1509"/>
      <c r="AN109" s="1130"/>
      <c r="AO109" s="1510"/>
      <c r="AP109" s="1510"/>
      <c r="AQ109" s="1131"/>
      <c r="AR109" s="1129"/>
      <c r="AS109" s="1130"/>
      <c r="AT109" s="1130"/>
      <c r="AU109" s="1130"/>
      <c r="AV109" s="1131"/>
      <c r="AW109" s="1133"/>
      <c r="AX109" s="1492">
        <f t="shared" si="86"/>
        <v>0</v>
      </c>
      <c r="AY109" s="1490">
        <f t="shared" si="87"/>
        <v>0</v>
      </c>
      <c r="AZ109" s="1490">
        <f t="shared" si="88"/>
        <v>0</v>
      </c>
      <c r="BA109" s="1490">
        <f t="shared" si="89"/>
        <v>0</v>
      </c>
      <c r="BB109" s="1491">
        <f t="shared" si="90"/>
        <v>0</v>
      </c>
      <c r="BC109" s="1492">
        <f t="shared" si="91"/>
        <v>2</v>
      </c>
      <c r="BD109" s="1490">
        <f t="shared" si="92"/>
        <v>2</v>
      </c>
      <c r="BE109" s="1490">
        <f t="shared" si="93"/>
        <v>2</v>
      </c>
      <c r="BF109" s="1490">
        <f t="shared" si="64"/>
        <v>2</v>
      </c>
      <c r="BG109" s="1491">
        <f t="shared" si="65"/>
        <v>2</v>
      </c>
      <c r="BH109" s="1133"/>
      <c r="BI109" s="1492">
        <f t="shared" ca="1" si="66"/>
        <v>0</v>
      </c>
      <c r="BJ109" s="1490">
        <f t="shared" ca="1" si="67"/>
        <v>0</v>
      </c>
      <c r="BK109" s="1490">
        <f t="shared" ca="1" si="68"/>
        <v>0</v>
      </c>
      <c r="BL109" s="1490">
        <f t="shared" ca="1" si="69"/>
        <v>0</v>
      </c>
      <c r="BM109" s="1491">
        <f t="shared" ca="1" si="70"/>
        <v>0</v>
      </c>
      <c r="BN109" s="1492">
        <f t="shared" ca="1" si="71"/>
        <v>1.6666666666666666E-2</v>
      </c>
      <c r="BO109" s="1490">
        <f t="shared" ca="1" si="72"/>
        <v>0.05</v>
      </c>
      <c r="BP109" s="1490">
        <f t="shared" ca="1" si="73"/>
        <v>8.3333333333333329E-2</v>
      </c>
      <c r="BQ109" s="1490">
        <f t="shared" ca="1" si="74"/>
        <v>0.11666666666666667</v>
      </c>
      <c r="BR109" s="1491">
        <f t="shared" ca="1" si="75"/>
        <v>0.15</v>
      </c>
      <c r="BS109" s="1133"/>
      <c r="BT109" s="1492">
        <f>+IF($K109="Ongoing",AX109,IF(RIGHT($K109,2)=RIGHT(BT$39,2),SUM($AX109:AX109),0)+IF(RIGHT(BT$39,2)&gt;RIGHT($K109,2),AX109,0))</f>
        <v>0</v>
      </c>
      <c r="BU109" s="1490">
        <f>+IF($K109="Ongoing",AY109,IF(RIGHT($K109,2)=RIGHT(BU$39,2),SUM($AX109:AY109),0)+IF(RIGHT(BU$39,2)&gt;RIGHT($K109,2),AY109,0))</f>
        <v>0</v>
      </c>
      <c r="BV109" s="1490">
        <f>+IF($K109="Ongoing",AZ109,IF(RIGHT($K109,2)=RIGHT(BV$39,2),SUM($AX109:AZ109),0)+IF(RIGHT(BV$39,2)&gt;RIGHT($K109,2),AZ109,0))</f>
        <v>0</v>
      </c>
      <c r="BW109" s="1490">
        <f>+IF($K109="Ongoing",BA109,IF(RIGHT($K109,2)=RIGHT(BW$39,2),SUM($AX109:BA109),0)+IF(RIGHT(BW$39,2)&gt;RIGHT($K109,2),BA109,0))</f>
        <v>0</v>
      </c>
      <c r="BX109" s="1491">
        <f>+IF($K109="Ongoing",BB109,IF(RIGHT($K109,2)=RIGHT(BX$39,2),SUM($AX109:BB109),0)+IF(RIGHT(BX$39,2)&gt;RIGHT($K109,2),BB109,0))</f>
        <v>0</v>
      </c>
      <c r="BY109" s="1492">
        <f>+IF($K109="Ongoing",BC109,IF(RIGHT($K109,2)=RIGHT(BY$39,2),SUM($AX109:BC109),0)+IF(RIGHT(BY$39,2)&gt;RIGHT($K109,2),BC109,0))</f>
        <v>2</v>
      </c>
      <c r="BZ109" s="1490">
        <f>+IF($K109="Ongoing",BD109,IF(RIGHT($K109,2)=RIGHT(BZ$39,2),SUM($AX109:BD109),0)+IF(RIGHT(BZ$39,2)&gt;RIGHT($K109,2),BD109,0))</f>
        <v>2</v>
      </c>
      <c r="CA109" s="1490">
        <f>+IF($K109="Ongoing",BE109,IF(RIGHT($K109,2)=RIGHT(CA$39,2),SUM($AX109:BE109),0)+IF(RIGHT(CA$39,2)&gt;RIGHT($K109,2),BE109,0))</f>
        <v>2</v>
      </c>
      <c r="CB109" s="1490">
        <f>+IF($K109="Ongoing",BF109,IF(RIGHT($K109,2)=RIGHT(CB$39,2),SUM($AX109:BF109),0)+IF(RIGHT(CB$39,2)&gt;RIGHT($K109,2),BF109,0))</f>
        <v>2</v>
      </c>
      <c r="CC109" s="1491">
        <f>+IF($K109="Ongoing",BG109,IF(RIGHT($K109,2)=RIGHT(CC$39,2),SUM($AX109:BG109),0)+IF(RIGHT(CC$39,2)&gt;RIGHT($K109,2),BG109,0))</f>
        <v>2</v>
      </c>
      <c r="CD109" s="1133"/>
      <c r="CE109" s="1492">
        <f>+Q109*KeyAssumptionsPriceControl_FO!AC$15</f>
        <v>0</v>
      </c>
      <c r="CF109" s="1490">
        <f>+R109*KeyAssumptionsPriceControl_FO!AD$15</f>
        <v>0</v>
      </c>
      <c r="CG109" s="1490">
        <f>+S109*KeyAssumptionsPriceControl_FO!AE$15</f>
        <v>0</v>
      </c>
      <c r="CH109" s="1490">
        <f>+T109*KeyAssumptionsPriceControl_FO!AF$15</f>
        <v>0</v>
      </c>
      <c r="CI109" s="1491">
        <f>+U109*KeyAssumptionsPriceControl_FO!AG$15</f>
        <v>0</v>
      </c>
      <c r="CJ109" s="1492">
        <f>+V109*KeyAssumptionsPriceControl_FO!AH$15</f>
        <v>2.3881045930580003</v>
      </c>
      <c r="CK109" s="1490">
        <f>+W109*KeyAssumptionsPriceControl_FO!AI$15</f>
        <v>2.4597477308497404</v>
      </c>
      <c r="CL109" s="1490">
        <f>+X109*KeyAssumptionsPriceControl_FO!AJ$15</f>
        <v>2.5335401627752328</v>
      </c>
      <c r="CM109" s="1490">
        <f>+Y109*KeyAssumptionsPriceControl_FO!AK$15</f>
        <v>2.6095463676584898</v>
      </c>
      <c r="CN109" s="1491">
        <f>+Z109*KeyAssumptionsPriceControl_FO!AL$15</f>
        <v>2.6878327586882444</v>
      </c>
      <c r="CO109" s="1133"/>
      <c r="CP109" s="1492">
        <f t="shared" ca="1" si="94"/>
        <v>0</v>
      </c>
      <c r="CQ109" s="1490">
        <f t="shared" ca="1" si="95"/>
        <v>0</v>
      </c>
      <c r="CR109" s="1490">
        <f t="shared" ca="1" si="96"/>
        <v>0</v>
      </c>
      <c r="CS109" s="1490">
        <f t="shared" ca="1" si="97"/>
        <v>0</v>
      </c>
      <c r="CT109" s="1491">
        <f t="shared" ca="1" si="98"/>
        <v>0</v>
      </c>
      <c r="CU109" s="1492">
        <f t="shared" ca="1" si="99"/>
        <v>1.9900871608816668E-2</v>
      </c>
      <c r="CV109" s="1490">
        <f t="shared" ca="1" si="100"/>
        <v>6.0299640974714505E-2</v>
      </c>
      <c r="CW109" s="1490">
        <f t="shared" ca="1" si="101"/>
        <v>0.10191037342158929</v>
      </c>
      <c r="CX109" s="1490">
        <f t="shared" ca="1" si="102"/>
        <v>0.1447694278418703</v>
      </c>
      <c r="CY109" s="1491">
        <f t="shared" ca="1" si="103"/>
        <v>0.18891425389475977</v>
      </c>
    </row>
    <row r="110" spans="2:103" x14ac:dyDescent="0.3">
      <c r="B110" s="397"/>
      <c r="C110" s="1294" t="s">
        <v>1160</v>
      </c>
      <c r="D110" s="1295"/>
      <c r="E110" s="2097" t="s">
        <v>21</v>
      </c>
      <c r="F110" s="2097" t="s">
        <v>512</v>
      </c>
      <c r="G110" s="1294" t="s">
        <v>14</v>
      </c>
      <c r="H110" s="2349" t="s">
        <v>516</v>
      </c>
      <c r="I110" s="2350"/>
      <c r="J110" s="1292" t="s">
        <v>279</v>
      </c>
      <c r="K110" s="1292" t="s">
        <v>296</v>
      </c>
      <c r="L110" s="1292">
        <v>60</v>
      </c>
      <c r="M110" s="1292">
        <v>60</v>
      </c>
      <c r="O110" s="376"/>
      <c r="P110" s="376"/>
      <c r="Q110" s="2337">
        <v>0</v>
      </c>
      <c r="R110" s="2338">
        <v>0</v>
      </c>
      <c r="S110" s="2338">
        <v>0</v>
      </c>
      <c r="T110" s="2338">
        <v>0</v>
      </c>
      <c r="U110" s="2339">
        <v>0</v>
      </c>
      <c r="V110" s="2337">
        <v>2</v>
      </c>
      <c r="W110" s="2338">
        <v>2</v>
      </c>
      <c r="X110" s="2338">
        <v>2</v>
      </c>
      <c r="Y110" s="2338">
        <v>2</v>
      </c>
      <c r="Z110" s="2339">
        <v>2</v>
      </c>
      <c r="AA110" s="1132"/>
      <c r="AB110" s="1129"/>
      <c r="AC110" s="1130"/>
      <c r="AD110" s="1510"/>
      <c r="AE110" s="1510"/>
      <c r="AF110" s="1131"/>
      <c r="AG110" s="1129"/>
      <c r="AH110" s="1130"/>
      <c r="AI110" s="1130"/>
      <c r="AJ110" s="1130"/>
      <c r="AK110" s="1131"/>
      <c r="AL110" s="1132"/>
      <c r="AM110" s="1129"/>
      <c r="AN110" s="1130"/>
      <c r="AO110" s="1130"/>
      <c r="AP110" s="1510"/>
      <c r="AQ110" s="1131"/>
      <c r="AR110" s="1129"/>
      <c r="AS110" s="1130"/>
      <c r="AT110" s="1130"/>
      <c r="AU110" s="1510"/>
      <c r="AV110" s="1131"/>
      <c r="AW110" s="1133"/>
      <c r="AX110" s="1492">
        <f t="shared" si="86"/>
        <v>0</v>
      </c>
      <c r="AY110" s="1490">
        <f t="shared" si="87"/>
        <v>0</v>
      </c>
      <c r="AZ110" s="1490">
        <f t="shared" si="88"/>
        <v>0</v>
      </c>
      <c r="BA110" s="1490">
        <f t="shared" si="89"/>
        <v>0</v>
      </c>
      <c r="BB110" s="1491">
        <f t="shared" si="90"/>
        <v>0</v>
      </c>
      <c r="BC110" s="1492">
        <f t="shared" si="91"/>
        <v>2</v>
      </c>
      <c r="BD110" s="1490">
        <f t="shared" si="92"/>
        <v>2</v>
      </c>
      <c r="BE110" s="1490">
        <f t="shared" si="93"/>
        <v>2</v>
      </c>
      <c r="BF110" s="1490">
        <f t="shared" si="64"/>
        <v>2</v>
      </c>
      <c r="BG110" s="1491">
        <f t="shared" si="65"/>
        <v>2</v>
      </c>
      <c r="BH110" s="1133"/>
      <c r="BI110" s="1492">
        <f t="shared" ca="1" si="66"/>
        <v>0</v>
      </c>
      <c r="BJ110" s="1490">
        <f t="shared" ca="1" si="67"/>
        <v>0</v>
      </c>
      <c r="BK110" s="1490">
        <f t="shared" ca="1" si="68"/>
        <v>0</v>
      </c>
      <c r="BL110" s="1490">
        <f t="shared" ca="1" si="69"/>
        <v>0</v>
      </c>
      <c r="BM110" s="1491">
        <f t="shared" ca="1" si="70"/>
        <v>0</v>
      </c>
      <c r="BN110" s="1492">
        <f t="shared" ca="1" si="71"/>
        <v>1.6666666666666666E-2</v>
      </c>
      <c r="BO110" s="1490">
        <f t="shared" ca="1" si="72"/>
        <v>0.05</v>
      </c>
      <c r="BP110" s="1490">
        <f t="shared" ca="1" si="73"/>
        <v>8.3333333333333329E-2</v>
      </c>
      <c r="BQ110" s="1490">
        <f t="shared" ca="1" si="74"/>
        <v>0.11666666666666667</v>
      </c>
      <c r="BR110" s="1491">
        <f t="shared" ca="1" si="75"/>
        <v>0.15</v>
      </c>
      <c r="BS110" s="1133"/>
      <c r="BT110" s="1492">
        <f>+IF($K110="Ongoing",AX110,IF(RIGHT($K110,2)=RIGHT(BT$39,2),SUM($AX110:AX110),0)+IF(RIGHT(BT$39,2)&gt;RIGHT($K110,2),AX110,0))</f>
        <v>0</v>
      </c>
      <c r="BU110" s="1490">
        <f>+IF($K110="Ongoing",AY110,IF(RIGHT($K110,2)=RIGHT(BU$39,2),SUM($AX110:AY110),0)+IF(RIGHT(BU$39,2)&gt;RIGHT($K110,2),AY110,0))</f>
        <v>0</v>
      </c>
      <c r="BV110" s="1490">
        <f>+IF($K110="Ongoing",AZ110,IF(RIGHT($K110,2)=RIGHT(BV$39,2),SUM($AX110:AZ110),0)+IF(RIGHT(BV$39,2)&gt;RIGHT($K110,2),AZ110,0))</f>
        <v>0</v>
      </c>
      <c r="BW110" s="1490">
        <f>+IF($K110="Ongoing",BA110,IF(RIGHT($K110,2)=RIGHT(BW$39,2),SUM($AX110:BA110),0)+IF(RIGHT(BW$39,2)&gt;RIGHT($K110,2),BA110,0))</f>
        <v>0</v>
      </c>
      <c r="BX110" s="1491">
        <f>+IF($K110="Ongoing",BB110,IF(RIGHT($K110,2)=RIGHT(BX$39,2),SUM($AX110:BB110),0)+IF(RIGHT(BX$39,2)&gt;RIGHT($K110,2),BB110,0))</f>
        <v>0</v>
      </c>
      <c r="BY110" s="1492">
        <f>+IF($K110="Ongoing",BC110,IF(RIGHT($K110,2)=RIGHT(BY$39,2),SUM($AX110:BC110),0)+IF(RIGHT(BY$39,2)&gt;RIGHT($K110,2),BC110,0))</f>
        <v>2</v>
      </c>
      <c r="BZ110" s="1490">
        <f>+IF($K110="Ongoing",BD110,IF(RIGHT($K110,2)=RIGHT(BZ$39,2),SUM($AX110:BD110),0)+IF(RIGHT(BZ$39,2)&gt;RIGHT($K110,2),BD110,0))</f>
        <v>2</v>
      </c>
      <c r="CA110" s="1490">
        <f>+IF($K110="Ongoing",BE110,IF(RIGHT($K110,2)=RIGHT(CA$39,2),SUM($AX110:BE110),0)+IF(RIGHT(CA$39,2)&gt;RIGHT($K110,2),BE110,0))</f>
        <v>2</v>
      </c>
      <c r="CB110" s="1490">
        <f>+IF($K110="Ongoing",BF110,IF(RIGHT($K110,2)=RIGHT(CB$39,2),SUM($AX110:BF110),0)+IF(RIGHT(CB$39,2)&gt;RIGHT($K110,2),BF110,0))</f>
        <v>2</v>
      </c>
      <c r="CC110" s="1491">
        <f>+IF($K110="Ongoing",BG110,IF(RIGHT($K110,2)=RIGHT(CC$39,2),SUM($AX110:BG110),0)+IF(RIGHT(CC$39,2)&gt;RIGHT($K110,2),BG110,0))</f>
        <v>2</v>
      </c>
      <c r="CD110" s="1133"/>
      <c r="CE110" s="1492">
        <f>+Q110*KeyAssumptionsPriceControl_FO!AC$15</f>
        <v>0</v>
      </c>
      <c r="CF110" s="1490">
        <f>+R110*KeyAssumptionsPriceControl_FO!AD$15</f>
        <v>0</v>
      </c>
      <c r="CG110" s="1490">
        <f>+S110*KeyAssumptionsPriceControl_FO!AE$15</f>
        <v>0</v>
      </c>
      <c r="CH110" s="1490">
        <f>+T110*KeyAssumptionsPriceControl_FO!AF$15</f>
        <v>0</v>
      </c>
      <c r="CI110" s="1491">
        <f>+U110*KeyAssumptionsPriceControl_FO!AG$15</f>
        <v>0</v>
      </c>
      <c r="CJ110" s="1492">
        <f>+V110*KeyAssumptionsPriceControl_FO!AH$15</f>
        <v>2.3881045930580003</v>
      </c>
      <c r="CK110" s="1490">
        <f>+W110*KeyAssumptionsPriceControl_FO!AI$15</f>
        <v>2.4597477308497404</v>
      </c>
      <c r="CL110" s="1490">
        <f>+X110*KeyAssumptionsPriceControl_FO!AJ$15</f>
        <v>2.5335401627752328</v>
      </c>
      <c r="CM110" s="1490">
        <f>+Y110*KeyAssumptionsPriceControl_FO!AK$15</f>
        <v>2.6095463676584898</v>
      </c>
      <c r="CN110" s="1491">
        <f>+Z110*KeyAssumptionsPriceControl_FO!AL$15</f>
        <v>2.6878327586882444</v>
      </c>
      <c r="CO110" s="1133"/>
      <c r="CP110" s="1492">
        <f t="shared" ca="1" si="94"/>
        <v>0</v>
      </c>
      <c r="CQ110" s="1490">
        <f t="shared" ca="1" si="95"/>
        <v>0</v>
      </c>
      <c r="CR110" s="1490">
        <f t="shared" ca="1" si="96"/>
        <v>0</v>
      </c>
      <c r="CS110" s="1490">
        <f t="shared" ca="1" si="97"/>
        <v>0</v>
      </c>
      <c r="CT110" s="1491">
        <f t="shared" ca="1" si="98"/>
        <v>0</v>
      </c>
      <c r="CU110" s="1492">
        <f t="shared" ca="1" si="99"/>
        <v>1.9900871608816668E-2</v>
      </c>
      <c r="CV110" s="1490">
        <f t="shared" ca="1" si="100"/>
        <v>6.0299640974714505E-2</v>
      </c>
      <c r="CW110" s="1490">
        <f t="shared" ca="1" si="101"/>
        <v>0.10191037342158929</v>
      </c>
      <c r="CX110" s="1490">
        <f t="shared" ca="1" si="102"/>
        <v>0.1447694278418703</v>
      </c>
      <c r="CY110" s="1491">
        <f t="shared" ca="1" si="103"/>
        <v>0.18891425389475977</v>
      </c>
    </row>
    <row r="111" spans="2:103" x14ac:dyDescent="0.3">
      <c r="B111" s="397"/>
      <c r="C111" s="1294" t="s">
        <v>1161</v>
      </c>
      <c r="D111" s="1295"/>
      <c r="E111" s="2097" t="s">
        <v>22</v>
      </c>
      <c r="F111" s="2097" t="s">
        <v>12</v>
      </c>
      <c r="G111" s="1294" t="s">
        <v>14</v>
      </c>
      <c r="H111" s="2349" t="s">
        <v>516</v>
      </c>
      <c r="I111" s="2350"/>
      <c r="J111" s="1292" t="s">
        <v>279</v>
      </c>
      <c r="K111" s="1292" t="s">
        <v>921</v>
      </c>
      <c r="L111" s="1292">
        <v>60</v>
      </c>
      <c r="M111" s="1292">
        <v>60</v>
      </c>
      <c r="O111" s="376"/>
      <c r="P111" s="376"/>
      <c r="Q111" s="2337">
        <v>0</v>
      </c>
      <c r="R111" s="2338">
        <v>0</v>
      </c>
      <c r="S111" s="2338">
        <v>0</v>
      </c>
      <c r="T111" s="2338">
        <v>0</v>
      </c>
      <c r="U111" s="2339">
        <v>0</v>
      </c>
      <c r="V111" s="2337">
        <v>3.5</v>
      </c>
      <c r="W111" s="2338">
        <v>3.5</v>
      </c>
      <c r="X111" s="2338">
        <v>0</v>
      </c>
      <c r="Y111" s="2338">
        <v>0</v>
      </c>
      <c r="Z111" s="2339">
        <v>0</v>
      </c>
      <c r="AA111" s="1132"/>
      <c r="AB111" s="1129"/>
      <c r="AC111" s="1130"/>
      <c r="AD111" s="1510"/>
      <c r="AE111" s="1130"/>
      <c r="AF111" s="1131"/>
      <c r="AG111" s="1129"/>
      <c r="AH111" s="1510"/>
      <c r="AI111" s="1130"/>
      <c r="AJ111" s="1130"/>
      <c r="AK111" s="1131"/>
      <c r="AL111" s="1132"/>
      <c r="AM111" s="1509"/>
      <c r="AN111" s="1130"/>
      <c r="AO111" s="1510"/>
      <c r="AP111" s="1510"/>
      <c r="AQ111" s="1131"/>
      <c r="AR111" s="1129"/>
      <c r="AS111" s="1130"/>
      <c r="AT111" s="1130"/>
      <c r="AU111" s="1130"/>
      <c r="AV111" s="1131"/>
      <c r="AW111" s="1133"/>
      <c r="AX111" s="1492">
        <f t="shared" si="86"/>
        <v>0</v>
      </c>
      <c r="AY111" s="1490">
        <f t="shared" si="87"/>
        <v>0</v>
      </c>
      <c r="AZ111" s="1490">
        <f t="shared" si="88"/>
        <v>0</v>
      </c>
      <c r="BA111" s="1490">
        <f t="shared" si="89"/>
        <v>0</v>
      </c>
      <c r="BB111" s="1491">
        <f t="shared" si="90"/>
        <v>0</v>
      </c>
      <c r="BC111" s="1492">
        <f t="shared" si="91"/>
        <v>3.5</v>
      </c>
      <c r="BD111" s="1490">
        <f t="shared" si="92"/>
        <v>3.5</v>
      </c>
      <c r="BE111" s="1490">
        <f t="shared" si="93"/>
        <v>0</v>
      </c>
      <c r="BF111" s="1490">
        <f t="shared" si="64"/>
        <v>0</v>
      </c>
      <c r="BG111" s="1491">
        <f t="shared" si="65"/>
        <v>0</v>
      </c>
      <c r="BH111" s="1133"/>
      <c r="BI111" s="1492">
        <f t="shared" ca="1" si="66"/>
        <v>0</v>
      </c>
      <c r="BJ111" s="1490">
        <f t="shared" ca="1" si="67"/>
        <v>0</v>
      </c>
      <c r="BK111" s="1490">
        <f t="shared" ca="1" si="68"/>
        <v>0</v>
      </c>
      <c r="BL111" s="1490">
        <f t="shared" ca="1" si="69"/>
        <v>0</v>
      </c>
      <c r="BM111" s="1491">
        <f t="shared" ca="1" si="70"/>
        <v>0</v>
      </c>
      <c r="BN111" s="1492">
        <f t="shared" ca="1" si="71"/>
        <v>0</v>
      </c>
      <c r="BO111" s="1490">
        <f t="shared" ca="1" si="72"/>
        <v>5.8333333333333334E-2</v>
      </c>
      <c r="BP111" s="1490">
        <f t="shared" ca="1" si="73"/>
        <v>0.11666666666666667</v>
      </c>
      <c r="BQ111" s="1490">
        <f t="shared" ca="1" si="74"/>
        <v>0.11666666666666667</v>
      </c>
      <c r="BR111" s="1491">
        <f t="shared" ca="1" si="75"/>
        <v>0.11666666666666667</v>
      </c>
      <c r="BS111" s="1133"/>
      <c r="BT111" s="1492">
        <f>+IF($K111="Ongoing",AX111,IF(RIGHT($K111,2)=RIGHT(BT$39,2),SUM($AX111:AX111),0)+IF(RIGHT(BT$39,2)&gt;RIGHT($K111,2),AX111,0))</f>
        <v>0</v>
      </c>
      <c r="BU111" s="1490">
        <f>+IF($K111="Ongoing",AY111,IF(RIGHT($K111,2)=RIGHT(BU$39,2),SUM($AX111:AY111),0)+IF(RIGHT(BU$39,2)&gt;RIGHT($K111,2),AY111,0))</f>
        <v>0</v>
      </c>
      <c r="BV111" s="1490">
        <f>+IF($K111="Ongoing",AZ111,IF(RIGHT($K111,2)=RIGHT(BV$39,2),SUM($AX111:AZ111),0)+IF(RIGHT(BV$39,2)&gt;RIGHT($K111,2),AZ111,0))</f>
        <v>0</v>
      </c>
      <c r="BW111" s="1490">
        <f>+IF($K111="Ongoing",BA111,IF(RIGHT($K111,2)=RIGHT(BW$39,2),SUM($AX111:BA111),0)+IF(RIGHT(BW$39,2)&gt;RIGHT($K111,2),BA111,0))</f>
        <v>0</v>
      </c>
      <c r="BX111" s="1491">
        <f>+IF($K111="Ongoing",BB111,IF(RIGHT($K111,2)=RIGHT(BX$39,2),SUM($AX111:BB111),0)+IF(RIGHT(BX$39,2)&gt;RIGHT($K111,2),BB111,0))</f>
        <v>0</v>
      </c>
      <c r="BY111" s="1492">
        <f>+IF($K111="Ongoing",BC111,IF(RIGHT($K111,2)=RIGHT(BY$39,2),SUM($AX111:BC111),0)+IF(RIGHT(BY$39,2)&gt;RIGHT($K111,2),BC111,0))</f>
        <v>0</v>
      </c>
      <c r="BZ111" s="1490">
        <f>+IF($K111="Ongoing",BD111,IF(RIGHT($K111,2)=RIGHT(BZ$39,2),SUM($AX111:BD111),0)+IF(RIGHT(BZ$39,2)&gt;RIGHT($K111,2),BD111,0))</f>
        <v>7</v>
      </c>
      <c r="CA111" s="1490">
        <f>+IF($K111="Ongoing",BE111,IF(RIGHT($K111,2)=RIGHT(CA$39,2),SUM($AX111:BE111),0)+IF(RIGHT(CA$39,2)&gt;RIGHT($K111,2),BE111,0))</f>
        <v>0</v>
      </c>
      <c r="CB111" s="1490">
        <f>+IF($K111="Ongoing",BF111,IF(RIGHT($K111,2)=RIGHT(CB$39,2),SUM($AX111:BF111),0)+IF(RIGHT(CB$39,2)&gt;RIGHT($K111,2),BF111,0))</f>
        <v>0</v>
      </c>
      <c r="CC111" s="1491">
        <f>+IF($K111="Ongoing",BG111,IF(RIGHT($K111,2)=RIGHT(CC$39,2),SUM($AX111:BG111),0)+IF(RIGHT(CC$39,2)&gt;RIGHT($K111,2),BG111,0))</f>
        <v>0</v>
      </c>
      <c r="CD111" s="1133"/>
      <c r="CE111" s="1492">
        <f>+Q111*KeyAssumptionsPriceControl_FO!AC$15</f>
        <v>0</v>
      </c>
      <c r="CF111" s="1490">
        <f>+R111*KeyAssumptionsPriceControl_FO!AD$15</f>
        <v>0</v>
      </c>
      <c r="CG111" s="1490">
        <f>+S111*KeyAssumptionsPriceControl_FO!AE$15</f>
        <v>0</v>
      </c>
      <c r="CH111" s="1490">
        <f>+T111*KeyAssumptionsPriceControl_FO!AF$15</f>
        <v>0</v>
      </c>
      <c r="CI111" s="1491">
        <f>+U111*KeyAssumptionsPriceControl_FO!AG$15</f>
        <v>0</v>
      </c>
      <c r="CJ111" s="1492">
        <f>+V111*KeyAssumptionsPriceControl_FO!AH$15</f>
        <v>4.1791830378515007</v>
      </c>
      <c r="CK111" s="1490">
        <f>+W111*KeyAssumptionsPriceControl_FO!AI$15</f>
        <v>4.3045585289870454</v>
      </c>
      <c r="CL111" s="1490">
        <f>+X111*KeyAssumptionsPriceControl_FO!AJ$15</f>
        <v>0</v>
      </c>
      <c r="CM111" s="1490">
        <f>+Y111*KeyAssumptionsPriceControl_FO!AK$15</f>
        <v>0</v>
      </c>
      <c r="CN111" s="1491">
        <f>+Z111*KeyAssumptionsPriceControl_FO!AL$15</f>
        <v>0</v>
      </c>
      <c r="CO111" s="1133"/>
      <c r="CP111" s="1492">
        <f t="shared" ca="1" si="94"/>
        <v>0</v>
      </c>
      <c r="CQ111" s="1490">
        <f t="shared" ca="1" si="95"/>
        <v>0</v>
      </c>
      <c r="CR111" s="1490">
        <f t="shared" ca="1" si="96"/>
        <v>0</v>
      </c>
      <c r="CS111" s="1490">
        <f t="shared" ca="1" si="97"/>
        <v>0</v>
      </c>
      <c r="CT111" s="1491">
        <f t="shared" ca="1" si="98"/>
        <v>0</v>
      </c>
      <c r="CU111" s="1492">
        <f t="shared" ca="1" si="99"/>
        <v>3.4826525315429173E-2</v>
      </c>
      <c r="CV111" s="1490">
        <f t="shared" ca="1" si="100"/>
        <v>0.10552437170575038</v>
      </c>
      <c r="CW111" s="1490">
        <f t="shared" ca="1" si="101"/>
        <v>0.14139569278064243</v>
      </c>
      <c r="CX111" s="1490">
        <f t="shared" ca="1" si="102"/>
        <v>0.14139569278064243</v>
      </c>
      <c r="CY111" s="1491">
        <f t="shared" ca="1" si="103"/>
        <v>0.14139569278064243</v>
      </c>
    </row>
    <row r="112" spans="2:103" x14ac:dyDescent="0.3">
      <c r="B112" s="397"/>
      <c r="C112" s="1294" t="s">
        <v>1162</v>
      </c>
      <c r="D112" s="1295"/>
      <c r="E112" s="2097" t="s">
        <v>21</v>
      </c>
      <c r="F112" s="2097" t="s">
        <v>12</v>
      </c>
      <c r="G112" s="1294" t="s">
        <v>6</v>
      </c>
      <c r="H112" s="2349" t="s">
        <v>516</v>
      </c>
      <c r="I112" s="2350"/>
      <c r="J112" s="1292" t="s">
        <v>279</v>
      </c>
      <c r="K112" s="1292" t="s">
        <v>296</v>
      </c>
      <c r="L112" s="1292">
        <v>60</v>
      </c>
      <c r="M112" s="1292">
        <v>60</v>
      </c>
      <c r="O112" s="376"/>
      <c r="P112" s="376"/>
      <c r="Q112" s="2337">
        <v>0</v>
      </c>
      <c r="R112" s="2338">
        <v>0</v>
      </c>
      <c r="S112" s="2338">
        <v>0</v>
      </c>
      <c r="T112" s="2338">
        <v>0</v>
      </c>
      <c r="U112" s="2339">
        <v>0</v>
      </c>
      <c r="V112" s="2337">
        <v>0</v>
      </c>
      <c r="W112" s="2338">
        <v>0</v>
      </c>
      <c r="X112" s="2338">
        <v>0.1</v>
      </c>
      <c r="Y112" s="2338">
        <v>2.4</v>
      </c>
      <c r="Z112" s="2339">
        <v>2.5</v>
      </c>
      <c r="AA112" s="1132"/>
      <c r="AB112" s="1129"/>
      <c r="AC112" s="1130"/>
      <c r="AD112" s="1510"/>
      <c r="AE112" s="1510"/>
      <c r="AF112" s="1131"/>
      <c r="AG112" s="1129"/>
      <c r="AH112" s="1130"/>
      <c r="AI112" s="1130"/>
      <c r="AJ112" s="1130"/>
      <c r="AK112" s="1131"/>
      <c r="AL112" s="1132"/>
      <c r="AM112" s="1129"/>
      <c r="AN112" s="1130"/>
      <c r="AO112" s="1130"/>
      <c r="AP112" s="1510"/>
      <c r="AQ112" s="1131"/>
      <c r="AR112" s="1129"/>
      <c r="AS112" s="1130"/>
      <c r="AT112" s="1130"/>
      <c r="AU112" s="1510"/>
      <c r="AV112" s="1131"/>
      <c r="AW112" s="1133"/>
      <c r="AX112" s="1492">
        <f t="shared" si="86"/>
        <v>0</v>
      </c>
      <c r="AY112" s="1490">
        <f t="shared" si="87"/>
        <v>0</v>
      </c>
      <c r="AZ112" s="1490">
        <f t="shared" si="88"/>
        <v>0</v>
      </c>
      <c r="BA112" s="1490">
        <f t="shared" si="89"/>
        <v>0</v>
      </c>
      <c r="BB112" s="1491">
        <f t="shared" si="90"/>
        <v>0</v>
      </c>
      <c r="BC112" s="1492">
        <f t="shared" si="91"/>
        <v>0</v>
      </c>
      <c r="BD112" s="1490">
        <f t="shared" si="92"/>
        <v>0</v>
      </c>
      <c r="BE112" s="1490">
        <f t="shared" si="93"/>
        <v>0.1</v>
      </c>
      <c r="BF112" s="1490">
        <f t="shared" si="64"/>
        <v>2.4</v>
      </c>
      <c r="BG112" s="1491">
        <f t="shared" si="65"/>
        <v>2.5</v>
      </c>
      <c r="BH112" s="1133"/>
      <c r="BI112" s="1492">
        <f t="shared" ca="1" si="66"/>
        <v>0</v>
      </c>
      <c r="BJ112" s="1490">
        <f t="shared" ca="1" si="67"/>
        <v>0</v>
      </c>
      <c r="BK112" s="1490">
        <f t="shared" ca="1" si="68"/>
        <v>0</v>
      </c>
      <c r="BL112" s="1490">
        <f t="shared" ca="1" si="69"/>
        <v>0</v>
      </c>
      <c r="BM112" s="1491">
        <f t="shared" ca="1" si="70"/>
        <v>0</v>
      </c>
      <c r="BN112" s="1492">
        <f t="shared" ca="1" si="71"/>
        <v>0</v>
      </c>
      <c r="BO112" s="1490">
        <f t="shared" ca="1" si="72"/>
        <v>0</v>
      </c>
      <c r="BP112" s="1490">
        <f t="shared" ca="1" si="73"/>
        <v>8.3333333333333339E-4</v>
      </c>
      <c r="BQ112" s="1490">
        <f t="shared" ca="1" si="74"/>
        <v>2.1666666666666667E-2</v>
      </c>
      <c r="BR112" s="1491">
        <f t="shared" ca="1" si="75"/>
        <v>6.25E-2</v>
      </c>
      <c r="BS112" s="1133"/>
      <c r="BT112" s="1492">
        <f>+IF($K112="Ongoing",AX112,IF(RIGHT($K112,2)=RIGHT(BT$39,2),SUM($AX112:AX112),0)+IF(RIGHT(BT$39,2)&gt;RIGHT($K112,2),AX112,0))</f>
        <v>0</v>
      </c>
      <c r="BU112" s="1490">
        <f>+IF($K112="Ongoing",AY112,IF(RIGHT($K112,2)=RIGHT(BU$39,2),SUM($AX112:AY112),0)+IF(RIGHT(BU$39,2)&gt;RIGHT($K112,2),AY112,0))</f>
        <v>0</v>
      </c>
      <c r="BV112" s="1490">
        <f>+IF($K112="Ongoing",AZ112,IF(RIGHT($K112,2)=RIGHT(BV$39,2),SUM($AX112:AZ112),0)+IF(RIGHT(BV$39,2)&gt;RIGHT($K112,2),AZ112,0))</f>
        <v>0</v>
      </c>
      <c r="BW112" s="1490">
        <f>+IF($K112="Ongoing",BA112,IF(RIGHT($K112,2)=RIGHT(BW$39,2),SUM($AX112:BA112),0)+IF(RIGHT(BW$39,2)&gt;RIGHT($K112,2),BA112,0))</f>
        <v>0</v>
      </c>
      <c r="BX112" s="1491">
        <f>+IF($K112="Ongoing",BB112,IF(RIGHT($K112,2)=RIGHT(BX$39,2),SUM($AX112:BB112),0)+IF(RIGHT(BX$39,2)&gt;RIGHT($K112,2),BB112,0))</f>
        <v>0</v>
      </c>
      <c r="BY112" s="1492">
        <f>+IF($K112="Ongoing",BC112,IF(RIGHT($K112,2)=RIGHT(BY$39,2),SUM($AX112:BC112),0)+IF(RIGHT(BY$39,2)&gt;RIGHT($K112,2),BC112,0))</f>
        <v>0</v>
      </c>
      <c r="BZ112" s="1490">
        <f>+IF($K112="Ongoing",BD112,IF(RIGHT($K112,2)=RIGHT(BZ$39,2),SUM($AX112:BD112),0)+IF(RIGHT(BZ$39,2)&gt;RIGHT($K112,2),BD112,0))</f>
        <v>0</v>
      </c>
      <c r="CA112" s="1490">
        <f>+IF($K112="Ongoing",BE112,IF(RIGHT($K112,2)=RIGHT(CA$39,2),SUM($AX112:BE112),0)+IF(RIGHT(CA$39,2)&gt;RIGHT($K112,2),BE112,0))</f>
        <v>0.1</v>
      </c>
      <c r="CB112" s="1490">
        <f>+IF($K112="Ongoing",BF112,IF(RIGHT($K112,2)=RIGHT(CB$39,2),SUM($AX112:BF112),0)+IF(RIGHT(CB$39,2)&gt;RIGHT($K112,2),BF112,0))</f>
        <v>2.4</v>
      </c>
      <c r="CC112" s="1491">
        <f>+IF($K112="Ongoing",BG112,IF(RIGHT($K112,2)=RIGHT(CC$39,2),SUM($AX112:BG112),0)+IF(RIGHT(CC$39,2)&gt;RIGHT($K112,2),BG112,0))</f>
        <v>2.5</v>
      </c>
      <c r="CD112" s="1133"/>
      <c r="CE112" s="1492">
        <f>+Q112*KeyAssumptionsPriceControl_FO!AC$15</f>
        <v>0</v>
      </c>
      <c r="CF112" s="1490">
        <f>+R112*KeyAssumptionsPriceControl_FO!AD$15</f>
        <v>0</v>
      </c>
      <c r="CG112" s="1490">
        <f>+S112*KeyAssumptionsPriceControl_FO!AE$15</f>
        <v>0</v>
      </c>
      <c r="CH112" s="1490">
        <f>+T112*KeyAssumptionsPriceControl_FO!AF$15</f>
        <v>0</v>
      </c>
      <c r="CI112" s="1491">
        <f>+U112*KeyAssumptionsPriceControl_FO!AG$15</f>
        <v>0</v>
      </c>
      <c r="CJ112" s="1492">
        <f>+V112*KeyAssumptionsPriceControl_FO!AH$15</f>
        <v>0</v>
      </c>
      <c r="CK112" s="1490">
        <f>+W112*KeyAssumptionsPriceControl_FO!AI$15</f>
        <v>0</v>
      </c>
      <c r="CL112" s="1490">
        <f>+X112*KeyAssumptionsPriceControl_FO!AJ$15</f>
        <v>0.12667700813876165</v>
      </c>
      <c r="CM112" s="1490">
        <f>+Y112*KeyAssumptionsPriceControl_FO!AK$15</f>
        <v>3.1314556411901875</v>
      </c>
      <c r="CN112" s="1491">
        <f>+Z112*KeyAssumptionsPriceControl_FO!AL$15</f>
        <v>3.3597909483603057</v>
      </c>
      <c r="CO112" s="1133"/>
      <c r="CP112" s="1492">
        <f t="shared" ca="1" si="94"/>
        <v>0</v>
      </c>
      <c r="CQ112" s="1490">
        <f t="shared" ca="1" si="95"/>
        <v>0</v>
      </c>
      <c r="CR112" s="1490">
        <f t="shared" ca="1" si="96"/>
        <v>0</v>
      </c>
      <c r="CS112" s="1490">
        <f t="shared" ca="1" si="97"/>
        <v>0</v>
      </c>
      <c r="CT112" s="1491">
        <f t="shared" ca="1" si="98"/>
        <v>0</v>
      </c>
      <c r="CU112" s="1492">
        <f t="shared" ca="1" si="99"/>
        <v>0</v>
      </c>
      <c r="CV112" s="1490">
        <f t="shared" ca="1" si="100"/>
        <v>0</v>
      </c>
      <c r="CW112" s="1490">
        <f t="shared" ca="1" si="101"/>
        <v>1.0556417344896804E-3</v>
      </c>
      <c r="CX112" s="1490">
        <f t="shared" ca="1" si="102"/>
        <v>2.8206747145564256E-2</v>
      </c>
      <c r="CY112" s="1491">
        <f t="shared" ca="1" si="103"/>
        <v>8.2300468725151704E-2</v>
      </c>
    </row>
    <row r="113" spans="2:103" x14ac:dyDescent="0.3">
      <c r="B113" s="397"/>
      <c r="C113" s="1294" t="s">
        <v>1163</v>
      </c>
      <c r="D113" s="1295"/>
      <c r="E113" s="2097" t="s">
        <v>21</v>
      </c>
      <c r="F113" s="2097" t="s">
        <v>512</v>
      </c>
      <c r="G113" s="1294" t="s">
        <v>14</v>
      </c>
      <c r="H113" s="2349" t="s">
        <v>516</v>
      </c>
      <c r="I113" s="2350"/>
      <c r="J113" s="1292" t="s">
        <v>279</v>
      </c>
      <c r="K113" s="1292" t="s">
        <v>296</v>
      </c>
      <c r="L113" s="1292">
        <v>60</v>
      </c>
      <c r="M113" s="1292">
        <v>60</v>
      </c>
      <c r="O113" s="376"/>
      <c r="P113" s="376"/>
      <c r="Q113" s="2337">
        <v>0</v>
      </c>
      <c r="R113" s="2338">
        <v>0</v>
      </c>
      <c r="S113" s="2338">
        <v>0</v>
      </c>
      <c r="T113" s="2338">
        <v>0</v>
      </c>
      <c r="U113" s="2339">
        <v>0</v>
      </c>
      <c r="V113" s="2337">
        <v>0.15</v>
      </c>
      <c r="W113" s="2338">
        <v>0.85</v>
      </c>
      <c r="X113" s="2338">
        <v>1</v>
      </c>
      <c r="Y113" s="2338">
        <v>1.5</v>
      </c>
      <c r="Z113" s="2339">
        <v>1.5</v>
      </c>
      <c r="AA113" s="1132"/>
      <c r="AB113" s="1129"/>
      <c r="AC113" s="1130"/>
      <c r="AD113" s="1510"/>
      <c r="AE113" s="1130"/>
      <c r="AF113" s="1131"/>
      <c r="AG113" s="1129"/>
      <c r="AH113" s="1510"/>
      <c r="AI113" s="1130"/>
      <c r="AJ113" s="1130"/>
      <c r="AK113" s="1131"/>
      <c r="AL113" s="1132"/>
      <c r="AM113" s="1509"/>
      <c r="AN113" s="1130"/>
      <c r="AO113" s="1510"/>
      <c r="AP113" s="1510"/>
      <c r="AQ113" s="1131"/>
      <c r="AR113" s="1129"/>
      <c r="AS113" s="1130"/>
      <c r="AT113" s="1130"/>
      <c r="AU113" s="1130"/>
      <c r="AV113" s="1131"/>
      <c r="AW113" s="1133"/>
      <c r="AX113" s="1492">
        <f t="shared" si="86"/>
        <v>0</v>
      </c>
      <c r="AY113" s="1490">
        <f t="shared" si="87"/>
        <v>0</v>
      </c>
      <c r="AZ113" s="1490">
        <f t="shared" si="88"/>
        <v>0</v>
      </c>
      <c r="BA113" s="1490">
        <f t="shared" si="89"/>
        <v>0</v>
      </c>
      <c r="BB113" s="1491">
        <f t="shared" si="90"/>
        <v>0</v>
      </c>
      <c r="BC113" s="1492">
        <f t="shared" si="91"/>
        <v>0.15</v>
      </c>
      <c r="BD113" s="1490">
        <f t="shared" si="92"/>
        <v>0.85</v>
      </c>
      <c r="BE113" s="1490">
        <f t="shared" si="93"/>
        <v>1</v>
      </c>
      <c r="BF113" s="1490">
        <f t="shared" si="64"/>
        <v>1.5</v>
      </c>
      <c r="BG113" s="1491">
        <f t="shared" si="65"/>
        <v>1.5</v>
      </c>
      <c r="BH113" s="1133"/>
      <c r="BI113" s="1492">
        <f t="shared" ca="1" si="66"/>
        <v>0</v>
      </c>
      <c r="BJ113" s="1490">
        <f t="shared" ca="1" si="67"/>
        <v>0</v>
      </c>
      <c r="BK113" s="1490">
        <f t="shared" ca="1" si="68"/>
        <v>0</v>
      </c>
      <c r="BL113" s="1490">
        <f t="shared" ca="1" si="69"/>
        <v>0</v>
      </c>
      <c r="BM113" s="1491">
        <f t="shared" ca="1" si="70"/>
        <v>0</v>
      </c>
      <c r="BN113" s="1492">
        <f t="shared" ca="1" si="71"/>
        <v>1.25E-3</v>
      </c>
      <c r="BO113" s="1490">
        <f t="shared" ca="1" si="72"/>
        <v>9.5833333333333326E-3</v>
      </c>
      <c r="BP113" s="1490">
        <f t="shared" ca="1" si="73"/>
        <v>2.5000000000000001E-2</v>
      </c>
      <c r="BQ113" s="1490">
        <f t="shared" ca="1" si="74"/>
        <v>4.5833333333333337E-2</v>
      </c>
      <c r="BR113" s="1491">
        <f t="shared" ca="1" si="75"/>
        <v>7.0833333333333331E-2</v>
      </c>
      <c r="BS113" s="1133"/>
      <c r="BT113" s="1492">
        <f>+IF($K113="Ongoing",AX113,IF(RIGHT($K113,2)=RIGHT(BT$39,2),SUM($AX113:AX113),0)+IF(RIGHT(BT$39,2)&gt;RIGHT($K113,2),AX113,0))</f>
        <v>0</v>
      </c>
      <c r="BU113" s="1490">
        <f>+IF($K113="Ongoing",AY113,IF(RIGHT($K113,2)=RIGHT(BU$39,2),SUM($AX113:AY113),0)+IF(RIGHT(BU$39,2)&gt;RIGHT($K113,2),AY113,0))</f>
        <v>0</v>
      </c>
      <c r="BV113" s="1490">
        <f>+IF($K113="Ongoing",AZ113,IF(RIGHT($K113,2)=RIGHT(BV$39,2),SUM($AX113:AZ113),0)+IF(RIGHT(BV$39,2)&gt;RIGHT($K113,2),AZ113,0))</f>
        <v>0</v>
      </c>
      <c r="BW113" s="1490">
        <f>+IF($K113="Ongoing",BA113,IF(RIGHT($K113,2)=RIGHT(BW$39,2),SUM($AX113:BA113),0)+IF(RIGHT(BW$39,2)&gt;RIGHT($K113,2),BA113,0))</f>
        <v>0</v>
      </c>
      <c r="BX113" s="1491">
        <f>+IF($K113="Ongoing",BB113,IF(RIGHT($K113,2)=RIGHT(BX$39,2),SUM($AX113:BB113),0)+IF(RIGHT(BX$39,2)&gt;RIGHT($K113,2),BB113,0))</f>
        <v>0</v>
      </c>
      <c r="BY113" s="1492">
        <f>+IF($K113="Ongoing",BC113,IF(RIGHT($K113,2)=RIGHT(BY$39,2),SUM($AX113:BC113),0)+IF(RIGHT(BY$39,2)&gt;RIGHT($K113,2),BC113,0))</f>
        <v>0.15</v>
      </c>
      <c r="BZ113" s="1490">
        <f>+IF($K113="Ongoing",BD113,IF(RIGHT($K113,2)=RIGHT(BZ$39,2),SUM($AX113:BD113),0)+IF(RIGHT(BZ$39,2)&gt;RIGHT($K113,2),BD113,0))</f>
        <v>0.85</v>
      </c>
      <c r="CA113" s="1490">
        <f>+IF($K113="Ongoing",BE113,IF(RIGHT($K113,2)=RIGHT(CA$39,2),SUM($AX113:BE113),0)+IF(RIGHT(CA$39,2)&gt;RIGHT($K113,2),BE113,0))</f>
        <v>1</v>
      </c>
      <c r="CB113" s="1490">
        <f>+IF($K113="Ongoing",BF113,IF(RIGHT($K113,2)=RIGHT(CB$39,2),SUM($AX113:BF113),0)+IF(RIGHT(CB$39,2)&gt;RIGHT($K113,2),BF113,0))</f>
        <v>1.5</v>
      </c>
      <c r="CC113" s="1491">
        <f>+IF($K113="Ongoing",BG113,IF(RIGHT($K113,2)=RIGHT(CC$39,2),SUM($AX113:BG113),0)+IF(RIGHT(CC$39,2)&gt;RIGHT($K113,2),BG113,0))</f>
        <v>1.5</v>
      </c>
      <c r="CD113" s="1133"/>
      <c r="CE113" s="1492">
        <f>+Q113*KeyAssumptionsPriceControl_FO!AC$15</f>
        <v>0</v>
      </c>
      <c r="CF113" s="1490">
        <f>+R113*KeyAssumptionsPriceControl_FO!AD$15</f>
        <v>0</v>
      </c>
      <c r="CG113" s="1490">
        <f>+S113*KeyAssumptionsPriceControl_FO!AE$15</f>
        <v>0</v>
      </c>
      <c r="CH113" s="1490">
        <f>+T113*KeyAssumptionsPriceControl_FO!AF$15</f>
        <v>0</v>
      </c>
      <c r="CI113" s="1491">
        <f>+U113*KeyAssumptionsPriceControl_FO!AG$15</f>
        <v>0</v>
      </c>
      <c r="CJ113" s="1492">
        <f>+V113*KeyAssumptionsPriceControl_FO!AH$15</f>
        <v>0.17910784447935002</v>
      </c>
      <c r="CK113" s="1490">
        <f>+W113*KeyAssumptionsPriceControl_FO!AI$15</f>
        <v>1.0453927856111396</v>
      </c>
      <c r="CL113" s="1490">
        <f>+X113*KeyAssumptionsPriceControl_FO!AJ$15</f>
        <v>1.2667700813876164</v>
      </c>
      <c r="CM113" s="1490">
        <f>+Y113*KeyAssumptionsPriceControl_FO!AK$15</f>
        <v>1.9571597757438672</v>
      </c>
      <c r="CN113" s="1491">
        <f>+Z113*KeyAssumptionsPriceControl_FO!AL$15</f>
        <v>2.0158745690161832</v>
      </c>
      <c r="CO113" s="1133"/>
      <c r="CP113" s="1492">
        <f t="shared" ca="1" si="94"/>
        <v>0</v>
      </c>
      <c r="CQ113" s="1490">
        <f t="shared" ca="1" si="95"/>
        <v>0</v>
      </c>
      <c r="CR113" s="1490">
        <f t="shared" ca="1" si="96"/>
        <v>0</v>
      </c>
      <c r="CS113" s="1490">
        <f t="shared" ca="1" si="97"/>
        <v>0</v>
      </c>
      <c r="CT113" s="1491">
        <f t="shared" ca="1" si="98"/>
        <v>0</v>
      </c>
      <c r="CU113" s="1492">
        <f t="shared" ca="1" si="99"/>
        <v>1.4925653706612501E-3</v>
      </c>
      <c r="CV113" s="1490">
        <f t="shared" ca="1" si="100"/>
        <v>1.1696737288081998E-2</v>
      </c>
      <c r="CW113" s="1490">
        <f t="shared" ca="1" si="101"/>
        <v>3.0964761179738294E-2</v>
      </c>
      <c r="CX113" s="1490">
        <f t="shared" ca="1" si="102"/>
        <v>5.7830843322500658E-2</v>
      </c>
      <c r="CY113" s="1491">
        <f t="shared" ca="1" si="103"/>
        <v>9.0939462862167753E-2</v>
      </c>
    </row>
    <row r="114" spans="2:103" x14ac:dyDescent="0.3">
      <c r="B114" s="397"/>
      <c r="C114" s="1294" t="s">
        <v>1164</v>
      </c>
      <c r="D114" s="1295"/>
      <c r="E114" s="2097" t="s">
        <v>21</v>
      </c>
      <c r="F114" s="2097" t="s">
        <v>512</v>
      </c>
      <c r="G114" s="1294" t="s">
        <v>6</v>
      </c>
      <c r="H114" s="2349" t="s">
        <v>516</v>
      </c>
      <c r="I114" s="2350"/>
      <c r="J114" s="1292" t="s">
        <v>279</v>
      </c>
      <c r="K114" s="1292" t="s">
        <v>296</v>
      </c>
      <c r="L114" s="1292">
        <v>60</v>
      </c>
      <c r="M114" s="1292">
        <v>60</v>
      </c>
      <c r="O114" s="376"/>
      <c r="P114" s="376"/>
      <c r="Q114" s="2337">
        <v>0</v>
      </c>
      <c r="R114" s="2338">
        <v>0</v>
      </c>
      <c r="S114" s="2338">
        <v>0</v>
      </c>
      <c r="T114" s="2338">
        <v>0</v>
      </c>
      <c r="U114" s="2339">
        <v>0</v>
      </c>
      <c r="V114" s="2337">
        <v>1</v>
      </c>
      <c r="W114" s="2338">
        <v>1</v>
      </c>
      <c r="X114" s="2338">
        <v>1</v>
      </c>
      <c r="Y114" s="2338">
        <v>1</v>
      </c>
      <c r="Z114" s="2339">
        <v>1</v>
      </c>
      <c r="AA114" s="1132"/>
      <c r="AB114" s="1129"/>
      <c r="AC114" s="1130"/>
      <c r="AD114" s="1510"/>
      <c r="AE114" s="1510"/>
      <c r="AF114" s="1131"/>
      <c r="AG114" s="1129"/>
      <c r="AH114" s="1130"/>
      <c r="AI114" s="1130"/>
      <c r="AJ114" s="1130"/>
      <c r="AK114" s="1131"/>
      <c r="AL114" s="1132"/>
      <c r="AM114" s="1129"/>
      <c r="AN114" s="1130"/>
      <c r="AO114" s="1130"/>
      <c r="AP114" s="1510"/>
      <c r="AQ114" s="1131"/>
      <c r="AR114" s="1129"/>
      <c r="AS114" s="1130"/>
      <c r="AT114" s="1130"/>
      <c r="AU114" s="1510"/>
      <c r="AV114" s="1131"/>
      <c r="AW114" s="1133"/>
      <c r="AX114" s="1492">
        <f t="shared" si="86"/>
        <v>0</v>
      </c>
      <c r="AY114" s="1490">
        <f t="shared" si="87"/>
        <v>0</v>
      </c>
      <c r="AZ114" s="1490">
        <f t="shared" si="88"/>
        <v>0</v>
      </c>
      <c r="BA114" s="1490">
        <f t="shared" si="89"/>
        <v>0</v>
      </c>
      <c r="BB114" s="1491">
        <f t="shared" si="90"/>
        <v>0</v>
      </c>
      <c r="BC114" s="1492">
        <f t="shared" si="91"/>
        <v>1</v>
      </c>
      <c r="BD114" s="1490">
        <f t="shared" si="92"/>
        <v>1</v>
      </c>
      <c r="BE114" s="1490">
        <f t="shared" si="93"/>
        <v>1</v>
      </c>
      <c r="BF114" s="1490">
        <f t="shared" si="64"/>
        <v>1</v>
      </c>
      <c r="BG114" s="1491">
        <f t="shared" si="65"/>
        <v>1</v>
      </c>
      <c r="BH114" s="1133"/>
      <c r="BI114" s="1492">
        <f t="shared" ca="1" si="66"/>
        <v>0</v>
      </c>
      <c r="BJ114" s="1490">
        <f t="shared" ca="1" si="67"/>
        <v>0</v>
      </c>
      <c r="BK114" s="1490">
        <f t="shared" ca="1" si="68"/>
        <v>0</v>
      </c>
      <c r="BL114" s="1490">
        <f t="shared" ca="1" si="69"/>
        <v>0</v>
      </c>
      <c r="BM114" s="1491">
        <f t="shared" ca="1" si="70"/>
        <v>0</v>
      </c>
      <c r="BN114" s="1492">
        <f t="shared" ca="1" si="71"/>
        <v>8.3333333333333332E-3</v>
      </c>
      <c r="BO114" s="1490">
        <f t="shared" ca="1" si="72"/>
        <v>2.5000000000000001E-2</v>
      </c>
      <c r="BP114" s="1490">
        <f t="shared" ca="1" si="73"/>
        <v>4.1666666666666664E-2</v>
      </c>
      <c r="BQ114" s="1490">
        <f t="shared" ca="1" si="74"/>
        <v>5.8333333333333334E-2</v>
      </c>
      <c r="BR114" s="1491">
        <f t="shared" ca="1" si="75"/>
        <v>7.4999999999999997E-2</v>
      </c>
      <c r="BS114" s="1133"/>
      <c r="BT114" s="1492">
        <f>+IF($K114="Ongoing",AX114,IF(RIGHT($K114,2)=RIGHT(BT$39,2),SUM($AX114:AX114),0)+IF(RIGHT(BT$39,2)&gt;RIGHT($K114,2),AX114,0))</f>
        <v>0</v>
      </c>
      <c r="BU114" s="1490">
        <f>+IF($K114="Ongoing",AY114,IF(RIGHT($K114,2)=RIGHT(BU$39,2),SUM($AX114:AY114),0)+IF(RIGHT(BU$39,2)&gt;RIGHT($K114,2),AY114,0))</f>
        <v>0</v>
      </c>
      <c r="BV114" s="1490">
        <f>+IF($K114="Ongoing",AZ114,IF(RIGHT($K114,2)=RIGHT(BV$39,2),SUM($AX114:AZ114),0)+IF(RIGHT(BV$39,2)&gt;RIGHT($K114,2),AZ114,0))</f>
        <v>0</v>
      </c>
      <c r="BW114" s="1490">
        <f>+IF($K114="Ongoing",BA114,IF(RIGHT($K114,2)=RIGHT(BW$39,2),SUM($AX114:BA114),0)+IF(RIGHT(BW$39,2)&gt;RIGHT($K114,2),BA114,0))</f>
        <v>0</v>
      </c>
      <c r="BX114" s="1491">
        <f>+IF($K114="Ongoing",BB114,IF(RIGHT($K114,2)=RIGHT(BX$39,2),SUM($AX114:BB114),0)+IF(RIGHT(BX$39,2)&gt;RIGHT($K114,2),BB114,0))</f>
        <v>0</v>
      </c>
      <c r="BY114" s="1492">
        <f>+IF($K114="Ongoing",BC114,IF(RIGHT($K114,2)=RIGHT(BY$39,2),SUM($AX114:BC114),0)+IF(RIGHT(BY$39,2)&gt;RIGHT($K114,2),BC114,0))</f>
        <v>1</v>
      </c>
      <c r="BZ114" s="1490">
        <f>+IF($K114="Ongoing",BD114,IF(RIGHT($K114,2)=RIGHT(BZ$39,2),SUM($AX114:BD114),0)+IF(RIGHT(BZ$39,2)&gt;RIGHT($K114,2),BD114,0))</f>
        <v>1</v>
      </c>
      <c r="CA114" s="1490">
        <f>+IF($K114="Ongoing",BE114,IF(RIGHT($K114,2)=RIGHT(CA$39,2),SUM($AX114:BE114),0)+IF(RIGHT(CA$39,2)&gt;RIGHT($K114,2),BE114,0))</f>
        <v>1</v>
      </c>
      <c r="CB114" s="1490">
        <f>+IF($K114="Ongoing",BF114,IF(RIGHT($K114,2)=RIGHT(CB$39,2),SUM($AX114:BF114),0)+IF(RIGHT(CB$39,2)&gt;RIGHT($K114,2),BF114,0))</f>
        <v>1</v>
      </c>
      <c r="CC114" s="1491">
        <f>+IF($K114="Ongoing",BG114,IF(RIGHT($K114,2)=RIGHT(CC$39,2),SUM($AX114:BG114),0)+IF(RIGHT(CC$39,2)&gt;RIGHT($K114,2),BG114,0))</f>
        <v>1</v>
      </c>
      <c r="CD114" s="1133"/>
      <c r="CE114" s="1492">
        <f>+Q114*KeyAssumptionsPriceControl_FO!AC$15</f>
        <v>0</v>
      </c>
      <c r="CF114" s="1490">
        <f>+R114*KeyAssumptionsPriceControl_FO!AD$15</f>
        <v>0</v>
      </c>
      <c r="CG114" s="1490">
        <f>+S114*KeyAssumptionsPriceControl_FO!AE$15</f>
        <v>0</v>
      </c>
      <c r="CH114" s="1490">
        <f>+T114*KeyAssumptionsPriceControl_FO!AF$15</f>
        <v>0</v>
      </c>
      <c r="CI114" s="1491">
        <f>+U114*KeyAssumptionsPriceControl_FO!AG$15</f>
        <v>0</v>
      </c>
      <c r="CJ114" s="1492">
        <f>+V114*KeyAssumptionsPriceControl_FO!AH$15</f>
        <v>1.1940522965290001</v>
      </c>
      <c r="CK114" s="1490">
        <f>+W114*KeyAssumptionsPriceControl_FO!AI$15</f>
        <v>1.2298738654248702</v>
      </c>
      <c r="CL114" s="1490">
        <f>+X114*KeyAssumptionsPriceControl_FO!AJ$15</f>
        <v>1.2667700813876164</v>
      </c>
      <c r="CM114" s="1490">
        <f>+Y114*KeyAssumptionsPriceControl_FO!AK$15</f>
        <v>1.3047731838292449</v>
      </c>
      <c r="CN114" s="1491">
        <f>+Z114*KeyAssumptionsPriceControl_FO!AL$15</f>
        <v>1.3439163793441222</v>
      </c>
      <c r="CO114" s="1133"/>
      <c r="CP114" s="1492">
        <f t="shared" ca="1" si="94"/>
        <v>0</v>
      </c>
      <c r="CQ114" s="1490">
        <f t="shared" ca="1" si="95"/>
        <v>0</v>
      </c>
      <c r="CR114" s="1490">
        <f t="shared" ca="1" si="96"/>
        <v>0</v>
      </c>
      <c r="CS114" s="1490">
        <f t="shared" ca="1" si="97"/>
        <v>0</v>
      </c>
      <c r="CT114" s="1491">
        <f t="shared" ca="1" si="98"/>
        <v>0</v>
      </c>
      <c r="CU114" s="1492">
        <f t="shared" ca="1" si="99"/>
        <v>9.9504358044083339E-3</v>
      </c>
      <c r="CV114" s="1490">
        <f t="shared" ca="1" si="100"/>
        <v>3.0149820487357253E-2</v>
      </c>
      <c r="CW114" s="1490">
        <f t="shared" ca="1" si="101"/>
        <v>5.0955186710794645E-2</v>
      </c>
      <c r="CX114" s="1490">
        <f t="shared" ca="1" si="102"/>
        <v>7.2384713920935151E-2</v>
      </c>
      <c r="CY114" s="1491">
        <f t="shared" ca="1" si="103"/>
        <v>9.4457126947379885E-2</v>
      </c>
    </row>
    <row r="115" spans="2:103" x14ac:dyDescent="0.3">
      <c r="B115" s="397"/>
      <c r="C115" s="1294" t="s">
        <v>1165</v>
      </c>
      <c r="D115" s="1295"/>
      <c r="E115" s="2097" t="s">
        <v>21</v>
      </c>
      <c r="F115" s="2097" t="s">
        <v>512</v>
      </c>
      <c r="G115" s="1294" t="s">
        <v>10</v>
      </c>
      <c r="H115" s="2349" t="s">
        <v>516</v>
      </c>
      <c r="I115" s="2350"/>
      <c r="J115" s="1292" t="s">
        <v>279</v>
      </c>
      <c r="K115" s="1292" t="s">
        <v>296</v>
      </c>
      <c r="L115" s="1292">
        <v>60</v>
      </c>
      <c r="M115" s="1292">
        <v>60</v>
      </c>
      <c r="O115" s="376"/>
      <c r="P115" s="376"/>
      <c r="Q115" s="2337">
        <v>0</v>
      </c>
      <c r="R115" s="2338">
        <v>0</v>
      </c>
      <c r="S115" s="2338">
        <v>0</v>
      </c>
      <c r="T115" s="2338">
        <v>0</v>
      </c>
      <c r="U115" s="2339">
        <v>0</v>
      </c>
      <c r="V115" s="2337">
        <v>1</v>
      </c>
      <c r="W115" s="2338">
        <v>1</v>
      </c>
      <c r="X115" s="2338">
        <v>1</v>
      </c>
      <c r="Y115" s="2338">
        <v>1</v>
      </c>
      <c r="Z115" s="2339">
        <v>1</v>
      </c>
      <c r="AA115" s="1132"/>
      <c r="AB115" s="1129"/>
      <c r="AC115" s="1130"/>
      <c r="AD115" s="1510"/>
      <c r="AE115" s="1130"/>
      <c r="AF115" s="1131"/>
      <c r="AG115" s="1129"/>
      <c r="AH115" s="1510"/>
      <c r="AI115" s="1130"/>
      <c r="AJ115" s="1130"/>
      <c r="AK115" s="1131"/>
      <c r="AL115" s="1132"/>
      <c r="AM115" s="1509"/>
      <c r="AN115" s="1130"/>
      <c r="AO115" s="1510"/>
      <c r="AP115" s="1510"/>
      <c r="AQ115" s="1131"/>
      <c r="AR115" s="1129"/>
      <c r="AS115" s="1130"/>
      <c r="AT115" s="1130"/>
      <c r="AU115" s="1130"/>
      <c r="AV115" s="1131"/>
      <c r="AW115" s="1133"/>
      <c r="AX115" s="1492">
        <f t="shared" si="86"/>
        <v>0</v>
      </c>
      <c r="AY115" s="1490">
        <f t="shared" si="87"/>
        <v>0</v>
      </c>
      <c r="AZ115" s="1490">
        <f t="shared" si="88"/>
        <v>0</v>
      </c>
      <c r="BA115" s="1490">
        <f t="shared" si="89"/>
        <v>0</v>
      </c>
      <c r="BB115" s="1491">
        <f t="shared" si="90"/>
        <v>0</v>
      </c>
      <c r="BC115" s="1492">
        <f t="shared" si="91"/>
        <v>1</v>
      </c>
      <c r="BD115" s="1490">
        <f t="shared" si="92"/>
        <v>1</v>
      </c>
      <c r="BE115" s="1490">
        <f t="shared" si="93"/>
        <v>1</v>
      </c>
      <c r="BF115" s="1490">
        <f t="shared" si="64"/>
        <v>1</v>
      </c>
      <c r="BG115" s="1491">
        <f t="shared" si="65"/>
        <v>1</v>
      </c>
      <c r="BH115" s="1133"/>
      <c r="BI115" s="1492">
        <f t="shared" ca="1" si="66"/>
        <v>0</v>
      </c>
      <c r="BJ115" s="1490">
        <f t="shared" ca="1" si="67"/>
        <v>0</v>
      </c>
      <c r="BK115" s="1490">
        <f t="shared" ca="1" si="68"/>
        <v>0</v>
      </c>
      <c r="BL115" s="1490">
        <f t="shared" ca="1" si="69"/>
        <v>0</v>
      </c>
      <c r="BM115" s="1491">
        <f t="shared" ca="1" si="70"/>
        <v>0</v>
      </c>
      <c r="BN115" s="1492">
        <f t="shared" ca="1" si="71"/>
        <v>8.3333333333333332E-3</v>
      </c>
      <c r="BO115" s="1490">
        <f t="shared" ca="1" si="72"/>
        <v>2.5000000000000001E-2</v>
      </c>
      <c r="BP115" s="1490">
        <f t="shared" ca="1" si="73"/>
        <v>4.1666666666666664E-2</v>
      </c>
      <c r="BQ115" s="1490">
        <f t="shared" ca="1" si="74"/>
        <v>5.8333333333333334E-2</v>
      </c>
      <c r="BR115" s="1491">
        <f t="shared" ca="1" si="75"/>
        <v>7.4999999999999997E-2</v>
      </c>
      <c r="BS115" s="1133"/>
      <c r="BT115" s="1492">
        <f>+IF($K115="Ongoing",AX115,IF(RIGHT($K115,2)=RIGHT(BT$39,2),SUM($AX115:AX115),0)+IF(RIGHT(BT$39,2)&gt;RIGHT($K115,2),AX115,0))</f>
        <v>0</v>
      </c>
      <c r="BU115" s="1490">
        <f>+IF($K115="Ongoing",AY115,IF(RIGHT($K115,2)=RIGHT(BU$39,2),SUM($AX115:AY115),0)+IF(RIGHT(BU$39,2)&gt;RIGHT($K115,2),AY115,0))</f>
        <v>0</v>
      </c>
      <c r="BV115" s="1490">
        <f>+IF($K115="Ongoing",AZ115,IF(RIGHT($K115,2)=RIGHT(BV$39,2),SUM($AX115:AZ115),0)+IF(RIGHT(BV$39,2)&gt;RIGHT($K115,2),AZ115,0))</f>
        <v>0</v>
      </c>
      <c r="BW115" s="1490">
        <f>+IF($K115="Ongoing",BA115,IF(RIGHT($K115,2)=RIGHT(BW$39,2),SUM($AX115:BA115),0)+IF(RIGHT(BW$39,2)&gt;RIGHT($K115,2),BA115,0))</f>
        <v>0</v>
      </c>
      <c r="BX115" s="1491">
        <f>+IF($K115="Ongoing",BB115,IF(RIGHT($K115,2)=RIGHT(BX$39,2),SUM($AX115:BB115),0)+IF(RIGHT(BX$39,2)&gt;RIGHT($K115,2),BB115,0))</f>
        <v>0</v>
      </c>
      <c r="BY115" s="1492">
        <f>+IF($K115="Ongoing",BC115,IF(RIGHT($K115,2)=RIGHT(BY$39,2),SUM($AX115:BC115),0)+IF(RIGHT(BY$39,2)&gt;RIGHT($K115,2),BC115,0))</f>
        <v>1</v>
      </c>
      <c r="BZ115" s="1490">
        <f>+IF($K115="Ongoing",BD115,IF(RIGHT($K115,2)=RIGHT(BZ$39,2),SUM($AX115:BD115),0)+IF(RIGHT(BZ$39,2)&gt;RIGHT($K115,2),BD115,0))</f>
        <v>1</v>
      </c>
      <c r="CA115" s="1490">
        <f>+IF($K115="Ongoing",BE115,IF(RIGHT($K115,2)=RIGHT(CA$39,2),SUM($AX115:BE115),0)+IF(RIGHT(CA$39,2)&gt;RIGHT($K115,2),BE115,0))</f>
        <v>1</v>
      </c>
      <c r="CB115" s="1490">
        <f>+IF($K115="Ongoing",BF115,IF(RIGHT($K115,2)=RIGHT(CB$39,2),SUM($AX115:BF115),0)+IF(RIGHT(CB$39,2)&gt;RIGHT($K115,2),BF115,0))</f>
        <v>1</v>
      </c>
      <c r="CC115" s="1491">
        <f>+IF($K115="Ongoing",BG115,IF(RIGHT($K115,2)=RIGHT(CC$39,2),SUM($AX115:BG115),0)+IF(RIGHT(CC$39,2)&gt;RIGHT($K115,2),BG115,0))</f>
        <v>1</v>
      </c>
      <c r="CD115" s="1133"/>
      <c r="CE115" s="1492">
        <f>+Q115*KeyAssumptionsPriceControl_FO!AC$15</f>
        <v>0</v>
      </c>
      <c r="CF115" s="1490">
        <f>+R115*KeyAssumptionsPriceControl_FO!AD$15</f>
        <v>0</v>
      </c>
      <c r="CG115" s="1490">
        <f>+S115*KeyAssumptionsPriceControl_FO!AE$15</f>
        <v>0</v>
      </c>
      <c r="CH115" s="1490">
        <f>+T115*KeyAssumptionsPriceControl_FO!AF$15</f>
        <v>0</v>
      </c>
      <c r="CI115" s="1491">
        <f>+U115*KeyAssumptionsPriceControl_FO!AG$15</f>
        <v>0</v>
      </c>
      <c r="CJ115" s="1492">
        <f>+V115*KeyAssumptionsPriceControl_FO!AH$15</f>
        <v>1.1940522965290001</v>
      </c>
      <c r="CK115" s="1490">
        <f>+W115*KeyAssumptionsPriceControl_FO!AI$15</f>
        <v>1.2298738654248702</v>
      </c>
      <c r="CL115" s="1490">
        <f>+X115*KeyAssumptionsPriceControl_FO!AJ$15</f>
        <v>1.2667700813876164</v>
      </c>
      <c r="CM115" s="1490">
        <f>+Y115*KeyAssumptionsPriceControl_FO!AK$15</f>
        <v>1.3047731838292449</v>
      </c>
      <c r="CN115" s="1491">
        <f>+Z115*KeyAssumptionsPriceControl_FO!AL$15</f>
        <v>1.3439163793441222</v>
      </c>
      <c r="CO115" s="1133"/>
      <c r="CP115" s="1492">
        <f t="shared" ca="1" si="94"/>
        <v>0</v>
      </c>
      <c r="CQ115" s="1490">
        <f t="shared" ca="1" si="95"/>
        <v>0</v>
      </c>
      <c r="CR115" s="1490">
        <f t="shared" ca="1" si="96"/>
        <v>0</v>
      </c>
      <c r="CS115" s="1490">
        <f t="shared" ca="1" si="97"/>
        <v>0</v>
      </c>
      <c r="CT115" s="1491">
        <f t="shared" ca="1" si="98"/>
        <v>0</v>
      </c>
      <c r="CU115" s="1492">
        <f t="shared" ca="1" si="99"/>
        <v>9.9504358044083339E-3</v>
      </c>
      <c r="CV115" s="1490">
        <f t="shared" ca="1" si="100"/>
        <v>3.0149820487357253E-2</v>
      </c>
      <c r="CW115" s="1490">
        <f t="shared" ca="1" si="101"/>
        <v>5.0955186710794645E-2</v>
      </c>
      <c r="CX115" s="1490">
        <f t="shared" ca="1" si="102"/>
        <v>7.2384713920935151E-2</v>
      </c>
      <c r="CY115" s="1491">
        <f t="shared" ca="1" si="103"/>
        <v>9.4457126947379885E-2</v>
      </c>
    </row>
    <row r="116" spans="2:103" x14ac:dyDescent="0.3">
      <c r="B116" s="397"/>
      <c r="C116" s="1294" t="s">
        <v>1166</v>
      </c>
      <c r="D116" s="1295"/>
      <c r="E116" s="2097" t="s">
        <v>22</v>
      </c>
      <c r="F116" s="2097" t="s">
        <v>512</v>
      </c>
      <c r="G116" s="1294" t="s">
        <v>10</v>
      </c>
      <c r="H116" s="2349" t="s">
        <v>516</v>
      </c>
      <c r="I116" s="2350"/>
      <c r="J116" s="1292" t="s">
        <v>279</v>
      </c>
      <c r="K116" s="1292" t="s">
        <v>922</v>
      </c>
      <c r="L116" s="1292">
        <v>20</v>
      </c>
      <c r="M116" s="1292">
        <v>20</v>
      </c>
      <c r="O116" s="376"/>
      <c r="P116" s="376"/>
      <c r="Q116" s="2337">
        <v>0</v>
      </c>
      <c r="R116" s="2338">
        <v>0</v>
      </c>
      <c r="S116" s="2338">
        <v>0</v>
      </c>
      <c r="T116" s="2338">
        <v>0</v>
      </c>
      <c r="U116" s="2339">
        <v>0</v>
      </c>
      <c r="V116" s="2337">
        <v>0.1</v>
      </c>
      <c r="W116" s="2338">
        <v>1.5</v>
      </c>
      <c r="X116" s="2338">
        <v>0.4</v>
      </c>
      <c r="Y116" s="2338">
        <v>0</v>
      </c>
      <c r="Z116" s="2339">
        <v>0</v>
      </c>
      <c r="AA116" s="1132"/>
      <c r="AB116" s="1129"/>
      <c r="AC116" s="1130"/>
      <c r="AD116" s="1510"/>
      <c r="AE116" s="1510"/>
      <c r="AF116" s="1131"/>
      <c r="AG116" s="1129"/>
      <c r="AH116" s="1130"/>
      <c r="AI116" s="1130"/>
      <c r="AJ116" s="1130"/>
      <c r="AK116" s="1131"/>
      <c r="AL116" s="1132"/>
      <c r="AM116" s="1129"/>
      <c r="AN116" s="1130"/>
      <c r="AO116" s="1130"/>
      <c r="AP116" s="1510"/>
      <c r="AQ116" s="1131"/>
      <c r="AR116" s="1129"/>
      <c r="AS116" s="1130"/>
      <c r="AT116" s="1130"/>
      <c r="AU116" s="1510"/>
      <c r="AV116" s="1131"/>
      <c r="AW116" s="1133"/>
      <c r="AX116" s="1492">
        <f t="shared" si="86"/>
        <v>0</v>
      </c>
      <c r="AY116" s="1490">
        <f t="shared" si="87"/>
        <v>0</v>
      </c>
      <c r="AZ116" s="1490">
        <f t="shared" si="88"/>
        <v>0</v>
      </c>
      <c r="BA116" s="1490">
        <f t="shared" si="89"/>
        <v>0</v>
      </c>
      <c r="BB116" s="1491">
        <f t="shared" si="90"/>
        <v>0</v>
      </c>
      <c r="BC116" s="1492">
        <f t="shared" si="91"/>
        <v>0.1</v>
      </c>
      <c r="BD116" s="1490">
        <f t="shared" si="92"/>
        <v>1.5</v>
      </c>
      <c r="BE116" s="1490">
        <f t="shared" si="93"/>
        <v>0.4</v>
      </c>
      <c r="BF116" s="1490">
        <f t="shared" si="64"/>
        <v>0</v>
      </c>
      <c r="BG116" s="1491">
        <f t="shared" si="65"/>
        <v>0</v>
      </c>
      <c r="BH116" s="1133"/>
      <c r="BI116" s="1492">
        <f t="shared" ca="1" si="66"/>
        <v>0</v>
      </c>
      <c r="BJ116" s="1490">
        <f t="shared" ca="1" si="67"/>
        <v>0</v>
      </c>
      <c r="BK116" s="1490">
        <f t="shared" ca="1" si="68"/>
        <v>0</v>
      </c>
      <c r="BL116" s="1490">
        <f t="shared" ca="1" si="69"/>
        <v>0</v>
      </c>
      <c r="BM116" s="1491">
        <f t="shared" ca="1" si="70"/>
        <v>0</v>
      </c>
      <c r="BN116" s="1492">
        <f t="shared" ca="1" si="71"/>
        <v>0</v>
      </c>
      <c r="BO116" s="1490">
        <f t="shared" ca="1" si="72"/>
        <v>0</v>
      </c>
      <c r="BP116" s="1490">
        <f t="shared" ca="1" si="73"/>
        <v>0.05</v>
      </c>
      <c r="BQ116" s="1490">
        <f t="shared" ca="1" si="74"/>
        <v>0.1</v>
      </c>
      <c r="BR116" s="1491">
        <f t="shared" ca="1" si="75"/>
        <v>0.1</v>
      </c>
      <c r="BS116" s="1133"/>
      <c r="BT116" s="1492">
        <f>+IF($K116="Ongoing",AX116,IF(RIGHT($K116,2)=RIGHT(BT$39,2),SUM($AX116:AX116),0)+IF(RIGHT(BT$39,2)&gt;RIGHT($K116,2),AX116,0))</f>
        <v>0</v>
      </c>
      <c r="BU116" s="1490">
        <f>+IF($K116="Ongoing",AY116,IF(RIGHT($K116,2)=RIGHT(BU$39,2),SUM($AX116:AY116),0)+IF(RIGHT(BU$39,2)&gt;RIGHT($K116,2),AY116,0))</f>
        <v>0</v>
      </c>
      <c r="BV116" s="1490">
        <f>+IF($K116="Ongoing",AZ116,IF(RIGHT($K116,2)=RIGHT(BV$39,2),SUM($AX116:AZ116),0)+IF(RIGHT(BV$39,2)&gt;RIGHT($K116,2),AZ116,0))</f>
        <v>0</v>
      </c>
      <c r="BW116" s="1490">
        <f>+IF($K116="Ongoing",BA116,IF(RIGHT($K116,2)=RIGHT(BW$39,2),SUM($AX116:BA116),0)+IF(RIGHT(BW$39,2)&gt;RIGHT($K116,2),BA116,0))</f>
        <v>0</v>
      </c>
      <c r="BX116" s="1491">
        <f>+IF($K116="Ongoing",BB116,IF(RIGHT($K116,2)=RIGHT(BX$39,2),SUM($AX116:BB116),0)+IF(RIGHT(BX$39,2)&gt;RIGHT($K116,2),BB116,0))</f>
        <v>0</v>
      </c>
      <c r="BY116" s="1492">
        <f>+IF($K116="Ongoing",BC116,IF(RIGHT($K116,2)=RIGHT(BY$39,2),SUM($AX116:BC116),0)+IF(RIGHT(BY$39,2)&gt;RIGHT($K116,2),BC116,0))</f>
        <v>0</v>
      </c>
      <c r="BZ116" s="1490">
        <f>+IF($K116="Ongoing",BD116,IF(RIGHT($K116,2)=RIGHT(BZ$39,2),SUM($AX116:BD116),0)+IF(RIGHT(BZ$39,2)&gt;RIGHT($K116,2),BD116,0))</f>
        <v>0</v>
      </c>
      <c r="CA116" s="1490">
        <f>+IF($K116="Ongoing",BE116,IF(RIGHT($K116,2)=RIGHT(CA$39,2),SUM($AX116:BE116),0)+IF(RIGHT(CA$39,2)&gt;RIGHT($K116,2),BE116,0))</f>
        <v>2</v>
      </c>
      <c r="CB116" s="1490">
        <f>+IF($K116="Ongoing",BF116,IF(RIGHT($K116,2)=RIGHT(CB$39,2),SUM($AX116:BF116),0)+IF(RIGHT(CB$39,2)&gt;RIGHT($K116,2),BF116,0))</f>
        <v>0</v>
      </c>
      <c r="CC116" s="1491">
        <f>+IF($K116="Ongoing",BG116,IF(RIGHT($K116,2)=RIGHT(CC$39,2),SUM($AX116:BG116),0)+IF(RIGHT(CC$39,2)&gt;RIGHT($K116,2),BG116,0))</f>
        <v>0</v>
      </c>
      <c r="CD116" s="1133"/>
      <c r="CE116" s="1492">
        <f>+Q116*KeyAssumptionsPriceControl_FO!AC$15</f>
        <v>0</v>
      </c>
      <c r="CF116" s="1490">
        <f>+R116*KeyAssumptionsPriceControl_FO!AD$15</f>
        <v>0</v>
      </c>
      <c r="CG116" s="1490">
        <f>+S116*KeyAssumptionsPriceControl_FO!AE$15</f>
        <v>0</v>
      </c>
      <c r="CH116" s="1490">
        <f>+T116*KeyAssumptionsPriceControl_FO!AF$15</f>
        <v>0</v>
      </c>
      <c r="CI116" s="1491">
        <f>+U116*KeyAssumptionsPriceControl_FO!AG$15</f>
        <v>0</v>
      </c>
      <c r="CJ116" s="1492">
        <f>+V116*KeyAssumptionsPriceControl_FO!AH$15</f>
        <v>0.11940522965290001</v>
      </c>
      <c r="CK116" s="1490">
        <f>+W116*KeyAssumptionsPriceControl_FO!AI$15</f>
        <v>1.8448107981373054</v>
      </c>
      <c r="CL116" s="1490">
        <f>+X116*KeyAssumptionsPriceControl_FO!AJ$15</f>
        <v>0.50670803255504659</v>
      </c>
      <c r="CM116" s="1490">
        <f>+Y116*KeyAssumptionsPriceControl_FO!AK$15</f>
        <v>0</v>
      </c>
      <c r="CN116" s="1491">
        <f>+Z116*KeyAssumptionsPriceControl_FO!AL$15</f>
        <v>0</v>
      </c>
      <c r="CO116" s="1133"/>
      <c r="CP116" s="1492">
        <f t="shared" ca="1" si="94"/>
        <v>0</v>
      </c>
      <c r="CQ116" s="1490">
        <f t="shared" ca="1" si="95"/>
        <v>0</v>
      </c>
      <c r="CR116" s="1490">
        <f t="shared" ca="1" si="96"/>
        <v>0</v>
      </c>
      <c r="CS116" s="1490">
        <f t="shared" ca="1" si="97"/>
        <v>0</v>
      </c>
      <c r="CT116" s="1491">
        <f t="shared" ca="1" si="98"/>
        <v>0</v>
      </c>
      <c r="CU116" s="1492">
        <f t="shared" ca="1" si="99"/>
        <v>2.9851307413225002E-3</v>
      </c>
      <c r="CV116" s="1490">
        <f t="shared" ca="1" si="100"/>
        <v>5.2090531436077635E-2</v>
      </c>
      <c r="CW116" s="1490">
        <f t="shared" ca="1" si="101"/>
        <v>0.11087850220338644</v>
      </c>
      <c r="CX116" s="1490">
        <f t="shared" ca="1" si="102"/>
        <v>0.1235462030172626</v>
      </c>
      <c r="CY116" s="1491">
        <f t="shared" ca="1" si="103"/>
        <v>0.1235462030172626</v>
      </c>
    </row>
    <row r="117" spans="2:103" x14ac:dyDescent="0.3">
      <c r="B117" s="397"/>
      <c r="C117" s="1294" t="s">
        <v>1167</v>
      </c>
      <c r="D117" s="1295"/>
      <c r="E117" s="2097" t="s">
        <v>22</v>
      </c>
      <c r="F117" s="2097" t="s">
        <v>239</v>
      </c>
      <c r="G117" s="1294" t="s">
        <v>14</v>
      </c>
      <c r="H117" s="2349" t="s">
        <v>516</v>
      </c>
      <c r="I117" s="2350"/>
      <c r="J117" s="1292" t="s">
        <v>279</v>
      </c>
      <c r="K117" s="1292" t="s">
        <v>922</v>
      </c>
      <c r="L117" s="1292">
        <v>80</v>
      </c>
      <c r="M117" s="1292">
        <v>80</v>
      </c>
      <c r="O117" s="376"/>
      <c r="P117" s="376"/>
      <c r="Q117" s="2337">
        <v>0</v>
      </c>
      <c r="R117" s="2338">
        <v>0</v>
      </c>
      <c r="S117" s="2338">
        <v>0</v>
      </c>
      <c r="T117" s="2338">
        <v>0</v>
      </c>
      <c r="U117" s="2339">
        <v>0</v>
      </c>
      <c r="V117" s="2337">
        <v>2.5000000000000001E-2</v>
      </c>
      <c r="W117" s="2338">
        <v>0.72499999999999998</v>
      </c>
      <c r="X117" s="2338">
        <v>0.77500000000000002</v>
      </c>
      <c r="Y117" s="2338">
        <v>0</v>
      </c>
      <c r="Z117" s="2339">
        <v>0</v>
      </c>
      <c r="AA117" s="1132"/>
      <c r="AB117" s="1129"/>
      <c r="AC117" s="1130"/>
      <c r="AD117" s="1510"/>
      <c r="AE117" s="1510"/>
      <c r="AF117" s="1131"/>
      <c r="AG117" s="1129"/>
      <c r="AH117" s="1130"/>
      <c r="AI117" s="1130"/>
      <c r="AJ117" s="1130"/>
      <c r="AK117" s="1131"/>
      <c r="AL117" s="1132"/>
      <c r="AM117" s="1129"/>
      <c r="AN117" s="1130"/>
      <c r="AO117" s="1130"/>
      <c r="AP117" s="1510"/>
      <c r="AQ117" s="1131"/>
      <c r="AR117" s="1129"/>
      <c r="AS117" s="1130"/>
      <c r="AT117" s="1130"/>
      <c r="AU117" s="1510"/>
      <c r="AV117" s="1131"/>
      <c r="AW117" s="1133"/>
      <c r="AX117" s="1492">
        <f t="shared" ref="AX117:BE124" si="104">+Q117-AB117-AM117</f>
        <v>0</v>
      </c>
      <c r="AY117" s="1490">
        <f t="shared" si="104"/>
        <v>0</v>
      </c>
      <c r="AZ117" s="1490">
        <f t="shared" si="104"/>
        <v>0</v>
      </c>
      <c r="BA117" s="1490">
        <f t="shared" si="104"/>
        <v>0</v>
      </c>
      <c r="BB117" s="1491">
        <f t="shared" si="104"/>
        <v>0</v>
      </c>
      <c r="BC117" s="1492">
        <f t="shared" si="104"/>
        <v>2.5000000000000001E-2</v>
      </c>
      <c r="BD117" s="1490">
        <f t="shared" si="104"/>
        <v>0.72499999999999998</v>
      </c>
      <c r="BE117" s="1490">
        <f t="shared" si="104"/>
        <v>0.77500000000000002</v>
      </c>
      <c r="BF117" s="1490">
        <f t="shared" ref="BF117:BF142" si="105">+Y117-AJ117-AU117</f>
        <v>0</v>
      </c>
      <c r="BG117" s="1491">
        <f t="shared" ref="BG117:BG142" si="106">+Z117-AK117-AV117</f>
        <v>0</v>
      </c>
      <c r="BH117" s="1133"/>
      <c r="BI117" s="1492">
        <f t="shared" ref="BI117:BI142" ca="1" si="107">IF($L117=0,0,
IF($L117&lt;=0.5,BT117,
IF($J117="straight line",
IF((LEFT(BI$39,4)*1)-INT($L117)&lt;LEFT($BI$39,4)*1,0,((OFFSET(BT117,0,-INT($L117+0.5),1,1))/$L117)*(IF($L117-INT($L117)&gt;0.5,$L117-0.5-INT($L117),IF($L117-INT($L117)&lt;=0.5,$L117-0.5-INT($L117)+1,0))))
+BT117/$L117*0.5,
IF($J117="Declining Balance",-$BI$38,0))))</f>
        <v>0</v>
      </c>
      <c r="BJ117" s="1490">
        <f t="shared" ref="BJ117:BJ142" ca="1" si="108">IF($L117=0,0,
IF($L117&lt;=0.5,BU117,
IF(AND($J117="straight line",$L117&lt;1.51),(BT117-((BT117/$L117)*0.5))+BU117/$L117*0.5,
IF($J117="straight line",
IF((LEFT(BJ$39,4)*1)-INT($L117)&lt;LEFT($BI$39,4)*1,0,((OFFSET(BU117,0,-INT($L117+0.5),1,1))/$L117)*(IF($L117-INT($L117)&gt;0.5,$L117-0.5-INT($L117),IF($L117-INT($L117)&lt;=0.5,$L117-0.5-INT($L117)+1,0))))
+BU117/$L117*0.5
+SUM(OFFSET(BU117,0,MAX(-INT($L117+(0.5-(10^-12))),-BJ$40)+1,1,MIN(INT($L117+(0.5-(10^-12))),BJ$40)-1))*1/$L117,
IF($J117="Declining Balance",-$BI$38,0)))))</f>
        <v>0</v>
      </c>
      <c r="BK117" s="1490">
        <f t="shared" ref="BK117:BK142" ca="1" si="109">IF($L117=0,0,
IF($L117&lt;=0.5,BV117,
IF(AND($J117="straight line",$L117&lt;1.51),(BU117-((BU117/$L117)*0.5))+BV117/$L117*0.5,
IF($J117="straight line",
IF((LEFT(BK$39,4)*1)-INT($L117)&lt;LEFT($BI$39,4)*1,0,((OFFSET(BV117,0,-INT($L117+0.5),1,1))/$L117)*(IF($L117-INT($L117)&gt;0.5,$L117-0.5-INT($L117),IF($L117-INT($L117)&lt;=0.5,$L117-0.5-INT($L117)+1,0))))
+BV117/$L117*0.5
+SUM(OFFSET(BV117,0,MAX(-INT($L117+(0.5-(10^-12))),-BK$40)+1,1,MIN(INT($L117+(0.5-(10^-12))),BK$40)-1))*1/$L117,
IF($J117="Declining Balance",-$BI$38,0)))))</f>
        <v>0</v>
      </c>
      <c r="BL117" s="1490">
        <f t="shared" ref="BL117:BL142" ca="1" si="110">IF($L117=0,0,
IF($L117&lt;=0.5,BW117,
IF(AND($J117="straight line",$L117&lt;1.51),(BV117-((BV117/$L117)*0.5))+BW117/$L117*0.5,
IF($J117="straight line",
IF((LEFT(BL$39,4)*1)-INT($L117)&lt;LEFT($BI$39,4)*1,0,((OFFSET(BW117,0,-INT($L117+0.5),1,1))/$L117)*(IF($L117-INT($L117)&gt;0.5,$L117-0.5-INT($L117),IF($L117-INT($L117)&lt;=0.5,$L117-0.5-INT($L117)+1,0))))
+BW117/$L117*0.5
+SUM(OFFSET(BW117,0,MAX(-INT($L117+(0.5-(10^-12))),-BL$40)+1,1,MIN(INT($L117+(0.5-(10^-12))),BL$40)-1))*1/$L117,
IF($J117="Declining Balance",-$BI$38,0)))))</f>
        <v>0</v>
      </c>
      <c r="BM117" s="1491">
        <f t="shared" ref="BM117:BM142" ca="1" si="111">IF($L117=0,0,
IF($L117&lt;=0.5,BX117,
IF(AND($J117="straight line",$L117&lt;1.51),(BW117-((BW117/$L117)*0.5))+BX117/$L117*0.5,
IF($J117="straight line",
IF((LEFT(BM$39,4)*1)-INT($L117)&lt;LEFT($BI$39,4)*1,0,((OFFSET(BX117,0,-INT($L117+0.5),1,1))/$L117)*(IF($L117-INT($L117)&gt;0.5,$L117-0.5-INT($L117),IF($L117-INT($L117)&lt;=0.5,$L117-0.5-INT($L117)+1,0))))
+BX117/$L117*0.5
+SUM(OFFSET(BX117,0,MAX(-INT($L117+(0.5-(10^-12))),-BM$40)+1,1,MIN(INT($L117+(0.5-(10^-12))),BM$40)-1))*1/$L117,
IF($J117="Declining Balance",-$BI$38,0)))))</f>
        <v>0</v>
      </c>
      <c r="BN117" s="1492">
        <f t="shared" ref="BN117:BN142" ca="1" si="112">IF($L117=0,0,
IF($L117&lt;=0.5,BY117,
IF(AND($J117="straight line",$L117&lt;1.51),(BX117-((BX117/$L117)*0.5))+BY117/$L117*0.5,
IF($J117="straight line",
IF((LEFT(BN$39,4)*1)-INT($L117)&lt;LEFT($BI$39,4)*1,0,((OFFSET(BY117,0,-INT($L117+0.5),1,1))/$L117)*(IF($L117-INT($L117)&gt;0.5,$L117-0.5-INT($L117),IF($L117-INT($L117)&lt;=0.5,$L117-0.5-INT($L117)+1,0))))
+BY117/$L117*0.5
+SUM(OFFSET(BY117,0,MAX(-INT($L117+(0.5-(10^-12))),-BN$40)+1,1,MIN(INT($L117+(0.5-(10^-12))),BN$40)-1))*1/$L117,
IF($J117="Declining Balance",-$BI$38,0)))))</f>
        <v>0</v>
      </c>
      <c r="BO117" s="1490">
        <f t="shared" ref="BO117:BO142" ca="1" si="113">IF($L117=0,0,
IF($L117&lt;=0.5,BZ117,
IF(AND($J117="straight line",$L117&lt;1.51),(BY117-((BY117/$L117)*0.5))+BZ117/$L117*0.5,
IF($J117="straight line",
IF((LEFT(BO$39,4)*1)-INT($L117)&lt;LEFT($BI$39,4)*1,0,((OFFSET(BZ117,0,-INT($L117+0.5),1,1))/$L117)*(IF($L117-INT($L117)&gt;0.5,$L117-0.5-INT($L117),IF($L117-INT($L117)&lt;=0.5,$L117-0.5-INT($L117)+1,0))))
+BZ117/$L117*0.5
+SUM(OFFSET(BZ117,0,MAX(-INT($L117+(0.5-(10^-12))),-BO$40)+1,1,MIN(INT($L117+(0.5-(10^-12))),BO$40)-1))*1/$L117,
IF($J117="Declining Balance",-$BI$38,0)))))</f>
        <v>0</v>
      </c>
      <c r="BP117" s="1490">
        <f t="shared" ref="BP117:BP142" ca="1" si="114">IF($L117=0,0,
IF($L117&lt;=0.5,CA117,
IF(AND($J117="straight line",$L117&lt;1.51),(BZ117-((BZ117/$L117)*0.5))+CA117/$L117*0.5,
IF($J117="straight line",
IF((LEFT(BP$39,4)*1)-INT($L117)&lt;LEFT($BI$39,4)*1,0,((OFFSET(CA117,0,-INT($L117+0.5),1,1))/$L117)*(IF($L117-INT($L117)&gt;0.5,$L117-0.5-INT($L117),IF($L117-INT($L117)&lt;=0.5,$L117-0.5-INT($L117)+1,0))))
+CA117/$L117*0.5
+SUM(OFFSET(CA117,0,MAX(-INT($L117+(0.5-(10^-12))),-BP$40)+1,1,MIN(INT($L117+(0.5-(10^-12))),BP$40)-1))*1/$L117,
IF($J117="Declining Balance",-$BI$38,0)))))</f>
        <v>9.5312499999999998E-3</v>
      </c>
      <c r="BQ117" s="1490">
        <f t="shared" ref="BQ117:BQ142" ca="1" si="115">IF($L117=0,0,
IF($L117&lt;=0.5,CB117,
IF(AND($J117="straight line",$L117&lt;1.51),(CA117-((CA117/$L117)*0.5))+CB117/$L117*0.5,
IF($J117="straight line",
IF((LEFT(BQ$39,4)*1)-INT($L117)&lt;LEFT($BI$39,4)*1,0,((OFFSET(CB117,0,-INT($L117+0.5),1,1))/$L117)*(IF($L117-INT($L117)&gt;0.5,$L117-0.5-INT($L117),IF($L117-INT($L117)&lt;=0.5,$L117-0.5-INT($L117)+1,0))))
+CB117/$L117*0.5
+SUM(OFFSET(CB117,0,MAX(-INT($L117+(0.5-(10^-12))),-BQ$40)+1,1,MIN(INT($L117+(0.5-(10^-12))),BQ$40)-1))*1/$L117,
IF($J117="Declining Balance",-$BI$38,0)))))</f>
        <v>1.90625E-2</v>
      </c>
      <c r="BR117" s="1491">
        <f t="shared" ref="BR117:BR142" ca="1" si="116">IF($L117=0,0,
IF($L117&lt;=0.5,CC117,
IF(AND($J117="straight line",$L117&lt;1.51),(CB117-((CB117/$L117)*0.5))+CC117/$L117*0.5,
IF($J117="straight line",
IF((LEFT(BR$39,4)*1)-INT($L117)&lt;LEFT($BI$39,4)*1,0,((OFFSET(CC117,0,-INT($L117+0.5),1,1))/$L117)*(IF($L117-INT($L117)&gt;0.5,$L117-0.5-INT($L117),IF($L117-INT($L117)&lt;=0.5,$L117-0.5-INT($L117)+1,0))))
+CC117/$L117*0.5
+SUM(OFFSET(CC117,0,MAX(-INT($L117+(0.5-(10^-12))),-BR$40)+1,1,MIN(INT($L117+(0.5-(10^-12))),BR$40)-1))*1/$L117,
IF($J117="Declining Balance",-$BI$38,0)))))</f>
        <v>1.90625E-2</v>
      </c>
      <c r="BS117" s="1133"/>
      <c r="BT117" s="1492">
        <f>+IF($K117="Ongoing",AX117,IF(RIGHT($K117,2)=RIGHT(BT$39,2),SUM($AX117:AX117),0)+IF(RIGHT(BT$39,2)&gt;RIGHT($K117,2),AX117,0))</f>
        <v>0</v>
      </c>
      <c r="BU117" s="1490">
        <f>+IF($K117="Ongoing",AY117,IF(RIGHT($K117,2)=RIGHT(BU$39,2),SUM($AX117:AY117),0)+IF(RIGHT(BU$39,2)&gt;RIGHT($K117,2),AY117,0))</f>
        <v>0</v>
      </c>
      <c r="BV117" s="1490">
        <f>+IF($K117="Ongoing",AZ117,IF(RIGHT($K117,2)=RIGHT(BV$39,2),SUM($AX117:AZ117),0)+IF(RIGHT(BV$39,2)&gt;RIGHT($K117,2),AZ117,0))</f>
        <v>0</v>
      </c>
      <c r="BW117" s="1490">
        <f>+IF($K117="Ongoing",BA117,IF(RIGHT($K117,2)=RIGHT(BW$39,2),SUM($AX117:BA117),0)+IF(RIGHT(BW$39,2)&gt;RIGHT($K117,2),BA117,0))</f>
        <v>0</v>
      </c>
      <c r="BX117" s="1491">
        <f>+IF($K117="Ongoing",BB117,IF(RIGHT($K117,2)=RIGHT(BX$39,2),SUM($AX117:BB117),0)+IF(RIGHT(BX$39,2)&gt;RIGHT($K117,2),BB117,0))</f>
        <v>0</v>
      </c>
      <c r="BY117" s="1492">
        <f>+IF($K117="Ongoing",BC117,IF(RIGHT($K117,2)=RIGHT(BY$39,2),SUM($AX117:BC117),0)+IF(RIGHT(BY$39,2)&gt;RIGHT($K117,2),BC117,0))</f>
        <v>0</v>
      </c>
      <c r="BZ117" s="1490">
        <f>+IF($K117="Ongoing",BD117,IF(RIGHT($K117,2)=RIGHT(BZ$39,2),SUM($AX117:BD117),0)+IF(RIGHT(BZ$39,2)&gt;RIGHT($K117,2),BD117,0))</f>
        <v>0</v>
      </c>
      <c r="CA117" s="1490">
        <f>+IF($K117="Ongoing",BE117,IF(RIGHT($K117,2)=RIGHT(CA$39,2),SUM($AX117:BE117),0)+IF(RIGHT(CA$39,2)&gt;RIGHT($K117,2),BE117,0))</f>
        <v>1.5249999999999999</v>
      </c>
      <c r="CB117" s="1490">
        <f>+IF($K117="Ongoing",BF117,IF(RIGHT($K117,2)=RIGHT(CB$39,2),SUM($AX117:BF117),0)+IF(RIGHT(CB$39,2)&gt;RIGHT($K117,2),BF117,0))</f>
        <v>0</v>
      </c>
      <c r="CC117" s="1491">
        <f>+IF($K117="Ongoing",BG117,IF(RIGHT($K117,2)=RIGHT(CC$39,2),SUM($AX117:BG117),0)+IF(RIGHT(CC$39,2)&gt;RIGHT($K117,2),BG117,0))</f>
        <v>0</v>
      </c>
      <c r="CD117" s="1133"/>
      <c r="CE117" s="1492">
        <f>+Q117*KeyAssumptionsPriceControl_FO!AC$15</f>
        <v>0</v>
      </c>
      <c r="CF117" s="1490">
        <f>+R117*KeyAssumptionsPriceControl_FO!AD$15</f>
        <v>0</v>
      </c>
      <c r="CG117" s="1490">
        <f>+S117*KeyAssumptionsPriceControl_FO!AE$15</f>
        <v>0</v>
      </c>
      <c r="CH117" s="1490">
        <f>+T117*KeyAssumptionsPriceControl_FO!AF$15</f>
        <v>0</v>
      </c>
      <c r="CI117" s="1491">
        <f>+U117*KeyAssumptionsPriceControl_FO!AG$15</f>
        <v>0</v>
      </c>
      <c r="CJ117" s="1492">
        <f>+V117*KeyAssumptionsPriceControl_FO!AH$15</f>
        <v>2.9851307413225003E-2</v>
      </c>
      <c r="CK117" s="1490">
        <f>+W117*KeyAssumptionsPriceControl_FO!AI$15</f>
        <v>0.89165855243303083</v>
      </c>
      <c r="CL117" s="1490">
        <f>+X117*KeyAssumptionsPriceControl_FO!AJ$15</f>
        <v>0.98174681307540268</v>
      </c>
      <c r="CM117" s="1490">
        <f>+Y117*KeyAssumptionsPriceControl_FO!AK$15</f>
        <v>0</v>
      </c>
      <c r="CN117" s="1491">
        <f>+Z117*KeyAssumptionsPriceControl_FO!AL$15</f>
        <v>0</v>
      </c>
      <c r="CO117" s="1133"/>
      <c r="CP117" s="1492">
        <f t="shared" ref="CP117:CP142" ca="1" si="117">IF($M117=0,0,
IF($M117&lt;=0.5,CE117,
IF($J117="straight line",
IF((LEFT(CP$39,4)*1)-INT($M117)&lt;LEFT($CP$39,4)*1,0,((OFFSET(CE117,0,-INT($M117+0.5),1,1))/$M117)*(IF($M117-INT($M117)&gt;0.5,$M117-0.5-INT($M117),IF($M117-INT($M117)&lt;=0.5,$M117-0.5-INT($M117)+1,0))))
+CE117/$M117*0.5,
IF($J117="Declining Balance",-$CP$38,0))))</f>
        <v>0</v>
      </c>
      <c r="CQ117" s="1490">
        <f t="shared" ref="CQ117:CQ142" ca="1" si="118">IF($M117=0,0,
IF($M117&lt;=0.5,CF117,
IF(AND($J117="straight line",$M117&lt;1.51),(CE117-((CE117/$M117)*0.5))+CF117/$M117*0.5,
IF($J117="straight line",
IF((LEFT(CQ$39,4)*1)-INT($M117)&lt;LEFT($CP$39,4)*1,0,((OFFSET(CF117,0,-INT($M117+0.5),1,1))/$M117)*(IF($M117-INT($M117)&gt;0.5,$M117-0.5-INT($M117),IF($M117-INT($M117)&lt;=0.5,$M117-0.5-INT($M117)+1,0))))
+CF117/$M117*0.5
+SUM(OFFSET(CF117,0,MAX(-INT($M117+(0.5-(10^-12))),-CQ$40)+1,1,MIN(INT($M117+(0.5-(10^-12))),CQ$40)-1))*1/$M117,
IF($J117="Declining Balance",-$CP$38,0)))))</f>
        <v>0</v>
      </c>
      <c r="CR117" s="1490">
        <f t="shared" ref="CR117:CR142" ca="1" si="119">IF($M117=0,0,
IF($M117&lt;=0.5,CG117,
IF(AND($J117="straight line",$M117&lt;1.51),(CF117-((CF117/$M117)*0.5))+CG117/$M117*0.5,
IF($J117="straight line",
IF((LEFT(CR$39,4)*1)-INT($M117)&lt;LEFT($CP$39,4)*1,0,((OFFSET(CG117,0,-INT($M117+0.5),1,1))/$M117)*(IF($M117-INT($M117)&gt;0.5,$M117-0.5-INT($M117),IF($M117-INT($M117)&lt;=0.5,$M117-0.5-INT($M117)+1,0))))
+CG117/$M117*0.5
+SUM(OFFSET(CG117,0,MAX(-INT($M117+(0.5-(10^-12))),-CR$40)+1,1,MIN(INT($M117+(0.5-(10^-12))),CR$40)-1))*1/$M117,
IF($J117="Declining Balance",-$CP$38,0)))))</f>
        <v>0</v>
      </c>
      <c r="CS117" s="1490">
        <f t="shared" ref="CS117:CS142" ca="1" si="120">IF($M117=0,0,
IF($M117&lt;=0.5,CH117,
IF(AND($J117="straight line",$M117&lt;1.51),(CG117-((CG117/$M117)*0.5))+CH117/$M117*0.5,
IF($J117="straight line",
IF((LEFT(CS$39,4)*1)-INT($M117)&lt;LEFT($CP$39,4)*1,0,((OFFSET(CH117,0,-INT($M117+0.5),1,1))/$M117)*(IF($M117-INT($M117)&gt;0.5,$M117-0.5-INT($M117),IF($M117-INT($M117)&lt;=0.5,$M117-0.5-INT($M117)+1,0))))
+CH117/$M117*0.5
+SUM(OFFSET(CH117,0,MAX(-INT($M117+(0.5-(10^-12))),-CS$40)+1,1,MIN(INT($M117+(0.5-(10^-12))),CS$40)-1))*1/$M117,
IF($J117="Declining Balance",-$CP$38,0)))))</f>
        <v>0</v>
      </c>
      <c r="CT117" s="1491">
        <f t="shared" ref="CT117:CT142" ca="1" si="121">IF($M117=0,0,
IF($M117&lt;=0.5,CI117,
IF(AND($J117="straight line",$M117&lt;1.51),(CH117-((CH117/$M117)*0.5))+CI117/$M117*0.5,
IF($J117="straight line",
IF((LEFT(CT$39,4)*1)-INT($M117)&lt;LEFT($CP$39,4)*1,0,((OFFSET(CI117,0,-INT($M117+0.5),1,1))/$M117)*(IF($M117-INT($M117)&gt;0.5,$M117-0.5-INT($M117),IF($M117-INT($M117)&lt;=0.5,$M117-0.5-INT($M117)+1,0))))
+CI117/$M117*0.5
+SUM(OFFSET(CI117,0,MAX(-INT($M117+(0.5-(10^-12))),-CT$40)+1,1,MIN(INT($M117+(0.5-(10^-12))),CT$40)-1))*1/$M117,
IF($J117="Declining Balance",-$CP$38,0)))))</f>
        <v>0</v>
      </c>
      <c r="CU117" s="1492">
        <f t="shared" ref="CU117:CU142" ca="1" si="122">IF($M117=0,0,
IF($M117&lt;=0.5,CJ117,
IF(AND($J117="straight line",$M117&lt;1.51),(CI117-((CI117/$M117)*0.5))+CJ117/$M117*0.5,
IF($J117="straight line",
IF((LEFT(CU$39,4)*1)-INT($M117)&lt;LEFT($CP$39,4)*1,0,((OFFSET(CJ117,0,-INT($M117+0.5),1,1))/$M117)*(IF($M117-INT($M117)&gt;0.5,$M117-0.5-INT($M117),IF($M117-INT($M117)&lt;=0.5,$M117-0.5-INT($M117)+1,0))))
+CJ117/$M117*0.5
+SUM(OFFSET(CJ117,0,MAX(-INT($M117+(0.5-(10^-12))),-CU$40)+1,1,MIN(INT($M117+(0.5-(10^-12))),CU$40)-1))*1/$M117,
IF($J117="Declining Balance",-$CP$38,0)))))</f>
        <v>1.8657067133265627E-4</v>
      </c>
      <c r="CV117" s="1490">
        <f t="shared" ref="CV117:CV142" ca="1" si="123">IF($M117=0,0,
IF($M117&lt;=0.5,CK117,
IF(AND($J117="straight line",$M117&lt;1.51),(CJ117-((CJ117/$M117)*0.5))+CK117/$M117*0.5,
IF($J117="straight line",
IF((LEFT(CV$39,4)*1)-INT($M117)&lt;LEFT($CP$39,4)*1,0,((OFFSET(CK117,0,-INT($M117+0.5),1,1))/$M117)*(IF($M117-INT($M117)&gt;0.5,$M117-0.5-INT($M117),IF($M117-INT($M117)&lt;=0.5,$M117-0.5-INT($M117)+1,0))))
+CK117/$M117*0.5
+SUM(OFFSET(CK117,0,MAX(-INT($M117+(0.5-(10^-12))),-CV$40)+1,1,MIN(INT($M117+(0.5-(10^-12))),CV$40)-1))*1/$M117,
IF($J117="Declining Balance",-$CP$38,0)))))</f>
        <v>5.9460072953717554E-3</v>
      </c>
      <c r="CW117" s="1490">
        <f t="shared" ref="CW117:CW142" ca="1" si="124">IF($M117=0,0,
IF($M117&lt;=0.5,CL117,
IF(AND($J117="straight line",$M117&lt;1.51),(CK117-((CK117/$M117)*0.5))+CL117/$M117*0.5,
IF($J117="straight line",
IF((LEFT(CW$39,4)*1)-INT($M117)&lt;LEFT($CP$39,4)*1,0,((OFFSET(CL117,0,-INT($M117+0.5),1,1))/$M117)*(IF($M117-INT($M117)&gt;0.5,$M117-0.5-INT($M117),IF($M117-INT($M117)&lt;=0.5,$M117-0.5-INT($M117)+1,0))))
+CL117/$M117*0.5
+SUM(OFFSET(CL117,0,MAX(-INT($M117+(0.5-(10^-12))),-CW$40)+1,1,MIN(INT($M117+(0.5-(10^-12))),CW$40)-1))*1/$M117,
IF($J117="Declining Balance",-$CP$38,0)))))</f>
        <v>1.7654790829799465E-2</v>
      </c>
      <c r="CX117" s="1490">
        <f t="shared" ref="CX117:CX142" ca="1" si="125">IF($M117=0,0,
IF($M117&lt;=0.5,CM117,
IF(AND($J117="straight line",$M117&lt;1.51),(CL117-((CL117/$M117)*0.5))+CM117/$M117*0.5,
IF($J117="straight line",
IF((LEFT(CX$39,4)*1)-INT($M117)&lt;LEFT($CP$39,4)*1,0,((OFFSET(CM117,0,-INT($M117+0.5),1,1))/$M117)*(IF($M117-INT($M117)&gt;0.5,$M117-0.5-INT($M117),IF($M117-INT($M117)&lt;=0.5,$M117-0.5-INT($M117)+1,0))))
+CM117/$M117*0.5
+SUM(OFFSET(CM117,0,MAX(-INT($M117+(0.5-(10^-12))),-CX$40)+1,1,MIN(INT($M117+(0.5-(10^-12))),CX$40)-1))*1/$M117,
IF($J117="Declining Balance",-$CP$38,0)))))</f>
        <v>2.3790708411520735E-2</v>
      </c>
      <c r="CY117" s="1491">
        <f t="shared" ref="CY117:CY142" ca="1" si="126">IF($M117=0,0,
IF($M117&lt;=0.5,CN117,
IF(AND($J117="straight line",$M117&lt;1.51),(CM117-((CM117/$M117)*0.5))+CN117/$M117*0.5,
IF($J117="straight line",
IF((LEFT(CY$39,4)*1)-INT($M117)&lt;LEFT($CP$39,4)*1,0,((OFFSET(CN117,0,-INT($M117+0.5),1,1))/$M117)*(IF($M117-INT($M117)&gt;0.5,$M117-0.5-INT($M117),IF($M117-INT($M117)&lt;=0.5,$M117-0.5-INT($M117)+1,0))))
+CN117/$M117*0.5
+SUM(OFFSET(CN117,0,MAX(-INT($M117+(0.5-(10^-12))),-CY$40)+1,1,MIN(INT($M117+(0.5-(10^-12))),CY$40)-1))*1/$M117,
IF($J117="Declining Balance",-$CP$38,0)))))</f>
        <v>2.3790708411520735E-2</v>
      </c>
    </row>
    <row r="118" spans="2:103" x14ac:dyDescent="0.3">
      <c r="B118" s="397"/>
      <c r="C118" s="1294" t="s">
        <v>1168</v>
      </c>
      <c r="D118" s="1295"/>
      <c r="E118" s="2097" t="s">
        <v>21</v>
      </c>
      <c r="F118" s="2097" t="s">
        <v>12</v>
      </c>
      <c r="G118" s="1294" t="s">
        <v>6</v>
      </c>
      <c r="H118" s="2349" t="s">
        <v>516</v>
      </c>
      <c r="I118" s="2350"/>
      <c r="J118" s="1292" t="s">
        <v>279</v>
      </c>
      <c r="K118" s="1292" t="s">
        <v>296</v>
      </c>
      <c r="L118" s="1292">
        <v>60</v>
      </c>
      <c r="M118" s="1292">
        <v>60</v>
      </c>
      <c r="O118" s="376"/>
      <c r="P118" s="376"/>
      <c r="Q118" s="2337">
        <v>0</v>
      </c>
      <c r="R118" s="2338">
        <v>0</v>
      </c>
      <c r="S118" s="2338">
        <v>0</v>
      </c>
      <c r="T118" s="2338">
        <v>0</v>
      </c>
      <c r="U118" s="2339">
        <v>0</v>
      </c>
      <c r="V118" s="2337">
        <v>0.05</v>
      </c>
      <c r="W118" s="2338">
        <v>0</v>
      </c>
      <c r="X118" s="2338">
        <v>0</v>
      </c>
      <c r="Y118" s="2338">
        <v>0.15</v>
      </c>
      <c r="Z118" s="2339">
        <v>0.8</v>
      </c>
      <c r="AA118" s="1132"/>
      <c r="AB118" s="1129"/>
      <c r="AC118" s="1130"/>
      <c r="AD118" s="1510"/>
      <c r="AE118" s="1510"/>
      <c r="AF118" s="1131"/>
      <c r="AG118" s="1129"/>
      <c r="AH118" s="1130"/>
      <c r="AI118" s="1130"/>
      <c r="AJ118" s="1130"/>
      <c r="AK118" s="1131"/>
      <c r="AL118" s="1132"/>
      <c r="AM118" s="1129"/>
      <c r="AN118" s="1130"/>
      <c r="AO118" s="1130"/>
      <c r="AP118" s="1510"/>
      <c r="AQ118" s="1131"/>
      <c r="AR118" s="1129"/>
      <c r="AS118" s="1130"/>
      <c r="AT118" s="1130"/>
      <c r="AU118" s="1510"/>
      <c r="AV118" s="1131"/>
      <c r="AW118" s="1133"/>
      <c r="AX118" s="1492">
        <f t="shared" si="104"/>
        <v>0</v>
      </c>
      <c r="AY118" s="1490">
        <f t="shared" si="104"/>
        <v>0</v>
      </c>
      <c r="AZ118" s="1490">
        <f t="shared" si="104"/>
        <v>0</v>
      </c>
      <c r="BA118" s="1490">
        <f t="shared" si="104"/>
        <v>0</v>
      </c>
      <c r="BB118" s="1491">
        <f t="shared" si="104"/>
        <v>0</v>
      </c>
      <c r="BC118" s="1492">
        <f t="shared" si="104"/>
        <v>0.05</v>
      </c>
      <c r="BD118" s="1490">
        <f t="shared" si="104"/>
        <v>0</v>
      </c>
      <c r="BE118" s="1490">
        <f t="shared" si="104"/>
        <v>0</v>
      </c>
      <c r="BF118" s="1490">
        <f t="shared" si="105"/>
        <v>0.15</v>
      </c>
      <c r="BG118" s="1491">
        <f t="shared" si="106"/>
        <v>0.8</v>
      </c>
      <c r="BH118" s="1133"/>
      <c r="BI118" s="1492">
        <f t="shared" ca="1" si="107"/>
        <v>0</v>
      </c>
      <c r="BJ118" s="1490">
        <f t="shared" ca="1" si="108"/>
        <v>0</v>
      </c>
      <c r="BK118" s="1490">
        <f t="shared" ca="1" si="109"/>
        <v>0</v>
      </c>
      <c r="BL118" s="1490">
        <f t="shared" ca="1" si="110"/>
        <v>0</v>
      </c>
      <c r="BM118" s="1491">
        <f t="shared" ca="1" si="111"/>
        <v>0</v>
      </c>
      <c r="BN118" s="1492">
        <f t="shared" ca="1" si="112"/>
        <v>4.1666666666666669E-4</v>
      </c>
      <c r="BO118" s="1490">
        <f t="shared" ca="1" si="113"/>
        <v>8.3333333333333339E-4</v>
      </c>
      <c r="BP118" s="1490">
        <f t="shared" ca="1" si="114"/>
        <v>8.3333333333333339E-4</v>
      </c>
      <c r="BQ118" s="1490">
        <f t="shared" ca="1" si="115"/>
        <v>2.0833333333333333E-3</v>
      </c>
      <c r="BR118" s="1491">
        <f t="shared" ca="1" si="116"/>
        <v>0.01</v>
      </c>
      <c r="BS118" s="1133"/>
      <c r="BT118" s="1492">
        <f>+IF($K118="Ongoing",AX118,IF(RIGHT($K118,2)=RIGHT(BT$39,2),SUM($AX118:AX118),0)+IF(RIGHT(BT$39,2)&gt;RIGHT($K118,2),AX118,0))</f>
        <v>0</v>
      </c>
      <c r="BU118" s="1490">
        <f>+IF($K118="Ongoing",AY118,IF(RIGHT($K118,2)=RIGHT(BU$39,2),SUM($AX118:AY118),0)+IF(RIGHT(BU$39,2)&gt;RIGHT($K118,2),AY118,0))</f>
        <v>0</v>
      </c>
      <c r="BV118" s="1490">
        <f>+IF($K118="Ongoing",AZ118,IF(RIGHT($K118,2)=RIGHT(BV$39,2),SUM($AX118:AZ118),0)+IF(RIGHT(BV$39,2)&gt;RIGHT($K118,2),AZ118,0))</f>
        <v>0</v>
      </c>
      <c r="BW118" s="1490">
        <f>+IF($K118="Ongoing",BA118,IF(RIGHT($K118,2)=RIGHT(BW$39,2),SUM($AX118:BA118),0)+IF(RIGHT(BW$39,2)&gt;RIGHT($K118,2),BA118,0))</f>
        <v>0</v>
      </c>
      <c r="BX118" s="1491">
        <f>+IF($K118="Ongoing",BB118,IF(RIGHT($K118,2)=RIGHT(BX$39,2),SUM($AX118:BB118),0)+IF(RIGHT(BX$39,2)&gt;RIGHT($K118,2),BB118,0))</f>
        <v>0</v>
      </c>
      <c r="BY118" s="1492">
        <f>+IF($K118="Ongoing",BC118,IF(RIGHT($K118,2)=RIGHT(BY$39,2),SUM($AX118:BC118),0)+IF(RIGHT(BY$39,2)&gt;RIGHT($K118,2),BC118,0))</f>
        <v>0.05</v>
      </c>
      <c r="BZ118" s="1490">
        <f>+IF($K118="Ongoing",BD118,IF(RIGHT($K118,2)=RIGHT(BZ$39,2),SUM($AX118:BD118),0)+IF(RIGHT(BZ$39,2)&gt;RIGHT($K118,2),BD118,0))</f>
        <v>0</v>
      </c>
      <c r="CA118" s="1490">
        <f>+IF($K118="Ongoing",BE118,IF(RIGHT($K118,2)=RIGHT(CA$39,2),SUM($AX118:BE118),0)+IF(RIGHT(CA$39,2)&gt;RIGHT($K118,2),BE118,0))</f>
        <v>0</v>
      </c>
      <c r="CB118" s="1490">
        <f>+IF($K118="Ongoing",BF118,IF(RIGHT($K118,2)=RIGHT(CB$39,2),SUM($AX118:BF118),0)+IF(RIGHT(CB$39,2)&gt;RIGHT($K118,2),BF118,0))</f>
        <v>0.15</v>
      </c>
      <c r="CC118" s="1491">
        <f>+IF($K118="Ongoing",BG118,IF(RIGHT($K118,2)=RIGHT(CC$39,2),SUM($AX118:BG118),0)+IF(RIGHT(CC$39,2)&gt;RIGHT($K118,2),BG118,0))</f>
        <v>0.8</v>
      </c>
      <c r="CD118" s="1133"/>
      <c r="CE118" s="1492">
        <f>+Q118*KeyAssumptionsPriceControl_FO!AC$15</f>
        <v>0</v>
      </c>
      <c r="CF118" s="1490">
        <f>+R118*KeyAssumptionsPriceControl_FO!AD$15</f>
        <v>0</v>
      </c>
      <c r="CG118" s="1490">
        <f>+S118*KeyAssumptionsPriceControl_FO!AE$15</f>
        <v>0</v>
      </c>
      <c r="CH118" s="1490">
        <f>+T118*KeyAssumptionsPriceControl_FO!AF$15</f>
        <v>0</v>
      </c>
      <c r="CI118" s="1491">
        <f>+U118*KeyAssumptionsPriceControl_FO!AG$15</f>
        <v>0</v>
      </c>
      <c r="CJ118" s="1492">
        <f>+V118*KeyAssumptionsPriceControl_FO!AH$15</f>
        <v>5.9702614826450007E-2</v>
      </c>
      <c r="CK118" s="1490">
        <f>+W118*KeyAssumptionsPriceControl_FO!AI$15</f>
        <v>0</v>
      </c>
      <c r="CL118" s="1490">
        <f>+X118*KeyAssumptionsPriceControl_FO!AJ$15</f>
        <v>0</v>
      </c>
      <c r="CM118" s="1490">
        <f>+Y118*KeyAssumptionsPriceControl_FO!AK$15</f>
        <v>0.19571597757438672</v>
      </c>
      <c r="CN118" s="1491">
        <f>+Z118*KeyAssumptionsPriceControl_FO!AL$15</f>
        <v>1.0751331034752978</v>
      </c>
      <c r="CO118" s="1133"/>
      <c r="CP118" s="1492">
        <f t="shared" ca="1" si="117"/>
        <v>0</v>
      </c>
      <c r="CQ118" s="1490">
        <f t="shared" ca="1" si="118"/>
        <v>0</v>
      </c>
      <c r="CR118" s="1490">
        <f t="shared" ca="1" si="119"/>
        <v>0</v>
      </c>
      <c r="CS118" s="1490">
        <f t="shared" ca="1" si="120"/>
        <v>0</v>
      </c>
      <c r="CT118" s="1491">
        <f t="shared" ca="1" si="121"/>
        <v>0</v>
      </c>
      <c r="CU118" s="1492">
        <f t="shared" ca="1" si="122"/>
        <v>4.9752179022041667E-4</v>
      </c>
      <c r="CV118" s="1490">
        <f t="shared" ca="1" si="123"/>
        <v>9.9504358044083334E-4</v>
      </c>
      <c r="CW118" s="1490">
        <f t="shared" ca="1" si="124"/>
        <v>9.9504358044083334E-4</v>
      </c>
      <c r="CX118" s="1490">
        <f t="shared" ca="1" si="125"/>
        <v>2.6260100602273893E-3</v>
      </c>
      <c r="CY118" s="1491">
        <f t="shared" ca="1" si="126"/>
        <v>1.321641906897476E-2</v>
      </c>
    </row>
    <row r="119" spans="2:103" x14ac:dyDescent="0.3">
      <c r="B119" s="397"/>
      <c r="C119" s="1294" t="s">
        <v>1169</v>
      </c>
      <c r="D119" s="1295"/>
      <c r="E119" s="2097" t="s">
        <v>21</v>
      </c>
      <c r="F119" s="2097" t="s">
        <v>12</v>
      </c>
      <c r="G119" s="1294" t="s">
        <v>14</v>
      </c>
      <c r="H119" s="2349" t="s">
        <v>516</v>
      </c>
      <c r="I119" s="2350"/>
      <c r="J119" s="1292" t="s">
        <v>279</v>
      </c>
      <c r="K119" s="1292" t="s">
        <v>296</v>
      </c>
      <c r="L119" s="1292">
        <v>60</v>
      </c>
      <c r="M119" s="1292">
        <v>60</v>
      </c>
      <c r="O119" s="376"/>
      <c r="P119" s="376"/>
      <c r="Q119" s="2337">
        <v>0</v>
      </c>
      <c r="R119" s="2338">
        <v>0</v>
      </c>
      <c r="S119" s="2338">
        <v>0</v>
      </c>
      <c r="T119" s="2338">
        <v>0</v>
      </c>
      <c r="U119" s="2339">
        <v>0</v>
      </c>
      <c r="V119" s="2337">
        <v>0.14000000000000001</v>
      </c>
      <c r="W119" s="2338">
        <v>0.14000000000000001</v>
      </c>
      <c r="X119" s="2338">
        <v>0.14000000000000001</v>
      </c>
      <c r="Y119" s="2338">
        <v>0.14000000000000001</v>
      </c>
      <c r="Z119" s="2339">
        <v>0.14000000000000001</v>
      </c>
      <c r="AA119" s="1132"/>
      <c r="AB119" s="1129"/>
      <c r="AC119" s="1130"/>
      <c r="AD119" s="1510"/>
      <c r="AE119" s="1130"/>
      <c r="AF119" s="1131"/>
      <c r="AG119" s="1129"/>
      <c r="AH119" s="1510"/>
      <c r="AI119" s="1130"/>
      <c r="AJ119" s="1130"/>
      <c r="AK119" s="1131"/>
      <c r="AL119" s="1132"/>
      <c r="AM119" s="1509"/>
      <c r="AN119" s="1130"/>
      <c r="AO119" s="1510"/>
      <c r="AP119" s="1510"/>
      <c r="AQ119" s="1131"/>
      <c r="AR119" s="1129"/>
      <c r="AS119" s="1130"/>
      <c r="AT119" s="1130"/>
      <c r="AU119" s="1130"/>
      <c r="AV119" s="1131"/>
      <c r="AW119" s="1133"/>
      <c r="AX119" s="1492">
        <f t="shared" si="104"/>
        <v>0</v>
      </c>
      <c r="AY119" s="1490">
        <f t="shared" si="104"/>
        <v>0</v>
      </c>
      <c r="AZ119" s="1490">
        <f t="shared" si="104"/>
        <v>0</v>
      </c>
      <c r="BA119" s="1490">
        <f t="shared" si="104"/>
        <v>0</v>
      </c>
      <c r="BB119" s="1491">
        <f t="shared" si="104"/>
        <v>0</v>
      </c>
      <c r="BC119" s="1492">
        <f t="shared" si="104"/>
        <v>0.14000000000000001</v>
      </c>
      <c r="BD119" s="1490">
        <f t="shared" si="104"/>
        <v>0.14000000000000001</v>
      </c>
      <c r="BE119" s="1490">
        <f t="shared" si="104"/>
        <v>0.14000000000000001</v>
      </c>
      <c r="BF119" s="1490">
        <f t="shared" si="105"/>
        <v>0.14000000000000001</v>
      </c>
      <c r="BG119" s="1491">
        <f t="shared" si="106"/>
        <v>0.14000000000000001</v>
      </c>
      <c r="BH119" s="1133"/>
      <c r="BI119" s="1492">
        <f t="shared" ca="1" si="107"/>
        <v>0</v>
      </c>
      <c r="BJ119" s="1490">
        <f t="shared" ca="1" si="108"/>
        <v>0</v>
      </c>
      <c r="BK119" s="1490">
        <f t="shared" ca="1" si="109"/>
        <v>0</v>
      </c>
      <c r="BL119" s="1490">
        <f t="shared" ca="1" si="110"/>
        <v>0</v>
      </c>
      <c r="BM119" s="1491">
        <f t="shared" ca="1" si="111"/>
        <v>0</v>
      </c>
      <c r="BN119" s="1492">
        <f t="shared" ca="1" si="112"/>
        <v>1.1666666666666668E-3</v>
      </c>
      <c r="BO119" s="1490">
        <f t="shared" ca="1" si="113"/>
        <v>3.5000000000000005E-3</v>
      </c>
      <c r="BP119" s="1490">
        <f t="shared" ca="1" si="114"/>
        <v>5.8333333333333336E-3</v>
      </c>
      <c r="BQ119" s="1490">
        <f t="shared" ca="1" si="115"/>
        <v>8.1666666666666676E-3</v>
      </c>
      <c r="BR119" s="1491">
        <f t="shared" ca="1" si="116"/>
        <v>1.0500000000000001E-2</v>
      </c>
      <c r="BS119" s="1133"/>
      <c r="BT119" s="1492">
        <f>+IF($K119="Ongoing",AX119,IF(RIGHT($K119,2)=RIGHT(BT$39,2),SUM($AX119:AX119),0)+IF(RIGHT(BT$39,2)&gt;RIGHT($K119,2),AX119,0))</f>
        <v>0</v>
      </c>
      <c r="BU119" s="1490">
        <f>+IF($K119="Ongoing",AY119,IF(RIGHT($K119,2)=RIGHT(BU$39,2),SUM($AX119:AY119),0)+IF(RIGHT(BU$39,2)&gt;RIGHT($K119,2),AY119,0))</f>
        <v>0</v>
      </c>
      <c r="BV119" s="1490">
        <f>+IF($K119="Ongoing",AZ119,IF(RIGHT($K119,2)=RIGHT(BV$39,2),SUM($AX119:AZ119),0)+IF(RIGHT(BV$39,2)&gt;RIGHT($K119,2),AZ119,0))</f>
        <v>0</v>
      </c>
      <c r="BW119" s="1490">
        <f>+IF($K119="Ongoing",BA119,IF(RIGHT($K119,2)=RIGHT(BW$39,2),SUM($AX119:BA119),0)+IF(RIGHT(BW$39,2)&gt;RIGHT($K119,2),BA119,0))</f>
        <v>0</v>
      </c>
      <c r="BX119" s="1491">
        <f>+IF($K119="Ongoing",BB119,IF(RIGHT($K119,2)=RIGHT(BX$39,2),SUM($AX119:BB119),0)+IF(RIGHT(BX$39,2)&gt;RIGHT($K119,2),BB119,0))</f>
        <v>0</v>
      </c>
      <c r="BY119" s="1492">
        <f>+IF($K119="Ongoing",BC119,IF(RIGHT($K119,2)=RIGHT(BY$39,2),SUM($AX119:BC119),0)+IF(RIGHT(BY$39,2)&gt;RIGHT($K119,2),BC119,0))</f>
        <v>0.14000000000000001</v>
      </c>
      <c r="BZ119" s="1490">
        <f>+IF($K119="Ongoing",BD119,IF(RIGHT($K119,2)=RIGHT(BZ$39,2),SUM($AX119:BD119),0)+IF(RIGHT(BZ$39,2)&gt;RIGHT($K119,2),BD119,0))</f>
        <v>0.14000000000000001</v>
      </c>
      <c r="CA119" s="1490">
        <f>+IF($K119="Ongoing",BE119,IF(RIGHT($K119,2)=RIGHT(CA$39,2),SUM($AX119:BE119),0)+IF(RIGHT(CA$39,2)&gt;RIGHT($K119,2),BE119,0))</f>
        <v>0.14000000000000001</v>
      </c>
      <c r="CB119" s="1490">
        <f>+IF($K119="Ongoing",BF119,IF(RIGHT($K119,2)=RIGHT(CB$39,2),SUM($AX119:BF119),0)+IF(RIGHT(CB$39,2)&gt;RIGHT($K119,2),BF119,0))</f>
        <v>0.14000000000000001</v>
      </c>
      <c r="CC119" s="1491">
        <f>+IF($K119="Ongoing",BG119,IF(RIGHT($K119,2)=RIGHT(CC$39,2),SUM($AX119:BG119),0)+IF(RIGHT(CC$39,2)&gt;RIGHT($K119,2),BG119,0))</f>
        <v>0.14000000000000001</v>
      </c>
      <c r="CD119" s="1133"/>
      <c r="CE119" s="1492">
        <f>+Q119*KeyAssumptionsPriceControl_FO!AC$15</f>
        <v>0</v>
      </c>
      <c r="CF119" s="1490">
        <f>+R119*KeyAssumptionsPriceControl_FO!AD$15</f>
        <v>0</v>
      </c>
      <c r="CG119" s="1490">
        <f>+S119*KeyAssumptionsPriceControl_FO!AE$15</f>
        <v>0</v>
      </c>
      <c r="CH119" s="1490">
        <f>+T119*KeyAssumptionsPriceControl_FO!AF$15</f>
        <v>0</v>
      </c>
      <c r="CI119" s="1491">
        <f>+U119*KeyAssumptionsPriceControl_FO!AG$15</f>
        <v>0</v>
      </c>
      <c r="CJ119" s="1492">
        <f>+V119*KeyAssumptionsPriceControl_FO!AH$15</f>
        <v>0.16716732151406002</v>
      </c>
      <c r="CK119" s="1490">
        <f>+W119*KeyAssumptionsPriceControl_FO!AI$15</f>
        <v>0.17218234115948183</v>
      </c>
      <c r="CL119" s="1490">
        <f>+X119*KeyAssumptionsPriceControl_FO!AJ$15</f>
        <v>0.17734781139426631</v>
      </c>
      <c r="CM119" s="1490">
        <f>+Y119*KeyAssumptionsPriceControl_FO!AK$15</f>
        <v>0.1826682457360943</v>
      </c>
      <c r="CN119" s="1491">
        <f>+Z119*KeyAssumptionsPriceControl_FO!AL$15</f>
        <v>0.18814829310817713</v>
      </c>
      <c r="CO119" s="1133"/>
      <c r="CP119" s="1492">
        <f t="shared" ca="1" si="117"/>
        <v>0</v>
      </c>
      <c r="CQ119" s="1490">
        <f t="shared" ca="1" si="118"/>
        <v>0</v>
      </c>
      <c r="CR119" s="1490">
        <f t="shared" ca="1" si="119"/>
        <v>0</v>
      </c>
      <c r="CS119" s="1490">
        <f t="shared" ca="1" si="120"/>
        <v>0</v>
      </c>
      <c r="CT119" s="1491">
        <f t="shared" ca="1" si="121"/>
        <v>0</v>
      </c>
      <c r="CU119" s="1492">
        <f t="shared" ca="1" si="122"/>
        <v>1.3930610126171668E-3</v>
      </c>
      <c r="CV119" s="1490">
        <f t="shared" ca="1" si="123"/>
        <v>4.2209748682300154E-3</v>
      </c>
      <c r="CW119" s="1490">
        <f t="shared" ca="1" si="124"/>
        <v>7.1337261395112497E-3</v>
      </c>
      <c r="CX119" s="1490">
        <f t="shared" ca="1" si="125"/>
        <v>1.013385994893092E-2</v>
      </c>
      <c r="CY119" s="1491">
        <f t="shared" ca="1" si="126"/>
        <v>1.3223997772633183E-2</v>
      </c>
    </row>
    <row r="120" spans="2:103" x14ac:dyDescent="0.3">
      <c r="B120" s="397"/>
      <c r="C120" s="1294" t="s">
        <v>1170</v>
      </c>
      <c r="D120" s="1295"/>
      <c r="E120" s="2097" t="s">
        <v>22</v>
      </c>
      <c r="F120" s="2097" t="s">
        <v>12</v>
      </c>
      <c r="G120" s="1294" t="s">
        <v>14</v>
      </c>
      <c r="H120" s="2349" t="s">
        <v>516</v>
      </c>
      <c r="I120" s="2350"/>
      <c r="J120" s="1292" t="s">
        <v>279</v>
      </c>
      <c r="K120" s="1292" t="s">
        <v>296</v>
      </c>
      <c r="L120" s="1292">
        <v>60</v>
      </c>
      <c r="M120" s="1292">
        <v>60</v>
      </c>
      <c r="O120" s="376"/>
      <c r="P120" s="376"/>
      <c r="Q120" s="2337">
        <v>0</v>
      </c>
      <c r="R120" s="2338">
        <v>0</v>
      </c>
      <c r="S120" s="2338">
        <v>0</v>
      </c>
      <c r="T120" s="2338">
        <v>0</v>
      </c>
      <c r="U120" s="2339">
        <v>0</v>
      </c>
      <c r="V120" s="2337">
        <v>0.125</v>
      </c>
      <c r="W120" s="2338">
        <v>0.125</v>
      </c>
      <c r="X120" s="2338">
        <v>0.125</v>
      </c>
      <c r="Y120" s="2338">
        <v>0.125</v>
      </c>
      <c r="Z120" s="2339">
        <v>0.125</v>
      </c>
      <c r="AA120" s="1132"/>
      <c r="AB120" s="1129"/>
      <c r="AC120" s="1130"/>
      <c r="AD120" s="1510"/>
      <c r="AE120" s="1510"/>
      <c r="AF120" s="1131"/>
      <c r="AG120" s="1129"/>
      <c r="AH120" s="1130"/>
      <c r="AI120" s="1130"/>
      <c r="AJ120" s="1130"/>
      <c r="AK120" s="1131"/>
      <c r="AL120" s="1132"/>
      <c r="AM120" s="1129"/>
      <c r="AN120" s="1130"/>
      <c r="AO120" s="1130"/>
      <c r="AP120" s="1510"/>
      <c r="AQ120" s="1131"/>
      <c r="AR120" s="1129"/>
      <c r="AS120" s="1130"/>
      <c r="AT120" s="1130"/>
      <c r="AU120" s="1510"/>
      <c r="AV120" s="1131"/>
      <c r="AW120" s="1133"/>
      <c r="AX120" s="1492">
        <f t="shared" si="104"/>
        <v>0</v>
      </c>
      <c r="AY120" s="1490">
        <f t="shared" si="104"/>
        <v>0</v>
      </c>
      <c r="AZ120" s="1490">
        <f t="shared" si="104"/>
        <v>0</v>
      </c>
      <c r="BA120" s="1490">
        <f t="shared" si="104"/>
        <v>0</v>
      </c>
      <c r="BB120" s="1491">
        <f t="shared" si="104"/>
        <v>0</v>
      </c>
      <c r="BC120" s="1492">
        <f t="shared" si="104"/>
        <v>0.125</v>
      </c>
      <c r="BD120" s="1490">
        <f t="shared" si="104"/>
        <v>0.125</v>
      </c>
      <c r="BE120" s="1490">
        <f t="shared" si="104"/>
        <v>0.125</v>
      </c>
      <c r="BF120" s="1490">
        <f t="shared" si="105"/>
        <v>0.125</v>
      </c>
      <c r="BG120" s="1491">
        <f t="shared" si="106"/>
        <v>0.125</v>
      </c>
      <c r="BH120" s="1133"/>
      <c r="BI120" s="1492">
        <f t="shared" ca="1" si="107"/>
        <v>0</v>
      </c>
      <c r="BJ120" s="1490">
        <f t="shared" ca="1" si="108"/>
        <v>0</v>
      </c>
      <c r="BK120" s="1490">
        <f t="shared" ca="1" si="109"/>
        <v>0</v>
      </c>
      <c r="BL120" s="1490">
        <f t="shared" ca="1" si="110"/>
        <v>0</v>
      </c>
      <c r="BM120" s="1491">
        <f t="shared" ca="1" si="111"/>
        <v>0</v>
      </c>
      <c r="BN120" s="1492">
        <f t="shared" ca="1" si="112"/>
        <v>1.0416666666666667E-3</v>
      </c>
      <c r="BO120" s="1490">
        <f t="shared" ca="1" si="113"/>
        <v>3.1250000000000002E-3</v>
      </c>
      <c r="BP120" s="1490">
        <f t="shared" ca="1" si="114"/>
        <v>5.208333333333333E-3</v>
      </c>
      <c r="BQ120" s="1490">
        <f t="shared" ca="1" si="115"/>
        <v>7.2916666666666668E-3</v>
      </c>
      <c r="BR120" s="1491">
        <f t="shared" ca="1" si="116"/>
        <v>9.3749999999999997E-3</v>
      </c>
      <c r="BS120" s="1133"/>
      <c r="BT120" s="1492">
        <f>+IF($K120="Ongoing",AX120,IF(RIGHT($K120,2)=RIGHT(BT$39,2),SUM($AX120:AX120),0)+IF(RIGHT(BT$39,2)&gt;RIGHT($K120,2),AX120,0))</f>
        <v>0</v>
      </c>
      <c r="BU120" s="1490">
        <f>+IF($K120="Ongoing",AY120,IF(RIGHT($K120,2)=RIGHT(BU$39,2),SUM($AX120:AY120),0)+IF(RIGHT(BU$39,2)&gt;RIGHT($K120,2),AY120,0))</f>
        <v>0</v>
      </c>
      <c r="BV120" s="1490">
        <f>+IF($K120="Ongoing",AZ120,IF(RIGHT($K120,2)=RIGHT(BV$39,2),SUM($AX120:AZ120),0)+IF(RIGHT(BV$39,2)&gt;RIGHT($K120,2),AZ120,0))</f>
        <v>0</v>
      </c>
      <c r="BW120" s="1490">
        <f>+IF($K120="Ongoing",BA120,IF(RIGHT($K120,2)=RIGHT(BW$39,2),SUM($AX120:BA120),0)+IF(RIGHT(BW$39,2)&gt;RIGHT($K120,2),BA120,0))</f>
        <v>0</v>
      </c>
      <c r="BX120" s="1491">
        <f>+IF($K120="Ongoing",BB120,IF(RIGHT($K120,2)=RIGHT(BX$39,2),SUM($AX120:BB120),0)+IF(RIGHT(BX$39,2)&gt;RIGHT($K120,2),BB120,0))</f>
        <v>0</v>
      </c>
      <c r="BY120" s="1492">
        <f>+IF($K120="Ongoing",BC120,IF(RIGHT($K120,2)=RIGHT(BY$39,2),SUM($AX120:BC120),0)+IF(RIGHT(BY$39,2)&gt;RIGHT($K120,2),BC120,0))</f>
        <v>0.125</v>
      </c>
      <c r="BZ120" s="1490">
        <f>+IF($K120="Ongoing",BD120,IF(RIGHT($K120,2)=RIGHT(BZ$39,2),SUM($AX120:BD120),0)+IF(RIGHT(BZ$39,2)&gt;RIGHT($K120,2),BD120,0))</f>
        <v>0.125</v>
      </c>
      <c r="CA120" s="1490">
        <f>+IF($K120="Ongoing",BE120,IF(RIGHT($K120,2)=RIGHT(CA$39,2),SUM($AX120:BE120),0)+IF(RIGHT(CA$39,2)&gt;RIGHT($K120,2),BE120,0))</f>
        <v>0.125</v>
      </c>
      <c r="CB120" s="1490">
        <f>+IF($K120="Ongoing",BF120,IF(RIGHT($K120,2)=RIGHT(CB$39,2),SUM($AX120:BF120),0)+IF(RIGHT(CB$39,2)&gt;RIGHT($K120,2),BF120,0))</f>
        <v>0.125</v>
      </c>
      <c r="CC120" s="1491">
        <f>+IF($K120="Ongoing",BG120,IF(RIGHT($K120,2)=RIGHT(CC$39,2),SUM($AX120:BG120),0)+IF(RIGHT(CC$39,2)&gt;RIGHT($K120,2),BG120,0))</f>
        <v>0.125</v>
      </c>
      <c r="CD120" s="1133"/>
      <c r="CE120" s="1492">
        <f>+Q120*KeyAssumptionsPriceControl_FO!AC$15</f>
        <v>0</v>
      </c>
      <c r="CF120" s="1490">
        <f>+R120*KeyAssumptionsPriceControl_FO!AD$15</f>
        <v>0</v>
      </c>
      <c r="CG120" s="1490">
        <f>+S120*KeyAssumptionsPriceControl_FO!AE$15</f>
        <v>0</v>
      </c>
      <c r="CH120" s="1490">
        <f>+T120*KeyAssumptionsPriceControl_FO!AF$15</f>
        <v>0</v>
      </c>
      <c r="CI120" s="1491">
        <f>+U120*KeyAssumptionsPriceControl_FO!AG$15</f>
        <v>0</v>
      </c>
      <c r="CJ120" s="1492">
        <f>+V120*KeyAssumptionsPriceControl_FO!AH$15</f>
        <v>0.14925653706612502</v>
      </c>
      <c r="CK120" s="1490">
        <f>+W120*KeyAssumptionsPriceControl_FO!AI$15</f>
        <v>0.15373423317810878</v>
      </c>
      <c r="CL120" s="1490">
        <f>+X120*KeyAssumptionsPriceControl_FO!AJ$15</f>
        <v>0.15834626017345205</v>
      </c>
      <c r="CM120" s="1490">
        <f>+Y120*KeyAssumptionsPriceControl_FO!AK$15</f>
        <v>0.16309664797865561</v>
      </c>
      <c r="CN120" s="1491">
        <f>+Z120*KeyAssumptionsPriceControl_FO!AL$15</f>
        <v>0.16798954741801528</v>
      </c>
      <c r="CO120" s="1133"/>
      <c r="CP120" s="1492">
        <f t="shared" ca="1" si="117"/>
        <v>0</v>
      </c>
      <c r="CQ120" s="1490">
        <f t="shared" ca="1" si="118"/>
        <v>0</v>
      </c>
      <c r="CR120" s="1490">
        <f t="shared" ca="1" si="119"/>
        <v>0</v>
      </c>
      <c r="CS120" s="1490">
        <f t="shared" ca="1" si="120"/>
        <v>0</v>
      </c>
      <c r="CT120" s="1491">
        <f t="shared" ca="1" si="121"/>
        <v>0</v>
      </c>
      <c r="CU120" s="1492">
        <f t="shared" ca="1" si="122"/>
        <v>1.2438044755510417E-3</v>
      </c>
      <c r="CV120" s="1490">
        <f t="shared" ca="1" si="123"/>
        <v>3.7687275609196566E-3</v>
      </c>
      <c r="CW120" s="1490">
        <f t="shared" ca="1" si="124"/>
        <v>6.3693983388493306E-3</v>
      </c>
      <c r="CX120" s="1490">
        <f t="shared" ca="1" si="125"/>
        <v>9.0480892401168939E-3</v>
      </c>
      <c r="CY120" s="1491">
        <f t="shared" ca="1" si="126"/>
        <v>1.1807140868422486E-2</v>
      </c>
    </row>
    <row r="121" spans="2:103" x14ac:dyDescent="0.3">
      <c r="B121" s="397"/>
      <c r="C121" s="1294" t="s">
        <v>1171</v>
      </c>
      <c r="D121" s="1295"/>
      <c r="E121" s="2097" t="s">
        <v>21</v>
      </c>
      <c r="F121" s="2097" t="s">
        <v>12</v>
      </c>
      <c r="G121" s="1294" t="s">
        <v>13</v>
      </c>
      <c r="H121" s="2349" t="s">
        <v>516</v>
      </c>
      <c r="I121" s="2350"/>
      <c r="J121" s="1292" t="s">
        <v>279</v>
      </c>
      <c r="K121" s="1292" t="s">
        <v>296</v>
      </c>
      <c r="L121" s="1292">
        <v>60</v>
      </c>
      <c r="M121" s="1292">
        <v>60</v>
      </c>
      <c r="O121" s="376"/>
      <c r="P121" s="376"/>
      <c r="Q121" s="2337">
        <v>0</v>
      </c>
      <c r="R121" s="2343">
        <v>0</v>
      </c>
      <c r="S121" s="2338">
        <v>0</v>
      </c>
      <c r="T121" s="2338">
        <v>0</v>
      </c>
      <c r="U121" s="2344">
        <v>0</v>
      </c>
      <c r="V121" s="2345">
        <v>0</v>
      </c>
      <c r="W121" s="2343">
        <v>0</v>
      </c>
      <c r="X121" s="2343">
        <v>0</v>
      </c>
      <c r="Y121" s="2343">
        <v>0</v>
      </c>
      <c r="Z121" s="2344">
        <v>0</v>
      </c>
      <c r="AA121" s="1132"/>
      <c r="AB121" s="1129"/>
      <c r="AC121" s="1130"/>
      <c r="AD121" s="1510"/>
      <c r="AE121" s="1510"/>
      <c r="AF121" s="1131"/>
      <c r="AG121" s="1129"/>
      <c r="AH121" s="1130"/>
      <c r="AI121" s="1130"/>
      <c r="AJ121" s="1130"/>
      <c r="AK121" s="1131"/>
      <c r="AL121" s="1132"/>
      <c r="AM121" s="1129"/>
      <c r="AN121" s="1130"/>
      <c r="AO121" s="1130"/>
      <c r="AP121" s="1510"/>
      <c r="AQ121" s="1131"/>
      <c r="AR121" s="1129"/>
      <c r="AS121" s="1130"/>
      <c r="AT121" s="1130"/>
      <c r="AU121" s="1510"/>
      <c r="AV121" s="1131"/>
      <c r="AW121" s="1133"/>
      <c r="AX121" s="1492">
        <f t="shared" si="104"/>
        <v>0</v>
      </c>
      <c r="AY121" s="1490">
        <f t="shared" si="104"/>
        <v>0</v>
      </c>
      <c r="AZ121" s="1490">
        <f t="shared" si="104"/>
        <v>0</v>
      </c>
      <c r="BA121" s="1490">
        <f t="shared" si="104"/>
        <v>0</v>
      </c>
      <c r="BB121" s="1491">
        <f t="shared" si="104"/>
        <v>0</v>
      </c>
      <c r="BC121" s="1492">
        <f t="shared" si="104"/>
        <v>0</v>
      </c>
      <c r="BD121" s="1490">
        <f t="shared" si="104"/>
        <v>0</v>
      </c>
      <c r="BE121" s="1490">
        <f t="shared" si="104"/>
        <v>0</v>
      </c>
      <c r="BF121" s="1490">
        <f t="shared" si="105"/>
        <v>0</v>
      </c>
      <c r="BG121" s="1491">
        <f t="shared" si="106"/>
        <v>0</v>
      </c>
      <c r="BH121" s="1133"/>
      <c r="BI121" s="1492">
        <f t="shared" ca="1" si="107"/>
        <v>0</v>
      </c>
      <c r="BJ121" s="1490">
        <f t="shared" ca="1" si="108"/>
        <v>0</v>
      </c>
      <c r="BK121" s="1490">
        <f t="shared" ca="1" si="109"/>
        <v>0</v>
      </c>
      <c r="BL121" s="1490">
        <f t="shared" ca="1" si="110"/>
        <v>0</v>
      </c>
      <c r="BM121" s="1491">
        <f t="shared" ca="1" si="111"/>
        <v>0</v>
      </c>
      <c r="BN121" s="1492">
        <f t="shared" ca="1" si="112"/>
        <v>0</v>
      </c>
      <c r="BO121" s="1490">
        <f t="shared" ca="1" si="113"/>
        <v>0</v>
      </c>
      <c r="BP121" s="1490">
        <f t="shared" ca="1" si="114"/>
        <v>0</v>
      </c>
      <c r="BQ121" s="1490">
        <f t="shared" ca="1" si="115"/>
        <v>0</v>
      </c>
      <c r="BR121" s="1491">
        <f t="shared" ca="1" si="116"/>
        <v>0</v>
      </c>
      <c r="BS121" s="1133"/>
      <c r="BT121" s="1492">
        <f>+IF($K121="Ongoing",AX121,IF(RIGHT($K121,2)=RIGHT(BT$39,2),SUM($AX121:AX121),0)+IF(RIGHT(BT$39,2)&gt;RIGHT($K121,2),AX121,0))</f>
        <v>0</v>
      </c>
      <c r="BU121" s="1490">
        <f>+IF($K121="Ongoing",AY121,IF(RIGHT($K121,2)=RIGHT(BU$39,2),SUM($AX121:AY121),0)+IF(RIGHT(BU$39,2)&gt;RIGHT($K121,2),AY121,0))</f>
        <v>0</v>
      </c>
      <c r="BV121" s="1490">
        <f>+IF($K121="Ongoing",AZ121,IF(RIGHT($K121,2)=RIGHT(BV$39,2),SUM($AX121:AZ121),0)+IF(RIGHT(BV$39,2)&gt;RIGHT($K121,2),AZ121,0))</f>
        <v>0</v>
      </c>
      <c r="BW121" s="1490">
        <f>+IF($K121="Ongoing",BA121,IF(RIGHT($K121,2)=RIGHT(BW$39,2),SUM($AX121:BA121),0)+IF(RIGHT(BW$39,2)&gt;RIGHT($K121,2),BA121,0))</f>
        <v>0</v>
      </c>
      <c r="BX121" s="1491">
        <f>+IF($K121="Ongoing",BB121,IF(RIGHT($K121,2)=RIGHT(BX$39,2),SUM($AX121:BB121),0)+IF(RIGHT(BX$39,2)&gt;RIGHT($K121,2),BB121,0))</f>
        <v>0</v>
      </c>
      <c r="BY121" s="1492">
        <f>+IF($K121="Ongoing",BC121,IF(RIGHT($K121,2)=RIGHT(BY$39,2),SUM($AX121:BC121),0)+IF(RIGHT(BY$39,2)&gt;RIGHT($K121,2),BC121,0))</f>
        <v>0</v>
      </c>
      <c r="BZ121" s="1490">
        <f>+IF($K121="Ongoing",BD121,IF(RIGHT($K121,2)=RIGHT(BZ$39,2),SUM($AX121:BD121),0)+IF(RIGHT(BZ$39,2)&gt;RIGHT($K121,2),BD121,0))</f>
        <v>0</v>
      </c>
      <c r="CA121" s="1490">
        <f>+IF($K121="Ongoing",BE121,IF(RIGHT($K121,2)=RIGHT(CA$39,2),SUM($AX121:BE121),0)+IF(RIGHT(CA$39,2)&gt;RIGHT($K121,2),BE121,0))</f>
        <v>0</v>
      </c>
      <c r="CB121" s="1490">
        <f>+IF($K121="Ongoing",BF121,IF(RIGHT($K121,2)=RIGHT(CB$39,2),SUM($AX121:BF121),0)+IF(RIGHT(CB$39,2)&gt;RIGHT($K121,2),BF121,0))</f>
        <v>0</v>
      </c>
      <c r="CC121" s="1491">
        <f>+IF($K121="Ongoing",BG121,IF(RIGHT($K121,2)=RIGHT(CC$39,2),SUM($AX121:BG121),0)+IF(RIGHT(CC$39,2)&gt;RIGHT($K121,2),BG121,0))</f>
        <v>0</v>
      </c>
      <c r="CD121" s="1133"/>
      <c r="CE121" s="1492">
        <f>+Q121*KeyAssumptionsPriceControl_FO!AC$15</f>
        <v>0</v>
      </c>
      <c r="CF121" s="1490">
        <f>+R121*KeyAssumptionsPriceControl_FO!AD$15</f>
        <v>0</v>
      </c>
      <c r="CG121" s="1490">
        <f>+S121*KeyAssumptionsPriceControl_FO!AE$15</f>
        <v>0</v>
      </c>
      <c r="CH121" s="1490">
        <f>+T121*KeyAssumptionsPriceControl_FO!AF$15</f>
        <v>0</v>
      </c>
      <c r="CI121" s="1491">
        <f>+U121*KeyAssumptionsPriceControl_FO!AG$15</f>
        <v>0</v>
      </c>
      <c r="CJ121" s="1492">
        <f>+V121*KeyAssumptionsPriceControl_FO!AH$15</f>
        <v>0</v>
      </c>
      <c r="CK121" s="1490">
        <f>+W121*KeyAssumptionsPriceControl_FO!AI$15</f>
        <v>0</v>
      </c>
      <c r="CL121" s="1490">
        <f>+X121*KeyAssumptionsPriceControl_FO!AJ$15</f>
        <v>0</v>
      </c>
      <c r="CM121" s="1490">
        <f>+Y121*KeyAssumptionsPriceControl_FO!AK$15</f>
        <v>0</v>
      </c>
      <c r="CN121" s="1491">
        <f>+Z121*KeyAssumptionsPriceControl_FO!AL$15</f>
        <v>0</v>
      </c>
      <c r="CO121" s="1133"/>
      <c r="CP121" s="1492">
        <f t="shared" ca="1" si="117"/>
        <v>0</v>
      </c>
      <c r="CQ121" s="1490">
        <f t="shared" ca="1" si="118"/>
        <v>0</v>
      </c>
      <c r="CR121" s="1490">
        <f t="shared" ca="1" si="119"/>
        <v>0</v>
      </c>
      <c r="CS121" s="1490">
        <f t="shared" ca="1" si="120"/>
        <v>0</v>
      </c>
      <c r="CT121" s="1491">
        <f t="shared" ca="1" si="121"/>
        <v>0</v>
      </c>
      <c r="CU121" s="1492">
        <f t="shared" ca="1" si="122"/>
        <v>0</v>
      </c>
      <c r="CV121" s="1490">
        <f t="shared" ca="1" si="123"/>
        <v>0</v>
      </c>
      <c r="CW121" s="1490">
        <f t="shared" ca="1" si="124"/>
        <v>0</v>
      </c>
      <c r="CX121" s="1490">
        <f t="shared" ca="1" si="125"/>
        <v>0</v>
      </c>
      <c r="CY121" s="1491">
        <f t="shared" ca="1" si="126"/>
        <v>0</v>
      </c>
    </row>
    <row r="122" spans="2:103" x14ac:dyDescent="0.3">
      <c r="B122" s="397"/>
      <c r="C122" s="1294" t="s">
        <v>1172</v>
      </c>
      <c r="D122" s="1295"/>
      <c r="E122" s="2097" t="s">
        <v>21</v>
      </c>
      <c r="F122" s="2097" t="s">
        <v>12</v>
      </c>
      <c r="G122" s="1294" t="s">
        <v>13</v>
      </c>
      <c r="H122" s="2349" t="s">
        <v>516</v>
      </c>
      <c r="I122" s="2350"/>
      <c r="J122" s="1292" t="s">
        <v>279</v>
      </c>
      <c r="K122" s="1292" t="s">
        <v>296</v>
      </c>
      <c r="L122" s="1292">
        <v>60</v>
      </c>
      <c r="M122" s="1292">
        <v>60</v>
      </c>
      <c r="O122" s="376"/>
      <c r="P122" s="376"/>
      <c r="Q122" s="2337">
        <v>0</v>
      </c>
      <c r="R122" s="2343">
        <v>0</v>
      </c>
      <c r="S122" s="2338">
        <v>0</v>
      </c>
      <c r="T122" s="2338">
        <v>0</v>
      </c>
      <c r="U122" s="2344">
        <v>0</v>
      </c>
      <c r="V122" s="2345">
        <v>0</v>
      </c>
      <c r="W122" s="2343">
        <v>0</v>
      </c>
      <c r="X122" s="2343">
        <v>0</v>
      </c>
      <c r="Y122" s="2343">
        <v>0</v>
      </c>
      <c r="Z122" s="2344">
        <v>0</v>
      </c>
      <c r="AA122" s="1132"/>
      <c r="AB122" s="1129"/>
      <c r="AC122" s="1130"/>
      <c r="AD122" s="1510"/>
      <c r="AE122" s="1130"/>
      <c r="AF122" s="1131"/>
      <c r="AG122" s="1129"/>
      <c r="AH122" s="1510"/>
      <c r="AI122" s="1130"/>
      <c r="AJ122" s="1130"/>
      <c r="AK122" s="1131"/>
      <c r="AL122" s="1132"/>
      <c r="AM122" s="1509"/>
      <c r="AN122" s="1130"/>
      <c r="AO122" s="1510"/>
      <c r="AP122" s="1510"/>
      <c r="AQ122" s="1131"/>
      <c r="AR122" s="1129"/>
      <c r="AS122" s="1130"/>
      <c r="AT122" s="1130"/>
      <c r="AU122" s="1130"/>
      <c r="AV122" s="1131"/>
      <c r="AW122" s="1133"/>
      <c r="AX122" s="1492">
        <f t="shared" si="104"/>
        <v>0</v>
      </c>
      <c r="AY122" s="1490">
        <f t="shared" si="104"/>
        <v>0</v>
      </c>
      <c r="AZ122" s="1490">
        <f t="shared" si="104"/>
        <v>0</v>
      </c>
      <c r="BA122" s="1490">
        <f t="shared" si="104"/>
        <v>0</v>
      </c>
      <c r="BB122" s="1491">
        <f t="shared" si="104"/>
        <v>0</v>
      </c>
      <c r="BC122" s="1492">
        <f t="shared" si="104"/>
        <v>0</v>
      </c>
      <c r="BD122" s="1490">
        <f t="shared" si="104"/>
        <v>0</v>
      </c>
      <c r="BE122" s="1490">
        <f t="shared" si="104"/>
        <v>0</v>
      </c>
      <c r="BF122" s="1490">
        <f t="shared" si="105"/>
        <v>0</v>
      </c>
      <c r="BG122" s="1491">
        <f t="shared" si="106"/>
        <v>0</v>
      </c>
      <c r="BH122" s="1133"/>
      <c r="BI122" s="1492">
        <f t="shared" ca="1" si="107"/>
        <v>0</v>
      </c>
      <c r="BJ122" s="1490">
        <f t="shared" ca="1" si="108"/>
        <v>0</v>
      </c>
      <c r="BK122" s="1490">
        <f t="shared" ca="1" si="109"/>
        <v>0</v>
      </c>
      <c r="BL122" s="1490">
        <f t="shared" ca="1" si="110"/>
        <v>0</v>
      </c>
      <c r="BM122" s="1491">
        <f t="shared" ca="1" si="111"/>
        <v>0</v>
      </c>
      <c r="BN122" s="1492">
        <f t="shared" ca="1" si="112"/>
        <v>0</v>
      </c>
      <c r="BO122" s="1490">
        <f t="shared" ca="1" si="113"/>
        <v>0</v>
      </c>
      <c r="BP122" s="1490">
        <f t="shared" ca="1" si="114"/>
        <v>0</v>
      </c>
      <c r="BQ122" s="1490">
        <f t="shared" ca="1" si="115"/>
        <v>0</v>
      </c>
      <c r="BR122" s="1491">
        <f t="shared" ca="1" si="116"/>
        <v>0</v>
      </c>
      <c r="BS122" s="1133"/>
      <c r="BT122" s="1492">
        <f>+IF($K122="Ongoing",AX122,IF(RIGHT($K122,2)=RIGHT(BT$39,2),SUM($AX122:AX122),0)+IF(RIGHT(BT$39,2)&gt;RIGHT($K122,2),AX122,0))</f>
        <v>0</v>
      </c>
      <c r="BU122" s="1490">
        <f>+IF($K122="Ongoing",AY122,IF(RIGHT($K122,2)=RIGHT(BU$39,2),SUM($AX122:AY122),0)+IF(RIGHT(BU$39,2)&gt;RIGHT($K122,2),AY122,0))</f>
        <v>0</v>
      </c>
      <c r="BV122" s="1490">
        <f>+IF($K122="Ongoing",AZ122,IF(RIGHT($K122,2)=RIGHT(BV$39,2),SUM($AX122:AZ122),0)+IF(RIGHT(BV$39,2)&gt;RIGHT($K122,2),AZ122,0))</f>
        <v>0</v>
      </c>
      <c r="BW122" s="1490">
        <f>+IF($K122="Ongoing",BA122,IF(RIGHT($K122,2)=RIGHT(BW$39,2),SUM($AX122:BA122),0)+IF(RIGHT(BW$39,2)&gt;RIGHT($K122,2),BA122,0))</f>
        <v>0</v>
      </c>
      <c r="BX122" s="1491">
        <f>+IF($K122="Ongoing",BB122,IF(RIGHT($K122,2)=RIGHT(BX$39,2),SUM($AX122:BB122),0)+IF(RIGHT(BX$39,2)&gt;RIGHT($K122,2),BB122,0))</f>
        <v>0</v>
      </c>
      <c r="BY122" s="1492">
        <f>+IF($K122="Ongoing",BC122,IF(RIGHT($K122,2)=RIGHT(BY$39,2),SUM($AX122:BC122),0)+IF(RIGHT(BY$39,2)&gt;RIGHT($K122,2),BC122,0))</f>
        <v>0</v>
      </c>
      <c r="BZ122" s="1490">
        <f>+IF($K122="Ongoing",BD122,IF(RIGHT($K122,2)=RIGHT(BZ$39,2),SUM($AX122:BD122),0)+IF(RIGHT(BZ$39,2)&gt;RIGHT($K122,2),BD122,0))</f>
        <v>0</v>
      </c>
      <c r="CA122" s="1490">
        <f>+IF($K122="Ongoing",BE122,IF(RIGHT($K122,2)=RIGHT(CA$39,2),SUM($AX122:BE122),0)+IF(RIGHT(CA$39,2)&gt;RIGHT($K122,2),BE122,0))</f>
        <v>0</v>
      </c>
      <c r="CB122" s="1490">
        <f>+IF($K122="Ongoing",BF122,IF(RIGHT($K122,2)=RIGHT(CB$39,2),SUM($AX122:BF122),0)+IF(RIGHT(CB$39,2)&gt;RIGHT($K122,2),BF122,0))</f>
        <v>0</v>
      </c>
      <c r="CC122" s="1491">
        <f>+IF($K122="Ongoing",BG122,IF(RIGHT($K122,2)=RIGHT(CC$39,2),SUM($AX122:BG122),0)+IF(RIGHT(CC$39,2)&gt;RIGHT($K122,2),BG122,0))</f>
        <v>0</v>
      </c>
      <c r="CD122" s="1133"/>
      <c r="CE122" s="1492">
        <f>+Q122*KeyAssumptionsPriceControl_FO!AC$15</f>
        <v>0</v>
      </c>
      <c r="CF122" s="1490">
        <f>+R122*KeyAssumptionsPriceControl_FO!AD$15</f>
        <v>0</v>
      </c>
      <c r="CG122" s="1490">
        <f>+S122*KeyAssumptionsPriceControl_FO!AE$15</f>
        <v>0</v>
      </c>
      <c r="CH122" s="1490">
        <f>+T122*KeyAssumptionsPriceControl_FO!AF$15</f>
        <v>0</v>
      </c>
      <c r="CI122" s="1491">
        <f>+U122*KeyAssumptionsPriceControl_FO!AG$15</f>
        <v>0</v>
      </c>
      <c r="CJ122" s="1492">
        <f>+V122*KeyAssumptionsPriceControl_FO!AH$15</f>
        <v>0</v>
      </c>
      <c r="CK122" s="1490">
        <f>+W122*KeyAssumptionsPriceControl_FO!AI$15</f>
        <v>0</v>
      </c>
      <c r="CL122" s="1490">
        <f>+X122*KeyAssumptionsPriceControl_FO!AJ$15</f>
        <v>0</v>
      </c>
      <c r="CM122" s="1490">
        <f>+Y122*KeyAssumptionsPriceControl_FO!AK$15</f>
        <v>0</v>
      </c>
      <c r="CN122" s="1491">
        <f>+Z122*KeyAssumptionsPriceControl_FO!AL$15</f>
        <v>0</v>
      </c>
      <c r="CO122" s="1133"/>
      <c r="CP122" s="1492">
        <f t="shared" ca="1" si="117"/>
        <v>0</v>
      </c>
      <c r="CQ122" s="1490">
        <f t="shared" ca="1" si="118"/>
        <v>0</v>
      </c>
      <c r="CR122" s="1490">
        <f t="shared" ca="1" si="119"/>
        <v>0</v>
      </c>
      <c r="CS122" s="1490">
        <f t="shared" ca="1" si="120"/>
        <v>0</v>
      </c>
      <c r="CT122" s="1491">
        <f t="shared" ca="1" si="121"/>
        <v>0</v>
      </c>
      <c r="CU122" s="1492">
        <f t="shared" ca="1" si="122"/>
        <v>0</v>
      </c>
      <c r="CV122" s="1490">
        <f t="shared" ca="1" si="123"/>
        <v>0</v>
      </c>
      <c r="CW122" s="1490">
        <f t="shared" ca="1" si="124"/>
        <v>0</v>
      </c>
      <c r="CX122" s="1490">
        <f t="shared" ca="1" si="125"/>
        <v>0</v>
      </c>
      <c r="CY122" s="1491">
        <f t="shared" ca="1" si="126"/>
        <v>0</v>
      </c>
    </row>
    <row r="123" spans="2:103" x14ac:dyDescent="0.3">
      <c r="B123" s="397"/>
      <c r="C123" s="1294" t="s">
        <v>1173</v>
      </c>
      <c r="D123" s="1295"/>
      <c r="E123" s="2097" t="s">
        <v>21</v>
      </c>
      <c r="F123" s="2097" t="s">
        <v>12</v>
      </c>
      <c r="G123" s="1294" t="s">
        <v>6</v>
      </c>
      <c r="H123" s="2349" t="s">
        <v>516</v>
      </c>
      <c r="I123" s="2350"/>
      <c r="J123" s="1292" t="s">
        <v>279</v>
      </c>
      <c r="K123" s="1292" t="s">
        <v>296</v>
      </c>
      <c r="L123" s="1292">
        <v>60</v>
      </c>
      <c r="M123" s="1292">
        <v>60</v>
      </c>
      <c r="O123" s="376"/>
      <c r="P123" s="376"/>
      <c r="Q123" s="2337">
        <v>0</v>
      </c>
      <c r="R123" s="2343">
        <v>0</v>
      </c>
      <c r="S123" s="2338">
        <v>0</v>
      </c>
      <c r="T123" s="2338">
        <v>0</v>
      </c>
      <c r="U123" s="2344">
        <v>0</v>
      </c>
      <c r="V123" s="2345">
        <v>0</v>
      </c>
      <c r="W123" s="2343">
        <v>0</v>
      </c>
      <c r="X123" s="2343">
        <v>0</v>
      </c>
      <c r="Y123" s="2343">
        <v>0</v>
      </c>
      <c r="Z123" s="2344">
        <v>0</v>
      </c>
      <c r="AA123" s="1132"/>
      <c r="AB123" s="1129"/>
      <c r="AC123" s="1130"/>
      <c r="AD123" s="1510"/>
      <c r="AE123" s="1510"/>
      <c r="AF123" s="1131"/>
      <c r="AG123" s="1129"/>
      <c r="AH123" s="1130"/>
      <c r="AI123" s="1130"/>
      <c r="AJ123" s="1130"/>
      <c r="AK123" s="1131"/>
      <c r="AL123" s="1132"/>
      <c r="AM123" s="1129"/>
      <c r="AN123" s="1130"/>
      <c r="AO123" s="1130"/>
      <c r="AP123" s="1510"/>
      <c r="AQ123" s="1131"/>
      <c r="AR123" s="1129"/>
      <c r="AS123" s="1130"/>
      <c r="AT123" s="1130"/>
      <c r="AU123" s="1510"/>
      <c r="AV123" s="1131"/>
      <c r="AW123" s="1133"/>
      <c r="AX123" s="1492">
        <f t="shared" si="104"/>
        <v>0</v>
      </c>
      <c r="AY123" s="1490">
        <f t="shared" si="104"/>
        <v>0</v>
      </c>
      <c r="AZ123" s="1490">
        <f t="shared" si="104"/>
        <v>0</v>
      </c>
      <c r="BA123" s="1490">
        <f t="shared" si="104"/>
        <v>0</v>
      </c>
      <c r="BB123" s="1491">
        <f t="shared" si="104"/>
        <v>0</v>
      </c>
      <c r="BC123" s="1492">
        <f t="shared" si="104"/>
        <v>0</v>
      </c>
      <c r="BD123" s="1490">
        <f t="shared" si="104"/>
        <v>0</v>
      </c>
      <c r="BE123" s="1490">
        <f t="shared" si="104"/>
        <v>0</v>
      </c>
      <c r="BF123" s="1490">
        <f t="shared" si="105"/>
        <v>0</v>
      </c>
      <c r="BG123" s="1491">
        <f t="shared" si="106"/>
        <v>0</v>
      </c>
      <c r="BH123" s="1133"/>
      <c r="BI123" s="1492">
        <f t="shared" ca="1" si="107"/>
        <v>0</v>
      </c>
      <c r="BJ123" s="1490">
        <f t="shared" ca="1" si="108"/>
        <v>0</v>
      </c>
      <c r="BK123" s="1490">
        <f t="shared" ca="1" si="109"/>
        <v>0</v>
      </c>
      <c r="BL123" s="1490">
        <f t="shared" ca="1" si="110"/>
        <v>0</v>
      </c>
      <c r="BM123" s="1491">
        <f t="shared" ca="1" si="111"/>
        <v>0</v>
      </c>
      <c r="BN123" s="1492">
        <f t="shared" ca="1" si="112"/>
        <v>0</v>
      </c>
      <c r="BO123" s="1490">
        <f t="shared" ca="1" si="113"/>
        <v>0</v>
      </c>
      <c r="BP123" s="1490">
        <f t="shared" ca="1" si="114"/>
        <v>0</v>
      </c>
      <c r="BQ123" s="1490">
        <f t="shared" ca="1" si="115"/>
        <v>0</v>
      </c>
      <c r="BR123" s="1491">
        <f t="shared" ca="1" si="116"/>
        <v>0</v>
      </c>
      <c r="BS123" s="1133"/>
      <c r="BT123" s="1492">
        <f>+IF($K123="Ongoing",AX123,IF(RIGHT($K123,2)=RIGHT(BT$39,2),SUM($AX123:AX123),0)+IF(RIGHT(BT$39,2)&gt;RIGHT($K123,2),AX123,0))</f>
        <v>0</v>
      </c>
      <c r="BU123" s="1490">
        <f>+IF($K123="Ongoing",AY123,IF(RIGHT($K123,2)=RIGHT(BU$39,2),SUM($AX123:AY123),0)+IF(RIGHT(BU$39,2)&gt;RIGHT($K123,2),AY123,0))</f>
        <v>0</v>
      </c>
      <c r="BV123" s="1490">
        <f>+IF($K123="Ongoing",AZ123,IF(RIGHT($K123,2)=RIGHT(BV$39,2),SUM($AX123:AZ123),0)+IF(RIGHT(BV$39,2)&gt;RIGHT($K123,2),AZ123,0))</f>
        <v>0</v>
      </c>
      <c r="BW123" s="1490">
        <f>+IF($K123="Ongoing",BA123,IF(RIGHT($K123,2)=RIGHT(BW$39,2),SUM($AX123:BA123),0)+IF(RIGHT(BW$39,2)&gt;RIGHT($K123,2),BA123,0))</f>
        <v>0</v>
      </c>
      <c r="BX123" s="1491">
        <f>+IF($K123="Ongoing",BB123,IF(RIGHT($K123,2)=RIGHT(BX$39,2),SUM($AX123:BB123),0)+IF(RIGHT(BX$39,2)&gt;RIGHT($K123,2),BB123,0))</f>
        <v>0</v>
      </c>
      <c r="BY123" s="1492">
        <f>+IF($K123="Ongoing",BC123,IF(RIGHT($K123,2)=RIGHT(BY$39,2),SUM($AX123:BC123),0)+IF(RIGHT(BY$39,2)&gt;RIGHT($K123,2),BC123,0))</f>
        <v>0</v>
      </c>
      <c r="BZ123" s="1490">
        <f>+IF($K123="Ongoing",BD123,IF(RIGHT($K123,2)=RIGHT(BZ$39,2),SUM($AX123:BD123),0)+IF(RIGHT(BZ$39,2)&gt;RIGHT($K123,2),BD123,0))</f>
        <v>0</v>
      </c>
      <c r="CA123" s="1490">
        <f>+IF($K123="Ongoing",BE123,IF(RIGHT($K123,2)=RIGHT(CA$39,2),SUM($AX123:BE123),0)+IF(RIGHT(CA$39,2)&gt;RIGHT($K123,2),BE123,0))</f>
        <v>0</v>
      </c>
      <c r="CB123" s="1490">
        <f>+IF($K123="Ongoing",BF123,IF(RIGHT($K123,2)=RIGHT(CB$39,2),SUM($AX123:BF123),0)+IF(RIGHT(CB$39,2)&gt;RIGHT($K123,2),BF123,0))</f>
        <v>0</v>
      </c>
      <c r="CC123" s="1491">
        <f>+IF($K123="Ongoing",BG123,IF(RIGHT($K123,2)=RIGHT(CC$39,2),SUM($AX123:BG123),0)+IF(RIGHT(CC$39,2)&gt;RIGHT($K123,2),BG123,0))</f>
        <v>0</v>
      </c>
      <c r="CD123" s="1133"/>
      <c r="CE123" s="1492">
        <f>+Q123*KeyAssumptionsPriceControl_FO!AC$15</f>
        <v>0</v>
      </c>
      <c r="CF123" s="1490">
        <f>+R123*KeyAssumptionsPriceControl_FO!AD$15</f>
        <v>0</v>
      </c>
      <c r="CG123" s="1490">
        <f>+S123*KeyAssumptionsPriceControl_FO!AE$15</f>
        <v>0</v>
      </c>
      <c r="CH123" s="1490">
        <f>+T123*KeyAssumptionsPriceControl_FO!AF$15</f>
        <v>0</v>
      </c>
      <c r="CI123" s="1491">
        <f>+U123*KeyAssumptionsPriceControl_FO!AG$15</f>
        <v>0</v>
      </c>
      <c r="CJ123" s="1492">
        <f>+V123*KeyAssumptionsPriceControl_FO!AH$15</f>
        <v>0</v>
      </c>
      <c r="CK123" s="1490">
        <f>+W123*KeyAssumptionsPriceControl_FO!AI$15</f>
        <v>0</v>
      </c>
      <c r="CL123" s="1490">
        <f>+X123*KeyAssumptionsPriceControl_FO!AJ$15</f>
        <v>0</v>
      </c>
      <c r="CM123" s="1490">
        <f>+Y123*KeyAssumptionsPriceControl_FO!AK$15</f>
        <v>0</v>
      </c>
      <c r="CN123" s="1491">
        <f>+Z123*KeyAssumptionsPriceControl_FO!AL$15</f>
        <v>0</v>
      </c>
      <c r="CO123" s="1133"/>
      <c r="CP123" s="1492">
        <f t="shared" ca="1" si="117"/>
        <v>0</v>
      </c>
      <c r="CQ123" s="1490">
        <f t="shared" ca="1" si="118"/>
        <v>0</v>
      </c>
      <c r="CR123" s="1490">
        <f t="shared" ca="1" si="119"/>
        <v>0</v>
      </c>
      <c r="CS123" s="1490">
        <f t="shared" ca="1" si="120"/>
        <v>0</v>
      </c>
      <c r="CT123" s="1491">
        <f t="shared" ca="1" si="121"/>
        <v>0</v>
      </c>
      <c r="CU123" s="1492">
        <f t="shared" ca="1" si="122"/>
        <v>0</v>
      </c>
      <c r="CV123" s="1490">
        <f t="shared" ca="1" si="123"/>
        <v>0</v>
      </c>
      <c r="CW123" s="1490">
        <f t="shared" ca="1" si="124"/>
        <v>0</v>
      </c>
      <c r="CX123" s="1490">
        <f t="shared" ca="1" si="125"/>
        <v>0</v>
      </c>
      <c r="CY123" s="1491">
        <f t="shared" ca="1" si="126"/>
        <v>0</v>
      </c>
    </row>
    <row r="124" spans="2:103" x14ac:dyDescent="0.3">
      <c r="B124" s="397"/>
      <c r="C124" s="1294" t="s">
        <v>1174</v>
      </c>
      <c r="D124" s="1295"/>
      <c r="E124" s="2097" t="s">
        <v>22</v>
      </c>
      <c r="F124" s="2097" t="s">
        <v>12</v>
      </c>
      <c r="G124" s="1294" t="s">
        <v>14</v>
      </c>
      <c r="H124" s="2349" t="s">
        <v>516</v>
      </c>
      <c r="I124" s="2350"/>
      <c r="J124" s="1292" t="s">
        <v>279</v>
      </c>
      <c r="K124" s="1292" t="s">
        <v>296</v>
      </c>
      <c r="L124" s="1292">
        <v>60</v>
      </c>
      <c r="M124" s="1292">
        <v>60</v>
      </c>
      <c r="O124" s="376"/>
      <c r="P124" s="376"/>
      <c r="Q124" s="2337">
        <v>0</v>
      </c>
      <c r="R124" s="2343">
        <v>0</v>
      </c>
      <c r="S124" s="2338">
        <v>0</v>
      </c>
      <c r="T124" s="2338">
        <v>0</v>
      </c>
      <c r="U124" s="2344">
        <v>0</v>
      </c>
      <c r="V124" s="2345">
        <v>0</v>
      </c>
      <c r="W124" s="2343">
        <v>0</v>
      </c>
      <c r="X124" s="2343">
        <v>0</v>
      </c>
      <c r="Y124" s="2343">
        <v>0</v>
      </c>
      <c r="Z124" s="2344">
        <v>0</v>
      </c>
      <c r="AA124" s="1132"/>
      <c r="AB124" s="1129"/>
      <c r="AC124" s="1130"/>
      <c r="AD124" s="1510"/>
      <c r="AE124" s="1130"/>
      <c r="AF124" s="1131"/>
      <c r="AG124" s="1129"/>
      <c r="AH124" s="1510"/>
      <c r="AI124" s="1130"/>
      <c r="AJ124" s="1130"/>
      <c r="AK124" s="1131"/>
      <c r="AL124" s="1132"/>
      <c r="AM124" s="1509"/>
      <c r="AN124" s="1130"/>
      <c r="AO124" s="1510"/>
      <c r="AP124" s="1510"/>
      <c r="AQ124" s="1131"/>
      <c r="AR124" s="1129"/>
      <c r="AS124" s="1130"/>
      <c r="AT124" s="1130"/>
      <c r="AU124" s="1130"/>
      <c r="AV124" s="1131"/>
      <c r="AW124" s="1133"/>
      <c r="AX124" s="1492">
        <f t="shared" si="104"/>
        <v>0</v>
      </c>
      <c r="AY124" s="1490">
        <f t="shared" si="104"/>
        <v>0</v>
      </c>
      <c r="AZ124" s="1490">
        <f t="shared" si="104"/>
        <v>0</v>
      </c>
      <c r="BA124" s="1490">
        <f t="shared" si="104"/>
        <v>0</v>
      </c>
      <c r="BB124" s="1491">
        <f t="shared" si="104"/>
        <v>0</v>
      </c>
      <c r="BC124" s="1492">
        <f t="shared" si="104"/>
        <v>0</v>
      </c>
      <c r="BD124" s="1490">
        <f t="shared" si="104"/>
        <v>0</v>
      </c>
      <c r="BE124" s="1490">
        <f t="shared" si="104"/>
        <v>0</v>
      </c>
      <c r="BF124" s="1490">
        <f t="shared" si="105"/>
        <v>0</v>
      </c>
      <c r="BG124" s="1491">
        <f t="shared" si="106"/>
        <v>0</v>
      </c>
      <c r="BH124" s="1133"/>
      <c r="BI124" s="1492">
        <f t="shared" ca="1" si="107"/>
        <v>0</v>
      </c>
      <c r="BJ124" s="1490">
        <f t="shared" ca="1" si="108"/>
        <v>0</v>
      </c>
      <c r="BK124" s="1490">
        <f t="shared" ca="1" si="109"/>
        <v>0</v>
      </c>
      <c r="BL124" s="1490">
        <f t="shared" ca="1" si="110"/>
        <v>0</v>
      </c>
      <c r="BM124" s="1491">
        <f t="shared" ca="1" si="111"/>
        <v>0</v>
      </c>
      <c r="BN124" s="1492">
        <f t="shared" ca="1" si="112"/>
        <v>0</v>
      </c>
      <c r="BO124" s="1490">
        <f t="shared" ca="1" si="113"/>
        <v>0</v>
      </c>
      <c r="BP124" s="1490">
        <f t="shared" ca="1" si="114"/>
        <v>0</v>
      </c>
      <c r="BQ124" s="1490">
        <f t="shared" ca="1" si="115"/>
        <v>0</v>
      </c>
      <c r="BR124" s="1491">
        <f t="shared" ca="1" si="116"/>
        <v>0</v>
      </c>
      <c r="BS124" s="1133"/>
      <c r="BT124" s="1492">
        <f>+IF($K124="Ongoing",AX124,IF(RIGHT($K124,2)=RIGHT(BT$39,2),SUM($AX124:AX124),0)+IF(RIGHT(BT$39,2)&gt;RIGHT($K124,2),AX124,0))</f>
        <v>0</v>
      </c>
      <c r="BU124" s="1490">
        <f>+IF($K124="Ongoing",AY124,IF(RIGHT($K124,2)=RIGHT(BU$39,2),SUM($AX124:AY124),0)+IF(RIGHT(BU$39,2)&gt;RIGHT($K124,2),AY124,0))</f>
        <v>0</v>
      </c>
      <c r="BV124" s="1490">
        <f>+IF($K124="Ongoing",AZ124,IF(RIGHT($K124,2)=RIGHT(BV$39,2),SUM($AX124:AZ124),0)+IF(RIGHT(BV$39,2)&gt;RIGHT($K124,2),AZ124,0))</f>
        <v>0</v>
      </c>
      <c r="BW124" s="1490">
        <f>+IF($K124="Ongoing",BA124,IF(RIGHT($K124,2)=RIGHT(BW$39,2),SUM($AX124:BA124),0)+IF(RIGHT(BW$39,2)&gt;RIGHT($K124,2),BA124,0))</f>
        <v>0</v>
      </c>
      <c r="BX124" s="1491">
        <f>+IF($K124="Ongoing",BB124,IF(RIGHT($K124,2)=RIGHT(BX$39,2),SUM($AX124:BB124),0)+IF(RIGHT(BX$39,2)&gt;RIGHT($K124,2),BB124,0))</f>
        <v>0</v>
      </c>
      <c r="BY124" s="1492">
        <f>+IF($K124="Ongoing",BC124,IF(RIGHT($K124,2)=RIGHT(BY$39,2),SUM($AX124:BC124),0)+IF(RIGHT(BY$39,2)&gt;RIGHT($K124,2),BC124,0))</f>
        <v>0</v>
      </c>
      <c r="BZ124" s="1490">
        <f>+IF($K124="Ongoing",BD124,IF(RIGHT($K124,2)=RIGHT(BZ$39,2),SUM($AX124:BD124),0)+IF(RIGHT(BZ$39,2)&gt;RIGHT($K124,2),BD124,0))</f>
        <v>0</v>
      </c>
      <c r="CA124" s="1490">
        <f>+IF($K124="Ongoing",BE124,IF(RIGHT($K124,2)=RIGHT(CA$39,2),SUM($AX124:BE124),0)+IF(RIGHT(CA$39,2)&gt;RIGHT($K124,2),BE124,0))</f>
        <v>0</v>
      </c>
      <c r="CB124" s="1490">
        <f>+IF($K124="Ongoing",BF124,IF(RIGHT($K124,2)=RIGHT(CB$39,2),SUM($AX124:BF124),0)+IF(RIGHT(CB$39,2)&gt;RIGHT($K124,2),BF124,0))</f>
        <v>0</v>
      </c>
      <c r="CC124" s="1491">
        <f>+IF($K124="Ongoing",BG124,IF(RIGHT($K124,2)=RIGHT(CC$39,2),SUM($AX124:BG124),0)+IF(RIGHT(CC$39,2)&gt;RIGHT($K124,2),BG124,0))</f>
        <v>0</v>
      </c>
      <c r="CD124" s="1133"/>
      <c r="CE124" s="1492">
        <f>+Q124*KeyAssumptionsPriceControl_FO!AC$15</f>
        <v>0</v>
      </c>
      <c r="CF124" s="1490">
        <f>+R124*KeyAssumptionsPriceControl_FO!AD$15</f>
        <v>0</v>
      </c>
      <c r="CG124" s="1490">
        <f>+S124*KeyAssumptionsPriceControl_FO!AE$15</f>
        <v>0</v>
      </c>
      <c r="CH124" s="1490">
        <f>+T124*KeyAssumptionsPriceControl_FO!AF$15</f>
        <v>0</v>
      </c>
      <c r="CI124" s="1491">
        <f>+U124*KeyAssumptionsPriceControl_FO!AG$15</f>
        <v>0</v>
      </c>
      <c r="CJ124" s="1492">
        <f>+V124*KeyAssumptionsPriceControl_FO!AH$15</f>
        <v>0</v>
      </c>
      <c r="CK124" s="1490">
        <f>+W124*KeyAssumptionsPriceControl_FO!AI$15</f>
        <v>0</v>
      </c>
      <c r="CL124" s="1490">
        <f>+X124*KeyAssumptionsPriceControl_FO!AJ$15</f>
        <v>0</v>
      </c>
      <c r="CM124" s="1490">
        <f>+Y124*KeyAssumptionsPriceControl_FO!AK$15</f>
        <v>0</v>
      </c>
      <c r="CN124" s="1491">
        <f>+Z124*KeyAssumptionsPriceControl_FO!AL$15</f>
        <v>0</v>
      </c>
      <c r="CO124" s="1133"/>
      <c r="CP124" s="1492">
        <f t="shared" ca="1" si="117"/>
        <v>0</v>
      </c>
      <c r="CQ124" s="1490">
        <f t="shared" ca="1" si="118"/>
        <v>0</v>
      </c>
      <c r="CR124" s="1490">
        <f t="shared" ca="1" si="119"/>
        <v>0</v>
      </c>
      <c r="CS124" s="1490">
        <f t="shared" ca="1" si="120"/>
        <v>0</v>
      </c>
      <c r="CT124" s="1491">
        <f t="shared" ca="1" si="121"/>
        <v>0</v>
      </c>
      <c r="CU124" s="1492">
        <f t="shared" ca="1" si="122"/>
        <v>0</v>
      </c>
      <c r="CV124" s="1490">
        <f t="shared" ca="1" si="123"/>
        <v>0</v>
      </c>
      <c r="CW124" s="1490">
        <f t="shared" ca="1" si="124"/>
        <v>0</v>
      </c>
      <c r="CX124" s="1490">
        <f t="shared" ca="1" si="125"/>
        <v>0</v>
      </c>
      <c r="CY124" s="1491">
        <f t="shared" ca="1" si="126"/>
        <v>0</v>
      </c>
    </row>
    <row r="125" spans="2:103" x14ac:dyDescent="0.3">
      <c r="B125" s="397"/>
      <c r="C125" s="1294" t="s">
        <v>1175</v>
      </c>
      <c r="D125" s="1295"/>
      <c r="E125" s="2097" t="s">
        <v>21</v>
      </c>
      <c r="F125" s="2097" t="s">
        <v>12</v>
      </c>
      <c r="G125" s="1294" t="s">
        <v>14</v>
      </c>
      <c r="H125" s="2349" t="s">
        <v>516</v>
      </c>
      <c r="I125" s="2350"/>
      <c r="J125" s="1292" t="s">
        <v>279</v>
      </c>
      <c r="K125" s="1292" t="s">
        <v>296</v>
      </c>
      <c r="L125" s="1292">
        <v>60</v>
      </c>
      <c r="M125" s="1292">
        <v>60</v>
      </c>
      <c r="O125" s="376"/>
      <c r="P125" s="376"/>
      <c r="Q125" s="2337">
        <v>0</v>
      </c>
      <c r="R125" s="2343">
        <v>0</v>
      </c>
      <c r="S125" s="2338">
        <v>0</v>
      </c>
      <c r="T125" s="2338">
        <v>0</v>
      </c>
      <c r="U125" s="2344">
        <v>0</v>
      </c>
      <c r="V125" s="2345">
        <v>0</v>
      </c>
      <c r="W125" s="2343">
        <v>0</v>
      </c>
      <c r="X125" s="2343">
        <v>0</v>
      </c>
      <c r="Y125" s="2343">
        <v>0</v>
      </c>
      <c r="Z125" s="2344">
        <v>0</v>
      </c>
      <c r="AA125" s="1132"/>
      <c r="AB125" s="1129"/>
      <c r="AC125" s="1130"/>
      <c r="AD125" s="1510"/>
      <c r="AE125" s="1510"/>
      <c r="AF125" s="1131"/>
      <c r="AG125" s="1129"/>
      <c r="AH125" s="1130"/>
      <c r="AI125" s="1130"/>
      <c r="AJ125" s="1130"/>
      <c r="AK125" s="1131"/>
      <c r="AL125" s="1132"/>
      <c r="AM125" s="1509"/>
      <c r="AN125" s="1510"/>
      <c r="AO125" s="1510"/>
      <c r="AP125" s="1510"/>
      <c r="AQ125" s="1511"/>
      <c r="AR125" s="1509"/>
      <c r="AS125" s="1510"/>
      <c r="AT125" s="1510"/>
      <c r="AU125" s="1510"/>
      <c r="AV125" s="1511"/>
      <c r="AW125" s="1133"/>
      <c r="AX125" s="1492">
        <f t="shared" ref="AX125:AX141" si="127">+Q125-AB125-AM125</f>
        <v>0</v>
      </c>
      <c r="AY125" s="1490">
        <f t="shared" ref="AY125:AY141" si="128">+R125-AC125-AN125</f>
        <v>0</v>
      </c>
      <c r="AZ125" s="1490">
        <f t="shared" ref="AZ125:AZ141" si="129">+S125-AD125-AO125</f>
        <v>0</v>
      </c>
      <c r="BA125" s="1490">
        <f t="shared" ref="BA125:BA141" si="130">+T125-AE125-AP125</f>
        <v>0</v>
      </c>
      <c r="BB125" s="1491">
        <f t="shared" ref="BB125:BB141" si="131">+U125-AF125-AQ125</f>
        <v>0</v>
      </c>
      <c r="BC125" s="1492">
        <f t="shared" ref="BC125:BC141" si="132">+V125-AG125-AR125</f>
        <v>0</v>
      </c>
      <c r="BD125" s="1490">
        <f t="shared" ref="BD125:BD141" si="133">+W125-AH125-AS125</f>
        <v>0</v>
      </c>
      <c r="BE125" s="1490">
        <f t="shared" ref="BE125:BE141" si="134">+X125-AI125-AT125</f>
        <v>0</v>
      </c>
      <c r="BF125" s="1490">
        <f t="shared" si="105"/>
        <v>0</v>
      </c>
      <c r="BG125" s="1491">
        <f t="shared" si="106"/>
        <v>0</v>
      </c>
      <c r="BH125" s="1133"/>
      <c r="BI125" s="1492">
        <f t="shared" ca="1" si="107"/>
        <v>0</v>
      </c>
      <c r="BJ125" s="1490">
        <f t="shared" ca="1" si="108"/>
        <v>0</v>
      </c>
      <c r="BK125" s="1490">
        <f t="shared" ca="1" si="109"/>
        <v>0</v>
      </c>
      <c r="BL125" s="1490">
        <f t="shared" ca="1" si="110"/>
        <v>0</v>
      </c>
      <c r="BM125" s="1491">
        <f t="shared" ca="1" si="111"/>
        <v>0</v>
      </c>
      <c r="BN125" s="1492">
        <f t="shared" ca="1" si="112"/>
        <v>0</v>
      </c>
      <c r="BO125" s="1490">
        <f t="shared" ca="1" si="113"/>
        <v>0</v>
      </c>
      <c r="BP125" s="1490">
        <f t="shared" ca="1" si="114"/>
        <v>0</v>
      </c>
      <c r="BQ125" s="1490">
        <f t="shared" ca="1" si="115"/>
        <v>0</v>
      </c>
      <c r="BR125" s="1491">
        <f t="shared" ca="1" si="116"/>
        <v>0</v>
      </c>
      <c r="BS125" s="1133"/>
      <c r="BT125" s="1492">
        <f>+IF($K125="Ongoing",AX125,IF(RIGHT($K125,2)=RIGHT(BT$39,2),SUM($AX125:AX125),0)+IF(RIGHT(BT$39,2)&gt;RIGHT($K125,2),AX125,0))</f>
        <v>0</v>
      </c>
      <c r="BU125" s="1490">
        <f>+IF($K125="Ongoing",AY125,IF(RIGHT($K125,2)=RIGHT(BU$39,2),SUM($AX125:AY125),0)+IF(RIGHT(BU$39,2)&gt;RIGHT($K125,2),AY125,0))</f>
        <v>0</v>
      </c>
      <c r="BV125" s="1490">
        <f>+IF($K125="Ongoing",AZ125,IF(RIGHT($K125,2)=RIGHT(BV$39,2),SUM($AX125:AZ125),0)+IF(RIGHT(BV$39,2)&gt;RIGHT($K125,2),AZ125,0))</f>
        <v>0</v>
      </c>
      <c r="BW125" s="1490">
        <f>+IF($K125="Ongoing",BA125,IF(RIGHT($K125,2)=RIGHT(BW$39,2),SUM($AX125:BA125),0)+IF(RIGHT(BW$39,2)&gt;RIGHT($K125,2),BA125,0))</f>
        <v>0</v>
      </c>
      <c r="BX125" s="1491">
        <f>+IF($K125="Ongoing",BB125,IF(RIGHT($K125,2)=RIGHT(BX$39,2),SUM($AX125:BB125),0)+IF(RIGHT(BX$39,2)&gt;RIGHT($K125,2),BB125,0))</f>
        <v>0</v>
      </c>
      <c r="BY125" s="1492">
        <f>+IF($K125="Ongoing",BC125,IF(RIGHT($K125,2)=RIGHT(BY$39,2),SUM($AX125:BC125),0)+IF(RIGHT(BY$39,2)&gt;RIGHT($K125,2),BC125,0))</f>
        <v>0</v>
      </c>
      <c r="BZ125" s="1490">
        <f>+IF($K125="Ongoing",BD125,IF(RIGHT($K125,2)=RIGHT(BZ$39,2),SUM($AX125:BD125),0)+IF(RIGHT(BZ$39,2)&gt;RIGHT($K125,2),BD125,0))</f>
        <v>0</v>
      </c>
      <c r="CA125" s="1490">
        <f>+IF($K125="Ongoing",BE125,IF(RIGHT($K125,2)=RIGHT(CA$39,2),SUM($AX125:BE125),0)+IF(RIGHT(CA$39,2)&gt;RIGHT($K125,2),BE125,0))</f>
        <v>0</v>
      </c>
      <c r="CB125" s="1490">
        <f>+IF($K125="Ongoing",BF125,IF(RIGHT($K125,2)=RIGHT(CB$39,2),SUM($AX125:BF125),0)+IF(RIGHT(CB$39,2)&gt;RIGHT($K125,2),BF125,0))</f>
        <v>0</v>
      </c>
      <c r="CC125" s="1491">
        <f>+IF($K125="Ongoing",BG125,IF(RIGHT($K125,2)=RIGHT(CC$39,2),SUM($AX125:BG125),0)+IF(RIGHT(CC$39,2)&gt;RIGHT($K125,2),BG125,0))</f>
        <v>0</v>
      </c>
      <c r="CD125" s="1133"/>
      <c r="CE125" s="1492">
        <f>+Q125*KeyAssumptionsPriceControl_FO!AC$15</f>
        <v>0</v>
      </c>
      <c r="CF125" s="1490">
        <f>+R125*KeyAssumptionsPriceControl_FO!AD$15</f>
        <v>0</v>
      </c>
      <c r="CG125" s="1490">
        <f>+S125*KeyAssumptionsPriceControl_FO!AE$15</f>
        <v>0</v>
      </c>
      <c r="CH125" s="1490">
        <f>+T125*KeyAssumptionsPriceControl_FO!AF$15</f>
        <v>0</v>
      </c>
      <c r="CI125" s="1491">
        <f>+U125*KeyAssumptionsPriceControl_FO!AG$15</f>
        <v>0</v>
      </c>
      <c r="CJ125" s="1492">
        <f>+V125*KeyAssumptionsPriceControl_FO!AH$15</f>
        <v>0</v>
      </c>
      <c r="CK125" s="1490">
        <f>+W125*KeyAssumptionsPriceControl_FO!AI$15</f>
        <v>0</v>
      </c>
      <c r="CL125" s="1490">
        <f>+X125*KeyAssumptionsPriceControl_FO!AJ$15</f>
        <v>0</v>
      </c>
      <c r="CM125" s="1490">
        <f>+Y125*KeyAssumptionsPriceControl_FO!AK$15</f>
        <v>0</v>
      </c>
      <c r="CN125" s="1491">
        <f>+Z125*KeyAssumptionsPriceControl_FO!AL$15</f>
        <v>0</v>
      </c>
      <c r="CO125" s="1133"/>
      <c r="CP125" s="1492">
        <f t="shared" ca="1" si="117"/>
        <v>0</v>
      </c>
      <c r="CQ125" s="1490">
        <f t="shared" ca="1" si="118"/>
        <v>0</v>
      </c>
      <c r="CR125" s="1490">
        <f t="shared" ca="1" si="119"/>
        <v>0</v>
      </c>
      <c r="CS125" s="1490">
        <f t="shared" ca="1" si="120"/>
        <v>0</v>
      </c>
      <c r="CT125" s="1491">
        <f t="shared" ca="1" si="121"/>
        <v>0</v>
      </c>
      <c r="CU125" s="1492">
        <f t="shared" ca="1" si="122"/>
        <v>0</v>
      </c>
      <c r="CV125" s="1490">
        <f t="shared" ca="1" si="123"/>
        <v>0</v>
      </c>
      <c r="CW125" s="1490">
        <f t="shared" ca="1" si="124"/>
        <v>0</v>
      </c>
      <c r="CX125" s="1490">
        <f t="shared" ca="1" si="125"/>
        <v>0</v>
      </c>
      <c r="CY125" s="1491">
        <f t="shared" ca="1" si="126"/>
        <v>0</v>
      </c>
    </row>
    <row r="126" spans="2:103" x14ac:dyDescent="0.3">
      <c r="B126" s="397"/>
      <c r="C126" s="1294" t="s">
        <v>1176</v>
      </c>
      <c r="D126" s="1295"/>
      <c r="E126" s="2097" t="s">
        <v>21</v>
      </c>
      <c r="F126" s="2097" t="s">
        <v>239</v>
      </c>
      <c r="G126" s="1294" t="s">
        <v>14</v>
      </c>
      <c r="H126" s="2349" t="s">
        <v>516</v>
      </c>
      <c r="I126" s="2350"/>
      <c r="J126" s="1292" t="s">
        <v>279</v>
      </c>
      <c r="K126" s="1292" t="s">
        <v>296</v>
      </c>
      <c r="L126" s="1292">
        <v>60</v>
      </c>
      <c r="M126" s="1292">
        <v>60</v>
      </c>
      <c r="O126" s="376"/>
      <c r="P126" s="376"/>
      <c r="Q126" s="2337">
        <v>0</v>
      </c>
      <c r="R126" s="2343">
        <v>0</v>
      </c>
      <c r="S126" s="2338">
        <v>0</v>
      </c>
      <c r="T126" s="2338">
        <v>0</v>
      </c>
      <c r="U126" s="2344">
        <v>0</v>
      </c>
      <c r="V126" s="2345">
        <v>0</v>
      </c>
      <c r="W126" s="2343">
        <v>0</v>
      </c>
      <c r="X126" s="2343">
        <v>0</v>
      </c>
      <c r="Y126" s="2343">
        <v>0</v>
      </c>
      <c r="Z126" s="2344">
        <v>0</v>
      </c>
      <c r="AA126" s="1132"/>
      <c r="AB126" s="1129"/>
      <c r="AC126" s="1130"/>
      <c r="AD126" s="1510"/>
      <c r="AE126" s="1510"/>
      <c r="AF126" s="1131"/>
      <c r="AG126" s="1129"/>
      <c r="AH126" s="1130"/>
      <c r="AI126" s="1130"/>
      <c r="AJ126" s="1130"/>
      <c r="AK126" s="1131"/>
      <c r="AL126" s="1132"/>
      <c r="AM126" s="1509"/>
      <c r="AN126" s="1510"/>
      <c r="AO126" s="1510"/>
      <c r="AP126" s="1510"/>
      <c r="AQ126" s="1511"/>
      <c r="AR126" s="1509"/>
      <c r="AS126" s="1510"/>
      <c r="AT126" s="1510"/>
      <c r="AU126" s="1510"/>
      <c r="AV126" s="1511"/>
      <c r="AW126" s="1133"/>
      <c r="AX126" s="1492">
        <f t="shared" si="127"/>
        <v>0</v>
      </c>
      <c r="AY126" s="1490">
        <f t="shared" si="128"/>
        <v>0</v>
      </c>
      <c r="AZ126" s="1490">
        <f t="shared" si="129"/>
        <v>0</v>
      </c>
      <c r="BA126" s="1490">
        <f t="shared" si="130"/>
        <v>0</v>
      </c>
      <c r="BB126" s="1491">
        <f t="shared" si="131"/>
        <v>0</v>
      </c>
      <c r="BC126" s="1492">
        <f t="shared" si="132"/>
        <v>0</v>
      </c>
      <c r="BD126" s="1490">
        <f t="shared" si="133"/>
        <v>0</v>
      </c>
      <c r="BE126" s="1490">
        <f t="shared" si="134"/>
        <v>0</v>
      </c>
      <c r="BF126" s="1490">
        <f t="shared" si="105"/>
        <v>0</v>
      </c>
      <c r="BG126" s="1491">
        <f t="shared" si="106"/>
        <v>0</v>
      </c>
      <c r="BH126" s="1133"/>
      <c r="BI126" s="1492">
        <f t="shared" ca="1" si="107"/>
        <v>0</v>
      </c>
      <c r="BJ126" s="1490">
        <f t="shared" ca="1" si="108"/>
        <v>0</v>
      </c>
      <c r="BK126" s="1490">
        <f t="shared" ca="1" si="109"/>
        <v>0</v>
      </c>
      <c r="BL126" s="1490">
        <f t="shared" ca="1" si="110"/>
        <v>0</v>
      </c>
      <c r="BM126" s="1491">
        <f t="shared" ca="1" si="111"/>
        <v>0</v>
      </c>
      <c r="BN126" s="1492">
        <f t="shared" ca="1" si="112"/>
        <v>0</v>
      </c>
      <c r="BO126" s="1490">
        <f t="shared" ca="1" si="113"/>
        <v>0</v>
      </c>
      <c r="BP126" s="1490">
        <f t="shared" ca="1" si="114"/>
        <v>0</v>
      </c>
      <c r="BQ126" s="1490">
        <f t="shared" ca="1" si="115"/>
        <v>0</v>
      </c>
      <c r="BR126" s="1491">
        <f t="shared" ca="1" si="116"/>
        <v>0</v>
      </c>
      <c r="BS126" s="1133"/>
      <c r="BT126" s="1492">
        <f>+IF($K126="Ongoing",AX126,IF(RIGHT($K126,2)=RIGHT(BT$39,2),SUM($AX126:AX126),0)+IF(RIGHT(BT$39,2)&gt;RIGHT($K126,2),AX126,0))</f>
        <v>0</v>
      </c>
      <c r="BU126" s="1490">
        <f>+IF($K126="Ongoing",AY126,IF(RIGHT($K126,2)=RIGHT(BU$39,2),SUM($AX126:AY126),0)+IF(RIGHT(BU$39,2)&gt;RIGHT($K126,2),AY126,0))</f>
        <v>0</v>
      </c>
      <c r="BV126" s="1490">
        <f>+IF($K126="Ongoing",AZ126,IF(RIGHT($K126,2)=RIGHT(BV$39,2),SUM($AX126:AZ126),0)+IF(RIGHT(BV$39,2)&gt;RIGHT($K126,2),AZ126,0))</f>
        <v>0</v>
      </c>
      <c r="BW126" s="1490">
        <f>+IF($K126="Ongoing",BA126,IF(RIGHT($K126,2)=RIGHT(BW$39,2),SUM($AX126:BA126),0)+IF(RIGHT(BW$39,2)&gt;RIGHT($K126,2),BA126,0))</f>
        <v>0</v>
      </c>
      <c r="BX126" s="1491">
        <f>+IF($K126="Ongoing",BB126,IF(RIGHT($K126,2)=RIGHT(BX$39,2),SUM($AX126:BB126),0)+IF(RIGHT(BX$39,2)&gt;RIGHT($K126,2),BB126,0))</f>
        <v>0</v>
      </c>
      <c r="BY126" s="1492">
        <f>+IF($K126="Ongoing",BC126,IF(RIGHT($K126,2)=RIGHT(BY$39,2),SUM($AX126:BC126),0)+IF(RIGHT(BY$39,2)&gt;RIGHT($K126,2),BC126,0))</f>
        <v>0</v>
      </c>
      <c r="BZ126" s="1490">
        <f>+IF($K126="Ongoing",BD126,IF(RIGHT($K126,2)=RIGHT(BZ$39,2),SUM($AX126:BD126),0)+IF(RIGHT(BZ$39,2)&gt;RIGHT($K126,2),BD126,0))</f>
        <v>0</v>
      </c>
      <c r="CA126" s="1490">
        <f>+IF($K126="Ongoing",BE126,IF(RIGHT($K126,2)=RIGHT(CA$39,2),SUM($AX126:BE126),0)+IF(RIGHT(CA$39,2)&gt;RIGHT($K126,2),BE126,0))</f>
        <v>0</v>
      </c>
      <c r="CB126" s="1490">
        <f>+IF($K126="Ongoing",BF126,IF(RIGHT($K126,2)=RIGHT(CB$39,2),SUM($AX126:BF126),0)+IF(RIGHT(CB$39,2)&gt;RIGHT($K126,2),BF126,0))</f>
        <v>0</v>
      </c>
      <c r="CC126" s="1491">
        <f>+IF($K126="Ongoing",BG126,IF(RIGHT($K126,2)=RIGHT(CC$39,2),SUM($AX126:BG126),0)+IF(RIGHT(CC$39,2)&gt;RIGHT($K126,2),BG126,0))</f>
        <v>0</v>
      </c>
      <c r="CD126" s="1133"/>
      <c r="CE126" s="1492">
        <f>+Q126*KeyAssumptionsPriceControl_FO!AC$15</f>
        <v>0</v>
      </c>
      <c r="CF126" s="1490">
        <f>+R126*KeyAssumptionsPriceControl_FO!AD$15</f>
        <v>0</v>
      </c>
      <c r="CG126" s="1490">
        <f>+S126*KeyAssumptionsPriceControl_FO!AE$15</f>
        <v>0</v>
      </c>
      <c r="CH126" s="1490">
        <f>+T126*KeyAssumptionsPriceControl_FO!AF$15</f>
        <v>0</v>
      </c>
      <c r="CI126" s="1491">
        <f>+U126*KeyAssumptionsPriceControl_FO!AG$15</f>
        <v>0</v>
      </c>
      <c r="CJ126" s="1492">
        <f>+V126*KeyAssumptionsPriceControl_FO!AH$15</f>
        <v>0</v>
      </c>
      <c r="CK126" s="1490">
        <f>+W126*KeyAssumptionsPriceControl_FO!AI$15</f>
        <v>0</v>
      </c>
      <c r="CL126" s="1490">
        <f>+X126*KeyAssumptionsPriceControl_FO!AJ$15</f>
        <v>0</v>
      </c>
      <c r="CM126" s="1490">
        <f>+Y126*KeyAssumptionsPriceControl_FO!AK$15</f>
        <v>0</v>
      </c>
      <c r="CN126" s="1491">
        <f>+Z126*KeyAssumptionsPriceControl_FO!AL$15</f>
        <v>0</v>
      </c>
      <c r="CO126" s="1133"/>
      <c r="CP126" s="1492">
        <f t="shared" ca="1" si="117"/>
        <v>0</v>
      </c>
      <c r="CQ126" s="1490">
        <f t="shared" ca="1" si="118"/>
        <v>0</v>
      </c>
      <c r="CR126" s="1490">
        <f t="shared" ca="1" si="119"/>
        <v>0</v>
      </c>
      <c r="CS126" s="1490">
        <f t="shared" ca="1" si="120"/>
        <v>0</v>
      </c>
      <c r="CT126" s="1491">
        <f t="shared" ca="1" si="121"/>
        <v>0</v>
      </c>
      <c r="CU126" s="1492">
        <f t="shared" ca="1" si="122"/>
        <v>0</v>
      </c>
      <c r="CV126" s="1490">
        <f t="shared" ca="1" si="123"/>
        <v>0</v>
      </c>
      <c r="CW126" s="1490">
        <f t="shared" ca="1" si="124"/>
        <v>0</v>
      </c>
      <c r="CX126" s="1490">
        <f t="shared" ca="1" si="125"/>
        <v>0</v>
      </c>
      <c r="CY126" s="1491">
        <f t="shared" ca="1" si="126"/>
        <v>0</v>
      </c>
    </row>
    <row r="127" spans="2:103" x14ac:dyDescent="0.3">
      <c r="B127" s="397"/>
      <c r="C127" s="1294" t="s">
        <v>1048</v>
      </c>
      <c r="D127" s="1295"/>
      <c r="E127" s="2097" t="s">
        <v>28</v>
      </c>
      <c r="F127" s="2097" t="s">
        <v>570</v>
      </c>
      <c r="G127" s="1294" t="s">
        <v>559</v>
      </c>
      <c r="H127" s="2099" t="s">
        <v>529</v>
      </c>
      <c r="I127" s="2100"/>
      <c r="J127" s="1292" t="s">
        <v>279</v>
      </c>
      <c r="K127" s="1292" t="s">
        <v>295</v>
      </c>
      <c r="L127" s="1292"/>
      <c r="M127" s="1292"/>
      <c r="O127" s="376"/>
      <c r="P127" s="376"/>
      <c r="Q127" s="1509"/>
      <c r="R127" s="1130"/>
      <c r="S127" s="1510"/>
      <c r="T127" s="1510"/>
      <c r="U127" s="1131"/>
      <c r="V127" s="1129"/>
      <c r="W127" s="1130"/>
      <c r="X127" s="1130"/>
      <c r="Y127" s="1130"/>
      <c r="Z127" s="1131"/>
      <c r="AA127" s="1132"/>
      <c r="AB127" s="1129"/>
      <c r="AC127" s="1130"/>
      <c r="AD127" s="1510"/>
      <c r="AE127" s="1130"/>
      <c r="AF127" s="1131"/>
      <c r="AG127" s="1129"/>
      <c r="AH127" s="1130"/>
      <c r="AI127" s="1130"/>
      <c r="AJ127" s="1130"/>
      <c r="AK127" s="1131"/>
      <c r="AL127" s="1132"/>
      <c r="AM127" s="1129"/>
      <c r="AN127" s="1130"/>
      <c r="AO127" s="1130"/>
      <c r="AP127" s="1510"/>
      <c r="AQ127" s="1131"/>
      <c r="AR127" s="1129"/>
      <c r="AS127" s="1130"/>
      <c r="AT127" s="1130"/>
      <c r="AU127" s="1130"/>
      <c r="AV127" s="1131"/>
      <c r="AW127" s="1133"/>
      <c r="AX127" s="1492">
        <f t="shared" si="127"/>
        <v>0</v>
      </c>
      <c r="AY127" s="1490">
        <f t="shared" si="128"/>
        <v>0</v>
      </c>
      <c r="AZ127" s="1490">
        <f t="shared" si="129"/>
        <v>0</v>
      </c>
      <c r="BA127" s="1490">
        <f t="shared" si="130"/>
        <v>0</v>
      </c>
      <c r="BB127" s="1491">
        <f t="shared" si="131"/>
        <v>0</v>
      </c>
      <c r="BC127" s="1492">
        <f t="shared" si="132"/>
        <v>0</v>
      </c>
      <c r="BD127" s="1490">
        <f t="shared" si="133"/>
        <v>0</v>
      </c>
      <c r="BE127" s="1490">
        <f t="shared" si="134"/>
        <v>0</v>
      </c>
      <c r="BF127" s="1490">
        <f t="shared" si="105"/>
        <v>0</v>
      </c>
      <c r="BG127" s="1491">
        <f t="shared" si="106"/>
        <v>0</v>
      </c>
      <c r="BH127" s="1133"/>
      <c r="BI127" s="1492">
        <f t="shared" ca="1" si="107"/>
        <v>0</v>
      </c>
      <c r="BJ127" s="1490">
        <f t="shared" ca="1" si="108"/>
        <v>0</v>
      </c>
      <c r="BK127" s="1490">
        <f t="shared" ca="1" si="109"/>
        <v>0</v>
      </c>
      <c r="BL127" s="1490">
        <f t="shared" ca="1" si="110"/>
        <v>0</v>
      </c>
      <c r="BM127" s="1491">
        <f t="shared" ca="1" si="111"/>
        <v>0</v>
      </c>
      <c r="BN127" s="1492">
        <f t="shared" ca="1" si="112"/>
        <v>0</v>
      </c>
      <c r="BO127" s="1490">
        <f t="shared" ca="1" si="113"/>
        <v>0</v>
      </c>
      <c r="BP127" s="1490">
        <f t="shared" ca="1" si="114"/>
        <v>0</v>
      </c>
      <c r="BQ127" s="1490">
        <f t="shared" ca="1" si="115"/>
        <v>0</v>
      </c>
      <c r="BR127" s="1491">
        <f t="shared" ca="1" si="116"/>
        <v>0</v>
      </c>
      <c r="BS127" s="1133"/>
      <c r="BT127" s="1492">
        <f>+IF($K127="Ongoing",AX127,IF(RIGHT($K127,2)=RIGHT(BT$39,2),SUM($AX127:AX127),0)+IF(RIGHT(BT$39,2)&gt;RIGHT($K127,2),AX127,0))</f>
        <v>0</v>
      </c>
      <c r="BU127" s="1490">
        <f>+IF($K127="Ongoing",AY127,IF(RIGHT($K127,2)=RIGHT(BU$39,2),SUM($AX127:AY127),0)+IF(RIGHT(BU$39,2)&gt;RIGHT($K127,2),AY127,0))</f>
        <v>0</v>
      </c>
      <c r="BV127" s="1490">
        <f>+IF($K127="Ongoing",AZ127,IF(RIGHT($K127,2)=RIGHT(BV$39,2),SUM($AX127:AZ127),0)+IF(RIGHT(BV$39,2)&gt;RIGHT($K127,2),AZ127,0))</f>
        <v>0</v>
      </c>
      <c r="BW127" s="1490">
        <f>+IF($K127="Ongoing",BA127,IF(RIGHT($K127,2)=RIGHT(BW$39,2),SUM($AX127:BA127),0)+IF(RIGHT(BW$39,2)&gt;RIGHT($K127,2),BA127,0))</f>
        <v>0</v>
      </c>
      <c r="BX127" s="1491">
        <f>+IF($K127="Ongoing",BB127,IF(RIGHT($K127,2)=RIGHT(BX$39,2),SUM($AX127:BB127),0)+IF(RIGHT(BX$39,2)&gt;RIGHT($K127,2),BB127,0))</f>
        <v>0</v>
      </c>
      <c r="BY127" s="1492">
        <f>+IF($K127="Ongoing",BC127,IF(RIGHT($K127,2)=RIGHT(BY$39,2),SUM($AX127:BC127),0)+IF(RIGHT(BY$39,2)&gt;RIGHT($K127,2),BC127,0))</f>
        <v>0</v>
      </c>
      <c r="BZ127" s="1490">
        <f>+IF($K127="Ongoing",BD127,IF(RIGHT($K127,2)=RIGHT(BZ$39,2),SUM($AX127:BD127),0)+IF(RIGHT(BZ$39,2)&gt;RIGHT($K127,2),BD127,0))</f>
        <v>0</v>
      </c>
      <c r="CA127" s="1490">
        <f>+IF($K127="Ongoing",BE127,IF(RIGHT($K127,2)=RIGHT(CA$39,2),SUM($AX127:BE127),0)+IF(RIGHT(CA$39,2)&gt;RIGHT($K127,2),BE127,0))</f>
        <v>0</v>
      </c>
      <c r="CB127" s="1490">
        <f>+IF($K127="Ongoing",BF127,IF(RIGHT($K127,2)=RIGHT(CB$39,2),SUM($AX127:BF127),0)+IF(RIGHT(CB$39,2)&gt;RIGHT($K127,2),BF127,0))</f>
        <v>0</v>
      </c>
      <c r="CC127" s="1491">
        <f>+IF($K127="Ongoing",BG127,IF(RIGHT($K127,2)=RIGHT(CC$39,2),SUM($AX127:BG127),0)+IF(RIGHT(CC$39,2)&gt;RIGHT($K127,2),BG127,0))</f>
        <v>0</v>
      </c>
      <c r="CD127" s="1133"/>
      <c r="CE127" s="1492">
        <f>+Q127*KeyAssumptionsPriceControl_FO!AC$15</f>
        <v>0</v>
      </c>
      <c r="CF127" s="1490">
        <f>+R127*KeyAssumptionsPriceControl_FO!AD$15</f>
        <v>0</v>
      </c>
      <c r="CG127" s="1490">
        <f>+S127*KeyAssumptionsPriceControl_FO!AE$15</f>
        <v>0</v>
      </c>
      <c r="CH127" s="1490">
        <f>+T127*KeyAssumptionsPriceControl_FO!AF$15</f>
        <v>0</v>
      </c>
      <c r="CI127" s="1491">
        <f>+U127*KeyAssumptionsPriceControl_FO!AG$15</f>
        <v>0</v>
      </c>
      <c r="CJ127" s="1492">
        <f>+V127*KeyAssumptionsPriceControl_FO!AH$15</f>
        <v>0</v>
      </c>
      <c r="CK127" s="1490">
        <f>+W127*KeyAssumptionsPriceControl_FO!AI$15</f>
        <v>0</v>
      </c>
      <c r="CL127" s="1490">
        <f>+X127*KeyAssumptionsPriceControl_FO!AJ$15</f>
        <v>0</v>
      </c>
      <c r="CM127" s="1490">
        <f>+Y127*KeyAssumptionsPriceControl_FO!AK$15</f>
        <v>0</v>
      </c>
      <c r="CN127" s="1491">
        <f>+Z127*KeyAssumptionsPriceControl_FO!AL$15</f>
        <v>0</v>
      </c>
      <c r="CO127" s="1133"/>
      <c r="CP127" s="1492">
        <f t="shared" ca="1" si="117"/>
        <v>0</v>
      </c>
      <c r="CQ127" s="1490">
        <f t="shared" ca="1" si="118"/>
        <v>0</v>
      </c>
      <c r="CR127" s="1490">
        <f t="shared" ca="1" si="119"/>
        <v>0</v>
      </c>
      <c r="CS127" s="1490">
        <f t="shared" ca="1" si="120"/>
        <v>0</v>
      </c>
      <c r="CT127" s="1491">
        <f t="shared" ca="1" si="121"/>
        <v>0</v>
      </c>
      <c r="CU127" s="1492">
        <f t="shared" ca="1" si="122"/>
        <v>0</v>
      </c>
      <c r="CV127" s="1490">
        <f t="shared" ca="1" si="123"/>
        <v>0</v>
      </c>
      <c r="CW127" s="1490">
        <f t="shared" ca="1" si="124"/>
        <v>0</v>
      </c>
      <c r="CX127" s="1490">
        <f t="shared" ca="1" si="125"/>
        <v>0</v>
      </c>
      <c r="CY127" s="1491">
        <f t="shared" ca="1" si="126"/>
        <v>0</v>
      </c>
    </row>
    <row r="128" spans="2:103" x14ac:dyDescent="0.3">
      <c r="B128" s="397"/>
      <c r="C128" s="1294" t="s">
        <v>1048</v>
      </c>
      <c r="D128" s="1295"/>
      <c r="E128" s="2097" t="s">
        <v>28</v>
      </c>
      <c r="F128" s="2097" t="s">
        <v>570</v>
      </c>
      <c r="G128" s="1294" t="s">
        <v>559</v>
      </c>
      <c r="H128" s="2099" t="s">
        <v>529</v>
      </c>
      <c r="I128" s="2100"/>
      <c r="J128" s="1292" t="s">
        <v>279</v>
      </c>
      <c r="K128" s="1292" t="s">
        <v>295</v>
      </c>
      <c r="L128" s="1292"/>
      <c r="M128" s="1292"/>
      <c r="O128" s="376"/>
      <c r="P128" s="376"/>
      <c r="Q128" s="1509"/>
      <c r="R128" s="1130"/>
      <c r="S128" s="1510"/>
      <c r="T128" s="1510"/>
      <c r="U128" s="1131"/>
      <c r="V128" s="1129"/>
      <c r="W128" s="1130"/>
      <c r="X128" s="1130"/>
      <c r="Y128" s="1130"/>
      <c r="Z128" s="1131"/>
      <c r="AA128" s="1132"/>
      <c r="AB128" s="1129"/>
      <c r="AC128" s="1130"/>
      <c r="AD128" s="1510"/>
      <c r="AE128" s="1130"/>
      <c r="AF128" s="1131"/>
      <c r="AG128" s="1129"/>
      <c r="AH128" s="1130"/>
      <c r="AI128" s="1130"/>
      <c r="AJ128" s="1130"/>
      <c r="AK128" s="1131"/>
      <c r="AL128" s="1132"/>
      <c r="AM128" s="1129"/>
      <c r="AN128" s="1130"/>
      <c r="AO128" s="1130"/>
      <c r="AP128" s="1510"/>
      <c r="AQ128" s="1131"/>
      <c r="AR128" s="1129"/>
      <c r="AS128" s="1130"/>
      <c r="AT128" s="1130"/>
      <c r="AU128" s="1130"/>
      <c r="AV128" s="1131"/>
      <c r="AW128" s="1133"/>
      <c r="AX128" s="1492">
        <f t="shared" si="127"/>
        <v>0</v>
      </c>
      <c r="AY128" s="1490">
        <f t="shared" si="128"/>
        <v>0</v>
      </c>
      <c r="AZ128" s="1490">
        <f t="shared" si="129"/>
        <v>0</v>
      </c>
      <c r="BA128" s="1490">
        <f t="shared" si="130"/>
        <v>0</v>
      </c>
      <c r="BB128" s="1491">
        <f t="shared" si="131"/>
        <v>0</v>
      </c>
      <c r="BC128" s="1492">
        <f t="shared" si="132"/>
        <v>0</v>
      </c>
      <c r="BD128" s="1490">
        <f t="shared" si="133"/>
        <v>0</v>
      </c>
      <c r="BE128" s="1490">
        <f t="shared" si="134"/>
        <v>0</v>
      </c>
      <c r="BF128" s="1490">
        <f t="shared" si="105"/>
        <v>0</v>
      </c>
      <c r="BG128" s="1491">
        <f t="shared" si="106"/>
        <v>0</v>
      </c>
      <c r="BH128" s="1133"/>
      <c r="BI128" s="1492">
        <f t="shared" ca="1" si="107"/>
        <v>0</v>
      </c>
      <c r="BJ128" s="1490">
        <f t="shared" ca="1" si="108"/>
        <v>0</v>
      </c>
      <c r="BK128" s="1490">
        <f t="shared" ca="1" si="109"/>
        <v>0</v>
      </c>
      <c r="BL128" s="1490">
        <f t="shared" ca="1" si="110"/>
        <v>0</v>
      </c>
      <c r="BM128" s="1491">
        <f t="shared" ca="1" si="111"/>
        <v>0</v>
      </c>
      <c r="BN128" s="1492">
        <f t="shared" ca="1" si="112"/>
        <v>0</v>
      </c>
      <c r="BO128" s="1490">
        <f t="shared" ca="1" si="113"/>
        <v>0</v>
      </c>
      <c r="BP128" s="1490">
        <f t="shared" ca="1" si="114"/>
        <v>0</v>
      </c>
      <c r="BQ128" s="1490">
        <f t="shared" ca="1" si="115"/>
        <v>0</v>
      </c>
      <c r="BR128" s="1491">
        <f t="shared" ca="1" si="116"/>
        <v>0</v>
      </c>
      <c r="BS128" s="1133"/>
      <c r="BT128" s="1492">
        <f>+IF($K128="Ongoing",AX128,IF(RIGHT($K128,2)=RIGHT(BT$39,2),SUM($AX128:AX128),0)+IF(RIGHT(BT$39,2)&gt;RIGHT($K128,2),AX128,0))</f>
        <v>0</v>
      </c>
      <c r="BU128" s="1490">
        <f>+IF($K128="Ongoing",AY128,IF(RIGHT($K128,2)=RIGHT(BU$39,2),SUM($AX128:AY128),0)+IF(RIGHT(BU$39,2)&gt;RIGHT($K128,2),AY128,0))</f>
        <v>0</v>
      </c>
      <c r="BV128" s="1490">
        <f>+IF($K128="Ongoing",AZ128,IF(RIGHT($K128,2)=RIGHT(BV$39,2),SUM($AX128:AZ128),0)+IF(RIGHT(BV$39,2)&gt;RIGHT($K128,2),AZ128,0))</f>
        <v>0</v>
      </c>
      <c r="BW128" s="1490">
        <f>+IF($K128="Ongoing",BA128,IF(RIGHT($K128,2)=RIGHT(BW$39,2),SUM($AX128:BA128),0)+IF(RIGHT(BW$39,2)&gt;RIGHT($K128,2),BA128,0))</f>
        <v>0</v>
      </c>
      <c r="BX128" s="1491">
        <f>+IF($K128="Ongoing",BB128,IF(RIGHT($K128,2)=RIGHT(BX$39,2),SUM($AX128:BB128),0)+IF(RIGHT(BX$39,2)&gt;RIGHT($K128,2),BB128,0))</f>
        <v>0</v>
      </c>
      <c r="BY128" s="1492">
        <f>+IF($K128="Ongoing",BC128,IF(RIGHT($K128,2)=RIGHT(BY$39,2),SUM($AX128:BC128),0)+IF(RIGHT(BY$39,2)&gt;RIGHT($K128,2),BC128,0))</f>
        <v>0</v>
      </c>
      <c r="BZ128" s="1490">
        <f>+IF($K128="Ongoing",BD128,IF(RIGHT($K128,2)=RIGHT(BZ$39,2),SUM($AX128:BD128),0)+IF(RIGHT(BZ$39,2)&gt;RIGHT($K128,2),BD128,0))</f>
        <v>0</v>
      </c>
      <c r="CA128" s="1490">
        <f>+IF($K128="Ongoing",BE128,IF(RIGHT($K128,2)=RIGHT(CA$39,2),SUM($AX128:BE128),0)+IF(RIGHT(CA$39,2)&gt;RIGHT($K128,2),BE128,0))</f>
        <v>0</v>
      </c>
      <c r="CB128" s="1490">
        <f>+IF($K128="Ongoing",BF128,IF(RIGHT($K128,2)=RIGHT(CB$39,2),SUM($AX128:BF128),0)+IF(RIGHT(CB$39,2)&gt;RIGHT($K128,2),BF128,0))</f>
        <v>0</v>
      </c>
      <c r="CC128" s="1491">
        <f>+IF($K128="Ongoing",BG128,IF(RIGHT($K128,2)=RIGHT(CC$39,2),SUM($AX128:BG128),0)+IF(RIGHT(CC$39,2)&gt;RIGHT($K128,2),BG128,0))</f>
        <v>0</v>
      </c>
      <c r="CD128" s="1133"/>
      <c r="CE128" s="1492">
        <f>+Q128*KeyAssumptionsPriceControl_FO!AC$15</f>
        <v>0</v>
      </c>
      <c r="CF128" s="1490">
        <f>+R128*KeyAssumptionsPriceControl_FO!AD$15</f>
        <v>0</v>
      </c>
      <c r="CG128" s="1490">
        <f>+S128*KeyAssumptionsPriceControl_FO!AE$15</f>
        <v>0</v>
      </c>
      <c r="CH128" s="1490">
        <f>+T128*KeyAssumptionsPriceControl_FO!AF$15</f>
        <v>0</v>
      </c>
      <c r="CI128" s="1491">
        <f>+U128*KeyAssumptionsPriceControl_FO!AG$15</f>
        <v>0</v>
      </c>
      <c r="CJ128" s="1492">
        <f>+V128*KeyAssumptionsPriceControl_FO!AH$15</f>
        <v>0</v>
      </c>
      <c r="CK128" s="1490">
        <f>+W128*KeyAssumptionsPriceControl_FO!AI$15</f>
        <v>0</v>
      </c>
      <c r="CL128" s="1490">
        <f>+X128*KeyAssumptionsPriceControl_FO!AJ$15</f>
        <v>0</v>
      </c>
      <c r="CM128" s="1490">
        <f>+Y128*KeyAssumptionsPriceControl_FO!AK$15</f>
        <v>0</v>
      </c>
      <c r="CN128" s="1491">
        <f>+Z128*KeyAssumptionsPriceControl_FO!AL$15</f>
        <v>0</v>
      </c>
      <c r="CO128" s="1133"/>
      <c r="CP128" s="1492">
        <f t="shared" ca="1" si="117"/>
        <v>0</v>
      </c>
      <c r="CQ128" s="1490">
        <f t="shared" ca="1" si="118"/>
        <v>0</v>
      </c>
      <c r="CR128" s="1490">
        <f t="shared" ca="1" si="119"/>
        <v>0</v>
      </c>
      <c r="CS128" s="1490">
        <f t="shared" ca="1" si="120"/>
        <v>0</v>
      </c>
      <c r="CT128" s="1491">
        <f t="shared" ca="1" si="121"/>
        <v>0</v>
      </c>
      <c r="CU128" s="1492">
        <f t="shared" ca="1" si="122"/>
        <v>0</v>
      </c>
      <c r="CV128" s="1490">
        <f t="shared" ca="1" si="123"/>
        <v>0</v>
      </c>
      <c r="CW128" s="1490">
        <f t="shared" ca="1" si="124"/>
        <v>0</v>
      </c>
      <c r="CX128" s="1490">
        <f t="shared" ca="1" si="125"/>
        <v>0</v>
      </c>
      <c r="CY128" s="1491">
        <f t="shared" ca="1" si="126"/>
        <v>0</v>
      </c>
    </row>
    <row r="129" spans="2:103" x14ac:dyDescent="0.3">
      <c r="B129" s="397"/>
      <c r="C129" s="1294" t="s">
        <v>1048</v>
      </c>
      <c r="D129" s="1295"/>
      <c r="E129" s="2097" t="s">
        <v>28</v>
      </c>
      <c r="F129" s="2097" t="s">
        <v>570</v>
      </c>
      <c r="G129" s="1294" t="s">
        <v>559</v>
      </c>
      <c r="H129" s="2099" t="s">
        <v>529</v>
      </c>
      <c r="I129" s="2100"/>
      <c r="J129" s="1292" t="s">
        <v>279</v>
      </c>
      <c r="K129" s="1292" t="s">
        <v>295</v>
      </c>
      <c r="L129" s="1292"/>
      <c r="M129" s="1292"/>
      <c r="O129" s="376"/>
      <c r="P129" s="376"/>
      <c r="Q129" s="1509"/>
      <c r="R129" s="1130"/>
      <c r="S129" s="1510"/>
      <c r="T129" s="1510"/>
      <c r="U129" s="1131"/>
      <c r="V129" s="1129"/>
      <c r="W129" s="1130"/>
      <c r="X129" s="1130"/>
      <c r="Y129" s="1130"/>
      <c r="Z129" s="1131"/>
      <c r="AA129" s="1132"/>
      <c r="AB129" s="1129"/>
      <c r="AC129" s="1130"/>
      <c r="AD129" s="1510"/>
      <c r="AE129" s="1130"/>
      <c r="AF129" s="1131"/>
      <c r="AG129" s="1129"/>
      <c r="AH129" s="1130"/>
      <c r="AI129" s="1130"/>
      <c r="AJ129" s="1130"/>
      <c r="AK129" s="1131"/>
      <c r="AL129" s="1132"/>
      <c r="AM129" s="1129"/>
      <c r="AN129" s="1130"/>
      <c r="AO129" s="1130"/>
      <c r="AP129" s="1510"/>
      <c r="AQ129" s="1131"/>
      <c r="AR129" s="1129"/>
      <c r="AS129" s="1130"/>
      <c r="AT129" s="1130"/>
      <c r="AU129" s="1130"/>
      <c r="AV129" s="1131"/>
      <c r="AW129" s="1133"/>
      <c r="AX129" s="1492">
        <f t="shared" si="127"/>
        <v>0</v>
      </c>
      <c r="AY129" s="1490">
        <f t="shared" si="128"/>
        <v>0</v>
      </c>
      <c r="AZ129" s="1490">
        <f t="shared" si="129"/>
        <v>0</v>
      </c>
      <c r="BA129" s="1490">
        <f t="shared" si="130"/>
        <v>0</v>
      </c>
      <c r="BB129" s="1491">
        <f t="shared" si="131"/>
        <v>0</v>
      </c>
      <c r="BC129" s="1492">
        <f t="shared" si="132"/>
        <v>0</v>
      </c>
      <c r="BD129" s="1490">
        <f t="shared" si="133"/>
        <v>0</v>
      </c>
      <c r="BE129" s="1490">
        <f t="shared" si="134"/>
        <v>0</v>
      </c>
      <c r="BF129" s="1490">
        <f t="shared" si="105"/>
        <v>0</v>
      </c>
      <c r="BG129" s="1491">
        <f t="shared" si="106"/>
        <v>0</v>
      </c>
      <c r="BH129" s="1133"/>
      <c r="BI129" s="1492">
        <f t="shared" ca="1" si="107"/>
        <v>0</v>
      </c>
      <c r="BJ129" s="1490">
        <f t="shared" ca="1" si="108"/>
        <v>0</v>
      </c>
      <c r="BK129" s="1490">
        <f t="shared" ca="1" si="109"/>
        <v>0</v>
      </c>
      <c r="BL129" s="1490">
        <f t="shared" ca="1" si="110"/>
        <v>0</v>
      </c>
      <c r="BM129" s="1491">
        <f t="shared" ca="1" si="111"/>
        <v>0</v>
      </c>
      <c r="BN129" s="1492">
        <f t="shared" ca="1" si="112"/>
        <v>0</v>
      </c>
      <c r="BO129" s="1490">
        <f t="shared" ca="1" si="113"/>
        <v>0</v>
      </c>
      <c r="BP129" s="1490">
        <f t="shared" ca="1" si="114"/>
        <v>0</v>
      </c>
      <c r="BQ129" s="1490">
        <f t="shared" ca="1" si="115"/>
        <v>0</v>
      </c>
      <c r="BR129" s="1491">
        <f t="shared" ca="1" si="116"/>
        <v>0</v>
      </c>
      <c r="BS129" s="1133"/>
      <c r="BT129" s="1492">
        <f>+IF($K129="Ongoing",AX129,IF(RIGHT($K129,2)=RIGHT(BT$39,2),SUM($AX129:AX129),0)+IF(RIGHT(BT$39,2)&gt;RIGHT($K129,2),AX129,0))</f>
        <v>0</v>
      </c>
      <c r="BU129" s="1490">
        <f>+IF($K129="Ongoing",AY129,IF(RIGHT($K129,2)=RIGHT(BU$39,2),SUM($AX129:AY129),0)+IF(RIGHT(BU$39,2)&gt;RIGHT($K129,2),AY129,0))</f>
        <v>0</v>
      </c>
      <c r="BV129" s="1490">
        <f>+IF($K129="Ongoing",AZ129,IF(RIGHT($K129,2)=RIGHT(BV$39,2),SUM($AX129:AZ129),0)+IF(RIGHT(BV$39,2)&gt;RIGHT($K129,2),AZ129,0))</f>
        <v>0</v>
      </c>
      <c r="BW129" s="1490">
        <f>+IF($K129="Ongoing",BA129,IF(RIGHT($K129,2)=RIGHT(BW$39,2),SUM($AX129:BA129),0)+IF(RIGHT(BW$39,2)&gt;RIGHT($K129,2),BA129,0))</f>
        <v>0</v>
      </c>
      <c r="BX129" s="1491">
        <f>+IF($K129="Ongoing",BB129,IF(RIGHT($K129,2)=RIGHT(BX$39,2),SUM($AX129:BB129),0)+IF(RIGHT(BX$39,2)&gt;RIGHT($K129,2),BB129,0))</f>
        <v>0</v>
      </c>
      <c r="BY129" s="1492">
        <f>+IF($K129="Ongoing",BC129,IF(RIGHT($K129,2)=RIGHT(BY$39,2),SUM($AX129:BC129),0)+IF(RIGHT(BY$39,2)&gt;RIGHT($K129,2),BC129,0))</f>
        <v>0</v>
      </c>
      <c r="BZ129" s="1490">
        <f>+IF($K129="Ongoing",BD129,IF(RIGHT($K129,2)=RIGHT(BZ$39,2),SUM($AX129:BD129),0)+IF(RIGHT(BZ$39,2)&gt;RIGHT($K129,2),BD129,0))</f>
        <v>0</v>
      </c>
      <c r="CA129" s="1490">
        <f>+IF($K129="Ongoing",BE129,IF(RIGHT($K129,2)=RIGHT(CA$39,2),SUM($AX129:BE129),0)+IF(RIGHT(CA$39,2)&gt;RIGHT($K129,2),BE129,0))</f>
        <v>0</v>
      </c>
      <c r="CB129" s="1490">
        <f>+IF($K129="Ongoing",BF129,IF(RIGHT($K129,2)=RIGHT(CB$39,2),SUM($AX129:BF129),0)+IF(RIGHT(CB$39,2)&gt;RIGHT($K129,2),BF129,0))</f>
        <v>0</v>
      </c>
      <c r="CC129" s="1491">
        <f>+IF($K129="Ongoing",BG129,IF(RIGHT($K129,2)=RIGHT(CC$39,2),SUM($AX129:BG129),0)+IF(RIGHT(CC$39,2)&gt;RIGHT($K129,2),BG129,0))</f>
        <v>0</v>
      </c>
      <c r="CD129" s="1133"/>
      <c r="CE129" s="1492">
        <f>+Q129*KeyAssumptionsPriceControl_FO!AC$15</f>
        <v>0</v>
      </c>
      <c r="CF129" s="1490">
        <f>+R129*KeyAssumptionsPriceControl_FO!AD$15</f>
        <v>0</v>
      </c>
      <c r="CG129" s="1490">
        <f>+S129*KeyAssumptionsPriceControl_FO!AE$15</f>
        <v>0</v>
      </c>
      <c r="CH129" s="1490">
        <f>+T129*KeyAssumptionsPriceControl_FO!AF$15</f>
        <v>0</v>
      </c>
      <c r="CI129" s="1491">
        <f>+U129*KeyAssumptionsPriceControl_FO!AG$15</f>
        <v>0</v>
      </c>
      <c r="CJ129" s="1492">
        <f>+V129*KeyAssumptionsPriceControl_FO!AH$15</f>
        <v>0</v>
      </c>
      <c r="CK129" s="1490">
        <f>+W129*KeyAssumptionsPriceControl_FO!AI$15</f>
        <v>0</v>
      </c>
      <c r="CL129" s="1490">
        <f>+X129*KeyAssumptionsPriceControl_FO!AJ$15</f>
        <v>0</v>
      </c>
      <c r="CM129" s="1490">
        <f>+Y129*KeyAssumptionsPriceControl_FO!AK$15</f>
        <v>0</v>
      </c>
      <c r="CN129" s="1491">
        <f>+Z129*KeyAssumptionsPriceControl_FO!AL$15</f>
        <v>0</v>
      </c>
      <c r="CO129" s="1133"/>
      <c r="CP129" s="1492">
        <f t="shared" ca="1" si="117"/>
        <v>0</v>
      </c>
      <c r="CQ129" s="1490">
        <f t="shared" ca="1" si="118"/>
        <v>0</v>
      </c>
      <c r="CR129" s="1490">
        <f t="shared" ca="1" si="119"/>
        <v>0</v>
      </c>
      <c r="CS129" s="1490">
        <f t="shared" ca="1" si="120"/>
        <v>0</v>
      </c>
      <c r="CT129" s="1491">
        <f t="shared" ca="1" si="121"/>
        <v>0</v>
      </c>
      <c r="CU129" s="1492">
        <f t="shared" ca="1" si="122"/>
        <v>0</v>
      </c>
      <c r="CV129" s="1490">
        <f t="shared" ca="1" si="123"/>
        <v>0</v>
      </c>
      <c r="CW129" s="1490">
        <f t="shared" ca="1" si="124"/>
        <v>0</v>
      </c>
      <c r="CX129" s="1490">
        <f t="shared" ca="1" si="125"/>
        <v>0</v>
      </c>
      <c r="CY129" s="1491">
        <f t="shared" ca="1" si="126"/>
        <v>0</v>
      </c>
    </row>
    <row r="130" spans="2:103" x14ac:dyDescent="0.3">
      <c r="B130" s="397"/>
      <c r="C130" s="1294" t="s">
        <v>1048</v>
      </c>
      <c r="D130" s="1295"/>
      <c r="E130" s="2097" t="s">
        <v>28</v>
      </c>
      <c r="F130" s="2097" t="s">
        <v>570</v>
      </c>
      <c r="G130" s="1294" t="s">
        <v>559</v>
      </c>
      <c r="H130" s="2099" t="s">
        <v>529</v>
      </c>
      <c r="I130" s="2100"/>
      <c r="J130" s="1292" t="s">
        <v>279</v>
      </c>
      <c r="K130" s="1292" t="s">
        <v>295</v>
      </c>
      <c r="L130" s="1292"/>
      <c r="M130" s="1292"/>
      <c r="O130" s="376"/>
      <c r="P130" s="376"/>
      <c r="Q130" s="1509"/>
      <c r="R130" s="1130"/>
      <c r="S130" s="1510"/>
      <c r="T130" s="1510"/>
      <c r="U130" s="1131"/>
      <c r="V130" s="1129"/>
      <c r="W130" s="1130"/>
      <c r="X130" s="1130"/>
      <c r="Y130" s="1130"/>
      <c r="Z130" s="1131"/>
      <c r="AA130" s="1132"/>
      <c r="AB130" s="1129"/>
      <c r="AC130" s="1130"/>
      <c r="AD130" s="1510"/>
      <c r="AE130" s="1130"/>
      <c r="AF130" s="1131"/>
      <c r="AG130" s="1129"/>
      <c r="AH130" s="1130"/>
      <c r="AI130" s="1130"/>
      <c r="AJ130" s="1130"/>
      <c r="AK130" s="1131"/>
      <c r="AL130" s="1132"/>
      <c r="AM130" s="1129"/>
      <c r="AN130" s="1130"/>
      <c r="AO130" s="1130"/>
      <c r="AP130" s="1510"/>
      <c r="AQ130" s="1131"/>
      <c r="AR130" s="1129"/>
      <c r="AS130" s="1130"/>
      <c r="AT130" s="1130"/>
      <c r="AU130" s="1130"/>
      <c r="AV130" s="1131"/>
      <c r="AW130" s="1133"/>
      <c r="AX130" s="1492">
        <f t="shared" si="127"/>
        <v>0</v>
      </c>
      <c r="AY130" s="1490">
        <f t="shared" si="128"/>
        <v>0</v>
      </c>
      <c r="AZ130" s="1490">
        <f t="shared" si="129"/>
        <v>0</v>
      </c>
      <c r="BA130" s="1490">
        <f t="shared" si="130"/>
        <v>0</v>
      </c>
      <c r="BB130" s="1491">
        <f t="shared" si="131"/>
        <v>0</v>
      </c>
      <c r="BC130" s="1492">
        <f t="shared" si="132"/>
        <v>0</v>
      </c>
      <c r="BD130" s="1490">
        <f t="shared" si="133"/>
        <v>0</v>
      </c>
      <c r="BE130" s="1490">
        <f t="shared" si="134"/>
        <v>0</v>
      </c>
      <c r="BF130" s="1490">
        <f t="shared" si="105"/>
        <v>0</v>
      </c>
      <c r="BG130" s="1491">
        <f t="shared" si="106"/>
        <v>0</v>
      </c>
      <c r="BH130" s="1133"/>
      <c r="BI130" s="1492">
        <f t="shared" ca="1" si="107"/>
        <v>0</v>
      </c>
      <c r="BJ130" s="1490">
        <f t="shared" ca="1" si="108"/>
        <v>0</v>
      </c>
      <c r="BK130" s="1490">
        <f t="shared" ca="1" si="109"/>
        <v>0</v>
      </c>
      <c r="BL130" s="1490">
        <f t="shared" ca="1" si="110"/>
        <v>0</v>
      </c>
      <c r="BM130" s="1491">
        <f t="shared" ca="1" si="111"/>
        <v>0</v>
      </c>
      <c r="BN130" s="1492">
        <f t="shared" ca="1" si="112"/>
        <v>0</v>
      </c>
      <c r="BO130" s="1490">
        <f t="shared" ca="1" si="113"/>
        <v>0</v>
      </c>
      <c r="BP130" s="1490">
        <f t="shared" ca="1" si="114"/>
        <v>0</v>
      </c>
      <c r="BQ130" s="1490">
        <f t="shared" ca="1" si="115"/>
        <v>0</v>
      </c>
      <c r="BR130" s="1491">
        <f t="shared" ca="1" si="116"/>
        <v>0</v>
      </c>
      <c r="BS130" s="1133"/>
      <c r="BT130" s="1492">
        <f>+IF($K130="Ongoing",AX130,IF(RIGHT($K130,2)=RIGHT(BT$39,2),SUM($AX130:AX130),0)+IF(RIGHT(BT$39,2)&gt;RIGHT($K130,2),AX130,0))</f>
        <v>0</v>
      </c>
      <c r="BU130" s="1490">
        <f>+IF($K130="Ongoing",AY130,IF(RIGHT($K130,2)=RIGHT(BU$39,2),SUM($AX130:AY130),0)+IF(RIGHT(BU$39,2)&gt;RIGHT($K130,2),AY130,0))</f>
        <v>0</v>
      </c>
      <c r="BV130" s="1490">
        <f>+IF($K130="Ongoing",AZ130,IF(RIGHT($K130,2)=RIGHT(BV$39,2),SUM($AX130:AZ130),0)+IF(RIGHT(BV$39,2)&gt;RIGHT($K130,2),AZ130,0))</f>
        <v>0</v>
      </c>
      <c r="BW130" s="1490">
        <f>+IF($K130="Ongoing",BA130,IF(RIGHT($K130,2)=RIGHT(BW$39,2),SUM($AX130:BA130),0)+IF(RIGHT(BW$39,2)&gt;RIGHT($K130,2),BA130,0))</f>
        <v>0</v>
      </c>
      <c r="BX130" s="1491">
        <f>+IF($K130="Ongoing",BB130,IF(RIGHT($K130,2)=RIGHT(BX$39,2),SUM($AX130:BB130),0)+IF(RIGHT(BX$39,2)&gt;RIGHT($K130,2),BB130,0))</f>
        <v>0</v>
      </c>
      <c r="BY130" s="1492">
        <f>+IF($K130="Ongoing",BC130,IF(RIGHT($K130,2)=RIGHT(BY$39,2),SUM($AX130:BC130),0)+IF(RIGHT(BY$39,2)&gt;RIGHT($K130,2),BC130,0))</f>
        <v>0</v>
      </c>
      <c r="BZ130" s="1490">
        <f>+IF($K130="Ongoing",BD130,IF(RIGHT($K130,2)=RIGHT(BZ$39,2),SUM($AX130:BD130),0)+IF(RIGHT(BZ$39,2)&gt;RIGHT($K130,2),BD130,0))</f>
        <v>0</v>
      </c>
      <c r="CA130" s="1490">
        <f>+IF($K130="Ongoing",BE130,IF(RIGHT($K130,2)=RIGHT(CA$39,2),SUM($AX130:BE130),0)+IF(RIGHT(CA$39,2)&gt;RIGHT($K130,2),BE130,0))</f>
        <v>0</v>
      </c>
      <c r="CB130" s="1490">
        <f>+IF($K130="Ongoing",BF130,IF(RIGHT($K130,2)=RIGHT(CB$39,2),SUM($AX130:BF130),0)+IF(RIGHT(CB$39,2)&gt;RIGHT($K130,2),BF130,0))</f>
        <v>0</v>
      </c>
      <c r="CC130" s="1491">
        <f>+IF($K130="Ongoing",BG130,IF(RIGHT($K130,2)=RIGHT(CC$39,2),SUM($AX130:BG130),0)+IF(RIGHT(CC$39,2)&gt;RIGHT($K130,2),BG130,0))</f>
        <v>0</v>
      </c>
      <c r="CD130" s="1133"/>
      <c r="CE130" s="1492">
        <f>+Q130*KeyAssumptionsPriceControl_FO!AC$15</f>
        <v>0</v>
      </c>
      <c r="CF130" s="1490">
        <f>+R130*KeyAssumptionsPriceControl_FO!AD$15</f>
        <v>0</v>
      </c>
      <c r="CG130" s="1490">
        <f>+S130*KeyAssumptionsPriceControl_FO!AE$15</f>
        <v>0</v>
      </c>
      <c r="CH130" s="1490">
        <f>+T130*KeyAssumptionsPriceControl_FO!AF$15</f>
        <v>0</v>
      </c>
      <c r="CI130" s="1491">
        <f>+U130*KeyAssumptionsPriceControl_FO!AG$15</f>
        <v>0</v>
      </c>
      <c r="CJ130" s="1492">
        <f>+V130*KeyAssumptionsPriceControl_FO!AH$15</f>
        <v>0</v>
      </c>
      <c r="CK130" s="1490">
        <f>+W130*KeyAssumptionsPriceControl_FO!AI$15</f>
        <v>0</v>
      </c>
      <c r="CL130" s="1490">
        <f>+X130*KeyAssumptionsPriceControl_FO!AJ$15</f>
        <v>0</v>
      </c>
      <c r="CM130" s="1490">
        <f>+Y130*KeyAssumptionsPriceControl_FO!AK$15</f>
        <v>0</v>
      </c>
      <c r="CN130" s="1491">
        <f>+Z130*KeyAssumptionsPriceControl_FO!AL$15</f>
        <v>0</v>
      </c>
      <c r="CO130" s="1133"/>
      <c r="CP130" s="1492">
        <f t="shared" ca="1" si="117"/>
        <v>0</v>
      </c>
      <c r="CQ130" s="1490">
        <f t="shared" ca="1" si="118"/>
        <v>0</v>
      </c>
      <c r="CR130" s="1490">
        <f t="shared" ca="1" si="119"/>
        <v>0</v>
      </c>
      <c r="CS130" s="1490">
        <f t="shared" ca="1" si="120"/>
        <v>0</v>
      </c>
      <c r="CT130" s="1491">
        <f t="shared" ca="1" si="121"/>
        <v>0</v>
      </c>
      <c r="CU130" s="1492">
        <f t="shared" ca="1" si="122"/>
        <v>0</v>
      </c>
      <c r="CV130" s="1490">
        <f t="shared" ca="1" si="123"/>
        <v>0</v>
      </c>
      <c r="CW130" s="1490">
        <f t="shared" ca="1" si="124"/>
        <v>0</v>
      </c>
      <c r="CX130" s="1490">
        <f t="shared" ca="1" si="125"/>
        <v>0</v>
      </c>
      <c r="CY130" s="1491">
        <f t="shared" ca="1" si="126"/>
        <v>0</v>
      </c>
    </row>
    <row r="131" spans="2:103" x14ac:dyDescent="0.3">
      <c r="B131" s="397"/>
      <c r="C131" s="1294" t="s">
        <v>1048</v>
      </c>
      <c r="D131" s="1295"/>
      <c r="E131" s="2097" t="s">
        <v>28</v>
      </c>
      <c r="F131" s="2097" t="s">
        <v>570</v>
      </c>
      <c r="G131" s="1294" t="s">
        <v>559</v>
      </c>
      <c r="H131" s="2099" t="s">
        <v>529</v>
      </c>
      <c r="I131" s="2100"/>
      <c r="J131" s="1292" t="s">
        <v>279</v>
      </c>
      <c r="K131" s="1292" t="s">
        <v>295</v>
      </c>
      <c r="L131" s="1292"/>
      <c r="M131" s="1292"/>
      <c r="O131" s="376"/>
      <c r="P131" s="376"/>
      <c r="Q131" s="1509"/>
      <c r="R131" s="1130"/>
      <c r="S131" s="1510"/>
      <c r="T131" s="1510"/>
      <c r="U131" s="1131"/>
      <c r="V131" s="1129"/>
      <c r="W131" s="1130"/>
      <c r="X131" s="1130"/>
      <c r="Y131" s="1130"/>
      <c r="Z131" s="1131"/>
      <c r="AA131" s="1132"/>
      <c r="AB131" s="1129"/>
      <c r="AC131" s="1130"/>
      <c r="AD131" s="1510"/>
      <c r="AE131" s="1130"/>
      <c r="AF131" s="1131"/>
      <c r="AG131" s="1129"/>
      <c r="AH131" s="1130"/>
      <c r="AI131" s="1130"/>
      <c r="AJ131" s="1130"/>
      <c r="AK131" s="1131"/>
      <c r="AL131" s="1132"/>
      <c r="AM131" s="1129"/>
      <c r="AN131" s="1130"/>
      <c r="AO131" s="1130"/>
      <c r="AP131" s="1510"/>
      <c r="AQ131" s="1131"/>
      <c r="AR131" s="1129"/>
      <c r="AS131" s="1130"/>
      <c r="AT131" s="1130"/>
      <c r="AU131" s="1130"/>
      <c r="AV131" s="1131"/>
      <c r="AW131" s="1133"/>
      <c r="AX131" s="1492">
        <f t="shared" si="127"/>
        <v>0</v>
      </c>
      <c r="AY131" s="1490">
        <f t="shared" si="128"/>
        <v>0</v>
      </c>
      <c r="AZ131" s="1490">
        <f t="shared" si="129"/>
        <v>0</v>
      </c>
      <c r="BA131" s="1490">
        <f t="shared" si="130"/>
        <v>0</v>
      </c>
      <c r="BB131" s="1491">
        <f t="shared" si="131"/>
        <v>0</v>
      </c>
      <c r="BC131" s="1492">
        <f t="shared" si="132"/>
        <v>0</v>
      </c>
      <c r="BD131" s="1490">
        <f t="shared" si="133"/>
        <v>0</v>
      </c>
      <c r="BE131" s="1490">
        <f t="shared" si="134"/>
        <v>0</v>
      </c>
      <c r="BF131" s="1490">
        <f t="shared" si="105"/>
        <v>0</v>
      </c>
      <c r="BG131" s="1491">
        <f t="shared" si="106"/>
        <v>0</v>
      </c>
      <c r="BH131" s="1133"/>
      <c r="BI131" s="1492">
        <f t="shared" ca="1" si="107"/>
        <v>0</v>
      </c>
      <c r="BJ131" s="1490">
        <f t="shared" ca="1" si="108"/>
        <v>0</v>
      </c>
      <c r="BK131" s="1490">
        <f t="shared" ca="1" si="109"/>
        <v>0</v>
      </c>
      <c r="BL131" s="1490">
        <f t="shared" ca="1" si="110"/>
        <v>0</v>
      </c>
      <c r="BM131" s="1491">
        <f t="shared" ca="1" si="111"/>
        <v>0</v>
      </c>
      <c r="BN131" s="1492">
        <f t="shared" ca="1" si="112"/>
        <v>0</v>
      </c>
      <c r="BO131" s="1490">
        <f t="shared" ca="1" si="113"/>
        <v>0</v>
      </c>
      <c r="BP131" s="1490">
        <f t="shared" ca="1" si="114"/>
        <v>0</v>
      </c>
      <c r="BQ131" s="1490">
        <f t="shared" ca="1" si="115"/>
        <v>0</v>
      </c>
      <c r="BR131" s="1491">
        <f t="shared" ca="1" si="116"/>
        <v>0</v>
      </c>
      <c r="BS131" s="1133"/>
      <c r="BT131" s="1492">
        <f>+IF($K131="Ongoing",AX131,IF(RIGHT($K131,2)=RIGHT(BT$39,2),SUM($AX131:AX131),0)+IF(RIGHT(BT$39,2)&gt;RIGHT($K131,2),AX131,0))</f>
        <v>0</v>
      </c>
      <c r="BU131" s="1490">
        <f>+IF($K131="Ongoing",AY131,IF(RIGHT($K131,2)=RIGHT(BU$39,2),SUM($AX131:AY131),0)+IF(RIGHT(BU$39,2)&gt;RIGHT($K131,2),AY131,0))</f>
        <v>0</v>
      </c>
      <c r="BV131" s="1490">
        <f>+IF($K131="Ongoing",AZ131,IF(RIGHT($K131,2)=RIGHT(BV$39,2),SUM($AX131:AZ131),0)+IF(RIGHT(BV$39,2)&gt;RIGHT($K131,2),AZ131,0))</f>
        <v>0</v>
      </c>
      <c r="BW131" s="1490">
        <f>+IF($K131="Ongoing",BA131,IF(RIGHT($K131,2)=RIGHT(BW$39,2),SUM($AX131:BA131),0)+IF(RIGHT(BW$39,2)&gt;RIGHT($K131,2),BA131,0))</f>
        <v>0</v>
      </c>
      <c r="BX131" s="1491">
        <f>+IF($K131="Ongoing",BB131,IF(RIGHT($K131,2)=RIGHT(BX$39,2),SUM($AX131:BB131),0)+IF(RIGHT(BX$39,2)&gt;RIGHT($K131,2),BB131,0))</f>
        <v>0</v>
      </c>
      <c r="BY131" s="1492">
        <f>+IF($K131="Ongoing",BC131,IF(RIGHT($K131,2)=RIGHT(BY$39,2),SUM($AX131:BC131),0)+IF(RIGHT(BY$39,2)&gt;RIGHT($K131,2),BC131,0))</f>
        <v>0</v>
      </c>
      <c r="BZ131" s="1490">
        <f>+IF($K131="Ongoing",BD131,IF(RIGHT($K131,2)=RIGHT(BZ$39,2),SUM($AX131:BD131),0)+IF(RIGHT(BZ$39,2)&gt;RIGHT($K131,2),BD131,0))</f>
        <v>0</v>
      </c>
      <c r="CA131" s="1490">
        <f>+IF($K131="Ongoing",BE131,IF(RIGHT($K131,2)=RIGHT(CA$39,2),SUM($AX131:BE131),0)+IF(RIGHT(CA$39,2)&gt;RIGHT($K131,2),BE131,0))</f>
        <v>0</v>
      </c>
      <c r="CB131" s="1490">
        <f>+IF($K131="Ongoing",BF131,IF(RIGHT($K131,2)=RIGHT(CB$39,2),SUM($AX131:BF131),0)+IF(RIGHT(CB$39,2)&gt;RIGHT($K131,2),BF131,0))</f>
        <v>0</v>
      </c>
      <c r="CC131" s="1491">
        <f>+IF($K131="Ongoing",BG131,IF(RIGHT($K131,2)=RIGHT(CC$39,2),SUM($AX131:BG131),0)+IF(RIGHT(CC$39,2)&gt;RIGHT($K131,2),BG131,0))</f>
        <v>0</v>
      </c>
      <c r="CD131" s="1133"/>
      <c r="CE131" s="1492">
        <f>+Q131*KeyAssumptionsPriceControl_FO!AC$15</f>
        <v>0</v>
      </c>
      <c r="CF131" s="1490">
        <f>+R131*KeyAssumptionsPriceControl_FO!AD$15</f>
        <v>0</v>
      </c>
      <c r="CG131" s="1490">
        <f>+S131*KeyAssumptionsPriceControl_FO!AE$15</f>
        <v>0</v>
      </c>
      <c r="CH131" s="1490">
        <f>+T131*KeyAssumptionsPriceControl_FO!AF$15</f>
        <v>0</v>
      </c>
      <c r="CI131" s="1491">
        <f>+U131*KeyAssumptionsPriceControl_FO!AG$15</f>
        <v>0</v>
      </c>
      <c r="CJ131" s="1492">
        <f>+V131*KeyAssumptionsPriceControl_FO!AH$15</f>
        <v>0</v>
      </c>
      <c r="CK131" s="1490">
        <f>+W131*KeyAssumptionsPriceControl_FO!AI$15</f>
        <v>0</v>
      </c>
      <c r="CL131" s="1490">
        <f>+X131*KeyAssumptionsPriceControl_FO!AJ$15</f>
        <v>0</v>
      </c>
      <c r="CM131" s="1490">
        <f>+Y131*KeyAssumptionsPriceControl_FO!AK$15</f>
        <v>0</v>
      </c>
      <c r="CN131" s="1491">
        <f>+Z131*KeyAssumptionsPriceControl_FO!AL$15</f>
        <v>0</v>
      </c>
      <c r="CO131" s="1133"/>
      <c r="CP131" s="1492">
        <f t="shared" ca="1" si="117"/>
        <v>0</v>
      </c>
      <c r="CQ131" s="1490">
        <f t="shared" ca="1" si="118"/>
        <v>0</v>
      </c>
      <c r="CR131" s="1490">
        <f t="shared" ca="1" si="119"/>
        <v>0</v>
      </c>
      <c r="CS131" s="1490">
        <f t="shared" ca="1" si="120"/>
        <v>0</v>
      </c>
      <c r="CT131" s="1491">
        <f t="shared" ca="1" si="121"/>
        <v>0</v>
      </c>
      <c r="CU131" s="1492">
        <f t="shared" ca="1" si="122"/>
        <v>0</v>
      </c>
      <c r="CV131" s="1490">
        <f t="shared" ca="1" si="123"/>
        <v>0</v>
      </c>
      <c r="CW131" s="1490">
        <f t="shared" ca="1" si="124"/>
        <v>0</v>
      </c>
      <c r="CX131" s="1490">
        <f t="shared" ca="1" si="125"/>
        <v>0</v>
      </c>
      <c r="CY131" s="1491">
        <f t="shared" ca="1" si="126"/>
        <v>0</v>
      </c>
    </row>
    <row r="132" spans="2:103" x14ac:dyDescent="0.3">
      <c r="B132" s="397"/>
      <c r="C132" s="1294" t="s">
        <v>1048</v>
      </c>
      <c r="D132" s="1295"/>
      <c r="E132" s="2097" t="s">
        <v>28</v>
      </c>
      <c r="F132" s="2097" t="s">
        <v>570</v>
      </c>
      <c r="G132" s="1294" t="s">
        <v>559</v>
      </c>
      <c r="H132" s="2099" t="s">
        <v>529</v>
      </c>
      <c r="I132" s="2100"/>
      <c r="J132" s="1292" t="s">
        <v>279</v>
      </c>
      <c r="K132" s="1292" t="s">
        <v>295</v>
      </c>
      <c r="L132" s="1292"/>
      <c r="M132" s="1292"/>
      <c r="O132" s="376"/>
      <c r="P132" s="376"/>
      <c r="Q132" s="1509"/>
      <c r="R132" s="1130"/>
      <c r="S132" s="1510"/>
      <c r="T132" s="1510"/>
      <c r="U132" s="1131"/>
      <c r="V132" s="1129"/>
      <c r="W132" s="1130"/>
      <c r="X132" s="1130"/>
      <c r="Y132" s="1130"/>
      <c r="Z132" s="1131"/>
      <c r="AA132" s="1132"/>
      <c r="AB132" s="1129"/>
      <c r="AC132" s="1130"/>
      <c r="AD132" s="1510"/>
      <c r="AE132" s="1130"/>
      <c r="AF132" s="1131"/>
      <c r="AG132" s="1129"/>
      <c r="AH132" s="1130"/>
      <c r="AI132" s="1130"/>
      <c r="AJ132" s="1130"/>
      <c r="AK132" s="1131"/>
      <c r="AL132" s="1132"/>
      <c r="AM132" s="1129"/>
      <c r="AN132" s="1130"/>
      <c r="AO132" s="1130"/>
      <c r="AP132" s="1510"/>
      <c r="AQ132" s="1131"/>
      <c r="AR132" s="1129"/>
      <c r="AS132" s="1130"/>
      <c r="AT132" s="1130"/>
      <c r="AU132" s="1130"/>
      <c r="AV132" s="1131"/>
      <c r="AW132" s="1133"/>
      <c r="AX132" s="1492">
        <f t="shared" si="127"/>
        <v>0</v>
      </c>
      <c r="AY132" s="1490">
        <f t="shared" si="128"/>
        <v>0</v>
      </c>
      <c r="AZ132" s="1490">
        <f t="shared" si="129"/>
        <v>0</v>
      </c>
      <c r="BA132" s="1490">
        <f t="shared" si="130"/>
        <v>0</v>
      </c>
      <c r="BB132" s="1491">
        <f t="shared" si="131"/>
        <v>0</v>
      </c>
      <c r="BC132" s="1492">
        <f t="shared" si="132"/>
        <v>0</v>
      </c>
      <c r="BD132" s="1490">
        <f t="shared" si="133"/>
        <v>0</v>
      </c>
      <c r="BE132" s="1490">
        <f t="shared" si="134"/>
        <v>0</v>
      </c>
      <c r="BF132" s="1490">
        <f t="shared" si="105"/>
        <v>0</v>
      </c>
      <c r="BG132" s="1491">
        <f t="shared" si="106"/>
        <v>0</v>
      </c>
      <c r="BH132" s="1133"/>
      <c r="BI132" s="1492">
        <f t="shared" ca="1" si="107"/>
        <v>0</v>
      </c>
      <c r="BJ132" s="1490">
        <f t="shared" ca="1" si="108"/>
        <v>0</v>
      </c>
      <c r="BK132" s="1490">
        <f t="shared" ca="1" si="109"/>
        <v>0</v>
      </c>
      <c r="BL132" s="1490">
        <f t="shared" ca="1" si="110"/>
        <v>0</v>
      </c>
      <c r="BM132" s="1491">
        <f t="shared" ca="1" si="111"/>
        <v>0</v>
      </c>
      <c r="BN132" s="1492">
        <f t="shared" ca="1" si="112"/>
        <v>0</v>
      </c>
      <c r="BO132" s="1490">
        <f t="shared" ca="1" si="113"/>
        <v>0</v>
      </c>
      <c r="BP132" s="1490">
        <f t="shared" ca="1" si="114"/>
        <v>0</v>
      </c>
      <c r="BQ132" s="1490">
        <f t="shared" ca="1" si="115"/>
        <v>0</v>
      </c>
      <c r="BR132" s="1491">
        <f t="shared" ca="1" si="116"/>
        <v>0</v>
      </c>
      <c r="BS132" s="1133"/>
      <c r="BT132" s="1492">
        <f>+IF($K132="Ongoing",AX132,IF(RIGHT($K132,2)=RIGHT(BT$39,2),SUM($AX132:AX132),0)+IF(RIGHT(BT$39,2)&gt;RIGHT($K132,2),AX132,0))</f>
        <v>0</v>
      </c>
      <c r="BU132" s="1490">
        <f>+IF($K132="Ongoing",AY132,IF(RIGHT($K132,2)=RIGHT(BU$39,2),SUM($AX132:AY132),0)+IF(RIGHT(BU$39,2)&gt;RIGHT($K132,2),AY132,0))</f>
        <v>0</v>
      </c>
      <c r="BV132" s="1490">
        <f>+IF($K132="Ongoing",AZ132,IF(RIGHT($K132,2)=RIGHT(BV$39,2),SUM($AX132:AZ132),0)+IF(RIGHT(BV$39,2)&gt;RIGHT($K132,2),AZ132,0))</f>
        <v>0</v>
      </c>
      <c r="BW132" s="1490">
        <f>+IF($K132="Ongoing",BA132,IF(RIGHT($K132,2)=RIGHT(BW$39,2),SUM($AX132:BA132),0)+IF(RIGHT(BW$39,2)&gt;RIGHT($K132,2),BA132,0))</f>
        <v>0</v>
      </c>
      <c r="BX132" s="1491">
        <f>+IF($K132="Ongoing",BB132,IF(RIGHT($K132,2)=RIGHT(BX$39,2),SUM($AX132:BB132),0)+IF(RIGHT(BX$39,2)&gt;RIGHT($K132,2),BB132,0))</f>
        <v>0</v>
      </c>
      <c r="BY132" s="1492">
        <f>+IF($K132="Ongoing",BC132,IF(RIGHT($K132,2)=RIGHT(BY$39,2),SUM($AX132:BC132),0)+IF(RIGHT(BY$39,2)&gt;RIGHT($K132,2),BC132,0))</f>
        <v>0</v>
      </c>
      <c r="BZ132" s="1490">
        <f>+IF($K132="Ongoing",BD132,IF(RIGHT($K132,2)=RIGHT(BZ$39,2),SUM($AX132:BD132),0)+IF(RIGHT(BZ$39,2)&gt;RIGHT($K132,2),BD132,0))</f>
        <v>0</v>
      </c>
      <c r="CA132" s="1490">
        <f>+IF($K132="Ongoing",BE132,IF(RIGHT($K132,2)=RIGHT(CA$39,2),SUM($AX132:BE132),0)+IF(RIGHT(CA$39,2)&gt;RIGHT($K132,2),BE132,0))</f>
        <v>0</v>
      </c>
      <c r="CB132" s="1490">
        <f>+IF($K132="Ongoing",BF132,IF(RIGHT($K132,2)=RIGHT(CB$39,2),SUM($AX132:BF132),0)+IF(RIGHT(CB$39,2)&gt;RIGHT($K132,2),BF132,0))</f>
        <v>0</v>
      </c>
      <c r="CC132" s="1491">
        <f>+IF($K132="Ongoing",BG132,IF(RIGHT($K132,2)=RIGHT(CC$39,2),SUM($AX132:BG132),0)+IF(RIGHT(CC$39,2)&gt;RIGHT($K132,2),BG132,0))</f>
        <v>0</v>
      </c>
      <c r="CD132" s="1133"/>
      <c r="CE132" s="1492">
        <f>+Q132*KeyAssumptionsPriceControl_FO!AC$15</f>
        <v>0</v>
      </c>
      <c r="CF132" s="1490">
        <f>+R132*KeyAssumptionsPriceControl_FO!AD$15</f>
        <v>0</v>
      </c>
      <c r="CG132" s="1490">
        <f>+S132*KeyAssumptionsPriceControl_FO!AE$15</f>
        <v>0</v>
      </c>
      <c r="CH132" s="1490">
        <f>+T132*KeyAssumptionsPriceControl_FO!AF$15</f>
        <v>0</v>
      </c>
      <c r="CI132" s="1491">
        <f>+U132*KeyAssumptionsPriceControl_FO!AG$15</f>
        <v>0</v>
      </c>
      <c r="CJ132" s="1492">
        <f>+V132*KeyAssumptionsPriceControl_FO!AH$15</f>
        <v>0</v>
      </c>
      <c r="CK132" s="1490">
        <f>+W132*KeyAssumptionsPriceControl_FO!AI$15</f>
        <v>0</v>
      </c>
      <c r="CL132" s="1490">
        <f>+X132*KeyAssumptionsPriceControl_FO!AJ$15</f>
        <v>0</v>
      </c>
      <c r="CM132" s="1490">
        <f>+Y132*KeyAssumptionsPriceControl_FO!AK$15</f>
        <v>0</v>
      </c>
      <c r="CN132" s="1491">
        <f>+Z132*KeyAssumptionsPriceControl_FO!AL$15</f>
        <v>0</v>
      </c>
      <c r="CO132" s="1133"/>
      <c r="CP132" s="1492">
        <f t="shared" ca="1" si="117"/>
        <v>0</v>
      </c>
      <c r="CQ132" s="1490">
        <f t="shared" ca="1" si="118"/>
        <v>0</v>
      </c>
      <c r="CR132" s="1490">
        <f t="shared" ca="1" si="119"/>
        <v>0</v>
      </c>
      <c r="CS132" s="1490">
        <f t="shared" ca="1" si="120"/>
        <v>0</v>
      </c>
      <c r="CT132" s="1491">
        <f t="shared" ca="1" si="121"/>
        <v>0</v>
      </c>
      <c r="CU132" s="1492">
        <f t="shared" ca="1" si="122"/>
        <v>0</v>
      </c>
      <c r="CV132" s="1490">
        <f t="shared" ca="1" si="123"/>
        <v>0</v>
      </c>
      <c r="CW132" s="1490">
        <f t="shared" ca="1" si="124"/>
        <v>0</v>
      </c>
      <c r="CX132" s="1490">
        <f t="shared" ca="1" si="125"/>
        <v>0</v>
      </c>
      <c r="CY132" s="1491">
        <f t="shared" ca="1" si="126"/>
        <v>0</v>
      </c>
    </row>
    <row r="133" spans="2:103" x14ac:dyDescent="0.3">
      <c r="B133" s="397"/>
      <c r="C133" s="1294" t="s">
        <v>1048</v>
      </c>
      <c r="D133" s="1295"/>
      <c r="E133" s="2097" t="s">
        <v>28</v>
      </c>
      <c r="F133" s="2097" t="s">
        <v>570</v>
      </c>
      <c r="G133" s="1294" t="s">
        <v>559</v>
      </c>
      <c r="H133" s="2099" t="s">
        <v>529</v>
      </c>
      <c r="I133" s="2100"/>
      <c r="J133" s="1292" t="s">
        <v>279</v>
      </c>
      <c r="K133" s="1292" t="s">
        <v>295</v>
      </c>
      <c r="L133" s="1292"/>
      <c r="M133" s="1292"/>
      <c r="O133" s="376"/>
      <c r="P133" s="376"/>
      <c r="Q133" s="1509"/>
      <c r="R133" s="1130"/>
      <c r="S133" s="1510"/>
      <c r="T133" s="1510"/>
      <c r="U133" s="1131"/>
      <c r="V133" s="1129"/>
      <c r="W133" s="1130"/>
      <c r="X133" s="1130"/>
      <c r="Y133" s="1130"/>
      <c r="Z133" s="1131"/>
      <c r="AA133" s="1132"/>
      <c r="AB133" s="1129"/>
      <c r="AC133" s="1130"/>
      <c r="AD133" s="1510"/>
      <c r="AE133" s="1130"/>
      <c r="AF133" s="1131"/>
      <c r="AG133" s="1129"/>
      <c r="AH133" s="1130"/>
      <c r="AI133" s="1130"/>
      <c r="AJ133" s="1130"/>
      <c r="AK133" s="1131"/>
      <c r="AL133" s="1132"/>
      <c r="AM133" s="1129"/>
      <c r="AN133" s="1130"/>
      <c r="AO133" s="1130"/>
      <c r="AP133" s="1510"/>
      <c r="AQ133" s="1131"/>
      <c r="AR133" s="1129"/>
      <c r="AS133" s="1130"/>
      <c r="AT133" s="1130"/>
      <c r="AU133" s="1130"/>
      <c r="AV133" s="1131"/>
      <c r="AW133" s="1133"/>
      <c r="AX133" s="1492">
        <f t="shared" si="127"/>
        <v>0</v>
      </c>
      <c r="AY133" s="1490">
        <f t="shared" si="128"/>
        <v>0</v>
      </c>
      <c r="AZ133" s="1490">
        <f t="shared" si="129"/>
        <v>0</v>
      </c>
      <c r="BA133" s="1490">
        <f t="shared" si="130"/>
        <v>0</v>
      </c>
      <c r="BB133" s="1491">
        <f t="shared" si="131"/>
        <v>0</v>
      </c>
      <c r="BC133" s="1492">
        <f t="shared" si="132"/>
        <v>0</v>
      </c>
      <c r="BD133" s="1490">
        <f t="shared" si="133"/>
        <v>0</v>
      </c>
      <c r="BE133" s="1490">
        <f t="shared" si="134"/>
        <v>0</v>
      </c>
      <c r="BF133" s="1490">
        <f t="shared" si="105"/>
        <v>0</v>
      </c>
      <c r="BG133" s="1491">
        <f t="shared" si="106"/>
        <v>0</v>
      </c>
      <c r="BH133" s="1133"/>
      <c r="BI133" s="1492">
        <f t="shared" ca="1" si="107"/>
        <v>0</v>
      </c>
      <c r="BJ133" s="1490">
        <f t="shared" ca="1" si="108"/>
        <v>0</v>
      </c>
      <c r="BK133" s="1490">
        <f t="shared" ca="1" si="109"/>
        <v>0</v>
      </c>
      <c r="BL133" s="1490">
        <f t="shared" ca="1" si="110"/>
        <v>0</v>
      </c>
      <c r="BM133" s="1491">
        <f t="shared" ca="1" si="111"/>
        <v>0</v>
      </c>
      <c r="BN133" s="1492">
        <f t="shared" ca="1" si="112"/>
        <v>0</v>
      </c>
      <c r="BO133" s="1490">
        <f t="shared" ca="1" si="113"/>
        <v>0</v>
      </c>
      <c r="BP133" s="1490">
        <f t="shared" ca="1" si="114"/>
        <v>0</v>
      </c>
      <c r="BQ133" s="1490">
        <f t="shared" ca="1" si="115"/>
        <v>0</v>
      </c>
      <c r="BR133" s="1491">
        <f t="shared" ca="1" si="116"/>
        <v>0</v>
      </c>
      <c r="BS133" s="1133"/>
      <c r="BT133" s="1492">
        <f>+IF($K133="Ongoing",AX133,IF(RIGHT($K133,2)=RIGHT(BT$39,2),SUM($AX133:AX133),0)+IF(RIGHT(BT$39,2)&gt;RIGHT($K133,2),AX133,0))</f>
        <v>0</v>
      </c>
      <c r="BU133" s="1490">
        <f>+IF($K133="Ongoing",AY133,IF(RIGHT($K133,2)=RIGHT(BU$39,2),SUM($AX133:AY133),0)+IF(RIGHT(BU$39,2)&gt;RIGHT($K133,2),AY133,0))</f>
        <v>0</v>
      </c>
      <c r="BV133" s="1490">
        <f>+IF($K133="Ongoing",AZ133,IF(RIGHT($K133,2)=RIGHT(BV$39,2),SUM($AX133:AZ133),0)+IF(RIGHT(BV$39,2)&gt;RIGHT($K133,2),AZ133,0))</f>
        <v>0</v>
      </c>
      <c r="BW133" s="1490">
        <f>+IF($K133="Ongoing",BA133,IF(RIGHT($K133,2)=RIGHT(BW$39,2),SUM($AX133:BA133),0)+IF(RIGHT(BW$39,2)&gt;RIGHT($K133,2),BA133,0))</f>
        <v>0</v>
      </c>
      <c r="BX133" s="1491">
        <f>+IF($K133="Ongoing",BB133,IF(RIGHT($K133,2)=RIGHT(BX$39,2),SUM($AX133:BB133),0)+IF(RIGHT(BX$39,2)&gt;RIGHT($K133,2),BB133,0))</f>
        <v>0</v>
      </c>
      <c r="BY133" s="1492">
        <f>+IF($K133="Ongoing",BC133,IF(RIGHT($K133,2)=RIGHT(BY$39,2),SUM($AX133:BC133),0)+IF(RIGHT(BY$39,2)&gt;RIGHT($K133,2),BC133,0))</f>
        <v>0</v>
      </c>
      <c r="BZ133" s="1490">
        <f>+IF($K133="Ongoing",BD133,IF(RIGHT($K133,2)=RIGHT(BZ$39,2),SUM($AX133:BD133),0)+IF(RIGHT(BZ$39,2)&gt;RIGHT($K133,2),BD133,0))</f>
        <v>0</v>
      </c>
      <c r="CA133" s="1490">
        <f>+IF($K133="Ongoing",BE133,IF(RIGHT($K133,2)=RIGHT(CA$39,2),SUM($AX133:BE133),0)+IF(RIGHT(CA$39,2)&gt;RIGHT($K133,2),BE133,0))</f>
        <v>0</v>
      </c>
      <c r="CB133" s="1490">
        <f>+IF($K133="Ongoing",BF133,IF(RIGHT($K133,2)=RIGHT(CB$39,2),SUM($AX133:BF133),0)+IF(RIGHT(CB$39,2)&gt;RIGHT($K133,2),BF133,0))</f>
        <v>0</v>
      </c>
      <c r="CC133" s="1491">
        <f>+IF($K133="Ongoing",BG133,IF(RIGHT($K133,2)=RIGHT(CC$39,2),SUM($AX133:BG133),0)+IF(RIGHT(CC$39,2)&gt;RIGHT($K133,2),BG133,0))</f>
        <v>0</v>
      </c>
      <c r="CD133" s="1133"/>
      <c r="CE133" s="1492">
        <f>+Q133*KeyAssumptionsPriceControl_FO!AC$15</f>
        <v>0</v>
      </c>
      <c r="CF133" s="1490">
        <f>+R133*KeyAssumptionsPriceControl_FO!AD$15</f>
        <v>0</v>
      </c>
      <c r="CG133" s="1490">
        <f>+S133*KeyAssumptionsPriceControl_FO!AE$15</f>
        <v>0</v>
      </c>
      <c r="CH133" s="1490">
        <f>+T133*KeyAssumptionsPriceControl_FO!AF$15</f>
        <v>0</v>
      </c>
      <c r="CI133" s="1491">
        <f>+U133*KeyAssumptionsPriceControl_FO!AG$15</f>
        <v>0</v>
      </c>
      <c r="CJ133" s="1492">
        <f>+V133*KeyAssumptionsPriceControl_FO!AH$15</f>
        <v>0</v>
      </c>
      <c r="CK133" s="1490">
        <f>+W133*KeyAssumptionsPriceControl_FO!AI$15</f>
        <v>0</v>
      </c>
      <c r="CL133" s="1490">
        <f>+X133*KeyAssumptionsPriceControl_FO!AJ$15</f>
        <v>0</v>
      </c>
      <c r="CM133" s="1490">
        <f>+Y133*KeyAssumptionsPriceControl_FO!AK$15</f>
        <v>0</v>
      </c>
      <c r="CN133" s="1491">
        <f>+Z133*KeyAssumptionsPriceControl_FO!AL$15</f>
        <v>0</v>
      </c>
      <c r="CO133" s="1133"/>
      <c r="CP133" s="1492">
        <f t="shared" ca="1" si="117"/>
        <v>0</v>
      </c>
      <c r="CQ133" s="1490">
        <f t="shared" ca="1" si="118"/>
        <v>0</v>
      </c>
      <c r="CR133" s="1490">
        <f t="shared" ca="1" si="119"/>
        <v>0</v>
      </c>
      <c r="CS133" s="1490">
        <f t="shared" ca="1" si="120"/>
        <v>0</v>
      </c>
      <c r="CT133" s="1491">
        <f t="shared" ca="1" si="121"/>
        <v>0</v>
      </c>
      <c r="CU133" s="1492">
        <f t="shared" ca="1" si="122"/>
        <v>0</v>
      </c>
      <c r="CV133" s="1490">
        <f t="shared" ca="1" si="123"/>
        <v>0</v>
      </c>
      <c r="CW133" s="1490">
        <f t="shared" ca="1" si="124"/>
        <v>0</v>
      </c>
      <c r="CX133" s="1490">
        <f t="shared" ca="1" si="125"/>
        <v>0</v>
      </c>
      <c r="CY133" s="1491">
        <f t="shared" ca="1" si="126"/>
        <v>0</v>
      </c>
    </row>
    <row r="134" spans="2:103" x14ac:dyDescent="0.3">
      <c r="B134" s="397"/>
      <c r="C134" s="1294" t="s">
        <v>1048</v>
      </c>
      <c r="D134" s="1295"/>
      <c r="E134" s="2097" t="s">
        <v>28</v>
      </c>
      <c r="F134" s="2097" t="s">
        <v>570</v>
      </c>
      <c r="G134" s="1294" t="s">
        <v>559</v>
      </c>
      <c r="H134" s="2099" t="s">
        <v>529</v>
      </c>
      <c r="I134" s="2100"/>
      <c r="J134" s="1292" t="s">
        <v>279</v>
      </c>
      <c r="K134" s="1292" t="s">
        <v>295</v>
      </c>
      <c r="L134" s="1292"/>
      <c r="M134" s="1292"/>
      <c r="O134" s="376"/>
      <c r="P134" s="376"/>
      <c r="Q134" s="1509"/>
      <c r="R134" s="1130"/>
      <c r="S134" s="1510"/>
      <c r="T134" s="1510"/>
      <c r="U134" s="1131"/>
      <c r="V134" s="1129"/>
      <c r="W134" s="1130"/>
      <c r="X134" s="1130"/>
      <c r="Y134" s="1130"/>
      <c r="Z134" s="1131"/>
      <c r="AA134" s="1132"/>
      <c r="AB134" s="1129"/>
      <c r="AC134" s="1130"/>
      <c r="AD134" s="1510"/>
      <c r="AE134" s="1130"/>
      <c r="AF134" s="1131"/>
      <c r="AG134" s="1129"/>
      <c r="AH134" s="1130"/>
      <c r="AI134" s="1130"/>
      <c r="AJ134" s="1130"/>
      <c r="AK134" s="1131"/>
      <c r="AL134" s="1132"/>
      <c r="AM134" s="1129"/>
      <c r="AN134" s="1130"/>
      <c r="AO134" s="1130"/>
      <c r="AP134" s="1510"/>
      <c r="AQ134" s="1131"/>
      <c r="AR134" s="1129"/>
      <c r="AS134" s="1130"/>
      <c r="AT134" s="1130"/>
      <c r="AU134" s="1130"/>
      <c r="AV134" s="1131"/>
      <c r="AW134" s="1133"/>
      <c r="AX134" s="1492">
        <f t="shared" si="127"/>
        <v>0</v>
      </c>
      <c r="AY134" s="1490">
        <f t="shared" si="128"/>
        <v>0</v>
      </c>
      <c r="AZ134" s="1490">
        <f t="shared" si="129"/>
        <v>0</v>
      </c>
      <c r="BA134" s="1490">
        <f t="shared" si="130"/>
        <v>0</v>
      </c>
      <c r="BB134" s="1491">
        <f t="shared" si="131"/>
        <v>0</v>
      </c>
      <c r="BC134" s="1492">
        <f t="shared" si="132"/>
        <v>0</v>
      </c>
      <c r="BD134" s="1490">
        <f t="shared" si="133"/>
        <v>0</v>
      </c>
      <c r="BE134" s="1490">
        <f t="shared" si="134"/>
        <v>0</v>
      </c>
      <c r="BF134" s="1490">
        <f t="shared" si="105"/>
        <v>0</v>
      </c>
      <c r="BG134" s="1491">
        <f t="shared" si="106"/>
        <v>0</v>
      </c>
      <c r="BH134" s="1133"/>
      <c r="BI134" s="1492">
        <f t="shared" ca="1" si="107"/>
        <v>0</v>
      </c>
      <c r="BJ134" s="1490">
        <f t="shared" ca="1" si="108"/>
        <v>0</v>
      </c>
      <c r="BK134" s="1490">
        <f t="shared" ca="1" si="109"/>
        <v>0</v>
      </c>
      <c r="BL134" s="1490">
        <f t="shared" ca="1" si="110"/>
        <v>0</v>
      </c>
      <c r="BM134" s="1491">
        <f t="shared" ca="1" si="111"/>
        <v>0</v>
      </c>
      <c r="BN134" s="1492">
        <f t="shared" ca="1" si="112"/>
        <v>0</v>
      </c>
      <c r="BO134" s="1490">
        <f t="shared" ca="1" si="113"/>
        <v>0</v>
      </c>
      <c r="BP134" s="1490">
        <f t="shared" ca="1" si="114"/>
        <v>0</v>
      </c>
      <c r="BQ134" s="1490">
        <f t="shared" ca="1" si="115"/>
        <v>0</v>
      </c>
      <c r="BR134" s="1491">
        <f t="shared" ca="1" si="116"/>
        <v>0</v>
      </c>
      <c r="BS134" s="1133"/>
      <c r="BT134" s="1492">
        <f>+IF($K134="Ongoing",AX134,IF(RIGHT($K134,2)=RIGHT(BT$39,2),SUM($AX134:AX134),0)+IF(RIGHT(BT$39,2)&gt;RIGHT($K134,2),AX134,0))</f>
        <v>0</v>
      </c>
      <c r="BU134" s="1490">
        <f>+IF($K134="Ongoing",AY134,IF(RIGHT($K134,2)=RIGHT(BU$39,2),SUM($AX134:AY134),0)+IF(RIGHT(BU$39,2)&gt;RIGHT($K134,2),AY134,0))</f>
        <v>0</v>
      </c>
      <c r="BV134" s="1490">
        <f>+IF($K134="Ongoing",AZ134,IF(RIGHT($K134,2)=RIGHT(BV$39,2),SUM($AX134:AZ134),0)+IF(RIGHT(BV$39,2)&gt;RIGHT($K134,2),AZ134,0))</f>
        <v>0</v>
      </c>
      <c r="BW134" s="1490">
        <f>+IF($K134="Ongoing",BA134,IF(RIGHT($K134,2)=RIGHT(BW$39,2),SUM($AX134:BA134),0)+IF(RIGHT(BW$39,2)&gt;RIGHT($K134,2),BA134,0))</f>
        <v>0</v>
      </c>
      <c r="BX134" s="1491">
        <f>+IF($K134="Ongoing",BB134,IF(RIGHT($K134,2)=RIGHT(BX$39,2),SUM($AX134:BB134),0)+IF(RIGHT(BX$39,2)&gt;RIGHT($K134,2),BB134,0))</f>
        <v>0</v>
      </c>
      <c r="BY134" s="1492">
        <f>+IF($K134="Ongoing",BC134,IF(RIGHT($K134,2)=RIGHT(BY$39,2),SUM($AX134:BC134),0)+IF(RIGHT(BY$39,2)&gt;RIGHT($K134,2),BC134,0))</f>
        <v>0</v>
      </c>
      <c r="BZ134" s="1490">
        <f>+IF($K134="Ongoing",BD134,IF(RIGHT($K134,2)=RIGHT(BZ$39,2),SUM($AX134:BD134),0)+IF(RIGHT(BZ$39,2)&gt;RIGHT($K134,2),BD134,0))</f>
        <v>0</v>
      </c>
      <c r="CA134" s="1490">
        <f>+IF($K134="Ongoing",BE134,IF(RIGHT($K134,2)=RIGHT(CA$39,2),SUM($AX134:BE134),0)+IF(RIGHT(CA$39,2)&gt;RIGHT($K134,2),BE134,0))</f>
        <v>0</v>
      </c>
      <c r="CB134" s="1490">
        <f>+IF($K134="Ongoing",BF134,IF(RIGHT($K134,2)=RIGHT(CB$39,2),SUM($AX134:BF134),0)+IF(RIGHT(CB$39,2)&gt;RIGHT($K134,2),BF134,0))</f>
        <v>0</v>
      </c>
      <c r="CC134" s="1491">
        <f>+IF($K134="Ongoing",BG134,IF(RIGHT($K134,2)=RIGHT(CC$39,2),SUM($AX134:BG134),0)+IF(RIGHT(CC$39,2)&gt;RIGHT($K134,2),BG134,0))</f>
        <v>0</v>
      </c>
      <c r="CD134" s="1133"/>
      <c r="CE134" s="1492">
        <f>+Q134*KeyAssumptionsPriceControl_FO!AC$15</f>
        <v>0</v>
      </c>
      <c r="CF134" s="1490">
        <f>+R134*KeyAssumptionsPriceControl_FO!AD$15</f>
        <v>0</v>
      </c>
      <c r="CG134" s="1490">
        <f>+S134*KeyAssumptionsPriceControl_FO!AE$15</f>
        <v>0</v>
      </c>
      <c r="CH134" s="1490">
        <f>+T134*KeyAssumptionsPriceControl_FO!AF$15</f>
        <v>0</v>
      </c>
      <c r="CI134" s="1491">
        <f>+U134*KeyAssumptionsPriceControl_FO!AG$15</f>
        <v>0</v>
      </c>
      <c r="CJ134" s="1492">
        <f>+V134*KeyAssumptionsPriceControl_FO!AH$15</f>
        <v>0</v>
      </c>
      <c r="CK134" s="1490">
        <f>+W134*KeyAssumptionsPriceControl_FO!AI$15</f>
        <v>0</v>
      </c>
      <c r="CL134" s="1490">
        <f>+X134*KeyAssumptionsPriceControl_FO!AJ$15</f>
        <v>0</v>
      </c>
      <c r="CM134" s="1490">
        <f>+Y134*KeyAssumptionsPriceControl_FO!AK$15</f>
        <v>0</v>
      </c>
      <c r="CN134" s="1491">
        <f>+Z134*KeyAssumptionsPriceControl_FO!AL$15</f>
        <v>0</v>
      </c>
      <c r="CO134" s="1133"/>
      <c r="CP134" s="1492">
        <f t="shared" ca="1" si="117"/>
        <v>0</v>
      </c>
      <c r="CQ134" s="1490">
        <f t="shared" ca="1" si="118"/>
        <v>0</v>
      </c>
      <c r="CR134" s="1490">
        <f t="shared" ca="1" si="119"/>
        <v>0</v>
      </c>
      <c r="CS134" s="1490">
        <f t="shared" ca="1" si="120"/>
        <v>0</v>
      </c>
      <c r="CT134" s="1491">
        <f t="shared" ca="1" si="121"/>
        <v>0</v>
      </c>
      <c r="CU134" s="1492">
        <f t="shared" ca="1" si="122"/>
        <v>0</v>
      </c>
      <c r="CV134" s="1490">
        <f t="shared" ca="1" si="123"/>
        <v>0</v>
      </c>
      <c r="CW134" s="1490">
        <f t="shared" ca="1" si="124"/>
        <v>0</v>
      </c>
      <c r="CX134" s="1490">
        <f t="shared" ca="1" si="125"/>
        <v>0</v>
      </c>
      <c r="CY134" s="1491">
        <f t="shared" ca="1" si="126"/>
        <v>0</v>
      </c>
    </row>
    <row r="135" spans="2:103" x14ac:dyDescent="0.3">
      <c r="B135" s="397"/>
      <c r="C135" s="1294" t="s">
        <v>1048</v>
      </c>
      <c r="D135" s="1295"/>
      <c r="E135" s="2097" t="s">
        <v>28</v>
      </c>
      <c r="F135" s="2097" t="s">
        <v>570</v>
      </c>
      <c r="G135" s="1294" t="s">
        <v>559</v>
      </c>
      <c r="H135" s="2099" t="s">
        <v>529</v>
      </c>
      <c r="I135" s="2100"/>
      <c r="J135" s="1292" t="s">
        <v>279</v>
      </c>
      <c r="K135" s="1292" t="s">
        <v>295</v>
      </c>
      <c r="L135" s="1292"/>
      <c r="M135" s="1292"/>
      <c r="O135" s="376"/>
      <c r="P135" s="376"/>
      <c r="Q135" s="1509"/>
      <c r="R135" s="1130"/>
      <c r="S135" s="1510"/>
      <c r="T135" s="1510"/>
      <c r="U135" s="1131"/>
      <c r="V135" s="1129"/>
      <c r="W135" s="1130"/>
      <c r="X135" s="1130"/>
      <c r="Y135" s="1130"/>
      <c r="Z135" s="1131"/>
      <c r="AA135" s="1132"/>
      <c r="AB135" s="1129"/>
      <c r="AC135" s="1130"/>
      <c r="AD135" s="1510"/>
      <c r="AE135" s="1130"/>
      <c r="AF135" s="1131"/>
      <c r="AG135" s="1129"/>
      <c r="AH135" s="1130"/>
      <c r="AI135" s="1130"/>
      <c r="AJ135" s="1130"/>
      <c r="AK135" s="1131"/>
      <c r="AL135" s="1132"/>
      <c r="AM135" s="1129"/>
      <c r="AN135" s="1130"/>
      <c r="AO135" s="1130"/>
      <c r="AP135" s="1510"/>
      <c r="AQ135" s="1131"/>
      <c r="AR135" s="1129"/>
      <c r="AS135" s="1130"/>
      <c r="AT135" s="1130"/>
      <c r="AU135" s="1130"/>
      <c r="AV135" s="1131"/>
      <c r="AW135" s="1133"/>
      <c r="AX135" s="1492">
        <f t="shared" si="127"/>
        <v>0</v>
      </c>
      <c r="AY135" s="1490">
        <f t="shared" si="128"/>
        <v>0</v>
      </c>
      <c r="AZ135" s="1490">
        <f t="shared" si="129"/>
        <v>0</v>
      </c>
      <c r="BA135" s="1490">
        <f t="shared" si="130"/>
        <v>0</v>
      </c>
      <c r="BB135" s="1491">
        <f t="shared" si="131"/>
        <v>0</v>
      </c>
      <c r="BC135" s="1492">
        <f t="shared" si="132"/>
        <v>0</v>
      </c>
      <c r="BD135" s="1490">
        <f t="shared" si="133"/>
        <v>0</v>
      </c>
      <c r="BE135" s="1490">
        <f t="shared" si="134"/>
        <v>0</v>
      </c>
      <c r="BF135" s="1490">
        <f t="shared" si="105"/>
        <v>0</v>
      </c>
      <c r="BG135" s="1491">
        <f t="shared" si="106"/>
        <v>0</v>
      </c>
      <c r="BH135" s="1133"/>
      <c r="BI135" s="1492">
        <f t="shared" ca="1" si="107"/>
        <v>0</v>
      </c>
      <c r="BJ135" s="1490">
        <f t="shared" ca="1" si="108"/>
        <v>0</v>
      </c>
      <c r="BK135" s="1490">
        <f t="shared" ca="1" si="109"/>
        <v>0</v>
      </c>
      <c r="BL135" s="1490">
        <f t="shared" ca="1" si="110"/>
        <v>0</v>
      </c>
      <c r="BM135" s="1491">
        <f t="shared" ca="1" si="111"/>
        <v>0</v>
      </c>
      <c r="BN135" s="1492">
        <f t="shared" ca="1" si="112"/>
        <v>0</v>
      </c>
      <c r="BO135" s="1490">
        <f t="shared" ca="1" si="113"/>
        <v>0</v>
      </c>
      <c r="BP135" s="1490">
        <f t="shared" ca="1" si="114"/>
        <v>0</v>
      </c>
      <c r="BQ135" s="1490">
        <f t="shared" ca="1" si="115"/>
        <v>0</v>
      </c>
      <c r="BR135" s="1491">
        <f t="shared" ca="1" si="116"/>
        <v>0</v>
      </c>
      <c r="BS135" s="1133"/>
      <c r="BT135" s="1492">
        <f>+IF($K135="Ongoing",AX135,IF(RIGHT($K135,2)=RIGHT(BT$39,2),SUM($AX135:AX135),0)+IF(RIGHT(BT$39,2)&gt;RIGHT($K135,2),AX135,0))</f>
        <v>0</v>
      </c>
      <c r="BU135" s="1490">
        <f>+IF($K135="Ongoing",AY135,IF(RIGHT($K135,2)=RIGHT(BU$39,2),SUM($AX135:AY135),0)+IF(RIGHT(BU$39,2)&gt;RIGHT($K135,2),AY135,0))</f>
        <v>0</v>
      </c>
      <c r="BV135" s="1490">
        <f>+IF($K135="Ongoing",AZ135,IF(RIGHT($K135,2)=RIGHT(BV$39,2),SUM($AX135:AZ135),0)+IF(RIGHT(BV$39,2)&gt;RIGHT($K135,2),AZ135,0))</f>
        <v>0</v>
      </c>
      <c r="BW135" s="1490">
        <f>+IF($K135="Ongoing",BA135,IF(RIGHT($K135,2)=RIGHT(BW$39,2),SUM($AX135:BA135),0)+IF(RIGHT(BW$39,2)&gt;RIGHT($K135,2),BA135,0))</f>
        <v>0</v>
      </c>
      <c r="BX135" s="1491">
        <f>+IF($K135="Ongoing",BB135,IF(RIGHT($K135,2)=RIGHT(BX$39,2),SUM($AX135:BB135),0)+IF(RIGHT(BX$39,2)&gt;RIGHT($K135,2),BB135,0))</f>
        <v>0</v>
      </c>
      <c r="BY135" s="1492">
        <f>+IF($K135="Ongoing",BC135,IF(RIGHT($K135,2)=RIGHT(BY$39,2),SUM($AX135:BC135),0)+IF(RIGHT(BY$39,2)&gt;RIGHT($K135,2),BC135,0))</f>
        <v>0</v>
      </c>
      <c r="BZ135" s="1490">
        <f>+IF($K135="Ongoing",BD135,IF(RIGHT($K135,2)=RIGHT(BZ$39,2),SUM($AX135:BD135),0)+IF(RIGHT(BZ$39,2)&gt;RIGHT($K135,2),BD135,0))</f>
        <v>0</v>
      </c>
      <c r="CA135" s="1490">
        <f>+IF($K135="Ongoing",BE135,IF(RIGHT($K135,2)=RIGHT(CA$39,2),SUM($AX135:BE135),0)+IF(RIGHT(CA$39,2)&gt;RIGHT($K135,2),BE135,0))</f>
        <v>0</v>
      </c>
      <c r="CB135" s="1490">
        <f>+IF($K135="Ongoing",BF135,IF(RIGHT($K135,2)=RIGHT(CB$39,2),SUM($AX135:BF135),0)+IF(RIGHT(CB$39,2)&gt;RIGHT($K135,2),BF135,0))</f>
        <v>0</v>
      </c>
      <c r="CC135" s="1491">
        <f>+IF($K135="Ongoing",BG135,IF(RIGHT($K135,2)=RIGHT(CC$39,2),SUM($AX135:BG135),0)+IF(RIGHT(CC$39,2)&gt;RIGHT($K135,2),BG135,0))</f>
        <v>0</v>
      </c>
      <c r="CD135" s="1133"/>
      <c r="CE135" s="1492">
        <f>+Q135*KeyAssumptionsPriceControl_FO!AC$15</f>
        <v>0</v>
      </c>
      <c r="CF135" s="1490">
        <f>+R135*KeyAssumptionsPriceControl_FO!AD$15</f>
        <v>0</v>
      </c>
      <c r="CG135" s="1490">
        <f>+S135*KeyAssumptionsPriceControl_FO!AE$15</f>
        <v>0</v>
      </c>
      <c r="CH135" s="1490">
        <f>+T135*KeyAssumptionsPriceControl_FO!AF$15</f>
        <v>0</v>
      </c>
      <c r="CI135" s="1491">
        <f>+U135*KeyAssumptionsPriceControl_FO!AG$15</f>
        <v>0</v>
      </c>
      <c r="CJ135" s="1492">
        <f>+V135*KeyAssumptionsPriceControl_FO!AH$15</f>
        <v>0</v>
      </c>
      <c r="CK135" s="1490">
        <f>+W135*KeyAssumptionsPriceControl_FO!AI$15</f>
        <v>0</v>
      </c>
      <c r="CL135" s="1490">
        <f>+X135*KeyAssumptionsPriceControl_FO!AJ$15</f>
        <v>0</v>
      </c>
      <c r="CM135" s="1490">
        <f>+Y135*KeyAssumptionsPriceControl_FO!AK$15</f>
        <v>0</v>
      </c>
      <c r="CN135" s="1491">
        <f>+Z135*KeyAssumptionsPriceControl_FO!AL$15</f>
        <v>0</v>
      </c>
      <c r="CO135" s="1133"/>
      <c r="CP135" s="1492">
        <f t="shared" ca="1" si="117"/>
        <v>0</v>
      </c>
      <c r="CQ135" s="1490">
        <f t="shared" ca="1" si="118"/>
        <v>0</v>
      </c>
      <c r="CR135" s="1490">
        <f t="shared" ca="1" si="119"/>
        <v>0</v>
      </c>
      <c r="CS135" s="1490">
        <f t="shared" ca="1" si="120"/>
        <v>0</v>
      </c>
      <c r="CT135" s="1491">
        <f t="shared" ca="1" si="121"/>
        <v>0</v>
      </c>
      <c r="CU135" s="1492">
        <f t="shared" ca="1" si="122"/>
        <v>0</v>
      </c>
      <c r="CV135" s="1490">
        <f t="shared" ca="1" si="123"/>
        <v>0</v>
      </c>
      <c r="CW135" s="1490">
        <f t="shared" ca="1" si="124"/>
        <v>0</v>
      </c>
      <c r="CX135" s="1490">
        <f t="shared" ca="1" si="125"/>
        <v>0</v>
      </c>
      <c r="CY135" s="1491">
        <f t="shared" ca="1" si="126"/>
        <v>0</v>
      </c>
    </row>
    <row r="136" spans="2:103" x14ac:dyDescent="0.3">
      <c r="B136" s="397"/>
      <c r="C136" s="1294" t="s">
        <v>1048</v>
      </c>
      <c r="D136" s="1295"/>
      <c r="E136" s="2097" t="s">
        <v>28</v>
      </c>
      <c r="F136" s="2097" t="s">
        <v>570</v>
      </c>
      <c r="G136" s="1294" t="s">
        <v>559</v>
      </c>
      <c r="H136" s="2099" t="s">
        <v>529</v>
      </c>
      <c r="I136" s="2100"/>
      <c r="J136" s="1292" t="s">
        <v>279</v>
      </c>
      <c r="K136" s="1292" t="s">
        <v>295</v>
      </c>
      <c r="L136" s="1292"/>
      <c r="M136" s="1292"/>
      <c r="O136" s="376"/>
      <c r="P136" s="376"/>
      <c r="Q136" s="1509"/>
      <c r="R136" s="1130"/>
      <c r="S136" s="1510"/>
      <c r="T136" s="1510"/>
      <c r="U136" s="1131"/>
      <c r="V136" s="1129"/>
      <c r="W136" s="1130"/>
      <c r="X136" s="1130"/>
      <c r="Y136" s="1130"/>
      <c r="Z136" s="1131"/>
      <c r="AA136" s="1132"/>
      <c r="AB136" s="1129"/>
      <c r="AC136" s="1130"/>
      <c r="AD136" s="1510"/>
      <c r="AE136" s="1130"/>
      <c r="AF136" s="1131"/>
      <c r="AG136" s="1129"/>
      <c r="AH136" s="1130"/>
      <c r="AI136" s="1130"/>
      <c r="AJ136" s="1130"/>
      <c r="AK136" s="1131"/>
      <c r="AL136" s="1132"/>
      <c r="AM136" s="1129"/>
      <c r="AN136" s="1130"/>
      <c r="AO136" s="1130"/>
      <c r="AP136" s="1510"/>
      <c r="AQ136" s="1131"/>
      <c r="AR136" s="1129"/>
      <c r="AS136" s="1130"/>
      <c r="AT136" s="1130"/>
      <c r="AU136" s="1130"/>
      <c r="AV136" s="1131"/>
      <c r="AW136" s="1133"/>
      <c r="AX136" s="1492">
        <f t="shared" si="127"/>
        <v>0</v>
      </c>
      <c r="AY136" s="1490">
        <f t="shared" si="128"/>
        <v>0</v>
      </c>
      <c r="AZ136" s="1490">
        <f t="shared" si="129"/>
        <v>0</v>
      </c>
      <c r="BA136" s="1490">
        <f t="shared" si="130"/>
        <v>0</v>
      </c>
      <c r="BB136" s="1491">
        <f t="shared" si="131"/>
        <v>0</v>
      </c>
      <c r="BC136" s="1492">
        <f t="shared" si="132"/>
        <v>0</v>
      </c>
      <c r="BD136" s="1490">
        <f t="shared" si="133"/>
        <v>0</v>
      </c>
      <c r="BE136" s="1490">
        <f t="shared" si="134"/>
        <v>0</v>
      </c>
      <c r="BF136" s="1490">
        <f t="shared" si="105"/>
        <v>0</v>
      </c>
      <c r="BG136" s="1491">
        <f t="shared" si="106"/>
        <v>0</v>
      </c>
      <c r="BH136" s="1133"/>
      <c r="BI136" s="1492">
        <f t="shared" ca="1" si="107"/>
        <v>0</v>
      </c>
      <c r="BJ136" s="1490">
        <f t="shared" ca="1" si="108"/>
        <v>0</v>
      </c>
      <c r="BK136" s="1490">
        <f t="shared" ca="1" si="109"/>
        <v>0</v>
      </c>
      <c r="BL136" s="1490">
        <f t="shared" ca="1" si="110"/>
        <v>0</v>
      </c>
      <c r="BM136" s="1491">
        <f t="shared" ca="1" si="111"/>
        <v>0</v>
      </c>
      <c r="BN136" s="1492">
        <f t="shared" ca="1" si="112"/>
        <v>0</v>
      </c>
      <c r="BO136" s="1490">
        <f t="shared" ca="1" si="113"/>
        <v>0</v>
      </c>
      <c r="BP136" s="1490">
        <f t="shared" ca="1" si="114"/>
        <v>0</v>
      </c>
      <c r="BQ136" s="1490">
        <f t="shared" ca="1" si="115"/>
        <v>0</v>
      </c>
      <c r="BR136" s="1491">
        <f t="shared" ca="1" si="116"/>
        <v>0</v>
      </c>
      <c r="BS136" s="1133"/>
      <c r="BT136" s="1492">
        <f>+IF($K136="Ongoing",AX136,IF(RIGHT($K136,2)=RIGHT(BT$39,2),SUM($AX136:AX136),0)+IF(RIGHT(BT$39,2)&gt;RIGHT($K136,2),AX136,0))</f>
        <v>0</v>
      </c>
      <c r="BU136" s="1490">
        <f>+IF($K136="Ongoing",AY136,IF(RIGHT($K136,2)=RIGHT(BU$39,2),SUM($AX136:AY136),0)+IF(RIGHT(BU$39,2)&gt;RIGHT($K136,2),AY136,0))</f>
        <v>0</v>
      </c>
      <c r="BV136" s="1490">
        <f>+IF($K136="Ongoing",AZ136,IF(RIGHT($K136,2)=RIGHT(BV$39,2),SUM($AX136:AZ136),0)+IF(RIGHT(BV$39,2)&gt;RIGHT($K136,2),AZ136,0))</f>
        <v>0</v>
      </c>
      <c r="BW136" s="1490">
        <f>+IF($K136="Ongoing",BA136,IF(RIGHT($K136,2)=RIGHT(BW$39,2),SUM($AX136:BA136),0)+IF(RIGHT(BW$39,2)&gt;RIGHT($K136,2),BA136,0))</f>
        <v>0</v>
      </c>
      <c r="BX136" s="1491">
        <f>+IF($K136="Ongoing",BB136,IF(RIGHT($K136,2)=RIGHT(BX$39,2),SUM($AX136:BB136),0)+IF(RIGHT(BX$39,2)&gt;RIGHT($K136,2),BB136,0))</f>
        <v>0</v>
      </c>
      <c r="BY136" s="1492">
        <f>+IF($K136="Ongoing",BC136,IF(RIGHT($K136,2)=RIGHT(BY$39,2),SUM($AX136:BC136),0)+IF(RIGHT(BY$39,2)&gt;RIGHT($K136,2),BC136,0))</f>
        <v>0</v>
      </c>
      <c r="BZ136" s="1490">
        <f>+IF($K136="Ongoing",BD136,IF(RIGHT($K136,2)=RIGHT(BZ$39,2),SUM($AX136:BD136),0)+IF(RIGHT(BZ$39,2)&gt;RIGHT($K136,2),BD136,0))</f>
        <v>0</v>
      </c>
      <c r="CA136" s="1490">
        <f>+IF($K136="Ongoing",BE136,IF(RIGHT($K136,2)=RIGHT(CA$39,2),SUM($AX136:BE136),0)+IF(RIGHT(CA$39,2)&gt;RIGHT($K136,2),BE136,0))</f>
        <v>0</v>
      </c>
      <c r="CB136" s="1490">
        <f>+IF($K136="Ongoing",BF136,IF(RIGHT($K136,2)=RIGHT(CB$39,2),SUM($AX136:BF136),0)+IF(RIGHT(CB$39,2)&gt;RIGHT($K136,2),BF136,0))</f>
        <v>0</v>
      </c>
      <c r="CC136" s="1491">
        <f>+IF($K136="Ongoing",BG136,IF(RIGHT($K136,2)=RIGHT(CC$39,2),SUM($AX136:BG136),0)+IF(RIGHT(CC$39,2)&gt;RIGHT($K136,2),BG136,0))</f>
        <v>0</v>
      </c>
      <c r="CD136" s="1133"/>
      <c r="CE136" s="1492">
        <f>+Q136*KeyAssumptionsPriceControl_FO!AC$15</f>
        <v>0</v>
      </c>
      <c r="CF136" s="1490">
        <f>+R136*KeyAssumptionsPriceControl_FO!AD$15</f>
        <v>0</v>
      </c>
      <c r="CG136" s="1490">
        <f>+S136*KeyAssumptionsPriceControl_FO!AE$15</f>
        <v>0</v>
      </c>
      <c r="CH136" s="1490">
        <f>+T136*KeyAssumptionsPriceControl_FO!AF$15</f>
        <v>0</v>
      </c>
      <c r="CI136" s="1491">
        <f>+U136*KeyAssumptionsPriceControl_FO!AG$15</f>
        <v>0</v>
      </c>
      <c r="CJ136" s="1492">
        <f>+V136*KeyAssumptionsPriceControl_FO!AH$15</f>
        <v>0</v>
      </c>
      <c r="CK136" s="1490">
        <f>+W136*KeyAssumptionsPriceControl_FO!AI$15</f>
        <v>0</v>
      </c>
      <c r="CL136" s="1490">
        <f>+X136*KeyAssumptionsPriceControl_FO!AJ$15</f>
        <v>0</v>
      </c>
      <c r="CM136" s="1490">
        <f>+Y136*KeyAssumptionsPriceControl_FO!AK$15</f>
        <v>0</v>
      </c>
      <c r="CN136" s="1491">
        <f>+Z136*KeyAssumptionsPriceControl_FO!AL$15</f>
        <v>0</v>
      </c>
      <c r="CO136" s="1133"/>
      <c r="CP136" s="1492">
        <f t="shared" ca="1" si="117"/>
        <v>0</v>
      </c>
      <c r="CQ136" s="1490">
        <f t="shared" ca="1" si="118"/>
        <v>0</v>
      </c>
      <c r="CR136" s="1490">
        <f t="shared" ca="1" si="119"/>
        <v>0</v>
      </c>
      <c r="CS136" s="1490">
        <f t="shared" ca="1" si="120"/>
        <v>0</v>
      </c>
      <c r="CT136" s="1491">
        <f t="shared" ca="1" si="121"/>
        <v>0</v>
      </c>
      <c r="CU136" s="1492">
        <f t="shared" ca="1" si="122"/>
        <v>0</v>
      </c>
      <c r="CV136" s="1490">
        <f t="shared" ca="1" si="123"/>
        <v>0</v>
      </c>
      <c r="CW136" s="1490">
        <f t="shared" ca="1" si="124"/>
        <v>0</v>
      </c>
      <c r="CX136" s="1490">
        <f t="shared" ca="1" si="125"/>
        <v>0</v>
      </c>
      <c r="CY136" s="1491">
        <f t="shared" ca="1" si="126"/>
        <v>0</v>
      </c>
    </row>
    <row r="137" spans="2:103" x14ac:dyDescent="0.3">
      <c r="B137" s="397"/>
      <c r="C137" s="1294" t="s">
        <v>1048</v>
      </c>
      <c r="D137" s="1295"/>
      <c r="E137" s="2097" t="s">
        <v>28</v>
      </c>
      <c r="F137" s="2097" t="s">
        <v>570</v>
      </c>
      <c r="G137" s="1294" t="s">
        <v>559</v>
      </c>
      <c r="H137" s="2099" t="s">
        <v>529</v>
      </c>
      <c r="I137" s="2100"/>
      <c r="J137" s="1292" t="s">
        <v>279</v>
      </c>
      <c r="K137" s="1292" t="s">
        <v>295</v>
      </c>
      <c r="L137" s="1292"/>
      <c r="M137" s="1292"/>
      <c r="O137" s="376"/>
      <c r="P137" s="376"/>
      <c r="Q137" s="1509"/>
      <c r="R137" s="1130"/>
      <c r="S137" s="1510"/>
      <c r="T137" s="1510"/>
      <c r="U137" s="1131"/>
      <c r="V137" s="1129"/>
      <c r="W137" s="1130"/>
      <c r="X137" s="1130"/>
      <c r="Y137" s="1130"/>
      <c r="Z137" s="1131"/>
      <c r="AA137" s="1132"/>
      <c r="AB137" s="1129"/>
      <c r="AC137" s="1130"/>
      <c r="AD137" s="1510"/>
      <c r="AE137" s="1130"/>
      <c r="AF137" s="1131"/>
      <c r="AG137" s="1129"/>
      <c r="AH137" s="1130"/>
      <c r="AI137" s="1130"/>
      <c r="AJ137" s="1130"/>
      <c r="AK137" s="1131"/>
      <c r="AL137" s="1132"/>
      <c r="AM137" s="1129"/>
      <c r="AN137" s="1130"/>
      <c r="AO137" s="1130"/>
      <c r="AP137" s="1510"/>
      <c r="AQ137" s="1131"/>
      <c r="AR137" s="1129"/>
      <c r="AS137" s="1130"/>
      <c r="AT137" s="1130"/>
      <c r="AU137" s="1130"/>
      <c r="AV137" s="1131"/>
      <c r="AW137" s="1133"/>
      <c r="AX137" s="1492">
        <f t="shared" si="127"/>
        <v>0</v>
      </c>
      <c r="AY137" s="1490">
        <f t="shared" si="128"/>
        <v>0</v>
      </c>
      <c r="AZ137" s="1490">
        <f t="shared" si="129"/>
        <v>0</v>
      </c>
      <c r="BA137" s="1490">
        <f t="shared" si="130"/>
        <v>0</v>
      </c>
      <c r="BB137" s="1491">
        <f t="shared" si="131"/>
        <v>0</v>
      </c>
      <c r="BC137" s="1492">
        <f t="shared" si="132"/>
        <v>0</v>
      </c>
      <c r="BD137" s="1490">
        <f t="shared" si="133"/>
        <v>0</v>
      </c>
      <c r="BE137" s="1490">
        <f t="shared" si="134"/>
        <v>0</v>
      </c>
      <c r="BF137" s="1490">
        <f t="shared" si="105"/>
        <v>0</v>
      </c>
      <c r="BG137" s="1491">
        <f t="shared" si="106"/>
        <v>0</v>
      </c>
      <c r="BH137" s="1133"/>
      <c r="BI137" s="1492">
        <f t="shared" ca="1" si="107"/>
        <v>0</v>
      </c>
      <c r="BJ137" s="1490">
        <f t="shared" ca="1" si="108"/>
        <v>0</v>
      </c>
      <c r="BK137" s="1490">
        <f t="shared" ca="1" si="109"/>
        <v>0</v>
      </c>
      <c r="BL137" s="1490">
        <f t="shared" ca="1" si="110"/>
        <v>0</v>
      </c>
      <c r="BM137" s="1491">
        <f t="shared" ca="1" si="111"/>
        <v>0</v>
      </c>
      <c r="BN137" s="1492">
        <f t="shared" ca="1" si="112"/>
        <v>0</v>
      </c>
      <c r="BO137" s="1490">
        <f t="shared" ca="1" si="113"/>
        <v>0</v>
      </c>
      <c r="BP137" s="1490">
        <f t="shared" ca="1" si="114"/>
        <v>0</v>
      </c>
      <c r="BQ137" s="1490">
        <f t="shared" ca="1" si="115"/>
        <v>0</v>
      </c>
      <c r="BR137" s="1491">
        <f t="shared" ca="1" si="116"/>
        <v>0</v>
      </c>
      <c r="BS137" s="1133"/>
      <c r="BT137" s="1492">
        <f>+IF($K137="Ongoing",AX137,IF(RIGHT($K137,2)=RIGHT(BT$39,2),SUM($AX137:AX137),0)+IF(RIGHT(BT$39,2)&gt;RIGHT($K137,2),AX137,0))</f>
        <v>0</v>
      </c>
      <c r="BU137" s="1490">
        <f>+IF($K137="Ongoing",AY137,IF(RIGHT($K137,2)=RIGHT(BU$39,2),SUM($AX137:AY137),0)+IF(RIGHT(BU$39,2)&gt;RIGHT($K137,2),AY137,0))</f>
        <v>0</v>
      </c>
      <c r="BV137" s="1490">
        <f>+IF($K137="Ongoing",AZ137,IF(RIGHT($K137,2)=RIGHT(BV$39,2),SUM($AX137:AZ137),0)+IF(RIGHT(BV$39,2)&gt;RIGHT($K137,2),AZ137,0))</f>
        <v>0</v>
      </c>
      <c r="BW137" s="1490">
        <f>+IF($K137="Ongoing",BA137,IF(RIGHT($K137,2)=RIGHT(BW$39,2),SUM($AX137:BA137),0)+IF(RIGHT(BW$39,2)&gt;RIGHT($K137,2),BA137,0))</f>
        <v>0</v>
      </c>
      <c r="BX137" s="1491">
        <f>+IF($K137="Ongoing",BB137,IF(RIGHT($K137,2)=RIGHT(BX$39,2),SUM($AX137:BB137),0)+IF(RIGHT(BX$39,2)&gt;RIGHT($K137,2),BB137,0))</f>
        <v>0</v>
      </c>
      <c r="BY137" s="1492">
        <f>+IF($K137="Ongoing",BC137,IF(RIGHT($K137,2)=RIGHT(BY$39,2),SUM($AX137:BC137),0)+IF(RIGHT(BY$39,2)&gt;RIGHT($K137,2),BC137,0))</f>
        <v>0</v>
      </c>
      <c r="BZ137" s="1490">
        <f>+IF($K137="Ongoing",BD137,IF(RIGHT($K137,2)=RIGHT(BZ$39,2),SUM($AX137:BD137),0)+IF(RIGHT(BZ$39,2)&gt;RIGHT($K137,2),BD137,0))</f>
        <v>0</v>
      </c>
      <c r="CA137" s="1490">
        <f>+IF($K137="Ongoing",BE137,IF(RIGHT($K137,2)=RIGHT(CA$39,2),SUM($AX137:BE137),0)+IF(RIGHT(CA$39,2)&gt;RIGHT($K137,2),BE137,0))</f>
        <v>0</v>
      </c>
      <c r="CB137" s="1490">
        <f>+IF($K137="Ongoing",BF137,IF(RIGHT($K137,2)=RIGHT(CB$39,2),SUM($AX137:BF137),0)+IF(RIGHT(CB$39,2)&gt;RIGHT($K137,2),BF137,0))</f>
        <v>0</v>
      </c>
      <c r="CC137" s="1491">
        <f>+IF($K137="Ongoing",BG137,IF(RIGHT($K137,2)=RIGHT(CC$39,2),SUM($AX137:BG137),0)+IF(RIGHT(CC$39,2)&gt;RIGHT($K137,2),BG137,0))</f>
        <v>0</v>
      </c>
      <c r="CD137" s="1133"/>
      <c r="CE137" s="1492">
        <f>+Q137*KeyAssumptionsPriceControl_FO!AC$15</f>
        <v>0</v>
      </c>
      <c r="CF137" s="1490">
        <f>+R137*KeyAssumptionsPriceControl_FO!AD$15</f>
        <v>0</v>
      </c>
      <c r="CG137" s="1490">
        <f>+S137*KeyAssumptionsPriceControl_FO!AE$15</f>
        <v>0</v>
      </c>
      <c r="CH137" s="1490">
        <f>+T137*KeyAssumptionsPriceControl_FO!AF$15</f>
        <v>0</v>
      </c>
      <c r="CI137" s="1491">
        <f>+U137*KeyAssumptionsPriceControl_FO!AG$15</f>
        <v>0</v>
      </c>
      <c r="CJ137" s="1492">
        <f>+V137*KeyAssumptionsPriceControl_FO!AH$15</f>
        <v>0</v>
      </c>
      <c r="CK137" s="1490">
        <f>+W137*KeyAssumptionsPriceControl_FO!AI$15</f>
        <v>0</v>
      </c>
      <c r="CL137" s="1490">
        <f>+X137*KeyAssumptionsPriceControl_FO!AJ$15</f>
        <v>0</v>
      </c>
      <c r="CM137" s="1490">
        <f>+Y137*KeyAssumptionsPriceControl_FO!AK$15</f>
        <v>0</v>
      </c>
      <c r="CN137" s="1491">
        <f>+Z137*KeyAssumptionsPriceControl_FO!AL$15</f>
        <v>0</v>
      </c>
      <c r="CO137" s="1133"/>
      <c r="CP137" s="1492">
        <f t="shared" ca="1" si="117"/>
        <v>0</v>
      </c>
      <c r="CQ137" s="1490">
        <f t="shared" ca="1" si="118"/>
        <v>0</v>
      </c>
      <c r="CR137" s="1490">
        <f t="shared" ca="1" si="119"/>
        <v>0</v>
      </c>
      <c r="CS137" s="1490">
        <f t="shared" ca="1" si="120"/>
        <v>0</v>
      </c>
      <c r="CT137" s="1491">
        <f t="shared" ca="1" si="121"/>
        <v>0</v>
      </c>
      <c r="CU137" s="1492">
        <f t="shared" ca="1" si="122"/>
        <v>0</v>
      </c>
      <c r="CV137" s="1490">
        <f t="shared" ca="1" si="123"/>
        <v>0</v>
      </c>
      <c r="CW137" s="1490">
        <f t="shared" ca="1" si="124"/>
        <v>0</v>
      </c>
      <c r="CX137" s="1490">
        <f t="shared" ca="1" si="125"/>
        <v>0</v>
      </c>
      <c r="CY137" s="1491">
        <f t="shared" ca="1" si="126"/>
        <v>0</v>
      </c>
    </row>
    <row r="138" spans="2:103" x14ac:dyDescent="0.3">
      <c r="B138" s="397"/>
      <c r="C138" s="1294" t="s">
        <v>1048</v>
      </c>
      <c r="D138" s="1295"/>
      <c r="E138" s="2097" t="s">
        <v>28</v>
      </c>
      <c r="F138" s="2097" t="s">
        <v>570</v>
      </c>
      <c r="G138" s="1294" t="s">
        <v>559</v>
      </c>
      <c r="H138" s="2099" t="s">
        <v>529</v>
      </c>
      <c r="I138" s="2100"/>
      <c r="J138" s="1292" t="s">
        <v>279</v>
      </c>
      <c r="K138" s="1292" t="s">
        <v>295</v>
      </c>
      <c r="L138" s="1292"/>
      <c r="M138" s="1292"/>
      <c r="O138" s="376"/>
      <c r="P138" s="376"/>
      <c r="Q138" s="1509"/>
      <c r="R138" s="1130"/>
      <c r="S138" s="1510"/>
      <c r="T138" s="1510"/>
      <c r="U138" s="1131"/>
      <c r="V138" s="1129"/>
      <c r="W138" s="1130"/>
      <c r="X138" s="1130"/>
      <c r="Y138" s="1130"/>
      <c r="Z138" s="1131"/>
      <c r="AA138" s="1132"/>
      <c r="AB138" s="1129"/>
      <c r="AC138" s="1130"/>
      <c r="AD138" s="1510"/>
      <c r="AE138" s="1130"/>
      <c r="AF138" s="1131"/>
      <c r="AG138" s="1129"/>
      <c r="AH138" s="1130"/>
      <c r="AI138" s="1130"/>
      <c r="AJ138" s="1130"/>
      <c r="AK138" s="1131"/>
      <c r="AL138" s="1132"/>
      <c r="AM138" s="1129"/>
      <c r="AN138" s="1130"/>
      <c r="AO138" s="1130"/>
      <c r="AP138" s="1510"/>
      <c r="AQ138" s="1131"/>
      <c r="AR138" s="1129"/>
      <c r="AS138" s="1130"/>
      <c r="AT138" s="1130"/>
      <c r="AU138" s="1130"/>
      <c r="AV138" s="1131"/>
      <c r="AW138" s="1133"/>
      <c r="AX138" s="1492">
        <f t="shared" si="127"/>
        <v>0</v>
      </c>
      <c r="AY138" s="1490">
        <f t="shared" si="128"/>
        <v>0</v>
      </c>
      <c r="AZ138" s="1490">
        <f t="shared" si="129"/>
        <v>0</v>
      </c>
      <c r="BA138" s="1490">
        <f t="shared" si="130"/>
        <v>0</v>
      </c>
      <c r="BB138" s="1491">
        <f t="shared" si="131"/>
        <v>0</v>
      </c>
      <c r="BC138" s="1492">
        <f t="shared" si="132"/>
        <v>0</v>
      </c>
      <c r="BD138" s="1490">
        <f t="shared" si="133"/>
        <v>0</v>
      </c>
      <c r="BE138" s="1490">
        <f t="shared" si="134"/>
        <v>0</v>
      </c>
      <c r="BF138" s="1490">
        <f t="shared" si="105"/>
        <v>0</v>
      </c>
      <c r="BG138" s="1491">
        <f t="shared" si="106"/>
        <v>0</v>
      </c>
      <c r="BH138" s="1133"/>
      <c r="BI138" s="1492">
        <f t="shared" ca="1" si="107"/>
        <v>0</v>
      </c>
      <c r="BJ138" s="1490">
        <f t="shared" ca="1" si="108"/>
        <v>0</v>
      </c>
      <c r="BK138" s="1490">
        <f t="shared" ca="1" si="109"/>
        <v>0</v>
      </c>
      <c r="BL138" s="1490">
        <f t="shared" ca="1" si="110"/>
        <v>0</v>
      </c>
      <c r="BM138" s="1491">
        <f t="shared" ca="1" si="111"/>
        <v>0</v>
      </c>
      <c r="BN138" s="1492">
        <f t="shared" ca="1" si="112"/>
        <v>0</v>
      </c>
      <c r="BO138" s="1490">
        <f t="shared" ca="1" si="113"/>
        <v>0</v>
      </c>
      <c r="BP138" s="1490">
        <f t="shared" ca="1" si="114"/>
        <v>0</v>
      </c>
      <c r="BQ138" s="1490">
        <f t="shared" ca="1" si="115"/>
        <v>0</v>
      </c>
      <c r="BR138" s="1491">
        <f t="shared" ca="1" si="116"/>
        <v>0</v>
      </c>
      <c r="BS138" s="1133"/>
      <c r="BT138" s="1492">
        <f>+IF($K138="Ongoing",AX138,IF(RIGHT($K138,2)=RIGHT(BT$39,2),SUM($AX138:AX138),0)+IF(RIGHT(BT$39,2)&gt;RIGHT($K138,2),AX138,0))</f>
        <v>0</v>
      </c>
      <c r="BU138" s="1490">
        <f>+IF($K138="Ongoing",AY138,IF(RIGHT($K138,2)=RIGHT(BU$39,2),SUM($AX138:AY138),0)+IF(RIGHT(BU$39,2)&gt;RIGHT($K138,2),AY138,0))</f>
        <v>0</v>
      </c>
      <c r="BV138" s="1490">
        <f>+IF($K138="Ongoing",AZ138,IF(RIGHT($K138,2)=RIGHT(BV$39,2),SUM($AX138:AZ138),0)+IF(RIGHT(BV$39,2)&gt;RIGHT($K138,2),AZ138,0))</f>
        <v>0</v>
      </c>
      <c r="BW138" s="1490">
        <f>+IF($K138="Ongoing",BA138,IF(RIGHT($K138,2)=RIGHT(BW$39,2),SUM($AX138:BA138),0)+IF(RIGHT(BW$39,2)&gt;RIGHT($K138,2),BA138,0))</f>
        <v>0</v>
      </c>
      <c r="BX138" s="1491">
        <f>+IF($K138="Ongoing",BB138,IF(RIGHT($K138,2)=RIGHT(BX$39,2),SUM($AX138:BB138),0)+IF(RIGHT(BX$39,2)&gt;RIGHT($K138,2),BB138,0))</f>
        <v>0</v>
      </c>
      <c r="BY138" s="1492">
        <f>+IF($K138="Ongoing",BC138,IF(RIGHT($K138,2)=RIGHT(BY$39,2),SUM($AX138:BC138),0)+IF(RIGHT(BY$39,2)&gt;RIGHT($K138,2),BC138,0))</f>
        <v>0</v>
      </c>
      <c r="BZ138" s="1490">
        <f>+IF($K138="Ongoing",BD138,IF(RIGHT($K138,2)=RIGHT(BZ$39,2),SUM($AX138:BD138),0)+IF(RIGHT(BZ$39,2)&gt;RIGHT($K138,2),BD138,0))</f>
        <v>0</v>
      </c>
      <c r="CA138" s="1490">
        <f>+IF($K138="Ongoing",BE138,IF(RIGHT($K138,2)=RIGHT(CA$39,2),SUM($AX138:BE138),0)+IF(RIGHT(CA$39,2)&gt;RIGHT($K138,2),BE138,0))</f>
        <v>0</v>
      </c>
      <c r="CB138" s="1490">
        <f>+IF($K138="Ongoing",BF138,IF(RIGHT($K138,2)=RIGHT(CB$39,2),SUM($AX138:BF138),0)+IF(RIGHT(CB$39,2)&gt;RIGHT($K138,2),BF138,0))</f>
        <v>0</v>
      </c>
      <c r="CC138" s="1491">
        <f>+IF($K138="Ongoing",BG138,IF(RIGHT($K138,2)=RIGHT(CC$39,2),SUM($AX138:BG138),0)+IF(RIGHT(CC$39,2)&gt;RIGHT($K138,2),BG138,0))</f>
        <v>0</v>
      </c>
      <c r="CD138" s="1133"/>
      <c r="CE138" s="1492">
        <f>+Q138*KeyAssumptionsPriceControl_FO!AC$15</f>
        <v>0</v>
      </c>
      <c r="CF138" s="1490">
        <f>+R138*KeyAssumptionsPriceControl_FO!AD$15</f>
        <v>0</v>
      </c>
      <c r="CG138" s="1490">
        <f>+S138*KeyAssumptionsPriceControl_FO!AE$15</f>
        <v>0</v>
      </c>
      <c r="CH138" s="1490">
        <f>+T138*KeyAssumptionsPriceControl_FO!AF$15</f>
        <v>0</v>
      </c>
      <c r="CI138" s="1491">
        <f>+U138*KeyAssumptionsPriceControl_FO!AG$15</f>
        <v>0</v>
      </c>
      <c r="CJ138" s="1492">
        <f>+V138*KeyAssumptionsPriceControl_FO!AH$15</f>
        <v>0</v>
      </c>
      <c r="CK138" s="1490">
        <f>+W138*KeyAssumptionsPriceControl_FO!AI$15</f>
        <v>0</v>
      </c>
      <c r="CL138" s="1490">
        <f>+X138*KeyAssumptionsPriceControl_FO!AJ$15</f>
        <v>0</v>
      </c>
      <c r="CM138" s="1490">
        <f>+Y138*KeyAssumptionsPriceControl_FO!AK$15</f>
        <v>0</v>
      </c>
      <c r="CN138" s="1491">
        <f>+Z138*KeyAssumptionsPriceControl_FO!AL$15</f>
        <v>0</v>
      </c>
      <c r="CO138" s="1133"/>
      <c r="CP138" s="1492">
        <f t="shared" ca="1" si="117"/>
        <v>0</v>
      </c>
      <c r="CQ138" s="1490">
        <f t="shared" ca="1" si="118"/>
        <v>0</v>
      </c>
      <c r="CR138" s="1490">
        <f t="shared" ca="1" si="119"/>
        <v>0</v>
      </c>
      <c r="CS138" s="1490">
        <f t="shared" ca="1" si="120"/>
        <v>0</v>
      </c>
      <c r="CT138" s="1491">
        <f t="shared" ca="1" si="121"/>
        <v>0</v>
      </c>
      <c r="CU138" s="1492">
        <f t="shared" ca="1" si="122"/>
        <v>0</v>
      </c>
      <c r="CV138" s="1490">
        <f t="shared" ca="1" si="123"/>
        <v>0</v>
      </c>
      <c r="CW138" s="1490">
        <f t="shared" ca="1" si="124"/>
        <v>0</v>
      </c>
      <c r="CX138" s="1490">
        <f t="shared" ca="1" si="125"/>
        <v>0</v>
      </c>
      <c r="CY138" s="1491">
        <f t="shared" ca="1" si="126"/>
        <v>0</v>
      </c>
    </row>
    <row r="139" spans="2:103" x14ac:dyDescent="0.3">
      <c r="B139" s="397"/>
      <c r="C139" s="1294" t="s">
        <v>1048</v>
      </c>
      <c r="D139" s="1295"/>
      <c r="E139" s="2097" t="s">
        <v>28</v>
      </c>
      <c r="F139" s="2097" t="s">
        <v>570</v>
      </c>
      <c r="G139" s="1294" t="s">
        <v>559</v>
      </c>
      <c r="H139" s="2099" t="s">
        <v>529</v>
      </c>
      <c r="I139" s="2100"/>
      <c r="J139" s="1292" t="s">
        <v>279</v>
      </c>
      <c r="K139" s="1292" t="s">
        <v>295</v>
      </c>
      <c r="L139" s="1292"/>
      <c r="M139" s="1292"/>
      <c r="O139" s="376"/>
      <c r="P139" s="376"/>
      <c r="Q139" s="1509"/>
      <c r="R139" s="1130"/>
      <c r="S139" s="1510"/>
      <c r="T139" s="1510"/>
      <c r="U139" s="1131"/>
      <c r="V139" s="1129"/>
      <c r="W139" s="1130"/>
      <c r="X139" s="1130"/>
      <c r="Y139" s="1130"/>
      <c r="Z139" s="1131"/>
      <c r="AA139" s="1132"/>
      <c r="AB139" s="1129"/>
      <c r="AC139" s="1130"/>
      <c r="AD139" s="1510"/>
      <c r="AE139" s="1130"/>
      <c r="AF139" s="1131"/>
      <c r="AG139" s="1129"/>
      <c r="AH139" s="1130"/>
      <c r="AI139" s="1130"/>
      <c r="AJ139" s="1130"/>
      <c r="AK139" s="1131"/>
      <c r="AL139" s="1132"/>
      <c r="AM139" s="1129"/>
      <c r="AN139" s="1130"/>
      <c r="AO139" s="1130"/>
      <c r="AP139" s="1510"/>
      <c r="AQ139" s="1131"/>
      <c r="AR139" s="1129"/>
      <c r="AS139" s="1130"/>
      <c r="AT139" s="1130"/>
      <c r="AU139" s="1130"/>
      <c r="AV139" s="1131"/>
      <c r="AW139" s="1133"/>
      <c r="AX139" s="1492">
        <f t="shared" si="127"/>
        <v>0</v>
      </c>
      <c r="AY139" s="1490">
        <f t="shared" si="128"/>
        <v>0</v>
      </c>
      <c r="AZ139" s="1490">
        <f t="shared" si="129"/>
        <v>0</v>
      </c>
      <c r="BA139" s="1490">
        <f t="shared" si="130"/>
        <v>0</v>
      </c>
      <c r="BB139" s="1491">
        <f t="shared" si="131"/>
        <v>0</v>
      </c>
      <c r="BC139" s="1492">
        <f t="shared" si="132"/>
        <v>0</v>
      </c>
      <c r="BD139" s="1490">
        <f t="shared" si="133"/>
        <v>0</v>
      </c>
      <c r="BE139" s="1490">
        <f t="shared" si="134"/>
        <v>0</v>
      </c>
      <c r="BF139" s="1490">
        <f t="shared" si="105"/>
        <v>0</v>
      </c>
      <c r="BG139" s="1491">
        <f t="shared" si="106"/>
        <v>0</v>
      </c>
      <c r="BH139" s="1133"/>
      <c r="BI139" s="1492">
        <f t="shared" ca="1" si="107"/>
        <v>0</v>
      </c>
      <c r="BJ139" s="1490">
        <f t="shared" ca="1" si="108"/>
        <v>0</v>
      </c>
      <c r="BK139" s="1490">
        <f t="shared" ca="1" si="109"/>
        <v>0</v>
      </c>
      <c r="BL139" s="1490">
        <f t="shared" ca="1" si="110"/>
        <v>0</v>
      </c>
      <c r="BM139" s="1491">
        <f t="shared" ca="1" si="111"/>
        <v>0</v>
      </c>
      <c r="BN139" s="1492">
        <f t="shared" ca="1" si="112"/>
        <v>0</v>
      </c>
      <c r="BO139" s="1490">
        <f t="shared" ca="1" si="113"/>
        <v>0</v>
      </c>
      <c r="BP139" s="1490">
        <f t="shared" ca="1" si="114"/>
        <v>0</v>
      </c>
      <c r="BQ139" s="1490">
        <f t="shared" ca="1" si="115"/>
        <v>0</v>
      </c>
      <c r="BR139" s="1491">
        <f t="shared" ca="1" si="116"/>
        <v>0</v>
      </c>
      <c r="BS139" s="1133"/>
      <c r="BT139" s="1492">
        <f>+IF($K139="Ongoing",AX139,IF(RIGHT($K139,2)=RIGHT(BT$39,2),SUM($AX139:AX139),0)+IF(RIGHT(BT$39,2)&gt;RIGHT($K139,2),AX139,0))</f>
        <v>0</v>
      </c>
      <c r="BU139" s="1490">
        <f>+IF($K139="Ongoing",AY139,IF(RIGHT($K139,2)=RIGHT(BU$39,2),SUM($AX139:AY139),0)+IF(RIGHT(BU$39,2)&gt;RIGHT($K139,2),AY139,0))</f>
        <v>0</v>
      </c>
      <c r="BV139" s="1490">
        <f>+IF($K139="Ongoing",AZ139,IF(RIGHT($K139,2)=RIGHT(BV$39,2),SUM($AX139:AZ139),0)+IF(RIGHT(BV$39,2)&gt;RIGHT($K139,2),AZ139,0))</f>
        <v>0</v>
      </c>
      <c r="BW139" s="1490">
        <f>+IF($K139="Ongoing",BA139,IF(RIGHT($K139,2)=RIGHT(BW$39,2),SUM($AX139:BA139),0)+IF(RIGHT(BW$39,2)&gt;RIGHT($K139,2),BA139,0))</f>
        <v>0</v>
      </c>
      <c r="BX139" s="1491">
        <f>+IF($K139="Ongoing",BB139,IF(RIGHT($K139,2)=RIGHT(BX$39,2),SUM($AX139:BB139),0)+IF(RIGHT(BX$39,2)&gt;RIGHT($K139,2),BB139,0))</f>
        <v>0</v>
      </c>
      <c r="BY139" s="1492">
        <f>+IF($K139="Ongoing",BC139,IF(RIGHT($K139,2)=RIGHT(BY$39,2),SUM($AX139:BC139),0)+IF(RIGHT(BY$39,2)&gt;RIGHT($K139,2),BC139,0))</f>
        <v>0</v>
      </c>
      <c r="BZ139" s="1490">
        <f>+IF($K139="Ongoing",BD139,IF(RIGHT($K139,2)=RIGHT(BZ$39,2),SUM($AX139:BD139),0)+IF(RIGHT(BZ$39,2)&gt;RIGHT($K139,2),BD139,0))</f>
        <v>0</v>
      </c>
      <c r="CA139" s="1490">
        <f>+IF($K139="Ongoing",BE139,IF(RIGHT($K139,2)=RIGHT(CA$39,2),SUM($AX139:BE139),0)+IF(RIGHT(CA$39,2)&gt;RIGHT($K139,2),BE139,0))</f>
        <v>0</v>
      </c>
      <c r="CB139" s="1490">
        <f>+IF($K139="Ongoing",BF139,IF(RIGHT($K139,2)=RIGHT(CB$39,2),SUM($AX139:BF139),0)+IF(RIGHT(CB$39,2)&gt;RIGHT($K139,2),BF139,0))</f>
        <v>0</v>
      </c>
      <c r="CC139" s="1491">
        <f>+IF($K139="Ongoing",BG139,IF(RIGHT($K139,2)=RIGHT(CC$39,2),SUM($AX139:BG139),0)+IF(RIGHT(CC$39,2)&gt;RIGHT($K139,2),BG139,0))</f>
        <v>0</v>
      </c>
      <c r="CD139" s="1133"/>
      <c r="CE139" s="1492">
        <f>+Q139*KeyAssumptionsPriceControl_FO!AC$15</f>
        <v>0</v>
      </c>
      <c r="CF139" s="1490">
        <f>+R139*KeyAssumptionsPriceControl_FO!AD$15</f>
        <v>0</v>
      </c>
      <c r="CG139" s="1490">
        <f>+S139*KeyAssumptionsPriceControl_FO!AE$15</f>
        <v>0</v>
      </c>
      <c r="CH139" s="1490">
        <f>+T139*KeyAssumptionsPriceControl_FO!AF$15</f>
        <v>0</v>
      </c>
      <c r="CI139" s="1491">
        <f>+U139*KeyAssumptionsPriceControl_FO!AG$15</f>
        <v>0</v>
      </c>
      <c r="CJ139" s="1492">
        <f>+V139*KeyAssumptionsPriceControl_FO!AH$15</f>
        <v>0</v>
      </c>
      <c r="CK139" s="1490">
        <f>+W139*KeyAssumptionsPriceControl_FO!AI$15</f>
        <v>0</v>
      </c>
      <c r="CL139" s="1490">
        <f>+X139*KeyAssumptionsPriceControl_FO!AJ$15</f>
        <v>0</v>
      </c>
      <c r="CM139" s="1490">
        <f>+Y139*KeyAssumptionsPriceControl_FO!AK$15</f>
        <v>0</v>
      </c>
      <c r="CN139" s="1491">
        <f>+Z139*KeyAssumptionsPriceControl_FO!AL$15</f>
        <v>0</v>
      </c>
      <c r="CO139" s="1133"/>
      <c r="CP139" s="1492">
        <f t="shared" ca="1" si="117"/>
        <v>0</v>
      </c>
      <c r="CQ139" s="1490">
        <f t="shared" ca="1" si="118"/>
        <v>0</v>
      </c>
      <c r="CR139" s="1490">
        <f t="shared" ca="1" si="119"/>
        <v>0</v>
      </c>
      <c r="CS139" s="1490">
        <f t="shared" ca="1" si="120"/>
        <v>0</v>
      </c>
      <c r="CT139" s="1491">
        <f t="shared" ca="1" si="121"/>
        <v>0</v>
      </c>
      <c r="CU139" s="1492">
        <f t="shared" ca="1" si="122"/>
        <v>0</v>
      </c>
      <c r="CV139" s="1490">
        <f t="shared" ca="1" si="123"/>
        <v>0</v>
      </c>
      <c r="CW139" s="1490">
        <f t="shared" ca="1" si="124"/>
        <v>0</v>
      </c>
      <c r="CX139" s="1490">
        <f t="shared" ca="1" si="125"/>
        <v>0</v>
      </c>
      <c r="CY139" s="1491">
        <f t="shared" ca="1" si="126"/>
        <v>0</v>
      </c>
    </row>
    <row r="140" spans="2:103" x14ac:dyDescent="0.3">
      <c r="B140" s="397"/>
      <c r="C140" s="1294" t="s">
        <v>1048</v>
      </c>
      <c r="D140" s="1295"/>
      <c r="E140" s="2097" t="s">
        <v>28</v>
      </c>
      <c r="F140" s="2097" t="s">
        <v>570</v>
      </c>
      <c r="G140" s="1294" t="s">
        <v>559</v>
      </c>
      <c r="H140" s="2099" t="s">
        <v>529</v>
      </c>
      <c r="I140" s="2100"/>
      <c r="J140" s="1292" t="s">
        <v>279</v>
      </c>
      <c r="K140" s="1292" t="s">
        <v>295</v>
      </c>
      <c r="L140" s="1292"/>
      <c r="M140" s="1292"/>
      <c r="O140" s="376"/>
      <c r="P140" s="376"/>
      <c r="Q140" s="1509"/>
      <c r="R140" s="1130"/>
      <c r="S140" s="1510"/>
      <c r="T140" s="1510"/>
      <c r="U140" s="1131"/>
      <c r="V140" s="1129"/>
      <c r="W140" s="1130"/>
      <c r="X140" s="1130"/>
      <c r="Y140" s="1130"/>
      <c r="Z140" s="1131"/>
      <c r="AA140" s="1132"/>
      <c r="AB140" s="1129"/>
      <c r="AC140" s="1130"/>
      <c r="AD140" s="1510"/>
      <c r="AE140" s="1130"/>
      <c r="AF140" s="1131"/>
      <c r="AG140" s="1129"/>
      <c r="AH140" s="1130"/>
      <c r="AI140" s="1130"/>
      <c r="AJ140" s="1130"/>
      <c r="AK140" s="1131"/>
      <c r="AL140" s="1132"/>
      <c r="AM140" s="1129"/>
      <c r="AN140" s="1130"/>
      <c r="AO140" s="1130"/>
      <c r="AP140" s="1510"/>
      <c r="AQ140" s="1131"/>
      <c r="AR140" s="1129"/>
      <c r="AS140" s="1130"/>
      <c r="AT140" s="1130"/>
      <c r="AU140" s="1130"/>
      <c r="AV140" s="1131"/>
      <c r="AW140" s="1133"/>
      <c r="AX140" s="1492">
        <f t="shared" si="127"/>
        <v>0</v>
      </c>
      <c r="AY140" s="1490">
        <f t="shared" si="128"/>
        <v>0</v>
      </c>
      <c r="AZ140" s="1490">
        <f t="shared" si="129"/>
        <v>0</v>
      </c>
      <c r="BA140" s="1490">
        <f t="shared" si="130"/>
        <v>0</v>
      </c>
      <c r="BB140" s="1491">
        <f t="shared" si="131"/>
        <v>0</v>
      </c>
      <c r="BC140" s="1492">
        <f t="shared" si="132"/>
        <v>0</v>
      </c>
      <c r="BD140" s="1490">
        <f t="shared" si="133"/>
        <v>0</v>
      </c>
      <c r="BE140" s="1490">
        <f t="shared" si="134"/>
        <v>0</v>
      </c>
      <c r="BF140" s="1490">
        <f t="shared" si="105"/>
        <v>0</v>
      </c>
      <c r="BG140" s="1491">
        <f t="shared" si="106"/>
        <v>0</v>
      </c>
      <c r="BH140" s="1133"/>
      <c r="BI140" s="1492">
        <f t="shared" ca="1" si="107"/>
        <v>0</v>
      </c>
      <c r="BJ140" s="1490">
        <f t="shared" ca="1" si="108"/>
        <v>0</v>
      </c>
      <c r="BK140" s="1490">
        <f t="shared" ca="1" si="109"/>
        <v>0</v>
      </c>
      <c r="BL140" s="1490">
        <f t="shared" ca="1" si="110"/>
        <v>0</v>
      </c>
      <c r="BM140" s="1491">
        <f t="shared" ca="1" si="111"/>
        <v>0</v>
      </c>
      <c r="BN140" s="1492">
        <f t="shared" ca="1" si="112"/>
        <v>0</v>
      </c>
      <c r="BO140" s="1490">
        <f t="shared" ca="1" si="113"/>
        <v>0</v>
      </c>
      <c r="BP140" s="1490">
        <f t="shared" ca="1" si="114"/>
        <v>0</v>
      </c>
      <c r="BQ140" s="1490">
        <f t="shared" ca="1" si="115"/>
        <v>0</v>
      </c>
      <c r="BR140" s="1491">
        <f t="shared" ca="1" si="116"/>
        <v>0</v>
      </c>
      <c r="BS140" s="1133"/>
      <c r="BT140" s="1492">
        <f>+IF($K140="Ongoing",AX140,IF(RIGHT($K140,2)=RIGHT(BT$39,2),SUM($AX140:AX140),0)+IF(RIGHT(BT$39,2)&gt;RIGHT($K140,2),AX140,0))</f>
        <v>0</v>
      </c>
      <c r="BU140" s="1490">
        <f>+IF($K140="Ongoing",AY140,IF(RIGHT($K140,2)=RIGHT(BU$39,2),SUM($AX140:AY140),0)+IF(RIGHT(BU$39,2)&gt;RIGHT($K140,2),AY140,0))</f>
        <v>0</v>
      </c>
      <c r="BV140" s="1490">
        <f>+IF($K140="Ongoing",AZ140,IF(RIGHT($K140,2)=RIGHT(BV$39,2),SUM($AX140:AZ140),0)+IF(RIGHT(BV$39,2)&gt;RIGHT($K140,2),AZ140,0))</f>
        <v>0</v>
      </c>
      <c r="BW140" s="1490">
        <f>+IF($K140="Ongoing",BA140,IF(RIGHT($K140,2)=RIGHT(BW$39,2),SUM($AX140:BA140),0)+IF(RIGHT(BW$39,2)&gt;RIGHT($K140,2),BA140,0))</f>
        <v>0</v>
      </c>
      <c r="BX140" s="1491">
        <f>+IF($K140="Ongoing",BB140,IF(RIGHT($K140,2)=RIGHT(BX$39,2),SUM($AX140:BB140),0)+IF(RIGHT(BX$39,2)&gt;RIGHT($K140,2),BB140,0))</f>
        <v>0</v>
      </c>
      <c r="BY140" s="1492">
        <f>+IF($K140="Ongoing",BC140,IF(RIGHT($K140,2)=RIGHT(BY$39,2),SUM($AX140:BC140),0)+IF(RIGHT(BY$39,2)&gt;RIGHT($K140,2),BC140,0))</f>
        <v>0</v>
      </c>
      <c r="BZ140" s="1490">
        <f>+IF($K140="Ongoing",BD140,IF(RIGHT($K140,2)=RIGHT(BZ$39,2),SUM($AX140:BD140),0)+IF(RIGHT(BZ$39,2)&gt;RIGHT($K140,2),BD140,0))</f>
        <v>0</v>
      </c>
      <c r="CA140" s="1490">
        <f>+IF($K140="Ongoing",BE140,IF(RIGHT($K140,2)=RIGHT(CA$39,2),SUM($AX140:BE140),0)+IF(RIGHT(CA$39,2)&gt;RIGHT($K140,2),BE140,0))</f>
        <v>0</v>
      </c>
      <c r="CB140" s="1490">
        <f>+IF($K140="Ongoing",BF140,IF(RIGHT($K140,2)=RIGHT(CB$39,2),SUM($AX140:BF140),0)+IF(RIGHT(CB$39,2)&gt;RIGHT($K140,2),BF140,0))</f>
        <v>0</v>
      </c>
      <c r="CC140" s="1491">
        <f>+IF($K140="Ongoing",BG140,IF(RIGHT($K140,2)=RIGHT(CC$39,2),SUM($AX140:BG140),0)+IF(RIGHT(CC$39,2)&gt;RIGHT($K140,2),BG140,0))</f>
        <v>0</v>
      </c>
      <c r="CD140" s="1133"/>
      <c r="CE140" s="1492">
        <f>+Q140*KeyAssumptionsPriceControl_FO!AC$15</f>
        <v>0</v>
      </c>
      <c r="CF140" s="1490">
        <f>+R140*KeyAssumptionsPriceControl_FO!AD$15</f>
        <v>0</v>
      </c>
      <c r="CG140" s="1490">
        <f>+S140*KeyAssumptionsPriceControl_FO!AE$15</f>
        <v>0</v>
      </c>
      <c r="CH140" s="1490">
        <f>+T140*KeyAssumptionsPriceControl_FO!AF$15</f>
        <v>0</v>
      </c>
      <c r="CI140" s="1491">
        <f>+U140*KeyAssumptionsPriceControl_FO!AG$15</f>
        <v>0</v>
      </c>
      <c r="CJ140" s="1492">
        <f>+V140*KeyAssumptionsPriceControl_FO!AH$15</f>
        <v>0</v>
      </c>
      <c r="CK140" s="1490">
        <f>+W140*KeyAssumptionsPriceControl_FO!AI$15</f>
        <v>0</v>
      </c>
      <c r="CL140" s="1490">
        <f>+X140*KeyAssumptionsPriceControl_FO!AJ$15</f>
        <v>0</v>
      </c>
      <c r="CM140" s="1490">
        <f>+Y140*KeyAssumptionsPriceControl_FO!AK$15</f>
        <v>0</v>
      </c>
      <c r="CN140" s="1491">
        <f>+Z140*KeyAssumptionsPriceControl_FO!AL$15</f>
        <v>0</v>
      </c>
      <c r="CO140" s="1133"/>
      <c r="CP140" s="1492">
        <f t="shared" ca="1" si="117"/>
        <v>0</v>
      </c>
      <c r="CQ140" s="1490">
        <f t="shared" ca="1" si="118"/>
        <v>0</v>
      </c>
      <c r="CR140" s="1490">
        <f t="shared" ca="1" si="119"/>
        <v>0</v>
      </c>
      <c r="CS140" s="1490">
        <f t="shared" ca="1" si="120"/>
        <v>0</v>
      </c>
      <c r="CT140" s="1491">
        <f t="shared" ca="1" si="121"/>
        <v>0</v>
      </c>
      <c r="CU140" s="1492">
        <f t="shared" ca="1" si="122"/>
        <v>0</v>
      </c>
      <c r="CV140" s="1490">
        <f t="shared" ca="1" si="123"/>
        <v>0</v>
      </c>
      <c r="CW140" s="1490">
        <f t="shared" ca="1" si="124"/>
        <v>0</v>
      </c>
      <c r="CX140" s="1490">
        <f t="shared" ca="1" si="125"/>
        <v>0</v>
      </c>
      <c r="CY140" s="1491">
        <f t="shared" ca="1" si="126"/>
        <v>0</v>
      </c>
    </row>
    <row r="141" spans="2:103" x14ac:dyDescent="0.3">
      <c r="B141" s="397"/>
      <c r="C141" s="1294" t="s">
        <v>1048</v>
      </c>
      <c r="D141" s="1295"/>
      <c r="E141" s="2097" t="s">
        <v>28</v>
      </c>
      <c r="F141" s="2097" t="s">
        <v>570</v>
      </c>
      <c r="G141" s="1294" t="s">
        <v>559</v>
      </c>
      <c r="H141" s="2099" t="s">
        <v>529</v>
      </c>
      <c r="I141" s="2100"/>
      <c r="J141" s="1292" t="s">
        <v>279</v>
      </c>
      <c r="K141" s="1292" t="s">
        <v>295</v>
      </c>
      <c r="L141" s="1292"/>
      <c r="M141" s="1292"/>
      <c r="O141" s="376"/>
      <c r="P141" s="376"/>
      <c r="Q141" s="1509"/>
      <c r="R141" s="1130"/>
      <c r="S141" s="1510"/>
      <c r="T141" s="1510"/>
      <c r="U141" s="1131"/>
      <c r="V141" s="1129"/>
      <c r="W141" s="1130"/>
      <c r="X141" s="1130"/>
      <c r="Y141" s="1130"/>
      <c r="Z141" s="1131"/>
      <c r="AA141" s="1132"/>
      <c r="AB141" s="1129"/>
      <c r="AC141" s="1130"/>
      <c r="AD141" s="1510"/>
      <c r="AE141" s="1130"/>
      <c r="AF141" s="1131"/>
      <c r="AG141" s="1129"/>
      <c r="AH141" s="1130"/>
      <c r="AI141" s="1130"/>
      <c r="AJ141" s="1130"/>
      <c r="AK141" s="1131"/>
      <c r="AL141" s="1132"/>
      <c r="AM141" s="1129"/>
      <c r="AN141" s="1130"/>
      <c r="AO141" s="1130"/>
      <c r="AP141" s="1510"/>
      <c r="AQ141" s="1131"/>
      <c r="AR141" s="1129"/>
      <c r="AS141" s="1130"/>
      <c r="AT141" s="1130"/>
      <c r="AU141" s="1130"/>
      <c r="AV141" s="1131"/>
      <c r="AW141" s="1133"/>
      <c r="AX141" s="1492">
        <f t="shared" si="127"/>
        <v>0</v>
      </c>
      <c r="AY141" s="1490">
        <f t="shared" si="128"/>
        <v>0</v>
      </c>
      <c r="AZ141" s="1490">
        <f t="shared" si="129"/>
        <v>0</v>
      </c>
      <c r="BA141" s="1490">
        <f t="shared" si="130"/>
        <v>0</v>
      </c>
      <c r="BB141" s="1491">
        <f t="shared" si="131"/>
        <v>0</v>
      </c>
      <c r="BC141" s="1492">
        <f t="shared" si="132"/>
        <v>0</v>
      </c>
      <c r="BD141" s="1490">
        <f t="shared" si="133"/>
        <v>0</v>
      </c>
      <c r="BE141" s="1490">
        <f t="shared" si="134"/>
        <v>0</v>
      </c>
      <c r="BF141" s="1490">
        <f t="shared" si="105"/>
        <v>0</v>
      </c>
      <c r="BG141" s="1491">
        <f t="shared" si="106"/>
        <v>0</v>
      </c>
      <c r="BH141" s="1133"/>
      <c r="BI141" s="1492">
        <f t="shared" ca="1" si="107"/>
        <v>0</v>
      </c>
      <c r="BJ141" s="1490">
        <f t="shared" ca="1" si="108"/>
        <v>0</v>
      </c>
      <c r="BK141" s="1490">
        <f t="shared" ca="1" si="109"/>
        <v>0</v>
      </c>
      <c r="BL141" s="1490">
        <f t="shared" ca="1" si="110"/>
        <v>0</v>
      </c>
      <c r="BM141" s="1491">
        <f t="shared" ca="1" si="111"/>
        <v>0</v>
      </c>
      <c r="BN141" s="1492">
        <f t="shared" ca="1" si="112"/>
        <v>0</v>
      </c>
      <c r="BO141" s="1490">
        <f t="shared" ca="1" si="113"/>
        <v>0</v>
      </c>
      <c r="BP141" s="1490">
        <f t="shared" ca="1" si="114"/>
        <v>0</v>
      </c>
      <c r="BQ141" s="1490">
        <f t="shared" ca="1" si="115"/>
        <v>0</v>
      </c>
      <c r="BR141" s="1491">
        <f t="shared" ca="1" si="116"/>
        <v>0</v>
      </c>
      <c r="BS141" s="1133"/>
      <c r="BT141" s="1492">
        <f>+IF($K141="Ongoing",AX141,IF(RIGHT($K141,2)=RIGHT(BT$39,2),SUM($AX141:AX141),0)+IF(RIGHT(BT$39,2)&gt;RIGHT($K141,2),AX141,0))</f>
        <v>0</v>
      </c>
      <c r="BU141" s="1490">
        <f>+IF($K141="Ongoing",AY141,IF(RIGHT($K141,2)=RIGHT(BU$39,2),SUM($AX141:AY141),0)+IF(RIGHT(BU$39,2)&gt;RIGHT($K141,2),AY141,0))</f>
        <v>0</v>
      </c>
      <c r="BV141" s="1490">
        <f>+IF($K141="Ongoing",AZ141,IF(RIGHT($K141,2)=RIGHT(BV$39,2),SUM($AX141:AZ141),0)+IF(RIGHT(BV$39,2)&gt;RIGHT($K141,2),AZ141,0))</f>
        <v>0</v>
      </c>
      <c r="BW141" s="1490">
        <f>+IF($K141="Ongoing",BA141,IF(RIGHT($K141,2)=RIGHT(BW$39,2),SUM($AX141:BA141),0)+IF(RIGHT(BW$39,2)&gt;RIGHT($K141,2),BA141,0))</f>
        <v>0</v>
      </c>
      <c r="BX141" s="1491">
        <f>+IF($K141="Ongoing",BB141,IF(RIGHT($K141,2)=RIGHT(BX$39,2),SUM($AX141:BB141),0)+IF(RIGHT(BX$39,2)&gt;RIGHT($K141,2),BB141,0))</f>
        <v>0</v>
      </c>
      <c r="BY141" s="1492">
        <f>+IF($K141="Ongoing",BC141,IF(RIGHT($K141,2)=RIGHT(BY$39,2),SUM($AX141:BC141),0)+IF(RIGHT(BY$39,2)&gt;RIGHT($K141,2),BC141,0))</f>
        <v>0</v>
      </c>
      <c r="BZ141" s="1490">
        <f>+IF($K141="Ongoing",BD141,IF(RIGHT($K141,2)=RIGHT(BZ$39,2),SUM($AX141:BD141),0)+IF(RIGHT(BZ$39,2)&gt;RIGHT($K141,2),BD141,0))</f>
        <v>0</v>
      </c>
      <c r="CA141" s="1490">
        <f>+IF($K141="Ongoing",BE141,IF(RIGHT($K141,2)=RIGHT(CA$39,2),SUM($AX141:BE141),0)+IF(RIGHT(CA$39,2)&gt;RIGHT($K141,2),BE141,0))</f>
        <v>0</v>
      </c>
      <c r="CB141" s="1490">
        <f>+IF($K141="Ongoing",BF141,IF(RIGHT($K141,2)=RIGHT(CB$39,2),SUM($AX141:BF141),0)+IF(RIGHT(CB$39,2)&gt;RIGHT($K141,2),BF141,0))</f>
        <v>0</v>
      </c>
      <c r="CC141" s="1491">
        <f>+IF($K141="Ongoing",BG141,IF(RIGHT($K141,2)=RIGHT(CC$39,2),SUM($AX141:BG141),0)+IF(RIGHT(CC$39,2)&gt;RIGHT($K141,2),BG141,0))</f>
        <v>0</v>
      </c>
      <c r="CD141" s="1133"/>
      <c r="CE141" s="1492">
        <f>+Q141*KeyAssumptionsPriceControl_FO!AC$15</f>
        <v>0</v>
      </c>
      <c r="CF141" s="1490">
        <f>+R141*KeyAssumptionsPriceControl_FO!AD$15</f>
        <v>0</v>
      </c>
      <c r="CG141" s="1490">
        <f>+S141*KeyAssumptionsPriceControl_FO!AE$15</f>
        <v>0</v>
      </c>
      <c r="CH141" s="1490">
        <f>+T141*KeyAssumptionsPriceControl_FO!AF$15</f>
        <v>0</v>
      </c>
      <c r="CI141" s="1491">
        <f>+U141*KeyAssumptionsPriceControl_FO!AG$15</f>
        <v>0</v>
      </c>
      <c r="CJ141" s="1492">
        <f>+V141*KeyAssumptionsPriceControl_FO!AH$15</f>
        <v>0</v>
      </c>
      <c r="CK141" s="1490">
        <f>+W141*KeyAssumptionsPriceControl_FO!AI$15</f>
        <v>0</v>
      </c>
      <c r="CL141" s="1490">
        <f>+X141*KeyAssumptionsPriceControl_FO!AJ$15</f>
        <v>0</v>
      </c>
      <c r="CM141" s="1490">
        <f>+Y141*KeyAssumptionsPriceControl_FO!AK$15</f>
        <v>0</v>
      </c>
      <c r="CN141" s="1491">
        <f>+Z141*KeyAssumptionsPriceControl_FO!AL$15</f>
        <v>0</v>
      </c>
      <c r="CO141" s="1133"/>
      <c r="CP141" s="1492">
        <f t="shared" ca="1" si="117"/>
        <v>0</v>
      </c>
      <c r="CQ141" s="1490">
        <f t="shared" ca="1" si="118"/>
        <v>0</v>
      </c>
      <c r="CR141" s="1490">
        <f t="shared" ca="1" si="119"/>
        <v>0</v>
      </c>
      <c r="CS141" s="1490">
        <f t="shared" ca="1" si="120"/>
        <v>0</v>
      </c>
      <c r="CT141" s="1491">
        <f t="shared" ca="1" si="121"/>
        <v>0</v>
      </c>
      <c r="CU141" s="1492">
        <f t="shared" ca="1" si="122"/>
        <v>0</v>
      </c>
      <c r="CV141" s="1490">
        <f t="shared" ca="1" si="123"/>
        <v>0</v>
      </c>
      <c r="CW141" s="1490">
        <f t="shared" ca="1" si="124"/>
        <v>0</v>
      </c>
      <c r="CX141" s="1490">
        <f t="shared" ca="1" si="125"/>
        <v>0</v>
      </c>
      <c r="CY141" s="1491">
        <f t="shared" ca="1" si="126"/>
        <v>0</v>
      </c>
    </row>
    <row r="142" spans="2:103" ht="12.5" thickBot="1" x14ac:dyDescent="0.35">
      <c r="B142" s="376"/>
      <c r="C142" s="2093" t="s">
        <v>1048</v>
      </c>
      <c r="D142" s="2103"/>
      <c r="E142" s="2104" t="s">
        <v>28</v>
      </c>
      <c r="F142" s="2104" t="s">
        <v>570</v>
      </c>
      <c r="G142" s="2093" t="s">
        <v>559</v>
      </c>
      <c r="H142" s="2101" t="s">
        <v>529</v>
      </c>
      <c r="I142" s="2102"/>
      <c r="J142" s="1293" t="s">
        <v>279</v>
      </c>
      <c r="K142" s="1293" t="s">
        <v>295</v>
      </c>
      <c r="L142" s="1293"/>
      <c r="M142" s="1293"/>
      <c r="O142" s="376"/>
      <c r="P142" s="376"/>
      <c r="Q142" s="1512"/>
      <c r="R142" s="1135"/>
      <c r="S142" s="1513"/>
      <c r="T142" s="1513"/>
      <c r="U142" s="1136"/>
      <c r="V142" s="1134"/>
      <c r="W142" s="1135"/>
      <c r="X142" s="1135"/>
      <c r="Y142" s="1135"/>
      <c r="Z142" s="1136"/>
      <c r="AA142" s="1132"/>
      <c r="AB142" s="1134"/>
      <c r="AC142" s="1135"/>
      <c r="AD142" s="1513"/>
      <c r="AE142" s="1135"/>
      <c r="AF142" s="1136"/>
      <c r="AG142" s="1134"/>
      <c r="AH142" s="1135"/>
      <c r="AI142" s="1135"/>
      <c r="AJ142" s="1135"/>
      <c r="AK142" s="1136"/>
      <c r="AL142" s="1132"/>
      <c r="AM142" s="1134"/>
      <c r="AN142" s="1135"/>
      <c r="AO142" s="1135"/>
      <c r="AP142" s="1513"/>
      <c r="AQ142" s="1136"/>
      <c r="AR142" s="1134"/>
      <c r="AS142" s="1135"/>
      <c r="AT142" s="1135"/>
      <c r="AU142" s="1135"/>
      <c r="AV142" s="1136"/>
      <c r="AW142" s="1133"/>
      <c r="AX142" s="1495">
        <f t="shared" ref="AX142:BE142" si="135">+Q142-AB142-AM142</f>
        <v>0</v>
      </c>
      <c r="AY142" s="1493">
        <f t="shared" si="135"/>
        <v>0</v>
      </c>
      <c r="AZ142" s="1493">
        <f t="shared" si="135"/>
        <v>0</v>
      </c>
      <c r="BA142" s="1493">
        <f t="shared" si="135"/>
        <v>0</v>
      </c>
      <c r="BB142" s="1494">
        <f t="shared" si="135"/>
        <v>0</v>
      </c>
      <c r="BC142" s="1495">
        <f t="shared" si="135"/>
        <v>0</v>
      </c>
      <c r="BD142" s="1493">
        <f t="shared" si="135"/>
        <v>0</v>
      </c>
      <c r="BE142" s="1493">
        <f t="shared" si="135"/>
        <v>0</v>
      </c>
      <c r="BF142" s="1493">
        <f t="shared" si="105"/>
        <v>0</v>
      </c>
      <c r="BG142" s="1494">
        <f t="shared" si="106"/>
        <v>0</v>
      </c>
      <c r="BH142" s="1133"/>
      <c r="BI142" s="1495">
        <f t="shared" ca="1" si="107"/>
        <v>0</v>
      </c>
      <c r="BJ142" s="1493">
        <f t="shared" ca="1" si="108"/>
        <v>0</v>
      </c>
      <c r="BK142" s="1493">
        <f t="shared" ca="1" si="109"/>
        <v>0</v>
      </c>
      <c r="BL142" s="1493">
        <f t="shared" ca="1" si="110"/>
        <v>0</v>
      </c>
      <c r="BM142" s="1494">
        <f t="shared" ca="1" si="111"/>
        <v>0</v>
      </c>
      <c r="BN142" s="1495">
        <f t="shared" ca="1" si="112"/>
        <v>0</v>
      </c>
      <c r="BO142" s="1493">
        <f t="shared" ca="1" si="113"/>
        <v>0</v>
      </c>
      <c r="BP142" s="1493">
        <f t="shared" ca="1" si="114"/>
        <v>0</v>
      </c>
      <c r="BQ142" s="1493">
        <f t="shared" ca="1" si="115"/>
        <v>0</v>
      </c>
      <c r="BR142" s="1494">
        <f t="shared" ca="1" si="116"/>
        <v>0</v>
      </c>
      <c r="BS142" s="1133"/>
      <c r="BT142" s="1495">
        <f>+IF($K142="Ongoing",AX142,IF(RIGHT($K142,2)=RIGHT(BT$39,2),SUM($AX142:AX142),0)+IF(RIGHT(BT$39,2)&gt;RIGHT($K142,2),AX142,0))</f>
        <v>0</v>
      </c>
      <c r="BU142" s="1493">
        <f>+IF($K142="Ongoing",AY142,IF(RIGHT($K142,2)=RIGHT(BU$39,2),SUM($AX142:AY142),0)+IF(RIGHT(BU$39,2)&gt;RIGHT($K142,2),AY142,0))</f>
        <v>0</v>
      </c>
      <c r="BV142" s="1493">
        <f>+IF($K142="Ongoing",AZ142,IF(RIGHT($K142,2)=RIGHT(BV$39,2),SUM($AX142:AZ142),0)+IF(RIGHT(BV$39,2)&gt;RIGHT($K142,2),AZ142,0))</f>
        <v>0</v>
      </c>
      <c r="BW142" s="1493">
        <f>+IF($K142="Ongoing",BA142,IF(RIGHT($K142,2)=RIGHT(BW$39,2),SUM($AX142:BA142),0)+IF(RIGHT(BW$39,2)&gt;RIGHT($K142,2),BA142,0))</f>
        <v>0</v>
      </c>
      <c r="BX142" s="1494">
        <f>+IF($K142="Ongoing",BB142,IF(RIGHT($K142,2)=RIGHT(BX$39,2),SUM($AX142:BB142),0)+IF(RIGHT(BX$39,2)&gt;RIGHT($K142,2),BB142,0))</f>
        <v>0</v>
      </c>
      <c r="BY142" s="1495">
        <f>+IF($K142="Ongoing",BC142,IF(RIGHT($K142,2)=RIGHT(BY$39,2),SUM($AX142:BC142),0)+IF(RIGHT(BY$39,2)&gt;RIGHT($K142,2),BC142,0))</f>
        <v>0</v>
      </c>
      <c r="BZ142" s="1493">
        <f>+IF($K142="Ongoing",BD142,IF(RIGHT($K142,2)=RIGHT(BZ$39,2),SUM($AX142:BD142),0)+IF(RIGHT(BZ$39,2)&gt;RIGHT($K142,2),BD142,0))</f>
        <v>0</v>
      </c>
      <c r="CA142" s="1493">
        <f>+IF($K142="Ongoing",BE142,IF(RIGHT($K142,2)=RIGHT(CA$39,2),SUM($AX142:BE142),0)+IF(RIGHT(CA$39,2)&gt;RIGHT($K142,2),BE142,0))</f>
        <v>0</v>
      </c>
      <c r="CB142" s="1493">
        <f>+IF($K142="Ongoing",BF142,IF(RIGHT($K142,2)=RIGHT(CB$39,2),SUM($AX142:BF142),0)+IF(RIGHT(CB$39,2)&gt;RIGHT($K142,2),BF142,0))</f>
        <v>0</v>
      </c>
      <c r="CC142" s="1494">
        <f>+IF($K142="Ongoing",BG142,IF(RIGHT($K142,2)=RIGHT(CC$39,2),SUM($AX142:BG142),0)+IF(RIGHT(CC$39,2)&gt;RIGHT($K142,2),BG142,0))</f>
        <v>0</v>
      </c>
      <c r="CD142" s="1133"/>
      <c r="CE142" s="1495">
        <f>+Q142*KeyAssumptionsPriceControl_FO!AC$15</f>
        <v>0</v>
      </c>
      <c r="CF142" s="1493">
        <f>+R142*KeyAssumptionsPriceControl_FO!AD$15</f>
        <v>0</v>
      </c>
      <c r="CG142" s="1493">
        <f>+S142*KeyAssumptionsPriceControl_FO!AE$15</f>
        <v>0</v>
      </c>
      <c r="CH142" s="1493">
        <f>+T142*KeyAssumptionsPriceControl_FO!AF$15</f>
        <v>0</v>
      </c>
      <c r="CI142" s="1494">
        <f>+U142*KeyAssumptionsPriceControl_FO!AG$15</f>
        <v>0</v>
      </c>
      <c r="CJ142" s="1495">
        <f>+V142*KeyAssumptionsPriceControl_FO!AH$15</f>
        <v>0</v>
      </c>
      <c r="CK142" s="1493">
        <f>+W142*KeyAssumptionsPriceControl_FO!AI$15</f>
        <v>0</v>
      </c>
      <c r="CL142" s="1493">
        <f>+X142*KeyAssumptionsPriceControl_FO!AJ$15</f>
        <v>0</v>
      </c>
      <c r="CM142" s="1493">
        <f>+Y142*KeyAssumptionsPriceControl_FO!AK$15</f>
        <v>0</v>
      </c>
      <c r="CN142" s="1494">
        <f>+Z142*KeyAssumptionsPriceControl_FO!AL$15</f>
        <v>0</v>
      </c>
      <c r="CO142" s="1133"/>
      <c r="CP142" s="1495">
        <f t="shared" ca="1" si="117"/>
        <v>0</v>
      </c>
      <c r="CQ142" s="1493">
        <f t="shared" ca="1" si="118"/>
        <v>0</v>
      </c>
      <c r="CR142" s="1493">
        <f t="shared" ca="1" si="119"/>
        <v>0</v>
      </c>
      <c r="CS142" s="1493">
        <f t="shared" ca="1" si="120"/>
        <v>0</v>
      </c>
      <c r="CT142" s="1494">
        <f t="shared" ca="1" si="121"/>
        <v>0</v>
      </c>
      <c r="CU142" s="1495">
        <f t="shared" ca="1" si="122"/>
        <v>0</v>
      </c>
      <c r="CV142" s="1493">
        <f t="shared" ca="1" si="123"/>
        <v>0</v>
      </c>
      <c r="CW142" s="1493">
        <f t="shared" ca="1" si="124"/>
        <v>0</v>
      </c>
      <c r="CX142" s="1493">
        <f t="shared" ca="1" si="125"/>
        <v>0</v>
      </c>
      <c r="CY142" s="1494">
        <f t="shared" ca="1" si="126"/>
        <v>0</v>
      </c>
    </row>
    <row r="143" spans="2:103" x14ac:dyDescent="0.3">
      <c r="B143" s="376"/>
      <c r="C143" s="409"/>
      <c r="D143" s="409"/>
      <c r="E143" s="1530"/>
      <c r="F143" s="1530"/>
      <c r="G143" s="1530"/>
      <c r="H143" s="409"/>
      <c r="I143" s="409"/>
      <c r="J143" s="409"/>
      <c r="K143" s="409"/>
      <c r="L143" s="409"/>
      <c r="M143" s="409"/>
      <c r="N143" s="409"/>
      <c r="O143" s="376"/>
      <c r="P143" s="376"/>
      <c r="Q143" s="1530"/>
      <c r="R143" s="409"/>
      <c r="S143" s="1530"/>
      <c r="T143" s="1530"/>
      <c r="U143" s="409"/>
      <c r="V143" s="409"/>
      <c r="W143" s="409"/>
      <c r="X143" s="409"/>
      <c r="Y143" s="409"/>
      <c r="Z143" s="409"/>
      <c r="AA143" s="409"/>
      <c r="AB143" s="409"/>
      <c r="AC143" s="409"/>
      <c r="AD143" s="1530"/>
      <c r="AE143" s="409"/>
      <c r="AF143" s="409"/>
      <c r="AG143" s="409"/>
      <c r="AH143" s="409"/>
      <c r="AI143" s="409"/>
      <c r="AJ143" s="409"/>
      <c r="AK143" s="409"/>
      <c r="AL143" s="409"/>
      <c r="AM143" s="409"/>
      <c r="AN143" s="409"/>
      <c r="AO143" s="409"/>
      <c r="AP143" s="1530"/>
      <c r="AQ143" s="409"/>
      <c r="AR143" s="409"/>
      <c r="AS143" s="409"/>
      <c r="AT143" s="409"/>
      <c r="AU143" s="409"/>
      <c r="AV143" s="409"/>
      <c r="AW143" s="376"/>
      <c r="AX143" s="376"/>
      <c r="AY143" s="376"/>
      <c r="AZ143" s="1517"/>
      <c r="BA143" s="1517"/>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c r="CV143" s="376"/>
      <c r="CW143" s="376"/>
      <c r="CX143" s="376"/>
      <c r="CY143" s="376"/>
    </row>
    <row r="144" spans="2:103" x14ac:dyDescent="0.3">
      <c r="B144" s="376"/>
      <c r="C144" s="396"/>
      <c r="D144" s="376"/>
      <c r="E144" s="1517"/>
      <c r="F144" s="1517"/>
      <c r="G144" s="1517"/>
      <c r="H144" s="376"/>
      <c r="I144" s="376"/>
      <c r="J144" s="376"/>
      <c r="K144" s="376"/>
      <c r="L144" s="376"/>
      <c r="M144" s="376"/>
      <c r="N144" s="376"/>
      <c r="O144" s="376"/>
      <c r="P144" s="376"/>
      <c r="Q144" s="1517"/>
      <c r="R144" s="376"/>
      <c r="S144" s="1517"/>
      <c r="T144" s="1517"/>
      <c r="U144" s="376"/>
      <c r="V144" s="376"/>
      <c r="W144" s="376"/>
      <c r="X144" s="376"/>
      <c r="Y144" s="376"/>
      <c r="Z144" s="376"/>
      <c r="AA144" s="376"/>
      <c r="AB144" s="376"/>
      <c r="AC144" s="376"/>
      <c r="AD144" s="1517"/>
      <c r="AE144" s="376"/>
      <c r="AF144" s="376"/>
      <c r="AG144" s="376"/>
      <c r="AH144" s="376"/>
      <c r="AI144" s="376"/>
      <c r="AJ144" s="376"/>
      <c r="AK144" s="376"/>
      <c r="AL144" s="376"/>
      <c r="AM144" s="376"/>
      <c r="AN144" s="376"/>
      <c r="AO144" s="376"/>
      <c r="AP144" s="1517"/>
      <c r="AQ144" s="376"/>
      <c r="AR144" s="376"/>
      <c r="AS144" s="376"/>
      <c r="AT144" s="376"/>
      <c r="AU144" s="376"/>
      <c r="AV144" s="376"/>
      <c r="AW144" s="376"/>
      <c r="AX144" s="376"/>
      <c r="AY144" s="376"/>
      <c r="AZ144" s="1517"/>
      <c r="BA144" s="1517"/>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c r="CV144" s="376"/>
      <c r="CW144" s="376"/>
      <c r="CX144" s="376"/>
      <c r="CY144" s="376"/>
    </row>
    <row r="145" spans="2:103" x14ac:dyDescent="0.3">
      <c r="B145" s="376"/>
      <c r="C145" s="376"/>
      <c r="D145" s="376"/>
      <c r="E145" s="1517"/>
      <c r="F145" s="1517"/>
      <c r="G145" s="1517"/>
      <c r="H145" s="376"/>
      <c r="I145" s="376"/>
      <c r="J145" s="376"/>
      <c r="K145" s="376"/>
      <c r="L145" s="376"/>
      <c r="M145" s="376"/>
      <c r="N145" s="376"/>
      <c r="O145" s="376"/>
      <c r="P145" s="376"/>
      <c r="Q145" s="1517"/>
      <c r="R145" s="376"/>
      <c r="S145" s="1517"/>
      <c r="T145" s="1517"/>
      <c r="U145" s="376"/>
      <c r="V145" s="376"/>
      <c r="W145" s="376"/>
      <c r="X145" s="376"/>
      <c r="Y145" s="376"/>
      <c r="Z145" s="376"/>
      <c r="AA145" s="376"/>
      <c r="AB145" s="376"/>
      <c r="AC145" s="376"/>
      <c r="AD145" s="1517"/>
      <c r="AE145" s="376"/>
      <c r="AF145" s="376"/>
      <c r="AG145" s="376"/>
      <c r="AH145" s="376"/>
      <c r="AI145" s="376"/>
      <c r="AJ145" s="376"/>
      <c r="AK145" s="376"/>
      <c r="AL145" s="376"/>
      <c r="AM145" s="376"/>
      <c r="AN145" s="376"/>
      <c r="AO145" s="376"/>
      <c r="AP145" s="1517"/>
      <c r="AQ145" s="376"/>
      <c r="AR145" s="376"/>
      <c r="AS145" s="376"/>
      <c r="AT145" s="376"/>
      <c r="AU145" s="376"/>
      <c r="AV145" s="376"/>
      <c r="AW145" s="376"/>
      <c r="AX145" s="376"/>
      <c r="AY145" s="376"/>
      <c r="AZ145" s="1517"/>
      <c r="BA145" s="1517"/>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c r="CV145" s="376"/>
      <c r="CW145" s="376"/>
      <c r="CX145" s="376"/>
      <c r="CY145" s="376"/>
    </row>
    <row r="146" spans="2:103" x14ac:dyDescent="0.3">
      <c r="E146" s="126"/>
      <c r="F146" s="126"/>
      <c r="G146" s="126"/>
      <c r="Q146" s="126"/>
      <c r="S146" s="126"/>
      <c r="T146" s="126"/>
      <c r="AD146" s="126"/>
      <c r="AP146" s="126"/>
      <c r="AZ146" s="126"/>
      <c r="BA146" s="126"/>
    </row>
    <row r="147" spans="2:103" x14ac:dyDescent="0.3">
      <c r="E147" s="126"/>
      <c r="F147" s="126"/>
      <c r="G147" s="126"/>
      <c r="Q147" s="126"/>
      <c r="S147" s="126"/>
      <c r="T147" s="126"/>
      <c r="AD147" s="126"/>
      <c r="AP147" s="126"/>
      <c r="AZ147" s="126"/>
      <c r="BA147" s="126"/>
    </row>
    <row r="148" spans="2:103" x14ac:dyDescent="0.3">
      <c r="E148" s="126"/>
      <c r="F148" s="126"/>
      <c r="G148" s="126"/>
      <c r="Q148" s="126"/>
      <c r="S148" s="126"/>
      <c r="T148" s="126"/>
      <c r="AD148" s="126"/>
      <c r="AP148" s="126"/>
      <c r="AZ148" s="126"/>
      <c r="BA148" s="126"/>
    </row>
    <row r="149" spans="2:103" x14ac:dyDescent="0.3">
      <c r="E149" s="126"/>
      <c r="F149" s="126"/>
      <c r="G149" s="126"/>
      <c r="Q149" s="126"/>
      <c r="S149" s="126"/>
      <c r="T149" s="126"/>
      <c r="AD149" s="126"/>
      <c r="AP149" s="126"/>
      <c r="AZ149" s="126"/>
      <c r="BA149" s="126"/>
    </row>
    <row r="150" spans="2:103" x14ac:dyDescent="0.3">
      <c r="E150" s="126"/>
      <c r="F150" s="126"/>
      <c r="G150" s="126"/>
      <c r="Q150" s="126"/>
      <c r="S150" s="126"/>
      <c r="T150" s="126"/>
      <c r="AD150" s="126"/>
      <c r="AP150" s="126"/>
      <c r="AZ150" s="126"/>
      <c r="BA150" s="126"/>
    </row>
    <row r="151" spans="2:103" x14ac:dyDescent="0.3">
      <c r="E151" s="126"/>
      <c r="F151" s="126"/>
      <c r="G151" s="126"/>
      <c r="Q151" s="126"/>
      <c r="S151" s="126"/>
      <c r="T151" s="126"/>
      <c r="AD151" s="126"/>
      <c r="AP151" s="126"/>
      <c r="AZ151" s="126"/>
      <c r="BA151" s="126"/>
    </row>
    <row r="152" spans="2:103" x14ac:dyDescent="0.3">
      <c r="E152" s="126"/>
      <c r="F152" s="126"/>
      <c r="G152" s="126"/>
      <c r="Q152" s="126"/>
      <c r="S152" s="126"/>
      <c r="T152" s="126"/>
      <c r="AD152" s="126"/>
      <c r="AP152" s="126"/>
      <c r="AZ152" s="126"/>
      <c r="BA152" s="126"/>
    </row>
    <row r="153" spans="2:103" x14ac:dyDescent="0.3">
      <c r="E153" s="126"/>
      <c r="F153" s="126"/>
      <c r="G153" s="126"/>
      <c r="Q153" s="126"/>
      <c r="S153" s="126"/>
      <c r="T153" s="126"/>
      <c r="AD153" s="126"/>
      <c r="AP153" s="126"/>
      <c r="AZ153" s="126"/>
      <c r="BA153" s="126"/>
    </row>
    <row r="154" spans="2:103" x14ac:dyDescent="0.3">
      <c r="E154" s="126"/>
      <c r="F154" s="126"/>
      <c r="G154" s="126"/>
      <c r="Q154" s="126"/>
      <c r="S154" s="126"/>
      <c r="T154" s="126"/>
      <c r="AD154" s="126"/>
      <c r="AP154" s="126"/>
      <c r="AZ154" s="126"/>
      <c r="BA154" s="126"/>
    </row>
    <row r="155" spans="2:103" x14ac:dyDescent="0.3">
      <c r="E155" s="126"/>
      <c r="F155" s="126"/>
      <c r="G155" s="126"/>
      <c r="Q155" s="126"/>
      <c r="S155" s="126"/>
      <c r="T155" s="126"/>
      <c r="AD155" s="126"/>
      <c r="AP155" s="126"/>
      <c r="AZ155" s="126"/>
      <c r="BA155" s="126"/>
    </row>
    <row r="156" spans="2:103" x14ac:dyDescent="0.3">
      <c r="E156" s="126"/>
      <c r="F156" s="126"/>
      <c r="G156" s="126"/>
      <c r="Q156" s="126"/>
      <c r="S156" s="126"/>
      <c r="T156" s="126"/>
      <c r="AD156" s="126"/>
      <c r="AP156" s="126"/>
      <c r="AZ156" s="126"/>
      <c r="BA156" s="126"/>
    </row>
    <row r="157" spans="2:103" x14ac:dyDescent="0.3">
      <c r="E157" s="126"/>
      <c r="F157" s="126"/>
      <c r="G157" s="126"/>
      <c r="Q157" s="126"/>
      <c r="S157" s="126"/>
      <c r="T157" s="126"/>
      <c r="AD157" s="126"/>
      <c r="AP157" s="126"/>
      <c r="AZ157" s="126"/>
      <c r="BA157" s="126"/>
    </row>
    <row r="158" spans="2:103" x14ac:dyDescent="0.3">
      <c r="E158" s="126"/>
      <c r="F158" s="126"/>
      <c r="G158" s="126"/>
      <c r="Q158" s="126"/>
      <c r="S158" s="126"/>
      <c r="T158" s="126"/>
      <c r="AD158" s="126"/>
      <c r="AP158" s="126"/>
      <c r="AZ158" s="126"/>
      <c r="BA158" s="126"/>
    </row>
    <row r="159" spans="2:103" x14ac:dyDescent="0.3">
      <c r="E159" s="126"/>
      <c r="F159" s="126"/>
      <c r="G159" s="126"/>
      <c r="Q159" s="126"/>
      <c r="S159" s="126"/>
      <c r="T159" s="126"/>
      <c r="AD159" s="126"/>
      <c r="AP159" s="126"/>
      <c r="AZ159" s="126"/>
      <c r="BA159" s="126"/>
    </row>
    <row r="160" spans="2:103" x14ac:dyDescent="0.3">
      <c r="E160" s="126"/>
      <c r="F160" s="126"/>
      <c r="G160" s="126"/>
      <c r="Q160" s="126"/>
      <c r="S160" s="126"/>
      <c r="T160" s="126"/>
      <c r="AD160" s="126"/>
      <c r="AP160" s="126"/>
      <c r="AZ160" s="126"/>
      <c r="BA160" s="126"/>
    </row>
    <row r="161" spans="5:53" x14ac:dyDescent="0.3">
      <c r="E161" s="126"/>
      <c r="F161" s="126"/>
      <c r="G161" s="126"/>
      <c r="Q161" s="126"/>
      <c r="S161" s="126"/>
      <c r="T161" s="126"/>
      <c r="AD161" s="126"/>
      <c r="AP161" s="126"/>
      <c r="AZ161" s="126"/>
      <c r="BA161" s="126"/>
    </row>
    <row r="162" spans="5:53" x14ac:dyDescent="0.3">
      <c r="E162" s="126"/>
      <c r="F162" s="126"/>
      <c r="G162" s="126"/>
      <c r="Q162" s="126"/>
      <c r="S162" s="126"/>
      <c r="T162" s="126"/>
      <c r="AD162" s="126"/>
      <c r="AP162" s="126"/>
      <c r="AZ162" s="126"/>
      <c r="BA162" s="126"/>
    </row>
    <row r="163" spans="5:53" x14ac:dyDescent="0.3">
      <c r="E163" s="126"/>
      <c r="F163" s="126"/>
      <c r="G163" s="126"/>
      <c r="Q163" s="126"/>
      <c r="S163" s="126"/>
      <c r="T163" s="126"/>
      <c r="AD163" s="126"/>
      <c r="AP163" s="126"/>
      <c r="AZ163" s="126"/>
      <c r="BA163" s="126"/>
    </row>
    <row r="164" spans="5:53" x14ac:dyDescent="0.3">
      <c r="E164" s="126"/>
      <c r="F164" s="126"/>
      <c r="G164" s="126"/>
      <c r="Q164" s="126"/>
      <c r="S164" s="126"/>
      <c r="T164" s="126"/>
      <c r="AD164" s="126"/>
      <c r="AP164" s="126"/>
      <c r="AZ164" s="126"/>
      <c r="BA164" s="126"/>
    </row>
    <row r="165" spans="5:53" x14ac:dyDescent="0.3">
      <c r="E165" s="126"/>
      <c r="F165" s="126"/>
      <c r="G165" s="126"/>
      <c r="Q165" s="126"/>
      <c r="S165" s="126"/>
      <c r="T165" s="126"/>
      <c r="AD165" s="126"/>
      <c r="AP165" s="126"/>
      <c r="AZ165" s="126"/>
      <c r="BA165" s="126"/>
    </row>
    <row r="166" spans="5:53" x14ac:dyDescent="0.3">
      <c r="E166" s="126"/>
      <c r="F166" s="126"/>
      <c r="G166" s="126"/>
      <c r="Q166" s="126"/>
      <c r="S166" s="126"/>
      <c r="T166" s="126"/>
      <c r="AD166" s="126"/>
      <c r="AP166" s="126"/>
      <c r="AZ166" s="126"/>
      <c r="BA166" s="126"/>
    </row>
    <row r="167" spans="5:53" x14ac:dyDescent="0.3">
      <c r="E167" s="126"/>
      <c r="F167" s="126"/>
      <c r="G167" s="126"/>
      <c r="Q167" s="126"/>
      <c r="S167" s="126"/>
      <c r="T167" s="126"/>
      <c r="AD167" s="126"/>
      <c r="AP167" s="126"/>
      <c r="AZ167" s="126"/>
      <c r="BA167" s="126"/>
    </row>
    <row r="168" spans="5:53" x14ac:dyDescent="0.3">
      <c r="E168" s="126"/>
      <c r="F168" s="126"/>
      <c r="G168" s="126"/>
      <c r="Q168" s="126"/>
      <c r="S168" s="126"/>
      <c r="T168" s="126"/>
      <c r="AD168" s="126"/>
      <c r="AP168" s="126"/>
      <c r="AZ168" s="126"/>
      <c r="BA168" s="126"/>
    </row>
    <row r="169" spans="5:53" x14ac:dyDescent="0.3">
      <c r="E169" s="126"/>
      <c r="F169" s="126"/>
      <c r="G169" s="126"/>
      <c r="Q169" s="126"/>
      <c r="S169" s="126"/>
      <c r="T169" s="126"/>
      <c r="AD169" s="126"/>
      <c r="AP169" s="126"/>
      <c r="AZ169" s="126"/>
      <c r="BA169" s="126"/>
    </row>
    <row r="170" spans="5:53" x14ac:dyDescent="0.3">
      <c r="E170" s="126"/>
      <c r="F170" s="126"/>
      <c r="G170" s="126"/>
      <c r="Q170" s="126"/>
      <c r="S170" s="126"/>
      <c r="T170" s="126"/>
      <c r="AD170" s="126"/>
      <c r="AP170" s="126"/>
      <c r="AZ170" s="126"/>
      <c r="BA170" s="126"/>
    </row>
    <row r="171" spans="5:53" x14ac:dyDescent="0.3">
      <c r="E171" s="126"/>
      <c r="F171" s="126"/>
      <c r="G171" s="126"/>
      <c r="Q171" s="126"/>
      <c r="S171" s="126"/>
      <c r="T171" s="126"/>
      <c r="AD171" s="126"/>
      <c r="AP171" s="126"/>
      <c r="AZ171" s="126"/>
      <c r="BA171" s="126"/>
    </row>
    <row r="172" spans="5:53" x14ac:dyDescent="0.3">
      <c r="E172" s="126"/>
      <c r="F172" s="126"/>
      <c r="G172" s="126"/>
      <c r="Q172" s="126"/>
      <c r="S172" s="126"/>
      <c r="T172" s="126"/>
      <c r="AD172" s="126"/>
      <c r="AP172" s="126"/>
      <c r="AZ172" s="126"/>
      <c r="BA172" s="126"/>
    </row>
    <row r="173" spans="5:53" x14ac:dyDescent="0.3">
      <c r="E173" s="126"/>
      <c r="F173" s="126"/>
      <c r="G173" s="126"/>
      <c r="Q173" s="126"/>
      <c r="S173" s="126"/>
      <c r="T173" s="126"/>
      <c r="AD173" s="126"/>
      <c r="AP173" s="126"/>
      <c r="AZ173" s="126"/>
      <c r="BA173" s="126"/>
    </row>
    <row r="174" spans="5:53" x14ac:dyDescent="0.3">
      <c r="E174" s="126"/>
      <c r="F174" s="126"/>
      <c r="G174" s="126"/>
      <c r="Q174" s="126"/>
      <c r="S174" s="126"/>
      <c r="T174" s="126"/>
      <c r="AD174" s="126"/>
      <c r="AP174" s="126"/>
      <c r="AZ174" s="126"/>
      <c r="BA174" s="126"/>
    </row>
    <row r="175" spans="5:53" x14ac:dyDescent="0.3">
      <c r="E175" s="126"/>
      <c r="F175" s="126"/>
      <c r="G175" s="126"/>
      <c r="Q175" s="126"/>
      <c r="S175" s="126"/>
      <c r="T175" s="126"/>
      <c r="AD175" s="126"/>
      <c r="AP175" s="126"/>
      <c r="AZ175" s="126"/>
      <c r="BA175" s="126"/>
    </row>
    <row r="176" spans="5:53" x14ac:dyDescent="0.3">
      <c r="E176" s="126"/>
      <c r="F176" s="126"/>
      <c r="G176" s="126"/>
      <c r="Q176" s="126"/>
      <c r="S176" s="126"/>
      <c r="T176" s="126"/>
      <c r="AD176" s="126"/>
      <c r="AP176" s="126"/>
      <c r="AZ176" s="126"/>
      <c r="BA176" s="126"/>
    </row>
    <row r="177" spans="5:53" x14ac:dyDescent="0.3">
      <c r="E177" s="126"/>
      <c r="F177" s="126"/>
      <c r="G177" s="126"/>
      <c r="Q177" s="126"/>
      <c r="S177" s="126"/>
      <c r="T177" s="126"/>
      <c r="AD177" s="126"/>
      <c r="AP177" s="126"/>
      <c r="AZ177" s="126"/>
      <c r="BA177" s="126"/>
    </row>
    <row r="178" spans="5:53" x14ac:dyDescent="0.3">
      <c r="E178" s="126"/>
      <c r="F178" s="126"/>
      <c r="G178" s="126"/>
      <c r="Q178" s="126"/>
      <c r="S178" s="126"/>
      <c r="T178" s="126"/>
      <c r="AD178" s="126"/>
      <c r="AP178" s="126"/>
      <c r="AZ178" s="126"/>
      <c r="BA178" s="126"/>
    </row>
    <row r="179" spans="5:53" x14ac:dyDescent="0.3">
      <c r="E179" s="126"/>
      <c r="F179" s="126"/>
      <c r="G179" s="126"/>
      <c r="Q179" s="126"/>
      <c r="S179" s="126"/>
      <c r="T179" s="126"/>
      <c r="AD179" s="126"/>
      <c r="AP179" s="126"/>
      <c r="AZ179" s="126"/>
      <c r="BA179" s="126"/>
    </row>
    <row r="180" spans="5:53" x14ac:dyDescent="0.3">
      <c r="E180" s="126"/>
      <c r="F180" s="126"/>
      <c r="G180" s="126"/>
      <c r="Q180" s="126"/>
      <c r="S180" s="126"/>
      <c r="T180" s="126"/>
      <c r="AD180" s="126"/>
      <c r="AP180" s="126"/>
      <c r="AZ180" s="126"/>
      <c r="BA180" s="126"/>
    </row>
    <row r="181" spans="5:53" x14ac:dyDescent="0.3">
      <c r="E181" s="126"/>
      <c r="F181" s="126"/>
      <c r="G181" s="126"/>
      <c r="Q181" s="126"/>
      <c r="S181" s="126"/>
      <c r="T181" s="126"/>
      <c r="AD181" s="126"/>
      <c r="AP181" s="126"/>
      <c r="AZ181" s="126"/>
      <c r="BA181" s="126"/>
    </row>
    <row r="182" spans="5:53" x14ac:dyDescent="0.3">
      <c r="E182" s="126"/>
      <c r="F182" s="126"/>
      <c r="G182" s="126"/>
      <c r="Q182" s="126"/>
      <c r="S182" s="126"/>
      <c r="T182" s="126"/>
      <c r="AD182" s="126"/>
      <c r="AP182" s="126"/>
      <c r="AZ182" s="126"/>
      <c r="BA182" s="126"/>
    </row>
    <row r="183" spans="5:53" x14ac:dyDescent="0.3">
      <c r="E183" s="126"/>
      <c r="F183" s="126"/>
      <c r="G183" s="126"/>
      <c r="Q183" s="126"/>
      <c r="S183" s="126"/>
      <c r="T183" s="126"/>
      <c r="AD183" s="126"/>
      <c r="AP183" s="126"/>
      <c r="AZ183" s="126"/>
      <c r="BA183" s="126"/>
    </row>
    <row r="184" spans="5:53" x14ac:dyDescent="0.3">
      <c r="E184" s="126"/>
      <c r="F184" s="126"/>
      <c r="G184" s="126"/>
      <c r="Q184" s="126"/>
      <c r="S184" s="126"/>
      <c r="T184" s="126"/>
      <c r="AD184" s="126"/>
      <c r="AP184" s="126"/>
      <c r="AZ184" s="126"/>
      <c r="BA184" s="126"/>
    </row>
    <row r="185" spans="5:53" x14ac:dyDescent="0.3">
      <c r="E185" s="126"/>
      <c r="F185" s="126"/>
      <c r="G185" s="126"/>
      <c r="Q185" s="126"/>
      <c r="S185" s="126"/>
      <c r="T185" s="126"/>
      <c r="AD185" s="126"/>
      <c r="AP185" s="126"/>
      <c r="AZ185" s="126"/>
      <c r="BA185" s="126"/>
    </row>
    <row r="186" spans="5:53" x14ac:dyDescent="0.3">
      <c r="E186" s="126"/>
      <c r="F186" s="126"/>
      <c r="G186" s="126"/>
      <c r="Q186" s="126"/>
      <c r="S186" s="126"/>
      <c r="T186" s="126"/>
      <c r="AD186" s="126"/>
      <c r="AP186" s="126"/>
      <c r="AZ186" s="126"/>
      <c r="BA186" s="126"/>
    </row>
    <row r="187" spans="5:53" x14ac:dyDescent="0.3">
      <c r="E187" s="126"/>
      <c r="F187" s="126"/>
      <c r="G187" s="126"/>
      <c r="Q187" s="126"/>
      <c r="S187" s="126"/>
      <c r="T187" s="126"/>
      <c r="AD187" s="126"/>
      <c r="AP187" s="126"/>
      <c r="AZ187" s="126"/>
      <c r="BA187" s="126"/>
    </row>
    <row r="188" spans="5:53" x14ac:dyDescent="0.3">
      <c r="E188" s="126"/>
      <c r="F188" s="126"/>
      <c r="G188" s="126"/>
      <c r="Q188" s="126"/>
      <c r="S188" s="126"/>
      <c r="T188" s="126"/>
      <c r="AD188" s="126"/>
      <c r="AP188" s="126"/>
      <c r="AZ188" s="126"/>
      <c r="BA188" s="126"/>
    </row>
    <row r="189" spans="5:53" x14ac:dyDescent="0.3">
      <c r="E189" s="126"/>
      <c r="F189" s="126"/>
      <c r="G189" s="126"/>
      <c r="Q189" s="126"/>
      <c r="S189" s="126"/>
      <c r="T189" s="126"/>
      <c r="AD189" s="126"/>
      <c r="AP189" s="126"/>
      <c r="AZ189" s="126"/>
      <c r="BA189" s="126"/>
    </row>
    <row r="190" spans="5:53" x14ac:dyDescent="0.3">
      <c r="E190" s="126"/>
      <c r="F190" s="126"/>
      <c r="G190" s="126"/>
      <c r="Q190" s="126"/>
      <c r="S190" s="126"/>
      <c r="T190" s="126"/>
      <c r="AD190" s="126"/>
      <c r="AP190" s="126"/>
      <c r="AZ190" s="126"/>
      <c r="BA190" s="126"/>
    </row>
    <row r="191" spans="5:53" x14ac:dyDescent="0.3">
      <c r="E191" s="126"/>
      <c r="F191" s="126"/>
      <c r="G191" s="126"/>
      <c r="Q191" s="126"/>
      <c r="S191" s="126"/>
      <c r="T191" s="126"/>
      <c r="AD191" s="126"/>
      <c r="AP191" s="126"/>
      <c r="AZ191" s="126"/>
      <c r="BA191" s="126"/>
    </row>
    <row r="192" spans="5:53" x14ac:dyDescent="0.3">
      <c r="E192" s="126"/>
      <c r="F192" s="126"/>
      <c r="G192" s="126"/>
      <c r="Q192" s="126"/>
      <c r="S192" s="126"/>
      <c r="T192" s="126"/>
      <c r="AD192" s="126"/>
      <c r="AP192" s="126"/>
      <c r="AZ192" s="126"/>
      <c r="BA192" s="126"/>
    </row>
    <row r="193" spans="5:53" x14ac:dyDescent="0.3">
      <c r="E193" s="126"/>
      <c r="F193" s="126"/>
      <c r="G193" s="126"/>
      <c r="Q193" s="126"/>
      <c r="S193" s="126"/>
      <c r="T193" s="126"/>
      <c r="AD193" s="126"/>
      <c r="AP193" s="126"/>
      <c r="AZ193" s="126"/>
      <c r="BA193" s="126"/>
    </row>
    <row r="194" spans="5:53" x14ac:dyDescent="0.3">
      <c r="E194" s="126"/>
      <c r="F194" s="126"/>
      <c r="G194" s="126"/>
      <c r="Q194" s="126"/>
      <c r="S194" s="126"/>
      <c r="T194" s="126"/>
      <c r="AD194" s="126"/>
      <c r="AP194" s="126"/>
      <c r="AZ194" s="126"/>
      <c r="BA194" s="126"/>
    </row>
    <row r="195" spans="5:53" x14ac:dyDescent="0.3">
      <c r="E195" s="126"/>
      <c r="F195" s="126"/>
      <c r="G195" s="126"/>
      <c r="Q195" s="126"/>
      <c r="S195" s="126"/>
      <c r="T195" s="126"/>
      <c r="AD195" s="126"/>
      <c r="AP195" s="126"/>
      <c r="AZ195" s="126"/>
      <c r="BA195" s="126"/>
    </row>
    <row r="196" spans="5:53" x14ac:dyDescent="0.3">
      <c r="E196" s="126"/>
      <c r="F196" s="126"/>
      <c r="G196" s="126"/>
      <c r="Q196" s="126"/>
      <c r="S196" s="126"/>
      <c r="T196" s="126"/>
      <c r="AD196" s="126"/>
      <c r="AP196" s="126"/>
      <c r="AZ196" s="126"/>
      <c r="BA196" s="126"/>
    </row>
    <row r="197" spans="5:53" x14ac:dyDescent="0.3">
      <c r="E197" s="126"/>
      <c r="F197" s="126"/>
      <c r="G197" s="126"/>
      <c r="Q197" s="126"/>
      <c r="S197" s="126"/>
      <c r="T197" s="126"/>
      <c r="AD197" s="126"/>
      <c r="AP197" s="126"/>
      <c r="AZ197" s="126"/>
      <c r="BA197" s="126"/>
    </row>
    <row r="198" spans="5:53" x14ac:dyDescent="0.3">
      <c r="E198" s="126"/>
      <c r="F198" s="126"/>
      <c r="G198" s="126"/>
      <c r="Q198" s="126"/>
      <c r="S198" s="126"/>
      <c r="T198" s="126"/>
      <c r="AD198" s="126"/>
      <c r="AP198" s="126"/>
      <c r="AZ198" s="126"/>
      <c r="BA198" s="126"/>
    </row>
    <row r="199" spans="5:53" x14ac:dyDescent="0.3">
      <c r="E199" s="126"/>
      <c r="F199" s="126"/>
      <c r="G199" s="126"/>
      <c r="Q199" s="126"/>
      <c r="S199" s="126"/>
      <c r="T199" s="126"/>
      <c r="AD199" s="126"/>
      <c r="AP199" s="126"/>
      <c r="AZ199" s="126"/>
      <c r="BA199" s="126"/>
    </row>
    <row r="200" spans="5:53" x14ac:dyDescent="0.3">
      <c r="E200" s="126"/>
      <c r="F200" s="126"/>
      <c r="G200" s="126"/>
      <c r="Q200" s="126"/>
      <c r="S200" s="126"/>
      <c r="T200" s="126"/>
      <c r="AD200" s="126"/>
      <c r="AP200" s="126"/>
      <c r="AZ200" s="126"/>
      <c r="BA200" s="126"/>
    </row>
    <row r="201" spans="5:53" x14ac:dyDescent="0.3">
      <c r="E201" s="126"/>
      <c r="F201" s="126"/>
      <c r="G201" s="126"/>
      <c r="Q201" s="126"/>
      <c r="S201" s="126"/>
      <c r="T201" s="126"/>
      <c r="AD201" s="126"/>
      <c r="AP201" s="126"/>
      <c r="AZ201" s="126"/>
      <c r="BA201" s="126"/>
    </row>
    <row r="202" spans="5:53" x14ac:dyDescent="0.3">
      <c r="E202" s="126"/>
      <c r="F202" s="126"/>
      <c r="G202" s="126"/>
      <c r="Q202" s="126"/>
      <c r="S202" s="126"/>
      <c r="T202" s="126"/>
      <c r="AD202" s="126"/>
      <c r="AP202" s="126"/>
      <c r="AZ202" s="126"/>
      <c r="BA202" s="126"/>
    </row>
    <row r="203" spans="5:53" x14ac:dyDescent="0.3">
      <c r="E203" s="126"/>
      <c r="F203" s="126"/>
      <c r="G203" s="126"/>
      <c r="Q203" s="126"/>
      <c r="S203" s="126"/>
      <c r="T203" s="126"/>
      <c r="AD203" s="126"/>
      <c r="AP203" s="126"/>
      <c r="AZ203" s="126"/>
      <c r="BA203" s="126"/>
    </row>
    <row r="204" spans="5:53" x14ac:dyDescent="0.3">
      <c r="E204" s="126"/>
      <c r="F204" s="126"/>
      <c r="G204" s="126"/>
      <c r="Q204" s="126"/>
      <c r="S204" s="126"/>
      <c r="T204" s="126"/>
      <c r="AD204" s="126"/>
      <c r="AP204" s="126"/>
      <c r="AZ204" s="126"/>
      <c r="BA204" s="126"/>
    </row>
    <row r="205" spans="5:53" x14ac:dyDescent="0.3">
      <c r="E205" s="126"/>
      <c r="F205" s="126"/>
      <c r="G205" s="126"/>
      <c r="Q205" s="126"/>
      <c r="S205" s="126"/>
      <c r="T205" s="126"/>
      <c r="AD205" s="126"/>
      <c r="AP205" s="126"/>
      <c r="AZ205" s="126"/>
      <c r="BA205" s="126"/>
    </row>
    <row r="206" spans="5:53" x14ac:dyDescent="0.3">
      <c r="E206" s="126"/>
      <c r="F206" s="126"/>
      <c r="G206" s="126"/>
      <c r="Q206" s="126"/>
      <c r="S206" s="126"/>
      <c r="T206" s="126"/>
      <c r="AD206" s="126"/>
      <c r="AP206" s="126"/>
      <c r="AZ206" s="126"/>
      <c r="BA206" s="126"/>
    </row>
    <row r="207" spans="5:53" x14ac:dyDescent="0.3">
      <c r="E207" s="126"/>
      <c r="F207" s="126"/>
      <c r="G207" s="126"/>
      <c r="Q207" s="126"/>
      <c r="S207" s="126"/>
      <c r="T207" s="126"/>
      <c r="AD207" s="126"/>
      <c r="AP207" s="126"/>
      <c r="AZ207" s="126"/>
      <c r="BA207" s="126"/>
    </row>
    <row r="208" spans="5:53" x14ac:dyDescent="0.3">
      <c r="E208" s="126"/>
      <c r="F208" s="126"/>
      <c r="G208" s="126"/>
      <c r="Q208" s="126"/>
      <c r="S208" s="126"/>
      <c r="T208" s="126"/>
      <c r="AD208" s="126"/>
      <c r="AP208" s="126"/>
      <c r="AZ208" s="126"/>
      <c r="BA208" s="126"/>
    </row>
    <row r="209" spans="5:53" x14ac:dyDescent="0.3">
      <c r="E209" s="126"/>
      <c r="F209" s="126"/>
      <c r="G209" s="126"/>
      <c r="Q209" s="126"/>
      <c r="S209" s="126"/>
      <c r="T209" s="126"/>
      <c r="AD209" s="126"/>
      <c r="AP209" s="126"/>
      <c r="AZ209" s="126"/>
      <c r="BA209" s="126"/>
    </row>
    <row r="210" spans="5:53" x14ac:dyDescent="0.3">
      <c r="E210" s="126"/>
      <c r="F210" s="126"/>
      <c r="G210" s="126"/>
      <c r="Q210" s="126"/>
      <c r="S210" s="126"/>
      <c r="T210" s="126"/>
      <c r="AD210" s="126"/>
      <c r="AP210" s="126"/>
      <c r="AZ210" s="126"/>
      <c r="BA210" s="126"/>
    </row>
    <row r="211" spans="5:53" x14ac:dyDescent="0.3">
      <c r="E211" s="126"/>
      <c r="F211" s="126"/>
      <c r="G211" s="126"/>
      <c r="Q211" s="126"/>
      <c r="S211" s="126"/>
      <c r="T211" s="126"/>
      <c r="AD211" s="126"/>
      <c r="AP211" s="126"/>
      <c r="AZ211" s="126"/>
      <c r="BA211" s="126"/>
    </row>
    <row r="212" spans="5:53" x14ac:dyDescent="0.3">
      <c r="E212" s="126"/>
      <c r="F212" s="126"/>
      <c r="G212" s="126"/>
      <c r="Q212" s="126"/>
      <c r="S212" s="126"/>
      <c r="T212" s="126"/>
      <c r="AD212" s="126"/>
      <c r="AP212" s="126"/>
      <c r="AZ212" s="126"/>
      <c r="BA212" s="126"/>
    </row>
    <row r="213" spans="5:53" x14ac:dyDescent="0.3">
      <c r="E213" s="126"/>
      <c r="F213" s="126"/>
      <c r="G213" s="126"/>
      <c r="Q213" s="126"/>
      <c r="S213" s="126"/>
      <c r="T213" s="126"/>
      <c r="AD213" s="126"/>
      <c r="AP213" s="126"/>
      <c r="AZ213" s="126"/>
      <c r="BA213" s="126"/>
    </row>
    <row r="214" spans="5:53" x14ac:dyDescent="0.3">
      <c r="E214" s="126"/>
      <c r="F214" s="126"/>
      <c r="G214" s="126"/>
      <c r="Q214" s="126"/>
      <c r="S214" s="126"/>
      <c r="T214" s="126"/>
      <c r="AD214" s="126"/>
      <c r="AP214" s="126"/>
      <c r="AZ214" s="126"/>
      <c r="BA214" s="126"/>
    </row>
    <row r="215" spans="5:53" x14ac:dyDescent="0.3">
      <c r="E215" s="126"/>
      <c r="F215" s="126"/>
      <c r="G215" s="126"/>
      <c r="Q215" s="126"/>
      <c r="S215" s="126"/>
      <c r="T215" s="126"/>
      <c r="AD215" s="126"/>
      <c r="AP215" s="126"/>
      <c r="AZ215" s="126"/>
      <c r="BA215" s="126"/>
    </row>
    <row r="216" spans="5:53" x14ac:dyDescent="0.3">
      <c r="E216" s="126"/>
      <c r="F216" s="126"/>
      <c r="G216" s="126"/>
      <c r="Q216" s="126"/>
      <c r="S216" s="126"/>
      <c r="T216" s="126"/>
      <c r="AD216" s="126"/>
      <c r="AP216" s="126"/>
      <c r="AZ216" s="126"/>
      <c r="BA216" s="126"/>
    </row>
    <row r="217" spans="5:53" x14ac:dyDescent="0.3">
      <c r="E217" s="126"/>
      <c r="F217" s="126"/>
      <c r="G217" s="126"/>
      <c r="Q217" s="126"/>
      <c r="S217" s="126"/>
      <c r="T217" s="126"/>
      <c r="AD217" s="126"/>
      <c r="AP217" s="126"/>
      <c r="AZ217" s="126"/>
      <c r="BA217" s="126"/>
    </row>
    <row r="218" spans="5:53" x14ac:dyDescent="0.3">
      <c r="E218" s="126"/>
      <c r="F218" s="126"/>
      <c r="G218" s="126"/>
      <c r="Q218" s="126"/>
      <c r="S218" s="126"/>
      <c r="T218" s="126"/>
      <c r="AD218" s="126"/>
      <c r="AP218" s="126"/>
      <c r="AZ218" s="126"/>
      <c r="BA218" s="126"/>
    </row>
    <row r="219" spans="5:53" x14ac:dyDescent="0.3">
      <c r="E219" s="126"/>
      <c r="F219" s="126"/>
      <c r="G219" s="126"/>
      <c r="Q219" s="126"/>
      <c r="S219" s="126"/>
      <c r="T219" s="126"/>
      <c r="AD219" s="126"/>
      <c r="AP219" s="126"/>
      <c r="AZ219" s="126"/>
      <c r="BA219" s="126"/>
    </row>
    <row r="220" spans="5:53" x14ac:dyDescent="0.3">
      <c r="E220" s="126"/>
      <c r="F220" s="126"/>
      <c r="G220" s="126"/>
      <c r="Q220" s="126"/>
      <c r="S220" s="126"/>
      <c r="T220" s="126"/>
      <c r="AD220" s="126"/>
      <c r="AP220" s="126"/>
      <c r="AZ220" s="126"/>
      <c r="BA220" s="126"/>
    </row>
    <row r="221" spans="5:53" x14ac:dyDescent="0.3">
      <c r="E221" s="126"/>
      <c r="F221" s="126"/>
      <c r="G221" s="126"/>
      <c r="Q221" s="126"/>
      <c r="S221" s="126"/>
      <c r="T221" s="126"/>
      <c r="AD221" s="126"/>
      <c r="AP221" s="126"/>
      <c r="AZ221" s="126"/>
      <c r="BA221" s="126"/>
    </row>
    <row r="222" spans="5:53" x14ac:dyDescent="0.3">
      <c r="E222" s="126"/>
      <c r="F222" s="126"/>
      <c r="G222" s="126"/>
      <c r="Q222" s="126"/>
      <c r="S222" s="126"/>
      <c r="T222" s="126"/>
      <c r="AD222" s="126"/>
      <c r="AP222" s="126"/>
      <c r="AZ222" s="126"/>
      <c r="BA222" s="126"/>
    </row>
    <row r="223" spans="5:53" x14ac:dyDescent="0.3">
      <c r="E223" s="126"/>
      <c r="F223" s="126"/>
      <c r="G223" s="126"/>
      <c r="Q223" s="126"/>
      <c r="S223" s="126"/>
      <c r="T223" s="126"/>
      <c r="AD223" s="126"/>
      <c r="AP223" s="126"/>
      <c r="AZ223" s="126"/>
      <c r="BA223" s="126"/>
    </row>
    <row r="224" spans="5:53" x14ac:dyDescent="0.3">
      <c r="E224" s="126"/>
      <c r="F224" s="126"/>
      <c r="G224" s="126"/>
      <c r="Q224" s="126"/>
      <c r="S224" s="126"/>
      <c r="T224" s="126"/>
      <c r="AD224" s="126"/>
      <c r="AP224" s="126"/>
      <c r="AZ224" s="126"/>
      <c r="BA224" s="126"/>
    </row>
    <row r="225" spans="5:53" x14ac:dyDescent="0.3">
      <c r="E225" s="126"/>
      <c r="F225" s="126"/>
      <c r="G225" s="126"/>
      <c r="Q225" s="126"/>
      <c r="S225" s="126"/>
      <c r="T225" s="126"/>
      <c r="AD225" s="126"/>
      <c r="AP225" s="126"/>
      <c r="AZ225" s="126"/>
      <c r="BA225" s="126"/>
    </row>
    <row r="226" spans="5:53" x14ac:dyDescent="0.3">
      <c r="E226" s="126"/>
      <c r="F226" s="126"/>
      <c r="G226" s="126"/>
      <c r="Q226" s="126"/>
      <c r="S226" s="126"/>
      <c r="T226" s="126"/>
      <c r="AD226" s="126"/>
      <c r="AP226" s="126"/>
      <c r="AZ226" s="126"/>
      <c r="BA226" s="126"/>
    </row>
    <row r="227" spans="5:53" x14ac:dyDescent="0.3">
      <c r="E227" s="126"/>
      <c r="F227" s="126"/>
      <c r="G227" s="126"/>
      <c r="Q227" s="126"/>
      <c r="S227" s="126"/>
      <c r="T227" s="126"/>
      <c r="AD227" s="126"/>
      <c r="AP227" s="126"/>
      <c r="AZ227" s="126"/>
      <c r="BA227" s="126"/>
    </row>
    <row r="228" spans="5:53" x14ac:dyDescent="0.3">
      <c r="E228" s="126"/>
      <c r="F228" s="126"/>
      <c r="G228" s="126"/>
      <c r="Q228" s="126"/>
      <c r="S228" s="126"/>
      <c r="T228" s="126"/>
      <c r="AD228" s="126"/>
      <c r="AP228" s="126"/>
      <c r="AZ228" s="126"/>
      <c r="BA228" s="126"/>
    </row>
    <row r="229" spans="5:53" x14ac:dyDescent="0.3">
      <c r="E229" s="126"/>
      <c r="F229" s="126"/>
      <c r="G229" s="126"/>
      <c r="Q229" s="126"/>
      <c r="S229" s="126"/>
      <c r="T229" s="126"/>
      <c r="AD229" s="126"/>
      <c r="AP229" s="126"/>
      <c r="AZ229" s="126"/>
      <c r="BA229" s="126"/>
    </row>
    <row r="230" spans="5:53" x14ac:dyDescent="0.3">
      <c r="E230" s="126"/>
      <c r="F230" s="126"/>
      <c r="G230" s="126"/>
      <c r="Q230" s="126"/>
      <c r="S230" s="126"/>
      <c r="T230" s="126"/>
      <c r="AD230" s="126"/>
      <c r="AP230" s="126"/>
      <c r="AZ230" s="126"/>
      <c r="BA230" s="126"/>
    </row>
    <row r="231" spans="5:53" x14ac:dyDescent="0.3">
      <c r="E231" s="126"/>
      <c r="F231" s="126"/>
      <c r="G231" s="126"/>
      <c r="Q231" s="126"/>
      <c r="S231" s="126"/>
      <c r="T231" s="126"/>
      <c r="AD231" s="126"/>
      <c r="AP231" s="126"/>
      <c r="AZ231" s="126"/>
      <c r="BA231" s="126"/>
    </row>
    <row r="232" spans="5:53" x14ac:dyDescent="0.3">
      <c r="E232" s="126"/>
      <c r="F232" s="126"/>
      <c r="G232" s="126"/>
      <c r="Q232" s="126"/>
      <c r="S232" s="126"/>
      <c r="T232" s="126"/>
      <c r="AD232" s="126"/>
      <c r="AP232" s="126"/>
      <c r="AZ232" s="126"/>
      <c r="BA232" s="126"/>
    </row>
    <row r="233" spans="5:53" x14ac:dyDescent="0.3">
      <c r="E233" s="126"/>
      <c r="F233" s="126"/>
      <c r="G233" s="126"/>
      <c r="Q233" s="126"/>
      <c r="S233" s="126"/>
      <c r="T233" s="126"/>
      <c r="AD233" s="126"/>
      <c r="AP233" s="126"/>
      <c r="AZ233" s="126"/>
      <c r="BA233" s="126"/>
    </row>
    <row r="234" spans="5:53" x14ac:dyDescent="0.3">
      <c r="E234" s="126"/>
      <c r="F234" s="126"/>
      <c r="G234" s="126"/>
      <c r="Q234" s="126"/>
      <c r="S234" s="126"/>
      <c r="T234" s="126"/>
      <c r="AD234" s="126"/>
      <c r="AP234" s="126"/>
      <c r="AZ234" s="126"/>
      <c r="BA234" s="126"/>
    </row>
    <row r="235" spans="5:53" x14ac:dyDescent="0.3">
      <c r="E235" s="126"/>
      <c r="F235" s="126"/>
      <c r="G235" s="126"/>
      <c r="Q235" s="126"/>
      <c r="S235" s="126"/>
      <c r="T235" s="126"/>
      <c r="AD235" s="126"/>
      <c r="AP235" s="126"/>
      <c r="AZ235" s="126"/>
      <c r="BA235" s="126"/>
    </row>
    <row r="236" spans="5:53" x14ac:dyDescent="0.3">
      <c r="E236" s="126"/>
      <c r="F236" s="126"/>
      <c r="G236" s="126"/>
      <c r="Q236" s="126"/>
      <c r="S236" s="126"/>
      <c r="T236" s="126"/>
      <c r="AD236" s="126"/>
      <c r="AP236" s="126"/>
      <c r="AZ236" s="126"/>
      <c r="BA236" s="126"/>
    </row>
    <row r="237" spans="5:53" x14ac:dyDescent="0.3">
      <c r="E237" s="126"/>
      <c r="F237" s="126"/>
      <c r="G237" s="126"/>
      <c r="Q237" s="126"/>
      <c r="S237" s="126"/>
      <c r="T237" s="126"/>
      <c r="AD237" s="126"/>
      <c r="AP237" s="126"/>
      <c r="AZ237" s="126"/>
      <c r="BA237" s="126"/>
    </row>
    <row r="238" spans="5:53" x14ac:dyDescent="0.3">
      <c r="E238" s="126"/>
      <c r="F238" s="126"/>
      <c r="G238" s="126"/>
      <c r="Q238" s="126"/>
      <c r="S238" s="126"/>
      <c r="T238" s="126"/>
      <c r="AD238" s="126"/>
      <c r="AP238" s="126"/>
      <c r="AZ238" s="126"/>
      <c r="BA238" s="126"/>
    </row>
    <row r="239" spans="5:53" x14ac:dyDescent="0.3">
      <c r="E239" s="126"/>
      <c r="F239" s="126"/>
      <c r="G239" s="126"/>
      <c r="Q239" s="126"/>
      <c r="S239" s="126"/>
      <c r="T239" s="126"/>
      <c r="AD239" s="126"/>
      <c r="AP239" s="126"/>
      <c r="AZ239" s="126"/>
      <c r="BA239" s="126"/>
    </row>
    <row r="240" spans="5:53" x14ac:dyDescent="0.3">
      <c r="E240" s="126"/>
      <c r="F240" s="126"/>
      <c r="G240" s="126"/>
      <c r="Q240" s="126"/>
      <c r="S240" s="126"/>
      <c r="T240" s="126"/>
      <c r="AD240" s="126"/>
      <c r="AP240" s="126"/>
      <c r="AZ240" s="126"/>
      <c r="BA240" s="126"/>
    </row>
    <row r="241" spans="5:53" x14ac:dyDescent="0.3">
      <c r="E241" s="126"/>
      <c r="F241" s="126"/>
      <c r="G241" s="126"/>
      <c r="Q241" s="126"/>
      <c r="S241" s="126"/>
      <c r="T241" s="126"/>
      <c r="AD241" s="126"/>
      <c r="AP241" s="126"/>
      <c r="AZ241" s="126"/>
      <c r="BA241" s="126"/>
    </row>
    <row r="242" spans="5:53" x14ac:dyDescent="0.3">
      <c r="E242" s="126"/>
      <c r="F242" s="126"/>
      <c r="G242" s="126"/>
      <c r="Q242" s="126"/>
      <c r="S242" s="126"/>
      <c r="T242" s="126"/>
      <c r="AD242" s="126"/>
      <c r="AP242" s="126"/>
      <c r="AZ242" s="126"/>
      <c r="BA242" s="126"/>
    </row>
    <row r="243" spans="5:53" x14ac:dyDescent="0.3">
      <c r="E243" s="126"/>
      <c r="F243" s="126"/>
      <c r="G243" s="126"/>
      <c r="Q243" s="126"/>
      <c r="S243" s="126"/>
      <c r="T243" s="126"/>
      <c r="AD243" s="126"/>
      <c r="AP243" s="126"/>
      <c r="AZ243" s="126"/>
      <c r="BA243" s="126"/>
    </row>
    <row r="244" spans="5:53" x14ac:dyDescent="0.3">
      <c r="E244" s="126"/>
      <c r="F244" s="126"/>
      <c r="G244" s="126"/>
      <c r="Q244" s="126"/>
      <c r="S244" s="126"/>
      <c r="T244" s="126"/>
      <c r="AD244" s="126"/>
      <c r="AP244" s="126"/>
      <c r="AZ244" s="126"/>
      <c r="BA244" s="126"/>
    </row>
    <row r="245" spans="5:53" x14ac:dyDescent="0.3">
      <c r="E245" s="126"/>
      <c r="F245" s="126"/>
      <c r="G245" s="126"/>
      <c r="Q245" s="126"/>
      <c r="S245" s="126"/>
      <c r="T245" s="126"/>
      <c r="AD245" s="126"/>
      <c r="AP245" s="126"/>
      <c r="AZ245" s="126"/>
      <c r="BA245" s="126"/>
    </row>
    <row r="246" spans="5:53" x14ac:dyDescent="0.3">
      <c r="E246" s="126"/>
      <c r="F246" s="126"/>
      <c r="G246" s="126"/>
      <c r="Q246" s="126"/>
      <c r="S246" s="126"/>
      <c r="T246" s="126"/>
      <c r="AD246" s="126"/>
      <c r="AP246" s="126"/>
      <c r="AZ246" s="126"/>
      <c r="BA246" s="126"/>
    </row>
    <row r="247" spans="5:53" x14ac:dyDescent="0.3">
      <c r="E247" s="126"/>
      <c r="F247" s="126"/>
      <c r="G247" s="126"/>
      <c r="Q247" s="126"/>
      <c r="S247" s="126"/>
      <c r="T247" s="126"/>
      <c r="AD247" s="126"/>
      <c r="AP247" s="126"/>
      <c r="AZ247" s="126"/>
      <c r="BA247" s="126"/>
    </row>
    <row r="248" spans="5:53" x14ac:dyDescent="0.3">
      <c r="E248" s="126"/>
      <c r="F248" s="126"/>
      <c r="G248" s="126"/>
      <c r="Q248" s="126"/>
      <c r="S248" s="126"/>
      <c r="T248" s="126"/>
      <c r="AD248" s="126"/>
      <c r="AP248" s="126"/>
      <c r="AZ248" s="126"/>
      <c r="BA248" s="126"/>
    </row>
    <row r="249" spans="5:53" x14ac:dyDescent="0.3">
      <c r="E249" s="126"/>
      <c r="F249" s="126"/>
      <c r="G249" s="126"/>
      <c r="Q249" s="126"/>
      <c r="S249" s="126"/>
      <c r="T249" s="126"/>
      <c r="AD249" s="126"/>
      <c r="AP249" s="126"/>
      <c r="AZ249" s="126"/>
      <c r="BA249" s="126"/>
    </row>
    <row r="250" spans="5:53" x14ac:dyDescent="0.3">
      <c r="E250" s="126"/>
      <c r="F250" s="126"/>
      <c r="G250" s="126"/>
      <c r="Q250" s="126"/>
      <c r="S250" s="126"/>
      <c r="T250" s="126"/>
      <c r="AD250" s="126"/>
      <c r="AP250" s="126"/>
      <c r="AZ250" s="126"/>
      <c r="BA250" s="126"/>
    </row>
    <row r="251" spans="5:53" x14ac:dyDescent="0.3">
      <c r="E251" s="126"/>
      <c r="F251" s="126"/>
      <c r="G251" s="126"/>
      <c r="Q251" s="126"/>
      <c r="S251" s="126"/>
      <c r="T251" s="126"/>
      <c r="AD251" s="126"/>
      <c r="AP251" s="126"/>
      <c r="AZ251" s="126"/>
      <c r="BA251" s="126"/>
    </row>
    <row r="252" spans="5:53" x14ac:dyDescent="0.3">
      <c r="E252" s="126"/>
      <c r="F252" s="126"/>
      <c r="G252" s="126"/>
      <c r="Q252" s="126"/>
      <c r="S252" s="126"/>
      <c r="T252" s="126"/>
      <c r="AD252" s="126"/>
      <c r="AP252" s="126"/>
      <c r="AZ252" s="126"/>
      <c r="BA252" s="126"/>
    </row>
    <row r="253" spans="5:53" x14ac:dyDescent="0.3">
      <c r="E253" s="126"/>
      <c r="F253" s="126"/>
      <c r="G253" s="126"/>
      <c r="Q253" s="126"/>
      <c r="S253" s="126"/>
      <c r="T253" s="126"/>
      <c r="AD253" s="126"/>
      <c r="AP253" s="126"/>
      <c r="AZ253" s="126"/>
      <c r="BA253" s="126"/>
    </row>
    <row r="254" spans="5:53" x14ac:dyDescent="0.3">
      <c r="E254" s="126"/>
      <c r="F254" s="126"/>
      <c r="G254" s="126"/>
      <c r="Q254" s="126"/>
      <c r="S254" s="126"/>
      <c r="T254" s="126"/>
      <c r="AD254" s="126"/>
      <c r="AP254" s="126"/>
      <c r="AZ254" s="126"/>
      <c r="BA254" s="126"/>
    </row>
    <row r="255" spans="5:53" x14ac:dyDescent="0.3">
      <c r="E255" s="126"/>
      <c r="F255" s="126"/>
      <c r="G255" s="126"/>
      <c r="Q255" s="126"/>
      <c r="S255" s="126"/>
      <c r="T255" s="126"/>
      <c r="AD255" s="126"/>
      <c r="AP255" s="126"/>
      <c r="AZ255" s="126"/>
      <c r="BA255" s="126"/>
    </row>
    <row r="256" spans="5:53" x14ac:dyDescent="0.3">
      <c r="E256" s="126"/>
      <c r="F256" s="126"/>
      <c r="G256" s="126"/>
      <c r="Q256" s="126"/>
      <c r="S256" s="126"/>
      <c r="T256" s="126"/>
      <c r="AD256" s="126"/>
      <c r="AP256" s="126"/>
      <c r="AZ256" s="126"/>
      <c r="BA256" s="126"/>
    </row>
    <row r="257" spans="5:53" x14ac:dyDescent="0.3">
      <c r="E257" s="126"/>
      <c r="F257" s="126"/>
      <c r="G257" s="126"/>
      <c r="Q257" s="126"/>
      <c r="S257" s="126"/>
      <c r="T257" s="126"/>
      <c r="AD257" s="126"/>
      <c r="AP257" s="126"/>
      <c r="AZ257" s="126"/>
      <c r="BA257" s="126"/>
    </row>
    <row r="258" spans="5:53" x14ac:dyDescent="0.3">
      <c r="E258" s="126"/>
      <c r="F258" s="126"/>
      <c r="G258" s="126"/>
      <c r="Q258" s="126"/>
      <c r="S258" s="126"/>
      <c r="T258" s="126"/>
      <c r="AD258" s="126"/>
      <c r="AP258" s="126"/>
      <c r="AZ258" s="126"/>
      <c r="BA258" s="126"/>
    </row>
    <row r="259" spans="5:53" x14ac:dyDescent="0.3">
      <c r="E259" s="126"/>
      <c r="F259" s="126"/>
      <c r="G259" s="126"/>
      <c r="Q259" s="126"/>
      <c r="S259" s="126"/>
      <c r="T259" s="126"/>
      <c r="AD259" s="126"/>
      <c r="AP259" s="126"/>
      <c r="AZ259" s="126"/>
      <c r="BA259" s="126"/>
    </row>
    <row r="260" spans="5:53" x14ac:dyDescent="0.3">
      <c r="E260" s="126"/>
      <c r="F260" s="126"/>
      <c r="G260" s="126"/>
      <c r="Q260" s="126"/>
      <c r="S260" s="126"/>
      <c r="T260" s="126"/>
      <c r="AD260" s="126"/>
      <c r="AP260" s="126"/>
      <c r="AZ260" s="126"/>
      <c r="BA260" s="126"/>
    </row>
    <row r="261" spans="5:53" x14ac:dyDescent="0.3">
      <c r="E261" s="126"/>
      <c r="F261" s="126"/>
      <c r="G261" s="126"/>
      <c r="Q261" s="126"/>
      <c r="S261" s="126"/>
      <c r="T261" s="126"/>
      <c r="AD261" s="126"/>
      <c r="AP261" s="126"/>
      <c r="AZ261" s="126"/>
      <c r="BA261" s="126"/>
    </row>
    <row r="262" spans="5:53" x14ac:dyDescent="0.3">
      <c r="E262" s="126"/>
      <c r="F262" s="126"/>
      <c r="G262" s="126"/>
      <c r="Q262" s="126"/>
      <c r="S262" s="126"/>
      <c r="T262" s="126"/>
      <c r="AD262" s="126"/>
      <c r="AP262" s="126"/>
      <c r="AZ262" s="126"/>
      <c r="BA262" s="126"/>
    </row>
    <row r="263" spans="5:53" x14ac:dyDescent="0.3">
      <c r="E263" s="126"/>
      <c r="F263" s="126"/>
      <c r="G263" s="126"/>
      <c r="Q263" s="126"/>
      <c r="S263" s="126"/>
      <c r="T263" s="126"/>
      <c r="AD263" s="126"/>
      <c r="AP263" s="126"/>
      <c r="AZ263" s="126"/>
      <c r="BA263" s="126"/>
    </row>
    <row r="264" spans="5:53" x14ac:dyDescent="0.3">
      <c r="E264" s="126"/>
      <c r="F264" s="126"/>
      <c r="G264" s="126"/>
      <c r="Q264" s="126"/>
      <c r="S264" s="126"/>
      <c r="T264" s="126"/>
      <c r="AD264" s="126"/>
      <c r="AP264" s="126"/>
      <c r="AZ264" s="126"/>
      <c r="BA264" s="126"/>
    </row>
    <row r="265" spans="5:53" x14ac:dyDescent="0.3">
      <c r="E265" s="126"/>
      <c r="F265" s="126"/>
      <c r="G265" s="126"/>
      <c r="Q265" s="126"/>
      <c r="S265" s="126"/>
      <c r="T265" s="126"/>
      <c r="AD265" s="126"/>
      <c r="AP265" s="126"/>
      <c r="AZ265" s="126"/>
      <c r="BA265" s="126"/>
    </row>
    <row r="266" spans="5:53" x14ac:dyDescent="0.3">
      <c r="E266" s="126"/>
      <c r="F266" s="126"/>
      <c r="G266" s="126"/>
      <c r="Q266" s="126"/>
      <c r="S266" s="126"/>
      <c r="T266" s="126"/>
      <c r="AD266" s="126"/>
      <c r="AP266" s="126"/>
      <c r="AZ266" s="126"/>
      <c r="BA266" s="126"/>
    </row>
    <row r="267" spans="5:53" x14ac:dyDescent="0.3">
      <c r="E267" s="126"/>
      <c r="F267" s="126"/>
      <c r="G267" s="126"/>
      <c r="Q267" s="126"/>
      <c r="S267" s="126"/>
      <c r="T267" s="126"/>
      <c r="AD267" s="126"/>
      <c r="AP267" s="126"/>
      <c r="AZ267" s="126"/>
      <c r="BA267" s="126"/>
    </row>
    <row r="268" spans="5:53" x14ac:dyDescent="0.3">
      <c r="E268" s="126"/>
      <c r="F268" s="126"/>
      <c r="G268" s="126"/>
      <c r="Q268" s="126"/>
      <c r="S268" s="126"/>
      <c r="T268" s="126"/>
      <c r="AD268" s="126"/>
      <c r="AP268" s="126"/>
      <c r="AZ268" s="126"/>
      <c r="BA268" s="126"/>
    </row>
    <row r="269" spans="5:53" x14ac:dyDescent="0.3">
      <c r="E269" s="126"/>
      <c r="F269" s="126"/>
      <c r="G269" s="126"/>
      <c r="Q269" s="126"/>
      <c r="S269" s="126"/>
      <c r="T269" s="126"/>
      <c r="AD269" s="126"/>
      <c r="AP269" s="126"/>
      <c r="AZ269" s="126"/>
      <c r="BA269" s="126"/>
    </row>
    <row r="270" spans="5:53" x14ac:dyDescent="0.3">
      <c r="E270" s="126"/>
      <c r="F270" s="126"/>
      <c r="G270" s="126"/>
      <c r="Q270" s="126"/>
      <c r="S270" s="126"/>
      <c r="T270" s="126"/>
      <c r="AD270" s="126"/>
      <c r="AP270" s="126"/>
      <c r="AZ270" s="126"/>
      <c r="BA270" s="126"/>
    </row>
    <row r="271" spans="5:53" x14ac:dyDescent="0.3">
      <c r="E271" s="126"/>
      <c r="F271" s="126"/>
      <c r="G271" s="126"/>
      <c r="Q271" s="126"/>
      <c r="S271" s="126"/>
      <c r="T271" s="126"/>
      <c r="AD271" s="126"/>
      <c r="AP271" s="126"/>
      <c r="AZ271" s="126"/>
      <c r="BA271" s="126"/>
    </row>
    <row r="272" spans="5:53" x14ac:dyDescent="0.3">
      <c r="E272" s="126"/>
      <c r="F272" s="126"/>
      <c r="G272" s="126"/>
      <c r="Q272" s="126"/>
      <c r="S272" s="126"/>
      <c r="T272" s="126"/>
      <c r="AD272" s="126"/>
      <c r="AP272" s="126"/>
      <c r="AZ272" s="126"/>
      <c r="BA272" s="126"/>
    </row>
    <row r="273" spans="5:53" x14ac:dyDescent="0.3">
      <c r="E273" s="126"/>
      <c r="F273" s="126"/>
      <c r="G273" s="126"/>
      <c r="Q273" s="126"/>
      <c r="S273" s="126"/>
      <c r="T273" s="126"/>
      <c r="AD273" s="126"/>
      <c r="AP273" s="126"/>
      <c r="AZ273" s="126"/>
      <c r="BA273" s="126"/>
    </row>
    <row r="274" spans="5:53" x14ac:dyDescent="0.3">
      <c r="E274" s="126"/>
      <c r="F274" s="126"/>
      <c r="G274" s="126"/>
      <c r="Q274" s="126"/>
      <c r="S274" s="126"/>
      <c r="T274" s="126"/>
      <c r="AD274" s="126"/>
      <c r="AP274" s="126"/>
      <c r="AZ274" s="126"/>
      <c r="BA274" s="126"/>
    </row>
    <row r="275" spans="5:53" x14ac:dyDescent="0.3">
      <c r="E275" s="126"/>
      <c r="F275" s="126"/>
      <c r="G275" s="126"/>
      <c r="Q275" s="126"/>
      <c r="S275" s="126"/>
      <c r="T275" s="126"/>
      <c r="AD275" s="126"/>
      <c r="AP275" s="126"/>
      <c r="AZ275" s="126"/>
      <c r="BA275" s="126"/>
    </row>
    <row r="276" spans="5:53" x14ac:dyDescent="0.3">
      <c r="E276" s="126"/>
      <c r="F276" s="126"/>
      <c r="G276" s="126"/>
      <c r="Q276" s="126"/>
      <c r="S276" s="126"/>
      <c r="T276" s="126"/>
      <c r="AD276" s="126"/>
      <c r="AP276" s="126"/>
      <c r="AZ276" s="126"/>
      <c r="BA276" s="126"/>
    </row>
    <row r="277" spans="5:53" x14ac:dyDescent="0.3">
      <c r="E277" s="126"/>
      <c r="F277" s="126"/>
      <c r="G277" s="126"/>
      <c r="Q277" s="126"/>
      <c r="S277" s="126"/>
      <c r="T277" s="126"/>
      <c r="AD277" s="126"/>
      <c r="AP277" s="126"/>
      <c r="AZ277" s="126"/>
      <c r="BA277" s="126"/>
    </row>
    <row r="278" spans="5:53" x14ac:dyDescent="0.3">
      <c r="E278" s="126"/>
      <c r="F278" s="126"/>
      <c r="G278" s="126"/>
      <c r="Q278" s="126"/>
      <c r="S278" s="126"/>
      <c r="T278" s="126"/>
      <c r="AD278" s="126"/>
      <c r="AP278" s="126"/>
      <c r="AZ278" s="126"/>
      <c r="BA278" s="126"/>
    </row>
    <row r="279" spans="5:53" x14ac:dyDescent="0.3">
      <c r="E279" s="126"/>
      <c r="F279" s="126"/>
      <c r="G279" s="126"/>
      <c r="Q279" s="126"/>
      <c r="S279" s="126"/>
      <c r="T279" s="126"/>
      <c r="AD279" s="126"/>
      <c r="AP279" s="126"/>
      <c r="AZ279" s="126"/>
      <c r="BA279" s="126"/>
    </row>
    <row r="280" spans="5:53" x14ac:dyDescent="0.3">
      <c r="E280" s="126"/>
      <c r="F280" s="126"/>
      <c r="G280" s="126"/>
      <c r="Q280" s="126"/>
      <c r="S280" s="126"/>
      <c r="T280" s="126"/>
      <c r="AD280" s="126"/>
      <c r="AP280" s="126"/>
      <c r="AZ280" s="126"/>
      <c r="BA280" s="126"/>
    </row>
    <row r="281" spans="5:53" x14ac:dyDescent="0.3">
      <c r="E281" s="126"/>
      <c r="F281" s="126"/>
      <c r="G281" s="126"/>
      <c r="Q281" s="126"/>
      <c r="S281" s="126"/>
      <c r="T281" s="126"/>
      <c r="AD281" s="126"/>
      <c r="AP281" s="126"/>
      <c r="AZ281" s="126"/>
      <c r="BA281" s="126"/>
    </row>
    <row r="282" spans="5:53" x14ac:dyDescent="0.3">
      <c r="E282" s="126"/>
      <c r="F282" s="126"/>
      <c r="G282" s="126"/>
      <c r="Q282" s="126"/>
      <c r="S282" s="126"/>
      <c r="T282" s="126"/>
      <c r="AD282" s="126"/>
      <c r="AP282" s="126"/>
      <c r="AZ282" s="126"/>
      <c r="BA282" s="126"/>
    </row>
    <row r="283" spans="5:53" x14ac:dyDescent="0.3">
      <c r="E283" s="126"/>
      <c r="F283" s="126"/>
      <c r="G283" s="126"/>
      <c r="Q283" s="126"/>
      <c r="S283" s="126"/>
      <c r="T283" s="126"/>
      <c r="AD283" s="126"/>
      <c r="AP283" s="126"/>
      <c r="AZ283" s="126"/>
      <c r="BA283" s="126"/>
    </row>
    <row r="284" spans="5:53" x14ac:dyDescent="0.3">
      <c r="E284" s="126"/>
      <c r="F284" s="126"/>
      <c r="G284" s="126"/>
      <c r="Q284" s="126"/>
      <c r="S284" s="126"/>
      <c r="T284" s="126"/>
      <c r="AD284" s="126"/>
      <c r="AP284" s="126"/>
      <c r="AZ284" s="126"/>
      <c r="BA284" s="126"/>
    </row>
    <row r="285" spans="5:53" x14ac:dyDescent="0.3">
      <c r="E285" s="126"/>
      <c r="F285" s="126"/>
      <c r="G285" s="126"/>
      <c r="Q285" s="126"/>
      <c r="S285" s="126"/>
      <c r="T285" s="126"/>
      <c r="AD285" s="126"/>
      <c r="AP285" s="126"/>
      <c r="AZ285" s="126"/>
      <c r="BA285" s="126"/>
    </row>
    <row r="286" spans="5:53" x14ac:dyDescent="0.3">
      <c r="E286" s="126"/>
      <c r="F286" s="126"/>
      <c r="G286" s="126"/>
      <c r="Q286" s="126"/>
      <c r="S286" s="126"/>
      <c r="T286" s="126"/>
      <c r="AD286" s="126"/>
      <c r="AP286" s="126"/>
      <c r="AZ286" s="126"/>
      <c r="BA286" s="126"/>
    </row>
    <row r="287" spans="5:53" x14ac:dyDescent="0.3">
      <c r="E287" s="126"/>
      <c r="F287" s="126"/>
      <c r="G287" s="126"/>
      <c r="Q287" s="126"/>
      <c r="S287" s="126"/>
      <c r="T287" s="126"/>
      <c r="AD287" s="126"/>
      <c r="AP287" s="126"/>
      <c r="AZ287" s="126"/>
      <c r="BA287" s="126"/>
    </row>
    <row r="288" spans="5:53" x14ac:dyDescent="0.3">
      <c r="E288" s="126"/>
      <c r="F288" s="126"/>
      <c r="G288" s="126"/>
      <c r="Q288" s="126"/>
      <c r="S288" s="126"/>
      <c r="T288" s="126"/>
      <c r="AD288" s="126"/>
      <c r="AP288" s="126"/>
      <c r="AZ288" s="126"/>
      <c r="BA288" s="126"/>
    </row>
    <row r="289" spans="5:53" x14ac:dyDescent="0.3">
      <c r="E289" s="126"/>
      <c r="F289" s="126"/>
      <c r="G289" s="126"/>
      <c r="Q289" s="126"/>
      <c r="S289" s="126"/>
      <c r="T289" s="126"/>
      <c r="AD289" s="126"/>
      <c r="AP289" s="126"/>
      <c r="AZ289" s="126"/>
      <c r="BA289" s="126"/>
    </row>
    <row r="290" spans="5:53" x14ac:dyDescent="0.3">
      <c r="E290" s="126"/>
      <c r="F290" s="126"/>
      <c r="G290" s="126"/>
      <c r="Q290" s="126"/>
      <c r="S290" s="126"/>
      <c r="T290" s="126"/>
      <c r="AD290" s="126"/>
      <c r="AP290" s="126"/>
      <c r="AZ290" s="126"/>
      <c r="BA290" s="126"/>
    </row>
    <row r="291" spans="5:53" x14ac:dyDescent="0.3">
      <c r="E291" s="126"/>
      <c r="F291" s="126"/>
      <c r="G291" s="126"/>
      <c r="Q291" s="126"/>
      <c r="S291" s="126"/>
      <c r="T291" s="126"/>
      <c r="AD291" s="126"/>
      <c r="AP291" s="126"/>
      <c r="AZ291" s="126"/>
      <c r="BA291" s="126"/>
    </row>
    <row r="292" spans="5:53" x14ac:dyDescent="0.3">
      <c r="E292" s="126"/>
      <c r="F292" s="126"/>
      <c r="G292" s="126"/>
      <c r="Q292" s="126"/>
      <c r="S292" s="126"/>
      <c r="T292" s="126"/>
      <c r="AD292" s="126"/>
      <c r="AP292" s="126"/>
      <c r="AZ292" s="126"/>
      <c r="BA292" s="126"/>
    </row>
    <row r="293" spans="5:53" x14ac:dyDescent="0.3">
      <c r="E293" s="126"/>
      <c r="F293" s="126"/>
      <c r="G293" s="126"/>
      <c r="Q293" s="126"/>
      <c r="S293" s="126"/>
      <c r="T293" s="126"/>
      <c r="AD293" s="126"/>
      <c r="AP293" s="126"/>
      <c r="AZ293" s="126"/>
      <c r="BA293" s="126"/>
    </row>
    <row r="294" spans="5:53" x14ac:dyDescent="0.3">
      <c r="E294" s="126"/>
      <c r="F294" s="126"/>
      <c r="G294" s="126"/>
      <c r="Q294" s="126"/>
      <c r="S294" s="126"/>
      <c r="T294" s="126"/>
      <c r="AD294" s="126"/>
      <c r="AP294" s="126"/>
      <c r="AZ294" s="126"/>
      <c r="BA294" s="126"/>
    </row>
    <row r="295" spans="5:53" x14ac:dyDescent="0.3">
      <c r="E295" s="126"/>
      <c r="F295" s="126"/>
      <c r="G295" s="126"/>
      <c r="Q295" s="126"/>
      <c r="S295" s="126"/>
      <c r="T295" s="126"/>
      <c r="AD295" s="126"/>
      <c r="AP295" s="126"/>
      <c r="AZ295" s="126"/>
      <c r="BA295" s="126"/>
    </row>
    <row r="296" spans="5:53" x14ac:dyDescent="0.3">
      <c r="E296" s="126"/>
      <c r="F296" s="126"/>
      <c r="G296" s="126"/>
      <c r="Q296" s="126"/>
      <c r="S296" s="126"/>
      <c r="T296" s="126"/>
      <c r="AD296" s="126"/>
      <c r="AP296" s="126"/>
      <c r="AZ296" s="126"/>
      <c r="BA296" s="126"/>
    </row>
    <row r="297" spans="5:53" x14ac:dyDescent="0.3">
      <c r="E297" s="126"/>
      <c r="F297" s="126"/>
      <c r="G297" s="126"/>
      <c r="Q297" s="126"/>
      <c r="S297" s="126"/>
      <c r="T297" s="126"/>
      <c r="AD297" s="126"/>
      <c r="AP297" s="126"/>
      <c r="AZ297" s="126"/>
      <c r="BA297" s="126"/>
    </row>
    <row r="298" spans="5:53" x14ac:dyDescent="0.3">
      <c r="E298" s="126"/>
      <c r="F298" s="126"/>
      <c r="G298" s="126"/>
      <c r="Q298" s="126"/>
      <c r="S298" s="126"/>
      <c r="T298" s="126"/>
      <c r="AD298" s="126"/>
      <c r="AP298" s="126"/>
      <c r="AZ298" s="126"/>
      <c r="BA298" s="126"/>
    </row>
    <row r="299" spans="5:53" x14ac:dyDescent="0.3">
      <c r="E299" s="126"/>
      <c r="F299" s="126"/>
      <c r="G299" s="126"/>
      <c r="Q299" s="126"/>
      <c r="S299" s="126"/>
      <c r="T299" s="126"/>
      <c r="AD299" s="126"/>
      <c r="AP299" s="126"/>
      <c r="AZ299" s="126"/>
      <c r="BA299" s="126"/>
    </row>
    <row r="300" spans="5:53" x14ac:dyDescent="0.3">
      <c r="E300" s="126"/>
      <c r="F300" s="126"/>
      <c r="G300" s="126"/>
      <c r="Q300" s="126"/>
      <c r="S300" s="126"/>
      <c r="T300" s="126"/>
      <c r="AD300" s="126"/>
      <c r="AP300" s="126"/>
      <c r="AZ300" s="126"/>
      <c r="BA300" s="126"/>
    </row>
    <row r="301" spans="5:53" x14ac:dyDescent="0.3">
      <c r="E301" s="126"/>
      <c r="F301" s="126"/>
      <c r="G301" s="126"/>
      <c r="Q301" s="126"/>
      <c r="S301" s="126"/>
      <c r="T301" s="126"/>
      <c r="AD301" s="126"/>
      <c r="AP301" s="126"/>
      <c r="AZ301" s="126"/>
      <c r="BA301" s="126"/>
    </row>
    <row r="302" spans="5:53" x14ac:dyDescent="0.3">
      <c r="E302" s="126"/>
      <c r="F302" s="126"/>
      <c r="G302" s="126"/>
      <c r="Q302" s="126"/>
      <c r="S302" s="126"/>
      <c r="T302" s="126"/>
      <c r="AD302" s="126"/>
      <c r="AP302" s="126"/>
      <c r="AZ302" s="126"/>
      <c r="BA302" s="126"/>
    </row>
    <row r="303" spans="5:53" x14ac:dyDescent="0.3">
      <c r="E303" s="126"/>
      <c r="F303" s="126"/>
      <c r="G303" s="126"/>
      <c r="Q303" s="126"/>
      <c r="S303" s="126"/>
      <c r="T303" s="126"/>
      <c r="AD303" s="126"/>
      <c r="AP303" s="126"/>
      <c r="AZ303" s="126"/>
      <c r="BA303" s="126"/>
    </row>
    <row r="304" spans="5:53" x14ac:dyDescent="0.3">
      <c r="E304" s="126"/>
      <c r="F304" s="126"/>
      <c r="G304" s="126"/>
      <c r="Q304" s="126"/>
      <c r="S304" s="126"/>
      <c r="T304" s="126"/>
      <c r="AD304" s="126"/>
      <c r="AP304" s="126"/>
      <c r="AZ304" s="126"/>
      <c r="BA304" s="126"/>
    </row>
    <row r="305" spans="5:53" x14ac:dyDescent="0.3">
      <c r="E305" s="126"/>
      <c r="F305" s="126"/>
      <c r="G305" s="126"/>
      <c r="Q305" s="126"/>
      <c r="S305" s="126"/>
      <c r="T305" s="126"/>
      <c r="AD305" s="126"/>
      <c r="AP305" s="126"/>
      <c r="AZ305" s="126"/>
      <c r="BA305" s="126"/>
    </row>
    <row r="306" spans="5:53" x14ac:dyDescent="0.3">
      <c r="E306" s="126"/>
      <c r="F306" s="126"/>
      <c r="G306" s="126"/>
      <c r="Q306" s="126"/>
      <c r="S306" s="126"/>
      <c r="T306" s="126"/>
      <c r="AD306" s="126"/>
      <c r="AP306" s="126"/>
      <c r="AZ306" s="126"/>
      <c r="BA306" s="126"/>
    </row>
    <row r="307" spans="5:53" x14ac:dyDescent="0.3">
      <c r="E307" s="126"/>
      <c r="F307" s="126"/>
      <c r="G307" s="126"/>
      <c r="Q307" s="126"/>
      <c r="S307" s="126"/>
      <c r="T307" s="126"/>
      <c r="AD307" s="126"/>
      <c r="AP307" s="126"/>
      <c r="AZ307" s="126"/>
      <c r="BA307" s="126"/>
    </row>
    <row r="308" spans="5:53" x14ac:dyDescent="0.3">
      <c r="E308" s="126"/>
      <c r="F308" s="126"/>
      <c r="G308" s="126"/>
      <c r="Q308" s="126"/>
      <c r="S308" s="126"/>
      <c r="T308" s="126"/>
      <c r="AD308" s="126"/>
      <c r="AP308" s="126"/>
      <c r="AZ308" s="126"/>
      <c r="BA308" s="126"/>
    </row>
    <row r="309" spans="5:53" x14ac:dyDescent="0.3">
      <c r="E309" s="126"/>
      <c r="F309" s="126"/>
      <c r="G309" s="126"/>
      <c r="Q309" s="126"/>
      <c r="S309" s="126"/>
      <c r="T309" s="126"/>
      <c r="AD309" s="126"/>
      <c r="AP309" s="126"/>
      <c r="AZ309" s="126"/>
      <c r="BA309" s="126"/>
    </row>
    <row r="310" spans="5:53" x14ac:dyDescent="0.3">
      <c r="E310" s="126"/>
      <c r="F310" s="126"/>
      <c r="G310" s="126"/>
      <c r="Q310" s="126"/>
      <c r="S310" s="126"/>
      <c r="T310" s="126"/>
      <c r="AD310" s="126"/>
      <c r="AP310" s="126"/>
      <c r="AZ310" s="126"/>
      <c r="BA310" s="126"/>
    </row>
    <row r="311" spans="5:53" x14ac:dyDescent="0.3">
      <c r="E311" s="126"/>
      <c r="F311" s="126"/>
      <c r="G311" s="126"/>
      <c r="Q311" s="126"/>
      <c r="S311" s="126"/>
      <c r="T311" s="126"/>
      <c r="AD311" s="126"/>
      <c r="AP311" s="126"/>
      <c r="AZ311" s="126"/>
      <c r="BA311" s="126"/>
    </row>
    <row r="312" spans="5:53" x14ac:dyDescent="0.3">
      <c r="E312" s="126"/>
      <c r="F312" s="126"/>
      <c r="G312" s="126"/>
      <c r="Q312" s="126"/>
      <c r="S312" s="126"/>
      <c r="T312" s="126"/>
      <c r="AD312" s="126"/>
      <c r="AP312" s="126"/>
      <c r="AZ312" s="126"/>
      <c r="BA312" s="126"/>
    </row>
    <row r="313" spans="5:53" x14ac:dyDescent="0.3">
      <c r="E313" s="126"/>
      <c r="F313" s="126"/>
      <c r="G313" s="126"/>
      <c r="Q313" s="126"/>
      <c r="S313" s="126"/>
      <c r="T313" s="126"/>
      <c r="AD313" s="126"/>
      <c r="AP313" s="126"/>
      <c r="AZ313" s="126"/>
      <c r="BA313" s="126"/>
    </row>
    <row r="314" spans="5:53" x14ac:dyDescent="0.3">
      <c r="E314" s="126"/>
      <c r="F314" s="126"/>
      <c r="G314" s="126"/>
      <c r="Q314" s="126"/>
      <c r="S314" s="126"/>
      <c r="T314" s="126"/>
      <c r="AD314" s="126"/>
      <c r="AP314" s="126"/>
      <c r="AZ314" s="126"/>
      <c r="BA314" s="126"/>
    </row>
    <row r="315" spans="5:53" x14ac:dyDescent="0.3">
      <c r="E315" s="126"/>
      <c r="F315" s="126"/>
      <c r="G315" s="126"/>
      <c r="Q315" s="126"/>
      <c r="S315" s="126"/>
      <c r="T315" s="126"/>
      <c r="AD315" s="126"/>
      <c r="AP315" s="126"/>
      <c r="AZ315" s="126"/>
      <c r="BA315" s="126"/>
    </row>
    <row r="316" spans="5:53" x14ac:dyDescent="0.3">
      <c r="E316" s="126"/>
      <c r="F316" s="126"/>
      <c r="G316" s="126"/>
      <c r="Q316" s="126"/>
      <c r="S316" s="126"/>
      <c r="T316" s="126"/>
      <c r="AD316" s="126"/>
      <c r="AP316" s="126"/>
      <c r="AZ316" s="126"/>
      <c r="BA316" s="126"/>
    </row>
    <row r="317" spans="5:53" x14ac:dyDescent="0.3">
      <c r="E317" s="126"/>
      <c r="F317" s="126"/>
      <c r="G317" s="126"/>
      <c r="Q317" s="126"/>
      <c r="S317" s="126"/>
      <c r="T317" s="126"/>
      <c r="AD317" s="126"/>
      <c r="AP317" s="126"/>
      <c r="AZ317" s="126"/>
      <c r="BA317" s="126"/>
    </row>
    <row r="318" spans="5:53" x14ac:dyDescent="0.3">
      <c r="E318" s="126"/>
      <c r="F318" s="126"/>
      <c r="G318" s="126"/>
      <c r="Q318" s="126"/>
      <c r="S318" s="126"/>
      <c r="T318" s="126"/>
      <c r="AD318" s="126"/>
      <c r="AP318" s="126"/>
      <c r="AZ318" s="126"/>
      <c r="BA318" s="126"/>
    </row>
    <row r="319" spans="5:53" x14ac:dyDescent="0.3">
      <c r="E319" s="126"/>
      <c r="F319" s="126"/>
      <c r="G319" s="126"/>
      <c r="Q319" s="126"/>
      <c r="S319" s="126"/>
      <c r="T319" s="126"/>
      <c r="AD319" s="126"/>
      <c r="AP319" s="126"/>
      <c r="AZ319" s="126"/>
      <c r="BA319" s="126"/>
    </row>
    <row r="320" spans="5:53" x14ac:dyDescent="0.3">
      <c r="E320" s="126"/>
      <c r="F320" s="126"/>
      <c r="G320" s="126"/>
      <c r="Q320" s="126"/>
      <c r="S320" s="126"/>
      <c r="T320" s="126"/>
      <c r="AD320" s="126"/>
      <c r="AP320" s="126"/>
      <c r="AZ320" s="126"/>
      <c r="BA320" s="126"/>
    </row>
    <row r="321" spans="5:53" x14ac:dyDescent="0.3">
      <c r="E321" s="126"/>
      <c r="F321" s="126"/>
      <c r="G321" s="126"/>
      <c r="Q321" s="126"/>
      <c r="S321" s="126"/>
      <c r="T321" s="126"/>
      <c r="AD321" s="126"/>
      <c r="AP321" s="126"/>
      <c r="AZ321" s="126"/>
      <c r="BA321" s="126"/>
    </row>
    <row r="322" spans="5:53" x14ac:dyDescent="0.3">
      <c r="E322" s="126"/>
      <c r="F322" s="126"/>
      <c r="G322" s="126"/>
      <c r="Q322" s="126"/>
      <c r="S322" s="126"/>
      <c r="T322" s="126"/>
      <c r="AD322" s="126"/>
      <c r="AP322" s="126"/>
      <c r="AZ322" s="126"/>
      <c r="BA322" s="126"/>
    </row>
    <row r="323" spans="5:53" x14ac:dyDescent="0.3">
      <c r="E323" s="126"/>
      <c r="F323" s="126"/>
      <c r="G323" s="126"/>
      <c r="Q323" s="126"/>
      <c r="S323" s="126"/>
      <c r="T323" s="126"/>
      <c r="AD323" s="126"/>
      <c r="AP323" s="126"/>
      <c r="AZ323" s="126"/>
      <c r="BA323" s="126"/>
    </row>
    <row r="324" spans="5:53" x14ac:dyDescent="0.3">
      <c r="E324" s="126"/>
      <c r="F324" s="126"/>
      <c r="G324" s="126"/>
      <c r="Q324" s="126"/>
      <c r="S324" s="126"/>
      <c r="T324" s="126"/>
      <c r="AD324" s="126"/>
      <c r="AP324" s="126"/>
      <c r="AZ324" s="126"/>
      <c r="BA324" s="126"/>
    </row>
    <row r="325" spans="5:53" x14ac:dyDescent="0.3">
      <c r="E325" s="126"/>
      <c r="F325" s="126"/>
      <c r="G325" s="126"/>
      <c r="Q325" s="126"/>
      <c r="S325" s="126"/>
      <c r="T325" s="126"/>
      <c r="AD325" s="126"/>
      <c r="AP325" s="126"/>
      <c r="AZ325" s="126"/>
      <c r="BA325" s="126"/>
    </row>
    <row r="326" spans="5:53" x14ac:dyDescent="0.3">
      <c r="E326" s="126"/>
      <c r="F326" s="126"/>
      <c r="G326" s="126"/>
      <c r="Q326" s="126"/>
      <c r="S326" s="126"/>
      <c r="T326" s="126"/>
      <c r="AD326" s="126"/>
      <c r="AP326" s="126"/>
      <c r="AZ326" s="126"/>
      <c r="BA326" s="126"/>
    </row>
    <row r="327" spans="5:53" x14ac:dyDescent="0.3">
      <c r="E327" s="126"/>
      <c r="F327" s="126"/>
      <c r="G327" s="126"/>
      <c r="Q327" s="126"/>
      <c r="S327" s="126"/>
      <c r="T327" s="126"/>
      <c r="AD327" s="126"/>
      <c r="AP327" s="126"/>
      <c r="AZ327" s="126"/>
      <c r="BA327" s="126"/>
    </row>
    <row r="328" spans="5:53" x14ac:dyDescent="0.3">
      <c r="E328" s="126"/>
      <c r="F328" s="126"/>
      <c r="G328" s="126"/>
      <c r="Q328" s="126"/>
      <c r="S328" s="126"/>
      <c r="T328" s="126"/>
      <c r="AD328" s="126"/>
      <c r="AP328" s="126"/>
      <c r="AZ328" s="126"/>
      <c r="BA328" s="126"/>
    </row>
    <row r="329" spans="5:53" x14ac:dyDescent="0.3">
      <c r="E329" s="126"/>
      <c r="F329" s="126"/>
      <c r="G329" s="126"/>
      <c r="Q329" s="126"/>
      <c r="S329" s="126"/>
      <c r="T329" s="126"/>
      <c r="AD329" s="126"/>
      <c r="AP329" s="126"/>
      <c r="AZ329" s="126"/>
      <c r="BA329" s="126"/>
    </row>
    <row r="330" spans="5:53" x14ac:dyDescent="0.3">
      <c r="E330" s="126"/>
      <c r="F330" s="126"/>
      <c r="G330" s="126"/>
      <c r="Q330" s="126"/>
      <c r="S330" s="126"/>
      <c r="T330" s="126"/>
      <c r="AD330" s="126"/>
      <c r="AP330" s="126"/>
      <c r="AZ330" s="126"/>
      <c r="BA330" s="126"/>
    </row>
    <row r="331" spans="5:53" x14ac:dyDescent="0.3">
      <c r="E331" s="126"/>
      <c r="F331" s="126"/>
      <c r="G331" s="126"/>
      <c r="Q331" s="126"/>
      <c r="S331" s="126"/>
      <c r="T331" s="126"/>
      <c r="AD331" s="126"/>
      <c r="AP331" s="126"/>
      <c r="AZ331" s="126"/>
      <c r="BA331" s="126"/>
    </row>
    <row r="332" spans="5:53" x14ac:dyDescent="0.3">
      <c r="E332" s="126"/>
      <c r="F332" s="126"/>
      <c r="G332" s="126"/>
      <c r="Q332" s="126"/>
      <c r="S332" s="126"/>
      <c r="T332" s="126"/>
      <c r="AD332" s="126"/>
      <c r="AP332" s="126"/>
      <c r="AZ332" s="126"/>
      <c r="BA332" s="126"/>
    </row>
    <row r="333" spans="5:53" x14ac:dyDescent="0.3">
      <c r="E333" s="126"/>
      <c r="F333" s="126"/>
      <c r="G333" s="126"/>
      <c r="Q333" s="126"/>
      <c r="S333" s="126"/>
      <c r="T333" s="126"/>
      <c r="AD333" s="126"/>
      <c r="AP333" s="126"/>
      <c r="AZ333" s="126"/>
      <c r="BA333" s="126"/>
    </row>
    <row r="334" spans="5:53" x14ac:dyDescent="0.3">
      <c r="E334" s="126"/>
      <c r="F334" s="126"/>
      <c r="G334" s="126"/>
      <c r="Q334" s="126"/>
      <c r="S334" s="126"/>
      <c r="T334" s="126"/>
      <c r="AD334" s="126"/>
      <c r="AP334" s="126"/>
      <c r="AZ334" s="126"/>
      <c r="BA334" s="126"/>
    </row>
    <row r="335" spans="5:53" x14ac:dyDescent="0.3">
      <c r="E335" s="126"/>
      <c r="F335" s="126"/>
      <c r="G335" s="126"/>
      <c r="Q335" s="126"/>
      <c r="S335" s="126"/>
      <c r="T335" s="126"/>
      <c r="AD335" s="126"/>
      <c r="AP335" s="126"/>
      <c r="AZ335" s="126"/>
      <c r="BA335" s="126"/>
    </row>
    <row r="336" spans="5:53" x14ac:dyDescent="0.3">
      <c r="E336" s="126"/>
      <c r="F336" s="126"/>
      <c r="G336" s="126"/>
      <c r="Q336" s="126"/>
      <c r="S336" s="126"/>
      <c r="T336" s="126"/>
      <c r="AD336" s="126"/>
      <c r="AP336" s="126"/>
      <c r="AZ336" s="126"/>
      <c r="BA336" s="126"/>
    </row>
    <row r="337" spans="5:53" x14ac:dyDescent="0.3">
      <c r="E337" s="126"/>
      <c r="F337" s="126"/>
      <c r="G337" s="126"/>
      <c r="Q337" s="126"/>
      <c r="S337" s="126"/>
      <c r="T337" s="126"/>
      <c r="AD337" s="126"/>
      <c r="AP337" s="126"/>
      <c r="AZ337" s="126"/>
      <c r="BA337" s="126"/>
    </row>
    <row r="338" spans="5:53" x14ac:dyDescent="0.3">
      <c r="E338" s="126"/>
      <c r="F338" s="126"/>
      <c r="G338" s="126"/>
      <c r="Q338" s="126"/>
      <c r="S338" s="126"/>
      <c r="T338" s="126"/>
      <c r="AD338" s="126"/>
      <c r="AP338" s="126"/>
      <c r="AZ338" s="126"/>
      <c r="BA338" s="126"/>
    </row>
    <row r="339" spans="5:53" x14ac:dyDescent="0.3">
      <c r="E339" s="126"/>
      <c r="F339" s="126"/>
      <c r="G339" s="126"/>
      <c r="Q339" s="126"/>
      <c r="S339" s="126"/>
      <c r="T339" s="126"/>
      <c r="AD339" s="126"/>
      <c r="AP339" s="126"/>
      <c r="AZ339" s="126"/>
      <c r="BA339" s="126"/>
    </row>
    <row r="340" spans="5:53" x14ac:dyDescent="0.3">
      <c r="E340" s="126"/>
      <c r="F340" s="126"/>
      <c r="G340" s="126"/>
      <c r="Q340" s="126"/>
      <c r="S340" s="126"/>
      <c r="T340" s="126"/>
      <c r="AD340" s="126"/>
      <c r="AP340" s="126"/>
      <c r="AZ340" s="126"/>
      <c r="BA340" s="126"/>
    </row>
    <row r="341" spans="5:53" x14ac:dyDescent="0.3">
      <c r="E341" s="126"/>
      <c r="F341" s="126"/>
      <c r="G341" s="126"/>
      <c r="Q341" s="126"/>
      <c r="S341" s="126"/>
      <c r="T341" s="126"/>
      <c r="AD341" s="126"/>
      <c r="AP341" s="126"/>
      <c r="AZ341" s="126"/>
      <c r="BA341" s="126"/>
    </row>
    <row r="342" spans="5:53" x14ac:dyDescent="0.3">
      <c r="E342" s="126"/>
      <c r="F342" s="126"/>
      <c r="G342" s="126"/>
      <c r="Q342" s="126"/>
      <c r="S342" s="126"/>
      <c r="T342" s="126"/>
      <c r="AD342" s="126"/>
      <c r="AP342" s="126"/>
      <c r="AZ342" s="126"/>
      <c r="BA342" s="126"/>
    </row>
    <row r="343" spans="5:53" x14ac:dyDescent="0.3">
      <c r="E343" s="126"/>
      <c r="F343" s="126"/>
      <c r="G343" s="126"/>
      <c r="Q343" s="126"/>
      <c r="S343" s="126"/>
      <c r="T343" s="126"/>
      <c r="AD343" s="126"/>
      <c r="AP343" s="126"/>
      <c r="AZ343" s="126"/>
      <c r="BA343" s="126"/>
    </row>
    <row r="344" spans="5:53" x14ac:dyDescent="0.3">
      <c r="E344" s="126"/>
      <c r="F344" s="126"/>
      <c r="G344" s="126"/>
      <c r="Q344" s="126"/>
      <c r="S344" s="126"/>
      <c r="T344" s="126"/>
      <c r="AD344" s="126"/>
      <c r="AP344" s="126"/>
      <c r="AZ344" s="126"/>
      <c r="BA344" s="126"/>
    </row>
    <row r="345" spans="5:53" x14ac:dyDescent="0.3">
      <c r="E345" s="126"/>
      <c r="F345" s="126"/>
      <c r="G345" s="126"/>
      <c r="Q345" s="126"/>
      <c r="S345" s="126"/>
      <c r="T345" s="126"/>
      <c r="AD345" s="126"/>
      <c r="AP345" s="126"/>
      <c r="AZ345" s="126"/>
      <c r="BA345" s="126"/>
    </row>
    <row r="346" spans="5:53" x14ac:dyDescent="0.3">
      <c r="E346" s="126"/>
      <c r="F346" s="126"/>
      <c r="G346" s="126"/>
      <c r="Q346" s="126"/>
      <c r="S346" s="126"/>
      <c r="T346" s="126"/>
      <c r="AD346" s="126"/>
      <c r="AP346" s="126"/>
      <c r="AZ346" s="126"/>
      <c r="BA346" s="126"/>
    </row>
    <row r="347" spans="5:53" x14ac:dyDescent="0.3">
      <c r="E347" s="126"/>
      <c r="F347" s="126"/>
      <c r="G347" s="126"/>
      <c r="Q347" s="126"/>
      <c r="S347" s="126"/>
      <c r="T347" s="126"/>
      <c r="AD347" s="126"/>
      <c r="AP347" s="126"/>
      <c r="AZ347" s="126"/>
      <c r="BA347" s="126"/>
    </row>
    <row r="348" spans="5:53" x14ac:dyDescent="0.3">
      <c r="E348" s="126"/>
      <c r="F348" s="126"/>
      <c r="G348" s="126"/>
      <c r="Q348" s="126"/>
      <c r="S348" s="126"/>
      <c r="T348" s="126"/>
      <c r="AD348" s="126"/>
      <c r="AP348" s="126"/>
      <c r="AZ348" s="126"/>
      <c r="BA348" s="126"/>
    </row>
    <row r="349" spans="5:53" x14ac:dyDescent="0.3">
      <c r="E349" s="126"/>
      <c r="F349" s="126"/>
      <c r="G349" s="126"/>
      <c r="Q349" s="126"/>
      <c r="S349" s="126"/>
      <c r="T349" s="126"/>
      <c r="AD349" s="126"/>
      <c r="AP349" s="126"/>
      <c r="AZ349" s="126"/>
      <c r="BA349" s="126"/>
    </row>
    <row r="350" spans="5:53" x14ac:dyDescent="0.3">
      <c r="E350" s="126"/>
      <c r="F350" s="126"/>
      <c r="G350" s="126"/>
      <c r="Q350" s="126"/>
      <c r="S350" s="126"/>
      <c r="T350" s="126"/>
      <c r="AD350" s="126"/>
      <c r="AP350" s="126"/>
      <c r="AZ350" s="126"/>
      <c r="BA350" s="126"/>
    </row>
    <row r="351" spans="5:53" x14ac:dyDescent="0.3">
      <c r="E351" s="126"/>
      <c r="F351" s="126"/>
      <c r="G351" s="126"/>
      <c r="Q351" s="126"/>
      <c r="S351" s="126"/>
      <c r="T351" s="126"/>
      <c r="AD351" s="126"/>
      <c r="AP351" s="126"/>
      <c r="AZ351" s="126"/>
      <c r="BA351" s="126"/>
    </row>
    <row r="352" spans="5:53" x14ac:dyDescent="0.3">
      <c r="E352" s="126"/>
      <c r="F352" s="126"/>
      <c r="G352" s="126"/>
      <c r="Q352" s="126"/>
      <c r="S352" s="126"/>
      <c r="T352" s="126"/>
      <c r="AD352" s="126"/>
      <c r="AP352" s="126"/>
      <c r="AZ352" s="126"/>
      <c r="BA352" s="126"/>
    </row>
    <row r="353" spans="5:53" x14ac:dyDescent="0.3">
      <c r="E353" s="126"/>
      <c r="F353" s="126"/>
      <c r="G353" s="126"/>
      <c r="Q353" s="126"/>
      <c r="S353" s="126"/>
      <c r="T353" s="126"/>
      <c r="AD353" s="126"/>
      <c r="AP353" s="126"/>
      <c r="AZ353" s="126"/>
      <c r="BA353" s="126"/>
    </row>
    <row r="354" spans="5:53" x14ac:dyDescent="0.3">
      <c r="E354" s="126"/>
      <c r="F354" s="126"/>
      <c r="G354" s="126"/>
      <c r="Q354" s="126"/>
      <c r="S354" s="126"/>
      <c r="T354" s="126"/>
      <c r="AD354" s="126"/>
      <c r="AP354" s="126"/>
      <c r="AZ354" s="126"/>
      <c r="BA354" s="126"/>
    </row>
    <row r="355" spans="5:53" x14ac:dyDescent="0.3">
      <c r="E355" s="126"/>
      <c r="F355" s="126"/>
      <c r="G355" s="126"/>
      <c r="Q355" s="126"/>
      <c r="S355" s="126"/>
      <c r="T355" s="126"/>
      <c r="AD355" s="126"/>
      <c r="AP355" s="126"/>
      <c r="AZ355" s="126"/>
      <c r="BA355" s="126"/>
    </row>
    <row r="356" spans="5:53" x14ac:dyDescent="0.3">
      <c r="E356" s="126"/>
      <c r="F356" s="126"/>
      <c r="G356" s="126"/>
      <c r="Q356" s="126"/>
      <c r="S356" s="126"/>
      <c r="T356" s="126"/>
      <c r="AD356" s="126"/>
      <c r="AP356" s="126"/>
      <c r="AZ356" s="126"/>
      <c r="BA356" s="126"/>
    </row>
    <row r="357" spans="5:53" x14ac:dyDescent="0.3">
      <c r="E357" s="126"/>
      <c r="F357" s="126"/>
      <c r="G357" s="126"/>
      <c r="Q357" s="126"/>
      <c r="T357" s="126"/>
      <c r="AD357" s="126"/>
      <c r="AP357" s="126"/>
      <c r="AZ357" s="126"/>
      <c r="BA357" s="126"/>
    </row>
    <row r="358" spans="5:53" x14ac:dyDescent="0.3">
      <c r="E358" s="126"/>
      <c r="F358" s="126"/>
      <c r="G358" s="126"/>
      <c r="Q358" s="126"/>
      <c r="T358" s="126"/>
      <c r="AD358" s="126"/>
      <c r="AP358" s="126"/>
      <c r="AZ358" s="126"/>
      <c r="BA358" s="126"/>
    </row>
    <row r="359" spans="5:53" x14ac:dyDescent="0.3">
      <c r="E359" s="126"/>
      <c r="F359" s="126"/>
      <c r="G359" s="126"/>
      <c r="Q359" s="126"/>
      <c r="T359" s="126"/>
      <c r="AD359" s="126"/>
      <c r="AP359" s="126"/>
      <c r="AZ359" s="126"/>
      <c r="BA359" s="126"/>
    </row>
    <row r="360" spans="5:53" x14ac:dyDescent="0.3">
      <c r="E360" s="126"/>
      <c r="F360" s="126"/>
      <c r="G360" s="126"/>
      <c r="Q360" s="126"/>
      <c r="T360" s="126"/>
      <c r="AD360" s="126"/>
      <c r="AP360" s="126"/>
      <c r="AZ360" s="126"/>
      <c r="BA360" s="126"/>
    </row>
    <row r="361" spans="5:53" x14ac:dyDescent="0.3">
      <c r="E361" s="126"/>
      <c r="F361" s="126"/>
      <c r="G361" s="126"/>
      <c r="Q361" s="126"/>
      <c r="T361" s="126"/>
      <c r="AD361" s="126"/>
      <c r="AP361" s="126"/>
      <c r="AZ361" s="126"/>
      <c r="BA361" s="126"/>
    </row>
    <row r="362" spans="5:53" x14ac:dyDescent="0.3">
      <c r="E362" s="126"/>
      <c r="F362" s="126"/>
      <c r="G362" s="126"/>
      <c r="Q362" s="126"/>
      <c r="T362" s="126"/>
      <c r="AD362" s="126"/>
      <c r="AP362" s="126"/>
      <c r="AZ362" s="126"/>
      <c r="BA362" s="126"/>
    </row>
    <row r="363" spans="5:53" x14ac:dyDescent="0.3">
      <c r="E363" s="126"/>
      <c r="F363" s="126"/>
      <c r="G363" s="126"/>
      <c r="Q363" s="126"/>
      <c r="T363" s="126"/>
      <c r="AD363" s="126"/>
      <c r="AP363" s="126"/>
      <c r="AZ363" s="126"/>
      <c r="BA363" s="126"/>
    </row>
    <row r="364" spans="5:53" x14ac:dyDescent="0.3">
      <c r="E364" s="126"/>
      <c r="F364" s="126"/>
      <c r="G364" s="126"/>
      <c r="Q364" s="126"/>
      <c r="T364" s="126"/>
      <c r="AD364" s="126"/>
      <c r="AP364" s="126"/>
      <c r="AZ364" s="126"/>
      <c r="BA364" s="126"/>
    </row>
    <row r="365" spans="5:53" x14ac:dyDescent="0.3">
      <c r="E365" s="126"/>
      <c r="F365" s="126"/>
      <c r="G365" s="126"/>
      <c r="Q365" s="126"/>
      <c r="T365" s="126"/>
      <c r="AD365" s="126"/>
      <c r="AP365" s="126"/>
      <c r="AZ365" s="126"/>
      <c r="BA365" s="126"/>
    </row>
    <row r="366" spans="5:53" x14ac:dyDescent="0.3">
      <c r="E366" s="126"/>
      <c r="F366" s="126"/>
      <c r="G366" s="126"/>
      <c r="Q366" s="126"/>
      <c r="T366" s="126"/>
      <c r="AD366" s="126"/>
      <c r="AP366" s="126"/>
      <c r="AZ366" s="126"/>
      <c r="BA366" s="126"/>
    </row>
    <row r="367" spans="5:53" x14ac:dyDescent="0.3">
      <c r="E367" s="126"/>
      <c r="F367" s="126"/>
      <c r="G367" s="126"/>
      <c r="Q367" s="126"/>
      <c r="T367" s="126"/>
      <c r="AD367" s="126"/>
      <c r="AP367" s="126"/>
      <c r="AZ367" s="126"/>
      <c r="BA367" s="126"/>
    </row>
    <row r="368" spans="5:53" x14ac:dyDescent="0.3">
      <c r="E368" s="126"/>
      <c r="F368" s="126"/>
      <c r="G368" s="126"/>
      <c r="Q368" s="126"/>
      <c r="T368" s="126"/>
      <c r="AD368" s="126"/>
      <c r="AP368" s="126"/>
      <c r="AZ368" s="126"/>
      <c r="BA368" s="126"/>
    </row>
    <row r="369" spans="5:53" x14ac:dyDescent="0.3">
      <c r="E369" s="126"/>
      <c r="F369" s="126"/>
      <c r="G369" s="126"/>
      <c r="Q369" s="126"/>
      <c r="T369" s="126"/>
      <c r="AD369" s="126"/>
      <c r="AP369" s="126"/>
      <c r="AZ369" s="126"/>
      <c r="BA369" s="126"/>
    </row>
    <row r="370" spans="5:53" x14ac:dyDescent="0.3">
      <c r="E370" s="126"/>
      <c r="F370" s="126"/>
      <c r="G370" s="126"/>
      <c r="Q370" s="126"/>
      <c r="T370" s="126"/>
      <c r="AD370" s="126"/>
      <c r="AP370" s="126"/>
      <c r="AZ370" s="126"/>
      <c r="BA370" s="126"/>
    </row>
    <row r="371" spans="5:53" x14ac:dyDescent="0.3">
      <c r="E371" s="126"/>
      <c r="F371" s="126"/>
      <c r="G371" s="126"/>
      <c r="Q371" s="126"/>
      <c r="T371" s="126"/>
      <c r="AD371" s="126"/>
      <c r="AP371" s="126"/>
      <c r="AZ371" s="126"/>
      <c r="BA371" s="126"/>
    </row>
    <row r="372" spans="5:53" x14ac:dyDescent="0.3">
      <c r="E372" s="126"/>
      <c r="F372" s="126"/>
      <c r="G372" s="126"/>
      <c r="Q372" s="126"/>
      <c r="T372" s="126"/>
      <c r="AD372" s="126"/>
      <c r="AP372" s="126"/>
      <c r="AZ372" s="126"/>
      <c r="BA372" s="126"/>
    </row>
    <row r="373" spans="5:53" x14ac:dyDescent="0.3">
      <c r="E373" s="126"/>
      <c r="F373" s="126"/>
      <c r="G373" s="126"/>
      <c r="Q373" s="126"/>
      <c r="T373" s="126"/>
      <c r="AD373" s="126"/>
      <c r="AP373" s="126"/>
      <c r="AZ373" s="126"/>
      <c r="BA373" s="126"/>
    </row>
    <row r="374" spans="5:53" x14ac:dyDescent="0.3">
      <c r="E374" s="126"/>
      <c r="F374" s="126"/>
      <c r="G374" s="126"/>
      <c r="Q374" s="126"/>
      <c r="T374" s="126"/>
      <c r="AD374" s="126"/>
      <c r="AP374" s="126"/>
      <c r="AZ374" s="126"/>
      <c r="BA374" s="126"/>
    </row>
    <row r="375" spans="5:53" x14ac:dyDescent="0.3">
      <c r="E375" s="126"/>
      <c r="F375" s="126"/>
      <c r="G375" s="126"/>
      <c r="Q375" s="126"/>
      <c r="T375" s="126"/>
      <c r="AD375" s="126"/>
      <c r="AP375" s="126"/>
      <c r="AZ375" s="126"/>
      <c r="BA375" s="126"/>
    </row>
    <row r="376" spans="5:53" x14ac:dyDescent="0.3">
      <c r="E376" s="126"/>
      <c r="F376" s="126"/>
      <c r="G376" s="126"/>
      <c r="Q376" s="126"/>
      <c r="T376" s="126"/>
      <c r="AD376" s="126"/>
      <c r="AP376" s="126"/>
      <c r="AZ376" s="126"/>
      <c r="BA376" s="126"/>
    </row>
    <row r="377" spans="5:53" x14ac:dyDescent="0.3">
      <c r="E377" s="126"/>
      <c r="F377" s="126"/>
      <c r="G377" s="126"/>
      <c r="Q377" s="126"/>
      <c r="T377" s="126"/>
      <c r="AD377" s="126"/>
      <c r="AP377" s="126"/>
      <c r="AZ377" s="126"/>
      <c r="BA377" s="126"/>
    </row>
    <row r="378" spans="5:53" x14ac:dyDescent="0.3">
      <c r="E378" s="126"/>
      <c r="F378" s="126"/>
      <c r="G378" s="126"/>
      <c r="Q378" s="126"/>
      <c r="T378" s="126"/>
      <c r="AD378" s="126"/>
      <c r="AP378" s="126"/>
      <c r="AZ378" s="126"/>
      <c r="BA378" s="126"/>
    </row>
    <row r="379" spans="5:53" x14ac:dyDescent="0.3">
      <c r="E379" s="126"/>
      <c r="F379" s="126"/>
      <c r="G379" s="126"/>
      <c r="Q379" s="126"/>
      <c r="T379" s="126"/>
      <c r="AD379" s="126"/>
      <c r="AP379" s="126"/>
      <c r="AZ379" s="126"/>
      <c r="BA379" s="126"/>
    </row>
    <row r="380" spans="5:53" x14ac:dyDescent="0.3">
      <c r="E380" s="126"/>
      <c r="F380" s="126"/>
      <c r="G380" s="126"/>
      <c r="Q380" s="126"/>
      <c r="T380" s="126"/>
      <c r="AD380" s="126"/>
      <c r="AP380" s="126"/>
      <c r="AZ380" s="126"/>
      <c r="BA380" s="126"/>
    </row>
    <row r="381" spans="5:53" x14ac:dyDescent="0.3">
      <c r="E381" s="126"/>
      <c r="F381" s="126"/>
      <c r="G381" s="126"/>
      <c r="Q381" s="126"/>
      <c r="T381" s="126"/>
      <c r="AD381" s="126"/>
      <c r="AP381" s="126"/>
      <c r="AZ381" s="126"/>
      <c r="BA381" s="126"/>
    </row>
    <row r="382" spans="5:53" x14ac:dyDescent="0.3">
      <c r="E382" s="126"/>
      <c r="F382" s="126"/>
      <c r="G382" s="126"/>
      <c r="Q382" s="126"/>
      <c r="T382" s="126"/>
      <c r="AD382" s="126"/>
      <c r="AP382" s="126"/>
      <c r="AZ382" s="126"/>
      <c r="BA382" s="126"/>
    </row>
    <row r="383" spans="5:53" x14ac:dyDescent="0.3">
      <c r="E383" s="126"/>
      <c r="F383" s="126"/>
      <c r="G383" s="126"/>
      <c r="Q383" s="126"/>
      <c r="T383" s="126"/>
      <c r="AD383" s="126"/>
      <c r="AP383" s="126"/>
      <c r="AZ383" s="126"/>
      <c r="BA383" s="126"/>
    </row>
    <row r="384" spans="5:53" x14ac:dyDescent="0.3">
      <c r="E384" s="126"/>
      <c r="F384" s="126"/>
      <c r="G384" s="126"/>
      <c r="Q384" s="126"/>
      <c r="T384" s="126"/>
      <c r="AD384" s="126"/>
      <c r="AP384" s="126"/>
      <c r="AZ384" s="126"/>
      <c r="BA384" s="126"/>
    </row>
    <row r="385" spans="5:53" x14ac:dyDescent="0.3">
      <c r="E385" s="126"/>
      <c r="F385" s="126"/>
      <c r="G385" s="126"/>
      <c r="Q385" s="126"/>
      <c r="T385" s="126"/>
      <c r="AD385" s="126"/>
      <c r="AP385" s="126"/>
      <c r="AZ385" s="126"/>
      <c r="BA385" s="126"/>
    </row>
    <row r="386" spans="5:53" x14ac:dyDescent="0.3">
      <c r="E386" s="126"/>
      <c r="F386" s="126"/>
      <c r="G386" s="126"/>
      <c r="Q386" s="126"/>
      <c r="T386" s="126"/>
      <c r="AD386" s="126"/>
      <c r="AP386" s="126"/>
      <c r="AZ386" s="126"/>
      <c r="BA386" s="126"/>
    </row>
    <row r="387" spans="5:53" x14ac:dyDescent="0.3">
      <c r="E387" s="126"/>
      <c r="F387" s="126"/>
      <c r="G387" s="126"/>
      <c r="Q387" s="126"/>
      <c r="T387" s="126"/>
      <c r="AD387" s="126"/>
      <c r="AP387" s="126"/>
      <c r="AZ387" s="126"/>
      <c r="BA387" s="126"/>
    </row>
    <row r="388" spans="5:53" x14ac:dyDescent="0.3">
      <c r="E388" s="126"/>
      <c r="F388" s="126"/>
      <c r="G388" s="126"/>
      <c r="Q388" s="126"/>
      <c r="T388" s="126"/>
      <c r="AD388" s="126"/>
      <c r="AP388" s="126"/>
      <c r="AZ388" s="126"/>
      <c r="BA388" s="126"/>
    </row>
    <row r="389" spans="5:53" x14ac:dyDescent="0.3">
      <c r="E389" s="126"/>
      <c r="F389" s="126"/>
      <c r="G389" s="126"/>
      <c r="Q389" s="126"/>
      <c r="T389" s="126"/>
      <c r="AD389" s="126"/>
      <c r="AP389" s="126"/>
      <c r="AZ389" s="126"/>
      <c r="BA389" s="126"/>
    </row>
    <row r="390" spans="5:53" x14ac:dyDescent="0.3">
      <c r="E390" s="126"/>
      <c r="F390" s="126"/>
      <c r="G390" s="126"/>
      <c r="Q390" s="126"/>
      <c r="T390" s="126"/>
      <c r="AD390" s="126"/>
      <c r="AP390" s="126"/>
      <c r="AZ390" s="126"/>
      <c r="BA390" s="126"/>
    </row>
    <row r="391" spans="5:53" x14ac:dyDescent="0.3">
      <c r="E391" s="126"/>
      <c r="F391" s="126"/>
      <c r="G391" s="126"/>
      <c r="Q391" s="126"/>
      <c r="T391" s="126"/>
      <c r="AD391" s="126"/>
      <c r="AP391" s="126"/>
      <c r="AZ391" s="126"/>
      <c r="BA391" s="126"/>
    </row>
    <row r="392" spans="5:53" x14ac:dyDescent="0.3">
      <c r="E392" s="126"/>
      <c r="F392" s="126"/>
      <c r="G392" s="126"/>
      <c r="Q392" s="126"/>
      <c r="T392" s="126"/>
      <c r="AD392" s="126"/>
      <c r="AP392" s="126"/>
      <c r="AZ392" s="126"/>
      <c r="BA392" s="126"/>
    </row>
    <row r="393" spans="5:53" x14ac:dyDescent="0.3">
      <c r="E393" s="126"/>
      <c r="F393" s="126"/>
      <c r="G393" s="126"/>
      <c r="Q393" s="126"/>
      <c r="T393" s="126"/>
      <c r="AD393" s="126"/>
      <c r="AP393" s="126"/>
      <c r="AZ393" s="126"/>
      <c r="BA393" s="126"/>
    </row>
    <row r="394" spans="5:53" x14ac:dyDescent="0.3">
      <c r="E394" s="126"/>
      <c r="F394" s="126"/>
      <c r="G394" s="126"/>
      <c r="Q394" s="126"/>
      <c r="T394" s="126"/>
      <c r="AD394" s="126"/>
      <c r="AP394" s="126"/>
      <c r="AZ394" s="126"/>
      <c r="BA394" s="126"/>
    </row>
    <row r="395" spans="5:53" x14ac:dyDescent="0.3">
      <c r="E395" s="126"/>
      <c r="F395" s="126"/>
      <c r="G395" s="126"/>
      <c r="Q395" s="126"/>
      <c r="T395" s="126"/>
      <c r="AD395" s="126"/>
      <c r="AP395" s="126"/>
      <c r="AZ395" s="126"/>
      <c r="BA395" s="126"/>
    </row>
    <row r="396" spans="5:53" x14ac:dyDescent="0.3">
      <c r="E396" s="126"/>
      <c r="F396" s="126"/>
      <c r="G396" s="126"/>
      <c r="Q396" s="126"/>
      <c r="T396" s="126"/>
      <c r="AD396" s="126"/>
      <c r="AP396" s="126"/>
      <c r="AZ396" s="126"/>
      <c r="BA396" s="126"/>
    </row>
    <row r="397" spans="5:53" x14ac:dyDescent="0.3">
      <c r="E397" s="126"/>
      <c r="F397" s="126"/>
      <c r="G397" s="126"/>
      <c r="Q397" s="126"/>
      <c r="T397" s="126"/>
      <c r="AD397" s="126"/>
      <c r="AP397" s="126"/>
      <c r="AZ397" s="126"/>
      <c r="BA397" s="126"/>
    </row>
    <row r="398" spans="5:53" x14ac:dyDescent="0.3">
      <c r="E398" s="126"/>
      <c r="F398" s="126"/>
      <c r="G398" s="126"/>
      <c r="Q398" s="126"/>
      <c r="T398" s="126"/>
      <c r="AD398" s="126"/>
      <c r="AP398" s="126"/>
      <c r="AZ398" s="126"/>
      <c r="BA398" s="126"/>
    </row>
    <row r="399" spans="5:53" x14ac:dyDescent="0.3">
      <c r="E399" s="126"/>
      <c r="F399" s="126"/>
      <c r="G399" s="126"/>
      <c r="Q399" s="126"/>
      <c r="T399" s="126"/>
      <c r="AD399" s="126"/>
      <c r="AP399" s="126"/>
      <c r="AZ399" s="126"/>
      <c r="BA399" s="126"/>
    </row>
    <row r="400" spans="5:53" x14ac:dyDescent="0.3">
      <c r="E400" s="126"/>
      <c r="F400" s="126"/>
      <c r="G400" s="126"/>
      <c r="Q400" s="126"/>
      <c r="T400" s="126"/>
      <c r="AD400" s="126"/>
      <c r="AP400" s="126"/>
      <c r="AZ400" s="126"/>
      <c r="BA400" s="126"/>
    </row>
    <row r="401" spans="5:53" x14ac:dyDescent="0.3">
      <c r="E401" s="126"/>
      <c r="F401" s="126"/>
      <c r="G401" s="126"/>
      <c r="Q401" s="126"/>
      <c r="T401" s="126"/>
      <c r="AD401" s="126"/>
      <c r="AP401" s="126"/>
      <c r="AZ401" s="126"/>
      <c r="BA401" s="126"/>
    </row>
    <row r="402" spans="5:53" x14ac:dyDescent="0.3">
      <c r="E402" s="126"/>
      <c r="F402" s="126"/>
      <c r="G402" s="126"/>
      <c r="Q402" s="126"/>
      <c r="T402" s="126"/>
      <c r="AD402" s="126"/>
      <c r="AP402" s="126"/>
      <c r="AZ402" s="126"/>
      <c r="BA402" s="126"/>
    </row>
    <row r="403" spans="5:53" x14ac:dyDescent="0.3">
      <c r="E403" s="126"/>
      <c r="F403" s="126"/>
      <c r="G403" s="126"/>
      <c r="Q403" s="126"/>
      <c r="T403" s="126"/>
      <c r="AD403" s="126"/>
      <c r="AP403" s="126"/>
      <c r="AZ403" s="126"/>
      <c r="BA403" s="126"/>
    </row>
    <row r="404" spans="5:53" x14ac:dyDescent="0.3">
      <c r="E404" s="126"/>
      <c r="F404" s="126"/>
      <c r="G404" s="126"/>
      <c r="Q404" s="126"/>
      <c r="T404" s="126"/>
      <c r="AD404" s="126"/>
      <c r="AP404" s="126"/>
      <c r="AZ404" s="126"/>
      <c r="BA404" s="126"/>
    </row>
    <row r="405" spans="5:53" x14ac:dyDescent="0.3">
      <c r="E405" s="126"/>
      <c r="F405" s="126"/>
      <c r="G405" s="126"/>
      <c r="Q405" s="126"/>
      <c r="T405" s="126"/>
      <c r="AD405" s="126"/>
      <c r="AP405" s="126"/>
      <c r="AZ405" s="126"/>
      <c r="BA405" s="126"/>
    </row>
    <row r="406" spans="5:53" x14ac:dyDescent="0.3">
      <c r="E406" s="126"/>
      <c r="F406" s="126"/>
      <c r="G406" s="126"/>
      <c r="Q406" s="126"/>
      <c r="T406" s="126"/>
      <c r="AD406" s="126"/>
      <c r="AP406" s="126"/>
      <c r="AZ406" s="126"/>
      <c r="BA406" s="126"/>
    </row>
    <row r="407" spans="5:53" x14ac:dyDescent="0.3">
      <c r="E407" s="126"/>
      <c r="F407" s="126"/>
      <c r="G407" s="126"/>
      <c r="Q407" s="126"/>
      <c r="T407" s="126"/>
      <c r="AD407" s="126"/>
      <c r="AP407" s="126"/>
      <c r="AZ407" s="126"/>
      <c r="BA407" s="126"/>
    </row>
    <row r="408" spans="5:53" x14ac:dyDescent="0.3">
      <c r="E408" s="126"/>
      <c r="F408" s="126"/>
      <c r="G408" s="126"/>
      <c r="Q408" s="126"/>
      <c r="T408" s="126"/>
      <c r="AD408" s="126"/>
      <c r="AP408" s="126"/>
      <c r="AZ408" s="126"/>
      <c r="BA408" s="126"/>
    </row>
    <row r="409" spans="5:53" x14ac:dyDescent="0.3">
      <c r="E409" s="126"/>
      <c r="F409" s="126"/>
      <c r="G409" s="126"/>
      <c r="Q409" s="126"/>
      <c r="T409" s="126"/>
      <c r="AD409" s="126"/>
      <c r="AP409" s="126"/>
      <c r="AZ409" s="126"/>
      <c r="BA409" s="126"/>
    </row>
    <row r="410" spans="5:53" x14ac:dyDescent="0.3">
      <c r="E410" s="126"/>
      <c r="F410" s="126"/>
      <c r="G410" s="126"/>
      <c r="Q410" s="126"/>
      <c r="T410" s="126"/>
      <c r="AD410" s="126"/>
      <c r="AP410" s="126"/>
      <c r="AZ410" s="126"/>
      <c r="BA410" s="126"/>
    </row>
    <row r="411" spans="5:53" x14ac:dyDescent="0.3">
      <c r="E411" s="126"/>
      <c r="F411" s="126"/>
      <c r="G411" s="126"/>
      <c r="Q411" s="126"/>
      <c r="T411" s="126"/>
      <c r="AD411" s="126"/>
      <c r="AP411" s="126"/>
      <c r="AZ411" s="126"/>
      <c r="BA411" s="126"/>
    </row>
    <row r="412" spans="5:53" x14ac:dyDescent="0.3">
      <c r="E412" s="126"/>
      <c r="F412" s="126"/>
      <c r="G412" s="126"/>
      <c r="Q412" s="126"/>
      <c r="T412" s="126"/>
      <c r="AD412" s="126"/>
      <c r="AP412" s="126"/>
      <c r="AZ412" s="126"/>
      <c r="BA412" s="126"/>
    </row>
    <row r="413" spans="5:53" x14ac:dyDescent="0.3">
      <c r="E413" s="126"/>
      <c r="F413" s="126"/>
      <c r="G413" s="126"/>
      <c r="Q413" s="126"/>
      <c r="T413" s="126"/>
      <c r="AD413" s="126"/>
      <c r="AP413" s="126"/>
      <c r="AZ413" s="126"/>
      <c r="BA413" s="126"/>
    </row>
    <row r="414" spans="5:53" x14ac:dyDescent="0.3">
      <c r="E414" s="126"/>
      <c r="F414" s="126"/>
      <c r="G414" s="126"/>
      <c r="Q414" s="126"/>
      <c r="T414" s="126"/>
      <c r="AD414" s="126"/>
      <c r="AP414" s="126"/>
      <c r="AZ414" s="126"/>
      <c r="BA414" s="126"/>
    </row>
    <row r="415" spans="5:53" x14ac:dyDescent="0.3">
      <c r="E415" s="126"/>
      <c r="F415" s="126"/>
      <c r="G415" s="126"/>
      <c r="Q415" s="126"/>
      <c r="T415" s="126"/>
      <c r="AD415" s="126"/>
      <c r="AP415" s="126"/>
      <c r="AZ415" s="126"/>
      <c r="BA415" s="126"/>
    </row>
    <row r="416" spans="5:53" x14ac:dyDescent="0.3">
      <c r="E416" s="126"/>
      <c r="F416" s="126"/>
      <c r="G416" s="126"/>
      <c r="Q416" s="126"/>
      <c r="T416" s="126"/>
      <c r="AD416" s="126"/>
      <c r="AP416" s="126"/>
      <c r="AZ416" s="126"/>
      <c r="BA416" s="126"/>
    </row>
    <row r="417" spans="5:53" x14ac:dyDescent="0.3">
      <c r="E417" s="126"/>
      <c r="F417" s="126"/>
      <c r="G417" s="126"/>
      <c r="Q417" s="126"/>
      <c r="T417" s="126"/>
      <c r="AD417" s="126"/>
      <c r="AP417" s="126"/>
      <c r="AZ417" s="126"/>
      <c r="BA417" s="126"/>
    </row>
    <row r="418" spans="5:53" x14ac:dyDescent="0.3">
      <c r="E418" s="126"/>
      <c r="F418" s="126"/>
      <c r="G418" s="126"/>
      <c r="Q418" s="126"/>
      <c r="T418" s="126"/>
      <c r="AD418" s="126"/>
      <c r="AP418" s="126"/>
      <c r="AZ418" s="126"/>
      <c r="BA418" s="126"/>
    </row>
    <row r="419" spans="5:53" x14ac:dyDescent="0.3">
      <c r="E419" s="126"/>
      <c r="F419" s="126"/>
      <c r="G419" s="126"/>
      <c r="Q419" s="126"/>
      <c r="T419" s="126"/>
      <c r="AD419" s="126"/>
      <c r="AP419" s="126"/>
      <c r="AZ419" s="126"/>
      <c r="BA419" s="126"/>
    </row>
    <row r="420" spans="5:53" x14ac:dyDescent="0.3">
      <c r="E420" s="126"/>
      <c r="F420" s="126"/>
      <c r="G420" s="126"/>
      <c r="Q420" s="126"/>
      <c r="T420" s="126"/>
      <c r="AD420" s="126"/>
      <c r="AP420" s="126"/>
      <c r="AZ420" s="126"/>
      <c r="BA420" s="126"/>
    </row>
    <row r="421" spans="5:53" x14ac:dyDescent="0.3">
      <c r="E421" s="126"/>
      <c r="F421" s="126"/>
      <c r="G421" s="126"/>
      <c r="Q421" s="126"/>
      <c r="T421" s="126"/>
      <c r="AD421" s="126"/>
      <c r="AP421" s="126"/>
      <c r="AZ421" s="126"/>
      <c r="BA421" s="126"/>
    </row>
    <row r="422" spans="5:53" x14ac:dyDescent="0.3">
      <c r="E422" s="126"/>
      <c r="F422" s="126"/>
      <c r="G422" s="126"/>
      <c r="Q422" s="126"/>
      <c r="T422" s="126"/>
      <c r="AD422" s="126"/>
      <c r="AP422" s="126"/>
      <c r="AZ422" s="126"/>
      <c r="BA422" s="126"/>
    </row>
    <row r="423" spans="5:53" x14ac:dyDescent="0.3">
      <c r="E423" s="126"/>
      <c r="F423" s="126"/>
      <c r="G423" s="126"/>
      <c r="Q423" s="126"/>
      <c r="T423" s="126"/>
      <c r="AD423" s="126"/>
      <c r="AP423" s="126"/>
      <c r="AZ423" s="126"/>
      <c r="BA423" s="126"/>
    </row>
    <row r="424" spans="5:53" x14ac:dyDescent="0.3">
      <c r="E424" s="126"/>
      <c r="F424" s="126"/>
      <c r="G424" s="126"/>
      <c r="Q424" s="126"/>
      <c r="T424" s="126"/>
      <c r="AD424" s="126"/>
      <c r="AP424" s="126"/>
      <c r="AZ424" s="126"/>
      <c r="BA424" s="126"/>
    </row>
    <row r="425" spans="5:53" x14ac:dyDescent="0.3">
      <c r="E425" s="126"/>
      <c r="F425" s="126"/>
      <c r="G425" s="126"/>
      <c r="Q425" s="126"/>
      <c r="T425" s="126"/>
      <c r="AD425" s="126"/>
      <c r="AP425" s="126"/>
      <c r="AZ425" s="126"/>
      <c r="BA425" s="126"/>
    </row>
    <row r="426" spans="5:53" x14ac:dyDescent="0.3">
      <c r="E426" s="126"/>
      <c r="F426" s="126"/>
      <c r="G426" s="126"/>
      <c r="Q426" s="126"/>
      <c r="T426" s="126"/>
      <c r="AD426" s="126"/>
      <c r="AP426" s="126"/>
      <c r="AZ426" s="126"/>
      <c r="BA426" s="126"/>
    </row>
    <row r="427" spans="5:53" x14ac:dyDescent="0.3">
      <c r="E427" s="126"/>
      <c r="F427" s="126"/>
      <c r="G427" s="126"/>
      <c r="Q427" s="126"/>
      <c r="T427" s="126"/>
      <c r="AD427" s="126"/>
      <c r="AP427" s="126"/>
      <c r="AZ427" s="126"/>
      <c r="BA427" s="126"/>
    </row>
    <row r="428" spans="5:53" x14ac:dyDescent="0.3">
      <c r="E428" s="126"/>
      <c r="F428" s="126"/>
      <c r="G428" s="126"/>
      <c r="Q428" s="126"/>
      <c r="T428" s="126"/>
      <c r="AD428" s="126"/>
      <c r="AP428" s="126"/>
      <c r="AZ428" s="126"/>
      <c r="BA428" s="126"/>
    </row>
    <row r="429" spans="5:53" x14ac:dyDescent="0.3">
      <c r="E429" s="126"/>
      <c r="F429" s="126"/>
      <c r="G429" s="126"/>
      <c r="Q429" s="126"/>
      <c r="T429" s="126"/>
      <c r="AD429" s="126"/>
      <c r="AP429" s="126"/>
      <c r="AZ429" s="126"/>
      <c r="BA429" s="126"/>
    </row>
    <row r="430" spans="5:53" x14ac:dyDescent="0.3">
      <c r="E430" s="126"/>
      <c r="F430" s="126"/>
      <c r="G430" s="126"/>
      <c r="Q430" s="126"/>
      <c r="T430" s="126"/>
      <c r="AD430" s="126"/>
      <c r="AP430" s="126"/>
      <c r="AZ430" s="126"/>
      <c r="BA430" s="126"/>
    </row>
    <row r="431" spans="5:53" x14ac:dyDescent="0.3">
      <c r="E431" s="126"/>
      <c r="F431" s="126"/>
      <c r="G431" s="126"/>
      <c r="Q431" s="126"/>
      <c r="T431" s="126"/>
      <c r="AD431" s="126"/>
      <c r="AP431" s="126"/>
      <c r="AZ431" s="126"/>
      <c r="BA431" s="126"/>
    </row>
    <row r="432" spans="5:53" x14ac:dyDescent="0.3">
      <c r="E432" s="126"/>
      <c r="F432" s="126"/>
      <c r="G432" s="126"/>
      <c r="Q432" s="126"/>
      <c r="T432" s="126"/>
      <c r="AD432" s="126"/>
      <c r="AP432" s="126"/>
      <c r="AZ432" s="126"/>
      <c r="BA432" s="126"/>
    </row>
    <row r="433" spans="5:53" x14ac:dyDescent="0.3">
      <c r="E433" s="126"/>
      <c r="F433" s="126"/>
      <c r="G433" s="126"/>
      <c r="Q433" s="126"/>
      <c r="T433" s="126"/>
      <c r="AD433" s="126"/>
      <c r="AP433" s="126"/>
      <c r="AZ433" s="126"/>
      <c r="BA433" s="126"/>
    </row>
    <row r="434" spans="5:53" x14ac:dyDescent="0.3">
      <c r="E434" s="126"/>
      <c r="F434" s="126"/>
      <c r="G434" s="126"/>
      <c r="Q434" s="126"/>
      <c r="T434" s="126"/>
      <c r="AD434" s="126"/>
      <c r="AP434" s="126"/>
      <c r="AZ434" s="126"/>
      <c r="BA434" s="126"/>
    </row>
    <row r="435" spans="5:53" x14ac:dyDescent="0.3">
      <c r="E435" s="126"/>
      <c r="F435" s="126"/>
      <c r="G435" s="126"/>
      <c r="Q435" s="126"/>
      <c r="T435" s="126"/>
      <c r="AD435" s="126"/>
      <c r="AP435" s="126"/>
      <c r="AZ435" s="126"/>
      <c r="BA435" s="126"/>
    </row>
    <row r="436" spans="5:53" x14ac:dyDescent="0.3">
      <c r="E436" s="126"/>
      <c r="F436" s="126"/>
      <c r="G436" s="126"/>
      <c r="Q436" s="126"/>
      <c r="T436" s="126"/>
      <c r="AD436" s="126"/>
      <c r="AP436" s="126"/>
      <c r="AZ436" s="126"/>
      <c r="BA436" s="126"/>
    </row>
    <row r="437" spans="5:53" x14ac:dyDescent="0.3">
      <c r="E437" s="126"/>
      <c r="F437" s="126"/>
      <c r="G437" s="126"/>
      <c r="Q437" s="126"/>
      <c r="T437" s="126"/>
      <c r="AD437" s="126"/>
      <c r="AP437" s="126"/>
      <c r="AZ437" s="126"/>
      <c r="BA437" s="126"/>
    </row>
    <row r="438" spans="5:53" x14ac:dyDescent="0.3">
      <c r="E438" s="126"/>
      <c r="F438" s="126"/>
      <c r="G438" s="126"/>
      <c r="Q438" s="126"/>
      <c r="T438" s="126"/>
      <c r="AD438" s="126"/>
      <c r="AP438" s="126"/>
      <c r="AZ438" s="126"/>
      <c r="BA438" s="126"/>
    </row>
    <row r="439" spans="5:53" x14ac:dyDescent="0.3">
      <c r="E439" s="126"/>
      <c r="F439" s="126"/>
      <c r="G439" s="126"/>
      <c r="Q439" s="126"/>
      <c r="T439" s="126"/>
      <c r="AD439" s="126"/>
      <c r="AP439" s="126"/>
      <c r="AZ439" s="126"/>
      <c r="BA439" s="126"/>
    </row>
    <row r="440" spans="5:53" x14ac:dyDescent="0.3">
      <c r="E440" s="126"/>
      <c r="F440" s="126"/>
      <c r="G440" s="126"/>
      <c r="Q440" s="126"/>
      <c r="T440" s="126"/>
      <c r="AD440" s="126"/>
      <c r="AP440" s="126"/>
      <c r="AZ440" s="126"/>
      <c r="BA440" s="126"/>
    </row>
    <row r="441" spans="5:53" x14ac:dyDescent="0.3">
      <c r="E441" s="126"/>
      <c r="F441" s="126"/>
      <c r="G441" s="126"/>
      <c r="Q441" s="126"/>
      <c r="T441" s="126"/>
      <c r="AD441" s="126"/>
      <c r="AP441" s="126"/>
      <c r="AZ441" s="126"/>
      <c r="BA441" s="126"/>
    </row>
    <row r="442" spans="5:53" x14ac:dyDescent="0.3">
      <c r="E442" s="126"/>
      <c r="F442" s="126"/>
      <c r="G442" s="126"/>
      <c r="Q442" s="126"/>
      <c r="T442" s="126"/>
      <c r="AD442" s="126"/>
      <c r="AP442" s="126"/>
      <c r="AZ442" s="126"/>
      <c r="BA442" s="126"/>
    </row>
    <row r="443" spans="5:53" x14ac:dyDescent="0.3">
      <c r="E443" s="126"/>
      <c r="F443" s="126"/>
      <c r="G443" s="126"/>
      <c r="Q443" s="126"/>
      <c r="T443" s="126"/>
      <c r="AD443" s="126"/>
      <c r="AP443" s="126"/>
      <c r="AZ443" s="126"/>
      <c r="BA443" s="126"/>
    </row>
    <row r="444" spans="5:53" x14ac:dyDescent="0.3">
      <c r="E444" s="126"/>
      <c r="F444" s="126"/>
      <c r="G444" s="126"/>
      <c r="Q444" s="126"/>
      <c r="T444" s="126"/>
      <c r="AD444" s="126"/>
      <c r="AP444" s="126"/>
      <c r="AZ444" s="126"/>
      <c r="BA444" s="126"/>
    </row>
    <row r="445" spans="5:53" x14ac:dyDescent="0.3">
      <c r="E445" s="126"/>
      <c r="F445" s="126"/>
      <c r="G445" s="126"/>
      <c r="Q445" s="126"/>
      <c r="T445" s="126"/>
      <c r="AD445" s="126"/>
      <c r="AP445" s="126"/>
      <c r="AZ445" s="126"/>
      <c r="BA445" s="126"/>
    </row>
    <row r="446" spans="5:53" x14ac:dyDescent="0.3">
      <c r="E446" s="126"/>
      <c r="F446" s="126"/>
      <c r="G446" s="126"/>
      <c r="Q446" s="126"/>
      <c r="T446" s="126"/>
      <c r="AD446" s="126"/>
      <c r="AP446" s="126"/>
      <c r="AZ446" s="126"/>
      <c r="BA446" s="126"/>
    </row>
    <row r="447" spans="5:53" x14ac:dyDescent="0.3">
      <c r="E447" s="126"/>
      <c r="F447" s="126"/>
      <c r="G447" s="126"/>
      <c r="Q447" s="126"/>
      <c r="T447" s="126"/>
      <c r="AD447" s="126"/>
      <c r="AP447" s="126"/>
      <c r="AZ447" s="126"/>
      <c r="BA447" s="126"/>
    </row>
    <row r="448" spans="5:53" x14ac:dyDescent="0.3">
      <c r="E448" s="126"/>
      <c r="F448" s="126"/>
      <c r="G448" s="126"/>
      <c r="Q448" s="126"/>
      <c r="T448" s="126"/>
      <c r="AD448" s="126"/>
      <c r="AP448" s="126"/>
      <c r="AZ448" s="126"/>
      <c r="BA448" s="126"/>
    </row>
    <row r="449" spans="5:53" x14ac:dyDescent="0.3">
      <c r="E449" s="126"/>
      <c r="F449" s="126"/>
      <c r="G449" s="126"/>
      <c r="Q449" s="126"/>
      <c r="T449" s="126"/>
      <c r="AD449" s="126"/>
      <c r="AP449" s="126"/>
      <c r="AZ449" s="126"/>
      <c r="BA449" s="126"/>
    </row>
    <row r="450" spans="5:53" x14ac:dyDescent="0.3">
      <c r="E450" s="126"/>
      <c r="F450" s="126"/>
      <c r="G450" s="126"/>
      <c r="Q450" s="126"/>
      <c r="T450" s="126"/>
      <c r="AD450" s="126"/>
      <c r="AP450" s="126"/>
      <c r="AZ450" s="126"/>
      <c r="BA450" s="126"/>
    </row>
    <row r="451" spans="5:53" x14ac:dyDescent="0.3">
      <c r="E451" s="126"/>
      <c r="F451" s="126"/>
      <c r="G451" s="126"/>
      <c r="Q451" s="126"/>
      <c r="T451" s="126"/>
      <c r="AD451" s="126"/>
      <c r="AP451" s="126"/>
      <c r="AZ451" s="126"/>
      <c r="BA451" s="126"/>
    </row>
    <row r="452" spans="5:53" x14ac:dyDescent="0.3">
      <c r="E452" s="126"/>
      <c r="F452" s="126"/>
      <c r="G452" s="126"/>
      <c r="Q452" s="126"/>
      <c r="T452" s="126"/>
      <c r="AD452" s="126"/>
      <c r="AP452" s="126"/>
      <c r="AZ452" s="126"/>
      <c r="BA452" s="126"/>
    </row>
    <row r="453" spans="5:53" x14ac:dyDescent="0.3">
      <c r="E453" s="126"/>
      <c r="F453" s="126"/>
      <c r="G453" s="126"/>
      <c r="Q453" s="126"/>
      <c r="T453" s="126"/>
      <c r="AD453" s="126"/>
      <c r="AP453" s="126"/>
      <c r="AZ453" s="126"/>
      <c r="BA453" s="126"/>
    </row>
    <row r="454" spans="5:53" x14ac:dyDescent="0.3">
      <c r="E454" s="126"/>
      <c r="F454" s="126"/>
      <c r="G454" s="126"/>
      <c r="Q454" s="126"/>
      <c r="T454" s="126"/>
      <c r="AD454" s="126"/>
      <c r="AP454" s="126"/>
      <c r="AZ454" s="126"/>
      <c r="BA454" s="126"/>
    </row>
    <row r="455" spans="5:53" x14ac:dyDescent="0.3">
      <c r="E455" s="126"/>
      <c r="F455" s="126"/>
      <c r="G455" s="126"/>
      <c r="Q455" s="126"/>
      <c r="T455" s="126"/>
      <c r="AD455" s="126"/>
      <c r="AP455" s="126"/>
      <c r="AZ455" s="126"/>
      <c r="BA455" s="126"/>
    </row>
    <row r="456" spans="5:53" x14ac:dyDescent="0.3">
      <c r="E456" s="126"/>
      <c r="F456" s="126"/>
      <c r="G456" s="126"/>
      <c r="Q456" s="126"/>
      <c r="T456" s="126"/>
      <c r="AD456" s="126"/>
      <c r="AP456" s="126"/>
      <c r="AZ456" s="126"/>
      <c r="BA456" s="126"/>
    </row>
    <row r="457" spans="5:53" x14ac:dyDescent="0.3">
      <c r="E457" s="126"/>
      <c r="F457" s="126"/>
      <c r="G457" s="126"/>
      <c r="Q457" s="126"/>
      <c r="T457" s="126"/>
      <c r="AD457" s="126"/>
      <c r="AP457" s="126"/>
      <c r="AZ457" s="126"/>
      <c r="BA457" s="126"/>
    </row>
    <row r="458" spans="5:53" x14ac:dyDescent="0.3">
      <c r="E458" s="126"/>
      <c r="F458" s="126"/>
      <c r="G458" s="126"/>
      <c r="Q458" s="126"/>
      <c r="T458" s="126"/>
      <c r="AD458" s="126"/>
      <c r="AP458" s="126"/>
      <c r="AZ458" s="126"/>
      <c r="BA458" s="126"/>
    </row>
    <row r="459" spans="5:53" x14ac:dyDescent="0.3">
      <c r="E459" s="126"/>
      <c r="F459" s="126"/>
      <c r="G459" s="126"/>
      <c r="Q459" s="126"/>
      <c r="T459" s="126"/>
      <c r="AD459" s="126"/>
      <c r="AP459" s="126"/>
      <c r="AZ459" s="126"/>
      <c r="BA459" s="126"/>
    </row>
    <row r="460" spans="5:53" x14ac:dyDescent="0.3">
      <c r="E460" s="126"/>
      <c r="F460" s="126"/>
      <c r="G460" s="126"/>
      <c r="Q460" s="126"/>
      <c r="T460" s="126"/>
      <c r="AD460" s="126"/>
      <c r="AP460" s="126"/>
      <c r="AZ460" s="126"/>
      <c r="BA460" s="126"/>
    </row>
    <row r="461" spans="5:53" x14ac:dyDescent="0.3">
      <c r="E461" s="126"/>
      <c r="F461" s="126"/>
      <c r="G461" s="126"/>
      <c r="Q461" s="126"/>
      <c r="T461" s="126"/>
      <c r="AD461" s="126"/>
      <c r="AP461" s="126"/>
      <c r="AZ461" s="126"/>
      <c r="BA461" s="126"/>
    </row>
    <row r="462" spans="5:53" x14ac:dyDescent="0.3">
      <c r="E462" s="126"/>
      <c r="F462" s="126"/>
      <c r="G462" s="126"/>
      <c r="Q462" s="126"/>
      <c r="T462" s="126"/>
      <c r="AD462" s="126"/>
      <c r="AP462" s="126"/>
      <c r="AZ462" s="126"/>
      <c r="BA462" s="126"/>
    </row>
    <row r="463" spans="5:53" x14ac:dyDescent="0.3">
      <c r="E463" s="126"/>
      <c r="F463" s="126"/>
      <c r="G463" s="126"/>
      <c r="Q463" s="126"/>
      <c r="T463" s="126"/>
      <c r="AD463" s="126"/>
      <c r="AP463" s="126"/>
      <c r="AZ463" s="126"/>
      <c r="BA463" s="126"/>
    </row>
    <row r="464" spans="5:53" x14ac:dyDescent="0.3">
      <c r="E464" s="126"/>
      <c r="F464" s="126"/>
      <c r="G464" s="126"/>
      <c r="Q464" s="126"/>
      <c r="T464" s="126"/>
      <c r="AD464" s="126"/>
      <c r="AP464" s="126"/>
      <c r="AZ464" s="126"/>
      <c r="BA464" s="126"/>
    </row>
    <row r="465" spans="5:53" x14ac:dyDescent="0.3">
      <c r="E465" s="126"/>
      <c r="F465" s="126"/>
      <c r="G465" s="126"/>
      <c r="Q465" s="126"/>
      <c r="T465" s="126"/>
      <c r="AD465" s="126"/>
      <c r="AP465" s="126"/>
      <c r="AZ465" s="126"/>
      <c r="BA465" s="126"/>
    </row>
    <row r="466" spans="5:53" x14ac:dyDescent="0.3">
      <c r="E466" s="126"/>
      <c r="F466" s="126"/>
      <c r="G466" s="126"/>
      <c r="Q466" s="126"/>
      <c r="T466" s="126"/>
      <c r="AD466" s="126"/>
      <c r="AP466" s="126"/>
      <c r="AZ466" s="126"/>
      <c r="BA466" s="126"/>
    </row>
    <row r="467" spans="5:53" x14ac:dyDescent="0.3">
      <c r="E467" s="126"/>
      <c r="F467" s="126"/>
      <c r="G467" s="126"/>
      <c r="Q467" s="126"/>
      <c r="T467" s="126"/>
      <c r="AD467" s="126"/>
      <c r="AP467" s="126"/>
      <c r="AZ467" s="126"/>
      <c r="BA467" s="126"/>
    </row>
    <row r="468" spans="5:53" x14ac:dyDescent="0.3">
      <c r="E468" s="126"/>
      <c r="F468" s="126"/>
      <c r="G468" s="126"/>
      <c r="Q468" s="126"/>
      <c r="T468" s="126"/>
      <c r="AD468" s="126"/>
      <c r="AP468" s="126"/>
      <c r="AZ468" s="126"/>
      <c r="BA468" s="126"/>
    </row>
    <row r="469" spans="5:53" x14ac:dyDescent="0.3">
      <c r="E469" s="126"/>
      <c r="F469" s="126"/>
      <c r="G469" s="126"/>
      <c r="Q469" s="126"/>
      <c r="T469" s="126"/>
      <c r="AD469" s="126"/>
      <c r="AP469" s="126"/>
      <c r="AZ469" s="126"/>
      <c r="BA469" s="126"/>
    </row>
    <row r="470" spans="5:53" x14ac:dyDescent="0.3">
      <c r="E470" s="126"/>
      <c r="F470" s="126"/>
      <c r="G470" s="126"/>
      <c r="Q470" s="126"/>
      <c r="T470" s="126"/>
      <c r="AD470" s="126"/>
      <c r="AP470" s="126"/>
      <c r="AZ470" s="126"/>
      <c r="BA470" s="126"/>
    </row>
    <row r="471" spans="5:53" x14ac:dyDescent="0.3">
      <c r="E471" s="126"/>
      <c r="F471" s="126"/>
      <c r="G471" s="126"/>
      <c r="Q471" s="126"/>
      <c r="T471" s="126"/>
      <c r="AD471" s="126"/>
      <c r="AP471" s="126"/>
      <c r="AZ471" s="126"/>
      <c r="BA471" s="126"/>
    </row>
    <row r="472" spans="5:53" x14ac:dyDescent="0.3">
      <c r="E472" s="126"/>
      <c r="F472" s="126"/>
      <c r="G472" s="126"/>
      <c r="Q472" s="126"/>
      <c r="T472" s="126"/>
      <c r="AD472" s="126"/>
      <c r="AP472" s="126"/>
      <c r="AZ472" s="126"/>
      <c r="BA472" s="126"/>
    </row>
    <row r="473" spans="5:53" x14ac:dyDescent="0.3">
      <c r="E473" s="126"/>
      <c r="F473" s="126"/>
      <c r="G473" s="126"/>
      <c r="Q473" s="126"/>
      <c r="T473" s="126"/>
      <c r="AD473" s="126"/>
      <c r="AP473" s="126"/>
      <c r="AZ473" s="126"/>
      <c r="BA473" s="126"/>
    </row>
    <row r="474" spans="5:53" x14ac:dyDescent="0.3">
      <c r="E474" s="126"/>
      <c r="F474" s="126"/>
      <c r="G474" s="126"/>
      <c r="Q474" s="126"/>
      <c r="T474" s="126"/>
      <c r="AD474" s="126"/>
      <c r="AP474" s="126"/>
      <c r="AZ474" s="126"/>
      <c r="BA474" s="126"/>
    </row>
    <row r="475" spans="5:53" x14ac:dyDescent="0.3">
      <c r="E475" s="126"/>
      <c r="F475" s="126"/>
      <c r="G475" s="126"/>
      <c r="Q475" s="126"/>
      <c r="T475" s="126"/>
      <c r="AD475" s="126"/>
      <c r="AP475" s="126"/>
      <c r="AZ475" s="126"/>
      <c r="BA475" s="126"/>
    </row>
    <row r="476" spans="5:53" x14ac:dyDescent="0.3">
      <c r="E476" s="126"/>
      <c r="F476" s="126"/>
      <c r="G476" s="126"/>
      <c r="Q476" s="126"/>
      <c r="T476" s="126"/>
      <c r="AD476" s="126"/>
      <c r="AP476" s="126"/>
      <c r="AZ476" s="126"/>
      <c r="BA476" s="126"/>
    </row>
    <row r="477" spans="5:53" x14ac:dyDescent="0.3">
      <c r="E477" s="126"/>
      <c r="F477" s="126"/>
      <c r="G477" s="126"/>
      <c r="Q477" s="126"/>
      <c r="T477" s="126"/>
      <c r="AD477" s="126"/>
      <c r="AP477" s="126"/>
      <c r="AZ477" s="126"/>
      <c r="BA477" s="126"/>
    </row>
    <row r="478" spans="5:53" x14ac:dyDescent="0.3">
      <c r="E478" s="126"/>
      <c r="F478" s="126"/>
      <c r="G478" s="126"/>
      <c r="Q478" s="126"/>
      <c r="T478" s="126"/>
      <c r="AD478" s="126"/>
      <c r="AP478" s="126"/>
      <c r="AZ478" s="126"/>
      <c r="BA478" s="126"/>
    </row>
    <row r="479" spans="5:53" x14ac:dyDescent="0.3">
      <c r="E479" s="126"/>
      <c r="F479" s="126"/>
      <c r="G479" s="126"/>
      <c r="Q479" s="126"/>
      <c r="T479" s="126"/>
      <c r="AD479" s="126"/>
      <c r="AP479" s="126"/>
      <c r="AZ479" s="126"/>
      <c r="BA479" s="126"/>
    </row>
    <row r="480" spans="5:53" x14ac:dyDescent="0.3">
      <c r="E480" s="126"/>
      <c r="F480" s="126"/>
      <c r="G480" s="126"/>
      <c r="Q480" s="126"/>
      <c r="T480" s="126"/>
      <c r="AD480" s="126"/>
      <c r="AP480" s="126"/>
      <c r="AZ480" s="126"/>
      <c r="BA480" s="126"/>
    </row>
    <row r="481" spans="5:53" x14ac:dyDescent="0.3">
      <c r="E481" s="126"/>
      <c r="F481" s="126"/>
      <c r="G481" s="126"/>
      <c r="Q481" s="126"/>
      <c r="T481" s="126"/>
      <c r="AD481" s="126"/>
      <c r="AP481" s="126"/>
      <c r="AZ481" s="126"/>
      <c r="BA481" s="126"/>
    </row>
    <row r="482" spans="5:53" x14ac:dyDescent="0.3">
      <c r="E482" s="126"/>
      <c r="F482" s="126"/>
      <c r="G482" s="126"/>
      <c r="Q482" s="126"/>
      <c r="T482" s="126"/>
      <c r="AD482" s="126"/>
      <c r="AP482" s="126"/>
      <c r="AZ482" s="126"/>
      <c r="BA482" s="126"/>
    </row>
    <row r="483" spans="5:53" x14ac:dyDescent="0.3">
      <c r="E483" s="126"/>
      <c r="F483" s="126"/>
      <c r="G483" s="126"/>
      <c r="Q483" s="126"/>
      <c r="T483" s="126"/>
      <c r="AD483" s="126"/>
      <c r="AP483" s="126"/>
      <c r="AZ483" s="126"/>
      <c r="BA483" s="126"/>
    </row>
    <row r="484" spans="5:53" x14ac:dyDescent="0.3">
      <c r="E484" s="126"/>
      <c r="F484" s="126"/>
      <c r="G484" s="126"/>
      <c r="Q484" s="126"/>
      <c r="T484" s="126"/>
      <c r="AD484" s="126"/>
      <c r="AP484" s="126"/>
      <c r="AZ484" s="126"/>
      <c r="BA484" s="126"/>
    </row>
    <row r="485" spans="5:53" x14ac:dyDescent="0.3">
      <c r="E485" s="126"/>
      <c r="F485" s="126"/>
      <c r="G485" s="126"/>
      <c r="Q485" s="126"/>
      <c r="T485" s="126"/>
      <c r="AD485" s="126"/>
      <c r="AP485" s="126"/>
      <c r="AZ485" s="126"/>
      <c r="BA485" s="126"/>
    </row>
    <row r="486" spans="5:53" x14ac:dyDescent="0.3">
      <c r="E486" s="126"/>
      <c r="F486" s="126"/>
      <c r="G486" s="126"/>
      <c r="Q486" s="126"/>
      <c r="T486" s="126"/>
      <c r="AD486" s="126"/>
      <c r="AP486" s="126"/>
      <c r="AZ486" s="126"/>
      <c r="BA486" s="126"/>
    </row>
    <row r="487" spans="5:53" x14ac:dyDescent="0.3">
      <c r="E487" s="126"/>
      <c r="F487" s="126"/>
      <c r="G487" s="126"/>
      <c r="Q487" s="126"/>
      <c r="T487" s="126"/>
      <c r="AD487" s="126"/>
      <c r="AP487" s="126"/>
      <c r="AZ487" s="126"/>
      <c r="BA487" s="126"/>
    </row>
    <row r="488" spans="5:53" x14ac:dyDescent="0.3">
      <c r="E488" s="126"/>
      <c r="F488" s="126"/>
      <c r="G488" s="126"/>
      <c r="Q488" s="126"/>
      <c r="T488" s="126"/>
      <c r="AD488" s="126"/>
      <c r="AP488" s="126"/>
      <c r="AZ488" s="126"/>
      <c r="BA488" s="126"/>
    </row>
    <row r="489" spans="5:53" x14ac:dyDescent="0.3">
      <c r="E489" s="126"/>
      <c r="F489" s="126"/>
      <c r="G489" s="126"/>
      <c r="Q489" s="126"/>
      <c r="T489" s="126"/>
      <c r="AD489" s="126"/>
      <c r="AP489" s="126"/>
      <c r="AZ489" s="126"/>
      <c r="BA489" s="126"/>
    </row>
    <row r="490" spans="5:53" x14ac:dyDescent="0.3">
      <c r="E490" s="126"/>
      <c r="F490" s="126"/>
      <c r="G490" s="126"/>
      <c r="Q490" s="126"/>
      <c r="T490" s="126"/>
      <c r="AD490" s="126"/>
      <c r="AP490" s="126"/>
      <c r="AZ490" s="126"/>
      <c r="BA490" s="126"/>
    </row>
    <row r="491" spans="5:53" x14ac:dyDescent="0.3">
      <c r="E491" s="126"/>
      <c r="F491" s="126"/>
      <c r="G491" s="126"/>
      <c r="Q491" s="126"/>
      <c r="T491" s="126"/>
      <c r="AD491" s="126"/>
      <c r="AP491" s="126"/>
      <c r="AZ491" s="126"/>
      <c r="BA491" s="126"/>
    </row>
    <row r="492" spans="5:53" x14ac:dyDescent="0.3">
      <c r="E492" s="126"/>
      <c r="F492" s="126"/>
      <c r="G492" s="126"/>
      <c r="Q492" s="126"/>
      <c r="T492" s="126"/>
      <c r="AD492" s="126"/>
      <c r="AP492" s="126"/>
      <c r="AZ492" s="126"/>
      <c r="BA492" s="126"/>
    </row>
    <row r="493" spans="5:53" x14ac:dyDescent="0.3">
      <c r="E493" s="126"/>
      <c r="F493" s="126"/>
      <c r="G493" s="126"/>
      <c r="Q493" s="126"/>
      <c r="T493" s="126"/>
      <c r="AD493" s="126"/>
      <c r="AP493" s="126"/>
      <c r="AZ493" s="126"/>
      <c r="BA493" s="126"/>
    </row>
    <row r="494" spans="5:53" x14ac:dyDescent="0.3">
      <c r="E494" s="126"/>
      <c r="F494" s="126"/>
      <c r="G494" s="126"/>
      <c r="Q494" s="126"/>
      <c r="T494" s="126"/>
      <c r="AD494" s="126"/>
      <c r="AP494" s="126"/>
      <c r="AZ494" s="126"/>
      <c r="BA494" s="126"/>
    </row>
    <row r="495" spans="5:53" x14ac:dyDescent="0.3">
      <c r="E495" s="126"/>
      <c r="F495" s="126"/>
      <c r="G495" s="126"/>
      <c r="Q495" s="126"/>
      <c r="T495" s="126"/>
      <c r="AD495" s="126"/>
      <c r="AP495" s="126"/>
      <c r="AZ495" s="126"/>
      <c r="BA495" s="126"/>
    </row>
    <row r="496" spans="5:53" x14ac:dyDescent="0.3">
      <c r="E496" s="126"/>
      <c r="F496" s="126"/>
      <c r="G496" s="126"/>
      <c r="Q496" s="126"/>
      <c r="T496" s="126"/>
      <c r="AD496" s="126"/>
      <c r="AP496" s="126"/>
      <c r="AZ496" s="126"/>
      <c r="BA496" s="126"/>
    </row>
    <row r="497" spans="5:53" x14ac:dyDescent="0.3">
      <c r="E497" s="126"/>
      <c r="F497" s="126"/>
      <c r="G497" s="126"/>
      <c r="Q497" s="126"/>
      <c r="T497" s="126"/>
      <c r="AD497" s="126"/>
      <c r="AP497" s="126"/>
      <c r="AZ497" s="126"/>
      <c r="BA497" s="126"/>
    </row>
    <row r="498" spans="5:53" x14ac:dyDescent="0.3">
      <c r="E498" s="126"/>
      <c r="F498" s="126"/>
      <c r="G498" s="126"/>
      <c r="Q498" s="126"/>
      <c r="T498" s="126"/>
      <c r="AD498" s="126"/>
      <c r="AP498" s="126"/>
      <c r="AZ498" s="126"/>
      <c r="BA498" s="126"/>
    </row>
    <row r="499" spans="5:53" x14ac:dyDescent="0.3">
      <c r="E499" s="126"/>
      <c r="F499" s="126"/>
      <c r="G499" s="126"/>
      <c r="Q499" s="126"/>
      <c r="T499" s="126"/>
      <c r="AD499" s="126"/>
      <c r="AP499" s="126"/>
      <c r="AZ499" s="126"/>
      <c r="BA499" s="126"/>
    </row>
    <row r="500" spans="5:53" x14ac:dyDescent="0.3">
      <c r="E500" s="126"/>
      <c r="F500" s="126"/>
      <c r="G500" s="126"/>
      <c r="Q500" s="126"/>
      <c r="T500" s="126"/>
      <c r="AD500" s="126"/>
      <c r="AP500" s="126"/>
      <c r="AZ500" s="126"/>
      <c r="BA500" s="126"/>
    </row>
    <row r="501" spans="5:53" x14ac:dyDescent="0.3">
      <c r="E501" s="126"/>
      <c r="F501" s="126"/>
      <c r="G501" s="126"/>
      <c r="Q501" s="126"/>
      <c r="T501" s="126"/>
      <c r="AD501" s="126"/>
      <c r="AP501" s="126"/>
      <c r="AZ501" s="126"/>
      <c r="BA501" s="126"/>
    </row>
    <row r="502" spans="5:53" x14ac:dyDescent="0.3">
      <c r="E502" s="126"/>
      <c r="F502" s="126"/>
      <c r="G502" s="126"/>
      <c r="Q502" s="126"/>
      <c r="T502" s="126"/>
      <c r="AD502" s="126"/>
      <c r="AP502" s="126"/>
      <c r="AZ502" s="126"/>
      <c r="BA502" s="126"/>
    </row>
    <row r="503" spans="5:53" x14ac:dyDescent="0.3">
      <c r="E503" s="126"/>
      <c r="F503" s="126"/>
      <c r="G503" s="126"/>
      <c r="Q503" s="126"/>
      <c r="T503" s="126"/>
      <c r="AD503" s="126"/>
      <c r="AP503" s="126"/>
      <c r="AZ503" s="126"/>
      <c r="BA503" s="126"/>
    </row>
    <row r="504" spans="5:53" x14ac:dyDescent="0.3">
      <c r="E504" s="126"/>
      <c r="F504" s="126"/>
      <c r="G504" s="126"/>
      <c r="Q504" s="126"/>
      <c r="T504" s="126"/>
      <c r="AD504" s="126"/>
      <c r="AP504" s="126"/>
      <c r="AZ504" s="126"/>
      <c r="BA504" s="126"/>
    </row>
    <row r="505" spans="5:53" x14ac:dyDescent="0.3">
      <c r="E505" s="126"/>
      <c r="F505" s="126"/>
      <c r="G505" s="126"/>
      <c r="Q505" s="126"/>
      <c r="T505" s="126"/>
      <c r="AD505" s="126"/>
      <c r="AP505" s="126"/>
      <c r="AZ505" s="126"/>
      <c r="BA505" s="126"/>
    </row>
    <row r="506" spans="5:53" x14ac:dyDescent="0.3">
      <c r="E506" s="126"/>
      <c r="F506" s="126"/>
      <c r="G506" s="126"/>
      <c r="Q506" s="126"/>
      <c r="T506" s="126"/>
      <c r="AD506" s="126"/>
      <c r="AP506" s="126"/>
      <c r="AZ506" s="126"/>
      <c r="BA506" s="126"/>
    </row>
    <row r="507" spans="5:53" x14ac:dyDescent="0.3">
      <c r="E507" s="126"/>
      <c r="F507" s="126"/>
      <c r="G507" s="126"/>
      <c r="Q507" s="126"/>
      <c r="T507" s="126"/>
      <c r="AD507" s="126"/>
      <c r="AP507" s="126"/>
      <c r="AZ507" s="126"/>
      <c r="BA507" s="126"/>
    </row>
    <row r="508" spans="5:53" x14ac:dyDescent="0.3">
      <c r="E508" s="126"/>
      <c r="F508" s="126"/>
      <c r="G508" s="126"/>
      <c r="Q508" s="126"/>
      <c r="T508" s="126"/>
      <c r="AD508" s="126"/>
      <c r="AP508" s="126"/>
      <c r="AZ508" s="126"/>
      <c r="BA508" s="126"/>
    </row>
    <row r="509" spans="5:53" x14ac:dyDescent="0.3">
      <c r="E509" s="126"/>
      <c r="F509" s="126"/>
      <c r="G509" s="126"/>
      <c r="Q509" s="126"/>
      <c r="T509" s="126"/>
      <c r="AD509" s="126"/>
      <c r="AP509" s="126"/>
      <c r="AZ509" s="126"/>
      <c r="BA509" s="126"/>
    </row>
    <row r="510" spans="5:53" x14ac:dyDescent="0.3">
      <c r="E510" s="126"/>
      <c r="F510" s="126"/>
      <c r="G510" s="126"/>
      <c r="Q510" s="126"/>
      <c r="T510" s="126"/>
      <c r="AD510" s="126"/>
      <c r="AP510" s="126"/>
      <c r="AZ510" s="126"/>
      <c r="BA510" s="126"/>
    </row>
    <row r="511" spans="5:53" x14ac:dyDescent="0.3">
      <c r="E511" s="126"/>
      <c r="F511" s="126"/>
      <c r="G511" s="126"/>
      <c r="Q511" s="126"/>
      <c r="T511" s="126"/>
      <c r="AD511" s="126"/>
      <c r="AP511" s="126"/>
      <c r="AZ511" s="126"/>
      <c r="BA511" s="126"/>
    </row>
    <row r="512" spans="5:53" x14ac:dyDescent="0.3">
      <c r="E512" s="126"/>
      <c r="F512" s="126"/>
      <c r="G512" s="126"/>
      <c r="Q512" s="126"/>
      <c r="T512" s="126"/>
      <c r="AD512" s="126"/>
      <c r="AP512" s="126"/>
      <c r="AZ512" s="126"/>
      <c r="BA512" s="126"/>
    </row>
    <row r="513" spans="5:53" x14ac:dyDescent="0.3">
      <c r="E513" s="126"/>
      <c r="F513" s="126"/>
      <c r="G513" s="126"/>
      <c r="Q513" s="126"/>
      <c r="T513" s="126"/>
      <c r="AD513" s="126"/>
      <c r="AP513" s="126"/>
      <c r="AZ513" s="126"/>
      <c r="BA513" s="126"/>
    </row>
    <row r="514" spans="5:53" x14ac:dyDescent="0.3">
      <c r="E514" s="126"/>
      <c r="F514" s="126"/>
      <c r="G514" s="126"/>
      <c r="Q514" s="126"/>
      <c r="T514" s="126"/>
      <c r="AD514" s="126"/>
      <c r="AP514" s="126"/>
      <c r="AZ514" s="126"/>
      <c r="BA514" s="126"/>
    </row>
    <row r="515" spans="5:53" x14ac:dyDescent="0.3">
      <c r="E515" s="126"/>
      <c r="F515" s="126"/>
      <c r="G515" s="126"/>
      <c r="Q515" s="126"/>
      <c r="T515" s="126"/>
      <c r="AD515" s="126"/>
      <c r="AP515" s="126"/>
      <c r="AZ515" s="126"/>
      <c r="BA515" s="126"/>
    </row>
    <row r="516" spans="5:53" x14ac:dyDescent="0.3">
      <c r="E516" s="126"/>
      <c r="F516" s="126"/>
      <c r="G516" s="126"/>
      <c r="Q516" s="126"/>
      <c r="T516" s="126"/>
      <c r="AD516" s="126"/>
      <c r="AP516" s="126"/>
      <c r="AZ516" s="126"/>
      <c r="BA516" s="126"/>
    </row>
    <row r="517" spans="5:53" x14ac:dyDescent="0.3">
      <c r="E517" s="126"/>
      <c r="F517" s="126"/>
      <c r="G517" s="126"/>
      <c r="Q517" s="126"/>
      <c r="T517" s="126"/>
      <c r="AD517" s="126"/>
      <c r="AP517" s="126"/>
      <c r="AZ517" s="126"/>
      <c r="BA517" s="126"/>
    </row>
    <row r="518" spans="5:53" x14ac:dyDescent="0.3">
      <c r="E518" s="126"/>
      <c r="F518" s="126"/>
      <c r="G518" s="126"/>
      <c r="Q518" s="126"/>
      <c r="T518" s="126"/>
      <c r="AD518" s="126"/>
      <c r="AP518" s="126"/>
      <c r="AZ518" s="126"/>
      <c r="BA518" s="126"/>
    </row>
    <row r="519" spans="5:53" x14ac:dyDescent="0.3">
      <c r="E519" s="126"/>
      <c r="F519" s="126"/>
      <c r="G519" s="126"/>
      <c r="Q519" s="126"/>
      <c r="T519" s="126"/>
      <c r="AD519" s="126"/>
      <c r="AP519" s="126"/>
      <c r="AZ519" s="126"/>
      <c r="BA519" s="126"/>
    </row>
    <row r="520" spans="5:53" x14ac:dyDescent="0.3">
      <c r="E520" s="126"/>
      <c r="F520" s="126"/>
      <c r="G520" s="126"/>
      <c r="Q520" s="126"/>
      <c r="T520" s="126"/>
      <c r="AD520" s="126"/>
      <c r="AP520" s="126"/>
      <c r="AZ520" s="126"/>
      <c r="BA520" s="126"/>
    </row>
    <row r="521" spans="5:53" x14ac:dyDescent="0.3">
      <c r="E521" s="126"/>
      <c r="F521" s="126"/>
      <c r="G521" s="126"/>
      <c r="Q521" s="126"/>
      <c r="T521" s="126"/>
      <c r="AD521" s="126"/>
      <c r="AP521" s="126"/>
      <c r="AZ521" s="126"/>
      <c r="BA521" s="126"/>
    </row>
    <row r="522" spans="5:53" x14ac:dyDescent="0.3">
      <c r="E522" s="126"/>
      <c r="F522" s="126"/>
      <c r="G522" s="126"/>
      <c r="Q522" s="126"/>
      <c r="T522" s="126"/>
      <c r="AD522" s="126"/>
      <c r="AP522" s="126"/>
      <c r="AZ522" s="126"/>
      <c r="BA522" s="126"/>
    </row>
    <row r="523" spans="5:53" x14ac:dyDescent="0.3">
      <c r="E523" s="126"/>
      <c r="F523" s="126"/>
      <c r="G523" s="126"/>
      <c r="Q523" s="126"/>
      <c r="T523" s="126"/>
      <c r="AD523" s="126"/>
      <c r="AP523" s="126"/>
      <c r="AZ523" s="126"/>
      <c r="BA523" s="126"/>
    </row>
    <row r="524" spans="5:53" x14ac:dyDescent="0.3">
      <c r="E524" s="126"/>
      <c r="F524" s="126"/>
      <c r="G524" s="126"/>
      <c r="Q524" s="126"/>
      <c r="T524" s="126"/>
      <c r="AD524" s="126"/>
      <c r="AP524" s="126"/>
      <c r="AZ524" s="126"/>
      <c r="BA524" s="126"/>
    </row>
    <row r="525" spans="5:53" x14ac:dyDescent="0.3">
      <c r="E525" s="126"/>
      <c r="F525" s="126"/>
      <c r="G525" s="126"/>
      <c r="Q525" s="126"/>
      <c r="T525" s="126"/>
      <c r="AD525" s="126"/>
      <c r="AP525" s="126"/>
      <c r="AZ525" s="126"/>
      <c r="BA525" s="126"/>
    </row>
    <row r="526" spans="5:53" x14ac:dyDescent="0.3">
      <c r="E526" s="126"/>
      <c r="F526" s="126"/>
      <c r="G526" s="126"/>
      <c r="Q526" s="126"/>
      <c r="T526" s="126"/>
      <c r="AD526" s="126"/>
      <c r="AP526" s="126"/>
      <c r="AZ526" s="126"/>
      <c r="BA526" s="126"/>
    </row>
    <row r="527" spans="5:53" x14ac:dyDescent="0.3">
      <c r="E527" s="126"/>
      <c r="F527" s="126"/>
      <c r="G527" s="126"/>
      <c r="Q527" s="126"/>
      <c r="T527" s="126"/>
      <c r="AD527" s="126"/>
      <c r="AP527" s="126"/>
      <c r="AZ527" s="126"/>
      <c r="BA527" s="126"/>
    </row>
    <row r="528" spans="5:53" x14ac:dyDescent="0.3">
      <c r="E528" s="126"/>
      <c r="F528" s="126"/>
      <c r="G528" s="126"/>
      <c r="Q528" s="126"/>
      <c r="T528" s="126"/>
      <c r="AD528" s="126"/>
      <c r="AP528" s="126"/>
      <c r="AZ528" s="126"/>
      <c r="BA528" s="126"/>
    </row>
    <row r="529" spans="5:53" x14ac:dyDescent="0.3">
      <c r="E529" s="126"/>
      <c r="F529" s="126"/>
      <c r="G529" s="126"/>
      <c r="Q529" s="126"/>
      <c r="T529" s="126"/>
      <c r="AD529" s="126"/>
      <c r="AP529" s="126"/>
      <c r="AZ529" s="126"/>
      <c r="BA529" s="126"/>
    </row>
    <row r="530" spans="5:53" x14ac:dyDescent="0.3">
      <c r="E530" s="126"/>
      <c r="F530" s="126"/>
      <c r="G530" s="126"/>
      <c r="Q530" s="126"/>
      <c r="T530" s="126"/>
      <c r="AD530" s="126"/>
      <c r="AP530" s="126"/>
      <c r="AZ530" s="126"/>
      <c r="BA530" s="126"/>
    </row>
    <row r="531" spans="5:53" x14ac:dyDescent="0.3">
      <c r="E531" s="126"/>
      <c r="F531" s="126"/>
      <c r="G531" s="126"/>
      <c r="Q531" s="126"/>
      <c r="T531" s="126"/>
      <c r="AD531" s="126"/>
      <c r="AP531" s="126"/>
      <c r="AZ531" s="126"/>
      <c r="BA531" s="126"/>
    </row>
    <row r="532" spans="5:53" x14ac:dyDescent="0.3">
      <c r="E532" s="126"/>
      <c r="F532" s="126"/>
      <c r="G532" s="126"/>
      <c r="Q532" s="126"/>
      <c r="T532" s="126"/>
      <c r="AD532" s="126"/>
      <c r="AP532" s="126"/>
      <c r="AZ532" s="126"/>
      <c r="BA532" s="126"/>
    </row>
    <row r="533" spans="5:53" x14ac:dyDescent="0.3">
      <c r="E533" s="126"/>
      <c r="F533" s="126"/>
      <c r="G533" s="126"/>
      <c r="Q533" s="126"/>
      <c r="T533" s="126"/>
      <c r="AD533" s="126"/>
      <c r="AP533" s="126"/>
      <c r="AZ533" s="126"/>
      <c r="BA533" s="126"/>
    </row>
    <row r="534" spans="5:53" x14ac:dyDescent="0.3">
      <c r="E534" s="126"/>
      <c r="F534" s="126"/>
      <c r="G534" s="126"/>
      <c r="Q534" s="126"/>
      <c r="T534" s="126"/>
      <c r="AD534" s="126"/>
      <c r="AP534" s="126"/>
      <c r="AZ534" s="126"/>
      <c r="BA534" s="126"/>
    </row>
    <row r="535" spans="5:53" x14ac:dyDescent="0.3">
      <c r="E535" s="126"/>
      <c r="F535" s="126"/>
      <c r="G535" s="126"/>
      <c r="Q535" s="126"/>
      <c r="T535" s="126"/>
      <c r="AD535" s="126"/>
      <c r="AP535" s="126"/>
      <c r="AZ535" s="126"/>
      <c r="BA535" s="126"/>
    </row>
    <row r="536" spans="5:53" x14ac:dyDescent="0.3">
      <c r="E536" s="126"/>
      <c r="F536" s="126"/>
      <c r="G536" s="126"/>
      <c r="Q536" s="126"/>
      <c r="T536" s="126"/>
      <c r="AD536" s="126"/>
      <c r="AP536" s="126"/>
      <c r="AZ536" s="126"/>
      <c r="BA536" s="126"/>
    </row>
    <row r="537" spans="5:53" x14ac:dyDescent="0.3">
      <c r="E537" s="126"/>
      <c r="F537" s="126"/>
      <c r="G537" s="126"/>
      <c r="Q537" s="126"/>
      <c r="T537" s="126"/>
      <c r="AD537" s="126"/>
      <c r="AP537" s="126"/>
      <c r="AZ537" s="126"/>
      <c r="BA537" s="126"/>
    </row>
    <row r="538" spans="5:53" x14ac:dyDescent="0.3">
      <c r="E538" s="126"/>
      <c r="F538" s="126"/>
      <c r="G538" s="126"/>
      <c r="Q538" s="126"/>
      <c r="T538" s="126"/>
      <c r="AD538" s="126"/>
      <c r="AP538" s="126"/>
      <c r="AZ538" s="126"/>
      <c r="BA538" s="126"/>
    </row>
    <row r="539" spans="5:53" x14ac:dyDescent="0.3">
      <c r="E539" s="126"/>
      <c r="F539" s="126"/>
      <c r="G539" s="126"/>
      <c r="Q539" s="126"/>
      <c r="T539" s="126"/>
      <c r="AD539" s="126"/>
      <c r="AP539" s="126"/>
      <c r="AZ539" s="126"/>
      <c r="BA539" s="126"/>
    </row>
    <row r="540" spans="5:53" x14ac:dyDescent="0.3">
      <c r="E540" s="126"/>
      <c r="F540" s="126"/>
      <c r="G540" s="126"/>
      <c r="Q540" s="126"/>
      <c r="T540" s="126"/>
      <c r="AD540" s="126"/>
      <c r="AP540" s="126"/>
      <c r="AZ540" s="126"/>
      <c r="BA540" s="126"/>
    </row>
    <row r="541" spans="5:53" x14ac:dyDescent="0.3">
      <c r="E541" s="126"/>
      <c r="F541" s="126"/>
      <c r="G541" s="126"/>
      <c r="Q541" s="126"/>
      <c r="T541" s="126"/>
      <c r="AD541" s="126"/>
      <c r="AP541" s="126"/>
      <c r="AZ541" s="126"/>
      <c r="BA541" s="126"/>
    </row>
    <row r="542" spans="5:53" x14ac:dyDescent="0.3">
      <c r="E542" s="126"/>
      <c r="F542" s="126"/>
      <c r="G542" s="126"/>
      <c r="Q542" s="126"/>
      <c r="T542" s="126"/>
      <c r="AD542" s="126"/>
      <c r="AP542" s="126"/>
      <c r="AZ542" s="126"/>
      <c r="BA542" s="126"/>
    </row>
    <row r="543" spans="5:53" x14ac:dyDescent="0.3">
      <c r="E543" s="126"/>
      <c r="F543" s="126"/>
      <c r="G543" s="126"/>
      <c r="Q543" s="126"/>
      <c r="T543" s="126"/>
      <c r="AD543" s="126"/>
      <c r="AP543" s="126"/>
      <c r="AZ543" s="126"/>
      <c r="BA543" s="126"/>
    </row>
    <row r="544" spans="5:53" x14ac:dyDescent="0.3">
      <c r="E544" s="126"/>
      <c r="F544" s="126"/>
      <c r="G544" s="126"/>
      <c r="Q544" s="126"/>
      <c r="T544" s="126"/>
      <c r="AD544" s="126"/>
      <c r="AP544" s="126"/>
      <c r="AZ544" s="126"/>
      <c r="BA544" s="126"/>
    </row>
    <row r="545" spans="5:53" x14ac:dyDescent="0.3">
      <c r="E545" s="126"/>
      <c r="F545" s="126"/>
      <c r="G545" s="126"/>
      <c r="Q545" s="126"/>
      <c r="T545" s="126"/>
      <c r="AD545" s="126"/>
      <c r="AP545" s="126"/>
      <c r="AZ545" s="126"/>
      <c r="BA545" s="126"/>
    </row>
    <row r="546" spans="5:53" x14ac:dyDescent="0.3">
      <c r="E546" s="126"/>
      <c r="F546" s="126"/>
      <c r="G546" s="126"/>
      <c r="Q546" s="126"/>
      <c r="T546" s="126"/>
      <c r="AD546" s="126"/>
      <c r="AP546" s="126"/>
      <c r="AZ546" s="126"/>
      <c r="BA546" s="126"/>
    </row>
    <row r="547" spans="5:53" x14ac:dyDescent="0.3">
      <c r="E547" s="126"/>
      <c r="F547" s="126"/>
      <c r="G547" s="126"/>
      <c r="Q547" s="126"/>
      <c r="T547" s="126"/>
      <c r="AD547" s="126"/>
      <c r="AP547" s="126"/>
      <c r="AZ547" s="126"/>
      <c r="BA547" s="126"/>
    </row>
    <row r="548" spans="5:53" x14ac:dyDescent="0.3">
      <c r="E548" s="126"/>
      <c r="F548" s="126"/>
      <c r="G548" s="126"/>
      <c r="Q548" s="126"/>
      <c r="T548" s="126"/>
      <c r="AD548" s="126"/>
      <c r="AP548" s="126"/>
      <c r="AZ548" s="126"/>
      <c r="BA548" s="126"/>
    </row>
    <row r="549" spans="5:53" x14ac:dyDescent="0.3">
      <c r="E549" s="126"/>
      <c r="F549" s="126"/>
      <c r="G549" s="126"/>
      <c r="Q549" s="126"/>
      <c r="T549" s="126"/>
      <c r="AD549" s="126"/>
      <c r="AP549" s="126"/>
      <c r="AZ549" s="126"/>
      <c r="BA549" s="126"/>
    </row>
    <row r="550" spans="5:53" x14ac:dyDescent="0.3">
      <c r="E550" s="126"/>
      <c r="F550" s="126"/>
      <c r="G550" s="126"/>
      <c r="Q550" s="126"/>
      <c r="T550" s="126"/>
      <c r="AD550" s="126"/>
      <c r="AP550" s="126"/>
      <c r="AZ550" s="126"/>
      <c r="BA550" s="126"/>
    </row>
    <row r="551" spans="5:53" x14ac:dyDescent="0.3">
      <c r="E551" s="126"/>
      <c r="F551" s="126"/>
      <c r="G551" s="126"/>
      <c r="Q551" s="126"/>
      <c r="T551" s="126"/>
      <c r="AD551" s="126"/>
      <c r="AP551" s="126"/>
      <c r="AZ551" s="126"/>
      <c r="BA551" s="126"/>
    </row>
    <row r="552" spans="5:53" x14ac:dyDescent="0.3">
      <c r="E552" s="126"/>
      <c r="F552" s="126"/>
      <c r="G552" s="126"/>
      <c r="Q552" s="126"/>
      <c r="T552" s="126"/>
      <c r="AD552" s="126"/>
      <c r="AP552" s="126"/>
      <c r="AZ552" s="126"/>
      <c r="BA552" s="126"/>
    </row>
    <row r="553" spans="5:53" x14ac:dyDescent="0.3">
      <c r="E553" s="126"/>
      <c r="F553" s="126"/>
      <c r="G553" s="126"/>
      <c r="Q553" s="126"/>
      <c r="T553" s="126"/>
      <c r="AD553" s="126"/>
      <c r="AP553" s="126"/>
      <c r="AZ553" s="126"/>
      <c r="BA553" s="126"/>
    </row>
    <row r="554" spans="5:53" x14ac:dyDescent="0.3">
      <c r="E554" s="126"/>
      <c r="F554" s="126"/>
      <c r="G554" s="126"/>
      <c r="Q554" s="126"/>
      <c r="T554" s="126"/>
      <c r="AD554" s="126"/>
      <c r="AP554" s="126"/>
      <c r="AZ554" s="126"/>
      <c r="BA554" s="126"/>
    </row>
    <row r="555" spans="5:53" x14ac:dyDescent="0.3">
      <c r="E555" s="126"/>
      <c r="F555" s="126"/>
      <c r="G555" s="126"/>
      <c r="Q555" s="126"/>
      <c r="T555" s="126"/>
      <c r="AD555" s="126"/>
      <c r="AP555" s="126"/>
      <c r="AZ555" s="126"/>
      <c r="BA555" s="126"/>
    </row>
    <row r="556" spans="5:53" x14ac:dyDescent="0.3">
      <c r="E556" s="126"/>
      <c r="F556" s="126"/>
      <c r="G556" s="126"/>
      <c r="Q556" s="126"/>
      <c r="T556" s="126"/>
      <c r="AD556" s="126"/>
      <c r="AP556" s="126"/>
      <c r="AZ556" s="126"/>
      <c r="BA556" s="126"/>
    </row>
    <row r="557" spans="5:53" x14ac:dyDescent="0.3">
      <c r="E557" s="126"/>
      <c r="F557" s="126"/>
      <c r="G557" s="126"/>
      <c r="Q557" s="126"/>
      <c r="T557" s="126"/>
      <c r="AD557" s="126"/>
      <c r="AP557" s="126"/>
      <c r="AZ557" s="126"/>
      <c r="BA557" s="126"/>
    </row>
    <row r="558" spans="5:53" x14ac:dyDescent="0.3">
      <c r="E558" s="126"/>
      <c r="F558" s="126"/>
      <c r="G558" s="126"/>
      <c r="Q558" s="126"/>
      <c r="T558" s="126"/>
      <c r="AD558" s="126"/>
      <c r="AP558" s="126"/>
      <c r="AZ558" s="126"/>
      <c r="BA558" s="126"/>
    </row>
    <row r="559" spans="5:53" x14ac:dyDescent="0.3">
      <c r="E559" s="126"/>
      <c r="F559" s="126"/>
      <c r="G559" s="126"/>
      <c r="Q559" s="126"/>
      <c r="T559" s="126"/>
      <c r="AD559" s="126"/>
      <c r="AP559" s="126"/>
      <c r="AZ559" s="126"/>
      <c r="BA559" s="126"/>
    </row>
    <row r="560" spans="5:53" x14ac:dyDescent="0.3">
      <c r="E560" s="126"/>
      <c r="F560" s="126"/>
      <c r="G560" s="126"/>
      <c r="Q560" s="126"/>
      <c r="T560" s="126"/>
      <c r="AD560" s="126"/>
      <c r="AP560" s="126"/>
      <c r="AZ560" s="126"/>
      <c r="BA560" s="126"/>
    </row>
    <row r="561" spans="5:53" x14ac:dyDescent="0.3">
      <c r="E561" s="126"/>
      <c r="F561" s="126"/>
      <c r="G561" s="126"/>
      <c r="Q561" s="126"/>
      <c r="T561" s="126"/>
      <c r="AD561" s="126"/>
      <c r="AP561" s="126"/>
      <c r="AZ561" s="126"/>
      <c r="BA561" s="126"/>
    </row>
    <row r="562" spans="5:53" x14ac:dyDescent="0.3">
      <c r="E562" s="126"/>
      <c r="F562" s="126"/>
      <c r="G562" s="126"/>
      <c r="Q562" s="126"/>
      <c r="T562" s="126"/>
      <c r="AD562" s="126"/>
      <c r="AP562" s="126"/>
      <c r="AZ562" s="126"/>
      <c r="BA562" s="126"/>
    </row>
    <row r="563" spans="5:53" x14ac:dyDescent="0.3">
      <c r="E563" s="126"/>
      <c r="F563" s="126"/>
      <c r="G563" s="126"/>
      <c r="Q563" s="126"/>
      <c r="T563" s="126"/>
      <c r="AD563" s="126"/>
      <c r="AP563" s="126"/>
      <c r="AZ563" s="126"/>
      <c r="BA563" s="126"/>
    </row>
    <row r="564" spans="5:53" x14ac:dyDescent="0.3">
      <c r="E564" s="126"/>
      <c r="F564" s="126"/>
      <c r="G564" s="126"/>
      <c r="Q564" s="126"/>
      <c r="T564" s="126"/>
      <c r="AD564" s="126"/>
      <c r="AP564" s="126"/>
      <c r="AZ564" s="126"/>
      <c r="BA564" s="126"/>
    </row>
    <row r="565" spans="5:53" x14ac:dyDescent="0.3">
      <c r="E565" s="126"/>
      <c r="F565" s="126"/>
      <c r="G565" s="126"/>
      <c r="Q565" s="126"/>
      <c r="T565" s="126"/>
      <c r="AD565" s="126"/>
      <c r="AP565" s="126"/>
      <c r="AZ565" s="126"/>
      <c r="BA565" s="126"/>
    </row>
    <row r="566" spans="5:53" x14ac:dyDescent="0.3">
      <c r="E566" s="126"/>
      <c r="F566" s="126"/>
      <c r="G566" s="126"/>
      <c r="Q566" s="126"/>
      <c r="T566" s="126"/>
      <c r="AD566" s="126"/>
      <c r="AP566" s="126"/>
      <c r="AZ566" s="126"/>
      <c r="BA566" s="126"/>
    </row>
    <row r="567" spans="5:53" x14ac:dyDescent="0.3">
      <c r="E567" s="126"/>
      <c r="F567" s="126"/>
      <c r="G567" s="126"/>
      <c r="Q567" s="126"/>
      <c r="T567" s="126"/>
      <c r="AD567" s="126"/>
      <c r="AP567" s="126"/>
      <c r="AZ567" s="126"/>
      <c r="BA567" s="126"/>
    </row>
    <row r="568" spans="5:53" x14ac:dyDescent="0.3">
      <c r="E568" s="126"/>
      <c r="F568" s="126"/>
      <c r="G568" s="126"/>
      <c r="Q568" s="126"/>
      <c r="T568" s="126"/>
      <c r="AD568" s="126"/>
      <c r="AP568" s="126"/>
      <c r="AZ568" s="126"/>
      <c r="BA568" s="126"/>
    </row>
    <row r="569" spans="5:53" x14ac:dyDescent="0.3">
      <c r="E569" s="126"/>
      <c r="F569" s="126"/>
      <c r="G569" s="126"/>
      <c r="Q569" s="126"/>
      <c r="T569" s="126"/>
      <c r="AD569" s="126"/>
      <c r="AP569" s="126"/>
      <c r="AZ569" s="126"/>
      <c r="BA569" s="126"/>
    </row>
    <row r="570" spans="5:53" x14ac:dyDescent="0.3">
      <c r="E570" s="126"/>
      <c r="F570" s="126"/>
      <c r="G570" s="126"/>
      <c r="Q570" s="126"/>
      <c r="T570" s="126"/>
      <c r="AD570" s="126"/>
      <c r="AP570" s="126"/>
      <c r="AZ570" s="126"/>
      <c r="BA570" s="126"/>
    </row>
    <row r="571" spans="5:53" x14ac:dyDescent="0.3">
      <c r="E571" s="126"/>
      <c r="F571" s="126"/>
      <c r="G571" s="126"/>
      <c r="Q571" s="126"/>
      <c r="T571" s="126"/>
      <c r="AD571" s="126"/>
      <c r="AP571" s="126"/>
      <c r="AZ571" s="126"/>
      <c r="BA571" s="126"/>
    </row>
    <row r="572" spans="5:53" x14ac:dyDescent="0.3">
      <c r="E572" s="126"/>
      <c r="F572" s="126"/>
      <c r="G572" s="126"/>
      <c r="Q572" s="126"/>
      <c r="T572" s="126"/>
      <c r="AD572" s="126"/>
      <c r="AP572" s="126"/>
      <c r="AZ572" s="126"/>
      <c r="BA572" s="126"/>
    </row>
    <row r="573" spans="5:53" x14ac:dyDescent="0.3">
      <c r="E573" s="126"/>
      <c r="F573" s="126"/>
      <c r="G573" s="126"/>
      <c r="Q573" s="126"/>
      <c r="T573" s="126"/>
      <c r="AD573" s="126"/>
      <c r="AP573" s="126"/>
      <c r="AZ573" s="126"/>
      <c r="BA573" s="126"/>
    </row>
    <row r="574" spans="5:53" x14ac:dyDescent="0.3">
      <c r="E574" s="126"/>
      <c r="F574" s="126"/>
      <c r="G574" s="126"/>
      <c r="Q574" s="126"/>
      <c r="T574" s="126"/>
      <c r="AD574" s="126"/>
      <c r="AP574" s="126"/>
      <c r="AZ574" s="126"/>
      <c r="BA574" s="126"/>
    </row>
    <row r="575" spans="5:53" x14ac:dyDescent="0.3">
      <c r="E575" s="126"/>
      <c r="F575" s="126"/>
      <c r="G575" s="126"/>
      <c r="Q575" s="126"/>
      <c r="T575" s="126"/>
      <c r="AD575" s="126"/>
      <c r="AP575" s="126"/>
      <c r="AZ575" s="126"/>
      <c r="BA575" s="126"/>
    </row>
    <row r="576" spans="5:53" x14ac:dyDescent="0.3">
      <c r="E576" s="126"/>
      <c r="F576" s="126"/>
      <c r="G576" s="126"/>
      <c r="Q576" s="126"/>
      <c r="T576" s="126"/>
      <c r="AD576" s="126"/>
      <c r="AP576" s="126"/>
      <c r="AZ576" s="126"/>
      <c r="BA576" s="126"/>
    </row>
    <row r="577" spans="5:53" x14ac:dyDescent="0.3">
      <c r="E577" s="126"/>
      <c r="F577" s="126"/>
      <c r="G577" s="126"/>
      <c r="Q577" s="126"/>
      <c r="T577" s="126"/>
      <c r="AD577" s="126"/>
      <c r="AP577" s="126"/>
      <c r="AZ577" s="126"/>
      <c r="BA577" s="126"/>
    </row>
    <row r="578" spans="5:53" x14ac:dyDescent="0.3">
      <c r="E578" s="126"/>
      <c r="F578" s="126"/>
      <c r="G578" s="126"/>
      <c r="Q578" s="126"/>
      <c r="T578" s="126"/>
      <c r="AD578" s="126"/>
      <c r="AP578" s="126"/>
      <c r="AZ578" s="126"/>
      <c r="BA578" s="126"/>
    </row>
    <row r="579" spans="5:53" x14ac:dyDescent="0.3">
      <c r="E579" s="126"/>
      <c r="F579" s="126"/>
      <c r="G579" s="126"/>
      <c r="Q579" s="126"/>
      <c r="T579" s="126"/>
      <c r="AD579" s="126"/>
      <c r="AP579" s="126"/>
      <c r="AZ579" s="126"/>
      <c r="BA579" s="126"/>
    </row>
    <row r="580" spans="5:53" x14ac:dyDescent="0.3">
      <c r="E580" s="126"/>
      <c r="F580" s="126"/>
      <c r="G580" s="126"/>
      <c r="Q580" s="126"/>
      <c r="T580" s="126"/>
      <c r="AD580" s="126"/>
      <c r="AP580" s="126"/>
      <c r="AZ580" s="126"/>
      <c r="BA580" s="126"/>
    </row>
    <row r="581" spans="5:53" x14ac:dyDescent="0.3">
      <c r="E581" s="126"/>
      <c r="F581" s="126"/>
      <c r="G581" s="126"/>
      <c r="Q581" s="126"/>
      <c r="T581" s="126"/>
      <c r="AD581" s="126"/>
      <c r="AP581" s="126"/>
      <c r="AZ581" s="126"/>
      <c r="BA581" s="126"/>
    </row>
    <row r="582" spans="5:53" x14ac:dyDescent="0.3">
      <c r="E582" s="126"/>
      <c r="F582" s="126"/>
      <c r="G582" s="126"/>
      <c r="Q582" s="126"/>
      <c r="T582" s="126"/>
      <c r="AD582" s="126"/>
      <c r="AP582" s="126"/>
      <c r="AZ582" s="126"/>
      <c r="BA582" s="126"/>
    </row>
    <row r="583" spans="5:53" x14ac:dyDescent="0.3">
      <c r="E583" s="126"/>
      <c r="F583" s="126"/>
      <c r="G583" s="126"/>
      <c r="Q583" s="126"/>
      <c r="T583" s="126"/>
      <c r="AD583" s="126"/>
      <c r="AP583" s="126"/>
      <c r="AZ583" s="126"/>
      <c r="BA583" s="126"/>
    </row>
    <row r="584" spans="5:53" x14ac:dyDescent="0.3">
      <c r="E584" s="126"/>
      <c r="F584" s="126"/>
      <c r="G584" s="126"/>
      <c r="Q584" s="126"/>
      <c r="T584" s="126"/>
      <c r="AD584" s="126"/>
      <c r="AP584" s="126"/>
      <c r="AZ584" s="126"/>
      <c r="BA584" s="126"/>
    </row>
    <row r="585" spans="5:53" x14ac:dyDescent="0.3">
      <c r="E585" s="126"/>
      <c r="F585" s="126"/>
      <c r="G585" s="126"/>
      <c r="Q585" s="126"/>
      <c r="T585" s="126"/>
      <c r="AD585" s="126"/>
      <c r="AP585" s="126"/>
      <c r="AZ585" s="126"/>
      <c r="BA585" s="126"/>
    </row>
    <row r="586" spans="5:53" x14ac:dyDescent="0.3">
      <c r="E586" s="126"/>
      <c r="F586" s="126"/>
      <c r="G586" s="126"/>
      <c r="Q586" s="126"/>
      <c r="T586" s="126"/>
      <c r="AD586" s="126"/>
      <c r="AP586" s="126"/>
      <c r="AZ586" s="126"/>
      <c r="BA586" s="126"/>
    </row>
    <row r="587" spans="5:53" x14ac:dyDescent="0.3">
      <c r="E587" s="126"/>
      <c r="F587" s="126"/>
      <c r="G587" s="126"/>
      <c r="Q587" s="126"/>
      <c r="T587" s="126"/>
      <c r="AD587" s="126"/>
      <c r="AP587" s="126"/>
      <c r="AZ587" s="126"/>
      <c r="BA587" s="126"/>
    </row>
    <row r="588" spans="5:53" x14ac:dyDescent="0.3">
      <c r="E588" s="126"/>
      <c r="F588" s="126"/>
      <c r="G588" s="126"/>
      <c r="Q588" s="126"/>
      <c r="T588" s="126"/>
      <c r="AD588" s="126"/>
      <c r="AP588" s="126"/>
      <c r="AZ588" s="126"/>
      <c r="BA588" s="126"/>
    </row>
    <row r="589" spans="5:53" x14ac:dyDescent="0.3">
      <c r="E589" s="126"/>
      <c r="F589" s="126"/>
      <c r="G589" s="126"/>
      <c r="Q589" s="126"/>
      <c r="T589" s="126"/>
      <c r="AD589" s="126"/>
      <c r="AP589" s="126"/>
      <c r="AZ589" s="126"/>
      <c r="BA589" s="126"/>
    </row>
    <row r="590" spans="5:53" x14ac:dyDescent="0.3">
      <c r="E590" s="126"/>
      <c r="F590" s="126"/>
      <c r="G590" s="126"/>
      <c r="Q590" s="126"/>
      <c r="T590" s="126"/>
      <c r="AD590" s="126"/>
      <c r="AP590" s="126"/>
      <c r="AZ590" s="126"/>
      <c r="BA590" s="126"/>
    </row>
    <row r="591" spans="5:53" x14ac:dyDescent="0.3">
      <c r="E591" s="126"/>
      <c r="F591" s="126"/>
      <c r="G591" s="126"/>
      <c r="Q591" s="126"/>
      <c r="T591" s="126"/>
      <c r="AD591" s="126"/>
      <c r="AP591" s="126"/>
      <c r="AZ591" s="126"/>
      <c r="BA591" s="126"/>
    </row>
    <row r="592" spans="5:53" x14ac:dyDescent="0.3">
      <c r="E592" s="126"/>
      <c r="F592" s="126"/>
      <c r="G592" s="126"/>
      <c r="Q592" s="126"/>
      <c r="T592" s="126"/>
      <c r="AD592" s="126"/>
      <c r="AP592" s="126"/>
      <c r="AZ592" s="126"/>
      <c r="BA592" s="126"/>
    </row>
    <row r="593" spans="5:53" x14ac:dyDescent="0.3">
      <c r="E593" s="126"/>
      <c r="F593" s="126"/>
      <c r="G593" s="126"/>
      <c r="Q593" s="126"/>
      <c r="T593" s="126"/>
      <c r="AD593" s="126"/>
      <c r="AP593" s="126"/>
      <c r="AZ593" s="126"/>
      <c r="BA593" s="126"/>
    </row>
    <row r="594" spans="5:53" x14ac:dyDescent="0.3">
      <c r="E594" s="126"/>
      <c r="F594" s="126"/>
      <c r="G594" s="126"/>
      <c r="Q594" s="126"/>
      <c r="T594" s="126"/>
      <c r="AZ594" s="126"/>
      <c r="BA594" s="126"/>
    </row>
    <row r="595" spans="5:53" x14ac:dyDescent="0.3">
      <c r="E595" s="126"/>
      <c r="F595" s="126"/>
      <c r="G595" s="126"/>
      <c r="Q595" s="126"/>
      <c r="T595" s="126"/>
      <c r="AZ595" s="126"/>
      <c r="BA595" s="126"/>
    </row>
    <row r="596" spans="5:53" x14ac:dyDescent="0.3">
      <c r="E596" s="126"/>
      <c r="F596" s="126"/>
      <c r="G596" s="126"/>
      <c r="Q596" s="126"/>
      <c r="T596" s="126"/>
      <c r="AZ596" s="126"/>
      <c r="BA596" s="126"/>
    </row>
    <row r="597" spans="5:53" x14ac:dyDescent="0.3">
      <c r="E597" s="126"/>
      <c r="F597" s="126"/>
      <c r="G597" s="126"/>
      <c r="Q597" s="126"/>
      <c r="T597" s="126"/>
      <c r="AZ597" s="126"/>
      <c r="BA597" s="126"/>
    </row>
    <row r="598" spans="5:53" x14ac:dyDescent="0.3">
      <c r="E598" s="126"/>
      <c r="F598" s="126"/>
      <c r="G598" s="126"/>
      <c r="Q598" s="126"/>
      <c r="T598" s="126"/>
      <c r="AZ598" s="126"/>
      <c r="BA598" s="126"/>
    </row>
    <row r="599" spans="5:53" x14ac:dyDescent="0.3">
      <c r="E599" s="126"/>
      <c r="F599" s="126"/>
      <c r="G599" s="126"/>
      <c r="Q599" s="126"/>
      <c r="T599" s="126"/>
      <c r="AZ599" s="126"/>
      <c r="BA599" s="126"/>
    </row>
    <row r="600" spans="5:53" x14ac:dyDescent="0.3">
      <c r="E600" s="126"/>
      <c r="F600" s="126"/>
      <c r="G600" s="126"/>
      <c r="Q600" s="126"/>
      <c r="T600" s="126"/>
      <c r="AZ600" s="126"/>
      <c r="BA600" s="126"/>
    </row>
    <row r="601" spans="5:53" x14ac:dyDescent="0.3">
      <c r="E601" s="126"/>
      <c r="F601" s="126"/>
      <c r="G601" s="126"/>
      <c r="Q601" s="126"/>
      <c r="T601" s="126"/>
      <c r="AZ601" s="126"/>
      <c r="BA601" s="126"/>
    </row>
    <row r="602" spans="5:53" x14ac:dyDescent="0.3">
      <c r="E602" s="126"/>
      <c r="F602" s="126"/>
      <c r="G602" s="126"/>
      <c r="Q602" s="126"/>
      <c r="T602" s="126"/>
      <c r="AZ602" s="126"/>
      <c r="BA602" s="126"/>
    </row>
    <row r="603" spans="5:53" x14ac:dyDescent="0.3">
      <c r="E603" s="126"/>
      <c r="F603" s="126"/>
      <c r="G603" s="126"/>
      <c r="Q603" s="126"/>
      <c r="T603" s="126"/>
      <c r="AZ603" s="126"/>
      <c r="BA603" s="126"/>
    </row>
    <row r="604" spans="5:53" x14ac:dyDescent="0.3">
      <c r="E604" s="126"/>
      <c r="F604" s="126"/>
      <c r="G604" s="126"/>
      <c r="Q604" s="126"/>
      <c r="T604" s="126"/>
      <c r="AZ604" s="126"/>
      <c r="BA604" s="126"/>
    </row>
    <row r="605" spans="5:53" x14ac:dyDescent="0.3">
      <c r="E605" s="126"/>
      <c r="F605" s="126"/>
      <c r="G605" s="126"/>
      <c r="Q605" s="126"/>
      <c r="T605" s="126"/>
      <c r="AZ605" s="126"/>
      <c r="BA605" s="126"/>
    </row>
    <row r="606" spans="5:53" x14ac:dyDescent="0.3">
      <c r="E606" s="126"/>
      <c r="F606" s="126"/>
      <c r="G606" s="126"/>
      <c r="Q606" s="126"/>
      <c r="T606" s="126"/>
      <c r="AZ606" s="126"/>
      <c r="BA606" s="126"/>
    </row>
    <row r="607" spans="5:53" x14ac:dyDescent="0.3">
      <c r="E607" s="126"/>
      <c r="F607" s="126"/>
      <c r="G607" s="126"/>
      <c r="Q607" s="126"/>
      <c r="T607" s="126"/>
      <c r="AZ607" s="126"/>
      <c r="BA607" s="126"/>
    </row>
    <row r="608" spans="5:53" x14ac:dyDescent="0.3">
      <c r="E608" s="126"/>
      <c r="F608" s="126"/>
      <c r="G608" s="126"/>
      <c r="Q608" s="126"/>
      <c r="T608" s="126"/>
      <c r="AZ608" s="126"/>
      <c r="BA608" s="126"/>
    </row>
    <row r="609" spans="5:53" x14ac:dyDescent="0.3">
      <c r="E609" s="126"/>
      <c r="F609" s="126"/>
      <c r="G609" s="126"/>
      <c r="Q609" s="126"/>
      <c r="T609" s="126"/>
      <c r="AZ609" s="126"/>
      <c r="BA609" s="126"/>
    </row>
    <row r="610" spans="5:53" x14ac:dyDescent="0.3">
      <c r="E610" s="126"/>
      <c r="F610" s="126"/>
      <c r="G610" s="126"/>
      <c r="Q610" s="126"/>
      <c r="T610" s="126"/>
      <c r="AZ610" s="126"/>
      <c r="BA610" s="126"/>
    </row>
    <row r="611" spans="5:53" x14ac:dyDescent="0.3">
      <c r="E611" s="126"/>
      <c r="F611" s="126"/>
      <c r="G611" s="126"/>
      <c r="Q611" s="126"/>
      <c r="T611" s="126"/>
      <c r="AZ611" s="126"/>
      <c r="BA611" s="126"/>
    </row>
    <row r="612" spans="5:53" x14ac:dyDescent="0.3">
      <c r="E612" s="126"/>
      <c r="F612" s="126"/>
      <c r="G612" s="126"/>
      <c r="Q612" s="126"/>
      <c r="T612" s="126"/>
      <c r="AZ612" s="126"/>
      <c r="BA612" s="126"/>
    </row>
    <row r="613" spans="5:53" x14ac:dyDescent="0.3">
      <c r="E613" s="126"/>
      <c r="F613" s="126"/>
      <c r="G613" s="126"/>
      <c r="Q613" s="126"/>
      <c r="T613" s="126"/>
      <c r="AZ613" s="126"/>
      <c r="BA613" s="126"/>
    </row>
    <row r="614" spans="5:53" x14ac:dyDescent="0.3">
      <c r="E614" s="126"/>
      <c r="F614" s="126"/>
      <c r="G614" s="126"/>
      <c r="Q614" s="126"/>
      <c r="T614" s="126"/>
      <c r="AZ614" s="126"/>
      <c r="BA614" s="126"/>
    </row>
    <row r="615" spans="5:53" x14ac:dyDescent="0.3">
      <c r="E615" s="126"/>
      <c r="F615" s="126"/>
      <c r="G615" s="126"/>
      <c r="Q615" s="126"/>
      <c r="T615" s="126"/>
      <c r="AZ615" s="126"/>
      <c r="BA615" s="126"/>
    </row>
    <row r="616" spans="5:53" x14ac:dyDescent="0.3">
      <c r="E616" s="126"/>
      <c r="F616" s="126"/>
      <c r="G616" s="126"/>
      <c r="Q616" s="126"/>
      <c r="T616" s="126"/>
      <c r="AZ616" s="126"/>
      <c r="BA616" s="126"/>
    </row>
    <row r="617" spans="5:53" x14ac:dyDescent="0.3">
      <c r="E617" s="126"/>
      <c r="F617" s="126"/>
      <c r="G617" s="126"/>
      <c r="Q617" s="126"/>
      <c r="T617" s="126"/>
      <c r="AZ617" s="126"/>
      <c r="BA617" s="126"/>
    </row>
    <row r="618" spans="5:53" x14ac:dyDescent="0.3">
      <c r="E618" s="126"/>
      <c r="F618" s="126"/>
      <c r="G618" s="126"/>
      <c r="Q618" s="126"/>
      <c r="T618" s="126"/>
      <c r="AZ618" s="126"/>
      <c r="BA618" s="126"/>
    </row>
    <row r="619" spans="5:53" x14ac:dyDescent="0.3">
      <c r="E619" s="126"/>
      <c r="F619" s="126"/>
      <c r="G619" s="126"/>
      <c r="Q619" s="126"/>
      <c r="T619" s="126"/>
      <c r="AZ619" s="126"/>
      <c r="BA619" s="126"/>
    </row>
    <row r="620" spans="5:53" x14ac:dyDescent="0.3">
      <c r="E620" s="126"/>
      <c r="F620" s="126"/>
      <c r="G620" s="126"/>
      <c r="Q620" s="126"/>
      <c r="T620" s="126"/>
      <c r="AZ620" s="126"/>
      <c r="BA620" s="126"/>
    </row>
    <row r="621" spans="5:53" x14ac:dyDescent="0.3">
      <c r="E621" s="126"/>
      <c r="F621" s="126"/>
      <c r="G621" s="126"/>
      <c r="Q621" s="126"/>
      <c r="T621" s="126"/>
      <c r="AZ621" s="126"/>
      <c r="BA621" s="126"/>
    </row>
    <row r="622" spans="5:53" x14ac:dyDescent="0.3">
      <c r="E622" s="126"/>
      <c r="F622" s="126"/>
      <c r="G622" s="126"/>
      <c r="Q622" s="126"/>
      <c r="T622" s="126"/>
      <c r="AZ622" s="126"/>
      <c r="BA622" s="126"/>
    </row>
    <row r="623" spans="5:53" x14ac:dyDescent="0.3">
      <c r="E623" s="126"/>
      <c r="F623" s="126"/>
      <c r="G623" s="126"/>
      <c r="Q623" s="126"/>
      <c r="T623" s="126"/>
      <c r="AZ623" s="126"/>
      <c r="BA623" s="126"/>
    </row>
    <row r="624" spans="5:53" x14ac:dyDescent="0.3">
      <c r="E624" s="126"/>
      <c r="F624" s="126"/>
      <c r="G624" s="126"/>
      <c r="Q624" s="126"/>
      <c r="T624" s="126"/>
      <c r="AZ624" s="126"/>
      <c r="BA624" s="126"/>
    </row>
    <row r="625" spans="5:53" x14ac:dyDescent="0.3">
      <c r="E625" s="126"/>
      <c r="F625" s="126"/>
      <c r="G625" s="126"/>
      <c r="Q625" s="126"/>
      <c r="T625" s="126"/>
      <c r="AZ625" s="126"/>
      <c r="BA625" s="126"/>
    </row>
    <row r="626" spans="5:53" x14ac:dyDescent="0.3">
      <c r="E626" s="126"/>
      <c r="F626" s="126"/>
      <c r="G626" s="126"/>
      <c r="Q626" s="126"/>
      <c r="T626" s="126"/>
      <c r="AZ626" s="126"/>
      <c r="BA626" s="126"/>
    </row>
    <row r="627" spans="5:53" x14ac:dyDescent="0.3">
      <c r="E627" s="126"/>
      <c r="F627" s="126"/>
      <c r="G627" s="126"/>
      <c r="Q627" s="126"/>
      <c r="T627" s="126"/>
      <c r="AZ627" s="126"/>
      <c r="BA627" s="126"/>
    </row>
    <row r="628" spans="5:53" x14ac:dyDescent="0.3">
      <c r="E628" s="126"/>
      <c r="F628" s="126"/>
      <c r="G628" s="126"/>
      <c r="Q628" s="126"/>
      <c r="T628" s="126"/>
      <c r="AZ628" s="126"/>
      <c r="BA628" s="126"/>
    </row>
    <row r="629" spans="5:53" x14ac:dyDescent="0.3">
      <c r="E629" s="126"/>
      <c r="F629" s="126"/>
      <c r="G629" s="126"/>
      <c r="Q629" s="126"/>
      <c r="T629" s="126"/>
      <c r="AZ629" s="126"/>
      <c r="BA629" s="126"/>
    </row>
    <row r="630" spans="5:53" x14ac:dyDescent="0.3">
      <c r="E630" s="126"/>
      <c r="F630" s="126"/>
      <c r="G630" s="126"/>
      <c r="Q630" s="126"/>
      <c r="T630" s="126"/>
      <c r="AZ630" s="126"/>
      <c r="BA630" s="126"/>
    </row>
    <row r="631" spans="5:53" x14ac:dyDescent="0.3">
      <c r="E631" s="126"/>
      <c r="F631" s="126"/>
      <c r="G631" s="126"/>
      <c r="Q631" s="126"/>
      <c r="T631" s="126"/>
      <c r="AZ631" s="126"/>
      <c r="BA631" s="126"/>
    </row>
    <row r="632" spans="5:53" x14ac:dyDescent="0.3">
      <c r="E632" s="126"/>
      <c r="F632" s="126"/>
      <c r="G632" s="126"/>
      <c r="Q632" s="126"/>
      <c r="T632" s="126"/>
      <c r="AZ632" s="126"/>
      <c r="BA632" s="126"/>
    </row>
    <row r="633" spans="5:53" x14ac:dyDescent="0.3">
      <c r="E633" s="126"/>
      <c r="F633" s="126"/>
      <c r="G633" s="126"/>
      <c r="Q633" s="126"/>
      <c r="T633" s="126"/>
      <c r="AZ633" s="126"/>
      <c r="BA633" s="126"/>
    </row>
    <row r="634" spans="5:53" x14ac:dyDescent="0.3">
      <c r="E634" s="126"/>
      <c r="F634" s="126"/>
      <c r="G634" s="126"/>
      <c r="Q634" s="126"/>
      <c r="T634" s="126"/>
      <c r="AZ634" s="126"/>
      <c r="BA634" s="126"/>
    </row>
    <row r="635" spans="5:53" x14ac:dyDescent="0.3">
      <c r="E635" s="126"/>
      <c r="F635" s="126"/>
      <c r="G635" s="126"/>
      <c r="Q635" s="126"/>
      <c r="T635" s="126"/>
      <c r="AZ635" s="126"/>
      <c r="BA635" s="126"/>
    </row>
    <row r="636" spans="5:53" x14ac:dyDescent="0.3">
      <c r="E636" s="126"/>
      <c r="F636" s="126"/>
      <c r="G636" s="126"/>
      <c r="Q636" s="126"/>
      <c r="T636" s="126"/>
      <c r="AZ636" s="126"/>
      <c r="BA636" s="126"/>
    </row>
    <row r="637" spans="5:53" x14ac:dyDescent="0.3">
      <c r="E637" s="126"/>
      <c r="F637" s="126"/>
      <c r="G637" s="126"/>
      <c r="Q637" s="126"/>
      <c r="T637" s="126"/>
      <c r="AZ637" s="126"/>
      <c r="BA637" s="126"/>
    </row>
    <row r="638" spans="5:53" x14ac:dyDescent="0.3">
      <c r="E638" s="126"/>
      <c r="F638" s="126"/>
      <c r="G638" s="126"/>
      <c r="Q638" s="126"/>
      <c r="T638" s="126"/>
      <c r="AZ638" s="126"/>
      <c r="BA638" s="126"/>
    </row>
    <row r="639" spans="5:53" x14ac:dyDescent="0.3">
      <c r="E639" s="126"/>
      <c r="F639" s="126"/>
      <c r="G639" s="126"/>
      <c r="Q639" s="126"/>
      <c r="T639" s="126"/>
      <c r="AZ639" s="126"/>
      <c r="BA639" s="126"/>
    </row>
    <row r="640" spans="5:53" x14ac:dyDescent="0.3">
      <c r="E640" s="126"/>
      <c r="F640" s="126"/>
      <c r="G640" s="126"/>
      <c r="Q640" s="126"/>
      <c r="T640" s="126"/>
      <c r="AZ640" s="126"/>
      <c r="BA640" s="126"/>
    </row>
    <row r="641" spans="5:53" x14ac:dyDescent="0.3">
      <c r="E641" s="126"/>
      <c r="F641" s="126"/>
      <c r="G641" s="126"/>
      <c r="Q641" s="126"/>
      <c r="T641" s="126"/>
      <c r="AZ641" s="126"/>
      <c r="BA641" s="126"/>
    </row>
    <row r="642" spans="5:53" x14ac:dyDescent="0.3">
      <c r="E642" s="126"/>
      <c r="F642" s="126"/>
      <c r="G642" s="126"/>
      <c r="Q642" s="126"/>
      <c r="T642" s="126"/>
      <c r="AZ642" s="126"/>
      <c r="BA642" s="126"/>
    </row>
    <row r="643" spans="5:53" x14ac:dyDescent="0.3">
      <c r="E643" s="126"/>
      <c r="F643" s="126"/>
      <c r="G643" s="126"/>
      <c r="Q643" s="126"/>
      <c r="T643" s="126"/>
      <c r="AZ643" s="126"/>
      <c r="BA643" s="126"/>
    </row>
    <row r="644" spans="5:53" x14ac:dyDescent="0.3">
      <c r="E644" s="126"/>
      <c r="F644" s="126"/>
      <c r="G644" s="126"/>
      <c r="Q644" s="126"/>
      <c r="T644" s="126"/>
      <c r="AZ644" s="126"/>
      <c r="BA644" s="126"/>
    </row>
    <row r="645" spans="5:53" x14ac:dyDescent="0.3">
      <c r="E645" s="126"/>
      <c r="F645" s="126"/>
      <c r="G645" s="126"/>
      <c r="Q645" s="126"/>
      <c r="T645" s="126"/>
      <c r="AZ645" s="126"/>
      <c r="BA645" s="126"/>
    </row>
    <row r="646" spans="5:53" x14ac:dyDescent="0.3">
      <c r="E646" s="126"/>
      <c r="F646" s="126"/>
      <c r="G646" s="126"/>
      <c r="Q646" s="126"/>
      <c r="T646" s="126"/>
      <c r="AZ646" s="126"/>
      <c r="BA646" s="126"/>
    </row>
    <row r="647" spans="5:53" x14ac:dyDescent="0.3">
      <c r="E647" s="126"/>
      <c r="F647" s="126"/>
      <c r="G647" s="126"/>
      <c r="Q647" s="126"/>
      <c r="T647" s="126"/>
      <c r="AZ647" s="126"/>
      <c r="BA647" s="126"/>
    </row>
    <row r="648" spans="5:53" x14ac:dyDescent="0.3">
      <c r="E648" s="126"/>
      <c r="F648" s="126"/>
      <c r="G648" s="126"/>
      <c r="Q648" s="126"/>
      <c r="T648" s="126"/>
      <c r="AZ648" s="126"/>
      <c r="BA648" s="126"/>
    </row>
    <row r="649" spans="5:53" x14ac:dyDescent="0.3">
      <c r="E649" s="126"/>
      <c r="F649" s="126"/>
      <c r="G649" s="126"/>
      <c r="Q649" s="126"/>
      <c r="T649" s="126"/>
      <c r="AZ649" s="126"/>
      <c r="BA649" s="126"/>
    </row>
    <row r="650" spans="5:53" x14ac:dyDescent="0.3">
      <c r="E650" s="126"/>
      <c r="F650" s="126"/>
      <c r="G650" s="126"/>
      <c r="Q650" s="126"/>
      <c r="T650" s="126"/>
      <c r="AZ650" s="126"/>
      <c r="BA650" s="126"/>
    </row>
    <row r="651" spans="5:53" x14ac:dyDescent="0.3">
      <c r="E651" s="126"/>
      <c r="F651" s="126"/>
      <c r="G651" s="126"/>
      <c r="Q651" s="126"/>
      <c r="T651" s="126"/>
      <c r="AZ651" s="126"/>
      <c r="BA651" s="126"/>
    </row>
    <row r="652" spans="5:53" x14ac:dyDescent="0.3">
      <c r="E652" s="126"/>
      <c r="F652" s="126"/>
      <c r="G652" s="126"/>
      <c r="Q652" s="126"/>
      <c r="T652" s="126"/>
      <c r="AZ652" s="126"/>
      <c r="BA652" s="126"/>
    </row>
    <row r="653" spans="5:53" x14ac:dyDescent="0.3">
      <c r="E653" s="126"/>
      <c r="F653" s="126"/>
      <c r="G653" s="126"/>
      <c r="Q653" s="126"/>
      <c r="T653" s="126"/>
      <c r="AZ653" s="126"/>
      <c r="BA653" s="126"/>
    </row>
    <row r="654" spans="5:53" x14ac:dyDescent="0.3">
      <c r="E654" s="126"/>
      <c r="F654" s="126"/>
      <c r="G654" s="126"/>
      <c r="Q654" s="126"/>
      <c r="T654" s="126"/>
      <c r="AZ654" s="126"/>
      <c r="BA654" s="126"/>
    </row>
    <row r="655" spans="5:53" x14ac:dyDescent="0.3">
      <c r="E655" s="126"/>
      <c r="F655" s="126"/>
      <c r="G655" s="126"/>
      <c r="Q655" s="126"/>
      <c r="T655" s="126"/>
      <c r="AZ655" s="126"/>
      <c r="BA655" s="126"/>
    </row>
    <row r="656" spans="5:53" x14ac:dyDescent="0.3">
      <c r="E656" s="126"/>
      <c r="F656" s="126"/>
      <c r="G656" s="126"/>
      <c r="Q656" s="126"/>
      <c r="T656" s="126"/>
      <c r="AZ656" s="126"/>
      <c r="BA656" s="126"/>
    </row>
    <row r="657" spans="5:53" x14ac:dyDescent="0.3">
      <c r="E657" s="126"/>
      <c r="F657" s="126"/>
      <c r="G657" s="126"/>
      <c r="Q657" s="126"/>
      <c r="T657" s="126"/>
      <c r="AZ657" s="126"/>
      <c r="BA657" s="126"/>
    </row>
    <row r="658" spans="5:53" x14ac:dyDescent="0.3">
      <c r="E658" s="126"/>
      <c r="F658" s="126"/>
      <c r="G658" s="126"/>
      <c r="Q658" s="126"/>
      <c r="T658" s="126"/>
      <c r="AZ658" s="126"/>
      <c r="BA658" s="126"/>
    </row>
    <row r="659" spans="5:53" x14ac:dyDescent="0.3">
      <c r="E659" s="126"/>
      <c r="F659" s="126"/>
      <c r="G659" s="126"/>
      <c r="Q659" s="126"/>
      <c r="T659" s="126"/>
      <c r="AZ659" s="126"/>
      <c r="BA659" s="126"/>
    </row>
    <row r="660" spans="5:53" x14ac:dyDescent="0.3">
      <c r="E660" s="126"/>
      <c r="F660" s="126"/>
      <c r="G660" s="126"/>
      <c r="Q660" s="126"/>
      <c r="T660" s="126"/>
      <c r="AZ660" s="126"/>
      <c r="BA660" s="126"/>
    </row>
    <row r="661" spans="5:53" x14ac:dyDescent="0.3">
      <c r="E661" s="126"/>
      <c r="F661" s="126"/>
      <c r="G661" s="126"/>
      <c r="Q661" s="126"/>
      <c r="T661" s="126"/>
      <c r="AZ661" s="126"/>
      <c r="BA661" s="126"/>
    </row>
    <row r="662" spans="5:53" x14ac:dyDescent="0.3">
      <c r="E662" s="126"/>
      <c r="F662" s="126"/>
      <c r="G662" s="126"/>
      <c r="Q662" s="126"/>
      <c r="T662" s="126"/>
      <c r="AZ662" s="126"/>
      <c r="BA662" s="126"/>
    </row>
    <row r="663" spans="5:53" x14ac:dyDescent="0.3">
      <c r="E663" s="126"/>
      <c r="F663" s="126"/>
      <c r="G663" s="126"/>
      <c r="Q663" s="126"/>
      <c r="T663" s="126"/>
      <c r="AZ663" s="126"/>
      <c r="BA663" s="126"/>
    </row>
    <row r="664" spans="5:53" x14ac:dyDescent="0.3">
      <c r="E664" s="126"/>
      <c r="F664" s="126"/>
      <c r="G664" s="126"/>
      <c r="Q664" s="126"/>
      <c r="T664" s="126"/>
      <c r="AZ664" s="126"/>
      <c r="BA664" s="126"/>
    </row>
    <row r="665" spans="5:53" x14ac:dyDescent="0.3">
      <c r="E665" s="126"/>
      <c r="F665" s="126"/>
      <c r="G665" s="126"/>
      <c r="Q665" s="126"/>
      <c r="T665" s="126"/>
      <c r="AZ665" s="126"/>
      <c r="BA665" s="126"/>
    </row>
    <row r="666" spans="5:53" x14ac:dyDescent="0.3">
      <c r="E666" s="126"/>
      <c r="F666" s="126"/>
      <c r="G666" s="126"/>
      <c r="Q666" s="126"/>
      <c r="T666" s="126"/>
      <c r="AZ666" s="126"/>
      <c r="BA666" s="126"/>
    </row>
    <row r="667" spans="5:53" x14ac:dyDescent="0.3">
      <c r="E667" s="126"/>
      <c r="F667" s="126"/>
      <c r="G667" s="126"/>
      <c r="Q667" s="126"/>
      <c r="T667" s="126"/>
      <c r="AZ667" s="126"/>
      <c r="BA667" s="126"/>
    </row>
    <row r="668" spans="5:53" x14ac:dyDescent="0.3">
      <c r="E668" s="126"/>
      <c r="F668" s="126"/>
      <c r="G668" s="126"/>
      <c r="Q668" s="126"/>
      <c r="T668" s="126"/>
      <c r="AZ668" s="126"/>
      <c r="BA668" s="126"/>
    </row>
    <row r="669" spans="5:53" x14ac:dyDescent="0.3">
      <c r="E669" s="126"/>
      <c r="F669" s="126"/>
      <c r="G669" s="126"/>
      <c r="Q669" s="126"/>
      <c r="T669" s="126"/>
      <c r="AZ669" s="126"/>
      <c r="BA669" s="126"/>
    </row>
    <row r="670" spans="5:53" x14ac:dyDescent="0.3">
      <c r="E670" s="126"/>
      <c r="F670" s="126"/>
      <c r="G670" s="126"/>
      <c r="Q670" s="126"/>
      <c r="T670" s="126"/>
      <c r="AZ670" s="126"/>
      <c r="BA670" s="126"/>
    </row>
    <row r="671" spans="5:53" x14ac:dyDescent="0.3">
      <c r="E671" s="126"/>
      <c r="F671" s="126"/>
      <c r="G671" s="126"/>
      <c r="Q671" s="126"/>
      <c r="T671" s="126"/>
      <c r="AZ671" s="126"/>
      <c r="BA671" s="126"/>
    </row>
    <row r="672" spans="5:53" x14ac:dyDescent="0.3">
      <c r="E672" s="126"/>
      <c r="F672" s="126"/>
      <c r="G672" s="126"/>
      <c r="Q672" s="126"/>
      <c r="T672" s="126"/>
      <c r="AZ672" s="126"/>
      <c r="BA672" s="126"/>
    </row>
    <row r="673" spans="5:53" x14ac:dyDescent="0.3">
      <c r="E673" s="126"/>
      <c r="F673" s="126"/>
      <c r="G673" s="126"/>
      <c r="Q673" s="126"/>
      <c r="T673" s="126"/>
      <c r="AZ673" s="126"/>
      <c r="BA673" s="126"/>
    </row>
    <row r="674" spans="5:53" x14ac:dyDescent="0.3">
      <c r="E674" s="126"/>
      <c r="F674" s="126"/>
      <c r="G674" s="126"/>
      <c r="Q674" s="126"/>
      <c r="T674" s="126"/>
      <c r="AZ674" s="126"/>
      <c r="BA674" s="126"/>
    </row>
    <row r="675" spans="5:53" x14ac:dyDescent="0.3">
      <c r="E675" s="126"/>
      <c r="F675" s="126"/>
      <c r="G675" s="126"/>
      <c r="Q675" s="126"/>
      <c r="T675" s="126"/>
      <c r="AZ675" s="126"/>
      <c r="BA675" s="126"/>
    </row>
    <row r="676" spans="5:53" x14ac:dyDescent="0.3">
      <c r="E676" s="126"/>
      <c r="F676" s="126"/>
      <c r="G676" s="126"/>
      <c r="Q676" s="126"/>
      <c r="T676" s="126"/>
      <c r="AZ676" s="126"/>
      <c r="BA676" s="126"/>
    </row>
    <row r="677" spans="5:53" x14ac:dyDescent="0.3">
      <c r="E677" s="126"/>
      <c r="F677" s="126"/>
      <c r="G677" s="126"/>
      <c r="Q677" s="126"/>
      <c r="T677" s="126"/>
      <c r="AZ677" s="126"/>
      <c r="BA677" s="126"/>
    </row>
    <row r="678" spans="5:53" x14ac:dyDescent="0.3">
      <c r="E678" s="126"/>
      <c r="F678" s="126"/>
      <c r="G678" s="126"/>
      <c r="Q678" s="126"/>
      <c r="T678" s="126"/>
      <c r="AZ678" s="126"/>
      <c r="BA678" s="126"/>
    </row>
    <row r="679" spans="5:53" x14ac:dyDescent="0.3">
      <c r="E679" s="126"/>
      <c r="F679" s="126"/>
      <c r="G679" s="126"/>
      <c r="Q679" s="126"/>
      <c r="T679" s="126"/>
      <c r="AZ679" s="126"/>
      <c r="BA679" s="126"/>
    </row>
    <row r="680" spans="5:53" x14ac:dyDescent="0.3">
      <c r="E680" s="126"/>
      <c r="F680" s="126"/>
      <c r="G680" s="126"/>
      <c r="Q680" s="126"/>
      <c r="T680" s="126"/>
      <c r="AZ680" s="126"/>
      <c r="BA680" s="126"/>
    </row>
    <row r="681" spans="5:53" x14ac:dyDescent="0.3">
      <c r="E681" s="126"/>
      <c r="F681" s="126"/>
      <c r="G681" s="126"/>
      <c r="Q681" s="126"/>
      <c r="T681" s="126"/>
      <c r="AZ681" s="126"/>
      <c r="BA681" s="126"/>
    </row>
    <row r="682" spans="5:53" x14ac:dyDescent="0.3">
      <c r="E682" s="126"/>
      <c r="F682" s="126"/>
      <c r="G682" s="126"/>
      <c r="Q682" s="126"/>
      <c r="T682" s="126"/>
      <c r="AZ682" s="126"/>
      <c r="BA682" s="126"/>
    </row>
    <row r="683" spans="5:53" x14ac:dyDescent="0.3">
      <c r="E683" s="126"/>
      <c r="F683" s="126"/>
      <c r="G683" s="126"/>
      <c r="Q683" s="126"/>
      <c r="T683" s="126"/>
      <c r="AZ683" s="126"/>
      <c r="BA683" s="126"/>
    </row>
    <row r="684" spans="5:53" x14ac:dyDescent="0.3">
      <c r="E684" s="126"/>
      <c r="F684" s="126"/>
      <c r="G684" s="126"/>
      <c r="Q684" s="126"/>
      <c r="T684" s="126"/>
      <c r="AZ684" s="126"/>
      <c r="BA684" s="126"/>
    </row>
    <row r="685" spans="5:53" x14ac:dyDescent="0.3">
      <c r="E685" s="126"/>
      <c r="F685" s="126"/>
      <c r="G685" s="126"/>
      <c r="Q685" s="126"/>
      <c r="T685" s="126"/>
      <c r="AZ685" s="126"/>
      <c r="BA685" s="126"/>
    </row>
    <row r="686" spans="5:53" x14ac:dyDescent="0.3">
      <c r="E686" s="126"/>
      <c r="F686" s="126"/>
      <c r="G686" s="126"/>
      <c r="Q686" s="126"/>
      <c r="T686" s="126"/>
      <c r="AZ686" s="126"/>
      <c r="BA686" s="126"/>
    </row>
    <row r="687" spans="5:53" x14ac:dyDescent="0.3">
      <c r="E687" s="126"/>
      <c r="F687" s="126"/>
      <c r="G687" s="126"/>
      <c r="Q687" s="126"/>
      <c r="T687" s="126"/>
      <c r="AZ687" s="126"/>
      <c r="BA687" s="126"/>
    </row>
    <row r="688" spans="5:53" x14ac:dyDescent="0.3">
      <c r="E688" s="126"/>
      <c r="F688" s="126"/>
      <c r="G688" s="126"/>
      <c r="Q688" s="126"/>
      <c r="T688" s="126"/>
      <c r="AZ688" s="126"/>
      <c r="BA688" s="126"/>
    </row>
    <row r="689" spans="5:53" x14ac:dyDescent="0.3">
      <c r="E689" s="126"/>
      <c r="F689" s="126"/>
      <c r="G689" s="126"/>
      <c r="Q689" s="126"/>
      <c r="T689" s="126"/>
      <c r="AZ689" s="126"/>
      <c r="BA689" s="126"/>
    </row>
    <row r="690" spans="5:53" x14ac:dyDescent="0.3">
      <c r="E690" s="126"/>
      <c r="F690" s="126"/>
      <c r="G690" s="126"/>
      <c r="Q690" s="126"/>
      <c r="T690" s="126"/>
      <c r="AZ690" s="126"/>
      <c r="BA690" s="126"/>
    </row>
    <row r="691" spans="5:53" x14ac:dyDescent="0.3">
      <c r="E691" s="126"/>
      <c r="F691" s="126"/>
      <c r="G691" s="126"/>
      <c r="Q691" s="126"/>
      <c r="T691" s="126"/>
      <c r="AZ691" s="126"/>
      <c r="BA691" s="126"/>
    </row>
    <row r="692" spans="5:53" x14ac:dyDescent="0.3">
      <c r="E692" s="126"/>
      <c r="F692" s="126"/>
      <c r="G692" s="126"/>
      <c r="Q692" s="126"/>
      <c r="T692" s="126"/>
      <c r="AZ692" s="126"/>
      <c r="BA692" s="126"/>
    </row>
    <row r="693" spans="5:53" x14ac:dyDescent="0.3">
      <c r="E693" s="126"/>
      <c r="F693" s="126"/>
      <c r="G693" s="126"/>
      <c r="Q693" s="126"/>
      <c r="T693" s="126"/>
      <c r="AZ693" s="126"/>
      <c r="BA693" s="126"/>
    </row>
    <row r="694" spans="5:53" x14ac:dyDescent="0.3">
      <c r="E694" s="126"/>
      <c r="F694" s="126"/>
      <c r="G694" s="126"/>
      <c r="Q694" s="126"/>
      <c r="T694" s="126"/>
      <c r="AZ694" s="126"/>
      <c r="BA694" s="126"/>
    </row>
    <row r="695" spans="5:53" x14ac:dyDescent="0.3">
      <c r="E695" s="126"/>
      <c r="F695" s="126"/>
      <c r="G695" s="126"/>
      <c r="Q695" s="126"/>
      <c r="T695" s="126"/>
      <c r="AZ695" s="126"/>
      <c r="BA695" s="126"/>
    </row>
    <row r="696" spans="5:53" x14ac:dyDescent="0.3">
      <c r="E696" s="126"/>
      <c r="F696" s="126"/>
      <c r="G696" s="126"/>
      <c r="Q696" s="126"/>
      <c r="T696" s="126"/>
      <c r="AZ696" s="126"/>
      <c r="BA696" s="126"/>
    </row>
    <row r="697" spans="5:53" x14ac:dyDescent="0.3">
      <c r="E697" s="126"/>
      <c r="F697" s="126"/>
      <c r="G697" s="126"/>
      <c r="Q697" s="126"/>
      <c r="T697" s="126"/>
      <c r="AZ697" s="126"/>
      <c r="BA697" s="126"/>
    </row>
    <row r="698" spans="5:53" x14ac:dyDescent="0.3">
      <c r="E698" s="126"/>
      <c r="F698" s="126"/>
      <c r="G698" s="126"/>
      <c r="Q698" s="126"/>
      <c r="T698" s="126"/>
      <c r="AZ698" s="126"/>
      <c r="BA698" s="126"/>
    </row>
    <row r="699" spans="5:53" x14ac:dyDescent="0.3">
      <c r="E699" s="126"/>
      <c r="F699" s="126"/>
      <c r="G699" s="126"/>
      <c r="Q699" s="126"/>
      <c r="T699" s="126"/>
      <c r="AZ699" s="126"/>
      <c r="BA699" s="126"/>
    </row>
    <row r="700" spans="5:53" x14ac:dyDescent="0.3">
      <c r="E700" s="126"/>
      <c r="F700" s="126"/>
      <c r="G700" s="126"/>
      <c r="Q700" s="126"/>
      <c r="T700" s="126"/>
      <c r="AZ700" s="126"/>
      <c r="BA700" s="126"/>
    </row>
    <row r="701" spans="5:53" x14ac:dyDescent="0.3">
      <c r="E701" s="126"/>
      <c r="F701" s="126"/>
      <c r="G701" s="126"/>
      <c r="Q701" s="126"/>
      <c r="T701" s="126"/>
      <c r="AZ701" s="126"/>
      <c r="BA701" s="126"/>
    </row>
    <row r="702" spans="5:53" x14ac:dyDescent="0.3">
      <c r="E702" s="126"/>
      <c r="F702" s="126"/>
      <c r="G702" s="126"/>
      <c r="Q702" s="126"/>
      <c r="T702" s="126"/>
      <c r="AZ702" s="126"/>
      <c r="BA702" s="126"/>
    </row>
    <row r="703" spans="5:53" x14ac:dyDescent="0.3">
      <c r="E703" s="126"/>
      <c r="F703" s="126"/>
      <c r="G703" s="126"/>
      <c r="Q703" s="126"/>
      <c r="T703" s="126"/>
      <c r="AZ703" s="126"/>
      <c r="BA703" s="126"/>
    </row>
    <row r="704" spans="5:53" x14ac:dyDescent="0.3">
      <c r="E704" s="126"/>
      <c r="F704" s="126"/>
      <c r="G704" s="126"/>
      <c r="Q704" s="126"/>
      <c r="T704" s="126"/>
      <c r="AZ704" s="126"/>
      <c r="BA704" s="126"/>
    </row>
    <row r="705" spans="5:53" x14ac:dyDescent="0.3">
      <c r="E705" s="126"/>
      <c r="F705" s="126"/>
      <c r="G705" s="126"/>
      <c r="Q705" s="126"/>
      <c r="T705" s="126"/>
      <c r="AZ705" s="126"/>
      <c r="BA705" s="126"/>
    </row>
    <row r="706" spans="5:53" x14ac:dyDescent="0.3">
      <c r="E706" s="126"/>
      <c r="F706" s="126"/>
      <c r="G706" s="126"/>
      <c r="Q706" s="126"/>
      <c r="T706" s="126"/>
      <c r="AZ706" s="126"/>
      <c r="BA706" s="126"/>
    </row>
    <row r="707" spans="5:53" x14ac:dyDescent="0.3">
      <c r="E707" s="126"/>
      <c r="F707" s="126"/>
      <c r="G707" s="126"/>
      <c r="Q707" s="126"/>
      <c r="T707" s="126"/>
      <c r="AZ707" s="126"/>
      <c r="BA707" s="126"/>
    </row>
    <row r="708" spans="5:53" x14ac:dyDescent="0.3">
      <c r="E708" s="126"/>
      <c r="F708" s="126"/>
      <c r="G708" s="126"/>
      <c r="Q708" s="126"/>
      <c r="T708" s="126"/>
      <c r="AZ708" s="126"/>
      <c r="BA708" s="126"/>
    </row>
    <row r="709" spans="5:53" x14ac:dyDescent="0.3">
      <c r="E709" s="126"/>
      <c r="F709" s="126"/>
      <c r="G709" s="126"/>
      <c r="Q709" s="126"/>
      <c r="T709" s="126"/>
      <c r="AZ709" s="126"/>
      <c r="BA709" s="126"/>
    </row>
    <row r="710" spans="5:53" x14ac:dyDescent="0.3">
      <c r="E710" s="126"/>
      <c r="F710" s="126"/>
      <c r="G710" s="126"/>
      <c r="Q710" s="126"/>
      <c r="T710" s="126"/>
      <c r="AZ710" s="126"/>
      <c r="BA710" s="126"/>
    </row>
    <row r="711" spans="5:53" x14ac:dyDescent="0.3">
      <c r="E711" s="126"/>
      <c r="F711" s="126"/>
      <c r="G711" s="126"/>
      <c r="Q711" s="126"/>
      <c r="T711" s="126"/>
      <c r="AZ711" s="126"/>
      <c r="BA711" s="126"/>
    </row>
    <row r="712" spans="5:53" x14ac:dyDescent="0.3">
      <c r="E712" s="126"/>
      <c r="F712" s="126"/>
      <c r="G712" s="126"/>
      <c r="Q712" s="126"/>
      <c r="T712" s="126"/>
      <c r="AZ712" s="126"/>
      <c r="BA712" s="126"/>
    </row>
    <row r="713" spans="5:53" x14ac:dyDescent="0.3">
      <c r="E713" s="126"/>
      <c r="F713" s="126"/>
      <c r="G713" s="126"/>
      <c r="Q713" s="126"/>
      <c r="T713" s="126"/>
      <c r="AZ713" s="126"/>
      <c r="BA713" s="126"/>
    </row>
    <row r="714" spans="5:53" x14ac:dyDescent="0.3">
      <c r="E714" s="126"/>
      <c r="F714" s="126"/>
      <c r="G714" s="126"/>
      <c r="Q714" s="126"/>
      <c r="T714" s="126"/>
      <c r="AZ714" s="126"/>
      <c r="BA714" s="126"/>
    </row>
    <row r="715" spans="5:53" x14ac:dyDescent="0.3">
      <c r="E715" s="126"/>
      <c r="F715" s="126"/>
      <c r="G715" s="126"/>
      <c r="Q715" s="126"/>
      <c r="T715" s="126"/>
      <c r="AZ715" s="126"/>
      <c r="BA715" s="126"/>
    </row>
    <row r="716" spans="5:53" x14ac:dyDescent="0.3">
      <c r="E716" s="126"/>
      <c r="F716" s="126"/>
      <c r="G716" s="126"/>
      <c r="Q716" s="126"/>
      <c r="T716" s="126"/>
      <c r="AZ716" s="126"/>
      <c r="BA716" s="126"/>
    </row>
    <row r="717" spans="5:53" x14ac:dyDescent="0.3">
      <c r="E717" s="126"/>
      <c r="F717" s="126"/>
      <c r="G717" s="126"/>
      <c r="Q717" s="126"/>
      <c r="T717" s="126"/>
      <c r="AZ717" s="126"/>
      <c r="BA717" s="126"/>
    </row>
    <row r="718" spans="5:53" x14ac:dyDescent="0.3">
      <c r="E718" s="126"/>
      <c r="F718" s="126"/>
      <c r="G718" s="126"/>
      <c r="Q718" s="126"/>
      <c r="T718" s="126"/>
      <c r="AZ718" s="126"/>
      <c r="BA718" s="126"/>
    </row>
    <row r="719" spans="5:53" x14ac:dyDescent="0.3">
      <c r="E719" s="126"/>
      <c r="F719" s="126"/>
      <c r="G719" s="126"/>
      <c r="Q719" s="126"/>
      <c r="T719" s="126"/>
      <c r="AZ719" s="126"/>
      <c r="BA719" s="126"/>
    </row>
    <row r="720" spans="5:53" x14ac:dyDescent="0.3">
      <c r="E720" s="126"/>
      <c r="F720" s="126"/>
      <c r="G720" s="126"/>
      <c r="Q720" s="126"/>
      <c r="T720" s="126"/>
      <c r="AZ720" s="126"/>
      <c r="BA720" s="126"/>
    </row>
    <row r="721" spans="5:53" x14ac:dyDescent="0.3">
      <c r="E721" s="126"/>
      <c r="F721" s="126"/>
      <c r="G721" s="126"/>
      <c r="Q721" s="126"/>
      <c r="T721" s="126"/>
      <c r="AZ721" s="126"/>
      <c r="BA721" s="126"/>
    </row>
    <row r="722" spans="5:53" x14ac:dyDescent="0.3">
      <c r="E722" s="126"/>
      <c r="F722" s="126"/>
      <c r="G722" s="126"/>
      <c r="Q722" s="126"/>
      <c r="T722" s="126"/>
      <c r="AZ722" s="126"/>
      <c r="BA722" s="126"/>
    </row>
    <row r="723" spans="5:53" x14ac:dyDescent="0.3">
      <c r="E723" s="126"/>
      <c r="F723" s="126"/>
      <c r="G723" s="126"/>
      <c r="Q723" s="126"/>
      <c r="T723" s="126"/>
      <c r="AZ723" s="126"/>
      <c r="BA723" s="126"/>
    </row>
    <row r="724" spans="5:53" x14ac:dyDescent="0.3">
      <c r="E724" s="126"/>
      <c r="F724" s="126"/>
      <c r="G724" s="126"/>
      <c r="Q724" s="126"/>
      <c r="T724" s="126"/>
      <c r="AZ724" s="126"/>
      <c r="BA724" s="126"/>
    </row>
    <row r="725" spans="5:53" x14ac:dyDescent="0.3">
      <c r="E725" s="126"/>
      <c r="F725" s="126"/>
      <c r="G725" s="126"/>
      <c r="Q725" s="126"/>
      <c r="T725" s="126"/>
      <c r="AZ725" s="126"/>
      <c r="BA725" s="126"/>
    </row>
    <row r="726" spans="5:53" x14ac:dyDescent="0.3">
      <c r="E726" s="126"/>
      <c r="F726" s="126"/>
      <c r="G726" s="126"/>
      <c r="Q726" s="126"/>
      <c r="T726" s="126"/>
      <c r="AZ726" s="126"/>
      <c r="BA726" s="126"/>
    </row>
    <row r="727" spans="5:53" x14ac:dyDescent="0.3">
      <c r="E727" s="126"/>
      <c r="F727" s="126"/>
      <c r="G727" s="126"/>
      <c r="Q727" s="126"/>
      <c r="T727" s="126"/>
      <c r="AZ727" s="126"/>
      <c r="BA727" s="126"/>
    </row>
    <row r="728" spans="5:53" x14ac:dyDescent="0.3">
      <c r="E728" s="126"/>
      <c r="F728" s="126"/>
      <c r="G728" s="126"/>
      <c r="Q728" s="126"/>
      <c r="T728" s="126"/>
      <c r="AZ728" s="126"/>
      <c r="BA728" s="126"/>
    </row>
    <row r="729" spans="5:53" x14ac:dyDescent="0.3">
      <c r="E729" s="126"/>
      <c r="F729" s="126"/>
      <c r="G729" s="126"/>
      <c r="Q729" s="126"/>
      <c r="T729" s="126"/>
      <c r="AZ729" s="126"/>
      <c r="BA729" s="126"/>
    </row>
    <row r="730" spans="5:53" x14ac:dyDescent="0.3">
      <c r="E730" s="126"/>
      <c r="F730" s="126"/>
      <c r="G730" s="126"/>
      <c r="Q730" s="126"/>
      <c r="T730" s="126"/>
      <c r="AZ730" s="126"/>
      <c r="BA730" s="126"/>
    </row>
    <row r="731" spans="5:53" x14ac:dyDescent="0.3">
      <c r="E731" s="126"/>
      <c r="F731" s="126"/>
      <c r="G731" s="126"/>
      <c r="Q731" s="126"/>
      <c r="T731" s="126"/>
      <c r="AZ731" s="126"/>
      <c r="BA731" s="126"/>
    </row>
    <row r="732" spans="5:53" x14ac:dyDescent="0.3">
      <c r="E732" s="126"/>
      <c r="F732" s="126"/>
      <c r="G732" s="126"/>
      <c r="Q732" s="126"/>
      <c r="T732" s="126"/>
      <c r="AZ732" s="126"/>
      <c r="BA732" s="126"/>
    </row>
    <row r="733" spans="5:53" x14ac:dyDescent="0.3">
      <c r="E733" s="126"/>
      <c r="F733" s="126"/>
      <c r="G733" s="126"/>
      <c r="Q733" s="126"/>
      <c r="T733" s="126"/>
      <c r="AZ733" s="126"/>
      <c r="BA733" s="126"/>
    </row>
    <row r="734" spans="5:53" x14ac:dyDescent="0.3">
      <c r="E734" s="126"/>
      <c r="F734" s="126"/>
      <c r="G734" s="126"/>
      <c r="Q734" s="126"/>
      <c r="T734" s="126"/>
      <c r="AZ734" s="126"/>
      <c r="BA734" s="126"/>
    </row>
    <row r="735" spans="5:53" x14ac:dyDescent="0.3">
      <c r="E735" s="126"/>
      <c r="F735" s="126"/>
      <c r="G735" s="126"/>
      <c r="Q735" s="126"/>
      <c r="T735" s="126"/>
      <c r="AZ735" s="126"/>
      <c r="BA735" s="126"/>
    </row>
    <row r="736" spans="5:53" x14ac:dyDescent="0.3">
      <c r="E736" s="126"/>
      <c r="F736" s="126"/>
      <c r="G736" s="126"/>
      <c r="Q736" s="126"/>
      <c r="T736" s="126"/>
      <c r="AZ736" s="126"/>
      <c r="BA736" s="126"/>
    </row>
    <row r="737" spans="5:53" x14ac:dyDescent="0.3">
      <c r="E737" s="126"/>
      <c r="F737" s="126"/>
      <c r="G737" s="126"/>
      <c r="Q737" s="126"/>
      <c r="T737" s="126"/>
      <c r="AZ737" s="126"/>
      <c r="BA737" s="126"/>
    </row>
    <row r="738" spans="5:53" x14ac:dyDescent="0.3">
      <c r="E738" s="126"/>
      <c r="F738" s="126"/>
      <c r="G738" s="126"/>
      <c r="Q738" s="126"/>
      <c r="T738" s="126"/>
      <c r="AZ738" s="126"/>
      <c r="BA738" s="126"/>
    </row>
    <row r="739" spans="5:53" x14ac:dyDescent="0.3">
      <c r="E739" s="126"/>
      <c r="F739" s="126"/>
      <c r="G739" s="126"/>
      <c r="Q739" s="126"/>
      <c r="T739" s="126"/>
      <c r="AZ739" s="126"/>
      <c r="BA739" s="126"/>
    </row>
    <row r="740" spans="5:53" x14ac:dyDescent="0.3">
      <c r="E740" s="126"/>
      <c r="F740" s="126"/>
      <c r="G740" s="126"/>
      <c r="Q740" s="126"/>
      <c r="T740" s="126"/>
      <c r="AZ740" s="126"/>
      <c r="BA740" s="126"/>
    </row>
    <row r="741" spans="5:53" x14ac:dyDescent="0.3">
      <c r="E741" s="126"/>
      <c r="F741" s="126"/>
      <c r="G741" s="126"/>
      <c r="Q741" s="126"/>
      <c r="T741" s="126"/>
      <c r="AZ741" s="126"/>
      <c r="BA741" s="126"/>
    </row>
    <row r="742" spans="5:53" x14ac:dyDescent="0.3">
      <c r="E742" s="126"/>
      <c r="F742" s="126"/>
      <c r="G742" s="126"/>
      <c r="Q742" s="126"/>
      <c r="T742" s="126"/>
      <c r="AZ742" s="126"/>
      <c r="BA742" s="126"/>
    </row>
    <row r="743" spans="5:53" x14ac:dyDescent="0.3">
      <c r="E743" s="126"/>
      <c r="F743" s="126"/>
      <c r="G743" s="126"/>
      <c r="Q743" s="126"/>
      <c r="T743" s="126"/>
      <c r="AZ743" s="126"/>
      <c r="BA743" s="126"/>
    </row>
    <row r="744" spans="5:53" x14ac:dyDescent="0.3">
      <c r="E744" s="126"/>
      <c r="F744" s="126"/>
      <c r="G744" s="126"/>
      <c r="Q744" s="126"/>
      <c r="T744" s="126"/>
      <c r="AZ744" s="126"/>
      <c r="BA744" s="126"/>
    </row>
    <row r="745" spans="5:53" x14ac:dyDescent="0.3">
      <c r="E745" s="126"/>
      <c r="F745" s="126"/>
      <c r="G745" s="126"/>
      <c r="Q745" s="126"/>
      <c r="T745" s="126"/>
      <c r="AZ745" s="126"/>
      <c r="BA745" s="126"/>
    </row>
    <row r="746" spans="5:53" x14ac:dyDescent="0.3">
      <c r="E746" s="126"/>
      <c r="F746" s="126"/>
      <c r="G746" s="126"/>
      <c r="Q746" s="126"/>
      <c r="T746" s="126"/>
      <c r="AZ746" s="126"/>
      <c r="BA746" s="126"/>
    </row>
    <row r="747" spans="5:53" x14ac:dyDescent="0.3">
      <c r="E747" s="126"/>
      <c r="F747" s="126"/>
      <c r="G747" s="126"/>
      <c r="Q747" s="126"/>
      <c r="T747" s="126"/>
      <c r="AZ747" s="126"/>
      <c r="BA747" s="126"/>
    </row>
    <row r="748" spans="5:53" x14ac:dyDescent="0.3">
      <c r="E748" s="126"/>
      <c r="F748" s="126"/>
      <c r="G748" s="126"/>
      <c r="Q748" s="126"/>
      <c r="T748" s="126"/>
      <c r="AZ748" s="126"/>
      <c r="BA748" s="126"/>
    </row>
    <row r="749" spans="5:53" x14ac:dyDescent="0.3">
      <c r="E749" s="126"/>
      <c r="F749" s="126"/>
      <c r="G749" s="126"/>
      <c r="Q749" s="126"/>
      <c r="T749" s="126"/>
      <c r="AZ749" s="126"/>
      <c r="BA749" s="126"/>
    </row>
    <row r="750" spans="5:53" x14ac:dyDescent="0.3">
      <c r="E750" s="126"/>
      <c r="F750" s="126"/>
      <c r="G750" s="126"/>
      <c r="Q750" s="126"/>
      <c r="T750" s="126"/>
      <c r="AZ750" s="126"/>
      <c r="BA750" s="126"/>
    </row>
    <row r="751" spans="5:53" x14ac:dyDescent="0.3">
      <c r="E751" s="126"/>
      <c r="F751" s="126"/>
      <c r="G751" s="126"/>
      <c r="Q751" s="126"/>
      <c r="T751" s="126"/>
      <c r="AZ751" s="126"/>
      <c r="BA751" s="126"/>
    </row>
    <row r="752" spans="5:53" x14ac:dyDescent="0.3">
      <c r="E752" s="126"/>
      <c r="F752" s="126"/>
      <c r="G752" s="126"/>
      <c r="Q752" s="126"/>
      <c r="T752" s="126"/>
      <c r="AZ752" s="126"/>
      <c r="BA752" s="126"/>
    </row>
    <row r="753" spans="5:53" x14ac:dyDescent="0.3">
      <c r="E753" s="126"/>
      <c r="F753" s="126"/>
      <c r="G753" s="126"/>
      <c r="Q753" s="126"/>
      <c r="T753" s="126"/>
      <c r="AZ753" s="126"/>
      <c r="BA753" s="126"/>
    </row>
    <row r="754" spans="5:53" x14ac:dyDescent="0.3">
      <c r="E754" s="126"/>
      <c r="F754" s="126"/>
      <c r="G754" s="126"/>
      <c r="Q754" s="126"/>
      <c r="T754" s="126"/>
      <c r="AZ754" s="126"/>
      <c r="BA754" s="126"/>
    </row>
    <row r="755" spans="5:53" x14ac:dyDescent="0.3">
      <c r="E755" s="126"/>
      <c r="F755" s="126"/>
      <c r="G755" s="126"/>
      <c r="Q755" s="126"/>
      <c r="T755" s="126"/>
      <c r="AZ755" s="126"/>
      <c r="BA755" s="126"/>
    </row>
    <row r="756" spans="5:53" x14ac:dyDescent="0.3">
      <c r="E756" s="126"/>
      <c r="F756" s="126"/>
      <c r="G756" s="126"/>
      <c r="Q756" s="126"/>
      <c r="T756" s="126"/>
      <c r="AZ756" s="126"/>
      <c r="BA756" s="126"/>
    </row>
    <row r="757" spans="5:53" x14ac:dyDescent="0.3">
      <c r="E757" s="126"/>
      <c r="F757" s="126"/>
      <c r="G757" s="126"/>
      <c r="Q757" s="126"/>
      <c r="T757" s="126"/>
      <c r="AZ757" s="126"/>
      <c r="BA757" s="126"/>
    </row>
    <row r="758" spans="5:53" x14ac:dyDescent="0.3">
      <c r="E758" s="126"/>
      <c r="F758" s="126"/>
      <c r="G758" s="126"/>
      <c r="Q758" s="126"/>
      <c r="T758" s="126"/>
      <c r="AZ758" s="126"/>
      <c r="BA758" s="126"/>
    </row>
    <row r="759" spans="5:53" x14ac:dyDescent="0.3">
      <c r="E759" s="126"/>
      <c r="F759" s="126"/>
      <c r="G759" s="126"/>
      <c r="Q759" s="126"/>
      <c r="T759" s="126"/>
      <c r="AZ759" s="126"/>
      <c r="BA759" s="126"/>
    </row>
    <row r="760" spans="5:53" x14ac:dyDescent="0.3">
      <c r="E760" s="126"/>
      <c r="F760" s="126"/>
      <c r="G760" s="126"/>
      <c r="Q760" s="126"/>
      <c r="T760" s="126"/>
      <c r="AZ760" s="126"/>
      <c r="BA760" s="126"/>
    </row>
    <row r="761" spans="5:53" x14ac:dyDescent="0.3">
      <c r="E761" s="126"/>
      <c r="F761" s="126"/>
      <c r="G761" s="126"/>
      <c r="Q761" s="126"/>
      <c r="T761" s="126"/>
      <c r="AZ761" s="126"/>
      <c r="BA761" s="126"/>
    </row>
    <row r="762" spans="5:53" x14ac:dyDescent="0.3">
      <c r="E762" s="126"/>
      <c r="F762" s="126"/>
      <c r="G762" s="126"/>
      <c r="Q762" s="126"/>
      <c r="T762" s="126"/>
      <c r="AZ762" s="126"/>
      <c r="BA762" s="126"/>
    </row>
    <row r="763" spans="5:53" x14ac:dyDescent="0.3">
      <c r="E763" s="126"/>
      <c r="F763" s="126"/>
      <c r="G763" s="126"/>
      <c r="Q763" s="126"/>
      <c r="T763" s="126"/>
      <c r="AZ763" s="126"/>
      <c r="BA763" s="126"/>
    </row>
    <row r="764" spans="5:53" x14ac:dyDescent="0.3">
      <c r="E764" s="126"/>
      <c r="F764" s="126"/>
      <c r="G764" s="126"/>
      <c r="Q764" s="126"/>
      <c r="T764" s="126"/>
      <c r="AZ764" s="126"/>
      <c r="BA764" s="126"/>
    </row>
    <row r="765" spans="5:53" x14ac:dyDescent="0.3">
      <c r="E765" s="126"/>
      <c r="F765" s="126"/>
      <c r="G765" s="126"/>
      <c r="Q765" s="126"/>
      <c r="T765" s="126"/>
      <c r="AZ765" s="126"/>
      <c r="BA765" s="126"/>
    </row>
    <row r="766" spans="5:53" x14ac:dyDescent="0.3">
      <c r="E766" s="126"/>
      <c r="F766" s="126"/>
      <c r="G766" s="126"/>
      <c r="Q766" s="126"/>
      <c r="T766" s="126"/>
      <c r="AZ766" s="126"/>
      <c r="BA766" s="126"/>
    </row>
    <row r="767" spans="5:53" x14ac:dyDescent="0.3">
      <c r="E767" s="126"/>
      <c r="F767" s="126"/>
      <c r="G767" s="126"/>
      <c r="Q767" s="126"/>
      <c r="T767" s="126"/>
      <c r="AZ767" s="126"/>
      <c r="BA767" s="126"/>
    </row>
    <row r="768" spans="5:53" x14ac:dyDescent="0.3">
      <c r="E768" s="126"/>
      <c r="F768" s="126"/>
      <c r="G768" s="126"/>
      <c r="Q768" s="126"/>
      <c r="T768" s="126"/>
      <c r="AZ768" s="126"/>
      <c r="BA768" s="126"/>
    </row>
    <row r="769" spans="5:53" x14ac:dyDescent="0.3">
      <c r="E769" s="126"/>
      <c r="F769" s="126"/>
      <c r="G769" s="126"/>
      <c r="Q769" s="126"/>
      <c r="T769" s="126"/>
      <c r="AZ769" s="126"/>
      <c r="BA769" s="126"/>
    </row>
    <row r="770" spans="5:53" x14ac:dyDescent="0.3">
      <c r="E770" s="126"/>
      <c r="F770" s="126"/>
      <c r="G770" s="126"/>
      <c r="Q770" s="126"/>
      <c r="T770" s="126"/>
      <c r="AZ770" s="126"/>
      <c r="BA770" s="126"/>
    </row>
    <row r="771" spans="5:53" x14ac:dyDescent="0.3">
      <c r="E771" s="126"/>
      <c r="F771" s="126"/>
      <c r="G771" s="126"/>
      <c r="Q771" s="126"/>
      <c r="T771" s="126"/>
      <c r="AZ771" s="126"/>
      <c r="BA771" s="126"/>
    </row>
    <row r="772" spans="5:53" x14ac:dyDescent="0.3">
      <c r="E772" s="126"/>
      <c r="F772" s="126"/>
      <c r="G772" s="126"/>
      <c r="Q772" s="126"/>
      <c r="T772" s="126"/>
      <c r="AZ772" s="126"/>
      <c r="BA772" s="126"/>
    </row>
    <row r="773" spans="5:53" x14ac:dyDescent="0.3">
      <c r="E773" s="126"/>
      <c r="F773" s="126"/>
      <c r="G773" s="126"/>
      <c r="Q773" s="126"/>
      <c r="T773" s="126"/>
      <c r="AZ773" s="126"/>
      <c r="BA773" s="126"/>
    </row>
    <row r="774" spans="5:53" x14ac:dyDescent="0.3">
      <c r="E774" s="126"/>
      <c r="F774" s="126"/>
      <c r="G774" s="126"/>
      <c r="Q774" s="126"/>
      <c r="T774" s="126"/>
      <c r="AZ774" s="126"/>
      <c r="BA774" s="126"/>
    </row>
    <row r="775" spans="5:53" x14ac:dyDescent="0.3">
      <c r="E775" s="126"/>
      <c r="F775" s="126"/>
      <c r="G775" s="126"/>
      <c r="Q775" s="126"/>
      <c r="T775" s="126"/>
      <c r="AZ775" s="126"/>
      <c r="BA775" s="126"/>
    </row>
    <row r="776" spans="5:53" x14ac:dyDescent="0.3">
      <c r="E776" s="126"/>
      <c r="F776" s="126"/>
      <c r="G776" s="126"/>
      <c r="Q776" s="126"/>
      <c r="T776" s="126"/>
      <c r="AZ776" s="126"/>
      <c r="BA776" s="126"/>
    </row>
    <row r="777" spans="5:53" x14ac:dyDescent="0.3">
      <c r="E777" s="126"/>
      <c r="F777" s="126"/>
      <c r="G777" s="126"/>
      <c r="Q777" s="126"/>
      <c r="T777" s="126"/>
      <c r="AZ777" s="126"/>
      <c r="BA777" s="126"/>
    </row>
    <row r="778" spans="5:53" x14ac:dyDescent="0.3">
      <c r="E778" s="126"/>
      <c r="F778" s="126"/>
      <c r="G778" s="126"/>
      <c r="Q778" s="126"/>
      <c r="T778" s="126"/>
      <c r="AZ778" s="126"/>
      <c r="BA778" s="126"/>
    </row>
    <row r="779" spans="5:53" x14ac:dyDescent="0.3">
      <c r="E779" s="126"/>
      <c r="F779" s="126"/>
      <c r="G779" s="126"/>
      <c r="Q779" s="126"/>
      <c r="T779" s="126"/>
      <c r="AZ779" s="126"/>
      <c r="BA779" s="126"/>
    </row>
    <row r="780" spans="5:53" x14ac:dyDescent="0.3">
      <c r="E780" s="126"/>
      <c r="F780" s="126"/>
      <c r="G780" s="126"/>
      <c r="Q780" s="126"/>
      <c r="T780" s="126"/>
      <c r="AZ780" s="126"/>
      <c r="BA780" s="126"/>
    </row>
    <row r="781" spans="5:53" x14ac:dyDescent="0.3">
      <c r="E781" s="126"/>
      <c r="F781" s="126"/>
      <c r="G781" s="126"/>
      <c r="Q781" s="126"/>
      <c r="T781" s="126"/>
      <c r="AZ781" s="126"/>
      <c r="BA781" s="126"/>
    </row>
    <row r="782" spans="5:53" x14ac:dyDescent="0.3">
      <c r="E782" s="126"/>
      <c r="F782" s="126"/>
      <c r="G782" s="126"/>
      <c r="Q782" s="126"/>
      <c r="T782" s="126"/>
      <c r="AZ782" s="126"/>
      <c r="BA782" s="126"/>
    </row>
    <row r="783" spans="5:53" x14ac:dyDescent="0.3">
      <c r="E783" s="126"/>
      <c r="F783" s="126"/>
      <c r="G783" s="126"/>
      <c r="Q783" s="126"/>
      <c r="T783" s="126"/>
      <c r="AZ783" s="126"/>
      <c r="BA783" s="126"/>
    </row>
    <row r="784" spans="5:53" x14ac:dyDescent="0.3">
      <c r="E784" s="126"/>
      <c r="F784" s="126"/>
      <c r="G784" s="126"/>
      <c r="Q784" s="126"/>
      <c r="T784" s="126"/>
      <c r="AZ784" s="126"/>
      <c r="BA784" s="126"/>
    </row>
    <row r="785" spans="5:53" x14ac:dyDescent="0.3">
      <c r="E785" s="126"/>
      <c r="F785" s="126"/>
      <c r="G785" s="126"/>
      <c r="Q785" s="126"/>
      <c r="T785" s="126"/>
      <c r="AZ785" s="126"/>
      <c r="BA785" s="126"/>
    </row>
    <row r="786" spans="5:53" x14ac:dyDescent="0.3">
      <c r="E786" s="126"/>
      <c r="F786" s="126"/>
      <c r="G786" s="126"/>
      <c r="Q786" s="126"/>
      <c r="T786" s="126"/>
      <c r="AZ786" s="126"/>
      <c r="BA786" s="126"/>
    </row>
    <row r="787" spans="5:53" x14ac:dyDescent="0.3">
      <c r="E787" s="126"/>
      <c r="F787" s="126"/>
      <c r="G787" s="126"/>
      <c r="Q787" s="126"/>
      <c r="T787" s="126"/>
      <c r="AZ787" s="126"/>
      <c r="BA787" s="126"/>
    </row>
    <row r="788" spans="5:53" x14ac:dyDescent="0.3">
      <c r="E788" s="126"/>
      <c r="F788" s="126"/>
      <c r="G788" s="126"/>
      <c r="Q788" s="126"/>
      <c r="T788" s="126"/>
      <c r="AZ788" s="126"/>
      <c r="BA788" s="126"/>
    </row>
    <row r="789" spans="5:53" x14ac:dyDescent="0.3">
      <c r="E789" s="126"/>
      <c r="F789" s="126"/>
      <c r="G789" s="126"/>
      <c r="Q789" s="126"/>
      <c r="T789" s="126"/>
      <c r="AZ789" s="126"/>
      <c r="BA789" s="126"/>
    </row>
    <row r="790" spans="5:53" x14ac:dyDescent="0.3">
      <c r="E790" s="126"/>
      <c r="F790" s="126"/>
      <c r="G790" s="126"/>
      <c r="Q790" s="126"/>
      <c r="T790" s="126"/>
      <c r="AZ790" s="126"/>
      <c r="BA790" s="126"/>
    </row>
    <row r="791" spans="5:53" x14ac:dyDescent="0.3">
      <c r="E791" s="126"/>
      <c r="F791" s="126"/>
      <c r="G791" s="126"/>
      <c r="Q791" s="126"/>
      <c r="T791" s="126"/>
      <c r="AZ791" s="126"/>
      <c r="BA791" s="126"/>
    </row>
    <row r="792" spans="5:53" x14ac:dyDescent="0.3">
      <c r="E792" s="126"/>
      <c r="F792" s="126"/>
      <c r="G792" s="126"/>
      <c r="Q792" s="126"/>
      <c r="T792" s="126"/>
      <c r="AZ792" s="126"/>
      <c r="BA792" s="126"/>
    </row>
    <row r="793" spans="5:53" x14ac:dyDescent="0.3">
      <c r="E793" s="126"/>
      <c r="F793" s="126"/>
      <c r="G793" s="126"/>
      <c r="Q793" s="126"/>
      <c r="T793" s="126"/>
      <c r="AZ793" s="126"/>
      <c r="BA793" s="126"/>
    </row>
    <row r="794" spans="5:53" x14ac:dyDescent="0.3">
      <c r="E794" s="126"/>
      <c r="F794" s="126"/>
      <c r="G794" s="126"/>
      <c r="Q794" s="126"/>
      <c r="T794" s="126"/>
      <c r="AZ794" s="126"/>
      <c r="BA794" s="126"/>
    </row>
    <row r="795" spans="5:53" x14ac:dyDescent="0.3">
      <c r="E795" s="126"/>
      <c r="F795" s="126"/>
      <c r="G795" s="126"/>
      <c r="Q795" s="126"/>
      <c r="T795" s="126"/>
      <c r="AZ795" s="126"/>
      <c r="BA795" s="126"/>
    </row>
    <row r="796" spans="5:53" x14ac:dyDescent="0.3">
      <c r="E796" s="126"/>
      <c r="F796" s="126"/>
      <c r="G796" s="126"/>
      <c r="Q796" s="126"/>
      <c r="T796" s="126"/>
      <c r="AZ796" s="126"/>
      <c r="BA796" s="126"/>
    </row>
    <row r="797" spans="5:53" x14ac:dyDescent="0.3">
      <c r="E797" s="126"/>
      <c r="F797" s="126"/>
      <c r="G797" s="126"/>
      <c r="Q797" s="126"/>
      <c r="T797" s="126"/>
      <c r="AZ797" s="126"/>
      <c r="BA797" s="126"/>
    </row>
    <row r="798" spans="5:53" x14ac:dyDescent="0.3">
      <c r="E798" s="126"/>
      <c r="F798" s="126"/>
      <c r="G798" s="126"/>
      <c r="Q798" s="126"/>
      <c r="T798" s="126"/>
      <c r="AZ798" s="126"/>
      <c r="BA798" s="126"/>
    </row>
    <row r="799" spans="5:53" x14ac:dyDescent="0.3">
      <c r="E799" s="126"/>
      <c r="F799" s="126"/>
      <c r="G799" s="126"/>
      <c r="Q799" s="126"/>
      <c r="T799" s="126"/>
      <c r="AZ799" s="126"/>
      <c r="BA799" s="126"/>
    </row>
    <row r="800" spans="5:53" x14ac:dyDescent="0.3">
      <c r="E800" s="126"/>
      <c r="F800" s="126"/>
      <c r="G800" s="126"/>
      <c r="Q800" s="126"/>
      <c r="T800" s="126"/>
      <c r="AZ800" s="126"/>
      <c r="BA800" s="126"/>
    </row>
    <row r="801" spans="5:53" x14ac:dyDescent="0.3">
      <c r="E801" s="126"/>
      <c r="F801" s="126"/>
      <c r="G801" s="126"/>
      <c r="Q801" s="126"/>
      <c r="T801" s="126"/>
      <c r="AZ801" s="126"/>
      <c r="BA801" s="126"/>
    </row>
    <row r="802" spans="5:53" x14ac:dyDescent="0.3">
      <c r="E802" s="126"/>
      <c r="F802" s="126"/>
      <c r="G802" s="126"/>
      <c r="Q802" s="126"/>
      <c r="T802" s="126"/>
      <c r="AZ802" s="126"/>
      <c r="BA802" s="126"/>
    </row>
    <row r="803" spans="5:53" x14ac:dyDescent="0.3">
      <c r="E803" s="126"/>
      <c r="F803" s="126"/>
      <c r="G803" s="126"/>
      <c r="Q803" s="126"/>
      <c r="T803" s="126"/>
      <c r="AZ803" s="126"/>
      <c r="BA803" s="126"/>
    </row>
    <row r="804" spans="5:53" x14ac:dyDescent="0.3">
      <c r="E804" s="126"/>
      <c r="F804" s="126"/>
      <c r="G804" s="126"/>
      <c r="Q804" s="126"/>
      <c r="T804" s="126"/>
      <c r="AZ804" s="126"/>
      <c r="BA804" s="126"/>
    </row>
    <row r="805" spans="5:53" x14ac:dyDescent="0.3">
      <c r="E805" s="126"/>
      <c r="F805" s="126"/>
      <c r="G805" s="126"/>
      <c r="Q805" s="126"/>
      <c r="T805" s="126"/>
      <c r="AZ805" s="126"/>
      <c r="BA805" s="126"/>
    </row>
    <row r="806" spans="5:53" x14ac:dyDescent="0.3">
      <c r="E806" s="126"/>
      <c r="F806" s="126"/>
      <c r="G806" s="126"/>
      <c r="Q806" s="126"/>
      <c r="T806" s="126"/>
      <c r="AZ806" s="126"/>
      <c r="BA806" s="126"/>
    </row>
    <row r="807" spans="5:53" x14ac:dyDescent="0.3">
      <c r="E807" s="126"/>
      <c r="F807" s="126"/>
      <c r="G807" s="126"/>
      <c r="Q807" s="126"/>
      <c r="T807" s="126"/>
      <c r="AZ807" s="126"/>
      <c r="BA807" s="126"/>
    </row>
    <row r="808" spans="5:53" x14ac:dyDescent="0.3">
      <c r="E808" s="126"/>
      <c r="F808" s="126"/>
      <c r="G808" s="126"/>
      <c r="Q808" s="126"/>
      <c r="T808" s="126"/>
      <c r="AZ808" s="126"/>
      <c r="BA808" s="126"/>
    </row>
    <row r="809" spans="5:53" x14ac:dyDescent="0.3">
      <c r="E809" s="126"/>
      <c r="F809" s="126"/>
      <c r="G809" s="126"/>
      <c r="Q809" s="126"/>
      <c r="T809" s="126"/>
      <c r="AZ809" s="126"/>
      <c r="BA809" s="126"/>
    </row>
    <row r="810" spans="5:53" x14ac:dyDescent="0.3">
      <c r="E810" s="126"/>
      <c r="F810" s="126"/>
      <c r="G810" s="126"/>
      <c r="Q810" s="126"/>
      <c r="T810" s="126"/>
      <c r="AZ810" s="126"/>
      <c r="BA810" s="126"/>
    </row>
    <row r="811" spans="5:53" x14ac:dyDescent="0.3">
      <c r="E811" s="126"/>
      <c r="F811" s="126"/>
      <c r="G811" s="126"/>
      <c r="Q811" s="126"/>
      <c r="T811" s="126"/>
      <c r="AZ811" s="126"/>
      <c r="BA811" s="126"/>
    </row>
    <row r="812" spans="5:53" x14ac:dyDescent="0.3">
      <c r="E812" s="126"/>
      <c r="F812" s="126"/>
      <c r="G812" s="126"/>
      <c r="Q812" s="126"/>
      <c r="T812" s="126"/>
      <c r="AZ812" s="126"/>
      <c r="BA812" s="126"/>
    </row>
    <row r="813" spans="5:53" x14ac:dyDescent="0.3">
      <c r="E813" s="126"/>
      <c r="F813" s="126"/>
      <c r="G813" s="126"/>
      <c r="Q813" s="126"/>
      <c r="T813" s="126"/>
      <c r="AZ813" s="126"/>
      <c r="BA813" s="126"/>
    </row>
    <row r="814" spans="5:53" x14ac:dyDescent="0.3">
      <c r="E814" s="126"/>
      <c r="F814" s="126"/>
      <c r="G814" s="126"/>
      <c r="Q814" s="126"/>
      <c r="T814" s="126"/>
      <c r="AZ814" s="126"/>
      <c r="BA814" s="126"/>
    </row>
    <row r="815" spans="5:53" x14ac:dyDescent="0.3">
      <c r="E815" s="126"/>
      <c r="F815" s="126"/>
      <c r="G815" s="126"/>
      <c r="Q815" s="126"/>
      <c r="T815" s="126"/>
      <c r="AZ815" s="126"/>
      <c r="BA815" s="126"/>
    </row>
    <row r="816" spans="5:53" x14ac:dyDescent="0.3">
      <c r="E816" s="126"/>
      <c r="F816" s="126"/>
      <c r="G816" s="126"/>
      <c r="Q816" s="126"/>
      <c r="T816" s="126"/>
      <c r="AZ816" s="126"/>
      <c r="BA816" s="126"/>
    </row>
    <row r="817" spans="5:53" x14ac:dyDescent="0.3">
      <c r="E817" s="126"/>
      <c r="F817" s="126"/>
      <c r="G817" s="126"/>
      <c r="Q817" s="126"/>
      <c r="T817" s="126"/>
      <c r="AZ817" s="126"/>
      <c r="BA817" s="126"/>
    </row>
    <row r="818" spans="5:53" x14ac:dyDescent="0.3">
      <c r="E818" s="126"/>
      <c r="F818" s="126"/>
      <c r="G818" s="126"/>
      <c r="Q818" s="126"/>
      <c r="T818" s="126"/>
      <c r="AZ818" s="126"/>
      <c r="BA818" s="126"/>
    </row>
    <row r="819" spans="5:53" x14ac:dyDescent="0.3">
      <c r="E819" s="126"/>
      <c r="F819" s="126"/>
      <c r="G819" s="126"/>
      <c r="Q819" s="126"/>
      <c r="T819" s="126"/>
      <c r="AZ819" s="126"/>
      <c r="BA819" s="126"/>
    </row>
    <row r="820" spans="5:53" x14ac:dyDescent="0.3">
      <c r="E820" s="126"/>
      <c r="F820" s="126"/>
      <c r="G820" s="126"/>
      <c r="Q820" s="126"/>
      <c r="T820" s="126"/>
      <c r="AZ820" s="126"/>
      <c r="BA820" s="126"/>
    </row>
    <row r="821" spans="5:53" x14ac:dyDescent="0.3">
      <c r="E821" s="126"/>
      <c r="F821" s="126"/>
      <c r="G821" s="126"/>
      <c r="Q821" s="126"/>
      <c r="T821" s="126"/>
      <c r="AZ821" s="126"/>
      <c r="BA821" s="126"/>
    </row>
    <row r="822" spans="5:53" x14ac:dyDescent="0.3">
      <c r="E822" s="126"/>
      <c r="F822" s="126"/>
      <c r="G822" s="126"/>
      <c r="Q822" s="126"/>
      <c r="T822" s="126"/>
      <c r="AZ822" s="126"/>
      <c r="BA822" s="126"/>
    </row>
    <row r="823" spans="5:53" x14ac:dyDescent="0.3">
      <c r="E823" s="126"/>
      <c r="F823" s="126"/>
      <c r="G823" s="126"/>
      <c r="Q823" s="126"/>
      <c r="T823" s="126"/>
      <c r="AZ823" s="126"/>
      <c r="BA823" s="126"/>
    </row>
    <row r="824" spans="5:53" x14ac:dyDescent="0.3">
      <c r="E824" s="126"/>
      <c r="F824" s="126"/>
      <c r="G824" s="126"/>
      <c r="Q824" s="126"/>
      <c r="T824" s="126"/>
      <c r="AZ824" s="126"/>
      <c r="BA824" s="126"/>
    </row>
    <row r="825" spans="5:53" x14ac:dyDescent="0.3">
      <c r="E825" s="126"/>
      <c r="F825" s="126"/>
      <c r="G825" s="126"/>
      <c r="Q825" s="126"/>
      <c r="T825" s="126"/>
      <c r="AZ825" s="126"/>
      <c r="BA825" s="126"/>
    </row>
    <row r="826" spans="5:53" x14ac:dyDescent="0.3">
      <c r="E826" s="126"/>
      <c r="F826" s="126"/>
      <c r="G826" s="126"/>
      <c r="Q826" s="126"/>
      <c r="T826" s="126"/>
      <c r="AZ826" s="126"/>
      <c r="BA826" s="126"/>
    </row>
    <row r="827" spans="5:53" x14ac:dyDescent="0.3">
      <c r="E827" s="126"/>
      <c r="F827" s="126"/>
      <c r="G827" s="126"/>
      <c r="Q827" s="126"/>
      <c r="T827" s="126"/>
      <c r="AZ827" s="126"/>
      <c r="BA827" s="126"/>
    </row>
    <row r="828" spans="5:53" x14ac:dyDescent="0.3">
      <c r="E828" s="126"/>
      <c r="F828" s="126"/>
      <c r="G828" s="126"/>
      <c r="Q828" s="126"/>
      <c r="T828" s="126"/>
      <c r="AZ828" s="126"/>
      <c r="BA828" s="126"/>
    </row>
    <row r="829" spans="5:53" x14ac:dyDescent="0.3">
      <c r="E829" s="126"/>
      <c r="F829" s="126"/>
      <c r="G829" s="126"/>
      <c r="Q829" s="126"/>
      <c r="T829" s="126"/>
      <c r="AZ829" s="126"/>
      <c r="BA829" s="126"/>
    </row>
    <row r="830" spans="5:53" x14ac:dyDescent="0.3">
      <c r="E830" s="126"/>
      <c r="F830" s="126"/>
      <c r="G830" s="126"/>
      <c r="Q830" s="126"/>
      <c r="T830" s="126"/>
      <c r="AZ830" s="126"/>
      <c r="BA830" s="126"/>
    </row>
    <row r="831" spans="5:53" x14ac:dyDescent="0.3">
      <c r="E831" s="126"/>
      <c r="F831" s="126"/>
      <c r="G831" s="126"/>
      <c r="Q831" s="126"/>
      <c r="T831" s="126"/>
      <c r="AZ831" s="126"/>
      <c r="BA831" s="126"/>
    </row>
    <row r="832" spans="5:53" x14ac:dyDescent="0.3">
      <c r="E832" s="126"/>
      <c r="F832" s="126"/>
      <c r="G832" s="126"/>
      <c r="Q832" s="126"/>
      <c r="T832" s="126"/>
      <c r="AZ832" s="126"/>
      <c r="BA832" s="126"/>
    </row>
    <row r="833" spans="5:53" x14ac:dyDescent="0.3">
      <c r="E833" s="126"/>
      <c r="F833" s="126"/>
      <c r="G833" s="126"/>
      <c r="Q833" s="126"/>
      <c r="T833" s="126"/>
      <c r="AZ833" s="126"/>
      <c r="BA833" s="126"/>
    </row>
    <row r="834" spans="5:53" x14ac:dyDescent="0.3">
      <c r="E834" s="126"/>
      <c r="F834" s="126"/>
      <c r="G834" s="126"/>
      <c r="Q834" s="126"/>
      <c r="T834" s="126"/>
      <c r="AZ834" s="126"/>
      <c r="BA834" s="126"/>
    </row>
    <row r="835" spans="5:53" x14ac:dyDescent="0.3">
      <c r="E835" s="126"/>
      <c r="F835" s="126"/>
      <c r="G835" s="126"/>
      <c r="Q835" s="126"/>
      <c r="T835" s="126"/>
      <c r="AZ835" s="126"/>
      <c r="BA835" s="126"/>
    </row>
    <row r="836" spans="5:53" x14ac:dyDescent="0.3">
      <c r="E836" s="126"/>
      <c r="F836" s="126"/>
      <c r="G836" s="126"/>
      <c r="Q836" s="126"/>
      <c r="T836" s="126"/>
      <c r="AZ836" s="126"/>
      <c r="BA836" s="126"/>
    </row>
    <row r="837" spans="5:53" x14ac:dyDescent="0.3">
      <c r="E837" s="126"/>
      <c r="F837" s="126"/>
      <c r="G837" s="126"/>
      <c r="Q837" s="126"/>
      <c r="T837" s="126"/>
      <c r="AZ837" s="126"/>
      <c r="BA837" s="126"/>
    </row>
    <row r="838" spans="5:53" x14ac:dyDescent="0.3">
      <c r="E838" s="126"/>
      <c r="F838" s="126"/>
      <c r="G838" s="126"/>
      <c r="Q838" s="126"/>
      <c r="T838" s="126"/>
      <c r="AZ838" s="126"/>
      <c r="BA838" s="126"/>
    </row>
    <row r="839" spans="5:53" x14ac:dyDescent="0.3">
      <c r="E839" s="126"/>
      <c r="F839" s="126"/>
      <c r="G839" s="126"/>
      <c r="Q839" s="126"/>
      <c r="T839" s="126"/>
      <c r="AZ839" s="126"/>
      <c r="BA839" s="126"/>
    </row>
    <row r="840" spans="5:53" x14ac:dyDescent="0.3">
      <c r="E840" s="126"/>
      <c r="F840" s="126"/>
      <c r="G840" s="126"/>
      <c r="Q840" s="126"/>
      <c r="T840" s="126"/>
      <c r="AZ840" s="126"/>
      <c r="BA840" s="126"/>
    </row>
    <row r="841" spans="5:53" x14ac:dyDescent="0.3">
      <c r="E841" s="126"/>
      <c r="F841" s="126"/>
      <c r="G841" s="126"/>
      <c r="Q841" s="126"/>
      <c r="T841" s="126"/>
      <c r="AZ841" s="126"/>
      <c r="BA841" s="126"/>
    </row>
    <row r="842" spans="5:53" x14ac:dyDescent="0.3">
      <c r="E842" s="126"/>
      <c r="F842" s="126"/>
      <c r="G842" s="126"/>
      <c r="Q842" s="126"/>
      <c r="T842" s="126"/>
      <c r="AZ842" s="126"/>
      <c r="BA842" s="126"/>
    </row>
    <row r="843" spans="5:53" x14ac:dyDescent="0.3">
      <c r="E843" s="126"/>
      <c r="F843" s="126"/>
      <c r="G843" s="126"/>
      <c r="Q843" s="126"/>
      <c r="T843" s="126"/>
      <c r="AZ843" s="126"/>
      <c r="BA843" s="126"/>
    </row>
    <row r="844" spans="5:53" x14ac:dyDescent="0.3">
      <c r="E844" s="126"/>
      <c r="F844" s="126"/>
      <c r="G844" s="126"/>
      <c r="Q844" s="126"/>
      <c r="T844" s="126"/>
      <c r="AZ844" s="126"/>
      <c r="BA844" s="126"/>
    </row>
    <row r="845" spans="5:53" x14ac:dyDescent="0.3">
      <c r="E845" s="126"/>
      <c r="F845" s="126"/>
      <c r="G845" s="126"/>
      <c r="Q845" s="126"/>
      <c r="T845" s="126"/>
      <c r="AZ845" s="126"/>
      <c r="BA845" s="126"/>
    </row>
    <row r="846" spans="5:53" x14ac:dyDescent="0.3">
      <c r="E846" s="126"/>
      <c r="F846" s="126"/>
      <c r="G846" s="126"/>
      <c r="Q846" s="126"/>
      <c r="T846" s="126"/>
      <c r="AZ846" s="126"/>
      <c r="BA846" s="126"/>
    </row>
    <row r="847" spans="5:53" x14ac:dyDescent="0.3">
      <c r="E847" s="126"/>
      <c r="F847" s="126"/>
      <c r="G847" s="126"/>
      <c r="Q847" s="126"/>
      <c r="T847" s="126"/>
      <c r="AZ847" s="126"/>
      <c r="BA847" s="126"/>
    </row>
    <row r="848" spans="5:53" x14ac:dyDescent="0.3">
      <c r="E848" s="126"/>
      <c r="F848" s="126"/>
      <c r="G848" s="126"/>
      <c r="Q848" s="126"/>
      <c r="T848" s="126"/>
      <c r="AZ848" s="126"/>
      <c r="BA848" s="126"/>
    </row>
    <row r="849" spans="5:53" x14ac:dyDescent="0.3">
      <c r="E849" s="126"/>
      <c r="F849" s="126"/>
      <c r="G849" s="126"/>
      <c r="Q849" s="126"/>
      <c r="T849" s="126"/>
      <c r="AZ849" s="126"/>
      <c r="BA849" s="126"/>
    </row>
    <row r="850" spans="5:53" x14ac:dyDescent="0.3">
      <c r="E850" s="126"/>
      <c r="F850" s="126"/>
      <c r="G850" s="126"/>
      <c r="Q850" s="126"/>
      <c r="T850" s="126"/>
      <c r="AZ850" s="126"/>
      <c r="BA850" s="126"/>
    </row>
    <row r="851" spans="5:53" x14ac:dyDescent="0.3">
      <c r="E851" s="126"/>
      <c r="F851" s="126"/>
      <c r="G851" s="126"/>
      <c r="Q851" s="126"/>
      <c r="T851" s="126"/>
      <c r="AZ851" s="126"/>
      <c r="BA851" s="126"/>
    </row>
    <row r="852" spans="5:53" x14ac:dyDescent="0.3">
      <c r="E852" s="126"/>
      <c r="F852" s="126"/>
      <c r="G852" s="126"/>
      <c r="Q852" s="126"/>
      <c r="T852" s="126"/>
      <c r="AZ852" s="126"/>
      <c r="BA852" s="126"/>
    </row>
    <row r="853" spans="5:53" x14ac:dyDescent="0.3">
      <c r="E853" s="126"/>
      <c r="F853" s="126"/>
      <c r="G853" s="126"/>
      <c r="Q853" s="126"/>
      <c r="T853" s="126"/>
      <c r="AZ853" s="126"/>
      <c r="BA853" s="126"/>
    </row>
    <row r="854" spans="5:53" x14ac:dyDescent="0.3">
      <c r="E854" s="126"/>
      <c r="F854" s="126"/>
      <c r="G854" s="126"/>
      <c r="Q854" s="126"/>
      <c r="T854" s="126"/>
      <c r="AZ854" s="126"/>
      <c r="BA854" s="126"/>
    </row>
    <row r="855" spans="5:53" x14ac:dyDescent="0.3">
      <c r="E855" s="126"/>
      <c r="F855" s="126"/>
      <c r="G855" s="126"/>
      <c r="Q855" s="126"/>
      <c r="T855" s="126"/>
      <c r="AZ855" s="126"/>
      <c r="BA855" s="126"/>
    </row>
    <row r="856" spans="5:53" x14ac:dyDescent="0.3">
      <c r="E856" s="126"/>
      <c r="F856" s="126"/>
      <c r="G856" s="126"/>
      <c r="Q856" s="126"/>
      <c r="T856" s="126"/>
      <c r="AZ856" s="126"/>
      <c r="BA856" s="126"/>
    </row>
    <row r="857" spans="5:53" x14ac:dyDescent="0.3">
      <c r="E857" s="126"/>
      <c r="F857" s="126"/>
      <c r="G857" s="126"/>
      <c r="Q857" s="126"/>
      <c r="T857" s="126"/>
      <c r="AZ857" s="126"/>
      <c r="BA857" s="126"/>
    </row>
    <row r="858" spans="5:53" x14ac:dyDescent="0.3">
      <c r="E858" s="126"/>
      <c r="F858" s="126"/>
      <c r="G858" s="126"/>
      <c r="Q858" s="126"/>
      <c r="T858" s="126"/>
      <c r="AZ858" s="126"/>
      <c r="BA858" s="126"/>
    </row>
    <row r="859" spans="5:53" x14ac:dyDescent="0.3">
      <c r="E859" s="126"/>
      <c r="F859" s="126"/>
      <c r="G859" s="126"/>
      <c r="Q859" s="126"/>
      <c r="T859" s="126"/>
      <c r="AZ859" s="126"/>
      <c r="BA859" s="126"/>
    </row>
    <row r="860" spans="5:53" x14ac:dyDescent="0.3">
      <c r="E860" s="126"/>
      <c r="F860" s="126"/>
      <c r="G860" s="126"/>
      <c r="Q860" s="126"/>
      <c r="T860" s="126"/>
      <c r="AZ860" s="126"/>
      <c r="BA860" s="126"/>
    </row>
    <row r="861" spans="5:53" x14ac:dyDescent="0.3">
      <c r="E861" s="126"/>
      <c r="F861" s="126"/>
      <c r="G861" s="126"/>
      <c r="Q861" s="126"/>
      <c r="T861" s="126"/>
      <c r="AZ861" s="126"/>
      <c r="BA861" s="126"/>
    </row>
    <row r="862" spans="5:53" x14ac:dyDescent="0.3">
      <c r="E862" s="126"/>
      <c r="F862" s="126"/>
      <c r="G862" s="126"/>
      <c r="Q862" s="126"/>
      <c r="T862" s="126"/>
      <c r="AZ862" s="126"/>
      <c r="BA862" s="126"/>
    </row>
    <row r="863" spans="5:53" x14ac:dyDescent="0.3">
      <c r="E863" s="126"/>
      <c r="F863" s="126"/>
      <c r="G863" s="126"/>
      <c r="Q863" s="126"/>
      <c r="T863" s="126"/>
      <c r="AZ863" s="126"/>
      <c r="BA863" s="126"/>
    </row>
    <row r="864" spans="5:53" x14ac:dyDescent="0.3">
      <c r="E864" s="126"/>
      <c r="F864" s="126"/>
      <c r="G864" s="126"/>
      <c r="Q864" s="126"/>
      <c r="T864" s="126"/>
      <c r="AZ864" s="126"/>
      <c r="BA864" s="126"/>
    </row>
    <row r="865" spans="5:53" x14ac:dyDescent="0.3">
      <c r="E865" s="126"/>
      <c r="F865" s="126"/>
      <c r="G865" s="126"/>
      <c r="Q865" s="126"/>
      <c r="T865" s="126"/>
      <c r="AZ865" s="126"/>
      <c r="BA865" s="126"/>
    </row>
    <row r="866" spans="5:53" x14ac:dyDescent="0.3">
      <c r="E866" s="126"/>
      <c r="F866" s="126"/>
      <c r="G866" s="126"/>
      <c r="Q866" s="126"/>
      <c r="T866" s="126"/>
      <c r="AZ866" s="126"/>
      <c r="BA866" s="126"/>
    </row>
    <row r="867" spans="5:53" x14ac:dyDescent="0.3">
      <c r="E867" s="126"/>
      <c r="F867" s="126"/>
      <c r="G867" s="126"/>
      <c r="Q867" s="126"/>
      <c r="T867" s="126"/>
      <c r="AZ867" s="126"/>
      <c r="BA867" s="126"/>
    </row>
    <row r="868" spans="5:53" x14ac:dyDescent="0.3">
      <c r="E868" s="126"/>
      <c r="F868" s="126"/>
      <c r="G868" s="126"/>
      <c r="Q868" s="126"/>
      <c r="T868" s="126"/>
      <c r="AZ868" s="126"/>
      <c r="BA868" s="126"/>
    </row>
    <row r="869" spans="5:53" x14ac:dyDescent="0.3">
      <c r="E869" s="126"/>
      <c r="F869" s="126"/>
      <c r="G869" s="126"/>
      <c r="Q869" s="126"/>
      <c r="T869" s="126"/>
      <c r="AZ869" s="126"/>
      <c r="BA869" s="126"/>
    </row>
    <row r="870" spans="5:53" x14ac:dyDescent="0.3">
      <c r="E870" s="126"/>
      <c r="F870" s="126"/>
      <c r="G870" s="126"/>
      <c r="Q870" s="126"/>
      <c r="T870" s="126"/>
      <c r="AZ870" s="126"/>
      <c r="BA870" s="126"/>
    </row>
    <row r="871" spans="5:53" x14ac:dyDescent="0.3">
      <c r="E871" s="126"/>
      <c r="F871" s="126"/>
      <c r="G871" s="126"/>
      <c r="Q871" s="126"/>
      <c r="T871" s="126"/>
      <c r="AZ871" s="126"/>
      <c r="BA871" s="126"/>
    </row>
    <row r="872" spans="5:53" x14ac:dyDescent="0.3">
      <c r="E872" s="126"/>
      <c r="F872" s="126"/>
      <c r="G872" s="126"/>
      <c r="Q872" s="126"/>
      <c r="T872" s="126"/>
      <c r="AZ872" s="126"/>
      <c r="BA872" s="126"/>
    </row>
    <row r="873" spans="5:53" x14ac:dyDescent="0.3">
      <c r="E873" s="126"/>
      <c r="F873" s="126"/>
      <c r="G873" s="126"/>
      <c r="Q873" s="126"/>
      <c r="T873" s="126"/>
      <c r="AZ873" s="126"/>
      <c r="BA873" s="126"/>
    </row>
    <row r="874" spans="5:53" x14ac:dyDescent="0.3">
      <c r="E874" s="126"/>
      <c r="F874" s="126"/>
      <c r="G874" s="126"/>
      <c r="Q874" s="126"/>
      <c r="T874" s="126"/>
      <c r="AZ874" s="126"/>
      <c r="BA874" s="126"/>
    </row>
    <row r="875" spans="5:53" x14ac:dyDescent="0.3">
      <c r="E875" s="126"/>
      <c r="F875" s="126"/>
      <c r="G875" s="126"/>
      <c r="Q875" s="126"/>
      <c r="T875" s="126"/>
      <c r="AZ875" s="126"/>
      <c r="BA875" s="126"/>
    </row>
    <row r="876" spans="5:53" x14ac:dyDescent="0.3">
      <c r="E876" s="126"/>
      <c r="F876" s="126"/>
      <c r="G876" s="126"/>
      <c r="Q876" s="126"/>
      <c r="T876" s="126"/>
      <c r="AZ876" s="126"/>
      <c r="BA876" s="126"/>
    </row>
    <row r="877" spans="5:53" x14ac:dyDescent="0.3">
      <c r="E877" s="126"/>
      <c r="F877" s="126"/>
      <c r="G877" s="126"/>
      <c r="Q877" s="126"/>
      <c r="T877" s="126"/>
      <c r="AZ877" s="126"/>
      <c r="BA877" s="126"/>
    </row>
    <row r="878" spans="5:53" x14ac:dyDescent="0.3">
      <c r="E878" s="126"/>
      <c r="F878" s="126"/>
      <c r="G878" s="126"/>
      <c r="Q878" s="126"/>
      <c r="T878" s="126"/>
      <c r="AZ878" s="126"/>
      <c r="BA878" s="126"/>
    </row>
    <row r="879" spans="5:53" x14ac:dyDescent="0.3">
      <c r="E879" s="126"/>
      <c r="F879" s="126"/>
      <c r="G879" s="126"/>
      <c r="Q879" s="126"/>
      <c r="T879" s="126"/>
      <c r="AZ879" s="126"/>
      <c r="BA879" s="126"/>
    </row>
    <row r="880" spans="5:53" x14ac:dyDescent="0.3">
      <c r="E880" s="126"/>
      <c r="F880" s="126"/>
      <c r="G880" s="126"/>
      <c r="Q880" s="126"/>
      <c r="T880" s="126"/>
      <c r="AZ880" s="126"/>
      <c r="BA880" s="126"/>
    </row>
    <row r="881" spans="5:53" x14ac:dyDescent="0.3">
      <c r="E881" s="126"/>
      <c r="F881" s="126"/>
      <c r="G881" s="126"/>
      <c r="Q881" s="126"/>
      <c r="T881" s="126"/>
      <c r="AZ881" s="126"/>
      <c r="BA881" s="126"/>
    </row>
    <row r="882" spans="5:53" x14ac:dyDescent="0.3">
      <c r="E882" s="126"/>
      <c r="F882" s="126"/>
      <c r="G882" s="126"/>
      <c r="Q882" s="126"/>
      <c r="T882" s="126"/>
      <c r="AZ882" s="126"/>
      <c r="BA882" s="126"/>
    </row>
    <row r="883" spans="5:53" x14ac:dyDescent="0.3">
      <c r="E883" s="126"/>
      <c r="F883" s="126"/>
      <c r="G883" s="126"/>
      <c r="Q883" s="126"/>
      <c r="T883" s="126"/>
      <c r="AZ883" s="126"/>
      <c r="BA883" s="126"/>
    </row>
    <row r="884" spans="5:53" x14ac:dyDescent="0.3">
      <c r="E884" s="126"/>
      <c r="F884" s="126"/>
      <c r="G884" s="126"/>
      <c r="Q884" s="126"/>
      <c r="T884" s="126"/>
      <c r="AZ884" s="126"/>
      <c r="BA884" s="126"/>
    </row>
    <row r="885" spans="5:53" x14ac:dyDescent="0.3">
      <c r="E885" s="126"/>
      <c r="F885" s="126"/>
      <c r="G885" s="126"/>
      <c r="Q885" s="126"/>
      <c r="T885" s="126"/>
      <c r="AZ885" s="126"/>
      <c r="BA885" s="126"/>
    </row>
    <row r="886" spans="5:53" x14ac:dyDescent="0.3">
      <c r="E886" s="126"/>
      <c r="F886" s="126"/>
      <c r="G886" s="126"/>
      <c r="Q886" s="126"/>
      <c r="T886" s="126"/>
      <c r="AZ886" s="126"/>
      <c r="BA886" s="126"/>
    </row>
    <row r="887" spans="5:53" x14ac:dyDescent="0.3">
      <c r="E887" s="126"/>
      <c r="F887" s="126"/>
      <c r="G887" s="126"/>
      <c r="Q887" s="126"/>
      <c r="T887" s="126"/>
      <c r="AZ887" s="126"/>
      <c r="BA887" s="126"/>
    </row>
    <row r="888" spans="5:53" x14ac:dyDescent="0.3">
      <c r="E888" s="126"/>
      <c r="F888" s="126"/>
      <c r="G888" s="126"/>
      <c r="Q888" s="126"/>
      <c r="T888" s="126"/>
      <c r="AZ888" s="126"/>
      <c r="BA888" s="126"/>
    </row>
    <row r="889" spans="5:53" x14ac:dyDescent="0.3">
      <c r="E889" s="126"/>
      <c r="F889" s="126"/>
      <c r="G889" s="126"/>
      <c r="Q889" s="126"/>
      <c r="T889" s="126"/>
      <c r="AZ889" s="126"/>
      <c r="BA889" s="126"/>
    </row>
    <row r="890" spans="5:53" x14ac:dyDescent="0.3">
      <c r="E890" s="126"/>
      <c r="F890" s="126"/>
      <c r="G890" s="126"/>
      <c r="Q890" s="126"/>
      <c r="T890" s="126"/>
      <c r="AZ890" s="126"/>
      <c r="BA890" s="126"/>
    </row>
    <row r="891" spans="5:53" x14ac:dyDescent="0.3">
      <c r="E891" s="126"/>
      <c r="F891" s="126"/>
      <c r="G891" s="126"/>
      <c r="Q891" s="126"/>
      <c r="T891" s="126"/>
      <c r="AZ891" s="126"/>
      <c r="BA891" s="126"/>
    </row>
    <row r="892" spans="5:53" x14ac:dyDescent="0.3">
      <c r="E892" s="126"/>
      <c r="F892" s="126"/>
      <c r="G892" s="126"/>
      <c r="Q892" s="126"/>
      <c r="T892" s="126"/>
      <c r="AZ892" s="126"/>
      <c r="BA892" s="126"/>
    </row>
    <row r="893" spans="5:53" x14ac:dyDescent="0.3">
      <c r="E893" s="126"/>
      <c r="F893" s="126"/>
      <c r="G893" s="126"/>
      <c r="Q893" s="126"/>
      <c r="T893" s="126"/>
      <c r="AZ893" s="126"/>
      <c r="BA893" s="126"/>
    </row>
    <row r="894" spans="5:53" x14ac:dyDescent="0.3">
      <c r="E894" s="126"/>
      <c r="F894" s="126"/>
      <c r="G894" s="126"/>
      <c r="Q894" s="126"/>
      <c r="T894" s="126"/>
      <c r="AZ894" s="126"/>
      <c r="BA894" s="126"/>
    </row>
    <row r="895" spans="5:53" x14ac:dyDescent="0.3">
      <c r="E895" s="126"/>
      <c r="F895" s="126"/>
      <c r="G895" s="126"/>
      <c r="Q895" s="126"/>
      <c r="T895" s="126"/>
      <c r="AZ895" s="126"/>
      <c r="BA895" s="126"/>
    </row>
    <row r="896" spans="5:53" x14ac:dyDescent="0.3">
      <c r="E896" s="126"/>
      <c r="F896" s="126"/>
      <c r="G896" s="126"/>
      <c r="Q896" s="126"/>
      <c r="T896" s="126"/>
      <c r="AZ896" s="126"/>
      <c r="BA896" s="126"/>
    </row>
    <row r="897" spans="5:53" x14ac:dyDescent="0.3">
      <c r="E897" s="126"/>
      <c r="F897" s="126"/>
      <c r="G897" s="126"/>
      <c r="Q897" s="126"/>
      <c r="T897" s="126"/>
      <c r="AZ897" s="126"/>
      <c r="BA897" s="126"/>
    </row>
    <row r="898" spans="5:53" x14ac:dyDescent="0.3">
      <c r="E898" s="126"/>
      <c r="F898" s="126"/>
      <c r="G898" s="126"/>
      <c r="Q898" s="126"/>
      <c r="T898" s="126"/>
      <c r="AZ898" s="126"/>
      <c r="BA898" s="126"/>
    </row>
    <row r="899" spans="5:53" x14ac:dyDescent="0.3">
      <c r="E899" s="126"/>
      <c r="F899" s="126"/>
      <c r="G899" s="126"/>
      <c r="Q899" s="126"/>
      <c r="T899" s="126"/>
      <c r="AZ899" s="126"/>
      <c r="BA899" s="126"/>
    </row>
    <row r="900" spans="5:53" x14ac:dyDescent="0.3">
      <c r="E900" s="126"/>
      <c r="F900" s="126"/>
      <c r="G900" s="126"/>
      <c r="Q900" s="126"/>
      <c r="T900" s="126"/>
      <c r="AZ900" s="126"/>
      <c r="BA900" s="126"/>
    </row>
    <row r="901" spans="5:53" x14ac:dyDescent="0.3">
      <c r="E901" s="126"/>
      <c r="F901" s="126"/>
      <c r="G901" s="126"/>
      <c r="Q901" s="126"/>
      <c r="T901" s="126"/>
      <c r="AZ901" s="126"/>
      <c r="BA901" s="126"/>
    </row>
    <row r="902" spans="5:53" x14ac:dyDescent="0.3">
      <c r="E902" s="126"/>
      <c r="F902" s="126"/>
      <c r="G902" s="126"/>
      <c r="Q902" s="126"/>
      <c r="T902" s="126"/>
      <c r="AZ902" s="126"/>
      <c r="BA902" s="126"/>
    </row>
    <row r="903" spans="5:53" x14ac:dyDescent="0.3">
      <c r="E903" s="126"/>
      <c r="F903" s="126"/>
      <c r="G903" s="126"/>
      <c r="Q903" s="126"/>
      <c r="T903" s="126"/>
      <c r="AZ903" s="126"/>
      <c r="BA903" s="126"/>
    </row>
    <row r="904" spans="5:53" x14ac:dyDescent="0.3">
      <c r="E904" s="126"/>
      <c r="F904" s="126"/>
      <c r="G904" s="126"/>
      <c r="Q904" s="126"/>
      <c r="T904" s="126"/>
      <c r="AZ904" s="126"/>
      <c r="BA904" s="126"/>
    </row>
    <row r="905" spans="5:53" x14ac:dyDescent="0.3">
      <c r="E905" s="126"/>
      <c r="F905" s="126"/>
      <c r="G905" s="126"/>
      <c r="Q905" s="126"/>
      <c r="T905" s="126"/>
      <c r="AZ905" s="126"/>
      <c r="BA905" s="126"/>
    </row>
    <row r="906" spans="5:53" x14ac:dyDescent="0.3">
      <c r="E906" s="126"/>
      <c r="F906" s="126"/>
      <c r="G906" s="126"/>
      <c r="Q906" s="126"/>
      <c r="T906" s="126"/>
      <c r="AZ906" s="126"/>
      <c r="BA906" s="126"/>
    </row>
    <row r="907" spans="5:53" x14ac:dyDescent="0.3">
      <c r="E907" s="126"/>
      <c r="F907" s="126"/>
      <c r="G907" s="126"/>
      <c r="Q907" s="126"/>
      <c r="T907" s="126"/>
      <c r="AZ907" s="126"/>
      <c r="BA907" s="126"/>
    </row>
    <row r="908" spans="5:53" x14ac:dyDescent="0.3">
      <c r="E908" s="126"/>
      <c r="F908" s="126"/>
      <c r="G908" s="126"/>
      <c r="Q908" s="126"/>
      <c r="T908" s="126"/>
      <c r="AZ908" s="126"/>
      <c r="BA908" s="126"/>
    </row>
    <row r="909" spans="5:53" x14ac:dyDescent="0.3">
      <c r="E909" s="126"/>
      <c r="F909" s="126"/>
      <c r="G909" s="126"/>
      <c r="Q909" s="126"/>
      <c r="T909" s="126"/>
      <c r="AZ909" s="126"/>
      <c r="BA909" s="126"/>
    </row>
    <row r="910" spans="5:53" x14ac:dyDescent="0.3">
      <c r="E910" s="126"/>
      <c r="F910" s="126"/>
      <c r="G910" s="126"/>
      <c r="Q910" s="126"/>
      <c r="T910" s="126"/>
      <c r="AZ910" s="126"/>
      <c r="BA910" s="126"/>
    </row>
    <row r="911" spans="5:53" x14ac:dyDescent="0.3">
      <c r="E911" s="126"/>
      <c r="F911" s="126"/>
      <c r="G911" s="126"/>
      <c r="Q911" s="126"/>
      <c r="T911" s="126"/>
      <c r="AZ911" s="126"/>
      <c r="BA911" s="126"/>
    </row>
    <row r="912" spans="5:53" x14ac:dyDescent="0.3">
      <c r="E912" s="126"/>
      <c r="F912" s="126"/>
      <c r="G912" s="126"/>
      <c r="Q912" s="126"/>
      <c r="T912" s="126"/>
      <c r="AZ912" s="126"/>
      <c r="BA912" s="126"/>
    </row>
    <row r="913" spans="5:53" x14ac:dyDescent="0.3">
      <c r="E913" s="126"/>
      <c r="F913" s="126"/>
      <c r="G913" s="126"/>
      <c r="Q913" s="126"/>
      <c r="T913" s="126"/>
      <c r="AZ913" s="126"/>
      <c r="BA913" s="126"/>
    </row>
    <row r="914" spans="5:53" x14ac:dyDescent="0.3">
      <c r="E914" s="126"/>
      <c r="F914" s="126"/>
      <c r="G914" s="126"/>
      <c r="Q914" s="126"/>
      <c r="T914" s="126"/>
      <c r="AZ914" s="126"/>
      <c r="BA914" s="126"/>
    </row>
    <row r="915" spans="5:53" x14ac:dyDescent="0.3">
      <c r="E915" s="126"/>
      <c r="F915" s="126"/>
      <c r="G915" s="126"/>
      <c r="Q915" s="126"/>
      <c r="T915" s="126"/>
      <c r="AZ915" s="126"/>
      <c r="BA915" s="126"/>
    </row>
    <row r="916" spans="5:53" x14ac:dyDescent="0.3">
      <c r="E916" s="126"/>
      <c r="F916" s="126"/>
      <c r="G916" s="126"/>
      <c r="Q916" s="126"/>
      <c r="T916" s="126"/>
      <c r="AZ916" s="126"/>
      <c r="BA916" s="126"/>
    </row>
    <row r="917" spans="5:53" x14ac:dyDescent="0.3">
      <c r="E917" s="126"/>
      <c r="F917" s="126"/>
      <c r="G917" s="126"/>
      <c r="Q917" s="126"/>
      <c r="T917" s="126"/>
      <c r="AZ917" s="126"/>
      <c r="BA917" s="126"/>
    </row>
    <row r="918" spans="5:53" x14ac:dyDescent="0.3">
      <c r="E918" s="126"/>
      <c r="F918" s="126"/>
      <c r="G918" s="126"/>
      <c r="Q918" s="126"/>
      <c r="T918" s="126"/>
      <c r="AZ918" s="126"/>
      <c r="BA918" s="126"/>
    </row>
    <row r="919" spans="5:53" x14ac:dyDescent="0.3">
      <c r="E919" s="126"/>
      <c r="F919" s="126"/>
      <c r="G919" s="126"/>
      <c r="Q919" s="126"/>
      <c r="T919" s="126"/>
      <c r="AZ919" s="126"/>
      <c r="BA919" s="126"/>
    </row>
    <row r="920" spans="5:53" x14ac:dyDescent="0.3">
      <c r="E920" s="126"/>
      <c r="F920" s="126"/>
      <c r="G920" s="126"/>
      <c r="Q920" s="126"/>
      <c r="T920" s="126"/>
      <c r="AZ920" s="126"/>
      <c r="BA920" s="126"/>
    </row>
    <row r="921" spans="5:53" x14ac:dyDescent="0.3">
      <c r="E921" s="126"/>
      <c r="F921" s="126"/>
      <c r="G921" s="126"/>
      <c r="Q921" s="126"/>
      <c r="T921" s="126"/>
      <c r="AZ921" s="126"/>
      <c r="BA921" s="126"/>
    </row>
    <row r="922" spans="5:53" x14ac:dyDescent="0.3">
      <c r="E922" s="126"/>
      <c r="F922" s="126"/>
      <c r="G922" s="126"/>
      <c r="Q922" s="126"/>
      <c r="T922" s="126"/>
      <c r="AZ922" s="126"/>
      <c r="BA922" s="126"/>
    </row>
    <row r="923" spans="5:53" x14ac:dyDescent="0.3">
      <c r="E923" s="126"/>
      <c r="F923" s="126"/>
      <c r="G923" s="126"/>
      <c r="Q923" s="126"/>
      <c r="T923" s="126"/>
      <c r="AZ923" s="126"/>
      <c r="BA923" s="126"/>
    </row>
    <row r="924" spans="5:53" x14ac:dyDescent="0.3">
      <c r="E924" s="126"/>
      <c r="F924" s="126"/>
      <c r="G924" s="126"/>
      <c r="Q924" s="126"/>
      <c r="T924" s="126"/>
      <c r="AZ924" s="126"/>
      <c r="BA924" s="126"/>
    </row>
    <row r="925" spans="5:53" x14ac:dyDescent="0.3">
      <c r="E925" s="126"/>
      <c r="F925" s="126"/>
      <c r="G925" s="126"/>
      <c r="Q925" s="126"/>
      <c r="T925" s="126"/>
      <c r="AZ925" s="126"/>
      <c r="BA925" s="126"/>
    </row>
    <row r="926" spans="5:53" x14ac:dyDescent="0.3">
      <c r="E926" s="126"/>
      <c r="F926" s="126"/>
      <c r="G926" s="126"/>
      <c r="Q926" s="126"/>
      <c r="T926" s="126"/>
      <c r="AZ926" s="126"/>
      <c r="BA926" s="126"/>
    </row>
    <row r="927" spans="5:53" x14ac:dyDescent="0.3">
      <c r="E927" s="126"/>
      <c r="F927" s="126"/>
      <c r="G927" s="126"/>
      <c r="Q927" s="126"/>
      <c r="T927" s="126"/>
      <c r="AZ927" s="126"/>
      <c r="BA927" s="126"/>
    </row>
    <row r="928" spans="5:53" x14ac:dyDescent="0.3">
      <c r="E928" s="126"/>
      <c r="F928" s="126"/>
      <c r="G928" s="126"/>
      <c r="Q928" s="126"/>
      <c r="T928" s="126"/>
      <c r="AZ928" s="126"/>
      <c r="BA928" s="126"/>
    </row>
    <row r="929" spans="5:53" x14ac:dyDescent="0.3">
      <c r="E929" s="126"/>
      <c r="F929" s="126"/>
      <c r="G929" s="126"/>
      <c r="Q929" s="126"/>
      <c r="T929" s="126"/>
      <c r="AZ929" s="126"/>
      <c r="BA929" s="126"/>
    </row>
    <row r="930" spans="5:53" x14ac:dyDescent="0.3">
      <c r="E930" s="126"/>
      <c r="F930" s="126"/>
      <c r="G930" s="126"/>
      <c r="Q930" s="126"/>
      <c r="T930" s="126"/>
      <c r="AZ930" s="126"/>
      <c r="BA930" s="126"/>
    </row>
    <row r="931" spans="5:53" x14ac:dyDescent="0.3">
      <c r="E931" s="126"/>
      <c r="F931" s="126"/>
      <c r="G931" s="126"/>
      <c r="Q931" s="126"/>
      <c r="T931" s="126"/>
      <c r="AZ931" s="126"/>
      <c r="BA931" s="126"/>
    </row>
    <row r="932" spans="5:53" x14ac:dyDescent="0.3">
      <c r="E932" s="126"/>
      <c r="F932" s="126"/>
      <c r="G932" s="126"/>
      <c r="Q932" s="126"/>
      <c r="T932" s="126"/>
      <c r="AZ932" s="126"/>
      <c r="BA932" s="126"/>
    </row>
    <row r="933" spans="5:53" x14ac:dyDescent="0.3">
      <c r="E933" s="126"/>
      <c r="F933" s="126"/>
      <c r="G933" s="126"/>
      <c r="Q933" s="126"/>
      <c r="T933" s="126"/>
      <c r="AZ933" s="126"/>
      <c r="BA933" s="126"/>
    </row>
    <row r="934" spans="5:53" x14ac:dyDescent="0.3">
      <c r="E934" s="126"/>
      <c r="F934" s="126"/>
      <c r="G934" s="126"/>
      <c r="Q934" s="126"/>
      <c r="T934" s="126"/>
      <c r="AZ934" s="126"/>
      <c r="BA934" s="126"/>
    </row>
    <row r="935" spans="5:53" x14ac:dyDescent="0.3">
      <c r="E935" s="126"/>
      <c r="F935" s="126"/>
      <c r="G935" s="126"/>
      <c r="Q935" s="126"/>
      <c r="T935" s="126"/>
      <c r="AZ935" s="126"/>
      <c r="BA935" s="126"/>
    </row>
    <row r="936" spans="5:53" x14ac:dyDescent="0.3">
      <c r="E936" s="126"/>
      <c r="F936" s="126"/>
      <c r="G936" s="126"/>
      <c r="Q936" s="126"/>
      <c r="T936" s="126"/>
      <c r="AZ936" s="126"/>
      <c r="BA936" s="126"/>
    </row>
    <row r="937" spans="5:53" x14ac:dyDescent="0.3">
      <c r="E937" s="126"/>
      <c r="F937" s="126"/>
      <c r="G937" s="126"/>
      <c r="Q937" s="126"/>
      <c r="T937" s="126"/>
      <c r="AZ937" s="126"/>
      <c r="BA937" s="126"/>
    </row>
    <row r="938" spans="5:53" x14ac:dyDescent="0.3">
      <c r="E938" s="126"/>
      <c r="F938" s="126"/>
      <c r="G938" s="126"/>
      <c r="Q938" s="126"/>
      <c r="T938" s="126"/>
      <c r="AZ938" s="126"/>
      <c r="BA938" s="126"/>
    </row>
    <row r="939" spans="5:53" x14ac:dyDescent="0.3">
      <c r="E939" s="126"/>
      <c r="F939" s="126"/>
      <c r="G939" s="126"/>
      <c r="Q939" s="126"/>
      <c r="T939" s="126"/>
      <c r="AZ939" s="126"/>
      <c r="BA939" s="126"/>
    </row>
    <row r="940" spans="5:53" x14ac:dyDescent="0.3">
      <c r="E940" s="126"/>
      <c r="F940" s="126"/>
      <c r="G940" s="126"/>
      <c r="Q940" s="126"/>
      <c r="T940" s="126"/>
      <c r="AZ940" s="126"/>
      <c r="BA940" s="126"/>
    </row>
    <row r="941" spans="5:53" x14ac:dyDescent="0.3">
      <c r="E941" s="126"/>
      <c r="F941" s="126"/>
      <c r="G941" s="126"/>
      <c r="Q941" s="126"/>
      <c r="T941" s="126"/>
      <c r="AZ941" s="126"/>
      <c r="BA941" s="126"/>
    </row>
    <row r="942" spans="5:53" x14ac:dyDescent="0.3">
      <c r="E942" s="126"/>
      <c r="F942" s="126"/>
      <c r="G942" s="126"/>
      <c r="Q942" s="126"/>
      <c r="T942" s="126"/>
      <c r="AZ942" s="126"/>
      <c r="BA942" s="126"/>
    </row>
    <row r="943" spans="5:53" x14ac:dyDescent="0.3">
      <c r="E943" s="126"/>
      <c r="F943" s="126"/>
      <c r="G943" s="126"/>
      <c r="Q943" s="126"/>
      <c r="T943" s="126"/>
      <c r="AZ943" s="126"/>
      <c r="BA943" s="126"/>
    </row>
    <row r="944" spans="5:53" x14ac:dyDescent="0.3">
      <c r="E944" s="126"/>
      <c r="F944" s="126"/>
      <c r="G944" s="126"/>
      <c r="Q944" s="126"/>
      <c r="T944" s="126"/>
      <c r="AZ944" s="126"/>
      <c r="BA944" s="126"/>
    </row>
    <row r="945" spans="5:53" x14ac:dyDescent="0.3">
      <c r="E945" s="126"/>
      <c r="F945" s="126"/>
      <c r="G945" s="126"/>
      <c r="Q945" s="126"/>
      <c r="T945" s="126"/>
      <c r="AZ945" s="126"/>
      <c r="BA945" s="126"/>
    </row>
    <row r="946" spans="5:53" x14ac:dyDescent="0.3">
      <c r="E946" s="126"/>
      <c r="F946" s="126"/>
      <c r="G946" s="126"/>
      <c r="Q946" s="126"/>
      <c r="T946" s="126"/>
      <c r="AZ946" s="126"/>
      <c r="BA946" s="126"/>
    </row>
    <row r="947" spans="5:53" x14ac:dyDescent="0.3">
      <c r="E947" s="126"/>
      <c r="F947" s="126"/>
      <c r="G947" s="126"/>
      <c r="Q947" s="126"/>
      <c r="T947" s="126"/>
      <c r="AZ947" s="126"/>
      <c r="BA947" s="126"/>
    </row>
    <row r="948" spans="5:53" x14ac:dyDescent="0.3">
      <c r="E948" s="126"/>
      <c r="F948" s="126"/>
      <c r="G948" s="126"/>
      <c r="Q948" s="126"/>
      <c r="T948" s="126"/>
      <c r="AZ948" s="126"/>
      <c r="BA948" s="126"/>
    </row>
    <row r="949" spans="5:53" x14ac:dyDescent="0.3">
      <c r="E949" s="126"/>
      <c r="F949" s="126"/>
      <c r="G949" s="126"/>
      <c r="Q949" s="126"/>
      <c r="T949" s="126"/>
      <c r="AZ949" s="126"/>
      <c r="BA949" s="126"/>
    </row>
    <row r="950" spans="5:53" x14ac:dyDescent="0.3">
      <c r="E950" s="126"/>
      <c r="F950" s="126"/>
      <c r="G950" s="126"/>
      <c r="Q950" s="126"/>
      <c r="T950" s="126"/>
      <c r="AZ950" s="126"/>
      <c r="BA950" s="126"/>
    </row>
    <row r="951" spans="5:53" x14ac:dyDescent="0.3">
      <c r="E951" s="126"/>
      <c r="F951" s="126"/>
      <c r="G951" s="126"/>
      <c r="Q951" s="126"/>
      <c r="T951" s="126"/>
      <c r="AZ951" s="126"/>
      <c r="BA951" s="126"/>
    </row>
    <row r="952" spans="5:53" x14ac:dyDescent="0.3">
      <c r="E952" s="126"/>
      <c r="F952" s="126"/>
      <c r="G952" s="126"/>
      <c r="Q952" s="126"/>
      <c r="T952" s="126"/>
      <c r="AZ952" s="126"/>
      <c r="BA952" s="126"/>
    </row>
    <row r="953" spans="5:53" x14ac:dyDescent="0.3">
      <c r="E953" s="126"/>
      <c r="F953" s="126"/>
      <c r="G953" s="126"/>
      <c r="Q953" s="126"/>
      <c r="T953" s="126"/>
      <c r="AZ953" s="126"/>
      <c r="BA953" s="126"/>
    </row>
    <row r="954" spans="5:53" x14ac:dyDescent="0.3">
      <c r="E954" s="126"/>
      <c r="F954" s="126"/>
      <c r="G954" s="126"/>
      <c r="Q954" s="126"/>
      <c r="T954" s="126"/>
      <c r="AZ954" s="126"/>
      <c r="BA954" s="126"/>
    </row>
    <row r="955" spans="5:53" x14ac:dyDescent="0.3">
      <c r="E955" s="126"/>
      <c r="F955" s="126"/>
      <c r="G955" s="126"/>
      <c r="Q955" s="126"/>
      <c r="T955" s="126"/>
      <c r="AZ955" s="126"/>
      <c r="BA955" s="126"/>
    </row>
    <row r="956" spans="5:53" x14ac:dyDescent="0.3">
      <c r="E956" s="126"/>
      <c r="F956" s="126"/>
      <c r="G956" s="126"/>
      <c r="Q956" s="126"/>
      <c r="T956" s="126"/>
      <c r="AZ956" s="126"/>
      <c r="BA956" s="126"/>
    </row>
    <row r="957" spans="5:53" x14ac:dyDescent="0.3">
      <c r="E957" s="126"/>
      <c r="F957" s="126"/>
      <c r="G957" s="126"/>
      <c r="Q957" s="126"/>
      <c r="T957" s="126"/>
      <c r="AZ957" s="126"/>
      <c r="BA957" s="126"/>
    </row>
    <row r="958" spans="5:53" x14ac:dyDescent="0.3">
      <c r="E958" s="126"/>
      <c r="F958" s="126"/>
      <c r="G958" s="126"/>
      <c r="Q958" s="126"/>
      <c r="T958" s="126"/>
      <c r="AZ958" s="126"/>
      <c r="BA958" s="126"/>
    </row>
    <row r="959" spans="5:53" x14ac:dyDescent="0.3">
      <c r="E959" s="126"/>
      <c r="F959" s="126"/>
      <c r="G959" s="126"/>
      <c r="Q959" s="126"/>
      <c r="T959" s="126"/>
      <c r="AZ959" s="126"/>
      <c r="BA959" s="126"/>
    </row>
    <row r="960" spans="5:53" x14ac:dyDescent="0.3">
      <c r="E960" s="126"/>
      <c r="F960" s="126"/>
      <c r="G960" s="126"/>
      <c r="Q960" s="126"/>
      <c r="T960" s="126"/>
      <c r="AZ960" s="126"/>
      <c r="BA960" s="126"/>
    </row>
    <row r="961" spans="5:53" x14ac:dyDescent="0.3">
      <c r="E961" s="126"/>
      <c r="F961" s="126"/>
      <c r="G961" s="126"/>
      <c r="Q961" s="126"/>
      <c r="T961" s="126"/>
      <c r="AZ961" s="126"/>
      <c r="BA961" s="126"/>
    </row>
    <row r="962" spans="5:53" x14ac:dyDescent="0.3">
      <c r="E962" s="126"/>
      <c r="F962" s="126"/>
      <c r="G962" s="126"/>
      <c r="Q962" s="126"/>
      <c r="T962" s="126"/>
      <c r="AZ962" s="126"/>
      <c r="BA962" s="126"/>
    </row>
    <row r="963" spans="5:53" x14ac:dyDescent="0.3">
      <c r="E963" s="126"/>
      <c r="F963" s="126"/>
      <c r="G963" s="126"/>
      <c r="Q963" s="126"/>
      <c r="T963" s="126"/>
      <c r="AZ963" s="126"/>
      <c r="BA963" s="126"/>
    </row>
    <row r="964" spans="5:53" x14ac:dyDescent="0.3">
      <c r="E964" s="126"/>
      <c r="F964" s="126"/>
      <c r="G964" s="126"/>
      <c r="Q964" s="126"/>
      <c r="T964" s="126"/>
      <c r="AZ964" s="126"/>
      <c r="BA964" s="126"/>
    </row>
    <row r="965" spans="5:53" x14ac:dyDescent="0.3">
      <c r="E965" s="126"/>
      <c r="F965" s="126"/>
      <c r="G965" s="126"/>
      <c r="Q965" s="126"/>
      <c r="T965" s="126"/>
      <c r="AZ965" s="126"/>
      <c r="BA965" s="126"/>
    </row>
    <row r="966" spans="5:53" x14ac:dyDescent="0.3">
      <c r="E966" s="126"/>
      <c r="F966" s="126"/>
      <c r="G966" s="126"/>
      <c r="Q966" s="126"/>
      <c r="T966" s="126"/>
      <c r="AZ966" s="126"/>
      <c r="BA966" s="126"/>
    </row>
    <row r="967" spans="5:53" x14ac:dyDescent="0.3">
      <c r="E967" s="126"/>
      <c r="F967" s="126"/>
      <c r="G967" s="126"/>
      <c r="Q967" s="126"/>
      <c r="T967" s="126"/>
      <c r="AZ967" s="126"/>
      <c r="BA967" s="126"/>
    </row>
    <row r="968" spans="5:53" x14ac:dyDescent="0.3">
      <c r="E968" s="126"/>
      <c r="F968" s="126"/>
      <c r="G968" s="126"/>
      <c r="Q968" s="126"/>
      <c r="T968" s="126"/>
      <c r="AZ968" s="126"/>
      <c r="BA968" s="126"/>
    </row>
    <row r="969" spans="5:53" x14ac:dyDescent="0.3">
      <c r="E969" s="126"/>
      <c r="F969" s="126"/>
      <c r="G969" s="126"/>
      <c r="Q969" s="126"/>
      <c r="T969" s="126"/>
      <c r="AZ969" s="126"/>
      <c r="BA969" s="126"/>
    </row>
    <row r="970" spans="5:53" x14ac:dyDescent="0.3">
      <c r="E970" s="126"/>
      <c r="F970" s="126"/>
      <c r="G970" s="126"/>
      <c r="Q970" s="126"/>
      <c r="T970" s="126"/>
      <c r="AZ970" s="126"/>
      <c r="BA970" s="126"/>
    </row>
    <row r="971" spans="5:53" x14ac:dyDescent="0.3">
      <c r="E971" s="126"/>
      <c r="F971" s="126"/>
      <c r="G971" s="126"/>
      <c r="Q971" s="126"/>
      <c r="T971" s="126"/>
      <c r="AZ971" s="126"/>
      <c r="BA971" s="126"/>
    </row>
    <row r="972" spans="5:53" x14ac:dyDescent="0.3">
      <c r="E972" s="126"/>
      <c r="F972" s="126"/>
      <c r="G972" s="126"/>
      <c r="Q972" s="126"/>
      <c r="T972" s="126"/>
      <c r="AZ972" s="126"/>
      <c r="BA972" s="126"/>
    </row>
    <row r="973" spans="5:53" x14ac:dyDescent="0.3">
      <c r="E973" s="126"/>
      <c r="F973" s="126"/>
      <c r="G973" s="126"/>
      <c r="Q973" s="126"/>
      <c r="T973" s="126"/>
      <c r="AZ973" s="126"/>
      <c r="BA973" s="126"/>
    </row>
    <row r="974" spans="5:53" x14ac:dyDescent="0.3">
      <c r="E974" s="126"/>
      <c r="F974" s="126"/>
      <c r="G974" s="126"/>
      <c r="Q974" s="126"/>
      <c r="T974" s="126"/>
      <c r="AZ974" s="126"/>
      <c r="BA974" s="126"/>
    </row>
    <row r="975" spans="5:53" x14ac:dyDescent="0.3">
      <c r="E975" s="126"/>
      <c r="F975" s="126"/>
      <c r="G975" s="126"/>
      <c r="Q975" s="126"/>
      <c r="T975" s="126"/>
      <c r="AZ975" s="126"/>
      <c r="BA975" s="126"/>
    </row>
    <row r="976" spans="5:53" x14ac:dyDescent="0.3">
      <c r="E976" s="126"/>
      <c r="F976" s="126"/>
      <c r="G976" s="126"/>
      <c r="Q976" s="126"/>
      <c r="T976" s="126"/>
      <c r="AZ976" s="126"/>
      <c r="BA976" s="126"/>
    </row>
    <row r="977" spans="5:53" x14ac:dyDescent="0.3">
      <c r="E977" s="126"/>
      <c r="F977" s="126"/>
      <c r="G977" s="126"/>
      <c r="Q977" s="126"/>
      <c r="T977" s="126"/>
      <c r="AZ977" s="126"/>
      <c r="BA977" s="126"/>
    </row>
    <row r="978" spans="5:53" x14ac:dyDescent="0.3">
      <c r="E978" s="126"/>
      <c r="F978" s="126"/>
      <c r="G978" s="126"/>
      <c r="Q978" s="126"/>
      <c r="T978" s="126"/>
      <c r="AZ978" s="126"/>
      <c r="BA978" s="126"/>
    </row>
    <row r="979" spans="5:53" x14ac:dyDescent="0.3">
      <c r="E979" s="126"/>
      <c r="F979" s="126"/>
      <c r="G979" s="126"/>
      <c r="Q979" s="126"/>
      <c r="T979" s="126"/>
      <c r="AZ979" s="126"/>
      <c r="BA979" s="126"/>
    </row>
    <row r="980" spans="5:53" x14ac:dyDescent="0.3">
      <c r="E980" s="126"/>
      <c r="F980" s="126"/>
      <c r="G980" s="126"/>
      <c r="Q980" s="126"/>
      <c r="T980" s="126"/>
      <c r="AZ980" s="126"/>
      <c r="BA980" s="126"/>
    </row>
    <row r="981" spans="5:53" x14ac:dyDescent="0.3">
      <c r="E981" s="126"/>
      <c r="F981" s="126"/>
      <c r="G981" s="126"/>
      <c r="Q981" s="126"/>
      <c r="T981" s="126"/>
      <c r="AZ981" s="126"/>
      <c r="BA981" s="126"/>
    </row>
    <row r="982" spans="5:53" x14ac:dyDescent="0.3">
      <c r="E982" s="126"/>
      <c r="F982" s="126"/>
      <c r="G982" s="126"/>
      <c r="Q982" s="126"/>
      <c r="T982" s="126"/>
      <c r="AZ982" s="126"/>
      <c r="BA982" s="126"/>
    </row>
    <row r="983" spans="5:53" x14ac:dyDescent="0.3">
      <c r="E983" s="126"/>
      <c r="F983" s="126"/>
      <c r="G983" s="126"/>
      <c r="Q983" s="126"/>
      <c r="T983" s="126"/>
      <c r="AZ983" s="126"/>
      <c r="BA983" s="126"/>
    </row>
    <row r="984" spans="5:53" x14ac:dyDescent="0.3">
      <c r="E984" s="126"/>
      <c r="F984" s="126"/>
      <c r="G984" s="126"/>
      <c r="Q984" s="126"/>
      <c r="T984" s="126"/>
      <c r="AZ984" s="126"/>
      <c r="BA984" s="126"/>
    </row>
    <row r="985" spans="5:53" x14ac:dyDescent="0.3">
      <c r="E985" s="126"/>
      <c r="F985" s="126"/>
      <c r="G985" s="126"/>
      <c r="Q985" s="126"/>
      <c r="T985" s="126"/>
      <c r="AZ985" s="126"/>
      <c r="BA985" s="126"/>
    </row>
    <row r="986" spans="5:53" x14ac:dyDescent="0.3">
      <c r="E986" s="126"/>
      <c r="F986" s="126"/>
      <c r="G986" s="126"/>
      <c r="Q986" s="126"/>
      <c r="T986" s="126"/>
      <c r="AZ986" s="126"/>
      <c r="BA986" s="126"/>
    </row>
    <row r="987" spans="5:53" x14ac:dyDescent="0.3">
      <c r="E987" s="126"/>
      <c r="F987" s="126"/>
      <c r="G987" s="126"/>
      <c r="Q987" s="126"/>
      <c r="T987" s="126"/>
      <c r="AZ987" s="126"/>
      <c r="BA987" s="126"/>
    </row>
    <row r="988" spans="5:53" x14ac:dyDescent="0.3">
      <c r="E988" s="126"/>
      <c r="F988" s="126"/>
      <c r="G988" s="126"/>
      <c r="Q988" s="126"/>
      <c r="T988" s="126"/>
      <c r="AZ988" s="126"/>
      <c r="BA988" s="126"/>
    </row>
    <row r="989" spans="5:53" x14ac:dyDescent="0.3">
      <c r="E989" s="126"/>
      <c r="F989" s="126"/>
      <c r="G989" s="126"/>
      <c r="Q989" s="126"/>
      <c r="T989" s="126"/>
      <c r="AZ989" s="126"/>
      <c r="BA989" s="126"/>
    </row>
    <row r="990" spans="5:53" x14ac:dyDescent="0.3">
      <c r="E990" s="126"/>
      <c r="F990" s="126"/>
      <c r="G990" s="126"/>
      <c r="Q990" s="126"/>
      <c r="T990" s="126"/>
      <c r="AZ990" s="126"/>
      <c r="BA990" s="126"/>
    </row>
    <row r="991" spans="5:53" x14ac:dyDescent="0.3">
      <c r="E991" s="126"/>
      <c r="F991" s="126"/>
      <c r="G991" s="126"/>
      <c r="Q991" s="126"/>
      <c r="T991" s="126"/>
      <c r="AZ991" s="126"/>
      <c r="BA991" s="126"/>
    </row>
    <row r="992" spans="5:53" x14ac:dyDescent="0.3">
      <c r="E992" s="126"/>
      <c r="F992" s="126"/>
      <c r="G992" s="126"/>
      <c r="Q992" s="126"/>
      <c r="T992" s="126"/>
      <c r="AZ992" s="126"/>
      <c r="BA992" s="126"/>
    </row>
    <row r="993" spans="5:53" x14ac:dyDescent="0.3">
      <c r="E993" s="126"/>
      <c r="F993" s="126"/>
      <c r="G993" s="126"/>
      <c r="Q993" s="126"/>
      <c r="T993" s="126"/>
      <c r="AZ993" s="126"/>
      <c r="BA993" s="126"/>
    </row>
    <row r="994" spans="5:53" x14ac:dyDescent="0.3">
      <c r="E994" s="126"/>
      <c r="F994" s="126"/>
      <c r="G994" s="126"/>
      <c r="Q994" s="126"/>
      <c r="T994" s="126"/>
      <c r="AZ994" s="126"/>
      <c r="BA994" s="126"/>
    </row>
    <row r="995" spans="5:53" x14ac:dyDescent="0.3">
      <c r="E995" s="126"/>
      <c r="F995" s="126"/>
      <c r="G995" s="126"/>
      <c r="Q995" s="126"/>
      <c r="T995" s="126"/>
      <c r="AZ995" s="126"/>
      <c r="BA995" s="126"/>
    </row>
    <row r="996" spans="5:53" x14ac:dyDescent="0.3">
      <c r="E996" s="126"/>
      <c r="F996" s="126"/>
      <c r="G996" s="126"/>
      <c r="Q996" s="126"/>
      <c r="T996" s="126"/>
      <c r="AZ996" s="126"/>
      <c r="BA996" s="126"/>
    </row>
    <row r="997" spans="5:53" x14ac:dyDescent="0.3">
      <c r="E997" s="126"/>
      <c r="F997" s="126"/>
      <c r="G997" s="126"/>
      <c r="Q997" s="126"/>
      <c r="T997" s="126"/>
      <c r="AZ997" s="126"/>
      <c r="BA997" s="126"/>
    </row>
    <row r="998" spans="5:53" x14ac:dyDescent="0.3">
      <c r="E998" s="126"/>
      <c r="F998" s="126"/>
      <c r="G998" s="126"/>
      <c r="Q998" s="126"/>
      <c r="T998" s="126"/>
      <c r="AZ998" s="126"/>
      <c r="BA998" s="126"/>
    </row>
    <row r="999" spans="5:53" x14ac:dyDescent="0.3">
      <c r="E999" s="126"/>
      <c r="F999" s="126"/>
      <c r="G999" s="126"/>
      <c r="Q999" s="126"/>
      <c r="T999" s="126"/>
      <c r="AZ999" s="126"/>
      <c r="BA999" s="126"/>
    </row>
    <row r="1000" spans="5:53" x14ac:dyDescent="0.3">
      <c r="E1000" s="126"/>
      <c r="F1000" s="126"/>
      <c r="G1000" s="126"/>
      <c r="Q1000" s="126"/>
      <c r="T1000" s="126"/>
      <c r="AZ1000" s="126"/>
      <c r="BA1000" s="126"/>
    </row>
    <row r="1001" spans="5:53" x14ac:dyDescent="0.3">
      <c r="E1001" s="126"/>
      <c r="F1001" s="126"/>
      <c r="G1001" s="126"/>
      <c r="Q1001" s="126"/>
      <c r="T1001" s="126"/>
      <c r="AZ1001" s="126"/>
      <c r="BA1001" s="126"/>
    </row>
    <row r="1002" spans="5:53" x14ac:dyDescent="0.3">
      <c r="E1002" s="126"/>
      <c r="F1002" s="126"/>
      <c r="G1002" s="126"/>
      <c r="Q1002" s="126"/>
      <c r="T1002" s="126"/>
      <c r="AZ1002" s="126"/>
      <c r="BA1002" s="126"/>
    </row>
    <row r="1003" spans="5:53" x14ac:dyDescent="0.3">
      <c r="E1003" s="126"/>
      <c r="F1003" s="126"/>
      <c r="G1003" s="126"/>
      <c r="Q1003" s="126"/>
      <c r="T1003" s="126"/>
      <c r="AZ1003" s="126"/>
      <c r="BA1003" s="126"/>
    </row>
    <row r="1004" spans="5:53" x14ac:dyDescent="0.3">
      <c r="E1004" s="126"/>
      <c r="F1004" s="126"/>
      <c r="G1004" s="126"/>
      <c r="Q1004" s="126"/>
      <c r="T1004" s="126"/>
      <c r="AZ1004" s="126"/>
      <c r="BA1004" s="126"/>
    </row>
    <row r="1005" spans="5:53" x14ac:dyDescent="0.3">
      <c r="E1005" s="126"/>
      <c r="F1005" s="126"/>
      <c r="G1005" s="126"/>
      <c r="Q1005" s="126"/>
      <c r="T1005" s="126"/>
      <c r="AZ1005" s="126"/>
      <c r="BA1005" s="126"/>
    </row>
    <row r="1006" spans="5:53" x14ac:dyDescent="0.3">
      <c r="E1006" s="126"/>
      <c r="F1006" s="126"/>
      <c r="G1006" s="126"/>
      <c r="Q1006" s="126"/>
      <c r="T1006" s="126"/>
      <c r="AZ1006" s="126"/>
      <c r="BA1006" s="126"/>
    </row>
    <row r="1007" spans="5:53" x14ac:dyDescent="0.3">
      <c r="E1007" s="126"/>
      <c r="F1007" s="126"/>
      <c r="G1007" s="126"/>
      <c r="Q1007" s="126"/>
      <c r="T1007" s="126"/>
      <c r="AZ1007" s="126"/>
      <c r="BA1007" s="126"/>
    </row>
    <row r="1008" spans="5:53" x14ac:dyDescent="0.3">
      <c r="E1008" s="126"/>
      <c r="F1008" s="126"/>
      <c r="G1008" s="126"/>
      <c r="Q1008" s="126"/>
      <c r="T1008" s="126"/>
      <c r="AZ1008" s="126"/>
      <c r="BA1008" s="126"/>
    </row>
    <row r="1009" spans="5:53" x14ac:dyDescent="0.3">
      <c r="E1009" s="126"/>
      <c r="F1009" s="126"/>
      <c r="G1009" s="126"/>
      <c r="Q1009" s="126"/>
      <c r="T1009" s="126"/>
      <c r="AZ1009" s="126"/>
      <c r="BA1009" s="126"/>
    </row>
    <row r="1010" spans="5:53" x14ac:dyDescent="0.3">
      <c r="E1010" s="126"/>
      <c r="F1010" s="126"/>
      <c r="G1010" s="126"/>
      <c r="Q1010" s="126"/>
      <c r="T1010" s="126"/>
      <c r="AZ1010" s="126"/>
      <c r="BA1010" s="126"/>
    </row>
    <row r="1011" spans="5:53" x14ac:dyDescent="0.3">
      <c r="E1011" s="126"/>
      <c r="F1011" s="126"/>
      <c r="G1011" s="126"/>
      <c r="Q1011" s="126"/>
      <c r="T1011" s="126"/>
      <c r="AZ1011" s="126"/>
      <c r="BA1011" s="126"/>
    </row>
    <row r="1012" spans="5:53" x14ac:dyDescent="0.3">
      <c r="E1012" s="126"/>
      <c r="F1012" s="126"/>
      <c r="G1012" s="126"/>
      <c r="Q1012" s="126"/>
      <c r="T1012" s="126"/>
      <c r="AZ1012" s="126"/>
      <c r="BA1012" s="126"/>
    </row>
    <row r="1013" spans="5:53" x14ac:dyDescent="0.3">
      <c r="E1013" s="126"/>
      <c r="F1013" s="126"/>
      <c r="G1013" s="126"/>
      <c r="Q1013" s="126"/>
      <c r="T1013" s="126"/>
      <c r="AZ1013" s="126"/>
      <c r="BA1013" s="126"/>
    </row>
    <row r="1014" spans="5:53" x14ac:dyDescent="0.3">
      <c r="E1014" s="126"/>
      <c r="F1014" s="126"/>
      <c r="G1014" s="126"/>
      <c r="Q1014" s="126"/>
      <c r="T1014" s="126"/>
      <c r="AZ1014" s="126"/>
      <c r="BA1014" s="126"/>
    </row>
    <row r="1015" spans="5:53" x14ac:dyDescent="0.3">
      <c r="E1015" s="126"/>
      <c r="F1015" s="126"/>
      <c r="AZ1015" s="126"/>
      <c r="BA1015" s="126"/>
    </row>
    <row r="1016" spans="5:53" x14ac:dyDescent="0.3">
      <c r="E1016" s="126"/>
      <c r="F1016" s="126"/>
      <c r="AZ1016" s="126"/>
      <c r="BA1016" s="126"/>
    </row>
    <row r="1017" spans="5:53" x14ac:dyDescent="0.3">
      <c r="E1017" s="126"/>
      <c r="F1017" s="126"/>
      <c r="AZ1017" s="126"/>
      <c r="BA1017" s="126"/>
    </row>
    <row r="1018" spans="5:53" x14ac:dyDescent="0.3">
      <c r="E1018" s="126"/>
      <c r="F1018" s="126"/>
      <c r="AZ1018" s="126"/>
      <c r="BA1018" s="126"/>
    </row>
    <row r="1019" spans="5:53" x14ac:dyDescent="0.3">
      <c r="E1019" s="126"/>
      <c r="F1019" s="126"/>
      <c r="AZ1019" s="126"/>
      <c r="BA1019" s="126"/>
    </row>
    <row r="1020" spans="5:53" x14ac:dyDescent="0.3">
      <c r="E1020" s="126"/>
      <c r="F1020" s="126"/>
      <c r="AZ1020" s="126"/>
      <c r="BA1020" s="126"/>
    </row>
    <row r="1021" spans="5:53" x14ac:dyDescent="0.3">
      <c r="E1021" s="126"/>
      <c r="F1021" s="126"/>
      <c r="AZ1021" s="126"/>
      <c r="BA1021" s="126"/>
    </row>
    <row r="1022" spans="5:53" x14ac:dyDescent="0.3">
      <c r="E1022" s="126"/>
      <c r="F1022" s="126"/>
      <c r="AZ1022" s="126"/>
      <c r="BA1022" s="126"/>
    </row>
    <row r="1023" spans="5:53" x14ac:dyDescent="0.3">
      <c r="E1023" s="126"/>
      <c r="F1023" s="126"/>
      <c r="AZ1023" s="126"/>
      <c r="BA1023" s="126"/>
    </row>
    <row r="1024" spans="5:53" x14ac:dyDescent="0.3">
      <c r="E1024" s="126"/>
      <c r="F1024" s="126"/>
      <c r="AZ1024" s="126"/>
      <c r="BA1024" s="126"/>
    </row>
    <row r="1025" spans="5:53" x14ac:dyDescent="0.3">
      <c r="E1025" s="126"/>
      <c r="F1025" s="126"/>
      <c r="AZ1025" s="126"/>
      <c r="BA1025" s="126"/>
    </row>
    <row r="1026" spans="5:53" x14ac:dyDescent="0.3">
      <c r="E1026" s="126"/>
      <c r="F1026" s="126"/>
      <c r="AZ1026" s="126"/>
      <c r="BA1026" s="126"/>
    </row>
    <row r="1027" spans="5:53" x14ac:dyDescent="0.3">
      <c r="E1027" s="126"/>
      <c r="F1027" s="126"/>
      <c r="AZ1027" s="126"/>
      <c r="BA1027" s="126"/>
    </row>
    <row r="1028" spans="5:53" x14ac:dyDescent="0.3">
      <c r="E1028" s="126"/>
      <c r="F1028" s="126"/>
      <c r="AZ1028" s="126"/>
      <c r="BA1028" s="126"/>
    </row>
    <row r="1029" spans="5:53" x14ac:dyDescent="0.3">
      <c r="E1029" s="126"/>
      <c r="F1029" s="126"/>
      <c r="AZ1029" s="126"/>
      <c r="BA1029" s="126"/>
    </row>
    <row r="1030" spans="5:53" x14ac:dyDescent="0.3">
      <c r="E1030" s="126"/>
      <c r="F1030" s="126"/>
      <c r="AZ1030" s="126"/>
      <c r="BA1030" s="126"/>
    </row>
    <row r="1031" spans="5:53" x14ac:dyDescent="0.3">
      <c r="E1031" s="126"/>
      <c r="F1031" s="126"/>
      <c r="AZ1031" s="126"/>
      <c r="BA1031" s="126"/>
    </row>
    <row r="1032" spans="5:53" x14ac:dyDescent="0.3">
      <c r="E1032" s="126"/>
      <c r="F1032" s="126"/>
      <c r="AZ1032" s="126"/>
      <c r="BA1032" s="126"/>
    </row>
    <row r="1033" spans="5:53" x14ac:dyDescent="0.3">
      <c r="E1033" s="126"/>
      <c r="F1033" s="126"/>
      <c r="AZ1033" s="126"/>
      <c r="BA1033" s="126"/>
    </row>
    <row r="1034" spans="5:53" x14ac:dyDescent="0.3">
      <c r="E1034" s="126"/>
      <c r="F1034" s="126"/>
      <c r="AZ1034" s="126"/>
      <c r="BA1034" s="126"/>
    </row>
    <row r="1035" spans="5:53" x14ac:dyDescent="0.3">
      <c r="E1035" s="126"/>
      <c r="F1035" s="126"/>
      <c r="AZ1035" s="126"/>
      <c r="BA1035" s="126"/>
    </row>
    <row r="1036" spans="5:53" x14ac:dyDescent="0.3">
      <c r="E1036" s="126"/>
      <c r="F1036" s="126"/>
      <c r="AZ1036" s="126"/>
      <c r="BA1036" s="126"/>
    </row>
    <row r="1037" spans="5:53" x14ac:dyDescent="0.3">
      <c r="E1037" s="126"/>
      <c r="F1037" s="126"/>
      <c r="AZ1037" s="126"/>
      <c r="BA1037" s="126"/>
    </row>
    <row r="1038" spans="5:53" x14ac:dyDescent="0.3">
      <c r="E1038" s="126"/>
      <c r="F1038" s="126"/>
      <c r="AZ1038" s="126"/>
      <c r="BA1038" s="126"/>
    </row>
    <row r="1039" spans="5:53" x14ac:dyDescent="0.3">
      <c r="E1039" s="126"/>
      <c r="F1039" s="126"/>
      <c r="AZ1039" s="126"/>
      <c r="BA1039" s="126"/>
    </row>
    <row r="1040" spans="5:53" x14ac:dyDescent="0.3">
      <c r="E1040" s="126"/>
      <c r="F1040" s="126"/>
      <c r="AZ1040" s="126"/>
      <c r="BA1040" s="126"/>
    </row>
    <row r="1041" spans="5:53" x14ac:dyDescent="0.3">
      <c r="E1041" s="126"/>
      <c r="F1041" s="126"/>
      <c r="AZ1041" s="126"/>
      <c r="BA1041" s="126"/>
    </row>
    <row r="1042" spans="5:53" x14ac:dyDescent="0.3">
      <c r="E1042" s="126"/>
      <c r="F1042" s="126"/>
      <c r="AZ1042" s="126"/>
      <c r="BA1042" s="126"/>
    </row>
    <row r="1043" spans="5:53" x14ac:dyDescent="0.3">
      <c r="E1043" s="126"/>
      <c r="F1043" s="126"/>
      <c r="AZ1043" s="126"/>
      <c r="BA1043" s="126"/>
    </row>
    <row r="1044" spans="5:53" x14ac:dyDescent="0.3">
      <c r="E1044" s="126"/>
      <c r="F1044" s="126"/>
      <c r="AZ1044" s="126"/>
      <c r="BA1044" s="126"/>
    </row>
    <row r="1045" spans="5:53" x14ac:dyDescent="0.3">
      <c r="E1045" s="126"/>
      <c r="F1045" s="126"/>
      <c r="AZ1045" s="126"/>
      <c r="BA1045" s="126"/>
    </row>
    <row r="1046" spans="5:53" x14ac:dyDescent="0.3">
      <c r="E1046" s="126"/>
      <c r="F1046" s="126"/>
      <c r="AZ1046" s="126"/>
      <c r="BA1046" s="126"/>
    </row>
    <row r="1047" spans="5:53" x14ac:dyDescent="0.3">
      <c r="E1047" s="126"/>
      <c r="F1047" s="126"/>
      <c r="AZ1047" s="126"/>
      <c r="BA1047" s="126"/>
    </row>
    <row r="1048" spans="5:53" x14ac:dyDescent="0.3">
      <c r="E1048" s="126"/>
      <c r="F1048" s="126"/>
      <c r="AZ1048" s="126"/>
      <c r="BA1048" s="126"/>
    </row>
    <row r="1049" spans="5:53" x14ac:dyDescent="0.3">
      <c r="E1049" s="126"/>
      <c r="F1049" s="126"/>
      <c r="AZ1049" s="126"/>
      <c r="BA1049" s="126"/>
    </row>
    <row r="1050" spans="5:53" x14ac:dyDescent="0.3">
      <c r="E1050" s="126"/>
      <c r="F1050" s="126"/>
      <c r="AZ1050" s="126"/>
      <c r="BA1050" s="126"/>
    </row>
    <row r="1051" spans="5:53" x14ac:dyDescent="0.3">
      <c r="E1051" s="126"/>
      <c r="F1051" s="126"/>
      <c r="AZ1051" s="126"/>
      <c r="BA1051" s="126"/>
    </row>
    <row r="1052" spans="5:53" x14ac:dyDescent="0.3">
      <c r="E1052" s="126"/>
      <c r="F1052" s="126"/>
      <c r="AZ1052" s="126"/>
      <c r="BA1052" s="126"/>
    </row>
    <row r="1053" spans="5:53" x14ac:dyDescent="0.3">
      <c r="E1053" s="126"/>
      <c r="F1053" s="126"/>
      <c r="AZ1053" s="126"/>
      <c r="BA1053" s="126"/>
    </row>
    <row r="1054" spans="5:53" x14ac:dyDescent="0.3">
      <c r="E1054" s="126"/>
      <c r="F1054" s="126"/>
      <c r="AZ1054" s="126"/>
      <c r="BA1054" s="126"/>
    </row>
    <row r="1055" spans="5:53" x14ac:dyDescent="0.3">
      <c r="E1055" s="126"/>
      <c r="F1055" s="126"/>
      <c r="AZ1055" s="126"/>
      <c r="BA1055" s="126"/>
    </row>
    <row r="1056" spans="5:53" x14ac:dyDescent="0.3">
      <c r="E1056" s="126"/>
      <c r="F1056" s="126"/>
      <c r="AZ1056" s="126"/>
      <c r="BA1056" s="126"/>
    </row>
    <row r="1057" spans="5:53" x14ac:dyDescent="0.3">
      <c r="E1057" s="126"/>
      <c r="F1057" s="126"/>
      <c r="AZ1057" s="126"/>
      <c r="BA1057" s="126"/>
    </row>
    <row r="1058" spans="5:53" x14ac:dyDescent="0.3">
      <c r="E1058" s="126"/>
      <c r="F1058" s="126"/>
      <c r="AZ1058" s="126"/>
      <c r="BA1058" s="126"/>
    </row>
    <row r="1059" spans="5:53" x14ac:dyDescent="0.3">
      <c r="E1059" s="126"/>
      <c r="F1059" s="126"/>
      <c r="AZ1059" s="126"/>
      <c r="BA1059" s="126"/>
    </row>
    <row r="1060" spans="5:53" x14ac:dyDescent="0.3">
      <c r="E1060" s="126"/>
      <c r="F1060" s="126"/>
      <c r="AZ1060" s="126"/>
      <c r="BA1060" s="126"/>
    </row>
    <row r="1061" spans="5:53" x14ac:dyDescent="0.3">
      <c r="E1061" s="126"/>
      <c r="F1061" s="126"/>
      <c r="AZ1061" s="126"/>
      <c r="BA1061" s="126"/>
    </row>
    <row r="1062" spans="5:53" x14ac:dyDescent="0.3">
      <c r="E1062" s="126"/>
      <c r="F1062" s="126"/>
      <c r="AZ1062" s="126"/>
      <c r="BA1062" s="126"/>
    </row>
    <row r="1063" spans="5:53" x14ac:dyDescent="0.3">
      <c r="E1063" s="126"/>
      <c r="F1063" s="126"/>
      <c r="AZ1063" s="126"/>
      <c r="BA1063" s="126"/>
    </row>
    <row r="1064" spans="5:53" x14ac:dyDescent="0.3">
      <c r="E1064" s="126"/>
      <c r="F1064" s="126"/>
      <c r="AZ1064" s="126"/>
      <c r="BA1064" s="126"/>
    </row>
    <row r="1065" spans="5:53" x14ac:dyDescent="0.3">
      <c r="E1065" s="126"/>
      <c r="F1065" s="126"/>
      <c r="AZ1065" s="126"/>
      <c r="BA1065" s="126"/>
    </row>
    <row r="1066" spans="5:53" x14ac:dyDescent="0.3">
      <c r="E1066" s="126"/>
      <c r="F1066" s="126"/>
      <c r="AZ1066" s="126"/>
      <c r="BA1066" s="126"/>
    </row>
    <row r="1067" spans="5:53" x14ac:dyDescent="0.3">
      <c r="E1067" s="126"/>
      <c r="F1067" s="126"/>
      <c r="AZ1067" s="126"/>
      <c r="BA1067" s="126"/>
    </row>
    <row r="1068" spans="5:53" x14ac:dyDescent="0.3">
      <c r="E1068" s="126"/>
      <c r="F1068" s="126"/>
      <c r="AZ1068" s="126"/>
      <c r="BA1068" s="126"/>
    </row>
    <row r="1069" spans="5:53" x14ac:dyDescent="0.3">
      <c r="E1069" s="126"/>
      <c r="F1069" s="126"/>
      <c r="AZ1069" s="126"/>
      <c r="BA1069" s="126"/>
    </row>
    <row r="1070" spans="5:53" x14ac:dyDescent="0.3">
      <c r="E1070" s="126"/>
      <c r="F1070" s="126"/>
      <c r="AZ1070" s="126"/>
      <c r="BA1070" s="126"/>
    </row>
    <row r="1071" spans="5:53" x14ac:dyDescent="0.3">
      <c r="E1071" s="126"/>
      <c r="F1071" s="126"/>
      <c r="AZ1071" s="126"/>
      <c r="BA1071" s="126"/>
    </row>
    <row r="1072" spans="5:53" x14ac:dyDescent="0.3">
      <c r="E1072" s="126"/>
      <c r="F1072" s="126"/>
      <c r="AZ1072" s="126"/>
      <c r="BA1072" s="126"/>
    </row>
    <row r="1073" spans="5:53" x14ac:dyDescent="0.3">
      <c r="E1073" s="126"/>
      <c r="F1073" s="126"/>
      <c r="AZ1073" s="126"/>
      <c r="BA1073" s="126"/>
    </row>
    <row r="1074" spans="5:53" x14ac:dyDescent="0.3">
      <c r="E1074" s="126"/>
      <c r="F1074" s="126"/>
      <c r="AZ1074" s="126"/>
      <c r="BA1074" s="126"/>
    </row>
    <row r="1075" spans="5:53" x14ac:dyDescent="0.3">
      <c r="E1075" s="126"/>
      <c r="F1075" s="126"/>
      <c r="AZ1075" s="126"/>
      <c r="BA1075" s="126"/>
    </row>
    <row r="1076" spans="5:53" x14ac:dyDescent="0.3">
      <c r="E1076" s="126"/>
      <c r="F1076" s="126"/>
      <c r="AZ1076" s="126"/>
      <c r="BA1076" s="126"/>
    </row>
    <row r="1077" spans="5:53" x14ac:dyDescent="0.3">
      <c r="E1077" s="126"/>
      <c r="F1077" s="126"/>
      <c r="AZ1077" s="126"/>
      <c r="BA1077" s="126"/>
    </row>
    <row r="1078" spans="5:53" x14ac:dyDescent="0.3">
      <c r="E1078" s="126"/>
      <c r="F1078" s="126"/>
      <c r="AZ1078" s="126"/>
      <c r="BA1078" s="126"/>
    </row>
    <row r="1079" spans="5:53" x14ac:dyDescent="0.3">
      <c r="E1079" s="126"/>
      <c r="F1079" s="126"/>
      <c r="AZ1079" s="126"/>
      <c r="BA1079" s="126"/>
    </row>
    <row r="1080" spans="5:53" x14ac:dyDescent="0.3">
      <c r="E1080" s="126"/>
      <c r="F1080" s="126"/>
      <c r="AZ1080" s="126"/>
      <c r="BA1080" s="126"/>
    </row>
    <row r="1081" spans="5:53" x14ac:dyDescent="0.3">
      <c r="E1081" s="126"/>
      <c r="F1081" s="126"/>
      <c r="AZ1081" s="126"/>
      <c r="BA1081" s="126"/>
    </row>
    <row r="1082" spans="5:53" x14ac:dyDescent="0.3">
      <c r="E1082" s="126"/>
      <c r="F1082" s="126"/>
      <c r="AZ1082" s="126"/>
      <c r="BA1082" s="126"/>
    </row>
    <row r="1083" spans="5:53" x14ac:dyDescent="0.3">
      <c r="E1083" s="126"/>
      <c r="F1083" s="126"/>
      <c r="AZ1083" s="126"/>
      <c r="BA1083" s="126"/>
    </row>
    <row r="1084" spans="5:53" x14ac:dyDescent="0.3">
      <c r="E1084" s="126"/>
      <c r="F1084" s="126"/>
      <c r="AZ1084" s="126"/>
      <c r="BA1084" s="126"/>
    </row>
    <row r="1085" spans="5:53" x14ac:dyDescent="0.3">
      <c r="E1085" s="126"/>
      <c r="F1085" s="126"/>
      <c r="AZ1085" s="126"/>
      <c r="BA1085" s="126"/>
    </row>
    <row r="1086" spans="5:53" x14ac:dyDescent="0.3">
      <c r="E1086" s="126"/>
      <c r="F1086" s="126"/>
      <c r="AZ1086" s="126"/>
      <c r="BA1086" s="126"/>
    </row>
    <row r="1087" spans="5:53" x14ac:dyDescent="0.3">
      <c r="E1087" s="126"/>
      <c r="F1087" s="126"/>
      <c r="AZ1087" s="126"/>
      <c r="BA1087" s="126"/>
    </row>
    <row r="1088" spans="5:53" x14ac:dyDescent="0.3">
      <c r="E1088" s="126"/>
      <c r="F1088" s="126"/>
      <c r="AZ1088" s="126"/>
      <c r="BA1088" s="126"/>
    </row>
    <row r="1089" spans="5:53" x14ac:dyDescent="0.3">
      <c r="E1089" s="126"/>
      <c r="F1089" s="126"/>
      <c r="AZ1089" s="126"/>
      <c r="BA1089" s="126"/>
    </row>
    <row r="1090" spans="5:53" x14ac:dyDescent="0.3">
      <c r="E1090" s="126"/>
      <c r="F1090" s="126"/>
      <c r="AZ1090" s="126"/>
      <c r="BA1090" s="126"/>
    </row>
    <row r="1091" spans="5:53" x14ac:dyDescent="0.3">
      <c r="E1091" s="126"/>
      <c r="F1091" s="126"/>
      <c r="AZ1091" s="126"/>
      <c r="BA1091" s="126"/>
    </row>
    <row r="1092" spans="5:53" x14ac:dyDescent="0.3">
      <c r="E1092" s="126"/>
      <c r="F1092" s="126"/>
      <c r="AZ1092" s="126"/>
      <c r="BA1092" s="126"/>
    </row>
    <row r="1093" spans="5:53" x14ac:dyDescent="0.3">
      <c r="E1093" s="126"/>
      <c r="F1093" s="126"/>
      <c r="AZ1093" s="126"/>
      <c r="BA1093" s="126"/>
    </row>
    <row r="1094" spans="5:53" x14ac:dyDescent="0.3">
      <c r="E1094" s="126"/>
      <c r="F1094" s="126"/>
      <c r="AZ1094" s="126"/>
      <c r="BA1094" s="126"/>
    </row>
    <row r="1095" spans="5:53" x14ac:dyDescent="0.3">
      <c r="E1095" s="126"/>
      <c r="F1095" s="126"/>
      <c r="AZ1095" s="126"/>
      <c r="BA1095" s="126"/>
    </row>
    <row r="1096" spans="5:53" x14ac:dyDescent="0.3">
      <c r="E1096" s="126"/>
      <c r="F1096" s="126"/>
      <c r="AZ1096" s="126"/>
      <c r="BA1096" s="126"/>
    </row>
    <row r="1097" spans="5:53" x14ac:dyDescent="0.3">
      <c r="E1097" s="126"/>
      <c r="F1097" s="126"/>
      <c r="AZ1097" s="126"/>
      <c r="BA1097" s="126"/>
    </row>
    <row r="1098" spans="5:53" x14ac:dyDescent="0.3">
      <c r="E1098" s="126"/>
      <c r="F1098" s="126"/>
      <c r="AZ1098" s="126"/>
      <c r="BA1098" s="126"/>
    </row>
    <row r="1099" spans="5:53" x14ac:dyDescent="0.3">
      <c r="E1099" s="126"/>
      <c r="F1099" s="126"/>
      <c r="AZ1099" s="126"/>
      <c r="BA1099" s="126"/>
    </row>
    <row r="1100" spans="5:53" x14ac:dyDescent="0.3">
      <c r="E1100" s="126"/>
      <c r="F1100" s="126"/>
      <c r="AZ1100" s="126"/>
      <c r="BA1100" s="126"/>
    </row>
    <row r="1101" spans="5:53" x14ac:dyDescent="0.3">
      <c r="E1101" s="126"/>
      <c r="F1101" s="126"/>
      <c r="AZ1101" s="126"/>
      <c r="BA1101" s="126"/>
    </row>
    <row r="1102" spans="5:53" x14ac:dyDescent="0.3">
      <c r="E1102" s="126"/>
      <c r="F1102" s="126"/>
      <c r="AZ1102" s="126"/>
      <c r="BA1102" s="126"/>
    </row>
    <row r="1103" spans="5:53" x14ac:dyDescent="0.3">
      <c r="E1103" s="126"/>
      <c r="F1103" s="126"/>
      <c r="AZ1103" s="126"/>
      <c r="BA1103" s="126"/>
    </row>
    <row r="1104" spans="5:53" x14ac:dyDescent="0.3">
      <c r="E1104" s="126"/>
      <c r="F1104" s="126"/>
      <c r="AZ1104" s="126"/>
      <c r="BA1104" s="126"/>
    </row>
    <row r="1105" spans="5:53" x14ac:dyDescent="0.3">
      <c r="E1105" s="126"/>
      <c r="F1105" s="126"/>
      <c r="AZ1105" s="126"/>
      <c r="BA1105" s="126"/>
    </row>
    <row r="1106" spans="5:53" x14ac:dyDescent="0.3">
      <c r="E1106" s="126"/>
      <c r="F1106" s="126"/>
      <c r="AZ1106" s="126"/>
      <c r="BA1106" s="126"/>
    </row>
    <row r="1107" spans="5:53" x14ac:dyDescent="0.3">
      <c r="E1107" s="126"/>
      <c r="F1107" s="126"/>
      <c r="AZ1107" s="126"/>
      <c r="BA1107" s="126"/>
    </row>
    <row r="1108" spans="5:53" x14ac:dyDescent="0.3">
      <c r="E1108" s="126"/>
      <c r="F1108" s="126"/>
      <c r="AZ1108" s="126"/>
      <c r="BA1108" s="126"/>
    </row>
    <row r="1109" spans="5:53" x14ac:dyDescent="0.3">
      <c r="E1109" s="126"/>
      <c r="F1109" s="126"/>
      <c r="AZ1109" s="126"/>
      <c r="BA1109" s="126"/>
    </row>
    <row r="1110" spans="5:53" x14ac:dyDescent="0.3">
      <c r="E1110" s="126"/>
      <c r="F1110" s="126"/>
      <c r="AZ1110" s="126"/>
      <c r="BA1110" s="126"/>
    </row>
    <row r="1111" spans="5:53" x14ac:dyDescent="0.3">
      <c r="E1111" s="126"/>
      <c r="F1111" s="126"/>
      <c r="AZ1111" s="126"/>
      <c r="BA1111" s="126"/>
    </row>
    <row r="1112" spans="5:53" x14ac:dyDescent="0.3">
      <c r="E1112" s="126"/>
      <c r="F1112" s="126"/>
      <c r="AZ1112" s="126"/>
      <c r="BA1112" s="126"/>
    </row>
    <row r="1113" spans="5:53" x14ac:dyDescent="0.3">
      <c r="E1113" s="126"/>
      <c r="F1113" s="126"/>
      <c r="AZ1113" s="126"/>
      <c r="BA1113" s="126"/>
    </row>
    <row r="1114" spans="5:53" x14ac:dyDescent="0.3">
      <c r="E1114" s="126"/>
      <c r="F1114" s="126"/>
      <c r="AZ1114" s="126"/>
      <c r="BA1114" s="126"/>
    </row>
    <row r="1115" spans="5:53" x14ac:dyDescent="0.3">
      <c r="E1115" s="126"/>
      <c r="F1115" s="126"/>
      <c r="AZ1115" s="126"/>
      <c r="BA1115" s="126"/>
    </row>
    <row r="1116" spans="5:53" x14ac:dyDescent="0.3">
      <c r="E1116" s="126"/>
      <c r="F1116" s="126"/>
      <c r="AZ1116" s="126"/>
      <c r="BA1116" s="126"/>
    </row>
    <row r="1117" spans="5:53" x14ac:dyDescent="0.3">
      <c r="E1117" s="126"/>
      <c r="F1117" s="126"/>
      <c r="AZ1117" s="126"/>
      <c r="BA1117" s="126"/>
    </row>
    <row r="1118" spans="5:53" x14ac:dyDescent="0.3">
      <c r="E1118" s="126"/>
      <c r="F1118" s="126"/>
      <c r="AZ1118" s="126"/>
      <c r="BA1118" s="126"/>
    </row>
    <row r="1119" spans="5:53" x14ac:dyDescent="0.3">
      <c r="E1119" s="126"/>
      <c r="F1119" s="126"/>
      <c r="AZ1119" s="126"/>
      <c r="BA1119" s="126"/>
    </row>
    <row r="1120" spans="5:53" x14ac:dyDescent="0.3">
      <c r="E1120" s="126"/>
      <c r="F1120" s="126"/>
      <c r="AZ1120" s="126"/>
      <c r="BA1120" s="126"/>
    </row>
    <row r="1121" spans="5:53" x14ac:dyDescent="0.3">
      <c r="E1121" s="126"/>
      <c r="F1121" s="126"/>
      <c r="AZ1121" s="126"/>
      <c r="BA1121" s="126"/>
    </row>
    <row r="1122" spans="5:53" x14ac:dyDescent="0.3">
      <c r="E1122" s="126"/>
      <c r="F1122" s="126"/>
      <c r="AZ1122" s="126"/>
      <c r="BA1122" s="126"/>
    </row>
    <row r="1123" spans="5:53" x14ac:dyDescent="0.3">
      <c r="E1123" s="126"/>
      <c r="F1123" s="126"/>
      <c r="AZ1123" s="126"/>
      <c r="BA1123" s="126"/>
    </row>
    <row r="1124" spans="5:53" x14ac:dyDescent="0.3">
      <c r="E1124" s="126"/>
      <c r="F1124" s="126"/>
      <c r="AZ1124" s="126"/>
      <c r="BA1124" s="126"/>
    </row>
    <row r="1125" spans="5:53" x14ac:dyDescent="0.3">
      <c r="E1125" s="126"/>
      <c r="F1125" s="126"/>
      <c r="AZ1125" s="126"/>
      <c r="BA1125" s="126"/>
    </row>
    <row r="1126" spans="5:53" x14ac:dyDescent="0.3">
      <c r="E1126" s="126"/>
      <c r="F1126" s="126"/>
      <c r="AZ1126" s="126"/>
      <c r="BA1126" s="126"/>
    </row>
    <row r="1127" spans="5:53" x14ac:dyDescent="0.3">
      <c r="E1127" s="126"/>
      <c r="F1127" s="126"/>
      <c r="AZ1127" s="126"/>
      <c r="BA1127" s="126"/>
    </row>
    <row r="1128" spans="5:53" x14ac:dyDescent="0.3">
      <c r="E1128" s="126"/>
      <c r="F1128" s="126"/>
      <c r="AZ1128" s="126"/>
      <c r="BA1128" s="126"/>
    </row>
    <row r="1129" spans="5:53" x14ac:dyDescent="0.3">
      <c r="E1129" s="126"/>
      <c r="F1129" s="126"/>
      <c r="AZ1129" s="126"/>
      <c r="BA1129" s="126"/>
    </row>
    <row r="1130" spans="5:53" x14ac:dyDescent="0.3">
      <c r="E1130" s="126"/>
      <c r="F1130" s="126"/>
      <c r="AZ1130" s="126"/>
      <c r="BA1130" s="126"/>
    </row>
    <row r="1131" spans="5:53" x14ac:dyDescent="0.3">
      <c r="E1131" s="126"/>
      <c r="F1131" s="126"/>
      <c r="AZ1131" s="126"/>
      <c r="BA1131" s="126"/>
    </row>
    <row r="1132" spans="5:53" x14ac:dyDescent="0.3">
      <c r="E1132" s="126"/>
      <c r="F1132" s="126"/>
      <c r="AZ1132" s="126"/>
      <c r="BA1132" s="126"/>
    </row>
    <row r="1133" spans="5:53" x14ac:dyDescent="0.3">
      <c r="E1133" s="126"/>
      <c r="F1133" s="126"/>
      <c r="AZ1133" s="126"/>
      <c r="BA1133" s="126"/>
    </row>
    <row r="1134" spans="5:53" x14ac:dyDescent="0.3">
      <c r="E1134" s="126"/>
      <c r="F1134" s="126"/>
      <c r="AZ1134" s="126"/>
      <c r="BA1134" s="126"/>
    </row>
    <row r="1135" spans="5:53" x14ac:dyDescent="0.3">
      <c r="E1135" s="126"/>
      <c r="F1135" s="126"/>
      <c r="AZ1135" s="126"/>
      <c r="BA1135" s="126"/>
    </row>
    <row r="1136" spans="5:53" x14ac:dyDescent="0.3">
      <c r="E1136" s="126"/>
      <c r="F1136" s="126"/>
      <c r="AZ1136" s="126"/>
      <c r="BA1136" s="126"/>
    </row>
    <row r="1137" spans="5:53" x14ac:dyDescent="0.3">
      <c r="E1137" s="126"/>
      <c r="F1137" s="126"/>
      <c r="AZ1137" s="126"/>
      <c r="BA1137" s="126"/>
    </row>
    <row r="1138" spans="5:53" x14ac:dyDescent="0.3">
      <c r="E1138" s="126"/>
      <c r="F1138" s="126"/>
      <c r="AZ1138" s="126"/>
      <c r="BA1138" s="126"/>
    </row>
    <row r="1139" spans="5:53" x14ac:dyDescent="0.3">
      <c r="E1139" s="126"/>
      <c r="F1139" s="126"/>
      <c r="AZ1139" s="126"/>
      <c r="BA1139" s="126"/>
    </row>
    <row r="1140" spans="5:53" x14ac:dyDescent="0.3">
      <c r="E1140" s="126"/>
      <c r="F1140" s="126"/>
      <c r="AZ1140" s="126"/>
      <c r="BA1140" s="126"/>
    </row>
    <row r="1141" spans="5:53" x14ac:dyDescent="0.3">
      <c r="E1141" s="126"/>
      <c r="F1141" s="126"/>
      <c r="AZ1141" s="126"/>
      <c r="BA1141" s="126"/>
    </row>
    <row r="1142" spans="5:53" x14ac:dyDescent="0.3">
      <c r="E1142" s="126"/>
      <c r="F1142" s="126"/>
      <c r="AZ1142" s="126"/>
      <c r="BA1142" s="126"/>
    </row>
    <row r="1143" spans="5:53" x14ac:dyDescent="0.3">
      <c r="E1143" s="126"/>
      <c r="F1143" s="126"/>
      <c r="AZ1143" s="126"/>
      <c r="BA1143" s="126"/>
    </row>
    <row r="1144" spans="5:53" x14ac:dyDescent="0.3">
      <c r="E1144" s="126"/>
      <c r="F1144" s="126"/>
      <c r="AZ1144" s="126"/>
      <c r="BA1144" s="126"/>
    </row>
    <row r="1145" spans="5:53" x14ac:dyDescent="0.3">
      <c r="E1145" s="126"/>
      <c r="F1145" s="126"/>
      <c r="AZ1145" s="126"/>
      <c r="BA1145" s="126"/>
    </row>
    <row r="1146" spans="5:53" x14ac:dyDescent="0.3">
      <c r="E1146" s="126"/>
      <c r="F1146" s="126"/>
      <c r="AZ1146" s="126"/>
      <c r="BA1146" s="126"/>
    </row>
    <row r="1147" spans="5:53" x14ac:dyDescent="0.3">
      <c r="E1147" s="126"/>
      <c r="F1147" s="126"/>
      <c r="AZ1147" s="126"/>
      <c r="BA1147" s="126"/>
    </row>
    <row r="1148" spans="5:53" x14ac:dyDescent="0.3">
      <c r="E1148" s="126"/>
      <c r="F1148" s="126"/>
      <c r="AZ1148" s="126"/>
      <c r="BA1148" s="126"/>
    </row>
    <row r="1149" spans="5:53" x14ac:dyDescent="0.3">
      <c r="E1149" s="126"/>
      <c r="F1149" s="126"/>
      <c r="AZ1149" s="126"/>
      <c r="BA1149" s="126"/>
    </row>
    <row r="1150" spans="5:53" x14ac:dyDescent="0.3">
      <c r="E1150" s="126"/>
      <c r="F1150" s="126"/>
      <c r="AZ1150" s="126"/>
      <c r="BA1150" s="126"/>
    </row>
    <row r="1151" spans="5:53" x14ac:dyDescent="0.3">
      <c r="E1151" s="126"/>
      <c r="F1151" s="126"/>
      <c r="AZ1151" s="126"/>
      <c r="BA1151" s="126"/>
    </row>
    <row r="1152" spans="5:53" x14ac:dyDescent="0.3">
      <c r="E1152" s="126"/>
      <c r="F1152" s="126"/>
      <c r="AZ1152" s="126"/>
      <c r="BA1152" s="126"/>
    </row>
    <row r="1153" spans="5:53" x14ac:dyDescent="0.3">
      <c r="E1153" s="126"/>
      <c r="F1153" s="126"/>
      <c r="AZ1153" s="126"/>
      <c r="BA1153" s="126"/>
    </row>
    <row r="1154" spans="5:53" x14ac:dyDescent="0.3">
      <c r="E1154" s="126"/>
      <c r="F1154" s="126"/>
      <c r="AZ1154" s="126"/>
      <c r="BA1154" s="126"/>
    </row>
    <row r="1155" spans="5:53" x14ac:dyDescent="0.3">
      <c r="E1155" s="126"/>
      <c r="F1155" s="126"/>
      <c r="AZ1155" s="126"/>
      <c r="BA1155" s="126"/>
    </row>
    <row r="1156" spans="5:53" x14ac:dyDescent="0.3">
      <c r="E1156" s="126"/>
      <c r="F1156" s="126"/>
      <c r="AZ1156" s="126"/>
      <c r="BA1156" s="126"/>
    </row>
    <row r="1157" spans="5:53" x14ac:dyDescent="0.3">
      <c r="E1157" s="126"/>
      <c r="F1157" s="126"/>
      <c r="AZ1157" s="126"/>
      <c r="BA1157" s="126"/>
    </row>
    <row r="1158" spans="5:53" x14ac:dyDescent="0.3">
      <c r="E1158" s="126"/>
      <c r="F1158" s="126"/>
      <c r="AZ1158" s="126"/>
      <c r="BA1158" s="126"/>
    </row>
    <row r="1159" spans="5:53" x14ac:dyDescent="0.3">
      <c r="E1159" s="126"/>
      <c r="F1159" s="126"/>
      <c r="AZ1159" s="126"/>
      <c r="BA1159" s="126"/>
    </row>
    <row r="1160" spans="5:53" x14ac:dyDescent="0.3">
      <c r="E1160" s="126"/>
      <c r="F1160" s="126"/>
      <c r="AZ1160" s="126"/>
      <c r="BA1160" s="126"/>
    </row>
    <row r="1161" spans="5:53" x14ac:dyDescent="0.3">
      <c r="E1161" s="126"/>
      <c r="F1161" s="126"/>
      <c r="AZ1161" s="126"/>
      <c r="BA1161" s="126"/>
    </row>
    <row r="1162" spans="5:53" x14ac:dyDescent="0.3">
      <c r="E1162" s="126"/>
      <c r="F1162" s="126"/>
      <c r="AZ1162" s="126"/>
      <c r="BA1162" s="126"/>
    </row>
    <row r="1163" spans="5:53" x14ac:dyDescent="0.3">
      <c r="E1163" s="126"/>
      <c r="F1163" s="126"/>
      <c r="AZ1163" s="126"/>
      <c r="BA1163" s="126"/>
    </row>
    <row r="1164" spans="5:53" x14ac:dyDescent="0.3">
      <c r="E1164" s="126"/>
      <c r="F1164" s="126"/>
      <c r="AZ1164" s="126"/>
      <c r="BA1164" s="126"/>
    </row>
    <row r="1165" spans="5:53" x14ac:dyDescent="0.3">
      <c r="E1165" s="126"/>
      <c r="F1165" s="126"/>
      <c r="AZ1165" s="126"/>
      <c r="BA1165" s="126"/>
    </row>
    <row r="1166" spans="5:53" x14ac:dyDescent="0.3">
      <c r="E1166" s="126"/>
      <c r="F1166" s="126"/>
      <c r="AZ1166" s="126"/>
      <c r="BA1166" s="126"/>
    </row>
    <row r="1167" spans="5:53" x14ac:dyDescent="0.3">
      <c r="E1167" s="126"/>
      <c r="F1167" s="126"/>
      <c r="AZ1167" s="126"/>
      <c r="BA1167" s="126"/>
    </row>
    <row r="1168" spans="5:53" x14ac:dyDescent="0.3">
      <c r="E1168" s="126"/>
      <c r="F1168" s="126"/>
      <c r="AZ1168" s="126"/>
      <c r="BA1168" s="126"/>
    </row>
    <row r="1169" spans="5:53" x14ac:dyDescent="0.3">
      <c r="E1169" s="126"/>
      <c r="F1169" s="126"/>
      <c r="AZ1169" s="126"/>
      <c r="BA1169" s="126"/>
    </row>
    <row r="1170" spans="5:53" x14ac:dyDescent="0.3">
      <c r="E1170" s="126"/>
      <c r="F1170" s="126"/>
      <c r="AZ1170" s="126"/>
      <c r="BA1170" s="126"/>
    </row>
    <row r="1171" spans="5:53" x14ac:dyDescent="0.3">
      <c r="E1171" s="126"/>
      <c r="F1171" s="126"/>
      <c r="AZ1171" s="126"/>
      <c r="BA1171" s="126"/>
    </row>
    <row r="1172" spans="5:53" x14ac:dyDescent="0.3">
      <c r="E1172" s="126"/>
      <c r="F1172" s="126"/>
      <c r="AZ1172" s="126"/>
      <c r="BA1172" s="126"/>
    </row>
    <row r="1173" spans="5:53" x14ac:dyDescent="0.3">
      <c r="E1173" s="126"/>
      <c r="F1173" s="126"/>
      <c r="AZ1173" s="126"/>
      <c r="BA1173" s="126"/>
    </row>
    <row r="1174" spans="5:53" x14ac:dyDescent="0.3">
      <c r="E1174" s="126"/>
      <c r="F1174" s="126"/>
      <c r="AZ1174" s="126"/>
      <c r="BA1174" s="126"/>
    </row>
    <row r="1175" spans="5:53" x14ac:dyDescent="0.3">
      <c r="E1175" s="126"/>
      <c r="F1175" s="126"/>
      <c r="AZ1175" s="126"/>
      <c r="BA1175" s="126"/>
    </row>
    <row r="1176" spans="5:53" x14ac:dyDescent="0.3">
      <c r="E1176" s="126"/>
      <c r="F1176" s="126"/>
      <c r="AZ1176" s="126"/>
      <c r="BA1176" s="126"/>
    </row>
    <row r="1177" spans="5:53" x14ac:dyDescent="0.3">
      <c r="E1177" s="126"/>
      <c r="F1177" s="126"/>
      <c r="AZ1177" s="126"/>
      <c r="BA1177" s="126"/>
    </row>
    <row r="1178" spans="5:53" x14ac:dyDescent="0.3">
      <c r="E1178" s="126"/>
      <c r="F1178" s="126"/>
      <c r="AZ1178" s="126"/>
      <c r="BA1178" s="126"/>
    </row>
    <row r="1179" spans="5:53" x14ac:dyDescent="0.3">
      <c r="E1179" s="126"/>
      <c r="F1179" s="126"/>
      <c r="AZ1179" s="126"/>
      <c r="BA1179" s="126"/>
    </row>
    <row r="1180" spans="5:53" x14ac:dyDescent="0.3">
      <c r="E1180" s="126"/>
      <c r="F1180" s="126"/>
      <c r="AZ1180" s="126"/>
      <c r="BA1180" s="126"/>
    </row>
    <row r="1181" spans="5:53" x14ac:dyDescent="0.3">
      <c r="E1181" s="126"/>
      <c r="F1181" s="126"/>
      <c r="AZ1181" s="126"/>
      <c r="BA1181" s="126"/>
    </row>
    <row r="1182" spans="5:53" x14ac:dyDescent="0.3">
      <c r="E1182" s="126"/>
      <c r="F1182" s="126"/>
      <c r="AZ1182" s="126"/>
      <c r="BA1182" s="126"/>
    </row>
    <row r="1183" spans="5:53" x14ac:dyDescent="0.3">
      <c r="E1183" s="126"/>
      <c r="F1183" s="126"/>
      <c r="AZ1183" s="126"/>
      <c r="BA1183" s="126"/>
    </row>
    <row r="1184" spans="5:53" x14ac:dyDescent="0.3">
      <c r="E1184" s="126"/>
      <c r="F1184" s="126"/>
      <c r="AZ1184" s="126"/>
      <c r="BA1184" s="126"/>
    </row>
    <row r="1185" spans="5:53" x14ac:dyDescent="0.3">
      <c r="E1185" s="126"/>
      <c r="F1185" s="126"/>
      <c r="AZ1185" s="126"/>
      <c r="BA1185" s="126"/>
    </row>
    <row r="1186" spans="5:53" x14ac:dyDescent="0.3">
      <c r="E1186" s="126"/>
      <c r="F1186" s="126"/>
      <c r="AZ1186" s="126"/>
      <c r="BA1186" s="126"/>
    </row>
    <row r="1187" spans="5:53" x14ac:dyDescent="0.3">
      <c r="E1187" s="126"/>
      <c r="F1187" s="126"/>
      <c r="AZ1187" s="126"/>
      <c r="BA1187" s="126"/>
    </row>
    <row r="1188" spans="5:53" x14ac:dyDescent="0.3">
      <c r="E1188" s="126"/>
      <c r="F1188" s="126"/>
      <c r="AZ1188" s="126"/>
      <c r="BA1188" s="126"/>
    </row>
    <row r="1189" spans="5:53" x14ac:dyDescent="0.3">
      <c r="E1189" s="126"/>
      <c r="F1189" s="126"/>
      <c r="AZ1189" s="126"/>
      <c r="BA1189" s="126"/>
    </row>
    <row r="1190" spans="5:53" x14ac:dyDescent="0.3">
      <c r="E1190" s="126"/>
      <c r="F1190" s="126"/>
      <c r="AZ1190" s="126"/>
      <c r="BA1190" s="126"/>
    </row>
    <row r="1191" spans="5:53" x14ac:dyDescent="0.3">
      <c r="E1191" s="126"/>
      <c r="F1191" s="126"/>
      <c r="AZ1191" s="126"/>
      <c r="BA1191" s="126"/>
    </row>
    <row r="1192" spans="5:53" x14ac:dyDescent="0.3">
      <c r="E1192" s="126"/>
      <c r="F1192" s="126"/>
      <c r="AZ1192" s="126"/>
      <c r="BA1192" s="126"/>
    </row>
    <row r="1193" spans="5:53" x14ac:dyDescent="0.3">
      <c r="E1193" s="126"/>
      <c r="F1193" s="126"/>
      <c r="AZ1193" s="126"/>
      <c r="BA1193" s="126"/>
    </row>
    <row r="1194" spans="5:53" x14ac:dyDescent="0.3">
      <c r="E1194" s="126"/>
      <c r="F1194" s="126"/>
      <c r="AZ1194" s="126"/>
      <c r="BA1194" s="126"/>
    </row>
    <row r="1195" spans="5:53" x14ac:dyDescent="0.3">
      <c r="E1195" s="126"/>
      <c r="F1195" s="126"/>
      <c r="AZ1195" s="126"/>
      <c r="BA1195" s="126"/>
    </row>
    <row r="1196" spans="5:53" x14ac:dyDescent="0.3">
      <c r="E1196" s="126"/>
      <c r="F1196" s="126"/>
      <c r="AZ1196" s="126"/>
      <c r="BA1196" s="126"/>
    </row>
    <row r="1197" spans="5:53" x14ac:dyDescent="0.3">
      <c r="E1197" s="126"/>
      <c r="F1197" s="126"/>
      <c r="AZ1197" s="126"/>
      <c r="BA1197" s="126"/>
    </row>
    <row r="1198" spans="5:53" x14ac:dyDescent="0.3">
      <c r="E1198" s="126"/>
      <c r="F1198" s="126"/>
      <c r="AZ1198" s="126"/>
      <c r="BA1198" s="126"/>
    </row>
    <row r="1199" spans="5:53" x14ac:dyDescent="0.3">
      <c r="E1199" s="126"/>
      <c r="F1199" s="126"/>
      <c r="AZ1199" s="126"/>
      <c r="BA1199" s="126"/>
    </row>
    <row r="1200" spans="5:53" x14ac:dyDescent="0.3">
      <c r="E1200" s="126"/>
      <c r="F1200" s="126"/>
      <c r="AZ1200" s="126"/>
      <c r="BA1200" s="126"/>
    </row>
    <row r="1201" spans="5:53" x14ac:dyDescent="0.3">
      <c r="E1201" s="126"/>
      <c r="F1201" s="126"/>
      <c r="AZ1201" s="126"/>
      <c r="BA1201" s="126"/>
    </row>
    <row r="1202" spans="5:53" x14ac:dyDescent="0.3">
      <c r="E1202" s="126"/>
      <c r="F1202" s="126"/>
      <c r="AZ1202" s="126"/>
      <c r="BA1202" s="126"/>
    </row>
    <row r="1203" spans="5:53" x14ac:dyDescent="0.3">
      <c r="E1203" s="126"/>
      <c r="F1203" s="126"/>
      <c r="AZ1203" s="126"/>
      <c r="BA1203" s="126"/>
    </row>
    <row r="1204" spans="5:53" x14ac:dyDescent="0.3">
      <c r="E1204" s="126"/>
      <c r="F1204" s="126"/>
      <c r="AZ1204" s="126"/>
      <c r="BA1204" s="126"/>
    </row>
    <row r="1205" spans="5:53" x14ac:dyDescent="0.3">
      <c r="E1205" s="126"/>
      <c r="F1205" s="126"/>
      <c r="AZ1205" s="126"/>
      <c r="BA1205" s="126"/>
    </row>
    <row r="1206" spans="5:53" x14ac:dyDescent="0.3">
      <c r="E1206" s="126"/>
      <c r="F1206" s="126"/>
      <c r="AZ1206" s="126"/>
      <c r="BA1206" s="126"/>
    </row>
    <row r="1207" spans="5:53" x14ac:dyDescent="0.3">
      <c r="E1207" s="126"/>
      <c r="F1207" s="126"/>
      <c r="AZ1207" s="126"/>
      <c r="BA1207" s="126"/>
    </row>
    <row r="1208" spans="5:53" x14ac:dyDescent="0.3">
      <c r="E1208" s="126"/>
      <c r="F1208" s="126"/>
      <c r="AZ1208" s="126"/>
      <c r="BA1208" s="126"/>
    </row>
    <row r="1209" spans="5:53" x14ac:dyDescent="0.3">
      <c r="E1209" s="126"/>
      <c r="F1209" s="126"/>
      <c r="AZ1209" s="126"/>
      <c r="BA1209" s="126"/>
    </row>
    <row r="1210" spans="5:53" x14ac:dyDescent="0.3">
      <c r="E1210" s="126"/>
      <c r="F1210" s="126"/>
      <c r="AZ1210" s="126"/>
      <c r="BA1210" s="126"/>
    </row>
    <row r="1211" spans="5:53" x14ac:dyDescent="0.3">
      <c r="E1211" s="126"/>
      <c r="F1211" s="126"/>
      <c r="AZ1211" s="126"/>
      <c r="BA1211" s="126"/>
    </row>
    <row r="1212" spans="5:53" x14ac:dyDescent="0.3">
      <c r="E1212" s="126"/>
      <c r="F1212" s="126"/>
      <c r="AZ1212" s="126"/>
      <c r="BA1212" s="126"/>
    </row>
    <row r="1213" spans="5:53" x14ac:dyDescent="0.3">
      <c r="E1213" s="126"/>
      <c r="F1213" s="126"/>
      <c r="AZ1213" s="126"/>
      <c r="BA1213" s="126"/>
    </row>
    <row r="1214" spans="5:53" x14ac:dyDescent="0.3">
      <c r="E1214" s="126"/>
      <c r="F1214" s="126"/>
      <c r="AZ1214" s="126"/>
      <c r="BA1214" s="126"/>
    </row>
    <row r="1215" spans="5:53" x14ac:dyDescent="0.3">
      <c r="E1215" s="126"/>
      <c r="F1215" s="126"/>
      <c r="AZ1215" s="126"/>
      <c r="BA1215" s="126"/>
    </row>
    <row r="1216" spans="5:53" x14ac:dyDescent="0.3">
      <c r="E1216" s="126"/>
      <c r="F1216" s="126"/>
      <c r="AZ1216" s="126"/>
      <c r="BA1216" s="126"/>
    </row>
    <row r="1217" spans="5:53" x14ac:dyDescent="0.3">
      <c r="E1217" s="126"/>
      <c r="F1217" s="126"/>
      <c r="AZ1217" s="126"/>
      <c r="BA1217" s="126"/>
    </row>
    <row r="1218" spans="5:53" x14ac:dyDescent="0.3">
      <c r="E1218" s="126"/>
      <c r="F1218" s="126"/>
      <c r="AZ1218" s="126"/>
      <c r="BA1218" s="126"/>
    </row>
    <row r="1219" spans="5:53" x14ac:dyDescent="0.3">
      <c r="E1219" s="126"/>
      <c r="F1219" s="126"/>
      <c r="AZ1219" s="126"/>
      <c r="BA1219" s="126"/>
    </row>
    <row r="1220" spans="5:53" x14ac:dyDescent="0.3">
      <c r="E1220" s="126"/>
      <c r="F1220" s="126"/>
      <c r="AZ1220" s="126"/>
      <c r="BA1220" s="126"/>
    </row>
    <row r="1221" spans="5:53" x14ac:dyDescent="0.3">
      <c r="E1221" s="126"/>
      <c r="F1221" s="126"/>
      <c r="AZ1221" s="126"/>
      <c r="BA1221" s="126"/>
    </row>
    <row r="1222" spans="5:53" x14ac:dyDescent="0.3">
      <c r="E1222" s="126"/>
      <c r="F1222" s="126"/>
      <c r="AZ1222" s="126"/>
      <c r="BA1222" s="126"/>
    </row>
    <row r="1223" spans="5:53" x14ac:dyDescent="0.3">
      <c r="E1223" s="126"/>
      <c r="F1223" s="126"/>
      <c r="AZ1223" s="126"/>
      <c r="BA1223" s="126"/>
    </row>
    <row r="1224" spans="5:53" x14ac:dyDescent="0.3">
      <c r="E1224" s="126"/>
      <c r="F1224" s="126"/>
      <c r="AZ1224" s="126"/>
      <c r="BA1224" s="126"/>
    </row>
    <row r="1225" spans="5:53" x14ac:dyDescent="0.3">
      <c r="E1225" s="126"/>
      <c r="F1225" s="126"/>
      <c r="AZ1225" s="126"/>
      <c r="BA1225" s="126"/>
    </row>
    <row r="1226" spans="5:53" x14ac:dyDescent="0.3">
      <c r="E1226" s="126"/>
      <c r="F1226" s="126"/>
      <c r="AZ1226" s="126"/>
      <c r="BA1226" s="126"/>
    </row>
    <row r="1227" spans="5:53" x14ac:dyDescent="0.3">
      <c r="E1227" s="126"/>
      <c r="F1227" s="126"/>
      <c r="AZ1227" s="126"/>
      <c r="BA1227" s="126"/>
    </row>
    <row r="1228" spans="5:53" x14ac:dyDescent="0.3">
      <c r="E1228" s="126"/>
      <c r="F1228" s="126"/>
      <c r="AZ1228" s="126"/>
      <c r="BA1228" s="126"/>
    </row>
    <row r="1229" spans="5:53" x14ac:dyDescent="0.3">
      <c r="E1229" s="126"/>
      <c r="F1229" s="126"/>
      <c r="AZ1229" s="126"/>
      <c r="BA1229" s="126"/>
    </row>
    <row r="1230" spans="5:53" x14ac:dyDescent="0.3">
      <c r="E1230" s="126"/>
      <c r="F1230" s="126"/>
      <c r="AZ1230" s="126"/>
      <c r="BA1230" s="126"/>
    </row>
    <row r="1231" spans="5:53" x14ac:dyDescent="0.3">
      <c r="E1231" s="126"/>
      <c r="F1231" s="126"/>
      <c r="AZ1231" s="126"/>
      <c r="BA1231" s="126"/>
    </row>
  </sheetData>
  <sheetProtection algorithmName="SHA-512" hashValue="xTuVyH6Z5xTxeUgRfhRFdt9UrmXCO27l4t29QWtbtvcEIjI+uk3jQQBmqek8pqc7W/3w7IOQ4TQNEGSYZWP+0A==" saltValue="IICosJdlgHvgOaZ2liQKQw==" spinCount="100000" sheet="1" objects="1" scenarios="1"/>
  <mergeCells count="15">
    <mergeCell ref="H54:I54"/>
    <mergeCell ref="H55:I55"/>
    <mergeCell ref="H56:I56"/>
    <mergeCell ref="H57:I57"/>
    <mergeCell ref="H48:I48"/>
    <mergeCell ref="H49:I49"/>
    <mergeCell ref="H50:I50"/>
    <mergeCell ref="H51:I51"/>
    <mergeCell ref="H53:I53"/>
    <mergeCell ref="H47:I47"/>
    <mergeCell ref="H42:I42"/>
    <mergeCell ref="H43:I43"/>
    <mergeCell ref="H44:I44"/>
    <mergeCell ref="H45:I45"/>
    <mergeCell ref="H46:I46"/>
  </mergeCells>
  <conditionalFormatting sqref="D27:F28">
    <cfRule type="containsText" dxfId="199" priority="387" operator="containsText" text="FALSE">
      <formula>NOT(ISERROR(SEARCH("FALSE",D27)))</formula>
    </cfRule>
  </conditionalFormatting>
  <conditionalFormatting sqref="E142">
    <cfRule type="containsText" dxfId="198" priority="386" operator="containsText" text="[Service]">
      <formula>NOT(ISERROR(SEARCH("[Service]",E142)))</formula>
    </cfRule>
  </conditionalFormatting>
  <conditionalFormatting sqref="F142 F131:F137">
    <cfRule type="containsText" dxfId="197" priority="385" operator="containsText" text="[Major Cost Driver]">
      <formula>NOT(ISERROR(SEARCH("[Major Cost Driver]",F131)))</formula>
    </cfRule>
  </conditionalFormatting>
  <conditionalFormatting sqref="G142">
    <cfRule type="containsText" dxfId="196" priority="384" operator="containsText" text="[Asset category]">
      <formula>NOT(ISERROR(SEARCH("[Asset category]",G142)))</formula>
    </cfRule>
  </conditionalFormatting>
  <conditionalFormatting sqref="C142 C127:C131 C133:C140">
    <cfRule type="containsText" dxfId="195" priority="382" operator="containsText" text="[Capex Item - Significant Project / Capital Program / Other Capex]">
      <formula>NOT(ISERROR(SEARCH("[Capex Item - Significant Project / Capital Program / Other Capex]",C127)))</formula>
    </cfRule>
  </conditionalFormatting>
  <conditionalFormatting sqref="K142">
    <cfRule type="containsText" dxfId="194" priority="380" operator="containsText" text="[Year finalised?]">
      <formula>NOT(ISERROR(SEARCH("[Year finalised?]",K142)))</formula>
    </cfRule>
  </conditionalFormatting>
  <conditionalFormatting sqref="G27:M28">
    <cfRule type="containsText" dxfId="193" priority="370" operator="containsText" text="FALSE">
      <formula>NOT(ISERROR(SEARCH("FALSE",G27)))</formula>
    </cfRule>
  </conditionalFormatting>
  <conditionalFormatting sqref="E43:E51">
    <cfRule type="containsText" dxfId="192" priority="368" operator="containsText" text="[Service]">
      <formula>NOT(ISERROR(SEARCH("[Service]",E43)))</formula>
    </cfRule>
  </conditionalFormatting>
  <conditionalFormatting sqref="E141">
    <cfRule type="containsText" dxfId="191" priority="363" operator="containsText" text="[Service]">
      <formula>NOT(ISERROR(SEARCH("[Service]",E141)))</formula>
    </cfRule>
  </conditionalFormatting>
  <conditionalFormatting sqref="F141">
    <cfRule type="containsText" dxfId="190" priority="362" operator="containsText" text="[Major Cost Driver]">
      <formula>NOT(ISERROR(SEARCH("[Major Cost Driver]",F141)))</formula>
    </cfRule>
  </conditionalFormatting>
  <conditionalFormatting sqref="F140">
    <cfRule type="containsText" dxfId="189" priority="304" operator="containsText" text="[Major Cost Driver]">
      <formula>NOT(ISERROR(SEARCH("[Major Cost Driver]",F140)))</formula>
    </cfRule>
  </conditionalFormatting>
  <conditionalFormatting sqref="G141">
    <cfRule type="containsText" dxfId="188" priority="294" operator="containsText" text="[Asset category]">
      <formula>NOT(ISERROR(SEARCH("[Asset category]",G141)))</formula>
    </cfRule>
  </conditionalFormatting>
  <conditionalFormatting sqref="C141">
    <cfRule type="containsText" dxfId="187" priority="295" operator="containsText" text="[Capex Item - Significant Project / Capital Program / Other Capex]">
      <formula>NOT(ISERROR(SEARCH("[Capex Item - Significant Project / Capital Program / Other Capex]",C141)))</formula>
    </cfRule>
  </conditionalFormatting>
  <conditionalFormatting sqref="C129:C130">
    <cfRule type="containsText" dxfId="186" priority="292" operator="containsText" text="[Capex Item - Significant Project / Capital Program / Other Capex]">
      <formula>NOT(ISERROR(SEARCH("[Capex Item - Significant Project / Capital Program / Other Capex]",C129)))</formula>
    </cfRule>
  </conditionalFormatting>
  <conditionalFormatting sqref="F129:F130">
    <cfRule type="containsText" dxfId="185" priority="288" operator="containsText" text="[Major Cost Driver]">
      <formula>NOT(ISERROR(SEARCH("[Major Cost Driver]",F129)))</formula>
    </cfRule>
  </conditionalFormatting>
  <conditionalFormatting sqref="F139:F140">
    <cfRule type="containsText" dxfId="184" priority="280" operator="containsText" text="[Major Cost Driver]">
      <formula>NOT(ISERROR(SEARCH("[Major Cost Driver]",F139)))</formula>
    </cfRule>
  </conditionalFormatting>
  <conditionalFormatting sqref="F138">
    <cfRule type="containsText" dxfId="183" priority="270" operator="containsText" text="[Major Cost Driver]">
      <formula>NOT(ISERROR(SEARCH("[Major Cost Driver]",F138)))</formula>
    </cfRule>
  </conditionalFormatting>
  <conditionalFormatting sqref="F127:F128">
    <cfRule type="containsText" dxfId="182" priority="254" operator="containsText" text="[Major Cost Driver]">
      <formula>NOT(ISERROR(SEARCH("[Major Cost Driver]",F127)))</formula>
    </cfRule>
  </conditionalFormatting>
  <conditionalFormatting sqref="F127:F140">
    <cfRule type="containsText" dxfId="181" priority="226" operator="containsText" text="[Major Cost Driver]">
      <formula>NOT(ISERROR(SEARCH("[Major Cost Driver]",F127)))</formula>
    </cfRule>
  </conditionalFormatting>
  <conditionalFormatting sqref="F127:F140">
    <cfRule type="containsText" dxfId="180" priority="220" operator="containsText" text="[Major Cost Driver]">
      <formula>NOT(ISERROR(SEARCH("[Major Cost Driver]",F127)))</formula>
    </cfRule>
  </conditionalFormatting>
  <conditionalFormatting sqref="C133:C140">
    <cfRule type="containsText" dxfId="179" priority="207" operator="containsText" text="[Capex Item - Significant Project / Capital Program / Other Capex]">
      <formula>NOT(ISERROR(SEARCH("[Capex Item - Significant Project / Capital Program / Other Capex]",C133)))</formula>
    </cfRule>
  </conditionalFormatting>
  <conditionalFormatting sqref="K127:K132">
    <cfRule type="containsText" dxfId="178" priority="206" operator="containsText" text="[Year finalised?]">
      <formula>NOT(ISERROR(SEARCH("[Year finalised?]",K127)))</formula>
    </cfRule>
  </conditionalFormatting>
  <conditionalFormatting sqref="K133:K140">
    <cfRule type="containsText" dxfId="177" priority="205" operator="containsText" text="[Year finalised?]">
      <formula>NOT(ISERROR(SEARCH("[Year finalised?]",K133)))</formula>
    </cfRule>
  </conditionalFormatting>
  <conditionalFormatting sqref="G127:G140">
    <cfRule type="containsText" dxfId="176" priority="204" operator="containsText" text="[Asset category]">
      <formula>NOT(ISERROR(SEARCH("[Asset category]",G127)))</formula>
    </cfRule>
  </conditionalFormatting>
  <conditionalFormatting sqref="G127:G140">
    <cfRule type="containsText" dxfId="175" priority="203" operator="containsText" text="[Asset category]">
      <formula>NOT(ISERROR(SEARCH("[Asset category]",G127)))</formula>
    </cfRule>
  </conditionalFormatting>
  <conditionalFormatting sqref="E127:E131">
    <cfRule type="containsText" dxfId="174" priority="202" operator="containsText" text="[Service]">
      <formula>NOT(ISERROR(SEARCH("[Service]",E127)))</formula>
    </cfRule>
  </conditionalFormatting>
  <conditionalFormatting sqref="E127:E131">
    <cfRule type="containsText" dxfId="173" priority="201" operator="containsText" text="[Service]">
      <formula>NOT(ISERROR(SEARCH("[Service]",E127)))</formula>
    </cfRule>
  </conditionalFormatting>
  <conditionalFormatting sqref="E133:E140">
    <cfRule type="containsText" dxfId="172" priority="200" operator="containsText" text="[Service]">
      <formula>NOT(ISERROR(SEARCH("[Service]",E133)))</formula>
    </cfRule>
  </conditionalFormatting>
  <conditionalFormatting sqref="E133:E140">
    <cfRule type="containsText" dxfId="171" priority="199" operator="containsText" text="[Service]">
      <formula>NOT(ISERROR(SEARCH("[Service]",E133)))</formula>
    </cfRule>
  </conditionalFormatting>
  <conditionalFormatting sqref="C132">
    <cfRule type="containsText" dxfId="170" priority="198" operator="containsText" text="[Capex Item - Significant Project / Capital Program / Other Capex]">
      <formula>NOT(ISERROR(SEARCH("[Capex Item - Significant Project / Capital Program / Other Capex]",C132)))</formula>
    </cfRule>
  </conditionalFormatting>
  <conditionalFormatting sqref="E132">
    <cfRule type="containsText" dxfId="169" priority="197" operator="containsText" text="[Service]">
      <formula>NOT(ISERROR(SEARCH("[Service]",E132)))</formula>
    </cfRule>
  </conditionalFormatting>
  <conditionalFormatting sqref="E132">
    <cfRule type="containsText" dxfId="168" priority="196" operator="containsText" text="[Service]">
      <formula>NOT(ISERROR(SEARCH("[Service]",E132)))</formula>
    </cfRule>
  </conditionalFormatting>
  <conditionalFormatting sqref="K141">
    <cfRule type="containsText" dxfId="167" priority="187" operator="containsText" text="[Year finalised?]">
      <formula>NOT(ISERROR(SEARCH("[Year finalised?]",K141)))</formula>
    </cfRule>
  </conditionalFormatting>
  <conditionalFormatting sqref="D26:H26 J26:M26">
    <cfRule type="containsText" dxfId="166" priority="160" operator="containsText" text="FALSE">
      <formula>NOT(ISERROR(SEARCH("FALSE",D26)))</formula>
    </cfRule>
  </conditionalFormatting>
  <conditionalFormatting sqref="D26:H26 J26:M26">
    <cfRule type="containsText" dxfId="165" priority="161" operator="containsText" text="FALSE">
      <formula>NOT(ISERROR(SEARCH("FALSE",D26)))</formula>
    </cfRule>
  </conditionalFormatting>
  <conditionalFormatting sqref="H127:H142">
    <cfRule type="containsText" dxfId="164" priority="134" operator="containsText" text="[Capital type]">
      <formula>NOT(ISERROR(SEARCH("[Capital type]",H127)))</formula>
    </cfRule>
  </conditionalFormatting>
  <conditionalFormatting sqref="E42">
    <cfRule type="containsText" dxfId="163" priority="128" operator="containsText" text="[Service]">
      <formula>NOT(ISERROR(SEARCH("[Service]",E42)))</formula>
    </cfRule>
  </conditionalFormatting>
  <conditionalFormatting sqref="E127:E142">
    <cfRule type="containsText" dxfId="162" priority="123" operator="containsText" text="[Service]">
      <formula>NOT(ISERROR(SEARCH("[Service]",E127)))</formula>
    </cfRule>
  </conditionalFormatting>
  <conditionalFormatting sqref="F127:F142">
    <cfRule type="containsText" dxfId="161" priority="122" operator="containsText" text="[Major Cost Driver]">
      <formula>NOT(ISERROR(SEARCH("[Major Cost Driver]",F127)))</formula>
    </cfRule>
  </conditionalFormatting>
  <conditionalFormatting sqref="G127:G142">
    <cfRule type="containsText" dxfId="160" priority="121" operator="containsText" text="[Asset category]">
      <formula>NOT(ISERROR(SEARCH("[Asset category]",G127)))</formula>
    </cfRule>
  </conditionalFormatting>
  <conditionalFormatting sqref="C127:C142">
    <cfRule type="containsText" dxfId="159" priority="120" operator="containsText" text="[Capex Item - Significant Project / Capital Program / Other Capex]">
      <formula>NOT(ISERROR(SEARCH("[Capex Item - Significant Project / Capital Program / Other Capex]",C127)))</formula>
    </cfRule>
  </conditionalFormatting>
  <conditionalFormatting sqref="H127:H142">
    <cfRule type="containsText" dxfId="158" priority="115" operator="containsText" text="[Capital type]">
      <formula>NOT(ISERROR(SEARCH("[Capital type]",H127)))</formula>
    </cfRule>
  </conditionalFormatting>
  <conditionalFormatting sqref="J53:J142">
    <cfRule type="containsText" dxfId="157" priority="106" operator="containsText" text="[Year finalised?]">
      <formula>NOT(ISERROR(SEARCH("[Year finalised?]",J53)))</formula>
    </cfRule>
  </conditionalFormatting>
  <conditionalFormatting sqref="I26">
    <cfRule type="containsText" dxfId="156" priority="104" operator="containsText" text="FALSE">
      <formula>NOT(ISERROR(SEARCH("FALSE",I26)))</formula>
    </cfRule>
  </conditionalFormatting>
  <conditionalFormatting sqref="I26">
    <cfRule type="containsText" dxfId="155" priority="105" operator="containsText" text="FALSE">
      <formula>NOT(ISERROR(SEARCH("FALSE",I26)))</formula>
    </cfRule>
  </conditionalFormatting>
  <conditionalFormatting sqref="G43:G51">
    <cfRule type="containsText" dxfId="154" priority="100" operator="containsText" text="[Asset category]">
      <formula>NOT(ISERROR(SEARCH("[Asset category]",G43)))</formula>
    </cfRule>
  </conditionalFormatting>
  <conditionalFormatting sqref="G42">
    <cfRule type="containsText" dxfId="153" priority="99" operator="containsText" text="[Asset category]">
      <formula>NOT(ISERROR(SEARCH("[Asset category]",G42)))</formula>
    </cfRule>
  </conditionalFormatting>
  <conditionalFormatting sqref="F43:F51">
    <cfRule type="containsText" dxfId="152" priority="98" operator="containsText" text="[Major Cost Driver]">
      <formula>NOT(ISERROR(SEARCH("[Major Cost Driver]",F43)))</formula>
    </cfRule>
  </conditionalFormatting>
  <conditionalFormatting sqref="F42">
    <cfRule type="containsText" dxfId="151" priority="97" operator="containsText" text="[Major Cost Driver]">
      <formula>NOT(ISERROR(SEARCH("[Major Cost Driver]",F42)))</formula>
    </cfRule>
  </conditionalFormatting>
  <conditionalFormatting sqref="H43">
    <cfRule type="containsText" dxfId="150" priority="96" operator="containsText" text="[Capital type]">
      <formula>NOT(ISERROR(SEARCH("[Capital type]",H43)))</formula>
    </cfRule>
  </conditionalFormatting>
  <conditionalFormatting sqref="H44">
    <cfRule type="containsText" dxfId="149" priority="95" operator="containsText" text="[Capital type]">
      <formula>NOT(ISERROR(SEARCH("[Capital type]",H44)))</formula>
    </cfRule>
  </conditionalFormatting>
  <conditionalFormatting sqref="H45">
    <cfRule type="containsText" dxfId="148" priority="94" operator="containsText" text="[Capital type]">
      <formula>NOT(ISERROR(SEARCH("[Capital type]",H45)))</formula>
    </cfRule>
  </conditionalFormatting>
  <conditionalFormatting sqref="H46">
    <cfRule type="containsText" dxfId="147" priority="93" operator="containsText" text="[Capital type]">
      <formula>NOT(ISERROR(SEARCH("[Capital type]",H46)))</formula>
    </cfRule>
  </conditionalFormatting>
  <conditionalFormatting sqref="H47">
    <cfRule type="containsText" dxfId="146" priority="92" operator="containsText" text="[Capital type]">
      <formula>NOT(ISERROR(SEARCH("[Capital type]",H47)))</formula>
    </cfRule>
  </conditionalFormatting>
  <conditionalFormatting sqref="H48">
    <cfRule type="containsText" dxfId="145" priority="91" operator="containsText" text="[Capital type]">
      <formula>NOT(ISERROR(SEARCH("[Capital type]",H48)))</formula>
    </cfRule>
  </conditionalFormatting>
  <conditionalFormatting sqref="H49">
    <cfRule type="containsText" dxfId="144" priority="90" operator="containsText" text="[Capital type]">
      <formula>NOT(ISERROR(SEARCH("[Capital type]",H49)))</formula>
    </cfRule>
  </conditionalFormatting>
  <conditionalFormatting sqref="H50">
    <cfRule type="containsText" dxfId="143" priority="89" operator="containsText" text="[Capital type]">
      <formula>NOT(ISERROR(SEARCH("[Capital type]",H50)))</formula>
    </cfRule>
  </conditionalFormatting>
  <conditionalFormatting sqref="H51">
    <cfRule type="containsText" dxfId="142" priority="88" operator="containsText" text="[Capital type]">
      <formula>NOT(ISERROR(SEARCH("[Capital type]",H51)))</formula>
    </cfRule>
  </conditionalFormatting>
  <conditionalFormatting sqref="H42">
    <cfRule type="containsText" dxfId="141" priority="87" operator="containsText" text="[Capital type]">
      <formula>NOT(ISERROR(SEARCH("[Capital type]",H42)))</formula>
    </cfRule>
  </conditionalFormatting>
  <conditionalFormatting sqref="K43">
    <cfRule type="containsText" dxfId="140" priority="86" operator="containsText" text="[Year finalised?]">
      <formula>NOT(ISERROR(SEARCH("[Year finalised?]",K43)))</formula>
    </cfRule>
  </conditionalFormatting>
  <conditionalFormatting sqref="K44:K51">
    <cfRule type="containsText" dxfId="139" priority="85" operator="containsText" text="[Year finalised?]">
      <formula>NOT(ISERROR(SEARCH("[Year finalised?]",K44)))</formula>
    </cfRule>
  </conditionalFormatting>
  <conditionalFormatting sqref="K42">
    <cfRule type="containsText" dxfId="138" priority="84" operator="containsText" text="[Year finalised?]">
      <formula>NOT(ISERROR(SEARCH("[Year finalised?]",K42)))</formula>
    </cfRule>
  </conditionalFormatting>
  <conditionalFormatting sqref="C53:C126">
    <cfRule type="containsText" dxfId="137" priority="83" operator="containsText" text="[Capex Item - Significant Project / Capital Program / Other Capex]">
      <formula>NOT(ISERROR(SEARCH("[Capex Item - Significant Project / Capital Program / Other Capex]",C53)))</formula>
    </cfRule>
  </conditionalFormatting>
  <conditionalFormatting sqref="C106">
    <cfRule type="containsText" dxfId="136" priority="82" operator="containsText" text="[Capex Item - Significant Project / Capital Program / Other Capex]">
      <formula>NOT(ISERROR(SEARCH("[Capex Item - Significant Project / Capital Program / Other Capex]",C106)))</formula>
    </cfRule>
  </conditionalFormatting>
  <conditionalFormatting sqref="C120">
    <cfRule type="containsText" dxfId="135" priority="81" operator="containsText" text="[Capex Item - Significant Project / Capital Program / Other Capex]">
      <formula>NOT(ISERROR(SEARCH("[Capex Item - Significant Project / Capital Program / Other Capex]",C120)))</formula>
    </cfRule>
  </conditionalFormatting>
  <conditionalFormatting sqref="C120">
    <cfRule type="containsText" dxfId="134" priority="80" operator="containsText" text="[Capex Item - Significant Project / Capital Program / Other Capex]">
      <formula>NOT(ISERROR(SEARCH("[Capex Item - Significant Project / Capital Program / Other Capex]",C120)))</formula>
    </cfRule>
  </conditionalFormatting>
  <conditionalFormatting sqref="C119">
    <cfRule type="containsText" dxfId="133" priority="79" operator="containsText" text="[Capex Item - Significant Project / Capital Program / Other Capex]">
      <formula>NOT(ISERROR(SEARCH("[Capex Item - Significant Project / Capital Program / Other Capex]",C119)))</formula>
    </cfRule>
  </conditionalFormatting>
  <conditionalFormatting sqref="C126">
    <cfRule type="containsText" dxfId="132" priority="78" operator="containsText" text="[Capex Item - Significant Project / Capital Program / Other Capex]">
      <formula>NOT(ISERROR(SEARCH("[Capex Item - Significant Project / Capital Program / Other Capex]",C126)))</formula>
    </cfRule>
  </conditionalFormatting>
  <conditionalFormatting sqref="C121:C126">
    <cfRule type="containsText" dxfId="131" priority="77" operator="containsText" text="[Capex Item - Significant Project / Capital Program / Other Capex]">
      <formula>NOT(ISERROR(SEARCH("[Capex Item - Significant Project / Capital Program / Other Capex]",C121)))</formula>
    </cfRule>
  </conditionalFormatting>
  <conditionalFormatting sqref="E53:E126">
    <cfRule type="containsText" dxfId="130" priority="76" operator="containsText" text="[Service]">
      <formula>NOT(ISERROR(SEARCH("[Service]",E53)))</formula>
    </cfRule>
  </conditionalFormatting>
  <conditionalFormatting sqref="F53:F126">
    <cfRule type="containsText" dxfId="129" priority="75" operator="containsText" text="[Major Cost Driver]">
      <formula>NOT(ISERROR(SEARCH("[Major Cost Driver]",F53)))</formula>
    </cfRule>
  </conditionalFormatting>
  <conditionalFormatting sqref="G53:G126">
    <cfRule type="containsText" dxfId="128" priority="74" operator="containsText" text="[Asset category]">
      <formula>NOT(ISERROR(SEARCH("[Asset category]",G53)))</formula>
    </cfRule>
  </conditionalFormatting>
  <conditionalFormatting sqref="F62">
    <cfRule type="containsText" dxfId="127" priority="73" operator="containsText" text="[Major Cost Driver]">
      <formula>NOT(ISERROR(SEARCH("[Major Cost Driver]",F62)))</formula>
    </cfRule>
  </conditionalFormatting>
  <conditionalFormatting sqref="G62">
    <cfRule type="containsText" dxfId="126" priority="72" operator="containsText" text="[Asset category]">
      <formula>NOT(ISERROR(SEARCH("[Asset category]",G62)))</formula>
    </cfRule>
  </conditionalFormatting>
  <conditionalFormatting sqref="F63">
    <cfRule type="containsText" dxfId="125" priority="71" operator="containsText" text="[Major Cost Driver]">
      <formula>NOT(ISERROR(SEARCH("[Major Cost Driver]",F63)))</formula>
    </cfRule>
  </conditionalFormatting>
  <conditionalFormatting sqref="G63">
    <cfRule type="containsText" dxfId="124" priority="70" operator="containsText" text="[Asset category]">
      <formula>NOT(ISERROR(SEARCH("[Asset category]",G63)))</formula>
    </cfRule>
  </conditionalFormatting>
  <conditionalFormatting sqref="F64:F68">
    <cfRule type="containsText" dxfId="123" priority="69" operator="containsText" text="[Major Cost Driver]">
      <formula>NOT(ISERROR(SEARCH("[Major Cost Driver]",F64)))</formula>
    </cfRule>
  </conditionalFormatting>
  <conditionalFormatting sqref="G64:G68">
    <cfRule type="containsText" dxfId="122" priority="68" operator="containsText" text="[Asset category]">
      <formula>NOT(ISERROR(SEARCH("[Asset category]",G64)))</formula>
    </cfRule>
  </conditionalFormatting>
  <conditionalFormatting sqref="F69:F75">
    <cfRule type="containsText" dxfId="121" priority="67" operator="containsText" text="[Major Cost Driver]">
      <formula>NOT(ISERROR(SEARCH("[Major Cost Driver]",F69)))</formula>
    </cfRule>
  </conditionalFormatting>
  <conditionalFormatting sqref="G69:G76">
    <cfRule type="containsText" dxfId="120" priority="66" operator="containsText" text="[Asset category]">
      <formula>NOT(ISERROR(SEARCH("[Asset category]",G69)))</formula>
    </cfRule>
  </conditionalFormatting>
  <conditionalFormatting sqref="F86:F89">
    <cfRule type="containsText" dxfId="119" priority="65" operator="containsText" text="[Major Cost Driver]">
      <formula>NOT(ISERROR(SEARCH("[Major Cost Driver]",F86)))</formula>
    </cfRule>
  </conditionalFormatting>
  <conditionalFormatting sqref="G86:G89">
    <cfRule type="containsText" dxfId="118" priority="64" operator="containsText" text="[Asset category]">
      <formula>NOT(ISERROR(SEARCH("[Asset category]",G86)))</formula>
    </cfRule>
  </conditionalFormatting>
  <conditionalFormatting sqref="G95:G97">
    <cfRule type="containsText" dxfId="117" priority="63" operator="containsText" text="[Asset category]">
      <formula>NOT(ISERROR(SEARCH("[Asset category]",G95)))</formula>
    </cfRule>
  </conditionalFormatting>
  <conditionalFormatting sqref="F97">
    <cfRule type="containsText" dxfId="116" priority="62" operator="containsText" text="[Major Cost Driver]">
      <formula>NOT(ISERROR(SEARCH("[Major Cost Driver]",F97)))</formula>
    </cfRule>
  </conditionalFormatting>
  <conditionalFormatting sqref="G103:G104">
    <cfRule type="containsText" dxfId="115" priority="61" operator="containsText" text="[Asset category]">
      <formula>NOT(ISERROR(SEARCH("[Asset category]",G103)))</formula>
    </cfRule>
  </conditionalFormatting>
  <conditionalFormatting sqref="F104:F107">
    <cfRule type="containsText" dxfId="114" priority="60" operator="containsText" text="[Major Cost Driver]">
      <formula>NOT(ISERROR(SEARCH("[Major Cost Driver]",F104)))</formula>
    </cfRule>
  </conditionalFormatting>
  <conditionalFormatting sqref="G114:G115">
    <cfRule type="containsText" dxfId="113" priority="59" operator="containsText" text="[Asset category]">
      <formula>NOT(ISERROR(SEARCH("[Asset category]",G114)))</formula>
    </cfRule>
  </conditionalFormatting>
  <conditionalFormatting sqref="G116">
    <cfRule type="containsText" dxfId="112" priority="58" operator="containsText" text="[Asset category]">
      <formula>NOT(ISERROR(SEARCH("[Asset category]",G116)))</formula>
    </cfRule>
  </conditionalFormatting>
  <conditionalFormatting sqref="G117:G118">
    <cfRule type="containsText" dxfId="111" priority="57" operator="containsText" text="[Asset category]">
      <formula>NOT(ISERROR(SEARCH("[Asset category]",G117)))</formula>
    </cfRule>
  </conditionalFormatting>
  <conditionalFormatting sqref="E116:E117">
    <cfRule type="containsText" dxfId="110" priority="55" operator="containsText" text="[Service]">
      <formula>NOT(ISERROR(SEARCH("[Service]",E116)))</formula>
    </cfRule>
  </conditionalFormatting>
  <conditionalFormatting sqref="E105:E107">
    <cfRule type="containsText" dxfId="109" priority="56" operator="containsText" text="[Service]">
      <formula>NOT(ISERROR(SEARCH("[Service]",E105)))</formula>
    </cfRule>
  </conditionalFormatting>
  <conditionalFormatting sqref="G105:G107">
    <cfRule type="containsText" dxfId="108" priority="54" operator="containsText" text="[Asset category]">
      <formula>NOT(ISERROR(SEARCH("[Asset category]",G105)))</formula>
    </cfRule>
  </conditionalFormatting>
  <conditionalFormatting sqref="G90:G94">
    <cfRule type="containsText" dxfId="107" priority="51" operator="containsText" text="[Asset category]">
      <formula>NOT(ISERROR(SEARCH("[Asset category]",G90)))</formula>
    </cfRule>
  </conditionalFormatting>
  <conditionalFormatting sqref="F82:F86">
    <cfRule type="containsText" dxfId="106" priority="53" operator="containsText" text="[Major Cost Driver]">
      <formula>NOT(ISERROR(SEARCH("[Major Cost Driver]",F82)))</formula>
    </cfRule>
  </conditionalFormatting>
  <conditionalFormatting sqref="G82:G85">
    <cfRule type="containsText" dxfId="105" priority="52" operator="containsText" text="[Asset category]">
      <formula>NOT(ISERROR(SEARCH("[Asset category]",G82)))</formula>
    </cfRule>
  </conditionalFormatting>
  <conditionalFormatting sqref="F90:F96">
    <cfRule type="containsText" dxfId="104" priority="50" operator="containsText" text="[Major Cost Driver]">
      <formula>NOT(ISERROR(SEARCH("[Major Cost Driver]",F90)))</formula>
    </cfRule>
  </conditionalFormatting>
  <conditionalFormatting sqref="E108:E111">
    <cfRule type="containsText" dxfId="103" priority="49" operator="containsText" text="[Service]">
      <formula>NOT(ISERROR(SEARCH("[Service]",E108)))</formula>
    </cfRule>
  </conditionalFormatting>
  <conditionalFormatting sqref="F108:F111">
    <cfRule type="containsText" dxfId="102" priority="48" operator="containsText" text="[Major Cost Driver]">
      <formula>NOT(ISERROR(SEARCH("[Major Cost Driver]",F108)))</formula>
    </cfRule>
  </conditionalFormatting>
  <conditionalFormatting sqref="G108:G111">
    <cfRule type="containsText" dxfId="101" priority="47" operator="containsText" text="[Asset category]">
      <formula>NOT(ISERROR(SEARCH("[Asset category]",G108)))</formula>
    </cfRule>
  </conditionalFormatting>
  <conditionalFormatting sqref="E113">
    <cfRule type="containsText" dxfId="100" priority="46" operator="containsText" text="[Service]">
      <formula>NOT(ISERROR(SEARCH("[Service]",E113)))</formula>
    </cfRule>
  </conditionalFormatting>
  <conditionalFormatting sqref="E118">
    <cfRule type="containsText" dxfId="99" priority="45" operator="containsText" text="[Service]">
      <formula>NOT(ISERROR(SEARCH("[Service]",E118)))</formula>
    </cfRule>
  </conditionalFormatting>
  <conditionalFormatting sqref="E120">
    <cfRule type="containsText" dxfId="98" priority="44" operator="containsText" text="[Service]">
      <formula>NOT(ISERROR(SEARCH("[Service]",E120)))</formula>
    </cfRule>
  </conditionalFormatting>
  <conditionalFormatting sqref="E119">
    <cfRule type="containsText" dxfId="97" priority="43" operator="containsText" text="[Service]">
      <formula>NOT(ISERROR(SEARCH("[Service]",E119)))</formula>
    </cfRule>
  </conditionalFormatting>
  <conditionalFormatting sqref="G119">
    <cfRule type="containsText" dxfId="96" priority="42" operator="containsText" text="[Asset category]">
      <formula>NOT(ISERROR(SEARCH("[Asset category]",G119)))</formula>
    </cfRule>
  </conditionalFormatting>
  <conditionalFormatting sqref="E119">
    <cfRule type="containsText" dxfId="95" priority="41" operator="containsText" text="[Service]">
      <formula>NOT(ISERROR(SEARCH("[Service]",E119)))</formula>
    </cfRule>
  </conditionalFormatting>
  <conditionalFormatting sqref="E120">
    <cfRule type="containsText" dxfId="94" priority="40" operator="containsText" text="[Service]">
      <formula>NOT(ISERROR(SEARCH("[Service]",E120)))</formula>
    </cfRule>
  </conditionalFormatting>
  <conditionalFormatting sqref="F112:F116">
    <cfRule type="containsText" dxfId="93" priority="39" operator="containsText" text="[Major Cost Driver]">
      <formula>NOT(ISERROR(SEARCH("[Major Cost Driver]",F112)))</formula>
    </cfRule>
  </conditionalFormatting>
  <conditionalFormatting sqref="F117:F118">
    <cfRule type="containsText" dxfId="92" priority="38" operator="containsText" text="[Major Cost Driver]">
      <formula>NOT(ISERROR(SEARCH("[Major Cost Driver]",F117)))</formula>
    </cfRule>
  </conditionalFormatting>
  <conditionalFormatting sqref="F119:F120">
    <cfRule type="containsText" dxfId="91" priority="37" operator="containsText" text="[Major Cost Driver]">
      <formula>NOT(ISERROR(SEARCH("[Major Cost Driver]",F119)))</formula>
    </cfRule>
  </conditionalFormatting>
  <conditionalFormatting sqref="G120">
    <cfRule type="containsText" dxfId="90" priority="36" operator="containsText" text="[Asset category]">
      <formula>NOT(ISERROR(SEARCH("[Asset category]",G120)))</formula>
    </cfRule>
  </conditionalFormatting>
  <conditionalFormatting sqref="E126">
    <cfRule type="containsText" dxfId="89" priority="35" operator="containsText" text="[Service]">
      <formula>NOT(ISERROR(SEARCH("[Service]",E126)))</formula>
    </cfRule>
  </conditionalFormatting>
  <conditionalFormatting sqref="F126">
    <cfRule type="containsText" dxfId="88" priority="34" operator="containsText" text="[Major Cost Driver]">
      <formula>NOT(ISERROR(SEARCH("[Major Cost Driver]",F126)))</formula>
    </cfRule>
  </conditionalFormatting>
  <conditionalFormatting sqref="G126">
    <cfRule type="containsText" dxfId="87" priority="33" operator="containsText" text="[Asset category]">
      <formula>NOT(ISERROR(SEARCH("[Asset category]",G126)))</formula>
    </cfRule>
  </conditionalFormatting>
  <conditionalFormatting sqref="E121:E125">
    <cfRule type="containsText" dxfId="86" priority="32" operator="containsText" text="[Service]">
      <formula>NOT(ISERROR(SEARCH("[Service]",E121)))</formula>
    </cfRule>
  </conditionalFormatting>
  <conditionalFormatting sqref="F121:F126">
    <cfRule type="containsText" dxfId="85" priority="31" operator="containsText" text="[Major Cost Driver]">
      <formula>NOT(ISERROR(SEARCH("[Major Cost Driver]",F121)))</formula>
    </cfRule>
  </conditionalFormatting>
  <conditionalFormatting sqref="G121:G126">
    <cfRule type="containsText" dxfId="84" priority="30" operator="containsText" text="[Asset category]">
      <formula>NOT(ISERROR(SEARCH("[Asset category]",G121)))</formula>
    </cfRule>
  </conditionalFormatting>
  <conditionalFormatting sqref="E121:E125">
    <cfRule type="containsText" dxfId="83" priority="29" operator="containsText" text="[Service]">
      <formula>NOT(ISERROR(SEARCH("[Service]",E121)))</formula>
    </cfRule>
  </conditionalFormatting>
  <conditionalFormatting sqref="E126">
    <cfRule type="containsText" dxfId="82" priority="28" operator="containsText" text="[Service]">
      <formula>NOT(ISERROR(SEARCH("[Service]",E126)))</formula>
    </cfRule>
  </conditionalFormatting>
  <conditionalFormatting sqref="F103">
    <cfRule type="containsText" dxfId="81" priority="27" operator="containsText" text="[Major Cost Driver]">
      <formula>NOT(ISERROR(SEARCH("[Major Cost Driver]",F103)))</formula>
    </cfRule>
  </conditionalFormatting>
  <conditionalFormatting sqref="G112:G113">
    <cfRule type="containsText" dxfId="80" priority="26" operator="containsText" text="[Asset category]">
      <formula>NOT(ISERROR(SEARCH("[Asset category]",G112)))</formula>
    </cfRule>
  </conditionalFormatting>
  <conditionalFormatting sqref="H58:H126">
    <cfRule type="containsText" dxfId="79" priority="25" operator="containsText" text="[Capital type]">
      <formula>NOT(ISERROR(SEARCH("[Capital type]",H58)))</formula>
    </cfRule>
  </conditionalFormatting>
  <conditionalFormatting sqref="H63">
    <cfRule type="containsText" dxfId="78" priority="24" operator="containsText" text="[Capital type]">
      <formula>NOT(ISERROR(SEARCH("[Capital type]",H63)))</formula>
    </cfRule>
  </conditionalFormatting>
  <conditionalFormatting sqref="H64">
    <cfRule type="containsText" dxfId="77" priority="23" operator="containsText" text="[Capital type]">
      <formula>NOT(ISERROR(SEARCH("[Capital type]",H64)))</formula>
    </cfRule>
  </conditionalFormatting>
  <conditionalFormatting sqref="H65">
    <cfRule type="containsText" dxfId="76" priority="22" operator="containsText" text="[Capital type]">
      <formula>NOT(ISERROR(SEARCH("[Capital type]",H65)))</formula>
    </cfRule>
  </conditionalFormatting>
  <conditionalFormatting sqref="H66">
    <cfRule type="containsText" dxfId="75" priority="21" operator="containsText" text="[Capital type]">
      <formula>NOT(ISERROR(SEARCH("[Capital type]",H66)))</formula>
    </cfRule>
  </conditionalFormatting>
  <conditionalFormatting sqref="H67">
    <cfRule type="containsText" dxfId="74" priority="20" operator="containsText" text="[Capital type]">
      <formula>NOT(ISERROR(SEARCH("[Capital type]",H67)))</formula>
    </cfRule>
  </conditionalFormatting>
  <conditionalFormatting sqref="H68">
    <cfRule type="containsText" dxfId="73" priority="19" operator="containsText" text="[Capital type]">
      <formula>NOT(ISERROR(SEARCH("[Capital type]",H68)))</formula>
    </cfRule>
  </conditionalFormatting>
  <conditionalFormatting sqref="H69">
    <cfRule type="containsText" dxfId="72" priority="18" operator="containsText" text="[Capital type]">
      <formula>NOT(ISERROR(SEARCH("[Capital type]",H69)))</formula>
    </cfRule>
  </conditionalFormatting>
  <conditionalFormatting sqref="H54">
    <cfRule type="containsText" dxfId="71" priority="17" operator="containsText" text="[Capital type]">
      <formula>NOT(ISERROR(SEARCH("[Capital type]",H54)))</formula>
    </cfRule>
  </conditionalFormatting>
  <conditionalFormatting sqref="H55">
    <cfRule type="containsText" dxfId="70" priority="16" operator="containsText" text="[Capital type]">
      <formula>NOT(ISERROR(SEARCH("[Capital type]",H55)))</formula>
    </cfRule>
  </conditionalFormatting>
  <conditionalFormatting sqref="H56">
    <cfRule type="containsText" dxfId="69" priority="15" operator="containsText" text="[Capital type]">
      <formula>NOT(ISERROR(SEARCH("[Capital type]",H56)))</formula>
    </cfRule>
  </conditionalFormatting>
  <conditionalFormatting sqref="H57">
    <cfRule type="containsText" dxfId="68" priority="14" operator="containsText" text="[Capital type]">
      <formula>NOT(ISERROR(SEARCH("[Capital type]",H57)))</formula>
    </cfRule>
  </conditionalFormatting>
  <conditionalFormatting sqref="H59">
    <cfRule type="containsText" dxfId="67" priority="13" operator="containsText" text="[Capital type]">
      <formula>NOT(ISERROR(SEARCH("[Capital type]",H59)))</formula>
    </cfRule>
  </conditionalFormatting>
  <conditionalFormatting sqref="H60">
    <cfRule type="containsText" dxfId="66" priority="12" operator="containsText" text="[Capital type]">
      <formula>NOT(ISERROR(SEARCH("[Capital type]",H60)))</formula>
    </cfRule>
  </conditionalFormatting>
  <conditionalFormatting sqref="H61">
    <cfRule type="containsText" dxfId="65" priority="11" operator="containsText" text="[Capital type]">
      <formula>NOT(ISERROR(SEARCH("[Capital type]",H61)))</formula>
    </cfRule>
  </conditionalFormatting>
  <conditionalFormatting sqref="H62">
    <cfRule type="containsText" dxfId="64" priority="10" operator="containsText" text="[Capital type]">
      <formula>NOT(ISERROR(SEARCH("[Capital type]",H62)))</formula>
    </cfRule>
  </conditionalFormatting>
  <conditionalFormatting sqref="H53">
    <cfRule type="containsText" dxfId="63" priority="9" operator="containsText" text="[Capital type]">
      <formula>NOT(ISERROR(SEARCH("[Capital type]",H53)))</formula>
    </cfRule>
  </conditionalFormatting>
  <conditionalFormatting sqref="K112:K118 K66:K105">
    <cfRule type="containsText" dxfId="62" priority="8" operator="containsText" text="[Year finalised?]">
      <formula>NOT(ISERROR(SEARCH("[Year finalised?]",K66)))</formula>
    </cfRule>
  </conditionalFormatting>
  <conditionalFormatting sqref="K106">
    <cfRule type="containsText" dxfId="61" priority="7" operator="containsText" text="[Year finalised?]">
      <formula>NOT(ISERROR(SEARCH("[Year finalised?]",K106)))</formula>
    </cfRule>
  </conditionalFormatting>
  <conditionalFormatting sqref="K121:K126">
    <cfRule type="containsText" dxfId="60" priority="6" operator="containsText" text="[Year finalised?]">
      <formula>NOT(ISERROR(SEARCH("[Year finalised?]",K121)))</formula>
    </cfRule>
  </conditionalFormatting>
  <conditionalFormatting sqref="K107:K111">
    <cfRule type="containsText" dxfId="59" priority="5" operator="containsText" text="[Year finalised?]">
      <formula>NOT(ISERROR(SEARCH("[Year finalised?]",K107)))</formula>
    </cfRule>
  </conditionalFormatting>
  <conditionalFormatting sqref="K119:K120">
    <cfRule type="containsText" dxfId="58" priority="4" operator="containsText" text="[Year finalised?]">
      <formula>NOT(ISERROR(SEARCH("[Year finalised?]",K119)))</formula>
    </cfRule>
  </conditionalFormatting>
  <conditionalFormatting sqref="K54">
    <cfRule type="containsText" dxfId="57" priority="3" operator="containsText" text="[Year finalised?]">
      <formula>NOT(ISERROR(SEARCH("[Year finalised?]",K54)))</formula>
    </cfRule>
  </conditionalFormatting>
  <conditionalFormatting sqref="K55:K65">
    <cfRule type="containsText" dxfId="56" priority="2" operator="containsText" text="[Year finalised?]">
      <formula>NOT(ISERROR(SEARCH("[Year finalised?]",K55)))</formula>
    </cfRule>
  </conditionalFormatting>
  <conditionalFormatting sqref="K53">
    <cfRule type="containsText" dxfId="55" priority="1" operator="containsText" text="[Year finalised?]">
      <formula>NOT(ISERROR(SEARCH("[Year finalised?]",K53)))</formula>
    </cfRule>
  </conditionalFormatting>
  <dataValidations count="6">
    <dataValidation type="list" allowBlank="1" showInputMessage="1" showErrorMessage="1" sqref="K42:K51 K53:K142" xr:uid="{00000000-0002-0000-0900-000000000000}">
      <formula1>Depr_Deferral</formula1>
    </dataValidation>
    <dataValidation type="list" allowBlank="1" showInputMessage="1" showErrorMessage="1" sqref="E42:E51 E53:E142" xr:uid="{00000000-0002-0000-0900-000001000000}">
      <formula1>Asset_Class</formula1>
    </dataValidation>
    <dataValidation type="list" allowBlank="1" showInputMessage="1" showErrorMessage="1" sqref="F42:F51 F53:F142" xr:uid="{00000000-0002-0000-0900-000002000000}">
      <formula1>Cost_Driver</formula1>
    </dataValidation>
    <dataValidation type="list" allowBlank="1" showInputMessage="1" showErrorMessage="1" sqref="J42:J51 J53:J142" xr:uid="{00000000-0002-0000-0900-000003000000}">
      <formula1>Depreciation_Method</formula1>
    </dataValidation>
    <dataValidation type="list" allowBlank="1" showInputMessage="1" showErrorMessage="1" sqref="H42:H51 H53:H142" xr:uid="{00000000-0002-0000-0900-000004000000}">
      <formula1>Capital_type</formula1>
    </dataValidation>
    <dataValidation type="list" allowBlank="1" showInputMessage="1" showErrorMessage="1" sqref="G42:G51 G53:G142" xr:uid="{00000000-0002-0000-0900-000005000000}">
      <formula1>Asset_category</formula1>
    </dataValidation>
  </dataValidations>
  <hyperlinks>
    <hyperlink ref="B3" location="HL_Home" tooltip="Go to Table of Contents" display="HL_Home" xr:uid="{00000000-0004-0000-0900-000000000000}"/>
  </hyperlinks>
  <pageMargins left="0.7" right="0.7" top="0.75" bottom="0.75" header="0.3" footer="0.3"/>
  <pageSetup paperSize="9" orientation="portrait" r:id="rId1"/>
  <headerFooter>
    <oddHeader>&amp;C&amp;B&amp;"Arial"&amp;12&amp;Kff0000​‌OFFICIAL‌​</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2">
    <tabColor theme="0" tint="-4.9989318521683403E-2"/>
    <pageSetUpPr autoPageBreaks="0"/>
  </sheetPr>
  <dimension ref="A1:BI108"/>
  <sheetViews>
    <sheetView showGridLines="0" tabSelected="1" zoomScaleNormal="100" workbookViewId="0">
      <pane xSplit="8" ySplit="7" topLeftCell="I8" activePane="bottomRight" state="frozen"/>
      <selection pane="topRight"/>
      <selection pane="bottomLeft"/>
      <selection pane="bottomRight" activeCell="AB11" sqref="AB11"/>
    </sheetView>
  </sheetViews>
  <sheetFormatPr defaultColWidth="10.77734375" defaultRowHeight="12" outlineLevelCol="1" x14ac:dyDescent="0.3"/>
  <cols>
    <col min="1" max="5" width="3.77734375" style="73" customWidth="1"/>
    <col min="6" max="9" width="10.77734375" style="73" customWidth="1"/>
    <col min="10" max="22" width="10.77734375" style="73" hidden="1" customWidth="1" outlineLevel="1"/>
    <col min="23" max="23" width="11.44140625" style="73" customWidth="1" collapsed="1"/>
    <col min="24" max="28" width="10.77734375" style="73" customWidth="1"/>
    <col min="29" max="30" width="9.77734375" style="73" customWidth="1"/>
    <col min="31" max="33" width="10.77734375" style="73" customWidth="1"/>
    <col min="34" max="35" width="9.77734375" style="73" customWidth="1"/>
    <col min="36" max="38" width="10.77734375" style="73" customWidth="1"/>
    <col min="39" max="39" width="5.77734375" style="73" customWidth="1"/>
    <col min="40" max="16384" width="10.77734375" style="73"/>
  </cols>
  <sheetData>
    <row r="1" spans="1:61" ht="14.5" x14ac:dyDescent="0.3">
      <c r="A1" s="1358">
        <v>80</v>
      </c>
      <c r="B1" s="158" t="s">
        <v>531</v>
      </c>
      <c r="R1" s="297"/>
      <c r="Y1" s="410"/>
    </row>
    <row r="2" spans="1:61" ht="13" x14ac:dyDescent="0.3">
      <c r="B2" s="1359" t="str">
        <f>+Contents!H7</f>
        <v>Central Highlands Water</v>
      </c>
      <c r="N2" s="411"/>
      <c r="R2" s="297"/>
    </row>
    <row r="3" spans="1:61" x14ac:dyDescent="0.3">
      <c r="B3" s="2357" t="s">
        <v>0</v>
      </c>
      <c r="C3" s="2357"/>
      <c r="D3" s="2357"/>
      <c r="E3" s="2357"/>
      <c r="F3" s="2357"/>
      <c r="G3" s="74"/>
      <c r="W3" s="412"/>
    </row>
    <row r="4" spans="1:61" x14ac:dyDescent="0.3">
      <c r="A4" s="165"/>
      <c r="B4" s="75"/>
      <c r="C4" s="76"/>
      <c r="F4" s="63"/>
      <c r="J4" s="72"/>
      <c r="K4" s="66"/>
      <c r="L4" s="155" t="s">
        <v>60</v>
      </c>
      <c r="M4" s="65"/>
      <c r="N4" s="66"/>
      <c r="O4" s="67"/>
      <c r="P4" s="155" t="s">
        <v>61</v>
      </c>
      <c r="Q4" s="67"/>
      <c r="R4" s="65"/>
      <c r="S4" s="1202"/>
      <c r="T4" s="1203"/>
      <c r="U4" s="1572" t="s">
        <v>274</v>
      </c>
      <c r="V4" s="1203"/>
      <c r="W4" s="1204"/>
      <c r="X4" s="1944"/>
      <c r="Y4" s="1575"/>
      <c r="Z4" s="1575" t="s">
        <v>1072</v>
      </c>
      <c r="AA4" s="1575"/>
      <c r="AB4" s="1574"/>
      <c r="AC4" s="1573"/>
      <c r="AD4" s="1575"/>
      <c r="AE4" s="1575" t="s">
        <v>457</v>
      </c>
      <c r="AF4" s="1575"/>
      <c r="AG4" s="1574"/>
      <c r="AH4" s="1573"/>
      <c r="AI4" s="1575"/>
      <c r="AJ4" s="1575" t="s">
        <v>903</v>
      </c>
      <c r="AK4" s="1575"/>
      <c r="AL4" s="1574"/>
    </row>
    <row r="6" spans="1:61" x14ac:dyDescent="0.3">
      <c r="B6" s="166"/>
      <c r="J6" s="1360">
        <v>2005</v>
      </c>
      <c r="K6" s="1360">
        <v>2006</v>
      </c>
      <c r="L6" s="1360">
        <v>2007</v>
      </c>
      <c r="M6" s="1360">
        <v>2008</v>
      </c>
      <c r="N6" s="1360">
        <v>2009</v>
      </c>
      <c r="O6" s="1360">
        <v>2010</v>
      </c>
      <c r="P6" s="1360">
        <v>2011</v>
      </c>
      <c r="Q6" s="1360">
        <v>2012</v>
      </c>
      <c r="R6" s="1360">
        <v>2013</v>
      </c>
      <c r="S6" s="1360">
        <v>2014</v>
      </c>
      <c r="T6" s="1360">
        <v>2015</v>
      </c>
      <c r="U6" s="1360">
        <v>2016</v>
      </c>
      <c r="V6" s="1360">
        <v>2017</v>
      </c>
      <c r="W6" s="1360">
        <v>2018</v>
      </c>
      <c r="X6" s="1360">
        <v>2019</v>
      </c>
      <c r="Y6" s="1360">
        <v>2020</v>
      </c>
      <c r="Z6" s="1360">
        <v>2021</v>
      </c>
      <c r="AA6" s="1360">
        <v>2022</v>
      </c>
      <c r="AB6" s="1360">
        <v>2023</v>
      </c>
      <c r="AC6" s="1420">
        <v>2024</v>
      </c>
      <c r="AD6" s="1420">
        <v>2025</v>
      </c>
      <c r="AE6" s="1420">
        <v>2026</v>
      </c>
      <c r="AF6" s="1420">
        <v>2027</v>
      </c>
      <c r="AG6" s="1420">
        <v>2028</v>
      </c>
      <c r="AH6" s="1420">
        <v>2029</v>
      </c>
      <c r="AI6" s="1420">
        <v>2030</v>
      </c>
      <c r="AJ6" s="1420">
        <v>2031</v>
      </c>
      <c r="AK6" s="1420">
        <v>2032</v>
      </c>
      <c r="AL6" s="1420">
        <v>2033</v>
      </c>
    </row>
    <row r="7" spans="1:61" x14ac:dyDescent="0.3">
      <c r="B7" s="126" t="str">
        <f>Expenditure_Detail!$B$6</f>
        <v>$m, 01/01/23</v>
      </c>
      <c r="C7" s="78"/>
      <c r="D7" s="78"/>
      <c r="E7" s="78"/>
      <c r="F7" s="78"/>
      <c r="G7" s="78"/>
      <c r="H7" s="78"/>
      <c r="I7" s="413"/>
      <c r="J7" s="1319" t="str">
        <f>+CONCATENATE(J6-1,"-",RIGHT(J6,2))</f>
        <v>2004-05</v>
      </c>
      <c r="K7" s="1319" t="str">
        <f t="shared" ref="K7:W7" si="0">+CONCATENATE(K6-1,"-",RIGHT(K6,2))</f>
        <v>2005-06</v>
      </c>
      <c r="L7" s="1319" t="str">
        <f t="shared" si="0"/>
        <v>2006-07</v>
      </c>
      <c r="M7" s="1319" t="str">
        <f t="shared" si="0"/>
        <v>2007-08</v>
      </c>
      <c r="N7" s="1319" t="str">
        <f t="shared" si="0"/>
        <v>2008-09</v>
      </c>
      <c r="O7" s="1319" t="str">
        <f t="shared" si="0"/>
        <v>2009-10</v>
      </c>
      <c r="P7" s="1319" t="str">
        <f t="shared" si="0"/>
        <v>2010-11</v>
      </c>
      <c r="Q7" s="1319" t="str">
        <f t="shared" si="0"/>
        <v>2011-12</v>
      </c>
      <c r="R7" s="1319" t="str">
        <f>+CONCATENATE(R6-1,"-",RIGHT(R6,2))</f>
        <v>2012-13</v>
      </c>
      <c r="S7" s="1319" t="str">
        <f t="shared" si="0"/>
        <v>2013-14</v>
      </c>
      <c r="T7" s="1319" t="str">
        <f t="shared" si="0"/>
        <v>2014-15</v>
      </c>
      <c r="U7" s="1319" t="str">
        <f t="shared" si="0"/>
        <v>2015-16</v>
      </c>
      <c r="V7" s="1319" t="str">
        <f t="shared" si="0"/>
        <v>2016-17</v>
      </c>
      <c r="W7" s="1319" t="str">
        <f t="shared" si="0"/>
        <v>2017-18</v>
      </c>
      <c r="X7" s="1319" t="str">
        <f t="shared" ref="X7:AG7" si="1">+CONCATENATE(X6-1,"-",RIGHT(X6,2))</f>
        <v>2018-19</v>
      </c>
      <c r="Y7" s="1319" t="str">
        <f t="shared" si="1"/>
        <v>2019-20</v>
      </c>
      <c r="Z7" s="1319" t="str">
        <f t="shared" si="1"/>
        <v>2020-21</v>
      </c>
      <c r="AA7" s="1319" t="str">
        <f t="shared" si="1"/>
        <v>2021-22</v>
      </c>
      <c r="AB7" s="1319" t="str">
        <f t="shared" si="1"/>
        <v>2022-23</v>
      </c>
      <c r="AC7" s="1319" t="str">
        <f t="shared" si="1"/>
        <v>2023-24</v>
      </c>
      <c r="AD7" s="1319" t="str">
        <f t="shared" si="1"/>
        <v>2024-25</v>
      </c>
      <c r="AE7" s="1319" t="str">
        <f t="shared" si="1"/>
        <v>2025-26</v>
      </c>
      <c r="AF7" s="1319" t="str">
        <f t="shared" si="1"/>
        <v>2026-27</v>
      </c>
      <c r="AG7" s="1319" t="str">
        <f t="shared" si="1"/>
        <v>2027-28</v>
      </c>
      <c r="AH7" s="1319" t="str">
        <f t="shared" ref="AH7:AL7" si="2">+CONCATENATE(AH6-1,"-",RIGHT(AH6,2))</f>
        <v>2028-29</v>
      </c>
      <c r="AI7" s="1319" t="str">
        <f t="shared" si="2"/>
        <v>2029-30</v>
      </c>
      <c r="AJ7" s="1319" t="str">
        <f t="shared" si="2"/>
        <v>2030-31</v>
      </c>
      <c r="AK7" s="1319" t="str">
        <f t="shared" si="2"/>
        <v>2031-32</v>
      </c>
      <c r="AL7" s="1319" t="str">
        <f t="shared" si="2"/>
        <v>2032-33</v>
      </c>
    </row>
    <row r="8" spans="1:61" ht="12.5" thickBot="1" x14ac:dyDescent="0.35"/>
    <row r="9" spans="1:61" x14ac:dyDescent="0.3">
      <c r="C9" s="170"/>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2"/>
    </row>
    <row r="10" spans="1:61" ht="12.75" customHeight="1" x14ac:dyDescent="0.3">
      <c r="C10" s="173"/>
      <c r="D10" s="174" t="s">
        <v>533</v>
      </c>
      <c r="E10" s="72"/>
      <c r="F10" s="72"/>
      <c r="G10" s="72"/>
      <c r="H10" s="72"/>
      <c r="I10" s="72"/>
      <c r="J10" s="72"/>
      <c r="K10" s="72"/>
      <c r="L10" s="72"/>
      <c r="M10" s="72"/>
      <c r="N10" s="72"/>
      <c r="O10" s="72"/>
      <c r="P10" s="72"/>
      <c r="Q10" s="72"/>
      <c r="R10" s="414"/>
      <c r="S10" s="72"/>
      <c r="T10" s="72"/>
      <c r="U10" s="72"/>
      <c r="V10" s="72"/>
      <c r="W10" s="72"/>
      <c r="X10" s="72"/>
      <c r="Y10" s="72"/>
      <c r="Z10" s="72"/>
      <c r="AA10" s="72"/>
      <c r="AB10" s="72"/>
      <c r="AC10" s="72"/>
      <c r="AD10" s="72"/>
      <c r="AE10" s="72"/>
      <c r="AF10" s="72"/>
      <c r="AG10" s="72"/>
      <c r="AH10" s="72"/>
      <c r="AI10" s="72"/>
      <c r="AJ10" s="72"/>
      <c r="AK10" s="72"/>
      <c r="AL10" s="72"/>
      <c r="AM10" s="175"/>
      <c r="AN10" s="1524" t="s">
        <v>857</v>
      </c>
      <c r="AO10" s="1525"/>
      <c r="AP10" s="1525"/>
      <c r="AQ10" s="1525"/>
      <c r="AR10" s="1525"/>
      <c r="AS10" s="1525"/>
    </row>
    <row r="11" spans="1:61" ht="11.25" customHeight="1" x14ac:dyDescent="0.3">
      <c r="C11" s="173"/>
      <c r="D11" s="84"/>
      <c r="E11" s="84"/>
      <c r="F11" s="84"/>
      <c r="G11" s="84"/>
      <c r="H11" s="84"/>
      <c r="I11" s="84"/>
      <c r="J11" s="72"/>
      <c r="K11" s="84"/>
      <c r="L11" s="84"/>
      <c r="M11" s="84"/>
      <c r="N11" s="84"/>
      <c r="O11" s="84"/>
      <c r="P11" s="84"/>
      <c r="Q11" s="84"/>
      <c r="R11" s="84"/>
      <c r="S11" s="84"/>
      <c r="T11" s="84"/>
      <c r="U11" s="84"/>
      <c r="V11" s="84"/>
      <c r="W11" s="72"/>
      <c r="X11" s="84"/>
      <c r="Y11" s="84"/>
      <c r="Z11" s="84"/>
      <c r="AA11" s="84"/>
      <c r="AB11" s="84"/>
      <c r="AC11" s="84"/>
      <c r="AD11" s="84"/>
      <c r="AE11" s="84"/>
      <c r="AF11" s="84"/>
      <c r="AG11" s="84"/>
      <c r="AH11" s="84"/>
      <c r="AI11" s="84"/>
      <c r="AJ11" s="84"/>
      <c r="AK11" s="84"/>
      <c r="AL11" s="84"/>
      <c r="AM11" s="175"/>
    </row>
    <row r="12" spans="1:61" x14ac:dyDescent="0.3">
      <c r="C12" s="173"/>
      <c r="D12" s="84"/>
      <c r="E12" s="84" t="s">
        <v>21</v>
      </c>
      <c r="F12" s="84"/>
      <c r="G12" s="84"/>
      <c r="H12" s="84"/>
      <c r="I12" s="84"/>
      <c r="J12" s="1527"/>
      <c r="K12" s="1527"/>
      <c r="L12" s="1527"/>
      <c r="M12" s="1527"/>
      <c r="N12" s="1527"/>
      <c r="O12" s="1527"/>
      <c r="P12" s="1527"/>
      <c r="Q12" s="1527"/>
      <c r="R12" s="1527"/>
      <c r="S12" s="1527"/>
      <c r="T12" s="1527"/>
      <c r="U12" s="1527"/>
      <c r="V12" s="1527"/>
      <c r="W12" s="1527">
        <f>+W37</f>
        <v>16.24043076923077</v>
      </c>
      <c r="X12" s="1527">
        <f>+X37</f>
        <v>17.035930044355755</v>
      </c>
      <c r="Y12" s="1527">
        <f>+Y37</f>
        <v>14.324613649691862</v>
      </c>
      <c r="Z12" s="1527">
        <f>+Z37</f>
        <v>10.461716935812005</v>
      </c>
      <c r="AA12" s="1527">
        <f t="shared" ref="AA12" si="3">+AA37</f>
        <v>10.446783730697089</v>
      </c>
      <c r="AB12" s="2351">
        <v>21.314527694659166</v>
      </c>
      <c r="AC12" s="1527">
        <f t="shared" ref="AC12:AL12" si="4">+AC37</f>
        <v>24.918700000000001</v>
      </c>
      <c r="AD12" s="1527">
        <f t="shared" si="4"/>
        <v>36.073500000000003</v>
      </c>
      <c r="AE12" s="1527">
        <f t="shared" si="4"/>
        <v>36.361500000000007</v>
      </c>
      <c r="AF12" s="1527">
        <f t="shared" si="4"/>
        <v>23.079500000000003</v>
      </c>
      <c r="AG12" s="1527">
        <f t="shared" si="4"/>
        <v>25.545500000000004</v>
      </c>
      <c r="AH12" s="1527">
        <f t="shared" si="4"/>
        <v>56.987000000000002</v>
      </c>
      <c r="AI12" s="1527">
        <f t="shared" si="4"/>
        <v>46.062000000000012</v>
      </c>
      <c r="AJ12" s="1527">
        <f t="shared" si="4"/>
        <v>34.106999999999999</v>
      </c>
      <c r="AK12" s="1527">
        <f t="shared" si="4"/>
        <v>29.777000000000001</v>
      </c>
      <c r="AL12" s="1527">
        <f t="shared" si="4"/>
        <v>40.857000000000006</v>
      </c>
      <c r="AM12" s="175"/>
      <c r="AO12" s="807"/>
      <c r="AP12" s="807"/>
      <c r="AQ12" s="807"/>
      <c r="AR12" s="807"/>
      <c r="AS12" s="807"/>
      <c r="AT12" s="807"/>
      <c r="AU12" s="807"/>
      <c r="AV12" s="807"/>
      <c r="AW12" s="807"/>
      <c r="AX12" s="807"/>
      <c r="AY12" s="807"/>
      <c r="AZ12" s="807"/>
      <c r="BA12" s="807"/>
      <c r="BB12" s="807"/>
      <c r="BC12" s="807"/>
      <c r="BD12" s="807"/>
      <c r="BE12" s="807"/>
      <c r="BF12" s="807"/>
      <c r="BG12" s="807"/>
      <c r="BH12" s="807"/>
      <c r="BI12" s="807"/>
    </row>
    <row r="13" spans="1:61" x14ac:dyDescent="0.3">
      <c r="C13" s="173"/>
      <c r="D13" s="84"/>
      <c r="E13" s="84" t="s">
        <v>22</v>
      </c>
      <c r="F13" s="84"/>
      <c r="G13" s="84"/>
      <c r="H13" s="84"/>
      <c r="I13" s="84"/>
      <c r="J13" s="1527"/>
      <c r="K13" s="1527"/>
      <c r="L13" s="1527"/>
      <c r="M13" s="1527"/>
      <c r="N13" s="1527"/>
      <c r="O13" s="1527"/>
      <c r="P13" s="1527"/>
      <c r="Q13" s="1527"/>
      <c r="R13" s="1527"/>
      <c r="S13" s="1527"/>
      <c r="T13" s="1527"/>
      <c r="U13" s="1527"/>
      <c r="V13" s="1527"/>
      <c r="W13" s="1527">
        <f>+W44</f>
        <v>8.9521954751131219</v>
      </c>
      <c r="X13" s="1527">
        <f>+X44</f>
        <v>13.41143346495153</v>
      </c>
      <c r="Y13" s="1527">
        <f>+Y44</f>
        <v>16.508749549335569</v>
      </c>
      <c r="Z13" s="1527">
        <f t="shared" ref="Z13:AA13" si="5">+Z44</f>
        <v>16.109147060878254</v>
      </c>
      <c r="AA13" s="1527">
        <f t="shared" si="5"/>
        <v>17.075695884530948</v>
      </c>
      <c r="AB13" s="2352">
        <v>14.829434481797012</v>
      </c>
      <c r="AC13" s="1527">
        <f t="shared" ref="AC13:AL13" si="6">+AC44</f>
        <v>18.46</v>
      </c>
      <c r="AD13" s="1527">
        <f t="shared" si="6"/>
        <v>8.4649999999999999</v>
      </c>
      <c r="AE13" s="1527">
        <f t="shared" si="6"/>
        <v>12.040000000000001</v>
      </c>
      <c r="AF13" s="1527">
        <f t="shared" si="6"/>
        <v>26.875000000000004</v>
      </c>
      <c r="AG13" s="1527">
        <f t="shared" si="6"/>
        <v>30.184999999999995</v>
      </c>
      <c r="AH13" s="1527">
        <f t="shared" si="6"/>
        <v>37.18</v>
      </c>
      <c r="AI13" s="1527">
        <f t="shared" si="6"/>
        <v>46.505000000000003</v>
      </c>
      <c r="AJ13" s="1527">
        <f t="shared" si="6"/>
        <v>31.43</v>
      </c>
      <c r="AK13" s="1527">
        <f t="shared" si="6"/>
        <v>22.704999999999998</v>
      </c>
      <c r="AL13" s="1527">
        <f t="shared" si="6"/>
        <v>23.435000000000002</v>
      </c>
      <c r="AM13" s="175"/>
      <c r="AO13" s="807"/>
      <c r="AP13" s="807"/>
      <c r="AQ13" s="807"/>
      <c r="AR13" s="807"/>
      <c r="AS13" s="807"/>
      <c r="AT13" s="807"/>
      <c r="AU13" s="807"/>
      <c r="AV13" s="807"/>
      <c r="AW13" s="807"/>
      <c r="AX13" s="807"/>
      <c r="AY13" s="807"/>
      <c r="AZ13" s="807"/>
      <c r="BA13" s="807"/>
      <c r="BB13" s="807"/>
      <c r="BC13" s="807"/>
      <c r="BD13" s="807"/>
      <c r="BE13" s="807"/>
      <c r="BF13" s="807"/>
      <c r="BG13" s="807"/>
      <c r="BH13" s="807"/>
      <c r="BI13" s="807"/>
    </row>
    <row r="14" spans="1:61" x14ac:dyDescent="0.3">
      <c r="C14" s="173"/>
      <c r="D14" s="84"/>
      <c r="E14" s="84" t="s">
        <v>275</v>
      </c>
      <c r="F14" s="84"/>
      <c r="G14" s="84"/>
      <c r="H14" s="84"/>
      <c r="I14" s="84"/>
      <c r="J14" s="1527"/>
      <c r="K14" s="1527"/>
      <c r="L14" s="1527"/>
      <c r="M14" s="1527"/>
      <c r="N14" s="1527"/>
      <c r="O14" s="1527"/>
      <c r="P14" s="1527"/>
      <c r="Q14" s="1527"/>
      <c r="R14" s="1527"/>
      <c r="S14" s="1527"/>
      <c r="T14" s="1527"/>
      <c r="U14" s="1527"/>
      <c r="V14" s="1527"/>
      <c r="W14" s="1527">
        <f>+W51</f>
        <v>0</v>
      </c>
      <c r="X14" s="1527">
        <f>+X51</f>
        <v>0</v>
      </c>
      <c r="Y14" s="1527">
        <f>+Y51</f>
        <v>2.0279969050216531</v>
      </c>
      <c r="Z14" s="1527">
        <f t="shared" ref="Z14:AA14" si="7">+Z51</f>
        <v>1.5235975377094018</v>
      </c>
      <c r="AA14" s="1527">
        <f t="shared" si="7"/>
        <v>1.6150133899719659</v>
      </c>
      <c r="AB14" s="2352">
        <v>1.3560378235438222</v>
      </c>
      <c r="AC14" s="1527">
        <f t="shared" ref="AC14:AL14" si="8">+AC51</f>
        <v>2.61</v>
      </c>
      <c r="AD14" s="1527">
        <f t="shared" si="8"/>
        <v>3.46</v>
      </c>
      <c r="AE14" s="1527">
        <f t="shared" si="8"/>
        <v>1.61</v>
      </c>
      <c r="AF14" s="1527">
        <f t="shared" si="8"/>
        <v>4.0599999999999996</v>
      </c>
      <c r="AG14" s="1527">
        <f t="shared" si="8"/>
        <v>2.2599999999999998</v>
      </c>
      <c r="AH14" s="1527">
        <f t="shared" si="8"/>
        <v>4.43</v>
      </c>
      <c r="AI14" s="1527">
        <f t="shared" si="8"/>
        <v>2.63</v>
      </c>
      <c r="AJ14" s="1527">
        <f t="shared" si="8"/>
        <v>2.63</v>
      </c>
      <c r="AK14" s="1527">
        <f t="shared" si="8"/>
        <v>2.63</v>
      </c>
      <c r="AL14" s="1527">
        <f t="shared" si="8"/>
        <v>2.63</v>
      </c>
      <c r="AM14" s="175"/>
      <c r="AO14" s="807"/>
      <c r="AP14" s="807"/>
      <c r="AQ14" s="807"/>
      <c r="AR14" s="807"/>
      <c r="AS14" s="807"/>
      <c r="AT14" s="807"/>
      <c r="AU14" s="807"/>
      <c r="AV14" s="807"/>
      <c r="AW14" s="807"/>
      <c r="AX14" s="807"/>
      <c r="AY14" s="807"/>
      <c r="AZ14" s="807"/>
      <c r="BA14" s="807"/>
      <c r="BB14" s="807"/>
      <c r="BC14" s="807"/>
      <c r="BD14" s="807"/>
      <c r="BE14" s="807"/>
      <c r="BF14" s="807"/>
      <c r="BG14" s="807"/>
      <c r="BH14" s="807"/>
      <c r="BI14" s="807"/>
    </row>
    <row r="15" spans="1:61" x14ac:dyDescent="0.3">
      <c r="C15" s="173"/>
      <c r="D15" s="84"/>
      <c r="E15" s="84" t="s">
        <v>353</v>
      </c>
      <c r="F15" s="84"/>
      <c r="G15" s="84"/>
      <c r="H15" s="84"/>
      <c r="I15" s="84"/>
      <c r="J15" s="1527"/>
      <c r="K15" s="1527"/>
      <c r="L15" s="1527"/>
      <c r="M15" s="1527"/>
      <c r="N15" s="1527"/>
      <c r="O15" s="1527"/>
      <c r="P15" s="1527"/>
      <c r="Q15" s="1527"/>
      <c r="R15" s="1527"/>
      <c r="S15" s="1527"/>
      <c r="T15" s="1527"/>
      <c r="U15" s="1527"/>
      <c r="V15" s="1527"/>
      <c r="W15" s="1527">
        <f>+W58</f>
        <v>0</v>
      </c>
      <c r="X15" s="1527">
        <f>+X58</f>
        <v>0</v>
      </c>
      <c r="Y15" s="1527">
        <f>+Y58</f>
        <v>0</v>
      </c>
      <c r="Z15" s="1527">
        <f t="shared" ref="Z15:AA15" si="9">+Z58</f>
        <v>0</v>
      </c>
      <c r="AA15" s="1527">
        <f t="shared" si="9"/>
        <v>0</v>
      </c>
      <c r="AB15" s="2352">
        <f>Determination_Lookup!$R16</f>
        <v>0</v>
      </c>
      <c r="AC15" s="1527">
        <f t="shared" ref="AC15:AL15" si="10">+AC58</f>
        <v>0</v>
      </c>
      <c r="AD15" s="1527">
        <f t="shared" si="10"/>
        <v>0</v>
      </c>
      <c r="AE15" s="1527">
        <f t="shared" si="10"/>
        <v>0</v>
      </c>
      <c r="AF15" s="1527">
        <f t="shared" si="10"/>
        <v>0</v>
      </c>
      <c r="AG15" s="1527">
        <f t="shared" si="10"/>
        <v>0</v>
      </c>
      <c r="AH15" s="1527">
        <f t="shared" si="10"/>
        <v>0</v>
      </c>
      <c r="AI15" s="1527">
        <f t="shared" si="10"/>
        <v>0</v>
      </c>
      <c r="AJ15" s="1527">
        <f t="shared" si="10"/>
        <v>0</v>
      </c>
      <c r="AK15" s="1527">
        <f t="shared" si="10"/>
        <v>0</v>
      </c>
      <c r="AL15" s="1527">
        <f t="shared" si="10"/>
        <v>0</v>
      </c>
      <c r="AM15" s="175"/>
      <c r="AO15" s="807"/>
      <c r="AP15" s="807"/>
      <c r="AQ15" s="807"/>
      <c r="AR15" s="807"/>
      <c r="AS15" s="807"/>
      <c r="AT15" s="807"/>
      <c r="AU15" s="807"/>
      <c r="AV15" s="807"/>
      <c r="AW15" s="807"/>
      <c r="AX15" s="807"/>
      <c r="AY15" s="807"/>
      <c r="AZ15" s="807"/>
      <c r="BA15" s="807"/>
      <c r="BB15" s="807"/>
      <c r="BC15" s="807"/>
      <c r="BD15" s="807"/>
      <c r="BE15" s="807"/>
      <c r="BF15" s="807"/>
      <c r="BG15" s="807"/>
      <c r="BH15" s="807"/>
      <c r="BI15" s="807"/>
    </row>
    <row r="16" spans="1:61" x14ac:dyDescent="0.3">
      <c r="C16" s="173"/>
      <c r="D16" s="84"/>
      <c r="E16" s="84" t="s">
        <v>354</v>
      </c>
      <c r="F16" s="84"/>
      <c r="G16" s="84"/>
      <c r="H16" s="84"/>
      <c r="I16" s="84"/>
      <c r="J16" s="1527"/>
      <c r="K16" s="1527"/>
      <c r="L16" s="1527"/>
      <c r="M16" s="1527"/>
      <c r="N16" s="1527"/>
      <c r="O16" s="1527"/>
      <c r="P16" s="1527"/>
      <c r="Q16" s="1527"/>
      <c r="R16" s="1527"/>
      <c r="S16" s="1527"/>
      <c r="T16" s="1527"/>
      <c r="U16" s="1527"/>
      <c r="V16" s="1527"/>
      <c r="W16" s="1527">
        <f>+W65</f>
        <v>0</v>
      </c>
      <c r="X16" s="1527">
        <f>+X65</f>
        <v>0</v>
      </c>
      <c r="Y16" s="1527">
        <f>+Y65</f>
        <v>0</v>
      </c>
      <c r="Z16" s="1527">
        <f t="shared" ref="Z16:AA16" si="11">+Z65</f>
        <v>0</v>
      </c>
      <c r="AA16" s="1527">
        <f t="shared" si="11"/>
        <v>0</v>
      </c>
      <c r="AB16" s="2353">
        <f>Determination_Lookup!$R17</f>
        <v>0</v>
      </c>
      <c r="AC16" s="1527">
        <f t="shared" ref="AC16:AL16" si="12">+AC65</f>
        <v>0</v>
      </c>
      <c r="AD16" s="1527">
        <f t="shared" si="12"/>
        <v>0</v>
      </c>
      <c r="AE16" s="1527">
        <f t="shared" si="12"/>
        <v>0</v>
      </c>
      <c r="AF16" s="1527">
        <f t="shared" si="12"/>
        <v>0</v>
      </c>
      <c r="AG16" s="1527">
        <f t="shared" si="12"/>
        <v>0</v>
      </c>
      <c r="AH16" s="1527">
        <f t="shared" si="12"/>
        <v>0</v>
      </c>
      <c r="AI16" s="1527">
        <f t="shared" si="12"/>
        <v>0</v>
      </c>
      <c r="AJ16" s="1527">
        <f t="shared" si="12"/>
        <v>0</v>
      </c>
      <c r="AK16" s="1527">
        <f t="shared" si="12"/>
        <v>0</v>
      </c>
      <c r="AL16" s="1527">
        <f t="shared" si="12"/>
        <v>0</v>
      </c>
      <c r="AM16" s="175"/>
      <c r="AO16" s="807"/>
      <c r="AP16" s="807"/>
      <c r="AQ16" s="807"/>
      <c r="AR16" s="807"/>
      <c r="AS16" s="807"/>
      <c r="AT16" s="807"/>
      <c r="AU16" s="807"/>
      <c r="AV16" s="807"/>
      <c r="AW16" s="807"/>
      <c r="AX16" s="807"/>
      <c r="AY16" s="807"/>
      <c r="AZ16" s="807"/>
      <c r="BA16" s="807"/>
      <c r="BB16" s="807"/>
      <c r="BC16" s="807"/>
      <c r="BD16" s="807"/>
      <c r="BE16" s="807"/>
      <c r="BF16" s="807"/>
      <c r="BG16" s="807"/>
      <c r="BH16" s="807"/>
      <c r="BI16" s="807"/>
    </row>
    <row r="17" spans="2:61" ht="12.5" thickBot="1" x14ac:dyDescent="0.35">
      <c r="C17" s="173"/>
      <c r="D17" s="84"/>
      <c r="E17" s="108" t="s">
        <v>513</v>
      </c>
      <c r="F17" s="108"/>
      <c r="G17" s="108"/>
      <c r="H17" s="108"/>
      <c r="I17" s="108"/>
      <c r="J17" s="1612"/>
      <c r="K17" s="1612"/>
      <c r="L17" s="1612"/>
      <c r="M17" s="1612"/>
      <c r="N17" s="1612"/>
      <c r="O17" s="1612"/>
      <c r="P17" s="1612"/>
      <c r="Q17" s="1612"/>
      <c r="R17" s="1612"/>
      <c r="S17" s="1612"/>
      <c r="T17" s="1612"/>
      <c r="U17" s="1612"/>
      <c r="V17" s="1612"/>
      <c r="W17" s="1612">
        <f>+SUM(W12:W16)</f>
        <v>25.192626244343892</v>
      </c>
      <c r="X17" s="1612">
        <f>+SUM(X12:X16)</f>
        <v>30.447363509307287</v>
      </c>
      <c r="Y17" s="1612">
        <f t="shared" ref="Y17:AB17" si="13">+SUM(Y12:Y16)</f>
        <v>32.861360104049083</v>
      </c>
      <c r="Z17" s="1612">
        <f t="shared" si="13"/>
        <v>28.09446153439966</v>
      </c>
      <c r="AA17" s="1612">
        <f t="shared" si="13"/>
        <v>29.137493005200003</v>
      </c>
      <c r="AB17" s="1612">
        <f t="shared" si="13"/>
        <v>37.5</v>
      </c>
      <c r="AC17" s="1612">
        <f t="shared" ref="AC17:AL17" si="14">+SUM(AC12:AC16)</f>
        <v>45.988700000000001</v>
      </c>
      <c r="AD17" s="1612">
        <f t="shared" si="14"/>
        <v>47.9985</v>
      </c>
      <c r="AE17" s="1612">
        <f t="shared" si="14"/>
        <v>50.011500000000005</v>
      </c>
      <c r="AF17" s="1612">
        <f t="shared" si="14"/>
        <v>54.014500000000012</v>
      </c>
      <c r="AG17" s="1612">
        <f t="shared" si="14"/>
        <v>57.990499999999997</v>
      </c>
      <c r="AH17" s="1612">
        <f t="shared" si="14"/>
        <v>98.597000000000008</v>
      </c>
      <c r="AI17" s="1612">
        <f t="shared" si="14"/>
        <v>95.197000000000003</v>
      </c>
      <c r="AJ17" s="1612">
        <f t="shared" si="14"/>
        <v>68.167000000000002</v>
      </c>
      <c r="AK17" s="1612">
        <f t="shared" si="14"/>
        <v>55.112000000000002</v>
      </c>
      <c r="AL17" s="1612">
        <f t="shared" si="14"/>
        <v>66.921999999999997</v>
      </c>
      <c r="AM17" s="175"/>
      <c r="AO17" s="807"/>
      <c r="AP17" s="807"/>
      <c r="AQ17" s="807"/>
      <c r="AR17" s="807"/>
      <c r="AS17" s="807"/>
      <c r="AT17" s="807"/>
      <c r="AU17" s="807"/>
      <c r="AV17" s="807"/>
      <c r="AW17" s="807"/>
      <c r="AX17" s="807"/>
      <c r="AY17" s="807"/>
      <c r="AZ17" s="807"/>
      <c r="BA17" s="807"/>
      <c r="BB17" s="807"/>
      <c r="BC17" s="807"/>
      <c r="BD17" s="807"/>
      <c r="BE17" s="807"/>
      <c r="BF17" s="807"/>
      <c r="BG17" s="807"/>
      <c r="BH17" s="807"/>
      <c r="BI17" s="807"/>
    </row>
    <row r="18" spans="2:61" s="285" customFormat="1" x14ac:dyDescent="0.3">
      <c r="C18" s="415"/>
      <c r="D18" s="284"/>
      <c r="E18" s="84"/>
      <c r="F18" s="84"/>
      <c r="G18" s="84"/>
      <c r="H18" s="84"/>
      <c r="I18" s="84"/>
      <c r="J18" s="84"/>
      <c r="K18" s="84"/>
      <c r="L18" s="84"/>
      <c r="M18" s="416"/>
      <c r="N18" s="417"/>
      <c r="O18" s="417"/>
      <c r="P18" s="417"/>
      <c r="Q18" s="417"/>
      <c r="R18" s="1236"/>
      <c r="S18" s="1236"/>
      <c r="T18" s="1236"/>
      <c r="U18" s="1236"/>
      <c r="V18" s="1236"/>
      <c r="W18" s="1236"/>
      <c r="X18" s="1236"/>
      <c r="Y18" s="1236"/>
      <c r="Z18" s="1236"/>
      <c r="AA18" s="1236"/>
      <c r="AB18" s="1236"/>
      <c r="AC18" s="1236"/>
      <c r="AD18" s="1236"/>
      <c r="AE18" s="1236"/>
      <c r="AF18" s="1236"/>
      <c r="AG18" s="1236"/>
      <c r="AH18" s="1236"/>
      <c r="AI18" s="1236"/>
      <c r="AJ18" s="1236"/>
      <c r="AK18" s="1236"/>
      <c r="AL18" s="1236"/>
      <c r="AM18" s="418"/>
      <c r="AO18" s="807"/>
      <c r="AP18" s="807"/>
      <c r="AQ18" s="807"/>
      <c r="AR18" s="807"/>
      <c r="AS18" s="807"/>
      <c r="AT18" s="807"/>
      <c r="AU18" s="807"/>
      <c r="AV18" s="807"/>
      <c r="AW18" s="807"/>
      <c r="AX18" s="807"/>
      <c r="AY18" s="807"/>
      <c r="AZ18" s="807"/>
      <c r="BA18" s="807"/>
      <c r="BB18" s="807"/>
      <c r="BC18" s="807"/>
      <c r="BD18" s="807"/>
      <c r="BE18" s="807"/>
      <c r="BF18" s="807"/>
      <c r="BG18" s="807"/>
      <c r="BH18" s="807"/>
      <c r="BI18" s="807"/>
    </row>
    <row r="19" spans="2:61" x14ac:dyDescent="0.3">
      <c r="C19" s="173"/>
      <c r="D19" s="84"/>
      <c r="E19" s="84"/>
      <c r="F19" s="84"/>
      <c r="G19" s="84"/>
      <c r="H19" s="84"/>
      <c r="I19" s="84"/>
      <c r="J19" s="275"/>
      <c r="K19" s="275"/>
      <c r="L19" s="275"/>
      <c r="M19" s="275"/>
      <c r="N19" s="275"/>
      <c r="O19" s="275"/>
      <c r="P19" s="275"/>
      <c r="Q19" s="275"/>
      <c r="R19" s="297"/>
      <c r="S19" s="297"/>
      <c r="T19" s="297"/>
      <c r="U19" s="297"/>
      <c r="V19" s="297"/>
      <c r="W19" s="297"/>
      <c r="X19" s="297"/>
      <c r="Y19" s="297"/>
      <c r="Z19" s="297"/>
      <c r="AA19" s="1115"/>
      <c r="AB19" s="1237"/>
      <c r="AC19" s="297"/>
      <c r="AD19" s="275"/>
      <c r="AE19" s="275"/>
      <c r="AF19" s="275"/>
      <c r="AG19" s="275"/>
      <c r="AH19" s="297"/>
      <c r="AI19" s="275"/>
      <c r="AJ19" s="275"/>
      <c r="AK19" s="275"/>
      <c r="AL19" s="275"/>
      <c r="AM19" s="1221"/>
      <c r="AO19" s="807"/>
      <c r="AP19" s="807"/>
      <c r="AQ19" s="807"/>
      <c r="AR19" s="807"/>
      <c r="AS19" s="807"/>
      <c r="AT19" s="807"/>
      <c r="AU19" s="807"/>
      <c r="AV19" s="807"/>
      <c r="AW19" s="807"/>
      <c r="AX19" s="807"/>
      <c r="AY19" s="807"/>
      <c r="AZ19" s="807"/>
      <c r="BA19" s="807"/>
      <c r="BB19" s="807"/>
      <c r="BC19" s="807"/>
      <c r="BD19" s="807"/>
      <c r="BE19" s="807"/>
      <c r="BF19" s="807"/>
      <c r="BG19" s="807"/>
      <c r="BH19" s="807"/>
      <c r="BI19" s="807"/>
    </row>
    <row r="20" spans="2:61" x14ac:dyDescent="0.3">
      <c r="C20" s="173"/>
      <c r="D20" s="84"/>
      <c r="E20" s="84" t="s">
        <v>20</v>
      </c>
      <c r="F20" s="84"/>
      <c r="G20" s="84"/>
      <c r="H20" s="84"/>
      <c r="I20" s="84"/>
      <c r="J20" s="1527"/>
      <c r="K20" s="1527"/>
      <c r="L20" s="1527"/>
      <c r="M20" s="1527"/>
      <c r="N20" s="1527"/>
      <c r="O20" s="1527"/>
      <c r="P20" s="1527"/>
      <c r="Q20" s="1527"/>
      <c r="R20" s="1527"/>
      <c r="S20" s="1527"/>
      <c r="T20" s="1527"/>
      <c r="U20" s="1527"/>
      <c r="V20" s="1527"/>
      <c r="W20" s="1527">
        <f t="shared" ref="W20:AB20" si="15">+W76</f>
        <v>0</v>
      </c>
      <c r="X20" s="1527">
        <f t="shared" si="15"/>
        <v>0</v>
      </c>
      <c r="Y20" s="1527">
        <f t="shared" si="15"/>
        <v>0</v>
      </c>
      <c r="Z20" s="1527">
        <f t="shared" si="15"/>
        <v>0.43724108104631215</v>
      </c>
      <c r="AA20" s="1527">
        <f t="shared" si="15"/>
        <v>0.44161349185677529</v>
      </c>
      <c r="AB20" s="1527">
        <f t="shared" si="15"/>
        <v>0.44602962677534302</v>
      </c>
      <c r="AC20" s="1527">
        <f t="shared" ref="AC20:AL20" si="16">+AC76</f>
        <v>0</v>
      </c>
      <c r="AD20" s="1527">
        <f t="shared" si="16"/>
        <v>0</v>
      </c>
      <c r="AE20" s="1527">
        <f t="shared" si="16"/>
        <v>0</v>
      </c>
      <c r="AF20" s="1527">
        <f t="shared" si="16"/>
        <v>0</v>
      </c>
      <c r="AG20" s="1527">
        <f t="shared" si="16"/>
        <v>0</v>
      </c>
      <c r="AH20" s="1527">
        <f t="shared" si="16"/>
        <v>0</v>
      </c>
      <c r="AI20" s="1527">
        <f t="shared" si="16"/>
        <v>0</v>
      </c>
      <c r="AJ20" s="1527">
        <f t="shared" si="16"/>
        <v>0</v>
      </c>
      <c r="AK20" s="1527">
        <f t="shared" si="16"/>
        <v>0</v>
      </c>
      <c r="AL20" s="1527">
        <f t="shared" si="16"/>
        <v>0</v>
      </c>
      <c r="AM20" s="175"/>
      <c r="AO20" s="807"/>
      <c r="AP20" s="807"/>
      <c r="AQ20" s="807"/>
      <c r="AR20" s="807"/>
      <c r="AS20" s="807"/>
      <c r="AT20" s="807"/>
      <c r="AU20" s="807"/>
      <c r="AV20" s="807"/>
      <c r="AW20" s="807"/>
      <c r="AX20" s="807"/>
      <c r="AY20" s="807"/>
      <c r="AZ20" s="807"/>
      <c r="BA20" s="807"/>
      <c r="BB20" s="807"/>
      <c r="BC20" s="807"/>
      <c r="BD20" s="807"/>
      <c r="BE20" s="807"/>
      <c r="BF20" s="807"/>
      <c r="BG20" s="807"/>
      <c r="BH20" s="807"/>
      <c r="BI20" s="807"/>
    </row>
    <row r="21" spans="2:61" x14ac:dyDescent="0.3">
      <c r="C21" s="173"/>
      <c r="D21" s="84"/>
      <c r="E21" s="84" t="s">
        <v>23</v>
      </c>
      <c r="F21" s="84"/>
      <c r="G21" s="84"/>
      <c r="H21" s="84"/>
      <c r="I21" s="84"/>
      <c r="J21" s="1527"/>
      <c r="K21" s="1527"/>
      <c r="L21" s="1527"/>
      <c r="M21" s="1527"/>
      <c r="N21" s="1527"/>
      <c r="O21" s="1527"/>
      <c r="P21" s="1527"/>
      <c r="Q21" s="1527"/>
      <c r="R21" s="1527"/>
      <c r="S21" s="1527"/>
      <c r="T21" s="1527"/>
      <c r="U21" s="1527"/>
      <c r="V21" s="1527"/>
      <c r="W21" s="1527">
        <f t="shared" ref="W21:AB21" si="17">+W84</f>
        <v>1.8893348416289593</v>
      </c>
      <c r="X21" s="1527">
        <f t="shared" si="17"/>
        <v>2.0431804654262882</v>
      </c>
      <c r="Y21" s="1527">
        <f t="shared" si="17"/>
        <v>3.3055239410429444</v>
      </c>
      <c r="Z21" s="1527">
        <f t="shared" si="17"/>
        <v>3.705311320754717</v>
      </c>
      <c r="AA21" s="1527">
        <f t="shared" si="17"/>
        <v>4.0999999999999996</v>
      </c>
      <c r="AB21" s="1527">
        <f t="shared" si="17"/>
        <v>4.141</v>
      </c>
      <c r="AC21" s="1527">
        <f t="shared" ref="AC21:AL21" si="18">+AC84</f>
        <v>4.51</v>
      </c>
      <c r="AD21" s="1527">
        <f t="shared" si="18"/>
        <v>6.15</v>
      </c>
      <c r="AE21" s="1527">
        <f t="shared" si="18"/>
        <v>7.91</v>
      </c>
      <c r="AF21" s="1527">
        <f t="shared" si="18"/>
        <v>9.86</v>
      </c>
      <c r="AG21" s="1527">
        <f t="shared" si="18"/>
        <v>12.16</v>
      </c>
      <c r="AH21" s="1527">
        <f t="shared" si="18"/>
        <v>17.600000000000001</v>
      </c>
      <c r="AI21" s="1527">
        <f t="shared" si="18"/>
        <v>17.600000000000001</v>
      </c>
      <c r="AJ21" s="1527">
        <f t="shared" si="18"/>
        <v>17.600000000000001</v>
      </c>
      <c r="AK21" s="1527">
        <f t="shared" si="18"/>
        <v>17.600000000000001</v>
      </c>
      <c r="AL21" s="1527">
        <f t="shared" si="18"/>
        <v>17.600000000000001</v>
      </c>
      <c r="AM21" s="175"/>
      <c r="AO21" s="807"/>
      <c r="AP21" s="807"/>
      <c r="AQ21" s="807"/>
      <c r="AR21" s="807"/>
      <c r="AS21" s="807"/>
      <c r="AT21" s="807"/>
      <c r="AU21" s="807"/>
      <c r="AV21" s="807"/>
      <c r="AW21" s="807"/>
      <c r="AX21" s="807"/>
      <c r="AY21" s="807"/>
      <c r="AZ21" s="807"/>
      <c r="BA21" s="807"/>
      <c r="BB21" s="807"/>
      <c r="BC21" s="807"/>
      <c r="BD21" s="807"/>
      <c r="BE21" s="807"/>
      <c r="BF21" s="807"/>
      <c r="BG21" s="807"/>
      <c r="BH21" s="807"/>
      <c r="BI21" s="807"/>
    </row>
    <row r="22" spans="2:61" x14ac:dyDescent="0.3">
      <c r="C22" s="173"/>
      <c r="D22" s="84"/>
      <c r="E22" s="84"/>
      <c r="F22" s="84"/>
      <c r="G22" s="84"/>
      <c r="H22" s="84"/>
      <c r="I22" s="84"/>
      <c r="J22" s="275"/>
      <c r="K22" s="275"/>
      <c r="L22" s="275"/>
      <c r="M22" s="275"/>
      <c r="N22" s="275"/>
      <c r="O22" s="275"/>
      <c r="P22" s="275"/>
      <c r="Q22" s="275"/>
      <c r="R22" s="275"/>
      <c r="S22" s="275"/>
      <c r="T22" s="275"/>
      <c r="U22" s="275"/>
      <c r="V22" s="275"/>
      <c r="W22" s="275"/>
      <c r="X22" s="275"/>
      <c r="Y22" s="275"/>
      <c r="Z22" s="275"/>
      <c r="AA22" s="275"/>
      <c r="AB22" s="275"/>
      <c r="AC22" s="275"/>
      <c r="AD22" s="275"/>
      <c r="AE22" s="275"/>
      <c r="AF22" s="275"/>
      <c r="AG22" s="275"/>
      <c r="AH22" s="275"/>
      <c r="AI22" s="275"/>
      <c r="AJ22" s="275"/>
      <c r="AK22" s="275"/>
      <c r="AL22" s="275"/>
      <c r="AM22" s="175"/>
      <c r="AO22" s="807"/>
      <c r="AP22" s="807"/>
      <c r="AQ22" s="807"/>
      <c r="AR22" s="807"/>
      <c r="AS22" s="807"/>
      <c r="AT22" s="807"/>
      <c r="AU22" s="807"/>
      <c r="AV22" s="807"/>
      <c r="AW22" s="807"/>
      <c r="AX22" s="807"/>
      <c r="AY22" s="807"/>
      <c r="AZ22" s="807"/>
      <c r="BA22" s="807"/>
      <c r="BB22" s="807"/>
      <c r="BC22" s="807"/>
      <c r="BD22" s="807"/>
      <c r="BE22" s="807"/>
      <c r="BF22" s="807"/>
      <c r="BG22" s="807"/>
      <c r="BH22" s="807"/>
      <c r="BI22" s="807"/>
    </row>
    <row r="23" spans="2:61" x14ac:dyDescent="0.3">
      <c r="C23" s="173"/>
      <c r="D23" s="84"/>
      <c r="E23" s="84" t="s">
        <v>62</v>
      </c>
      <c r="F23" s="84"/>
      <c r="G23" s="84"/>
      <c r="H23" s="84"/>
      <c r="I23" s="84"/>
      <c r="J23" s="1527"/>
      <c r="K23" s="1527"/>
      <c r="L23" s="1527"/>
      <c r="M23" s="1527"/>
      <c r="N23" s="1527"/>
      <c r="O23" s="1527"/>
      <c r="P23" s="1527"/>
      <c r="Q23" s="1527"/>
      <c r="R23" s="1527"/>
      <c r="S23" s="1527"/>
      <c r="T23" s="1527"/>
      <c r="U23" s="1527"/>
      <c r="V23" s="1527"/>
      <c r="W23" s="1527">
        <f t="shared" ref="W23" si="19">+W88</f>
        <v>11.1857592760181</v>
      </c>
      <c r="X23" s="1527">
        <f t="shared" ref="X23:AG23" si="20">+X88</f>
        <v>16.508886551456484</v>
      </c>
      <c r="Y23" s="1527">
        <f t="shared" si="20"/>
        <v>15.78905485656442</v>
      </c>
      <c r="Z23" s="1527">
        <f t="shared" si="20"/>
        <v>23.25728387650086</v>
      </c>
      <c r="AA23" s="1527">
        <f t="shared" si="20"/>
        <v>23.489856715265869</v>
      </c>
      <c r="AB23" s="1527">
        <f t="shared" si="20"/>
        <v>23.724755282418528</v>
      </c>
      <c r="AC23" s="1527">
        <f t="shared" si="20"/>
        <v>25.9</v>
      </c>
      <c r="AD23" s="1527">
        <f t="shared" si="20"/>
        <v>26.158999999999999</v>
      </c>
      <c r="AE23" s="1527">
        <f t="shared" si="20"/>
        <v>26.420590000000001</v>
      </c>
      <c r="AF23" s="1527">
        <f t="shared" si="20"/>
        <v>26.684795900000001</v>
      </c>
      <c r="AG23" s="1527">
        <f t="shared" si="20"/>
        <v>26.951643859000001</v>
      </c>
      <c r="AH23" s="1527">
        <f>+AH88</f>
        <v>27.22116029759</v>
      </c>
      <c r="AI23" s="1527">
        <f>+AI88</f>
        <v>27.493371900565901</v>
      </c>
      <c r="AJ23" s="1527">
        <f>+AJ88</f>
        <v>27.76830561957156</v>
      </c>
      <c r="AK23" s="1527">
        <f>+AK88</f>
        <v>28.045988675767276</v>
      </c>
      <c r="AL23" s="1527">
        <f>+AL88</f>
        <v>28.326448562524948</v>
      </c>
      <c r="AM23" s="175"/>
      <c r="AO23" s="807"/>
      <c r="AP23" s="807"/>
      <c r="AQ23" s="807"/>
      <c r="AR23" s="807"/>
      <c r="AS23" s="807"/>
      <c r="AT23" s="807"/>
      <c r="AU23" s="807"/>
      <c r="AV23" s="807"/>
      <c r="AW23" s="807"/>
      <c r="AX23" s="807"/>
      <c r="AY23" s="807"/>
      <c r="AZ23" s="807"/>
      <c r="BA23" s="807"/>
      <c r="BB23" s="807"/>
      <c r="BC23" s="807"/>
      <c r="BD23" s="807"/>
      <c r="BE23" s="807"/>
      <c r="BF23" s="807"/>
      <c r="BG23" s="807"/>
      <c r="BH23" s="807"/>
      <c r="BI23" s="807"/>
    </row>
    <row r="24" spans="2:61" x14ac:dyDescent="0.3">
      <c r="C24" s="173"/>
      <c r="D24" s="84"/>
      <c r="E24" s="84" t="s">
        <v>19</v>
      </c>
      <c r="F24" s="84"/>
      <c r="G24" s="84"/>
      <c r="H24" s="84"/>
      <c r="I24" s="84"/>
      <c r="J24" s="1527"/>
      <c r="K24" s="1527"/>
      <c r="L24" s="1527"/>
      <c r="M24" s="1527"/>
      <c r="N24" s="1527"/>
      <c r="O24" s="1527"/>
      <c r="P24" s="1527"/>
      <c r="Q24" s="1527"/>
      <c r="R24" s="1527"/>
      <c r="S24" s="1527"/>
      <c r="T24" s="1527"/>
      <c r="U24" s="1527"/>
      <c r="V24" s="1527"/>
      <c r="W24" s="1527">
        <f t="shared" ref="W24" si="21">+W91</f>
        <v>0.32740995475113122</v>
      </c>
      <c r="X24" s="1527">
        <f t="shared" ref="X24:AG24" si="22">+X91</f>
        <v>0.56998401420959155</v>
      </c>
      <c r="Y24" s="1527">
        <f t="shared" si="22"/>
        <v>0.21971323822085892</v>
      </c>
      <c r="Z24" s="1527">
        <f t="shared" si="22"/>
        <v>0.61099914236706698</v>
      </c>
      <c r="AA24" s="1527">
        <f t="shared" si="22"/>
        <v>0.61710913379073762</v>
      </c>
      <c r="AB24" s="1527">
        <f t="shared" si="22"/>
        <v>0.623280225128645</v>
      </c>
      <c r="AC24" s="1527">
        <f t="shared" si="22"/>
        <v>0.4</v>
      </c>
      <c r="AD24" s="1527">
        <f t="shared" si="22"/>
        <v>0.40400000000000003</v>
      </c>
      <c r="AE24" s="1527">
        <f t="shared" si="22"/>
        <v>0.40804000000000001</v>
      </c>
      <c r="AF24" s="1527">
        <f t="shared" si="22"/>
        <v>0.4121204</v>
      </c>
      <c r="AG24" s="1527">
        <f t="shared" si="22"/>
        <v>0.41624160399999999</v>
      </c>
      <c r="AH24" s="1527">
        <f>+AH91</f>
        <v>0.42040402003999999</v>
      </c>
      <c r="AI24" s="1527">
        <f>+AI91</f>
        <v>0.42460806024039999</v>
      </c>
      <c r="AJ24" s="1527">
        <f>+AJ91</f>
        <v>0.42885414084280399</v>
      </c>
      <c r="AK24" s="1527">
        <f>+AK91</f>
        <v>0.43314268225123204</v>
      </c>
      <c r="AL24" s="1527">
        <f>+AL91</f>
        <v>0.43747410907374434</v>
      </c>
      <c r="AM24" s="175"/>
      <c r="AO24" s="807"/>
      <c r="AP24" s="807"/>
      <c r="AQ24" s="807"/>
      <c r="AR24" s="807"/>
      <c r="AS24" s="807"/>
      <c r="AT24" s="807"/>
      <c r="AU24" s="807"/>
      <c r="AV24" s="807"/>
      <c r="AW24" s="807"/>
      <c r="AX24" s="807"/>
      <c r="AY24" s="807"/>
      <c r="AZ24" s="807"/>
      <c r="BA24" s="807"/>
      <c r="BB24" s="807"/>
      <c r="BC24" s="807"/>
      <c r="BD24" s="807"/>
      <c r="BE24" s="807"/>
      <c r="BF24" s="807"/>
      <c r="BG24" s="807"/>
      <c r="BH24" s="807"/>
      <c r="BI24" s="807"/>
    </row>
    <row r="25" spans="2:61" x14ac:dyDescent="0.3">
      <c r="C25" s="173"/>
      <c r="D25" s="84"/>
      <c r="E25" s="84" t="s">
        <v>136</v>
      </c>
      <c r="F25" s="84"/>
      <c r="G25" s="84"/>
      <c r="H25" s="84"/>
      <c r="I25" s="84"/>
      <c r="J25" s="1527"/>
      <c r="K25" s="1527"/>
      <c r="L25" s="1527"/>
      <c r="M25" s="1527"/>
      <c r="N25" s="1527"/>
      <c r="O25" s="1527"/>
      <c r="P25" s="1527"/>
      <c r="Q25" s="1527"/>
      <c r="R25" s="1527"/>
      <c r="S25" s="1527"/>
      <c r="T25" s="1527"/>
      <c r="U25" s="1527"/>
      <c r="V25" s="1527"/>
      <c r="W25" s="1527">
        <f t="shared" ref="W25" si="23">W92</f>
        <v>0.81291855203619912</v>
      </c>
      <c r="X25" s="1527">
        <f t="shared" ref="X25:AG25" si="24">X92</f>
        <v>1.0255310834813502</v>
      </c>
      <c r="Y25" s="1527">
        <f t="shared" si="24"/>
        <v>0.99191821822085924</v>
      </c>
      <c r="Z25" s="1527">
        <f t="shared" si="24"/>
        <v>0.7937675814751286</v>
      </c>
      <c r="AA25" s="1527">
        <f t="shared" si="24"/>
        <v>0.80170525728987985</v>
      </c>
      <c r="AB25" s="1527">
        <f t="shared" si="24"/>
        <v>0.8097223098627786</v>
      </c>
      <c r="AC25" s="1527">
        <f t="shared" si="24"/>
        <v>0.81781953296140641</v>
      </c>
      <c r="AD25" s="1527">
        <f t="shared" si="24"/>
        <v>0.82599772829102047</v>
      </c>
      <c r="AE25" s="1527">
        <f t="shared" si="24"/>
        <v>0.83425770557393064</v>
      </c>
      <c r="AF25" s="1527">
        <f t="shared" si="24"/>
        <v>0.84260028262966991</v>
      </c>
      <c r="AG25" s="1527">
        <f t="shared" si="24"/>
        <v>0.85102628545596659</v>
      </c>
      <c r="AH25" s="1527">
        <f>AH92</f>
        <v>0.85953654831052628</v>
      </c>
      <c r="AI25" s="1527">
        <f>AI92</f>
        <v>0.86813191379363153</v>
      </c>
      <c r="AJ25" s="1527">
        <f>AJ92</f>
        <v>0.87681323293156788</v>
      </c>
      <c r="AK25" s="1527">
        <f>AK92</f>
        <v>0.8855813652608836</v>
      </c>
      <c r="AL25" s="1527">
        <f>AL92</f>
        <v>0.89443717891349239</v>
      </c>
      <c r="AM25" s="175"/>
      <c r="AO25" s="807"/>
      <c r="AP25" s="807"/>
      <c r="AQ25" s="807"/>
      <c r="AR25" s="807"/>
      <c r="AS25" s="807"/>
      <c r="AT25" s="807"/>
      <c r="AU25" s="807"/>
      <c r="AV25" s="807"/>
      <c r="AW25" s="807"/>
      <c r="AX25" s="807"/>
      <c r="AY25" s="807"/>
      <c r="AZ25" s="807"/>
      <c r="BA25" s="807"/>
      <c r="BB25" s="807"/>
      <c r="BC25" s="807"/>
      <c r="BD25" s="807"/>
      <c r="BE25" s="807"/>
      <c r="BF25" s="807"/>
      <c r="BG25" s="807"/>
      <c r="BH25" s="807"/>
      <c r="BI25" s="807"/>
    </row>
    <row r="26" spans="2:61" ht="12.5" thickBot="1" x14ac:dyDescent="0.35">
      <c r="C26" s="179"/>
      <c r="D26" s="197"/>
      <c r="E26" s="197"/>
      <c r="F26" s="197"/>
      <c r="G26" s="197"/>
      <c r="H26" s="197"/>
      <c r="I26" s="197"/>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c r="AJ26" s="419"/>
      <c r="AK26" s="419"/>
      <c r="AL26" s="419"/>
      <c r="AM26" s="182"/>
      <c r="AO26" s="807"/>
      <c r="AP26" s="807"/>
      <c r="AQ26" s="807"/>
      <c r="AR26" s="807"/>
      <c r="AS26" s="807"/>
      <c r="AT26" s="807"/>
      <c r="AU26" s="807"/>
      <c r="AV26" s="807"/>
      <c r="AW26" s="807"/>
      <c r="AX26" s="807"/>
      <c r="AY26" s="807"/>
      <c r="AZ26" s="807"/>
      <c r="BA26" s="807"/>
      <c r="BB26" s="807"/>
      <c r="BC26" s="807"/>
    </row>
    <row r="27" spans="2:61" x14ac:dyDescent="0.3">
      <c r="C27" s="77"/>
      <c r="D27" s="77"/>
      <c r="E27" s="77"/>
      <c r="F27" s="77"/>
      <c r="G27" s="77"/>
      <c r="H27" s="77"/>
      <c r="I27" s="77"/>
      <c r="J27" s="294"/>
      <c r="K27" s="294"/>
      <c r="L27" s="294"/>
      <c r="M27" s="294"/>
      <c r="N27" s="294"/>
      <c r="O27" s="294"/>
      <c r="P27" s="294"/>
      <c r="Q27" s="294"/>
      <c r="R27" s="294"/>
      <c r="S27" s="294"/>
      <c r="T27" s="294"/>
      <c r="U27" s="294"/>
      <c r="V27" s="420"/>
      <c r="W27" s="420"/>
      <c r="X27" s="294"/>
      <c r="Y27" s="294"/>
      <c r="Z27" s="294"/>
      <c r="AA27" s="294"/>
      <c r="AB27" s="294"/>
      <c r="AO27" s="807"/>
      <c r="AP27" s="807"/>
      <c r="AQ27" s="807"/>
      <c r="AR27" s="807"/>
      <c r="AS27" s="807"/>
      <c r="AT27" s="807"/>
      <c r="AU27" s="807"/>
      <c r="AV27" s="807"/>
      <c r="AW27" s="807"/>
      <c r="AX27" s="807"/>
      <c r="AY27" s="807"/>
      <c r="AZ27" s="807"/>
      <c r="BA27" s="807"/>
      <c r="BB27" s="807"/>
      <c r="BC27" s="807"/>
    </row>
    <row r="28" spans="2:61" x14ac:dyDescent="0.3">
      <c r="D28" s="77"/>
      <c r="E28" s="77"/>
      <c r="F28" s="77"/>
      <c r="G28" s="77"/>
      <c r="H28" s="77"/>
      <c r="I28" s="77"/>
      <c r="J28" s="294"/>
      <c r="K28" s="294"/>
      <c r="L28" s="294"/>
      <c r="M28" s="294"/>
      <c r="N28" s="421"/>
      <c r="O28" s="315"/>
      <c r="P28" s="315"/>
      <c r="Q28" s="422"/>
      <c r="R28" s="294"/>
      <c r="S28" s="294"/>
      <c r="T28" s="294"/>
      <c r="U28" s="294"/>
      <c r="X28" s="294"/>
      <c r="Y28" s="283"/>
      <c r="Z28" s="294"/>
      <c r="AA28" s="283" t="s">
        <v>688</v>
      </c>
      <c r="AB28" s="2169">
        <f>SUM(AB37,AB44,AB51,AB58,AB65)</f>
        <v>45.181012752112146</v>
      </c>
      <c r="AC28" s="2169">
        <f>+'Capex_FO input'!D29</f>
        <v>45.988699999999994</v>
      </c>
      <c r="AD28" s="1638">
        <f>+'Capex_FO input'!E29</f>
        <v>47.998500000000007</v>
      </c>
      <c r="AE28" s="1638">
        <f>+'Capex_FO input'!F29</f>
        <v>50.011500000000005</v>
      </c>
      <c r="AF28" s="1638">
        <f>+'Capex_FO input'!G29</f>
        <v>54.014499999999998</v>
      </c>
      <c r="AG28" s="1640">
        <f>+'Capex_FO input'!H29</f>
        <v>57.990499999999983</v>
      </c>
      <c r="AH28" s="1533">
        <f>+'Capex_FO input'!I29</f>
        <v>98.597000000000008</v>
      </c>
      <c r="AI28" s="1638">
        <f>+'Capex_FO input'!J29</f>
        <v>95.197000000000003</v>
      </c>
      <c r="AJ28" s="1638">
        <f>+'Capex_FO input'!K29</f>
        <v>68.167000000000016</v>
      </c>
      <c r="AK28" s="1638">
        <f>+'Capex_FO input'!L29</f>
        <v>55.112000000000016</v>
      </c>
      <c r="AL28" s="1640">
        <f>+'Capex_FO input'!M29</f>
        <v>66.921999999999997</v>
      </c>
      <c r="AO28" s="807"/>
      <c r="AP28" s="807"/>
      <c r="AQ28" s="807"/>
      <c r="AR28" s="807"/>
      <c r="AS28" s="807"/>
      <c r="AT28" s="807"/>
      <c r="AU28" s="807"/>
      <c r="AV28" s="807"/>
      <c r="AW28" s="807"/>
      <c r="AX28" s="807"/>
      <c r="AY28" s="807"/>
      <c r="AZ28" s="807"/>
      <c r="BA28" s="807"/>
      <c r="BB28" s="807"/>
      <c r="BC28" s="807"/>
    </row>
    <row r="29" spans="2:61" x14ac:dyDescent="0.3">
      <c r="J29" s="126"/>
      <c r="L29" s="294"/>
      <c r="M29" s="294"/>
      <c r="N29" s="315"/>
      <c r="O29" s="315"/>
      <c r="P29" s="315"/>
      <c r="Q29" s="422"/>
      <c r="R29" s="294"/>
      <c r="S29" s="294"/>
      <c r="T29" s="294"/>
      <c r="U29" s="294"/>
      <c r="X29" s="294"/>
      <c r="Y29" s="283"/>
      <c r="Z29" s="294"/>
      <c r="AA29" s="283" t="s">
        <v>461</v>
      </c>
      <c r="AB29" s="1642">
        <f t="shared" ref="AB29" si="25">+AB28-AB17</f>
        <v>7.6810127521121458</v>
      </c>
      <c r="AC29" s="1642">
        <f t="shared" ref="AC29:AL29" si="26">+AC28-AC17</f>
        <v>0</v>
      </c>
      <c r="AD29" s="1639">
        <f t="shared" si="26"/>
        <v>0</v>
      </c>
      <c r="AE29" s="1639">
        <f t="shared" si="26"/>
        <v>0</v>
      </c>
      <c r="AF29" s="1639">
        <f t="shared" si="26"/>
        <v>0</v>
      </c>
      <c r="AG29" s="1641">
        <f t="shared" si="26"/>
        <v>0</v>
      </c>
      <c r="AH29" s="1642">
        <f t="shared" si="26"/>
        <v>0</v>
      </c>
      <c r="AI29" s="1639">
        <f t="shared" si="26"/>
        <v>0</v>
      </c>
      <c r="AJ29" s="1639">
        <f t="shared" si="26"/>
        <v>0</v>
      </c>
      <c r="AK29" s="1639">
        <f t="shared" si="26"/>
        <v>0</v>
      </c>
      <c r="AL29" s="1641">
        <f t="shared" si="26"/>
        <v>0</v>
      </c>
      <c r="AO29" s="807"/>
      <c r="AP29" s="807"/>
      <c r="AQ29" s="807"/>
      <c r="AR29" s="807"/>
      <c r="AS29" s="807"/>
      <c r="AT29" s="807"/>
      <c r="AU29" s="807"/>
      <c r="AV29" s="807"/>
      <c r="AW29" s="807"/>
      <c r="AX29" s="807"/>
      <c r="AY29" s="807"/>
      <c r="AZ29" s="807"/>
      <c r="BA29" s="807"/>
      <c r="BB29" s="807"/>
      <c r="BC29" s="807"/>
    </row>
    <row r="30" spans="2:61" x14ac:dyDescent="0.3">
      <c r="B30" s="296" t="s">
        <v>565</v>
      </c>
      <c r="J30" s="126"/>
      <c r="K30" s="126"/>
      <c r="L30" s="294"/>
      <c r="M30" s="294"/>
      <c r="N30" s="294"/>
      <c r="O30" s="294"/>
      <c r="P30" s="294"/>
      <c r="Q30" s="294"/>
      <c r="R30" s="294"/>
      <c r="S30" s="294"/>
      <c r="T30" s="294"/>
      <c r="U30" s="294"/>
      <c r="V30" s="420"/>
      <c r="X30" s="294"/>
      <c r="Y30" s="283"/>
      <c r="Z30" s="294"/>
      <c r="AA30" s="283" t="s">
        <v>477</v>
      </c>
      <c r="AB30" s="1937">
        <f>IF(+AB28=AB17,0,1)</f>
        <v>1</v>
      </c>
      <c r="AC30" s="1937">
        <f>IF(+AC28=AC17,0,1)</f>
        <v>0</v>
      </c>
      <c r="AD30" s="1937">
        <f t="shared" ref="AD30:AL30" si="27">IF(+AD28=AD17,0,1)</f>
        <v>0</v>
      </c>
      <c r="AE30" s="1937">
        <f t="shared" si="27"/>
        <v>0</v>
      </c>
      <c r="AF30" s="1937">
        <f t="shared" si="27"/>
        <v>0</v>
      </c>
      <c r="AG30" s="1937">
        <f t="shared" si="27"/>
        <v>0</v>
      </c>
      <c r="AH30" s="1937">
        <f t="shared" si="27"/>
        <v>0</v>
      </c>
      <c r="AI30" s="1937">
        <f t="shared" si="27"/>
        <v>0</v>
      </c>
      <c r="AJ30" s="1937">
        <f t="shared" si="27"/>
        <v>0</v>
      </c>
      <c r="AK30" s="1937">
        <f t="shared" si="27"/>
        <v>0</v>
      </c>
      <c r="AL30" s="1937">
        <f t="shared" si="27"/>
        <v>0</v>
      </c>
      <c r="AM30" s="251"/>
      <c r="AO30" s="807"/>
      <c r="AP30" s="807"/>
      <c r="AQ30" s="807"/>
      <c r="AR30" s="807"/>
      <c r="AS30" s="807"/>
      <c r="AT30" s="807"/>
      <c r="AU30" s="807"/>
      <c r="AV30" s="807"/>
      <c r="AW30" s="807"/>
      <c r="AX30" s="807"/>
      <c r="AY30" s="807"/>
      <c r="AZ30" s="807"/>
      <c r="BA30" s="807"/>
      <c r="BB30" s="807"/>
      <c r="BC30" s="807"/>
    </row>
    <row r="31" spans="2:61" x14ac:dyDescent="0.3">
      <c r="J31" s="294"/>
      <c r="K31" s="294"/>
      <c r="L31" s="294"/>
      <c r="M31" s="294"/>
      <c r="N31" s="294"/>
      <c r="O31" s="294"/>
      <c r="P31" s="294"/>
      <c r="Q31" s="294"/>
      <c r="R31" s="294"/>
      <c r="S31" s="294"/>
      <c r="T31" s="294"/>
      <c r="U31" s="294"/>
      <c r="V31" s="294"/>
      <c r="W31" s="294"/>
      <c r="X31" s="294"/>
      <c r="Y31" s="294"/>
      <c r="Z31" s="294"/>
      <c r="AA31" s="294"/>
      <c r="AB31" s="294"/>
      <c r="AO31" s="807"/>
      <c r="AP31" s="807"/>
      <c r="AQ31" s="807"/>
      <c r="AR31" s="807"/>
      <c r="AS31" s="807"/>
      <c r="AT31" s="807"/>
      <c r="AU31" s="807"/>
      <c r="AV31" s="807"/>
      <c r="AW31" s="807"/>
      <c r="AX31" s="807"/>
      <c r="AY31" s="807"/>
      <c r="AZ31" s="807"/>
      <c r="BA31" s="807"/>
      <c r="BB31" s="807"/>
      <c r="BC31" s="807"/>
    </row>
    <row r="32" spans="2:61" x14ac:dyDescent="0.3">
      <c r="B32" s="126"/>
      <c r="C32" s="300" t="str">
        <f>E12</f>
        <v>Water</v>
      </c>
      <c r="D32" s="126"/>
      <c r="E32" s="126"/>
      <c r="F32" s="126"/>
      <c r="G32" s="126"/>
      <c r="H32" s="126"/>
      <c r="I32" s="126"/>
      <c r="J32" s="423"/>
      <c r="K32" s="423"/>
      <c r="L32" s="423"/>
      <c r="M32" s="423"/>
      <c r="N32" s="302"/>
      <c r="O32" s="302"/>
      <c r="P32" s="302"/>
      <c r="Q32" s="302"/>
      <c r="R32" s="423"/>
      <c r="S32" s="302"/>
      <c r="T32" s="302"/>
      <c r="U32" s="302"/>
      <c r="V32" s="302"/>
      <c r="W32" s="302"/>
      <c r="X32" s="302"/>
      <c r="Y32" s="302"/>
      <c r="Z32" s="302"/>
      <c r="AA32" s="302"/>
      <c r="AB32" s="302"/>
      <c r="AO32" s="807"/>
      <c r="AP32" s="807"/>
      <c r="AQ32" s="807"/>
      <c r="AR32" s="807"/>
      <c r="AS32" s="807"/>
      <c r="AT32" s="807"/>
      <c r="AU32" s="807"/>
      <c r="AV32" s="807"/>
      <c r="AW32" s="807"/>
      <c r="AX32" s="807"/>
      <c r="AY32" s="807"/>
      <c r="AZ32" s="807"/>
      <c r="BA32" s="807"/>
      <c r="BB32" s="807"/>
      <c r="BC32" s="807"/>
    </row>
    <row r="33" spans="2:55" x14ac:dyDescent="0.3">
      <c r="B33" s="126"/>
      <c r="C33" s="126"/>
      <c r="D33" s="303" t="s">
        <v>13</v>
      </c>
      <c r="E33" s="126"/>
      <c r="F33" s="126"/>
      <c r="G33" s="126"/>
      <c r="H33" s="126"/>
      <c r="I33" s="126"/>
      <c r="J33" s="424"/>
      <c r="K33" s="304"/>
      <c r="L33" s="305"/>
      <c r="M33" s="305"/>
      <c r="N33" s="304"/>
      <c r="O33" s="305"/>
      <c r="P33" s="305"/>
      <c r="Q33" s="305"/>
      <c r="R33" s="305"/>
      <c r="S33" s="304"/>
      <c r="T33" s="305"/>
      <c r="U33" s="305"/>
      <c r="V33" s="305"/>
      <c r="W33" s="436">
        <v>3.7831547511312218</v>
      </c>
      <c r="X33" s="336">
        <v>4.2974616958348131</v>
      </c>
      <c r="Y33" s="336">
        <v>2.7644694614723915</v>
      </c>
      <c r="Z33" s="336">
        <v>1.5298451446054888</v>
      </c>
      <c r="AA33" s="336">
        <f>1.62163585328182-0.64263622126364</f>
        <v>0.97899963201818008</v>
      </c>
      <c r="AB33" s="336">
        <v>15.333009776539418</v>
      </c>
      <c r="AC33" s="2231">
        <f>+SUMIFS('Capex_FO input'!Q$42:Q$1014,'Capex_FO input'!$E$42:$E$1014,Capex_FO_AC!$C$32,'Capex_FO input'!$G$42:$G$1014,Capex_FO_AC!$D33)</f>
        <v>0.42000000000000004</v>
      </c>
      <c r="AD33" s="1528">
        <f>+SUMIFS('Capex_FO input'!R$42:R$1014,'Capex_FO input'!$E$42:$E$1014,Capex_FO_AC!$C$32,'Capex_FO input'!$G$42:$G$1014,Capex_FO_AC!$D33)</f>
        <v>7.67</v>
      </c>
      <c r="AE33" s="1528">
        <f>+SUMIFS('Capex_FO input'!S$42:S$1014,'Capex_FO input'!$E$42:$E$1014,Capex_FO_AC!$C$32,'Capex_FO input'!$G$42:$G$1014,Capex_FO_AC!$D33)</f>
        <v>6.7</v>
      </c>
      <c r="AF33" s="1528">
        <f>+SUMIFS('Capex_FO input'!T$42:T$1014,'Capex_FO input'!$E$42:$E$1014,Capex_FO_AC!$C$32,'Capex_FO input'!$G$42:$G$1014,Capex_FO_AC!$D33)</f>
        <v>0.61499999999999999</v>
      </c>
      <c r="AG33" s="1651">
        <f>+SUMIFS('Capex_FO input'!U$42:U$1014,'Capex_FO input'!$E$42:$E$1014,Capex_FO_AC!$C$32,'Capex_FO input'!$G$42:$G$1014,Capex_FO_AC!$D33)</f>
        <v>0.8</v>
      </c>
      <c r="AH33" s="1528">
        <f>+SUMIFS('Capex_FO input'!V$42:V$1014,'Capex_FO input'!$E$42:$E$1014,Capex_FO_AC!$C$32,'Capex_FO input'!$G$42:$G$1014,Capex_FO_AC!$D33)</f>
        <v>2.7450000000000001</v>
      </c>
      <c r="AI33" s="1528">
        <f>+SUMIFS('Capex_FO input'!W$42:W$1014,'Capex_FO input'!$E$42:$E$1014,Capex_FO_AC!$C$32,'Capex_FO input'!$G$42:$G$1014,Capex_FO_AC!$D33)</f>
        <v>1.645</v>
      </c>
      <c r="AJ33" s="1528">
        <f>+SUMIFS('Capex_FO input'!X$42:X$1014,'Capex_FO input'!$E$42:$E$1014,Capex_FO_AC!$C$32,'Capex_FO input'!$G$42:$G$1014,Capex_FO_AC!$D33)</f>
        <v>1.42</v>
      </c>
      <c r="AK33" s="1528">
        <f>+SUMIFS('Capex_FO input'!Y$42:Y$1014,'Capex_FO input'!$E$42:$E$1014,Capex_FO_AC!$C$32,'Capex_FO input'!$G$42:$G$1014,Capex_FO_AC!$D33)</f>
        <v>1.42</v>
      </c>
      <c r="AL33" s="1651">
        <f>+SUMIFS('Capex_FO input'!Z$42:Z$1014,'Capex_FO input'!$E$42:$E$1014,Capex_FO_AC!$C$32,'Capex_FO input'!$G$42:$G$1014,Capex_FO_AC!$D33)</f>
        <v>1.42</v>
      </c>
      <c r="AO33" s="807"/>
      <c r="AP33" s="807"/>
      <c r="AQ33" s="807"/>
      <c r="AR33" s="807"/>
      <c r="AS33" s="807"/>
      <c r="AT33" s="807"/>
      <c r="AU33" s="807"/>
      <c r="AV33" s="807"/>
      <c r="AW33" s="807"/>
      <c r="AX33" s="807"/>
      <c r="AY33" s="807"/>
      <c r="AZ33" s="807"/>
      <c r="BA33" s="807"/>
      <c r="BB33" s="807"/>
      <c r="BC33" s="807"/>
    </row>
    <row r="34" spans="2:55" x14ac:dyDescent="0.3">
      <c r="B34" s="126"/>
      <c r="C34" s="126"/>
      <c r="D34" s="303" t="s">
        <v>14</v>
      </c>
      <c r="E34" s="126"/>
      <c r="F34" s="126"/>
      <c r="G34" s="126"/>
      <c r="H34" s="126"/>
      <c r="I34" s="126"/>
      <c r="J34" s="425"/>
      <c r="K34" s="307"/>
      <c r="L34" s="275"/>
      <c r="M34" s="275"/>
      <c r="N34" s="307"/>
      <c r="O34" s="275"/>
      <c r="P34" s="275"/>
      <c r="Q34" s="275"/>
      <c r="R34" s="275"/>
      <c r="S34" s="307"/>
      <c r="T34" s="275"/>
      <c r="U34" s="275"/>
      <c r="V34" s="275"/>
      <c r="W34" s="437">
        <v>6.7477846153846155</v>
      </c>
      <c r="X34" s="339">
        <v>9.7644112332948509</v>
      </c>
      <c r="Y34" s="339">
        <v>5.5283831863803696</v>
      </c>
      <c r="Z34" s="339">
        <v>6.0882847812349921</v>
      </c>
      <c r="AA34" s="339">
        <v>6.453581868109092</v>
      </c>
      <c r="AB34" s="339">
        <v>6.840796780195638</v>
      </c>
      <c r="AC34" s="2232">
        <f>+SUMIFS('Capex_FO input'!Q$42:Q$1014,'Capex_FO input'!$E$42:$E$1014,Capex_FO_AC!$C$32,'Capex_FO input'!$G$42:$G$1014,Capex_FO_AC!$D34)</f>
        <v>20.875999999999998</v>
      </c>
      <c r="AD34" s="1652">
        <f>+SUMIFS('Capex_FO input'!R$42:R$1014,'Capex_FO input'!$E$42:$E$1014,Capex_FO_AC!$C$32,'Capex_FO input'!$G$42:$G$1014,Capex_FO_AC!$D34)</f>
        <v>19.841000000000001</v>
      </c>
      <c r="AE34" s="1652">
        <f>+SUMIFS('Capex_FO input'!S$42:S$1014,'Capex_FO input'!$E$42:$E$1014,Capex_FO_AC!$C$32,'Capex_FO input'!$G$42:$G$1014,Capex_FO_AC!$D34)</f>
        <v>22.146000000000008</v>
      </c>
      <c r="AF34" s="1652">
        <f>+SUMIFS('Capex_FO input'!T$42:T$1014,'Capex_FO input'!$E$42:$E$1014,Capex_FO_AC!$C$32,'Capex_FO input'!$G$42:$G$1014,Capex_FO_AC!$D34)</f>
        <v>15.326000000000002</v>
      </c>
      <c r="AG34" s="1654">
        <f>+SUMIFS('Capex_FO input'!U$42:U$1014,'Capex_FO input'!$E$42:$E$1014,Capex_FO_AC!$C$32,'Capex_FO input'!$G$42:$G$1014,Capex_FO_AC!$D34)</f>
        <v>18.298000000000002</v>
      </c>
      <c r="AH34" s="1652">
        <f>+SUMIFS('Capex_FO input'!V$42:V$1014,'Capex_FO input'!$E$42:$E$1014,Capex_FO_AC!$C$32,'Capex_FO input'!$G$42:$G$1014,Capex_FO_AC!$D34)</f>
        <v>44.692000000000007</v>
      </c>
      <c r="AI34" s="1652">
        <f>+SUMIFS('Capex_FO input'!W$42:W$1014,'Capex_FO input'!$E$42:$E$1014,Capex_FO_AC!$C$32,'Capex_FO input'!$G$42:$G$1014,Capex_FO_AC!$D34)</f>
        <v>35.217000000000006</v>
      </c>
      <c r="AJ34" s="1652">
        <f>+SUMIFS('Capex_FO input'!X$42:X$1014,'Capex_FO input'!$E$42:$E$1014,Capex_FO_AC!$C$32,'Capex_FO input'!$G$42:$G$1014,Capex_FO_AC!$D34)</f>
        <v>26.387</v>
      </c>
      <c r="AK34" s="1652">
        <f>+SUMIFS('Capex_FO input'!Y$42:Y$1014,'Capex_FO input'!$E$42:$E$1014,Capex_FO_AC!$C$32,'Capex_FO input'!$G$42:$G$1014,Capex_FO_AC!$D34)</f>
        <v>19.606999999999999</v>
      </c>
      <c r="AL34" s="1654">
        <f>+SUMIFS('Capex_FO input'!Z$42:Z$1014,'Capex_FO input'!$E$42:$E$1014,Capex_FO_AC!$C$32,'Capex_FO input'!$G$42:$G$1014,Capex_FO_AC!$D34)</f>
        <v>29.937000000000005</v>
      </c>
      <c r="AO34" s="807"/>
      <c r="AP34" s="807"/>
      <c r="AQ34" s="807"/>
      <c r="AR34" s="807"/>
      <c r="AS34" s="807"/>
      <c r="AT34" s="807"/>
      <c r="AU34" s="807"/>
      <c r="AV34" s="807"/>
      <c r="AW34" s="807"/>
      <c r="AX34" s="807"/>
      <c r="AY34" s="807"/>
      <c r="AZ34" s="807"/>
      <c r="BA34" s="807"/>
      <c r="BB34" s="807"/>
      <c r="BC34" s="807"/>
    </row>
    <row r="35" spans="2:55" x14ac:dyDescent="0.3">
      <c r="B35" s="126"/>
      <c r="C35" s="126"/>
      <c r="D35" s="303" t="s">
        <v>6</v>
      </c>
      <c r="E35" s="126"/>
      <c r="F35" s="126"/>
      <c r="G35" s="126"/>
      <c r="H35" s="126"/>
      <c r="I35" s="126"/>
      <c r="J35" s="425"/>
      <c r="K35" s="307"/>
      <c r="L35" s="275"/>
      <c r="M35" s="275"/>
      <c r="N35" s="307"/>
      <c r="O35" s="275"/>
      <c r="P35" s="275"/>
      <c r="Q35" s="275"/>
      <c r="R35" s="275"/>
      <c r="S35" s="307"/>
      <c r="T35" s="275"/>
      <c r="U35" s="275"/>
      <c r="V35" s="275"/>
      <c r="W35" s="437">
        <v>2.0507972850678735</v>
      </c>
      <c r="X35" s="339">
        <v>0.28952695617229157</v>
      </c>
      <c r="Y35" s="339">
        <v>1.0708599141717792</v>
      </c>
      <c r="Z35" s="339">
        <v>0.74792555907375646</v>
      </c>
      <c r="AA35" s="339">
        <v>0.79280109261818188</v>
      </c>
      <c r="AB35" s="339">
        <v>0.8403691581752728</v>
      </c>
      <c r="AC35" s="2232">
        <f>+SUMIFS('Capex_FO input'!Q$42:Q$1014,'Capex_FO input'!$E$42:$E$1014,Capex_FO_AC!$C$32,'Capex_FO input'!$G$42:$G$1014,Capex_FO_AC!$D35)</f>
        <v>0.48920000000000002</v>
      </c>
      <c r="AD35" s="1652">
        <f>+SUMIFS('Capex_FO input'!R$42:R$1014,'Capex_FO input'!$E$42:$E$1014,Capex_FO_AC!$C$32,'Capex_FO input'!$G$42:$G$1014,Capex_FO_AC!$D35)</f>
        <v>5.5650000000000004</v>
      </c>
      <c r="AE35" s="1652">
        <f>+SUMIFS('Capex_FO input'!S$42:S$1014,'Capex_FO input'!$E$42:$E$1014,Capex_FO_AC!$C$32,'Capex_FO input'!$G$42:$G$1014,Capex_FO_AC!$D35)</f>
        <v>4.8819999999999997</v>
      </c>
      <c r="AF35" s="1652">
        <f>+SUMIFS('Capex_FO input'!T$42:T$1014,'Capex_FO input'!$E$42:$E$1014,Capex_FO_AC!$C$32,'Capex_FO input'!$G$42:$G$1014,Capex_FO_AC!$D35)</f>
        <v>3.8745000000000003</v>
      </c>
      <c r="AG35" s="1654">
        <f>+SUMIFS('Capex_FO input'!U$42:U$1014,'Capex_FO input'!$E$42:$E$1014,Capex_FO_AC!$C$32,'Capex_FO input'!$G$42:$G$1014,Capex_FO_AC!$D35)</f>
        <v>3.5745</v>
      </c>
      <c r="AH35" s="1652">
        <f>+SUMIFS('Capex_FO input'!V$42:V$1014,'Capex_FO input'!$E$42:$E$1014,Capex_FO_AC!$C$32,'Capex_FO input'!$G$42:$G$1014,Capex_FO_AC!$D35)</f>
        <v>4.55</v>
      </c>
      <c r="AI35" s="1652">
        <f>+SUMIFS('Capex_FO input'!W$42:W$1014,'Capex_FO input'!$E$42:$E$1014,Capex_FO_AC!$C$32,'Capex_FO input'!$G$42:$G$1014,Capex_FO_AC!$D35)</f>
        <v>4.2</v>
      </c>
      <c r="AJ35" s="1652">
        <f>+SUMIFS('Capex_FO input'!X$42:X$1014,'Capex_FO input'!$E$42:$E$1014,Capex_FO_AC!$C$32,'Capex_FO input'!$G$42:$G$1014,Capex_FO_AC!$D35)</f>
        <v>1.3</v>
      </c>
      <c r="AK35" s="1652">
        <f>+SUMIFS('Capex_FO input'!Y$42:Y$1014,'Capex_FO input'!$E$42:$E$1014,Capex_FO_AC!$C$32,'Capex_FO input'!$G$42:$G$1014,Capex_FO_AC!$D35)</f>
        <v>3.75</v>
      </c>
      <c r="AL35" s="1654">
        <f>+SUMIFS('Capex_FO input'!Z$42:Z$1014,'Capex_FO input'!$E$42:$E$1014,Capex_FO_AC!$C$32,'Capex_FO input'!$G$42:$G$1014,Capex_FO_AC!$D35)</f>
        <v>4.5</v>
      </c>
      <c r="AO35" s="807"/>
      <c r="AP35" s="807"/>
      <c r="AQ35" s="807"/>
      <c r="AR35" s="807"/>
      <c r="AS35" s="807"/>
      <c r="AT35" s="807"/>
      <c r="AU35" s="807"/>
      <c r="AV35" s="807"/>
      <c r="AW35" s="807"/>
      <c r="AX35" s="807"/>
      <c r="AY35" s="807"/>
      <c r="AZ35" s="807"/>
      <c r="BA35" s="807"/>
      <c r="BB35" s="807"/>
      <c r="BC35" s="807"/>
    </row>
    <row r="36" spans="2:55" x14ac:dyDescent="0.3">
      <c r="B36" s="126"/>
      <c r="C36" s="126"/>
      <c r="D36" s="303" t="s">
        <v>10</v>
      </c>
      <c r="E36" s="126"/>
      <c r="F36" s="126"/>
      <c r="G36" s="126"/>
      <c r="H36" s="126"/>
      <c r="I36" s="126"/>
      <c r="J36" s="426"/>
      <c r="K36" s="309"/>
      <c r="L36" s="310"/>
      <c r="M36" s="310"/>
      <c r="N36" s="309"/>
      <c r="O36" s="310"/>
      <c r="P36" s="310"/>
      <c r="Q36" s="310"/>
      <c r="R36" s="310"/>
      <c r="S36" s="309"/>
      <c r="T36" s="310"/>
      <c r="U36" s="310"/>
      <c r="V36" s="310"/>
      <c r="W36" s="438">
        <v>3.6586941176470584</v>
      </c>
      <c r="X36" s="342">
        <v>2.6845301590538009</v>
      </c>
      <c r="Y36" s="342">
        <v>4.960901087667323</v>
      </c>
      <c r="Z36" s="342">
        <v>2.0956614508977673</v>
      </c>
      <c r="AA36" s="342">
        <v>2.2214011379516334</v>
      </c>
      <c r="AB36" s="342">
        <v>2.3546852062287313</v>
      </c>
      <c r="AC36" s="2233">
        <f>+SUMIFS('Capex_FO input'!Q$42:Q$1014,'Capex_FO input'!$E$42:$E$1014,Capex_FO_AC!$C$32,'Capex_FO input'!$G$42:$G$1014,Capex_FO_AC!$D36)</f>
        <v>3.1335000000000002</v>
      </c>
      <c r="AD36" s="1653">
        <f>+SUMIFS('Capex_FO input'!R$42:R$1014,'Capex_FO input'!$E$42:$E$1014,Capex_FO_AC!$C$32,'Capex_FO input'!$G$42:$G$1014,Capex_FO_AC!$D36)</f>
        <v>2.9975000000000001</v>
      </c>
      <c r="AE36" s="1653">
        <f>+SUMIFS('Capex_FO input'!S$42:S$1014,'Capex_FO input'!$E$42:$E$1014,Capex_FO_AC!$C$32,'Capex_FO input'!$G$42:$G$1014,Capex_FO_AC!$D36)</f>
        <v>2.6335000000000002</v>
      </c>
      <c r="AF36" s="1653">
        <f>+SUMIFS('Capex_FO input'!T$42:T$1014,'Capex_FO input'!$E$42:$E$1014,Capex_FO_AC!$C$32,'Capex_FO input'!$G$42:$G$1014,Capex_FO_AC!$D36)</f>
        <v>3.2639999999999998</v>
      </c>
      <c r="AG36" s="1655">
        <f>+SUMIFS('Capex_FO input'!U$42:U$1014,'Capex_FO input'!$E$42:$E$1014,Capex_FO_AC!$C$32,'Capex_FO input'!$G$42:$G$1014,Capex_FO_AC!$D36)</f>
        <v>2.8730000000000002</v>
      </c>
      <c r="AH36" s="1653">
        <f>+SUMIFS('Capex_FO input'!V$42:V$1014,'Capex_FO input'!$E$42:$E$1014,Capex_FO_AC!$C$32,'Capex_FO input'!$G$42:$G$1014,Capex_FO_AC!$D36)</f>
        <v>5</v>
      </c>
      <c r="AI36" s="1653">
        <f>+SUMIFS('Capex_FO input'!W$42:W$1014,'Capex_FO input'!$E$42:$E$1014,Capex_FO_AC!$C$32,'Capex_FO input'!$G$42:$G$1014,Capex_FO_AC!$D36)</f>
        <v>5</v>
      </c>
      <c r="AJ36" s="1653">
        <f>+SUMIFS('Capex_FO input'!X$42:X$1014,'Capex_FO input'!$E$42:$E$1014,Capex_FO_AC!$C$32,'Capex_FO input'!$G$42:$G$1014,Capex_FO_AC!$D36)</f>
        <v>5</v>
      </c>
      <c r="AK36" s="1653">
        <f>+SUMIFS('Capex_FO input'!Y$42:Y$1014,'Capex_FO input'!$E$42:$E$1014,Capex_FO_AC!$C$32,'Capex_FO input'!$G$42:$G$1014,Capex_FO_AC!$D36)</f>
        <v>5</v>
      </c>
      <c r="AL36" s="1655">
        <f>+SUMIFS('Capex_FO input'!Z$42:Z$1014,'Capex_FO input'!$E$42:$E$1014,Capex_FO_AC!$C$32,'Capex_FO input'!$G$42:$G$1014,Capex_FO_AC!$D36)</f>
        <v>5</v>
      </c>
      <c r="AO36" s="807"/>
      <c r="AP36" s="807"/>
      <c r="AQ36" s="807"/>
      <c r="AR36" s="807"/>
      <c r="AS36" s="807"/>
      <c r="AT36" s="807"/>
      <c r="AU36" s="807"/>
      <c r="AV36" s="807"/>
      <c r="AW36" s="807"/>
      <c r="AX36" s="807"/>
      <c r="AY36" s="807"/>
      <c r="AZ36" s="807"/>
      <c r="BA36" s="807"/>
      <c r="BB36" s="807"/>
      <c r="BC36" s="807"/>
    </row>
    <row r="37" spans="2:55" x14ac:dyDescent="0.3">
      <c r="B37" s="126"/>
      <c r="C37" s="300" t="str">
        <f>+CONCATENATE("Total ",C32)</f>
        <v>Total Water</v>
      </c>
      <c r="D37" s="126"/>
      <c r="E37" s="126"/>
      <c r="F37" s="126"/>
      <c r="G37" s="126"/>
      <c r="H37" s="126"/>
      <c r="I37" s="126"/>
      <c r="J37" s="1527"/>
      <c r="K37" s="1527"/>
      <c r="L37" s="1527"/>
      <c r="M37" s="1527"/>
      <c r="N37" s="1527"/>
      <c r="O37" s="1527"/>
      <c r="P37" s="1527"/>
      <c r="Q37" s="1527"/>
      <c r="R37" s="1527"/>
      <c r="S37" s="1527"/>
      <c r="T37" s="1527"/>
      <c r="U37" s="1527"/>
      <c r="V37" s="1527"/>
      <c r="W37" s="297">
        <f t="shared" ref="W37:AG37" si="28">+SUM(W33:W36)</f>
        <v>16.24043076923077</v>
      </c>
      <c r="X37" s="2024">
        <f t="shared" si="28"/>
        <v>17.035930044355755</v>
      </c>
      <c r="Y37" s="2024">
        <f t="shared" si="28"/>
        <v>14.324613649691862</v>
      </c>
      <c r="Z37" s="2024">
        <f t="shared" si="28"/>
        <v>10.461716935812005</v>
      </c>
      <c r="AA37" s="2024">
        <f t="shared" si="28"/>
        <v>10.446783730697089</v>
      </c>
      <c r="AB37" s="2024">
        <f t="shared" si="28"/>
        <v>25.36886092113906</v>
      </c>
      <c r="AC37" s="297">
        <f t="shared" si="28"/>
        <v>24.918700000000001</v>
      </c>
      <c r="AD37" s="297">
        <f t="shared" si="28"/>
        <v>36.073500000000003</v>
      </c>
      <c r="AE37" s="297">
        <f t="shared" si="28"/>
        <v>36.361500000000007</v>
      </c>
      <c r="AF37" s="297">
        <f t="shared" si="28"/>
        <v>23.079500000000003</v>
      </c>
      <c r="AG37" s="297">
        <f t="shared" si="28"/>
        <v>25.545500000000004</v>
      </c>
      <c r="AH37" s="297">
        <f>+SUM(AH33:AH36)</f>
        <v>56.987000000000002</v>
      </c>
      <c r="AI37" s="297">
        <f>+SUM(AI33:AI36)</f>
        <v>46.062000000000012</v>
      </c>
      <c r="AJ37" s="297">
        <f>+SUM(AJ33:AJ36)</f>
        <v>34.106999999999999</v>
      </c>
      <c r="AK37" s="297">
        <f>+SUM(AK33:AK36)</f>
        <v>29.777000000000001</v>
      </c>
      <c r="AL37" s="297">
        <f>+SUM(AL33:AL36)</f>
        <v>40.857000000000006</v>
      </c>
      <c r="AO37" s="807"/>
      <c r="AP37" s="807"/>
      <c r="AQ37" s="807"/>
      <c r="AR37" s="807"/>
      <c r="AS37" s="807"/>
      <c r="AT37" s="807"/>
      <c r="AU37" s="807"/>
      <c r="AV37" s="807"/>
      <c r="AW37" s="807"/>
      <c r="AX37" s="807"/>
      <c r="AY37" s="807"/>
      <c r="AZ37" s="807"/>
      <c r="BA37" s="807"/>
      <c r="BB37" s="807"/>
      <c r="BC37" s="807"/>
    </row>
    <row r="38" spans="2:55" x14ac:dyDescent="0.3">
      <c r="B38" s="126"/>
      <c r="C38" s="126"/>
      <c r="D38" s="126"/>
      <c r="E38" s="126"/>
      <c r="F38" s="126"/>
      <c r="G38" s="126"/>
      <c r="H38" s="126"/>
      <c r="I38" s="126"/>
      <c r="J38" s="275"/>
      <c r="K38" s="275"/>
      <c r="L38" s="275"/>
      <c r="M38" s="275"/>
      <c r="N38" s="275"/>
      <c r="O38" s="275"/>
      <c r="P38" s="275"/>
      <c r="Q38" s="275"/>
      <c r="R38" s="275"/>
      <c r="S38" s="275"/>
      <c r="T38" s="275"/>
      <c r="U38" s="275"/>
      <c r="V38" s="275"/>
      <c r="W38" s="275"/>
      <c r="X38" s="2024"/>
      <c r="Y38" s="2024"/>
      <c r="Z38" s="2024"/>
      <c r="AA38" s="2024"/>
      <c r="AB38" s="2024"/>
      <c r="AC38" s="297"/>
      <c r="AD38" s="297"/>
      <c r="AE38" s="297"/>
      <c r="AF38" s="297"/>
      <c r="AG38" s="297"/>
      <c r="AH38" s="297"/>
      <c r="AI38" s="297"/>
      <c r="AJ38" s="297"/>
      <c r="AK38" s="297"/>
      <c r="AL38" s="297"/>
      <c r="AO38" s="807"/>
      <c r="AP38" s="807"/>
      <c r="AQ38" s="807"/>
      <c r="AR38" s="807"/>
      <c r="AS38" s="807"/>
      <c r="AT38" s="807"/>
      <c r="AU38" s="807"/>
      <c r="AV38" s="807"/>
      <c r="AW38" s="807"/>
      <c r="AX38" s="807"/>
      <c r="AY38" s="807"/>
      <c r="AZ38" s="807"/>
      <c r="BA38" s="807"/>
      <c r="BB38" s="807"/>
      <c r="BC38" s="807"/>
    </row>
    <row r="39" spans="2:55" x14ac:dyDescent="0.3">
      <c r="B39" s="126"/>
      <c r="C39" s="300" t="str">
        <f>E13</f>
        <v>Sewerage</v>
      </c>
      <c r="D39" s="126"/>
      <c r="E39" s="126"/>
      <c r="F39" s="126"/>
      <c r="G39" s="126"/>
      <c r="H39" s="126"/>
      <c r="I39" s="126"/>
      <c r="J39" s="275"/>
      <c r="K39" s="275"/>
      <c r="L39" s="275"/>
      <c r="M39" s="275"/>
      <c r="N39" s="275"/>
      <c r="O39" s="275"/>
      <c r="P39" s="275"/>
      <c r="Q39" s="275"/>
      <c r="R39" s="275"/>
      <c r="S39" s="275"/>
      <c r="T39" s="275"/>
      <c r="U39" s="275"/>
      <c r="V39" s="275"/>
      <c r="W39" s="275"/>
      <c r="X39" s="2024"/>
      <c r="Y39" s="2024"/>
      <c r="Z39" s="2024"/>
      <c r="AA39" s="2024"/>
      <c r="AB39" s="2024"/>
      <c r="AC39" s="297"/>
      <c r="AD39" s="297"/>
      <c r="AE39" s="297"/>
      <c r="AF39" s="297"/>
      <c r="AG39" s="297"/>
      <c r="AH39" s="297"/>
      <c r="AI39" s="297"/>
      <c r="AJ39" s="297"/>
      <c r="AK39" s="297"/>
      <c r="AL39" s="297"/>
      <c r="AO39" s="807"/>
      <c r="AP39" s="807"/>
      <c r="AQ39" s="807"/>
      <c r="AR39" s="807"/>
      <c r="AS39" s="807"/>
      <c r="AT39" s="807"/>
      <c r="AU39" s="807"/>
      <c r="AV39" s="807"/>
      <c r="AW39" s="807"/>
      <c r="AX39" s="807"/>
      <c r="AY39" s="807"/>
      <c r="AZ39" s="807"/>
      <c r="BA39" s="807"/>
      <c r="BB39" s="807"/>
      <c r="BC39" s="807"/>
    </row>
    <row r="40" spans="2:55" x14ac:dyDescent="0.3">
      <c r="B40" s="126"/>
      <c r="C40" s="126"/>
      <c r="D40" s="303" t="str">
        <f>+D33</f>
        <v>Headworks</v>
      </c>
      <c r="E40" s="126"/>
      <c r="F40" s="126"/>
      <c r="G40" s="126"/>
      <c r="H40" s="126"/>
      <c r="I40" s="126"/>
      <c r="J40" s="424"/>
      <c r="K40" s="304"/>
      <c r="L40" s="305"/>
      <c r="M40" s="306"/>
      <c r="N40" s="304"/>
      <c r="O40" s="305"/>
      <c r="P40" s="305"/>
      <c r="Q40" s="305"/>
      <c r="R40" s="306"/>
      <c r="S40" s="304"/>
      <c r="T40" s="305"/>
      <c r="U40" s="305"/>
      <c r="V40" s="305"/>
      <c r="W40" s="436"/>
      <c r="X40" s="336"/>
      <c r="Y40" s="336"/>
      <c r="Z40" s="336"/>
      <c r="AA40" s="336">
        <v>0</v>
      </c>
      <c r="AB40" s="336">
        <v>0</v>
      </c>
      <c r="AC40" s="2231">
        <f>+SUMIFS('Capex_FO input'!Q$42:Q$1014,'Capex_FO input'!$E$42:$E$1014,Capex_FO_AC!$C$39,'Capex_FO input'!$G$42:$G$1014,Capex_FO_AC!$D40)</f>
        <v>0</v>
      </c>
      <c r="AD40" s="1528">
        <f>+SUMIFS('Capex_FO input'!R$42:R$1014,'Capex_FO input'!$E$42:$E$1014,Capex_FO_AC!$C$39,'Capex_FO input'!$G$42:$G$1014,Capex_FO_AC!$D40)</f>
        <v>0</v>
      </c>
      <c r="AE40" s="1528">
        <f>+SUMIFS('Capex_FO input'!S$42:S$1014,'Capex_FO input'!$E$42:$E$1014,Capex_FO_AC!$C$39,'Capex_FO input'!$G$42:$G$1014,Capex_FO_AC!$D40)</f>
        <v>0</v>
      </c>
      <c r="AF40" s="1528">
        <f>+SUMIFS('Capex_FO input'!T$42:T$1014,'Capex_FO input'!$E$42:$E$1014,Capex_FO_AC!$C$39,'Capex_FO input'!$G$42:$G$1014,Capex_FO_AC!$D40)</f>
        <v>0</v>
      </c>
      <c r="AG40" s="1651">
        <f>+SUMIFS('Capex_FO input'!U$42:U$1014,'Capex_FO input'!$E$42:$E$1014,Capex_FO_AC!$C$39,'Capex_FO input'!$G$42:$G$1014,Capex_FO_AC!$D40)</f>
        <v>0</v>
      </c>
      <c r="AH40" s="1528">
        <f>+SUMIFS('Capex_FO input'!V$42:V$1014,'Capex_FO input'!$E$42:$E$1014,Capex_FO_AC!$C$39,'Capex_FO input'!$G$42:$G$1014,Capex_FO_AC!$D40)</f>
        <v>0</v>
      </c>
      <c r="AI40" s="1528">
        <f>+SUMIFS('Capex_FO input'!W$42:W$1014,'Capex_FO input'!$E$42:$E$1014,Capex_FO_AC!$C$39,'Capex_FO input'!$G$42:$G$1014,Capex_FO_AC!$D40)</f>
        <v>0</v>
      </c>
      <c r="AJ40" s="1528">
        <f>+SUMIFS('Capex_FO input'!X$42:X$1014,'Capex_FO input'!$E$42:$E$1014,Capex_FO_AC!$C$39,'Capex_FO input'!$G$42:$G$1014,Capex_FO_AC!$D40)</f>
        <v>0</v>
      </c>
      <c r="AK40" s="1528">
        <f>+SUMIFS('Capex_FO input'!Y$42:Y$1014,'Capex_FO input'!$E$42:$E$1014,Capex_FO_AC!$C$39,'Capex_FO input'!$G$42:$G$1014,Capex_FO_AC!$D40)</f>
        <v>0</v>
      </c>
      <c r="AL40" s="1651">
        <f>+SUMIFS('Capex_FO input'!Z$42:Z$1014,'Capex_FO input'!$E$42:$E$1014,Capex_FO_AC!$C$39,'Capex_FO input'!$G$42:$G$1014,Capex_FO_AC!$D40)</f>
        <v>0</v>
      </c>
      <c r="AO40" s="807"/>
      <c r="AP40" s="807"/>
      <c r="AQ40" s="807"/>
      <c r="AR40" s="807"/>
      <c r="AS40" s="807"/>
      <c r="AT40" s="807"/>
      <c r="AU40" s="807"/>
      <c r="AV40" s="807"/>
      <c r="AW40" s="807"/>
      <c r="AX40" s="807"/>
      <c r="AY40" s="807"/>
      <c r="AZ40" s="807"/>
      <c r="BA40" s="807"/>
      <c r="BB40" s="807"/>
      <c r="BC40" s="807"/>
    </row>
    <row r="41" spans="2:55" x14ac:dyDescent="0.3">
      <c r="B41" s="126"/>
      <c r="C41" s="126"/>
      <c r="D41" s="303" t="str">
        <f>+D34</f>
        <v>Pipelines/network</v>
      </c>
      <c r="E41" s="126"/>
      <c r="F41" s="126"/>
      <c r="G41" s="126"/>
      <c r="H41" s="126"/>
      <c r="I41" s="126"/>
      <c r="J41" s="425"/>
      <c r="K41" s="307"/>
      <c r="L41" s="275"/>
      <c r="M41" s="308"/>
      <c r="N41" s="307"/>
      <c r="O41" s="275"/>
      <c r="P41" s="275"/>
      <c r="Q41" s="275"/>
      <c r="R41" s="308"/>
      <c r="S41" s="307"/>
      <c r="T41" s="275"/>
      <c r="U41" s="275"/>
      <c r="V41" s="275"/>
      <c r="W41" s="437">
        <v>4.6992298642533932</v>
      </c>
      <c r="X41" s="339">
        <v>4.0623957659147427</v>
      </c>
      <c r="Y41" s="339">
        <v>4.0970307927607372</v>
      </c>
      <c r="Z41" s="339">
        <v>6.7215235804373936</v>
      </c>
      <c r="AA41" s="339">
        <v>7.1248149952636375</v>
      </c>
      <c r="AB41" s="339">
        <v>7.5523038949794561</v>
      </c>
      <c r="AC41" s="2232">
        <f>+SUMIFS('Capex_FO input'!Q$42:Q$1014,'Capex_FO input'!$E$42:$E$1014,Capex_FO_AC!$C$39,'Capex_FO input'!$G$42:$G$1014,Capex_FO_AC!$D41)</f>
        <v>16.045000000000002</v>
      </c>
      <c r="AD41" s="1652">
        <f>+SUMIFS('Capex_FO input'!R$42:R$1014,'Capex_FO input'!$E$42:$E$1014,Capex_FO_AC!$C$39,'Capex_FO input'!$G$42:$G$1014,Capex_FO_AC!$D41)</f>
        <v>5.54</v>
      </c>
      <c r="AE41" s="1652">
        <f>+SUMIFS('Capex_FO input'!S$42:S$1014,'Capex_FO input'!$E$42:$E$1014,Capex_FO_AC!$C$39,'Capex_FO input'!$G$42:$G$1014,Capex_FO_AC!$D41)</f>
        <v>8.99</v>
      </c>
      <c r="AF41" s="1652">
        <f>+SUMIFS('Capex_FO input'!T$42:T$1014,'Capex_FO input'!$E$42:$E$1014,Capex_FO_AC!$C$39,'Capex_FO input'!$G$42:$G$1014,Capex_FO_AC!$D41)</f>
        <v>18.310000000000002</v>
      </c>
      <c r="AG41" s="1654">
        <f>+SUMIFS('Capex_FO input'!U$42:U$1014,'Capex_FO input'!$E$42:$E$1014,Capex_FO_AC!$C$39,'Capex_FO input'!$G$42:$G$1014,Capex_FO_AC!$D41)</f>
        <v>20.449999999999996</v>
      </c>
      <c r="AH41" s="1652">
        <f>+SUMIFS('Capex_FO input'!V$42:V$1014,'Capex_FO input'!$E$42:$E$1014,Capex_FO_AC!$C$39,'Capex_FO input'!$G$42:$G$1014,Capex_FO_AC!$D41)</f>
        <v>24.389999999999997</v>
      </c>
      <c r="AI41" s="1652">
        <f>+SUMIFS('Capex_FO input'!W$42:W$1014,'Capex_FO input'!$E$42:$E$1014,Capex_FO_AC!$C$39,'Capex_FO input'!$G$42:$G$1014,Capex_FO_AC!$D41)</f>
        <v>33.635000000000005</v>
      </c>
      <c r="AJ41" s="1652">
        <f>+SUMIFS('Capex_FO input'!X$42:X$1014,'Capex_FO input'!$E$42:$E$1014,Capex_FO_AC!$C$39,'Capex_FO input'!$G$42:$G$1014,Capex_FO_AC!$D41)</f>
        <v>20.71</v>
      </c>
      <c r="AK41" s="1652">
        <f>+SUMIFS('Capex_FO input'!Y$42:Y$1014,'Capex_FO input'!$E$42:$E$1014,Capex_FO_AC!$C$39,'Capex_FO input'!$G$42:$G$1014,Capex_FO_AC!$D41)</f>
        <v>12.335000000000001</v>
      </c>
      <c r="AL41" s="1654">
        <f>+SUMIFS('Capex_FO input'!Z$42:Z$1014,'Capex_FO input'!$E$42:$E$1014,Capex_FO_AC!$C$39,'Capex_FO input'!$G$42:$G$1014,Capex_FO_AC!$D41)</f>
        <v>12.335000000000001</v>
      </c>
      <c r="AO41" s="807"/>
      <c r="AP41" s="807"/>
      <c r="AQ41" s="807"/>
      <c r="AR41" s="807"/>
      <c r="AS41" s="807"/>
      <c r="AT41" s="807"/>
      <c r="AU41" s="807"/>
      <c r="AV41" s="807"/>
      <c r="AW41" s="807"/>
      <c r="AX41" s="807"/>
      <c r="AY41" s="807"/>
      <c r="AZ41" s="807"/>
      <c r="BA41" s="807"/>
      <c r="BB41" s="807"/>
      <c r="BC41" s="807"/>
    </row>
    <row r="42" spans="2:55" x14ac:dyDescent="0.3">
      <c r="B42" s="126"/>
      <c r="C42" s="126"/>
      <c r="D42" s="303" t="str">
        <f>+D35</f>
        <v>Treatment</v>
      </c>
      <c r="E42" s="126"/>
      <c r="F42" s="126"/>
      <c r="G42" s="126"/>
      <c r="H42" s="126"/>
      <c r="I42" s="126"/>
      <c r="J42" s="425"/>
      <c r="K42" s="307"/>
      <c r="L42" s="275"/>
      <c r="M42" s="308"/>
      <c r="N42" s="307"/>
      <c r="O42" s="275"/>
      <c r="P42" s="275"/>
      <c r="Q42" s="275"/>
      <c r="R42" s="308"/>
      <c r="S42" s="307"/>
      <c r="T42" s="275"/>
      <c r="U42" s="275"/>
      <c r="V42" s="275"/>
      <c r="W42" s="437">
        <v>2.2358063348416288</v>
      </c>
      <c r="X42" s="339">
        <v>7.2306277891119022</v>
      </c>
      <c r="Y42" s="339">
        <v>6.7000363152147244</v>
      </c>
      <c r="Z42" s="339">
        <v>6.2901421936878226</v>
      </c>
      <c r="AA42" s="339">
        <v>6.6675507253090922</v>
      </c>
      <c r="AB42" s="339">
        <v>7.0676037688276381</v>
      </c>
      <c r="AC42" s="2232">
        <f>+SUMIFS('Capex_FO input'!Q$42:Q$1014,'Capex_FO input'!$E$42:$E$1014,Capex_FO_AC!$C$39,'Capex_FO input'!$G$42:$G$1014,Capex_FO_AC!$D42)</f>
        <v>1.18</v>
      </c>
      <c r="AD42" s="1652">
        <f>+SUMIFS('Capex_FO input'!R$42:R$1014,'Capex_FO input'!$E$42:$E$1014,Capex_FO_AC!$C$39,'Capex_FO input'!$G$42:$G$1014,Capex_FO_AC!$D42)</f>
        <v>1.7900000000000003</v>
      </c>
      <c r="AE42" s="1652">
        <f>+SUMIFS('Capex_FO input'!S$42:S$1014,'Capex_FO input'!$E$42:$E$1014,Capex_FO_AC!$C$39,'Capex_FO input'!$G$42:$G$1014,Capex_FO_AC!$D42)</f>
        <v>1.915</v>
      </c>
      <c r="AF42" s="1652">
        <f>+SUMIFS('Capex_FO input'!T$42:T$1014,'Capex_FO input'!$E$42:$E$1014,Capex_FO_AC!$C$39,'Capex_FO input'!$G$42:$G$1014,Capex_FO_AC!$D42)</f>
        <v>6.7299999999999995</v>
      </c>
      <c r="AG42" s="1654">
        <f>+SUMIFS('Capex_FO input'!U$42:U$1014,'Capex_FO input'!$E$42:$E$1014,Capex_FO_AC!$C$39,'Capex_FO input'!$G$42:$G$1014,Capex_FO_AC!$D42)</f>
        <v>7.1000000000000005</v>
      </c>
      <c r="AH42" s="1652">
        <f>+SUMIFS('Capex_FO input'!V$42:V$1014,'Capex_FO input'!$E$42:$E$1014,Capex_FO_AC!$C$39,'Capex_FO input'!$G$42:$G$1014,Capex_FO_AC!$D42)</f>
        <v>8.3450000000000006</v>
      </c>
      <c r="AI42" s="1652">
        <f>+SUMIFS('Capex_FO input'!W$42:W$1014,'Capex_FO input'!$E$42:$E$1014,Capex_FO_AC!$C$39,'Capex_FO input'!$G$42:$G$1014,Capex_FO_AC!$D42)</f>
        <v>8.1349999999999998</v>
      </c>
      <c r="AJ42" s="1652">
        <f>+SUMIFS('Capex_FO input'!X$42:X$1014,'Capex_FO input'!$E$42:$E$1014,Capex_FO_AC!$C$39,'Capex_FO input'!$G$42:$G$1014,Capex_FO_AC!$D42)</f>
        <v>7.0849999999999991</v>
      </c>
      <c r="AK42" s="1652">
        <f>+SUMIFS('Capex_FO input'!Y$42:Y$1014,'Capex_FO input'!$E$42:$E$1014,Capex_FO_AC!$C$39,'Capex_FO input'!$G$42:$G$1014,Capex_FO_AC!$D42)</f>
        <v>7.1349999999999998</v>
      </c>
      <c r="AL42" s="1654">
        <f>+SUMIFS('Capex_FO input'!Z$42:Z$1014,'Capex_FO input'!$E$42:$E$1014,Capex_FO_AC!$C$39,'Capex_FO input'!$G$42:$G$1014,Capex_FO_AC!$D42)</f>
        <v>7.8650000000000002</v>
      </c>
      <c r="AO42" s="807"/>
      <c r="AP42" s="807"/>
      <c r="AQ42" s="807"/>
      <c r="AR42" s="807"/>
      <c r="AS42" s="807"/>
      <c r="AT42" s="807"/>
      <c r="AU42" s="807"/>
      <c r="AV42" s="807"/>
      <c r="AW42" s="807"/>
      <c r="AX42" s="807"/>
      <c r="AY42" s="807"/>
      <c r="AZ42" s="807"/>
      <c r="BA42" s="807"/>
      <c r="BB42" s="807"/>
      <c r="BC42" s="807"/>
    </row>
    <row r="43" spans="2:55" x14ac:dyDescent="0.3">
      <c r="B43" s="126"/>
      <c r="C43" s="126"/>
      <c r="D43" s="303" t="str">
        <f>+D36</f>
        <v>Corporate</v>
      </c>
      <c r="E43" s="126"/>
      <c r="F43" s="126"/>
      <c r="G43" s="126"/>
      <c r="H43" s="126"/>
      <c r="I43" s="126"/>
      <c r="J43" s="426"/>
      <c r="K43" s="309"/>
      <c r="L43" s="310"/>
      <c r="M43" s="311"/>
      <c r="N43" s="309"/>
      <c r="O43" s="310"/>
      <c r="P43" s="310"/>
      <c r="Q43" s="310"/>
      <c r="R43" s="311"/>
      <c r="S43" s="309"/>
      <c r="T43" s="310"/>
      <c r="U43" s="310"/>
      <c r="V43" s="310"/>
      <c r="W43" s="438">
        <v>2.0171592760180994</v>
      </c>
      <c r="X43" s="342">
        <v>2.118409909924885</v>
      </c>
      <c r="Y43" s="342">
        <v>5.7116824413601055</v>
      </c>
      <c r="Z43" s="342">
        <v>3.097481286753037</v>
      </c>
      <c r="AA43" s="342">
        <v>3.2833301639582193</v>
      </c>
      <c r="AB43" s="342">
        <v>3.4803299737957127</v>
      </c>
      <c r="AC43" s="2233">
        <f>+SUMIFS('Capex_FO input'!Q$42:Q$1014,'Capex_FO input'!$E$42:$E$1014,Capex_FO_AC!$C$39,'Capex_FO input'!$G$42:$G$1014,Capex_FO_AC!$D43)</f>
        <v>1.2350000000000001</v>
      </c>
      <c r="AD43" s="1653">
        <f>+SUMIFS('Capex_FO input'!R$42:R$1014,'Capex_FO input'!$E$42:$E$1014,Capex_FO_AC!$C$39,'Capex_FO input'!$G$42:$G$1014,Capex_FO_AC!$D43)</f>
        <v>1.135</v>
      </c>
      <c r="AE43" s="1653">
        <f>+SUMIFS('Capex_FO input'!S$42:S$1014,'Capex_FO input'!$E$42:$E$1014,Capex_FO_AC!$C$39,'Capex_FO input'!$G$42:$G$1014,Capex_FO_AC!$D43)</f>
        <v>1.135</v>
      </c>
      <c r="AF43" s="1653">
        <f>+SUMIFS('Capex_FO input'!T$42:T$1014,'Capex_FO input'!$E$42:$E$1014,Capex_FO_AC!$C$39,'Capex_FO input'!$G$42:$G$1014,Capex_FO_AC!$D43)</f>
        <v>1.835</v>
      </c>
      <c r="AG43" s="1655">
        <f>+SUMIFS('Capex_FO input'!U$42:U$1014,'Capex_FO input'!$E$42:$E$1014,Capex_FO_AC!$C$39,'Capex_FO input'!$G$42:$G$1014,Capex_FO_AC!$D43)</f>
        <v>2.6349999999999998</v>
      </c>
      <c r="AH43" s="1653">
        <f>+SUMIFS('Capex_FO input'!V$42:V$1014,'Capex_FO input'!$E$42:$E$1014,Capex_FO_AC!$C$39,'Capex_FO input'!$G$42:$G$1014,Capex_FO_AC!$D43)</f>
        <v>4.4449999999999994</v>
      </c>
      <c r="AI43" s="1653">
        <f>+SUMIFS('Capex_FO input'!W$42:W$1014,'Capex_FO input'!$E$42:$E$1014,Capex_FO_AC!$C$39,'Capex_FO input'!$G$42:$G$1014,Capex_FO_AC!$D43)</f>
        <v>4.7349999999999994</v>
      </c>
      <c r="AJ43" s="1653">
        <f>+SUMIFS('Capex_FO input'!X$42:X$1014,'Capex_FO input'!$E$42:$E$1014,Capex_FO_AC!$C$39,'Capex_FO input'!$G$42:$G$1014,Capex_FO_AC!$D43)</f>
        <v>3.6349999999999998</v>
      </c>
      <c r="AK43" s="1653">
        <f>+SUMIFS('Capex_FO input'!Y$42:Y$1014,'Capex_FO input'!$E$42:$E$1014,Capex_FO_AC!$C$39,'Capex_FO input'!$G$42:$G$1014,Capex_FO_AC!$D43)</f>
        <v>3.2349999999999999</v>
      </c>
      <c r="AL43" s="1655">
        <f>+SUMIFS('Capex_FO input'!Z$42:Z$1014,'Capex_FO input'!$E$42:$E$1014,Capex_FO_AC!$C$39,'Capex_FO input'!$G$42:$G$1014,Capex_FO_AC!$D43)</f>
        <v>3.2349999999999999</v>
      </c>
      <c r="AO43" s="807"/>
      <c r="AP43" s="807"/>
      <c r="AQ43" s="807"/>
      <c r="AR43" s="807"/>
      <c r="AS43" s="807"/>
      <c r="AT43" s="807"/>
      <c r="AU43" s="807"/>
      <c r="AV43" s="807"/>
      <c r="AW43" s="807"/>
      <c r="AX43" s="807"/>
      <c r="AY43" s="807"/>
      <c r="AZ43" s="807"/>
      <c r="BA43" s="807"/>
      <c r="BB43" s="807"/>
      <c r="BC43" s="807"/>
    </row>
    <row r="44" spans="2:55" x14ac:dyDescent="0.3">
      <c r="B44" s="126"/>
      <c r="C44" s="300" t="str">
        <f>+CONCATENATE("Total ",C39)</f>
        <v>Total Sewerage</v>
      </c>
      <c r="D44" s="126"/>
      <c r="E44" s="126"/>
      <c r="F44" s="126"/>
      <c r="G44" s="126"/>
      <c r="H44" s="126"/>
      <c r="I44" s="126"/>
      <c r="J44" s="1527"/>
      <c r="K44" s="1527"/>
      <c r="L44" s="1527"/>
      <c r="M44" s="1527"/>
      <c r="N44" s="1527"/>
      <c r="O44" s="1527"/>
      <c r="P44" s="1527"/>
      <c r="Q44" s="1527"/>
      <c r="R44" s="1527"/>
      <c r="S44" s="1527"/>
      <c r="T44" s="1527"/>
      <c r="U44" s="1527"/>
      <c r="V44" s="1527"/>
      <c r="W44" s="297">
        <f t="shared" ref="W44" si="29">+SUM(W40:W43)</f>
        <v>8.9521954751131219</v>
      </c>
      <c r="X44" s="2024">
        <f t="shared" ref="X44:AG44" si="30">+SUM(X40:X43)</f>
        <v>13.41143346495153</v>
      </c>
      <c r="Y44" s="2024">
        <f t="shared" si="30"/>
        <v>16.508749549335569</v>
      </c>
      <c r="Z44" s="2024">
        <f t="shared" si="30"/>
        <v>16.109147060878254</v>
      </c>
      <c r="AA44" s="2024">
        <f t="shared" si="30"/>
        <v>17.075695884530948</v>
      </c>
      <c r="AB44" s="2024">
        <f t="shared" si="30"/>
        <v>18.100237637602806</v>
      </c>
      <c r="AC44" s="297">
        <f t="shared" si="30"/>
        <v>18.46</v>
      </c>
      <c r="AD44" s="297">
        <f t="shared" si="30"/>
        <v>8.4649999999999999</v>
      </c>
      <c r="AE44" s="297">
        <f t="shared" si="30"/>
        <v>12.040000000000001</v>
      </c>
      <c r="AF44" s="297">
        <f t="shared" si="30"/>
        <v>26.875000000000004</v>
      </c>
      <c r="AG44" s="297">
        <f t="shared" si="30"/>
        <v>30.184999999999995</v>
      </c>
      <c r="AH44" s="297">
        <f>+SUM(AH40:AH43)</f>
        <v>37.18</v>
      </c>
      <c r="AI44" s="297">
        <f>+SUM(AI40:AI43)</f>
        <v>46.505000000000003</v>
      </c>
      <c r="AJ44" s="297">
        <f>+SUM(AJ40:AJ43)</f>
        <v>31.43</v>
      </c>
      <c r="AK44" s="297">
        <f>+SUM(AK40:AK43)</f>
        <v>22.704999999999998</v>
      </c>
      <c r="AL44" s="297">
        <f>+SUM(AL40:AL43)</f>
        <v>23.435000000000002</v>
      </c>
      <c r="AO44" s="807"/>
      <c r="AP44" s="807"/>
      <c r="AQ44" s="807"/>
      <c r="AR44" s="807"/>
      <c r="AS44" s="807"/>
      <c r="AT44" s="807"/>
      <c r="AU44" s="807"/>
      <c r="AV44" s="807"/>
      <c r="AW44" s="807"/>
      <c r="AX44" s="807"/>
      <c r="AY44" s="807"/>
      <c r="AZ44" s="807"/>
      <c r="BA44" s="807"/>
      <c r="BB44" s="807"/>
      <c r="BC44" s="807"/>
    </row>
    <row r="45" spans="2:55" x14ac:dyDescent="0.3">
      <c r="B45" s="126"/>
      <c r="C45" s="126"/>
      <c r="D45" s="126"/>
      <c r="E45" s="126"/>
      <c r="F45" s="126"/>
      <c r="G45" s="126"/>
      <c r="H45" s="126"/>
      <c r="I45" s="126"/>
      <c r="J45" s="275"/>
      <c r="K45" s="275"/>
      <c r="L45" s="275"/>
      <c r="M45" s="275"/>
      <c r="N45" s="275"/>
      <c r="O45" s="275"/>
      <c r="P45" s="275"/>
      <c r="Q45" s="275"/>
      <c r="R45" s="275"/>
      <c r="S45" s="275"/>
      <c r="T45" s="275"/>
      <c r="U45" s="275"/>
      <c r="V45" s="275"/>
      <c r="W45" s="275"/>
      <c r="X45" s="2024"/>
      <c r="Y45" s="2024"/>
      <c r="Z45" s="2024"/>
      <c r="AA45" s="2024"/>
      <c r="AB45" s="2024"/>
      <c r="AC45" s="297"/>
      <c r="AD45" s="297"/>
      <c r="AE45" s="297"/>
      <c r="AF45" s="297"/>
      <c r="AG45" s="297"/>
      <c r="AH45" s="297"/>
      <c r="AI45" s="297"/>
      <c r="AJ45" s="297"/>
      <c r="AK45" s="297"/>
      <c r="AL45" s="297"/>
      <c r="AO45" s="807"/>
      <c r="AP45" s="807"/>
      <c r="AQ45" s="807"/>
      <c r="AR45" s="807"/>
      <c r="AS45" s="807"/>
      <c r="AT45" s="807"/>
      <c r="AU45" s="807"/>
      <c r="AV45" s="807"/>
      <c r="AW45" s="807"/>
      <c r="AX45" s="807"/>
      <c r="AY45" s="807"/>
      <c r="AZ45" s="807"/>
      <c r="BA45" s="807"/>
      <c r="BB45" s="807"/>
      <c r="BC45" s="807"/>
    </row>
    <row r="46" spans="2:55" x14ac:dyDescent="0.3">
      <c r="B46" s="126"/>
      <c r="C46" s="300" t="str">
        <f>E14</f>
        <v>Recycled Water</v>
      </c>
      <c r="D46" s="126"/>
      <c r="E46" s="126"/>
      <c r="F46" s="126"/>
      <c r="G46" s="126"/>
      <c r="H46" s="126"/>
      <c r="I46" s="126"/>
      <c r="J46" s="275"/>
      <c r="K46" s="275"/>
      <c r="L46" s="275"/>
      <c r="M46" s="275"/>
      <c r="N46" s="275"/>
      <c r="O46" s="275"/>
      <c r="P46" s="275"/>
      <c r="Q46" s="275"/>
      <c r="R46" s="275"/>
      <c r="S46" s="275"/>
      <c r="T46" s="275"/>
      <c r="U46" s="275"/>
      <c r="V46" s="275"/>
      <c r="W46" s="275"/>
      <c r="X46" s="2024"/>
      <c r="Y46" s="2024"/>
      <c r="Z46" s="2024"/>
      <c r="AA46" s="2024"/>
      <c r="AB46" s="2024"/>
      <c r="AC46" s="297"/>
      <c r="AD46" s="297"/>
      <c r="AE46" s="297"/>
      <c r="AF46" s="297"/>
      <c r="AG46" s="297"/>
      <c r="AH46" s="297"/>
      <c r="AI46" s="297"/>
      <c r="AJ46" s="297"/>
      <c r="AK46" s="297"/>
      <c r="AL46" s="297"/>
      <c r="AO46" s="807"/>
      <c r="AP46" s="807"/>
      <c r="AQ46" s="807"/>
      <c r="AR46" s="807"/>
      <c r="AS46" s="807"/>
      <c r="AT46" s="807"/>
      <c r="AU46" s="807"/>
      <c r="AV46" s="807"/>
      <c r="AW46" s="807"/>
      <c r="AX46" s="807"/>
      <c r="AY46" s="807"/>
      <c r="AZ46" s="807"/>
      <c r="BA46" s="807"/>
      <c r="BB46" s="807"/>
      <c r="BC46" s="807"/>
    </row>
    <row r="47" spans="2:55" x14ac:dyDescent="0.3">
      <c r="B47" s="126"/>
      <c r="C47" s="126"/>
      <c r="D47" s="303" t="str">
        <f>+D40</f>
        <v>Headworks</v>
      </c>
      <c r="E47" s="126"/>
      <c r="F47" s="126"/>
      <c r="G47" s="126"/>
      <c r="H47" s="126"/>
      <c r="I47" s="126"/>
      <c r="J47" s="424"/>
      <c r="K47" s="304"/>
      <c r="L47" s="305"/>
      <c r="M47" s="306"/>
      <c r="N47" s="304"/>
      <c r="O47" s="305"/>
      <c r="P47" s="305"/>
      <c r="Q47" s="305"/>
      <c r="R47" s="306"/>
      <c r="S47" s="304"/>
      <c r="T47" s="305"/>
      <c r="U47" s="305"/>
      <c r="V47" s="305"/>
      <c r="W47" s="436"/>
      <c r="X47" s="336"/>
      <c r="Y47" s="336"/>
      <c r="Z47" s="336"/>
      <c r="AA47" s="336">
        <v>0</v>
      </c>
      <c r="AB47" s="336">
        <v>0</v>
      </c>
      <c r="AC47" s="2231">
        <f>+SUMIFS('Capex_FO input'!Q$42:Q$1014,'Capex_FO input'!$E$42:$E$1014,Capex_FO_AC!$C$46,'Capex_FO input'!$G$42:$G$1014,Capex_FO_AC!$D47)</f>
        <v>0</v>
      </c>
      <c r="AD47" s="1528">
        <f>+SUMIFS('Capex_FO input'!R$42:R$1014,'Capex_FO input'!$E$42:$E$1014,Capex_FO_AC!$C$46,'Capex_FO input'!$G$42:$G$1014,Capex_FO_AC!$D47)</f>
        <v>0</v>
      </c>
      <c r="AE47" s="1528">
        <f>+SUMIFS('Capex_FO input'!S$42:S$1014,'Capex_FO input'!$E$42:$E$1014,Capex_FO_AC!$C$46,'Capex_FO input'!$G$42:$G$1014,Capex_FO_AC!$D47)</f>
        <v>0</v>
      </c>
      <c r="AF47" s="1528">
        <f>+SUMIFS('Capex_FO input'!T$42:T$1014,'Capex_FO input'!$E$42:$E$1014,Capex_FO_AC!$C$46,'Capex_FO input'!$G$42:$G$1014,Capex_FO_AC!$D47)</f>
        <v>0</v>
      </c>
      <c r="AG47" s="1651">
        <f>+SUMIFS('Capex_FO input'!U$42:U$1014,'Capex_FO input'!$E$42:$E$1014,Capex_FO_AC!$C$46,'Capex_FO input'!$G$42:$G$1014,Capex_FO_AC!$D47)</f>
        <v>0</v>
      </c>
      <c r="AH47" s="1528">
        <f>+SUMIFS('Capex_FO input'!V$42:V$1014,'Capex_FO input'!$E$42:$E$1014,Capex_FO_AC!$C$46,'Capex_FO input'!$G$42:$G$1014,Capex_FO_AC!$D47)</f>
        <v>0</v>
      </c>
      <c r="AI47" s="1528">
        <f>+SUMIFS('Capex_FO input'!W$42:W$1014,'Capex_FO input'!$E$42:$E$1014,Capex_FO_AC!$C$46,'Capex_FO input'!$G$42:$G$1014,Capex_FO_AC!$D47)</f>
        <v>0</v>
      </c>
      <c r="AJ47" s="1528">
        <f>+SUMIFS('Capex_FO input'!X$42:X$1014,'Capex_FO input'!$E$42:$E$1014,Capex_FO_AC!$C$46,'Capex_FO input'!$G$42:$G$1014,Capex_FO_AC!$D47)</f>
        <v>0</v>
      </c>
      <c r="AK47" s="1528">
        <f>+SUMIFS('Capex_FO input'!Y$42:Y$1014,'Capex_FO input'!$E$42:$E$1014,Capex_FO_AC!$C$46,'Capex_FO input'!$G$42:$G$1014,Capex_FO_AC!$D47)</f>
        <v>0</v>
      </c>
      <c r="AL47" s="1651">
        <f>+SUMIFS('Capex_FO input'!Z$42:Z$1014,'Capex_FO input'!$E$42:$E$1014,Capex_FO_AC!$C$46,'Capex_FO input'!$G$42:$G$1014,Capex_FO_AC!$D47)</f>
        <v>0</v>
      </c>
      <c r="AO47" s="807"/>
      <c r="AP47" s="807"/>
      <c r="AQ47" s="807"/>
      <c r="AR47" s="807"/>
      <c r="AS47" s="807"/>
      <c r="AT47" s="807"/>
      <c r="AU47" s="807"/>
      <c r="AV47" s="807"/>
      <c r="AW47" s="807"/>
      <c r="AX47" s="807"/>
      <c r="AY47" s="807"/>
      <c r="AZ47" s="807"/>
      <c r="BA47" s="807"/>
      <c r="BB47" s="807"/>
      <c r="BC47" s="807"/>
    </row>
    <row r="48" spans="2:55" x14ac:dyDescent="0.3">
      <c r="B48" s="126"/>
      <c r="C48" s="126"/>
      <c r="D48" s="303" t="str">
        <f>+D41</f>
        <v>Pipelines/network</v>
      </c>
      <c r="E48" s="126"/>
      <c r="F48" s="126"/>
      <c r="G48" s="126"/>
      <c r="H48" s="126"/>
      <c r="I48" s="126"/>
      <c r="J48" s="425"/>
      <c r="K48" s="307"/>
      <c r="L48" s="275"/>
      <c r="M48" s="308"/>
      <c r="N48" s="307"/>
      <c r="O48" s="275"/>
      <c r="P48" s="275"/>
      <c r="Q48" s="275"/>
      <c r="R48" s="308"/>
      <c r="S48" s="307"/>
      <c r="T48" s="275"/>
      <c r="U48" s="275"/>
      <c r="V48" s="275"/>
      <c r="W48" s="437"/>
      <c r="X48" s="339"/>
      <c r="Y48" s="339">
        <v>1.3263523450306749</v>
      </c>
      <c r="Z48" s="339">
        <v>1.2306388327101201</v>
      </c>
      <c r="AA48" s="339">
        <v>1.3044771626727274</v>
      </c>
      <c r="AB48" s="339">
        <v>1.382745792433091</v>
      </c>
      <c r="AC48" s="2232">
        <f>+SUMIFS('Capex_FO input'!Q$42:Q$1014,'Capex_FO input'!$E$42:$E$1014,Capex_FO_AC!$C$46,'Capex_FO input'!$G$42:$G$1014,Capex_FO_AC!$D48)</f>
        <v>0</v>
      </c>
      <c r="AD48" s="1652">
        <f>+SUMIFS('Capex_FO input'!R$42:R$1014,'Capex_FO input'!$E$42:$E$1014,Capex_FO_AC!$C$46,'Capex_FO input'!$G$42:$G$1014,Capex_FO_AC!$D48)</f>
        <v>0</v>
      </c>
      <c r="AE48" s="1652">
        <f>+SUMIFS('Capex_FO input'!S$42:S$1014,'Capex_FO input'!$E$42:$E$1014,Capex_FO_AC!$C$46,'Capex_FO input'!$G$42:$G$1014,Capex_FO_AC!$D48)</f>
        <v>0</v>
      </c>
      <c r="AF48" s="1652">
        <f>+SUMIFS('Capex_FO input'!T$42:T$1014,'Capex_FO input'!$E$42:$E$1014,Capex_FO_AC!$C$46,'Capex_FO input'!$G$42:$G$1014,Capex_FO_AC!$D48)</f>
        <v>0</v>
      </c>
      <c r="AG48" s="1654">
        <f>+SUMIFS('Capex_FO input'!U$42:U$1014,'Capex_FO input'!$E$42:$E$1014,Capex_FO_AC!$C$46,'Capex_FO input'!$G$42:$G$1014,Capex_FO_AC!$D48)</f>
        <v>0</v>
      </c>
      <c r="AH48" s="1652">
        <f>+SUMIFS('Capex_FO input'!V$42:V$1014,'Capex_FO input'!$E$42:$E$1014,Capex_FO_AC!$C$46,'Capex_FO input'!$G$42:$G$1014,Capex_FO_AC!$D48)</f>
        <v>0</v>
      </c>
      <c r="AI48" s="1652">
        <f>+SUMIFS('Capex_FO input'!W$42:W$1014,'Capex_FO input'!$E$42:$E$1014,Capex_FO_AC!$C$46,'Capex_FO input'!$G$42:$G$1014,Capex_FO_AC!$D48)</f>
        <v>0</v>
      </c>
      <c r="AJ48" s="1652">
        <f>+SUMIFS('Capex_FO input'!X$42:X$1014,'Capex_FO input'!$E$42:$E$1014,Capex_FO_AC!$C$46,'Capex_FO input'!$G$42:$G$1014,Capex_FO_AC!$D48)</f>
        <v>0</v>
      </c>
      <c r="AK48" s="1652">
        <f>+SUMIFS('Capex_FO input'!Y$42:Y$1014,'Capex_FO input'!$E$42:$E$1014,Capex_FO_AC!$C$46,'Capex_FO input'!$G$42:$G$1014,Capex_FO_AC!$D48)</f>
        <v>0</v>
      </c>
      <c r="AL48" s="1654">
        <f>+SUMIFS('Capex_FO input'!Z$42:Z$1014,'Capex_FO input'!$E$42:$E$1014,Capex_FO_AC!$C$46,'Capex_FO input'!$G$42:$G$1014,Capex_FO_AC!$D48)</f>
        <v>0</v>
      </c>
      <c r="AO48" s="807"/>
      <c r="AP48" s="807"/>
      <c r="AQ48" s="807"/>
      <c r="AR48" s="807"/>
      <c r="AS48" s="807"/>
      <c r="AT48" s="807"/>
      <c r="AU48" s="807"/>
      <c r="AV48" s="807"/>
      <c r="AW48" s="807"/>
      <c r="AX48" s="807"/>
      <c r="AY48" s="807"/>
      <c r="AZ48" s="807"/>
      <c r="BA48" s="807"/>
      <c r="BB48" s="807"/>
      <c r="BC48" s="807"/>
    </row>
    <row r="49" spans="2:55" x14ac:dyDescent="0.3">
      <c r="B49" s="126"/>
      <c r="C49" s="126"/>
      <c r="D49" s="303" t="str">
        <f>+D42</f>
        <v>Treatment</v>
      </c>
      <c r="E49" s="126"/>
      <c r="F49" s="126"/>
      <c r="G49" s="126"/>
      <c r="H49" s="126"/>
      <c r="I49" s="126"/>
      <c r="J49" s="425"/>
      <c r="K49" s="307"/>
      <c r="L49" s="275"/>
      <c r="M49" s="308"/>
      <c r="N49" s="307"/>
      <c r="O49" s="275"/>
      <c r="P49" s="275"/>
      <c r="Q49" s="275"/>
      <c r="R49" s="308"/>
      <c r="S49" s="307"/>
      <c r="T49" s="275"/>
      <c r="U49" s="275"/>
      <c r="V49" s="275"/>
      <c r="W49" s="437"/>
      <c r="X49" s="339"/>
      <c r="Y49" s="339"/>
      <c r="Z49" s="339"/>
      <c r="AA49" s="339">
        <v>0</v>
      </c>
      <c r="AB49" s="339">
        <v>0</v>
      </c>
      <c r="AC49" s="2232">
        <f>+SUMIFS('Capex_FO input'!Q$42:Q$1014,'Capex_FO input'!$E$42:$E$1014,Capex_FO_AC!$C$46,'Capex_FO input'!$G$42:$G$1014,Capex_FO_AC!$D49)</f>
        <v>2.61</v>
      </c>
      <c r="AD49" s="1652">
        <f>+SUMIFS('Capex_FO input'!R$42:R$1014,'Capex_FO input'!$E$42:$E$1014,Capex_FO_AC!$C$46,'Capex_FO input'!$G$42:$G$1014,Capex_FO_AC!$D49)</f>
        <v>3.46</v>
      </c>
      <c r="AE49" s="1652">
        <f>+SUMIFS('Capex_FO input'!S$42:S$1014,'Capex_FO input'!$E$42:$E$1014,Capex_FO_AC!$C$46,'Capex_FO input'!$G$42:$G$1014,Capex_FO_AC!$D49)</f>
        <v>1.61</v>
      </c>
      <c r="AF49" s="1652">
        <f>+SUMIFS('Capex_FO input'!T$42:T$1014,'Capex_FO input'!$E$42:$E$1014,Capex_FO_AC!$C$46,'Capex_FO input'!$G$42:$G$1014,Capex_FO_AC!$D49)</f>
        <v>4.0599999999999996</v>
      </c>
      <c r="AG49" s="1654">
        <f>+SUMIFS('Capex_FO input'!U$42:U$1014,'Capex_FO input'!$E$42:$E$1014,Capex_FO_AC!$C$46,'Capex_FO input'!$G$42:$G$1014,Capex_FO_AC!$D49)</f>
        <v>2.2599999999999998</v>
      </c>
      <c r="AH49" s="1652">
        <f>+SUMIFS('Capex_FO input'!V$42:V$1014,'Capex_FO input'!$E$42:$E$1014,Capex_FO_AC!$C$46,'Capex_FO input'!$G$42:$G$1014,Capex_FO_AC!$D49)</f>
        <v>4.43</v>
      </c>
      <c r="AI49" s="1652">
        <f>+SUMIFS('Capex_FO input'!W$42:W$1014,'Capex_FO input'!$E$42:$E$1014,Capex_FO_AC!$C$46,'Capex_FO input'!$G$42:$G$1014,Capex_FO_AC!$D49)</f>
        <v>2.63</v>
      </c>
      <c r="AJ49" s="1652">
        <f>+SUMIFS('Capex_FO input'!X$42:X$1014,'Capex_FO input'!$E$42:$E$1014,Capex_FO_AC!$C$46,'Capex_FO input'!$G$42:$G$1014,Capex_FO_AC!$D49)</f>
        <v>2.63</v>
      </c>
      <c r="AK49" s="1652">
        <f>+SUMIFS('Capex_FO input'!Y$42:Y$1014,'Capex_FO input'!$E$42:$E$1014,Capex_FO_AC!$C$46,'Capex_FO input'!$G$42:$G$1014,Capex_FO_AC!$D49)</f>
        <v>2.63</v>
      </c>
      <c r="AL49" s="1654">
        <f>+SUMIFS('Capex_FO input'!Z$42:Z$1014,'Capex_FO input'!$E$42:$E$1014,Capex_FO_AC!$C$46,'Capex_FO input'!$G$42:$G$1014,Capex_FO_AC!$D49)</f>
        <v>2.63</v>
      </c>
      <c r="AO49" s="807"/>
      <c r="AP49" s="807"/>
      <c r="AQ49" s="807"/>
      <c r="AR49" s="807"/>
      <c r="AS49" s="807"/>
      <c r="AT49" s="807"/>
      <c r="AU49" s="807"/>
      <c r="AV49" s="807"/>
      <c r="AW49" s="807"/>
      <c r="AX49" s="807"/>
      <c r="AY49" s="807"/>
      <c r="AZ49" s="807"/>
      <c r="BA49" s="807"/>
      <c r="BB49" s="807"/>
      <c r="BC49" s="807"/>
    </row>
    <row r="50" spans="2:55" x14ac:dyDescent="0.3">
      <c r="B50" s="126"/>
      <c r="C50" s="126"/>
      <c r="D50" s="303" t="str">
        <f>+D43</f>
        <v>Corporate</v>
      </c>
      <c r="E50" s="126"/>
      <c r="F50" s="126"/>
      <c r="G50" s="126"/>
      <c r="H50" s="126"/>
      <c r="I50" s="126"/>
      <c r="J50" s="426"/>
      <c r="K50" s="309"/>
      <c r="L50" s="310"/>
      <c r="M50" s="311"/>
      <c r="N50" s="309"/>
      <c r="O50" s="310"/>
      <c r="P50" s="310"/>
      <c r="Q50" s="310"/>
      <c r="R50" s="311"/>
      <c r="S50" s="309"/>
      <c r="T50" s="310"/>
      <c r="U50" s="310"/>
      <c r="V50" s="310"/>
      <c r="W50" s="438"/>
      <c r="X50" s="342"/>
      <c r="Y50" s="342">
        <v>0.70164455999097819</v>
      </c>
      <c r="Z50" s="342">
        <v>0.29295870499928162</v>
      </c>
      <c r="AA50" s="342">
        <v>0.31053622729923852</v>
      </c>
      <c r="AB50" s="342">
        <v>0.32916840093719285</v>
      </c>
      <c r="AC50" s="2233">
        <f>+SUMIFS('Capex_FO input'!Q$42:Q$1014,'Capex_FO input'!$E$42:$E$1014,Capex_FO_AC!$C$46,'Capex_FO input'!$G$42:$G$1014,Capex_FO_AC!$D50)</f>
        <v>0</v>
      </c>
      <c r="AD50" s="1653">
        <f>+SUMIFS('Capex_FO input'!R$42:R$1014,'Capex_FO input'!$E$42:$E$1014,Capex_FO_AC!$C$46,'Capex_FO input'!$G$42:$G$1014,Capex_FO_AC!$D50)</f>
        <v>0</v>
      </c>
      <c r="AE50" s="1653">
        <f>+SUMIFS('Capex_FO input'!S$42:S$1014,'Capex_FO input'!$E$42:$E$1014,Capex_FO_AC!$C$46,'Capex_FO input'!$G$42:$G$1014,Capex_FO_AC!$D50)</f>
        <v>0</v>
      </c>
      <c r="AF50" s="1653">
        <f>+SUMIFS('Capex_FO input'!T$42:T$1014,'Capex_FO input'!$E$42:$E$1014,Capex_FO_AC!$C$46,'Capex_FO input'!$G$42:$G$1014,Capex_FO_AC!$D50)</f>
        <v>0</v>
      </c>
      <c r="AG50" s="1655">
        <f>+SUMIFS('Capex_FO input'!U$42:U$1014,'Capex_FO input'!$E$42:$E$1014,Capex_FO_AC!$C$46,'Capex_FO input'!$G$42:$G$1014,Capex_FO_AC!$D50)</f>
        <v>0</v>
      </c>
      <c r="AH50" s="1653">
        <f>+SUMIFS('Capex_FO input'!V$42:V$1014,'Capex_FO input'!$E$42:$E$1014,Capex_FO_AC!$C$46,'Capex_FO input'!$G$42:$G$1014,Capex_FO_AC!$D50)</f>
        <v>0</v>
      </c>
      <c r="AI50" s="1653">
        <f>+SUMIFS('Capex_FO input'!W$42:W$1014,'Capex_FO input'!$E$42:$E$1014,Capex_FO_AC!$C$46,'Capex_FO input'!$G$42:$G$1014,Capex_FO_AC!$D50)</f>
        <v>0</v>
      </c>
      <c r="AJ50" s="1653">
        <f>+SUMIFS('Capex_FO input'!X$42:X$1014,'Capex_FO input'!$E$42:$E$1014,Capex_FO_AC!$C$46,'Capex_FO input'!$G$42:$G$1014,Capex_FO_AC!$D50)</f>
        <v>0</v>
      </c>
      <c r="AK50" s="1653">
        <f>+SUMIFS('Capex_FO input'!Y$42:Y$1014,'Capex_FO input'!$E$42:$E$1014,Capex_FO_AC!$C$46,'Capex_FO input'!$G$42:$G$1014,Capex_FO_AC!$D50)</f>
        <v>0</v>
      </c>
      <c r="AL50" s="1655">
        <f>+SUMIFS('Capex_FO input'!Z$42:Z$1014,'Capex_FO input'!$E$42:$E$1014,Capex_FO_AC!$C$46,'Capex_FO input'!$G$42:$G$1014,Capex_FO_AC!$D50)</f>
        <v>0</v>
      </c>
      <c r="AO50" s="807"/>
      <c r="AP50" s="807"/>
      <c r="AQ50" s="807"/>
      <c r="AR50" s="807"/>
      <c r="AS50" s="807"/>
      <c r="AT50" s="807"/>
      <c r="AU50" s="807"/>
      <c r="AV50" s="807"/>
      <c r="AW50" s="807"/>
      <c r="AX50" s="807"/>
      <c r="AY50" s="807"/>
      <c r="AZ50" s="807"/>
      <c r="BA50" s="807"/>
      <c r="BB50" s="807"/>
      <c r="BC50" s="807"/>
    </row>
    <row r="51" spans="2:55" x14ac:dyDescent="0.3">
      <c r="B51" s="126"/>
      <c r="C51" s="300" t="str">
        <f>+CONCATENATE("Total ",C46)</f>
        <v>Total Recycled Water</v>
      </c>
      <c r="D51" s="126"/>
      <c r="E51" s="126"/>
      <c r="F51" s="126"/>
      <c r="G51" s="126"/>
      <c r="H51" s="126"/>
      <c r="I51" s="126"/>
      <c r="J51" s="1527"/>
      <c r="K51" s="1527"/>
      <c r="L51" s="1527"/>
      <c r="M51" s="1527"/>
      <c r="N51" s="1527"/>
      <c r="O51" s="1527"/>
      <c r="P51" s="1527"/>
      <c r="Q51" s="1527"/>
      <c r="R51" s="1527"/>
      <c r="S51" s="1527"/>
      <c r="T51" s="1527"/>
      <c r="U51" s="1527"/>
      <c r="V51" s="1527"/>
      <c r="W51" s="297">
        <f t="shared" ref="W51:AG51" si="31">+SUM(W47:W50)</f>
        <v>0</v>
      </c>
      <c r="X51" s="2024">
        <f t="shared" si="31"/>
        <v>0</v>
      </c>
      <c r="Y51" s="2024">
        <f t="shared" si="31"/>
        <v>2.0279969050216531</v>
      </c>
      <c r="Z51" s="2024">
        <f t="shared" si="31"/>
        <v>1.5235975377094018</v>
      </c>
      <c r="AA51" s="2024">
        <f t="shared" si="31"/>
        <v>1.6150133899719659</v>
      </c>
      <c r="AB51" s="2024">
        <f t="shared" si="31"/>
        <v>1.7119141933702839</v>
      </c>
      <c r="AC51" s="297">
        <f t="shared" si="31"/>
        <v>2.61</v>
      </c>
      <c r="AD51" s="297">
        <f t="shared" si="31"/>
        <v>3.46</v>
      </c>
      <c r="AE51" s="297">
        <f t="shared" si="31"/>
        <v>1.61</v>
      </c>
      <c r="AF51" s="297">
        <f t="shared" si="31"/>
        <v>4.0599999999999996</v>
      </c>
      <c r="AG51" s="297">
        <f t="shared" si="31"/>
        <v>2.2599999999999998</v>
      </c>
      <c r="AH51" s="297">
        <f>+SUM(AH47:AH50)</f>
        <v>4.43</v>
      </c>
      <c r="AI51" s="297">
        <f>+SUM(AI47:AI50)</f>
        <v>2.63</v>
      </c>
      <c r="AJ51" s="297">
        <f>+SUM(AJ47:AJ50)</f>
        <v>2.63</v>
      </c>
      <c r="AK51" s="297">
        <f>+SUM(AK47:AK50)</f>
        <v>2.63</v>
      </c>
      <c r="AL51" s="297">
        <f>+SUM(AL47:AL50)</f>
        <v>2.63</v>
      </c>
      <c r="AO51" s="807"/>
      <c r="AP51" s="807"/>
      <c r="AQ51" s="807"/>
      <c r="AR51" s="807"/>
      <c r="AS51" s="807"/>
      <c r="AT51" s="807"/>
      <c r="AU51" s="807"/>
      <c r="AV51" s="807"/>
      <c r="AW51" s="807"/>
      <c r="AX51" s="807"/>
      <c r="AY51" s="807"/>
      <c r="AZ51" s="807"/>
      <c r="BA51" s="807"/>
      <c r="BB51" s="807"/>
      <c r="BC51" s="807"/>
    </row>
    <row r="52" spans="2:55" x14ac:dyDescent="0.3">
      <c r="B52" s="126"/>
      <c r="C52" s="312"/>
      <c r="D52" s="126"/>
      <c r="E52" s="126"/>
      <c r="F52" s="126"/>
      <c r="G52" s="126"/>
      <c r="H52" s="126"/>
      <c r="I52" s="126"/>
      <c r="J52" s="275"/>
      <c r="K52" s="275"/>
      <c r="L52" s="275"/>
      <c r="M52" s="275"/>
      <c r="N52" s="275"/>
      <c r="O52" s="275"/>
      <c r="P52" s="275"/>
      <c r="Q52" s="275"/>
      <c r="R52" s="275"/>
      <c r="S52" s="275"/>
      <c r="T52" s="275"/>
      <c r="U52" s="275"/>
      <c r="V52" s="275"/>
      <c r="W52" s="275"/>
      <c r="X52" s="2024"/>
      <c r="Y52" s="2024"/>
      <c r="Z52" s="2024"/>
      <c r="AA52" s="2024"/>
      <c r="AB52" s="2024"/>
      <c r="AC52" s="297"/>
      <c r="AD52" s="297"/>
      <c r="AE52" s="297"/>
      <c r="AF52" s="297"/>
      <c r="AG52" s="297"/>
      <c r="AH52" s="297"/>
      <c r="AI52" s="297"/>
      <c r="AJ52" s="297"/>
      <c r="AK52" s="297"/>
      <c r="AL52" s="297"/>
      <c r="AO52" s="807"/>
      <c r="AP52" s="807"/>
      <c r="AQ52" s="807"/>
      <c r="AR52" s="807"/>
      <c r="AS52" s="807"/>
      <c r="AT52" s="807"/>
      <c r="AU52" s="807"/>
      <c r="AV52" s="807"/>
      <c r="AW52" s="807"/>
      <c r="AX52" s="807"/>
      <c r="AY52" s="807"/>
      <c r="AZ52" s="807"/>
      <c r="BA52" s="807"/>
      <c r="BB52" s="807"/>
      <c r="BC52" s="807"/>
    </row>
    <row r="53" spans="2:55" x14ac:dyDescent="0.3">
      <c r="B53" s="126"/>
      <c r="C53" s="300" t="str">
        <f>E15</f>
        <v>Rural Water</v>
      </c>
      <c r="D53" s="126"/>
      <c r="E53" s="126"/>
      <c r="F53" s="126"/>
      <c r="G53" s="126"/>
      <c r="H53" s="126"/>
      <c r="I53" s="126"/>
      <c r="J53" s="275"/>
      <c r="K53" s="275"/>
      <c r="L53" s="275"/>
      <c r="M53" s="275"/>
      <c r="N53" s="275"/>
      <c r="O53" s="275"/>
      <c r="P53" s="275"/>
      <c r="Q53" s="275"/>
      <c r="R53" s="275"/>
      <c r="S53" s="275"/>
      <c r="T53" s="275"/>
      <c r="U53" s="275"/>
      <c r="V53" s="275"/>
      <c r="W53" s="275"/>
      <c r="X53" s="2024"/>
      <c r="Y53" s="2024"/>
      <c r="Z53" s="2024"/>
      <c r="AA53" s="2024"/>
      <c r="AB53" s="2024"/>
      <c r="AC53" s="297"/>
      <c r="AD53" s="297"/>
      <c r="AE53" s="297"/>
      <c r="AF53" s="297"/>
      <c r="AG53" s="297"/>
      <c r="AH53" s="297"/>
      <c r="AI53" s="297"/>
      <c r="AJ53" s="297"/>
      <c r="AK53" s="297"/>
      <c r="AL53" s="297"/>
      <c r="AO53" s="807"/>
      <c r="AP53" s="807"/>
      <c r="AQ53" s="807"/>
      <c r="AR53" s="807"/>
      <c r="AS53" s="807"/>
      <c r="AT53" s="807"/>
      <c r="AU53" s="807"/>
      <c r="AV53" s="807"/>
      <c r="AW53" s="807"/>
      <c r="AX53" s="807"/>
      <c r="AY53" s="807"/>
      <c r="AZ53" s="807"/>
      <c r="BA53" s="807"/>
      <c r="BB53" s="807"/>
      <c r="BC53" s="807"/>
    </row>
    <row r="54" spans="2:55" x14ac:dyDescent="0.3">
      <c r="B54" s="126"/>
      <c r="C54" s="126"/>
      <c r="D54" s="303" t="str">
        <f>+D47</f>
        <v>Headworks</v>
      </c>
      <c r="E54" s="126"/>
      <c r="F54" s="126"/>
      <c r="G54" s="126"/>
      <c r="H54" s="126"/>
      <c r="I54" s="126"/>
      <c r="J54" s="424"/>
      <c r="K54" s="304"/>
      <c r="L54" s="305"/>
      <c r="M54" s="306"/>
      <c r="N54" s="304"/>
      <c r="O54" s="305"/>
      <c r="P54" s="305"/>
      <c r="Q54" s="305"/>
      <c r="R54" s="306"/>
      <c r="S54" s="304"/>
      <c r="T54" s="305"/>
      <c r="U54" s="305"/>
      <c r="V54" s="305"/>
      <c r="W54" s="436"/>
      <c r="X54" s="336"/>
      <c r="Y54" s="336"/>
      <c r="Z54" s="336"/>
      <c r="AA54" s="336"/>
      <c r="AB54" s="336"/>
      <c r="AC54" s="2231">
        <f>+SUMIFS('Capex_FO input'!Q$42:Q$1014,'Capex_FO input'!$E$42:$E$1014,Capex_FO_AC!$C$53,'Capex_FO input'!$G$42:$G$1014,Capex_FO_AC!$D$54)</f>
        <v>0</v>
      </c>
      <c r="AD54" s="1528">
        <f>+SUMIFS('Capex_FO input'!R$42:R$1014,'Capex_FO input'!$E$42:$E$1014,Capex_FO_AC!$C$53,'Capex_FO input'!$G$42:$G$1014,Capex_FO_AC!$D$54)</f>
        <v>0</v>
      </c>
      <c r="AE54" s="1528">
        <f>+SUMIFS('Capex_FO input'!S$42:S$1014,'Capex_FO input'!$E$42:$E$1014,Capex_FO_AC!$C$53,'Capex_FO input'!$G$42:$G$1014,Capex_FO_AC!$D$54)</f>
        <v>0</v>
      </c>
      <c r="AF54" s="1528">
        <f>+SUMIFS('Capex_FO input'!T$42:T$1014,'Capex_FO input'!$E$42:$E$1014,Capex_FO_AC!$C$53,'Capex_FO input'!$G$42:$G$1014,Capex_FO_AC!$D$54)</f>
        <v>0</v>
      </c>
      <c r="AG54" s="1651">
        <f>+SUMIFS('Capex_FO input'!U$42:U$1014,'Capex_FO input'!$E$42:$E$1014,Capex_FO_AC!$C$53,'Capex_FO input'!$G$42:$G$1014,Capex_FO_AC!$D$54)</f>
        <v>0</v>
      </c>
      <c r="AH54" s="1528">
        <f>+SUMIFS('Capex_FO input'!V$42:V$1014,'Capex_FO input'!$E$42:$E$1014,Capex_FO_AC!$C$53,'Capex_FO input'!$G$42:$G$1014,Capex_FO_AC!$D$54)</f>
        <v>0</v>
      </c>
      <c r="AI54" s="1528">
        <f>+SUMIFS('Capex_FO input'!W$42:W$1014,'Capex_FO input'!$E$42:$E$1014,Capex_FO_AC!$C$53,'Capex_FO input'!$G$42:$G$1014,Capex_FO_AC!$D$54)</f>
        <v>0</v>
      </c>
      <c r="AJ54" s="1528">
        <f>+SUMIFS('Capex_FO input'!X$42:X$1014,'Capex_FO input'!$E$42:$E$1014,Capex_FO_AC!$C$53,'Capex_FO input'!$G$42:$G$1014,Capex_FO_AC!$D$54)</f>
        <v>0</v>
      </c>
      <c r="AK54" s="1528">
        <f>+SUMIFS('Capex_FO input'!Y$42:Y$1014,'Capex_FO input'!$E$42:$E$1014,Capex_FO_AC!$C$53,'Capex_FO input'!$G$42:$G$1014,Capex_FO_AC!$D$54)</f>
        <v>0</v>
      </c>
      <c r="AL54" s="1651">
        <f>+SUMIFS('Capex_FO input'!Z$42:Z$1014,'Capex_FO input'!$E$42:$E$1014,Capex_FO_AC!$C$53,'Capex_FO input'!$G$42:$G$1014,Capex_FO_AC!$D$54)</f>
        <v>0</v>
      </c>
      <c r="AO54" s="807"/>
      <c r="AP54" s="807"/>
      <c r="AQ54" s="807"/>
      <c r="AR54" s="807"/>
      <c r="AS54" s="807"/>
      <c r="AT54" s="807"/>
      <c r="AU54" s="807"/>
      <c r="AV54" s="807"/>
      <c r="AW54" s="807"/>
      <c r="AX54" s="807"/>
      <c r="AY54" s="807"/>
      <c r="AZ54" s="807"/>
      <c r="BA54" s="807"/>
      <c r="BB54" s="807"/>
      <c r="BC54" s="807"/>
    </row>
    <row r="55" spans="2:55" x14ac:dyDescent="0.3">
      <c r="B55" s="126"/>
      <c r="C55" s="126"/>
      <c r="D55" s="303" t="str">
        <f>+D48</f>
        <v>Pipelines/network</v>
      </c>
      <c r="E55" s="126"/>
      <c r="F55" s="126"/>
      <c r="G55" s="126"/>
      <c r="H55" s="126"/>
      <c r="I55" s="126"/>
      <c r="J55" s="425"/>
      <c r="K55" s="307"/>
      <c r="L55" s="275"/>
      <c r="M55" s="308"/>
      <c r="N55" s="307"/>
      <c r="O55" s="275"/>
      <c r="P55" s="275"/>
      <c r="Q55" s="275"/>
      <c r="R55" s="308"/>
      <c r="S55" s="307"/>
      <c r="T55" s="275"/>
      <c r="U55" s="275"/>
      <c r="V55" s="275"/>
      <c r="W55" s="437"/>
      <c r="X55" s="339"/>
      <c r="Y55" s="339"/>
      <c r="Z55" s="339"/>
      <c r="AA55" s="339"/>
      <c r="AB55" s="339"/>
      <c r="AC55" s="2232">
        <f>+SUMIFS('Capex_FO input'!Q$42:Q$1014,'Capex_FO input'!$E$42:$E$1014,Capex_FO_AC!$C$53,'Capex_FO input'!$G$42:$G$1014,Capex_FO_AC!$D$54)</f>
        <v>0</v>
      </c>
      <c r="AD55" s="1652">
        <f>+SUMIFS('Capex_FO input'!R$42:R$1014,'Capex_FO input'!$E$42:$E$1014,Capex_FO_AC!$C$53,'Capex_FO input'!$G$42:$G$1014,Capex_FO_AC!$D$54)</f>
        <v>0</v>
      </c>
      <c r="AE55" s="1652">
        <f>+SUMIFS('Capex_FO input'!S$42:S$1014,'Capex_FO input'!$E$42:$E$1014,Capex_FO_AC!$C$53,'Capex_FO input'!$G$42:$G$1014,Capex_FO_AC!$D$54)</f>
        <v>0</v>
      </c>
      <c r="AF55" s="1652">
        <f>+SUMIFS('Capex_FO input'!T$42:T$1014,'Capex_FO input'!$E$42:$E$1014,Capex_FO_AC!$C$53,'Capex_FO input'!$G$42:$G$1014,Capex_FO_AC!$D$54)</f>
        <v>0</v>
      </c>
      <c r="AG55" s="1654">
        <f>+SUMIFS('Capex_FO input'!U$42:U$1014,'Capex_FO input'!$E$42:$E$1014,Capex_FO_AC!$C$53,'Capex_FO input'!$G$42:$G$1014,Capex_FO_AC!$D$54)</f>
        <v>0</v>
      </c>
      <c r="AH55" s="1652">
        <f>+SUMIFS('Capex_FO input'!V$42:V$1014,'Capex_FO input'!$E$42:$E$1014,Capex_FO_AC!$C$53,'Capex_FO input'!$G$42:$G$1014,Capex_FO_AC!$D$54)</f>
        <v>0</v>
      </c>
      <c r="AI55" s="1652">
        <f>+SUMIFS('Capex_FO input'!W$42:W$1014,'Capex_FO input'!$E$42:$E$1014,Capex_FO_AC!$C$53,'Capex_FO input'!$G$42:$G$1014,Capex_FO_AC!$D$54)</f>
        <v>0</v>
      </c>
      <c r="AJ55" s="1652">
        <f>+SUMIFS('Capex_FO input'!X$42:X$1014,'Capex_FO input'!$E$42:$E$1014,Capex_FO_AC!$C$53,'Capex_FO input'!$G$42:$G$1014,Capex_FO_AC!$D$54)</f>
        <v>0</v>
      </c>
      <c r="AK55" s="1652">
        <f>+SUMIFS('Capex_FO input'!Y$42:Y$1014,'Capex_FO input'!$E$42:$E$1014,Capex_FO_AC!$C$53,'Capex_FO input'!$G$42:$G$1014,Capex_FO_AC!$D$54)</f>
        <v>0</v>
      </c>
      <c r="AL55" s="1654">
        <f>+SUMIFS('Capex_FO input'!Z$42:Z$1014,'Capex_FO input'!$E$42:$E$1014,Capex_FO_AC!$C$53,'Capex_FO input'!$G$42:$G$1014,Capex_FO_AC!$D$54)</f>
        <v>0</v>
      </c>
      <c r="AO55" s="807"/>
      <c r="AP55" s="807"/>
      <c r="AQ55" s="807"/>
      <c r="AR55" s="807"/>
      <c r="AS55" s="807"/>
      <c r="AT55" s="807"/>
      <c r="AU55" s="807"/>
      <c r="AV55" s="807"/>
      <c r="AW55" s="807"/>
      <c r="AX55" s="807"/>
      <c r="AY55" s="807"/>
      <c r="AZ55" s="807"/>
      <c r="BA55" s="807"/>
      <c r="BB55" s="807"/>
      <c r="BC55" s="807"/>
    </row>
    <row r="56" spans="2:55" x14ac:dyDescent="0.3">
      <c r="B56" s="126"/>
      <c r="C56" s="126"/>
      <c r="D56" s="303" t="str">
        <f>+D49</f>
        <v>Treatment</v>
      </c>
      <c r="E56" s="126"/>
      <c r="F56" s="126"/>
      <c r="G56" s="126"/>
      <c r="H56" s="126"/>
      <c r="I56" s="126"/>
      <c r="J56" s="425"/>
      <c r="K56" s="307"/>
      <c r="L56" s="275"/>
      <c r="M56" s="308"/>
      <c r="N56" s="307"/>
      <c r="O56" s="275"/>
      <c r="P56" s="275"/>
      <c r="Q56" s="275"/>
      <c r="R56" s="308"/>
      <c r="S56" s="307"/>
      <c r="T56" s="275"/>
      <c r="U56" s="275"/>
      <c r="V56" s="275"/>
      <c r="W56" s="437"/>
      <c r="X56" s="339"/>
      <c r="Y56" s="339"/>
      <c r="Z56" s="339"/>
      <c r="AA56" s="339"/>
      <c r="AB56" s="339"/>
      <c r="AC56" s="2232">
        <f>+SUMIFS('Capex_FO input'!Q$42:Q$1014,'Capex_FO input'!$E$42:$E$1014,Capex_FO_AC!$C$53,'Capex_FO input'!$G$42:$G$1014,Capex_FO_AC!$D$54)</f>
        <v>0</v>
      </c>
      <c r="AD56" s="1652">
        <f>+SUMIFS('Capex_FO input'!R$42:R$1014,'Capex_FO input'!$E$42:$E$1014,Capex_FO_AC!$C$53,'Capex_FO input'!$G$42:$G$1014,Capex_FO_AC!$D$54)</f>
        <v>0</v>
      </c>
      <c r="AE56" s="1652">
        <f>+SUMIFS('Capex_FO input'!S$42:S$1014,'Capex_FO input'!$E$42:$E$1014,Capex_FO_AC!$C$53,'Capex_FO input'!$G$42:$G$1014,Capex_FO_AC!$D$54)</f>
        <v>0</v>
      </c>
      <c r="AF56" s="1652">
        <f>+SUMIFS('Capex_FO input'!T$42:T$1014,'Capex_FO input'!$E$42:$E$1014,Capex_FO_AC!$C$53,'Capex_FO input'!$G$42:$G$1014,Capex_FO_AC!$D$54)</f>
        <v>0</v>
      </c>
      <c r="AG56" s="1654">
        <f>+SUMIFS('Capex_FO input'!U$42:U$1014,'Capex_FO input'!$E$42:$E$1014,Capex_FO_AC!$C$53,'Capex_FO input'!$G$42:$G$1014,Capex_FO_AC!$D$54)</f>
        <v>0</v>
      </c>
      <c r="AH56" s="1652">
        <f>+SUMIFS('Capex_FO input'!V$42:V$1014,'Capex_FO input'!$E$42:$E$1014,Capex_FO_AC!$C$53,'Capex_FO input'!$G$42:$G$1014,Capex_FO_AC!$D$54)</f>
        <v>0</v>
      </c>
      <c r="AI56" s="1652">
        <f>+SUMIFS('Capex_FO input'!W$42:W$1014,'Capex_FO input'!$E$42:$E$1014,Capex_FO_AC!$C$53,'Capex_FO input'!$G$42:$G$1014,Capex_FO_AC!$D$54)</f>
        <v>0</v>
      </c>
      <c r="AJ56" s="1652">
        <f>+SUMIFS('Capex_FO input'!X$42:X$1014,'Capex_FO input'!$E$42:$E$1014,Capex_FO_AC!$C$53,'Capex_FO input'!$G$42:$G$1014,Capex_FO_AC!$D$54)</f>
        <v>0</v>
      </c>
      <c r="AK56" s="1652">
        <f>+SUMIFS('Capex_FO input'!Y$42:Y$1014,'Capex_FO input'!$E$42:$E$1014,Capex_FO_AC!$C$53,'Capex_FO input'!$G$42:$G$1014,Capex_FO_AC!$D$54)</f>
        <v>0</v>
      </c>
      <c r="AL56" s="1654">
        <f>+SUMIFS('Capex_FO input'!Z$42:Z$1014,'Capex_FO input'!$E$42:$E$1014,Capex_FO_AC!$C$53,'Capex_FO input'!$G$42:$G$1014,Capex_FO_AC!$D$54)</f>
        <v>0</v>
      </c>
      <c r="AO56" s="807"/>
      <c r="AP56" s="807"/>
      <c r="AQ56" s="807"/>
      <c r="AR56" s="807"/>
      <c r="AS56" s="807"/>
      <c r="AT56" s="807"/>
      <c r="AU56" s="807"/>
      <c r="AV56" s="807"/>
      <c r="AW56" s="807"/>
      <c r="AX56" s="807"/>
      <c r="AY56" s="807"/>
      <c r="AZ56" s="807"/>
      <c r="BA56" s="807"/>
      <c r="BB56" s="807"/>
      <c r="BC56" s="807"/>
    </row>
    <row r="57" spans="2:55" x14ac:dyDescent="0.3">
      <c r="B57" s="126"/>
      <c r="C57" s="126"/>
      <c r="D57" s="303" t="str">
        <f>+D50</f>
        <v>Corporate</v>
      </c>
      <c r="E57" s="126"/>
      <c r="F57" s="126"/>
      <c r="G57" s="126"/>
      <c r="H57" s="126"/>
      <c r="I57" s="126"/>
      <c r="J57" s="426"/>
      <c r="K57" s="309"/>
      <c r="L57" s="310"/>
      <c r="M57" s="311"/>
      <c r="N57" s="309"/>
      <c r="O57" s="310"/>
      <c r="P57" s="310"/>
      <c r="Q57" s="310"/>
      <c r="R57" s="311"/>
      <c r="S57" s="309"/>
      <c r="T57" s="310"/>
      <c r="U57" s="310"/>
      <c r="V57" s="310"/>
      <c r="W57" s="438"/>
      <c r="X57" s="342"/>
      <c r="Y57" s="342"/>
      <c r="Z57" s="342"/>
      <c r="AA57" s="342"/>
      <c r="AB57" s="342"/>
      <c r="AC57" s="2233">
        <f>+SUMIFS('Capex_FO input'!Q$42:Q$1014,'Capex_FO input'!$E$42:$E$1014,Capex_FO_AC!$C$53,'Capex_FO input'!$G$42:$G$1014,Capex_FO_AC!$D$54)</f>
        <v>0</v>
      </c>
      <c r="AD57" s="1653">
        <f>+SUMIFS('Capex_FO input'!R$42:R$1014,'Capex_FO input'!$E$42:$E$1014,Capex_FO_AC!$C$53,'Capex_FO input'!$G$42:$G$1014,Capex_FO_AC!$D$54)</f>
        <v>0</v>
      </c>
      <c r="AE57" s="1653">
        <f>+SUMIFS('Capex_FO input'!S$42:S$1014,'Capex_FO input'!$E$42:$E$1014,Capex_FO_AC!$C$53,'Capex_FO input'!$G$42:$G$1014,Capex_FO_AC!$D$54)</f>
        <v>0</v>
      </c>
      <c r="AF57" s="1653">
        <f>+SUMIFS('Capex_FO input'!T$42:T$1014,'Capex_FO input'!$E$42:$E$1014,Capex_FO_AC!$C$53,'Capex_FO input'!$G$42:$G$1014,Capex_FO_AC!$D$54)</f>
        <v>0</v>
      </c>
      <c r="AG57" s="1655">
        <f>+SUMIFS('Capex_FO input'!U$42:U$1014,'Capex_FO input'!$E$42:$E$1014,Capex_FO_AC!$C$53,'Capex_FO input'!$G$42:$G$1014,Capex_FO_AC!$D$54)</f>
        <v>0</v>
      </c>
      <c r="AH57" s="1653">
        <f>+SUMIFS('Capex_FO input'!V$42:V$1014,'Capex_FO input'!$E$42:$E$1014,Capex_FO_AC!$C$53,'Capex_FO input'!$G$42:$G$1014,Capex_FO_AC!$D$54)</f>
        <v>0</v>
      </c>
      <c r="AI57" s="1653">
        <f>+SUMIFS('Capex_FO input'!W$42:W$1014,'Capex_FO input'!$E$42:$E$1014,Capex_FO_AC!$C$53,'Capex_FO input'!$G$42:$G$1014,Capex_FO_AC!$D$54)</f>
        <v>0</v>
      </c>
      <c r="AJ57" s="1653">
        <f>+SUMIFS('Capex_FO input'!X$42:X$1014,'Capex_FO input'!$E$42:$E$1014,Capex_FO_AC!$C$53,'Capex_FO input'!$G$42:$G$1014,Capex_FO_AC!$D$54)</f>
        <v>0</v>
      </c>
      <c r="AK57" s="1653">
        <f>+SUMIFS('Capex_FO input'!Y$42:Y$1014,'Capex_FO input'!$E$42:$E$1014,Capex_FO_AC!$C$53,'Capex_FO input'!$G$42:$G$1014,Capex_FO_AC!$D$54)</f>
        <v>0</v>
      </c>
      <c r="AL57" s="1655">
        <f>+SUMIFS('Capex_FO input'!Z$42:Z$1014,'Capex_FO input'!$E$42:$E$1014,Capex_FO_AC!$C$53,'Capex_FO input'!$G$42:$G$1014,Capex_FO_AC!$D$54)</f>
        <v>0</v>
      </c>
      <c r="AO57" s="807"/>
      <c r="AP57" s="807"/>
      <c r="AQ57" s="807"/>
      <c r="AR57" s="807"/>
      <c r="AS57" s="807"/>
      <c r="AT57" s="807"/>
      <c r="AU57" s="807"/>
      <c r="AV57" s="807"/>
      <c r="AW57" s="807"/>
      <c r="AX57" s="807"/>
      <c r="AY57" s="807"/>
      <c r="AZ57" s="807"/>
      <c r="BA57" s="807"/>
      <c r="BB57" s="807"/>
      <c r="BC57" s="807"/>
    </row>
    <row r="58" spans="2:55" x14ac:dyDescent="0.3">
      <c r="B58" s="126"/>
      <c r="C58" s="300" t="str">
        <f>+CONCATENATE("Total ",C53)</f>
        <v>Total Rural Water</v>
      </c>
      <c r="D58" s="126"/>
      <c r="E58" s="126"/>
      <c r="F58" s="126"/>
      <c r="G58" s="126"/>
      <c r="H58" s="126"/>
      <c r="I58" s="126"/>
      <c r="J58" s="1527"/>
      <c r="K58" s="1527"/>
      <c r="L58" s="1527"/>
      <c r="M58" s="1527"/>
      <c r="N58" s="1527"/>
      <c r="O58" s="1527"/>
      <c r="P58" s="1527"/>
      <c r="Q58" s="1527"/>
      <c r="R58" s="1527"/>
      <c r="S58" s="1527"/>
      <c r="T58" s="1527"/>
      <c r="U58" s="1527"/>
      <c r="V58" s="1527"/>
      <c r="W58" s="1527">
        <f t="shared" ref="W58" si="32">+SUM(W54:W57)</f>
        <v>0</v>
      </c>
      <c r="X58" s="2132">
        <f t="shared" ref="X58:AG58" si="33">+SUM(X54:X57)</f>
        <v>0</v>
      </c>
      <c r="Y58" s="2024">
        <f t="shared" si="33"/>
        <v>0</v>
      </c>
      <c r="Z58" s="2024">
        <f t="shared" si="33"/>
        <v>0</v>
      </c>
      <c r="AA58" s="2024">
        <f t="shared" si="33"/>
        <v>0</v>
      </c>
      <c r="AB58" s="2024">
        <f t="shared" si="33"/>
        <v>0</v>
      </c>
      <c r="AC58" s="297">
        <f t="shared" si="33"/>
        <v>0</v>
      </c>
      <c r="AD58" s="297">
        <f t="shared" si="33"/>
        <v>0</v>
      </c>
      <c r="AE58" s="297">
        <f t="shared" si="33"/>
        <v>0</v>
      </c>
      <c r="AF58" s="297">
        <f t="shared" si="33"/>
        <v>0</v>
      </c>
      <c r="AG58" s="297">
        <f t="shared" si="33"/>
        <v>0</v>
      </c>
      <c r="AH58" s="297">
        <f>+SUM(AH54:AH57)</f>
        <v>0</v>
      </c>
      <c r="AI58" s="297">
        <f>+SUM(AI54:AI57)</f>
        <v>0</v>
      </c>
      <c r="AJ58" s="297">
        <f>+SUM(AJ54:AJ57)</f>
        <v>0</v>
      </c>
      <c r="AK58" s="297">
        <f>+SUM(AK54:AK57)</f>
        <v>0</v>
      </c>
      <c r="AL58" s="297">
        <f>+SUM(AL54:AL57)</f>
        <v>0</v>
      </c>
      <c r="AO58" s="807"/>
      <c r="AP58" s="807"/>
      <c r="AQ58" s="807"/>
      <c r="AR58" s="807"/>
      <c r="AS58" s="807"/>
      <c r="AT58" s="807"/>
      <c r="AU58" s="807"/>
      <c r="AV58" s="807"/>
      <c r="AW58" s="807"/>
      <c r="AX58" s="807"/>
      <c r="AY58" s="807"/>
      <c r="AZ58" s="807"/>
      <c r="BA58" s="807"/>
      <c r="BB58" s="807"/>
      <c r="BC58" s="807"/>
    </row>
    <row r="59" spans="2:55" x14ac:dyDescent="0.3">
      <c r="B59" s="126"/>
      <c r="C59" s="312"/>
      <c r="D59" s="126"/>
      <c r="E59" s="126"/>
      <c r="F59" s="126"/>
      <c r="G59" s="126"/>
      <c r="H59" s="126"/>
      <c r="I59" s="126"/>
      <c r="J59" s="275"/>
      <c r="K59" s="275"/>
      <c r="L59" s="275"/>
      <c r="M59" s="275"/>
      <c r="N59" s="275"/>
      <c r="O59" s="275"/>
      <c r="P59" s="275"/>
      <c r="Q59" s="275"/>
      <c r="R59" s="275"/>
      <c r="S59" s="275"/>
      <c r="T59" s="275"/>
      <c r="U59" s="275"/>
      <c r="V59" s="275"/>
      <c r="W59" s="275"/>
      <c r="X59" s="2024"/>
      <c r="Y59" s="2024"/>
      <c r="Z59" s="2024"/>
      <c r="AA59" s="2024"/>
      <c r="AB59" s="2024"/>
      <c r="AC59" s="297"/>
      <c r="AD59" s="297"/>
      <c r="AE59" s="297"/>
      <c r="AF59" s="297"/>
      <c r="AG59" s="297"/>
      <c r="AH59" s="297"/>
      <c r="AI59" s="297"/>
      <c r="AJ59" s="297"/>
      <c r="AK59" s="297"/>
      <c r="AL59" s="297"/>
      <c r="AO59" s="807"/>
      <c r="AP59" s="807"/>
      <c r="AQ59" s="807"/>
      <c r="AR59" s="807"/>
      <c r="AS59" s="807"/>
      <c r="AT59" s="807"/>
      <c r="AU59" s="807"/>
      <c r="AV59" s="807"/>
      <c r="AW59" s="807"/>
      <c r="AX59" s="807"/>
      <c r="AY59" s="807"/>
      <c r="AZ59" s="807"/>
      <c r="BA59" s="807"/>
      <c r="BB59" s="807"/>
      <c r="BC59" s="807"/>
    </row>
    <row r="60" spans="2:55" x14ac:dyDescent="0.3">
      <c r="B60" s="126"/>
      <c r="C60" s="300" t="s">
        <v>354</v>
      </c>
      <c r="D60" s="126"/>
      <c r="E60" s="126"/>
      <c r="F60" s="126"/>
      <c r="G60" s="126"/>
      <c r="H60" s="126"/>
      <c r="I60" s="126"/>
      <c r="J60" s="275"/>
      <c r="K60" s="275"/>
      <c r="L60" s="275"/>
      <c r="M60" s="275"/>
      <c r="N60" s="275"/>
      <c r="O60" s="275"/>
      <c r="P60" s="275"/>
      <c r="Q60" s="275"/>
      <c r="R60" s="275"/>
      <c r="S60" s="275"/>
      <c r="T60" s="275"/>
      <c r="U60" s="275"/>
      <c r="V60" s="275"/>
      <c r="W60" s="275"/>
      <c r="X60" s="2024"/>
      <c r="Y60" s="2024"/>
      <c r="Z60" s="2024"/>
      <c r="AA60" s="2024"/>
      <c r="AB60" s="2024"/>
      <c r="AC60" s="297"/>
      <c r="AD60" s="297"/>
      <c r="AE60" s="297"/>
      <c r="AF60" s="297"/>
      <c r="AG60" s="297"/>
      <c r="AH60" s="297"/>
      <c r="AI60" s="297"/>
      <c r="AJ60" s="297"/>
      <c r="AK60" s="297"/>
      <c r="AL60" s="297"/>
      <c r="AO60" s="807"/>
      <c r="AP60" s="807"/>
      <c r="AQ60" s="807"/>
      <c r="AR60" s="807"/>
      <c r="AS60" s="807"/>
      <c r="AT60" s="807"/>
      <c r="AU60" s="807"/>
      <c r="AV60" s="807"/>
      <c r="AW60" s="807"/>
      <c r="AX60" s="807"/>
      <c r="AY60" s="807"/>
      <c r="AZ60" s="807"/>
      <c r="BA60" s="807"/>
      <c r="BB60" s="807"/>
      <c r="BC60" s="807"/>
    </row>
    <row r="61" spans="2:55" x14ac:dyDescent="0.3">
      <c r="B61" s="126"/>
      <c r="C61" s="126"/>
      <c r="D61" s="303" t="str">
        <f>+D54</f>
        <v>Headworks</v>
      </c>
      <c r="E61" s="126"/>
      <c r="F61" s="126"/>
      <c r="G61" s="126"/>
      <c r="H61" s="126"/>
      <c r="I61" s="126"/>
      <c r="J61" s="424"/>
      <c r="K61" s="304"/>
      <c r="L61" s="305"/>
      <c r="M61" s="306"/>
      <c r="N61" s="304"/>
      <c r="O61" s="305"/>
      <c r="P61" s="305"/>
      <c r="Q61" s="305"/>
      <c r="R61" s="306"/>
      <c r="S61" s="304"/>
      <c r="T61" s="305"/>
      <c r="U61" s="305"/>
      <c r="V61" s="305"/>
      <c r="W61" s="436"/>
      <c r="X61" s="336"/>
      <c r="Y61" s="336"/>
      <c r="Z61" s="336"/>
      <c r="AA61" s="336"/>
      <c r="AB61" s="336"/>
      <c r="AC61" s="2231">
        <f>+SUMIFS('Capex_FO input'!Q$42:Q$1014,'Capex_FO input'!$E$42:$E$1014,Capex_FO_AC!$C$60,'Capex_FO input'!$G$42:$G$1014,Capex_FO_AC!$D61)</f>
        <v>0</v>
      </c>
      <c r="AD61" s="1528">
        <f>+SUMIFS('Capex_FO input'!R$42:R$1014,'Capex_FO input'!$E$42:$E$1014,Capex_FO_AC!$C$60,'Capex_FO input'!$G$42:$G$1014,Capex_FO_AC!$D61)</f>
        <v>0</v>
      </c>
      <c r="AE61" s="1528">
        <f>+SUMIFS('Capex_FO input'!S$42:S$1014,'Capex_FO input'!$E$42:$E$1014,Capex_FO_AC!$C$60,'Capex_FO input'!$G$42:$G$1014,Capex_FO_AC!$D61)</f>
        <v>0</v>
      </c>
      <c r="AF61" s="1528">
        <f>+SUMIFS('Capex_FO input'!T$42:T$1014,'Capex_FO input'!$E$42:$E$1014,Capex_FO_AC!$C$60,'Capex_FO input'!$G$42:$G$1014,Capex_FO_AC!$D61)</f>
        <v>0</v>
      </c>
      <c r="AG61" s="1651">
        <f>+SUMIFS('Capex_FO input'!U$42:U$1014,'Capex_FO input'!$E$42:$E$1014,Capex_FO_AC!$C$60,'Capex_FO input'!$G$42:$G$1014,Capex_FO_AC!$D61)</f>
        <v>0</v>
      </c>
      <c r="AH61" s="1528">
        <f>+SUMIFS('Capex_FO input'!V$42:V$1014,'Capex_FO input'!$E$42:$E$1014,Capex_FO_AC!$C$60,'Capex_FO input'!$G$42:$G$1014,Capex_FO_AC!$D61)</f>
        <v>0</v>
      </c>
      <c r="AI61" s="1528">
        <f>+SUMIFS('Capex_FO input'!W$42:W$1014,'Capex_FO input'!$E$42:$E$1014,Capex_FO_AC!$C$60,'Capex_FO input'!$G$42:$G$1014,Capex_FO_AC!$D61)</f>
        <v>0</v>
      </c>
      <c r="AJ61" s="1528">
        <f>+SUMIFS('Capex_FO input'!X$42:X$1014,'Capex_FO input'!$E$42:$E$1014,Capex_FO_AC!$C$60,'Capex_FO input'!$G$42:$G$1014,Capex_FO_AC!$D61)</f>
        <v>0</v>
      </c>
      <c r="AK61" s="1528">
        <f>+SUMIFS('Capex_FO input'!Y$42:Y$1014,'Capex_FO input'!$E$42:$E$1014,Capex_FO_AC!$C$60,'Capex_FO input'!$G$42:$G$1014,Capex_FO_AC!$D61)</f>
        <v>0</v>
      </c>
      <c r="AL61" s="1651">
        <f>+SUMIFS('Capex_FO input'!Z$42:Z$1014,'Capex_FO input'!$E$42:$E$1014,Capex_FO_AC!$C$60,'Capex_FO input'!$G$42:$G$1014,Capex_FO_AC!$D61)</f>
        <v>0</v>
      </c>
      <c r="AO61" s="807"/>
      <c r="AP61" s="807"/>
      <c r="AQ61" s="807"/>
      <c r="AR61" s="807"/>
      <c r="AS61" s="807"/>
      <c r="AT61" s="807"/>
      <c r="AU61" s="807"/>
      <c r="AV61" s="807"/>
      <c r="AW61" s="807"/>
      <c r="AX61" s="807"/>
      <c r="AY61" s="807"/>
      <c r="AZ61" s="807"/>
      <c r="BA61" s="807"/>
      <c r="BB61" s="807"/>
      <c r="BC61" s="807"/>
    </row>
    <row r="62" spans="2:55" x14ac:dyDescent="0.3">
      <c r="B62" s="126"/>
      <c r="C62" s="126"/>
      <c r="D62" s="303" t="str">
        <f>+D55</f>
        <v>Pipelines/network</v>
      </c>
      <c r="E62" s="126"/>
      <c r="F62" s="126"/>
      <c r="G62" s="126"/>
      <c r="H62" s="126"/>
      <c r="I62" s="126"/>
      <c r="J62" s="425"/>
      <c r="K62" s="307"/>
      <c r="L62" s="275"/>
      <c r="M62" s="308"/>
      <c r="N62" s="307"/>
      <c r="O62" s="275"/>
      <c r="P62" s="275"/>
      <c r="Q62" s="275"/>
      <c r="R62" s="308"/>
      <c r="S62" s="307"/>
      <c r="T62" s="275"/>
      <c r="U62" s="275"/>
      <c r="V62" s="275"/>
      <c r="W62" s="437"/>
      <c r="X62" s="339"/>
      <c r="Y62" s="339"/>
      <c r="Z62" s="339"/>
      <c r="AA62" s="339"/>
      <c r="AB62" s="339"/>
      <c r="AC62" s="2232">
        <f>+SUMIFS('Capex_FO input'!Q$42:Q$1014,'Capex_FO input'!$E$42:$E$1014,Capex_FO_AC!$C$60,'Capex_FO input'!$G$42:$G$1014,Capex_FO_AC!$D62)</f>
        <v>0</v>
      </c>
      <c r="AD62" s="1652">
        <f>+SUMIFS('Capex_FO input'!R$42:R$1014,'Capex_FO input'!$E$42:$E$1014,Capex_FO_AC!$C$60,'Capex_FO input'!$G$42:$G$1014,Capex_FO_AC!$D62)</f>
        <v>0</v>
      </c>
      <c r="AE62" s="1652">
        <f>+SUMIFS('Capex_FO input'!S$42:S$1014,'Capex_FO input'!$E$42:$E$1014,Capex_FO_AC!$C$60,'Capex_FO input'!$G$42:$G$1014,Capex_FO_AC!$D62)</f>
        <v>0</v>
      </c>
      <c r="AF62" s="1652">
        <f>+SUMIFS('Capex_FO input'!T$42:T$1014,'Capex_FO input'!$E$42:$E$1014,Capex_FO_AC!$C$60,'Capex_FO input'!$G$42:$G$1014,Capex_FO_AC!$D62)</f>
        <v>0</v>
      </c>
      <c r="AG62" s="1654">
        <f>+SUMIFS('Capex_FO input'!U$42:U$1014,'Capex_FO input'!$E$42:$E$1014,Capex_FO_AC!$C$60,'Capex_FO input'!$G$42:$G$1014,Capex_FO_AC!$D62)</f>
        <v>0</v>
      </c>
      <c r="AH62" s="1652">
        <f>+SUMIFS('Capex_FO input'!V$42:V$1014,'Capex_FO input'!$E$42:$E$1014,Capex_FO_AC!$C$60,'Capex_FO input'!$G$42:$G$1014,Capex_FO_AC!$D62)</f>
        <v>0</v>
      </c>
      <c r="AI62" s="1652">
        <f>+SUMIFS('Capex_FO input'!W$42:W$1014,'Capex_FO input'!$E$42:$E$1014,Capex_FO_AC!$C$60,'Capex_FO input'!$G$42:$G$1014,Capex_FO_AC!$D62)</f>
        <v>0</v>
      </c>
      <c r="AJ62" s="1652">
        <f>+SUMIFS('Capex_FO input'!X$42:X$1014,'Capex_FO input'!$E$42:$E$1014,Capex_FO_AC!$C$60,'Capex_FO input'!$G$42:$G$1014,Capex_FO_AC!$D62)</f>
        <v>0</v>
      </c>
      <c r="AK62" s="1652">
        <f>+SUMIFS('Capex_FO input'!Y$42:Y$1014,'Capex_FO input'!$E$42:$E$1014,Capex_FO_AC!$C$60,'Capex_FO input'!$G$42:$G$1014,Capex_FO_AC!$D62)</f>
        <v>0</v>
      </c>
      <c r="AL62" s="1654">
        <f>+SUMIFS('Capex_FO input'!Z$42:Z$1014,'Capex_FO input'!$E$42:$E$1014,Capex_FO_AC!$C$60,'Capex_FO input'!$G$42:$G$1014,Capex_FO_AC!$D62)</f>
        <v>0</v>
      </c>
      <c r="AO62" s="807"/>
      <c r="AP62" s="807"/>
      <c r="AQ62" s="807"/>
      <c r="AR62" s="807"/>
      <c r="AS62" s="807"/>
      <c r="AT62" s="807"/>
      <c r="AU62" s="807"/>
      <c r="AV62" s="807"/>
      <c r="AW62" s="807"/>
      <c r="AX62" s="807"/>
      <c r="AY62" s="807"/>
      <c r="AZ62" s="807"/>
      <c r="BA62" s="807"/>
      <c r="BB62" s="807"/>
      <c r="BC62" s="807"/>
    </row>
    <row r="63" spans="2:55" x14ac:dyDescent="0.3">
      <c r="B63" s="126"/>
      <c r="C63" s="126"/>
      <c r="D63" s="303" t="str">
        <f>+D56</f>
        <v>Treatment</v>
      </c>
      <c r="E63" s="126"/>
      <c r="F63" s="126"/>
      <c r="G63" s="126"/>
      <c r="H63" s="126"/>
      <c r="I63" s="126"/>
      <c r="J63" s="425"/>
      <c r="K63" s="307"/>
      <c r="L63" s="275"/>
      <c r="M63" s="308"/>
      <c r="N63" s="307"/>
      <c r="O63" s="275"/>
      <c r="P63" s="275"/>
      <c r="Q63" s="275"/>
      <c r="R63" s="308"/>
      <c r="S63" s="307"/>
      <c r="T63" s="275"/>
      <c r="U63" s="275"/>
      <c r="V63" s="275"/>
      <c r="W63" s="437"/>
      <c r="X63" s="339"/>
      <c r="Y63" s="339"/>
      <c r="Z63" s="339"/>
      <c r="AA63" s="339"/>
      <c r="AB63" s="339"/>
      <c r="AC63" s="2232">
        <f>+SUMIFS('Capex_FO input'!Q$42:Q$1014,'Capex_FO input'!$E$42:$E$1014,Capex_FO_AC!$C$60,'Capex_FO input'!$G$42:$G$1014,Capex_FO_AC!$D63)</f>
        <v>0</v>
      </c>
      <c r="AD63" s="1652">
        <f>+SUMIFS('Capex_FO input'!R$42:R$1014,'Capex_FO input'!$E$42:$E$1014,Capex_FO_AC!$C$60,'Capex_FO input'!$G$42:$G$1014,Capex_FO_AC!$D63)</f>
        <v>0</v>
      </c>
      <c r="AE63" s="1652">
        <f>+SUMIFS('Capex_FO input'!S$42:S$1014,'Capex_FO input'!$E$42:$E$1014,Capex_FO_AC!$C$60,'Capex_FO input'!$G$42:$G$1014,Capex_FO_AC!$D63)</f>
        <v>0</v>
      </c>
      <c r="AF63" s="1652">
        <f>+SUMIFS('Capex_FO input'!T$42:T$1014,'Capex_FO input'!$E$42:$E$1014,Capex_FO_AC!$C$60,'Capex_FO input'!$G$42:$G$1014,Capex_FO_AC!$D63)</f>
        <v>0</v>
      </c>
      <c r="AG63" s="1654">
        <f>+SUMIFS('Capex_FO input'!U$42:U$1014,'Capex_FO input'!$E$42:$E$1014,Capex_FO_AC!$C$60,'Capex_FO input'!$G$42:$G$1014,Capex_FO_AC!$D63)</f>
        <v>0</v>
      </c>
      <c r="AH63" s="1652">
        <f>+SUMIFS('Capex_FO input'!V$42:V$1014,'Capex_FO input'!$E$42:$E$1014,Capex_FO_AC!$C$60,'Capex_FO input'!$G$42:$G$1014,Capex_FO_AC!$D63)</f>
        <v>0</v>
      </c>
      <c r="AI63" s="1652">
        <f>+SUMIFS('Capex_FO input'!W$42:W$1014,'Capex_FO input'!$E$42:$E$1014,Capex_FO_AC!$C$60,'Capex_FO input'!$G$42:$G$1014,Capex_FO_AC!$D63)</f>
        <v>0</v>
      </c>
      <c r="AJ63" s="1652">
        <f>+SUMIFS('Capex_FO input'!X$42:X$1014,'Capex_FO input'!$E$42:$E$1014,Capex_FO_AC!$C$60,'Capex_FO input'!$G$42:$G$1014,Capex_FO_AC!$D63)</f>
        <v>0</v>
      </c>
      <c r="AK63" s="1652">
        <f>+SUMIFS('Capex_FO input'!Y$42:Y$1014,'Capex_FO input'!$E$42:$E$1014,Capex_FO_AC!$C$60,'Capex_FO input'!$G$42:$G$1014,Capex_FO_AC!$D63)</f>
        <v>0</v>
      </c>
      <c r="AL63" s="1654">
        <f>+SUMIFS('Capex_FO input'!Z$42:Z$1014,'Capex_FO input'!$E$42:$E$1014,Capex_FO_AC!$C$60,'Capex_FO input'!$G$42:$G$1014,Capex_FO_AC!$D63)</f>
        <v>0</v>
      </c>
      <c r="AO63" s="807"/>
      <c r="AP63" s="807"/>
      <c r="AQ63" s="807"/>
      <c r="AR63" s="807"/>
      <c r="AS63" s="807"/>
      <c r="AT63" s="807"/>
      <c r="AU63" s="807"/>
      <c r="AV63" s="807"/>
      <c r="AW63" s="807"/>
      <c r="AX63" s="807"/>
      <c r="AY63" s="807"/>
      <c r="AZ63" s="807"/>
      <c r="BA63" s="807"/>
      <c r="BB63" s="807"/>
      <c r="BC63" s="807"/>
    </row>
    <row r="64" spans="2:55" x14ac:dyDescent="0.3">
      <c r="B64" s="126"/>
      <c r="C64" s="126"/>
      <c r="D64" s="303" t="str">
        <f>+D57</f>
        <v>Corporate</v>
      </c>
      <c r="E64" s="126"/>
      <c r="F64" s="126"/>
      <c r="G64" s="126"/>
      <c r="H64" s="126"/>
      <c r="I64" s="126"/>
      <c r="J64" s="426"/>
      <c r="K64" s="309"/>
      <c r="L64" s="310"/>
      <c r="M64" s="311"/>
      <c r="N64" s="309"/>
      <c r="O64" s="310"/>
      <c r="P64" s="310"/>
      <c r="Q64" s="310"/>
      <c r="R64" s="311"/>
      <c r="S64" s="309"/>
      <c r="T64" s="310"/>
      <c r="U64" s="310"/>
      <c r="V64" s="310"/>
      <c r="W64" s="438"/>
      <c r="X64" s="342"/>
      <c r="Y64" s="342"/>
      <c r="Z64" s="342"/>
      <c r="AA64" s="342"/>
      <c r="AB64" s="342"/>
      <c r="AC64" s="2233">
        <f>+SUMIFS('Capex_FO input'!Q$42:Q$1014,'Capex_FO input'!$E$42:$E$1014,Capex_FO_AC!$C$60,'Capex_FO input'!$G$42:$G$1014,Capex_FO_AC!$D64)</f>
        <v>0</v>
      </c>
      <c r="AD64" s="1653">
        <f>+SUMIFS('Capex_FO input'!R$42:R$1014,'Capex_FO input'!$E$42:$E$1014,Capex_FO_AC!$C$60,'Capex_FO input'!$G$42:$G$1014,Capex_FO_AC!$D64)</f>
        <v>0</v>
      </c>
      <c r="AE64" s="1653">
        <f>+SUMIFS('Capex_FO input'!S$42:S$1014,'Capex_FO input'!$E$42:$E$1014,Capex_FO_AC!$C$60,'Capex_FO input'!$G$42:$G$1014,Capex_FO_AC!$D64)</f>
        <v>0</v>
      </c>
      <c r="AF64" s="1653">
        <f>+SUMIFS('Capex_FO input'!T$42:T$1014,'Capex_FO input'!$E$42:$E$1014,Capex_FO_AC!$C$60,'Capex_FO input'!$G$42:$G$1014,Capex_FO_AC!$D64)</f>
        <v>0</v>
      </c>
      <c r="AG64" s="1655">
        <f>+SUMIFS('Capex_FO input'!U$42:U$1014,'Capex_FO input'!$E$42:$E$1014,Capex_FO_AC!$C$60,'Capex_FO input'!$G$42:$G$1014,Capex_FO_AC!$D64)</f>
        <v>0</v>
      </c>
      <c r="AH64" s="1653">
        <f>+SUMIFS('Capex_FO input'!V$42:V$1014,'Capex_FO input'!$E$42:$E$1014,Capex_FO_AC!$C$60,'Capex_FO input'!$G$42:$G$1014,Capex_FO_AC!$D64)</f>
        <v>0</v>
      </c>
      <c r="AI64" s="1653">
        <f>+SUMIFS('Capex_FO input'!W$42:W$1014,'Capex_FO input'!$E$42:$E$1014,Capex_FO_AC!$C$60,'Capex_FO input'!$G$42:$G$1014,Capex_FO_AC!$D64)</f>
        <v>0</v>
      </c>
      <c r="AJ64" s="1653">
        <f>+SUMIFS('Capex_FO input'!X$42:X$1014,'Capex_FO input'!$E$42:$E$1014,Capex_FO_AC!$C$60,'Capex_FO input'!$G$42:$G$1014,Capex_FO_AC!$D64)</f>
        <v>0</v>
      </c>
      <c r="AK64" s="1653">
        <f>+SUMIFS('Capex_FO input'!Y$42:Y$1014,'Capex_FO input'!$E$42:$E$1014,Capex_FO_AC!$C$60,'Capex_FO input'!$G$42:$G$1014,Capex_FO_AC!$D64)</f>
        <v>0</v>
      </c>
      <c r="AL64" s="1655">
        <f>+SUMIFS('Capex_FO input'!Z$42:Z$1014,'Capex_FO input'!$E$42:$E$1014,Capex_FO_AC!$C$60,'Capex_FO input'!$G$42:$G$1014,Capex_FO_AC!$D64)</f>
        <v>0</v>
      </c>
      <c r="AO64" s="807"/>
      <c r="AP64" s="807"/>
      <c r="AQ64" s="807"/>
      <c r="AR64" s="807"/>
      <c r="AS64" s="807"/>
      <c r="AT64" s="807"/>
      <c r="AU64" s="807"/>
      <c r="AV64" s="807"/>
      <c r="AW64" s="807"/>
      <c r="AX64" s="807"/>
      <c r="AY64" s="807"/>
      <c r="AZ64" s="807"/>
      <c r="BA64" s="807"/>
      <c r="BB64" s="807"/>
      <c r="BC64" s="807"/>
    </row>
    <row r="65" spans="2:55" x14ac:dyDescent="0.3">
      <c r="B65" s="126"/>
      <c r="C65" s="300" t="str">
        <f>+CONCATENATE("Total ",C60)</f>
        <v>Total Bulk Water</v>
      </c>
      <c r="D65" s="126"/>
      <c r="E65" s="126"/>
      <c r="F65" s="126"/>
      <c r="G65" s="126"/>
      <c r="H65" s="126"/>
      <c r="I65" s="126"/>
      <c r="J65" s="1527"/>
      <c r="K65" s="1527"/>
      <c r="L65" s="1527"/>
      <c r="M65" s="1527"/>
      <c r="N65" s="297"/>
      <c r="O65" s="297"/>
      <c r="P65" s="297"/>
      <c r="Q65" s="297"/>
      <c r="R65" s="1527"/>
      <c r="S65" s="297"/>
      <c r="T65" s="297"/>
      <c r="U65" s="297"/>
      <c r="V65" s="297"/>
      <c r="W65" s="1527">
        <f t="shared" ref="W65" si="34">+SUM(W61:W64)</f>
        <v>0</v>
      </c>
      <c r="X65" s="297">
        <f t="shared" ref="X65:AG65" si="35">+SUM(X61:X64)</f>
        <v>0</v>
      </c>
      <c r="Y65" s="297">
        <f t="shared" si="35"/>
        <v>0</v>
      </c>
      <c r="Z65" s="297">
        <f t="shared" si="35"/>
        <v>0</v>
      </c>
      <c r="AA65" s="297">
        <f t="shared" si="35"/>
        <v>0</v>
      </c>
      <c r="AB65" s="297">
        <f t="shared" si="35"/>
        <v>0</v>
      </c>
      <c r="AC65" s="297">
        <f t="shared" si="35"/>
        <v>0</v>
      </c>
      <c r="AD65" s="297">
        <f t="shared" si="35"/>
        <v>0</v>
      </c>
      <c r="AE65" s="297">
        <f t="shared" si="35"/>
        <v>0</v>
      </c>
      <c r="AF65" s="297">
        <f t="shared" si="35"/>
        <v>0</v>
      </c>
      <c r="AG65" s="297">
        <f t="shared" si="35"/>
        <v>0</v>
      </c>
      <c r="AH65" s="297">
        <f>+SUM(AH61:AH64)</f>
        <v>0</v>
      </c>
      <c r="AI65" s="297">
        <f>+SUM(AI61:AI64)</f>
        <v>0</v>
      </c>
      <c r="AJ65" s="297">
        <f>+SUM(AJ61:AJ64)</f>
        <v>0</v>
      </c>
      <c r="AK65" s="297">
        <f>+SUM(AK61:AK64)</f>
        <v>0</v>
      </c>
      <c r="AL65" s="297">
        <f>+SUM(AL61:AL64)</f>
        <v>0</v>
      </c>
      <c r="AO65" s="807"/>
      <c r="AP65" s="807"/>
      <c r="AQ65" s="807"/>
      <c r="AR65" s="807"/>
      <c r="AS65" s="807"/>
      <c r="AT65" s="807"/>
      <c r="AU65" s="807"/>
      <c r="AV65" s="807"/>
      <c r="AW65" s="807"/>
      <c r="AX65" s="807"/>
      <c r="AY65" s="807"/>
      <c r="AZ65" s="807"/>
      <c r="BA65" s="807"/>
      <c r="BB65" s="807"/>
      <c r="BC65" s="807"/>
    </row>
    <row r="66" spans="2:55" x14ac:dyDescent="0.3">
      <c r="B66" s="126"/>
      <c r="C66" s="312"/>
      <c r="D66" s="126"/>
      <c r="E66" s="126"/>
      <c r="F66" s="126"/>
      <c r="G66" s="126"/>
      <c r="H66" s="126"/>
      <c r="I66" s="126"/>
      <c r="J66" s="275"/>
      <c r="K66" s="275"/>
      <c r="L66" s="275"/>
      <c r="M66" s="275"/>
      <c r="N66" s="297"/>
      <c r="O66" s="297"/>
      <c r="P66" s="297"/>
      <c r="Q66" s="297"/>
      <c r="R66" s="275"/>
      <c r="S66" s="297"/>
      <c r="T66" s="297"/>
      <c r="U66" s="297"/>
      <c r="V66" s="297"/>
      <c r="W66" s="275"/>
      <c r="X66" s="297"/>
      <c r="Y66" s="297"/>
      <c r="Z66" s="297"/>
      <c r="AA66" s="297"/>
      <c r="AB66" s="297"/>
      <c r="AO66" s="807"/>
      <c r="AP66" s="807"/>
      <c r="AQ66" s="807"/>
      <c r="AR66" s="807"/>
      <c r="AS66" s="807"/>
      <c r="AT66" s="807"/>
      <c r="AU66" s="807"/>
      <c r="AV66" s="807"/>
      <c r="AW66" s="807"/>
      <c r="AX66" s="807"/>
      <c r="AY66" s="807"/>
      <c r="AZ66" s="807"/>
      <c r="BA66" s="807"/>
      <c r="BB66" s="807"/>
      <c r="BC66" s="807"/>
    </row>
    <row r="67" spans="2:55" x14ac:dyDescent="0.3">
      <c r="B67" s="126"/>
      <c r="C67" s="427"/>
      <c r="D67" s="82"/>
      <c r="E67" s="82"/>
      <c r="F67" s="82"/>
      <c r="G67" s="82"/>
      <c r="H67" s="82"/>
      <c r="I67" s="82"/>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c r="AJ67" s="305"/>
      <c r="AK67" s="305"/>
      <c r="AL67" s="305"/>
      <c r="AM67" s="322"/>
      <c r="AO67" s="807"/>
      <c r="AP67" s="807"/>
      <c r="AQ67" s="807"/>
      <c r="AR67" s="807"/>
      <c r="AS67" s="807"/>
      <c r="AT67" s="807"/>
      <c r="AU67" s="807"/>
      <c r="AV67" s="807"/>
      <c r="AW67" s="807"/>
      <c r="AX67" s="807"/>
      <c r="AY67" s="807"/>
      <c r="AZ67" s="807"/>
      <c r="BA67" s="807"/>
      <c r="BB67" s="807"/>
      <c r="BC67" s="807"/>
    </row>
    <row r="68" spans="2:55" x14ac:dyDescent="0.3">
      <c r="B68" s="126"/>
      <c r="C68" s="154"/>
      <c r="D68" s="325" t="s">
        <v>123</v>
      </c>
      <c r="E68" s="84"/>
      <c r="F68" s="84"/>
      <c r="G68" s="84"/>
      <c r="H68" s="84"/>
      <c r="I68" s="84"/>
      <c r="J68" s="275"/>
      <c r="K68" s="275"/>
      <c r="L68" s="275"/>
      <c r="M68" s="275"/>
      <c r="N68" s="275"/>
      <c r="O68" s="275"/>
      <c r="P68" s="275"/>
      <c r="Q68" s="275"/>
      <c r="R68" s="275"/>
      <c r="S68" s="275"/>
      <c r="T68" s="275"/>
      <c r="U68" s="275"/>
      <c r="V68" s="275"/>
      <c r="W68" s="275"/>
      <c r="X68" s="275"/>
      <c r="Y68" s="275"/>
      <c r="Z68" s="275"/>
      <c r="AA68" s="275"/>
      <c r="AB68" s="275"/>
      <c r="AC68" s="275"/>
      <c r="AD68" s="275"/>
      <c r="AE68" s="275"/>
      <c r="AF68" s="275"/>
      <c r="AG68" s="275"/>
      <c r="AH68" s="275"/>
      <c r="AI68" s="275"/>
      <c r="AJ68" s="275"/>
      <c r="AK68" s="275"/>
      <c r="AL68" s="275"/>
      <c r="AM68" s="106"/>
      <c r="AO68" s="807"/>
      <c r="AP68" s="807"/>
      <c r="AQ68" s="807"/>
      <c r="AR68" s="807"/>
      <c r="AS68" s="807"/>
      <c r="AT68" s="807"/>
      <c r="AU68" s="807"/>
      <c r="AV68" s="807"/>
      <c r="AW68" s="807"/>
      <c r="AX68" s="807"/>
      <c r="AY68" s="807"/>
      <c r="AZ68" s="807"/>
      <c r="BA68" s="807"/>
      <c r="BB68" s="807"/>
      <c r="BC68" s="807"/>
    </row>
    <row r="69" spans="2:55" x14ac:dyDescent="0.3">
      <c r="B69" s="126"/>
      <c r="C69" s="154"/>
      <c r="D69" s="84"/>
      <c r="E69" s="84"/>
      <c r="F69" s="84"/>
      <c r="G69" s="84"/>
      <c r="H69" s="84"/>
      <c r="I69" s="84"/>
      <c r="J69" s="275"/>
      <c r="K69" s="275"/>
      <c r="L69" s="275"/>
      <c r="M69" s="275"/>
      <c r="N69" s="275"/>
      <c r="O69" s="275"/>
      <c r="P69" s="275"/>
      <c r="Q69" s="275"/>
      <c r="R69" s="275"/>
      <c r="S69" s="275"/>
      <c r="T69" s="275"/>
      <c r="U69" s="275"/>
      <c r="V69" s="275"/>
      <c r="W69" s="275"/>
      <c r="X69" s="275"/>
      <c r="Y69" s="275"/>
      <c r="Z69" s="275"/>
      <c r="AA69" s="275"/>
      <c r="AB69" s="275"/>
      <c r="AC69" s="275"/>
      <c r="AD69" s="275"/>
      <c r="AE69" s="275"/>
      <c r="AF69" s="275"/>
      <c r="AG69" s="275"/>
      <c r="AH69" s="275"/>
      <c r="AI69" s="275"/>
      <c r="AJ69" s="275"/>
      <c r="AK69" s="275"/>
      <c r="AL69" s="275"/>
      <c r="AM69" s="106"/>
      <c r="AO69" s="807"/>
      <c r="AP69" s="807"/>
      <c r="AQ69" s="807"/>
      <c r="AR69" s="807"/>
      <c r="AS69" s="807"/>
      <c r="AT69" s="807"/>
      <c r="AU69" s="807"/>
      <c r="AV69" s="807"/>
      <c r="AW69" s="807"/>
      <c r="AX69" s="807"/>
      <c r="AY69" s="807"/>
      <c r="AZ69" s="807"/>
      <c r="BA69" s="807"/>
      <c r="BB69" s="807"/>
      <c r="BC69" s="807"/>
    </row>
    <row r="70" spans="2:55" x14ac:dyDescent="0.3">
      <c r="B70" s="126"/>
      <c r="C70" s="154"/>
      <c r="D70" s="84"/>
      <c r="E70" s="428" t="s">
        <v>20</v>
      </c>
      <c r="F70" s="84"/>
      <c r="G70" s="84"/>
      <c r="H70" s="84"/>
      <c r="I70" s="84"/>
      <c r="J70" s="275"/>
      <c r="K70" s="275"/>
      <c r="L70" s="275"/>
      <c r="M70" s="275"/>
      <c r="N70" s="275"/>
      <c r="O70" s="275"/>
      <c r="P70" s="275"/>
      <c r="Q70" s="275"/>
      <c r="R70" s="275"/>
      <c r="S70" s="275"/>
      <c r="T70" s="275"/>
      <c r="U70" s="275"/>
      <c r="V70" s="275"/>
      <c r="W70" s="275"/>
      <c r="X70" s="275"/>
      <c r="Y70" s="275"/>
      <c r="Z70" s="275"/>
      <c r="AA70" s="275"/>
      <c r="AB70" s="275"/>
      <c r="AC70" s="275"/>
      <c r="AD70" s="275"/>
      <c r="AE70" s="275"/>
      <c r="AF70" s="275"/>
      <c r="AG70" s="275"/>
      <c r="AH70" s="275"/>
      <c r="AI70" s="275"/>
      <c r="AJ70" s="275"/>
      <c r="AK70" s="275"/>
      <c r="AL70" s="275"/>
      <c r="AM70" s="106"/>
      <c r="AO70" s="807"/>
      <c r="AP70" s="807"/>
      <c r="AQ70" s="807"/>
      <c r="AR70" s="807"/>
      <c r="AS70" s="807"/>
      <c r="AT70" s="807"/>
      <c r="AU70" s="807"/>
      <c r="AV70" s="807"/>
      <c r="AW70" s="807"/>
      <c r="AX70" s="807"/>
      <c r="AY70" s="807"/>
      <c r="AZ70" s="807"/>
      <c r="BA70" s="807"/>
      <c r="BB70" s="807"/>
      <c r="BC70" s="807"/>
    </row>
    <row r="71" spans="2:55" x14ac:dyDescent="0.3">
      <c r="B71" s="126"/>
      <c r="C71" s="154"/>
      <c r="D71" s="84"/>
      <c r="E71" s="429"/>
      <c r="F71" s="1656" t="str">
        <f>C32</f>
        <v>Water</v>
      </c>
      <c r="G71" s="84"/>
      <c r="H71" s="84"/>
      <c r="I71" s="84"/>
      <c r="J71" s="424"/>
      <c r="K71" s="304"/>
      <c r="L71" s="305"/>
      <c r="M71" s="305"/>
      <c r="N71" s="304"/>
      <c r="O71" s="305"/>
      <c r="P71" s="305"/>
      <c r="Q71" s="305"/>
      <c r="R71" s="305"/>
      <c r="S71" s="304"/>
      <c r="T71" s="305"/>
      <c r="U71" s="305"/>
      <c r="V71" s="305"/>
      <c r="W71" s="436"/>
      <c r="X71" s="336"/>
      <c r="Y71" s="336"/>
      <c r="Z71" s="336">
        <v>0.43724108104631215</v>
      </c>
      <c r="AA71" s="336">
        <v>0.44161349185677529</v>
      </c>
      <c r="AB71" s="336">
        <v>0.44602962677534302</v>
      </c>
      <c r="AC71" s="2231">
        <f>+SUMIF('Capex_FO input'!$E$42:$E$1014,Capex_FO_AC!$F71,'Capex_FO input'!AB$42:AB$1014)</f>
        <v>0</v>
      </c>
      <c r="AD71" s="1528">
        <f>+SUMIF('Capex_FO input'!$E$42:$E$1014,Capex_FO_AC!$F71,'Capex_FO input'!AC$42:AC$1014)</f>
        <v>0</v>
      </c>
      <c r="AE71" s="1528">
        <f>+SUMIF('Capex_FO input'!$E$42:$E$1014,Capex_FO_AC!$F71,'Capex_FO input'!AD$42:AD$1014)</f>
        <v>0</v>
      </c>
      <c r="AF71" s="1528">
        <f>+SUMIF('Capex_FO input'!$E$42:$E$1014,Capex_FO_AC!$F71,'Capex_FO input'!AE$42:AE$1014)</f>
        <v>0</v>
      </c>
      <c r="AG71" s="1651">
        <f>+SUMIF('Capex_FO input'!$E$42:$E$1014,Capex_FO_AC!$F71,'Capex_FO input'!AF$42:AF$1014)</f>
        <v>0</v>
      </c>
      <c r="AH71" s="1528">
        <f>+SUMIF('Capex_FO input'!$E$42:$E$1014,Capex_FO_AC!$F71,'Capex_FO input'!AG$42:AG$1014)</f>
        <v>0</v>
      </c>
      <c r="AI71" s="1528">
        <f>+SUMIF('Capex_FO input'!$E$42:$E$1014,Capex_FO_AC!$F71,'Capex_FO input'!AH$42:AH$1014)</f>
        <v>0</v>
      </c>
      <c r="AJ71" s="1528">
        <f>+SUMIF('Capex_FO input'!$E$42:$E$1014,Capex_FO_AC!$F71,'Capex_FO input'!AI$42:AI$1014)</f>
        <v>0</v>
      </c>
      <c r="AK71" s="1528">
        <f>+SUMIF('Capex_FO input'!$E$42:$E$1014,Capex_FO_AC!$F71,'Capex_FO input'!AJ$42:AJ$1014)</f>
        <v>0</v>
      </c>
      <c r="AL71" s="1651">
        <f>+SUMIF('Capex_FO input'!$E$42:$E$1014,Capex_FO_AC!$F71,'Capex_FO input'!AK$42:AK$1014)</f>
        <v>0</v>
      </c>
      <c r="AM71" s="106"/>
      <c r="AO71" s="807"/>
      <c r="AP71" s="807"/>
      <c r="AQ71" s="807"/>
      <c r="AR71" s="807"/>
      <c r="AS71" s="807"/>
      <c r="AT71" s="807"/>
      <c r="AU71" s="807"/>
      <c r="AV71" s="807"/>
      <c r="AW71" s="807"/>
      <c r="AX71" s="807"/>
      <c r="AY71" s="807"/>
      <c r="AZ71" s="807"/>
      <c r="BA71" s="807"/>
      <c r="BB71" s="807"/>
      <c r="BC71" s="807"/>
    </row>
    <row r="72" spans="2:55" x14ac:dyDescent="0.3">
      <c r="B72" s="126"/>
      <c r="C72" s="154"/>
      <c r="D72" s="84"/>
      <c r="E72" s="429"/>
      <c r="F72" s="1656" t="str">
        <f>C39</f>
        <v>Sewerage</v>
      </c>
      <c r="G72" s="84"/>
      <c r="H72" s="84"/>
      <c r="I72" s="84"/>
      <c r="J72" s="425"/>
      <c r="K72" s="307"/>
      <c r="L72" s="275"/>
      <c r="M72" s="275"/>
      <c r="N72" s="307"/>
      <c r="O72" s="275"/>
      <c r="P72" s="275"/>
      <c r="Q72" s="275"/>
      <c r="R72" s="275"/>
      <c r="S72" s="307"/>
      <c r="T72" s="275"/>
      <c r="U72" s="275"/>
      <c r="V72" s="275"/>
      <c r="W72" s="437"/>
      <c r="X72" s="339"/>
      <c r="Y72" s="339"/>
      <c r="Z72" s="339"/>
      <c r="AA72" s="339"/>
      <c r="AB72" s="339"/>
      <c r="AC72" s="2232">
        <f>+SUMIF('Capex_FO input'!$E$42:$E$1014,Capex_FO_AC!$F72,'Capex_FO input'!AB$42:AB$1014)</f>
        <v>0</v>
      </c>
      <c r="AD72" s="1652">
        <f>+SUMIF('Capex_FO input'!$E$42:$E$1014,Capex_FO_AC!$F72,'Capex_FO input'!AC$42:AC$1014)</f>
        <v>0</v>
      </c>
      <c r="AE72" s="1652">
        <f>+SUMIF('Capex_FO input'!$E$42:$E$1014,Capex_FO_AC!$F72,'Capex_FO input'!AD$42:AD$1014)</f>
        <v>0</v>
      </c>
      <c r="AF72" s="1652">
        <f>+SUMIF('Capex_FO input'!$E$42:$E$1014,Capex_FO_AC!$F72,'Capex_FO input'!AE$42:AE$1014)</f>
        <v>0</v>
      </c>
      <c r="AG72" s="1654">
        <f>+SUMIF('Capex_FO input'!$E$42:$E$1014,Capex_FO_AC!$F72,'Capex_FO input'!AF$42:AF$1014)</f>
        <v>0</v>
      </c>
      <c r="AH72" s="1652">
        <f>+SUMIF('Capex_FO input'!$E$42:$E$1014,Capex_FO_AC!$F72,'Capex_FO input'!AG$42:AG$1014)</f>
        <v>0</v>
      </c>
      <c r="AI72" s="1652">
        <f>+SUMIF('Capex_FO input'!$E$42:$E$1014,Capex_FO_AC!$F72,'Capex_FO input'!AH$42:AH$1014)</f>
        <v>0</v>
      </c>
      <c r="AJ72" s="1652">
        <f>+SUMIF('Capex_FO input'!$E$42:$E$1014,Capex_FO_AC!$F72,'Capex_FO input'!AI$42:AI$1014)</f>
        <v>0</v>
      </c>
      <c r="AK72" s="1652">
        <f>+SUMIF('Capex_FO input'!$E$42:$E$1014,Capex_FO_AC!$F72,'Capex_FO input'!AJ$42:AJ$1014)</f>
        <v>0</v>
      </c>
      <c r="AL72" s="1654">
        <f>+SUMIF('Capex_FO input'!$E$42:$E$1014,Capex_FO_AC!$F72,'Capex_FO input'!AK$42:AK$1014)</f>
        <v>0</v>
      </c>
      <c r="AM72" s="106"/>
      <c r="AO72" s="807"/>
      <c r="AP72" s="807"/>
      <c r="AQ72" s="807"/>
      <c r="AR72" s="807"/>
      <c r="AS72" s="807"/>
      <c r="AT72" s="807"/>
      <c r="AU72" s="807"/>
      <c r="AV72" s="807"/>
      <c r="AW72" s="807"/>
      <c r="AX72" s="807"/>
      <c r="AY72" s="807"/>
      <c r="AZ72" s="807"/>
      <c r="BA72" s="807"/>
      <c r="BB72" s="807"/>
      <c r="BC72" s="807"/>
    </row>
    <row r="73" spans="2:55" x14ac:dyDescent="0.3">
      <c r="B73" s="126"/>
      <c r="C73" s="154"/>
      <c r="D73" s="84"/>
      <c r="E73" s="429"/>
      <c r="F73" s="1656" t="str">
        <f>C46</f>
        <v>Recycled Water</v>
      </c>
      <c r="G73" s="84"/>
      <c r="H73" s="84"/>
      <c r="I73" s="84"/>
      <c r="J73" s="425"/>
      <c r="K73" s="307"/>
      <c r="L73" s="275"/>
      <c r="M73" s="275"/>
      <c r="N73" s="307"/>
      <c r="O73" s="275"/>
      <c r="P73" s="275"/>
      <c r="Q73" s="275"/>
      <c r="R73" s="275"/>
      <c r="S73" s="307"/>
      <c r="T73" s="275"/>
      <c r="U73" s="275"/>
      <c r="V73" s="275"/>
      <c r="W73" s="437"/>
      <c r="X73" s="339"/>
      <c r="Y73" s="339"/>
      <c r="Z73" s="339"/>
      <c r="AA73" s="339"/>
      <c r="AB73" s="339"/>
      <c r="AC73" s="2232">
        <f>+SUMIF('Capex_FO input'!$E$42:$E$1014,Capex_FO_AC!$F73,'Capex_FO input'!AB$42:AB$1014)</f>
        <v>0</v>
      </c>
      <c r="AD73" s="1652">
        <f>+SUMIF('Capex_FO input'!$E$42:$E$1014,Capex_FO_AC!$F73,'Capex_FO input'!AC$42:AC$1014)</f>
        <v>0</v>
      </c>
      <c r="AE73" s="1652">
        <f>+SUMIF('Capex_FO input'!$E$42:$E$1014,Capex_FO_AC!$F73,'Capex_FO input'!AD$42:AD$1014)</f>
        <v>0</v>
      </c>
      <c r="AF73" s="1652">
        <f>+SUMIF('Capex_FO input'!$E$42:$E$1014,Capex_FO_AC!$F73,'Capex_FO input'!AE$42:AE$1014)</f>
        <v>0</v>
      </c>
      <c r="AG73" s="1654">
        <f>+SUMIF('Capex_FO input'!$E$42:$E$1014,Capex_FO_AC!$F73,'Capex_FO input'!AF$42:AF$1014)</f>
        <v>0</v>
      </c>
      <c r="AH73" s="1652">
        <f>+SUMIF('Capex_FO input'!$E$42:$E$1014,Capex_FO_AC!$F73,'Capex_FO input'!AG$42:AG$1014)</f>
        <v>0</v>
      </c>
      <c r="AI73" s="1652">
        <f>+SUMIF('Capex_FO input'!$E$42:$E$1014,Capex_FO_AC!$F73,'Capex_FO input'!AH$42:AH$1014)</f>
        <v>0</v>
      </c>
      <c r="AJ73" s="1652">
        <f>+SUMIF('Capex_FO input'!$E$42:$E$1014,Capex_FO_AC!$F73,'Capex_FO input'!AI$42:AI$1014)</f>
        <v>0</v>
      </c>
      <c r="AK73" s="1652">
        <f>+SUMIF('Capex_FO input'!$E$42:$E$1014,Capex_FO_AC!$F73,'Capex_FO input'!AJ$42:AJ$1014)</f>
        <v>0</v>
      </c>
      <c r="AL73" s="1654">
        <f>+SUMIF('Capex_FO input'!$E$42:$E$1014,Capex_FO_AC!$F73,'Capex_FO input'!AK$42:AK$1014)</f>
        <v>0</v>
      </c>
      <c r="AM73" s="106"/>
      <c r="AO73" s="807"/>
      <c r="AP73" s="807"/>
      <c r="AQ73" s="807"/>
      <c r="AR73" s="807"/>
      <c r="AS73" s="807"/>
      <c r="AT73" s="807"/>
      <c r="AU73" s="807"/>
      <c r="AV73" s="807"/>
      <c r="AW73" s="807"/>
      <c r="AX73" s="807"/>
      <c r="AY73" s="807"/>
      <c r="AZ73" s="807"/>
      <c r="BA73" s="807"/>
      <c r="BB73" s="807"/>
      <c r="BC73" s="807"/>
    </row>
    <row r="74" spans="2:55" x14ac:dyDescent="0.3">
      <c r="B74" s="126"/>
      <c r="C74" s="154"/>
      <c r="D74" s="84"/>
      <c r="E74" s="429"/>
      <c r="F74" s="1656" t="str">
        <f>C53</f>
        <v>Rural Water</v>
      </c>
      <c r="G74" s="84"/>
      <c r="H74" s="84"/>
      <c r="I74" s="84"/>
      <c r="J74" s="425"/>
      <c r="K74" s="307"/>
      <c r="L74" s="275"/>
      <c r="M74" s="275"/>
      <c r="N74" s="307"/>
      <c r="O74" s="275"/>
      <c r="P74" s="275"/>
      <c r="Q74" s="275"/>
      <c r="R74" s="275"/>
      <c r="S74" s="307"/>
      <c r="T74" s="275"/>
      <c r="U74" s="275"/>
      <c r="V74" s="275"/>
      <c r="W74" s="437"/>
      <c r="X74" s="339"/>
      <c r="Y74" s="339"/>
      <c r="Z74" s="339"/>
      <c r="AA74" s="339"/>
      <c r="AB74" s="339"/>
      <c r="AC74" s="2232">
        <f>+SUMIF('Capex_FO input'!$E$42:$E$1014,Capex_FO_AC!$F74,'Capex_FO input'!AB$42:AB$1014)</f>
        <v>0</v>
      </c>
      <c r="AD74" s="1652">
        <f>+SUMIF('Capex_FO input'!$E$42:$E$1014,Capex_FO_AC!$F74,'Capex_FO input'!AC$42:AC$1014)</f>
        <v>0</v>
      </c>
      <c r="AE74" s="1652">
        <f>+SUMIF('Capex_FO input'!$E$42:$E$1014,Capex_FO_AC!$F74,'Capex_FO input'!AD$42:AD$1014)</f>
        <v>0</v>
      </c>
      <c r="AF74" s="1652">
        <f>+SUMIF('Capex_FO input'!$E$42:$E$1014,Capex_FO_AC!$F74,'Capex_FO input'!AE$42:AE$1014)</f>
        <v>0</v>
      </c>
      <c r="AG74" s="1654">
        <f>+SUMIF('Capex_FO input'!$E$42:$E$1014,Capex_FO_AC!$F74,'Capex_FO input'!AF$42:AF$1014)</f>
        <v>0</v>
      </c>
      <c r="AH74" s="1652">
        <f>+SUMIF('Capex_FO input'!$E$42:$E$1014,Capex_FO_AC!$F74,'Capex_FO input'!AG$42:AG$1014)</f>
        <v>0</v>
      </c>
      <c r="AI74" s="1652">
        <f>+SUMIF('Capex_FO input'!$E$42:$E$1014,Capex_FO_AC!$F74,'Capex_FO input'!AH$42:AH$1014)</f>
        <v>0</v>
      </c>
      <c r="AJ74" s="1652">
        <f>+SUMIF('Capex_FO input'!$E$42:$E$1014,Capex_FO_AC!$F74,'Capex_FO input'!AI$42:AI$1014)</f>
        <v>0</v>
      </c>
      <c r="AK74" s="1652">
        <f>+SUMIF('Capex_FO input'!$E$42:$E$1014,Capex_FO_AC!$F74,'Capex_FO input'!AJ$42:AJ$1014)</f>
        <v>0</v>
      </c>
      <c r="AL74" s="1654">
        <f>+SUMIF('Capex_FO input'!$E$42:$E$1014,Capex_FO_AC!$F74,'Capex_FO input'!AK$42:AK$1014)</f>
        <v>0</v>
      </c>
      <c r="AM74" s="106"/>
      <c r="AO74" s="807"/>
      <c r="AP74" s="807"/>
      <c r="AQ74" s="807"/>
      <c r="AR74" s="807"/>
      <c r="AS74" s="807"/>
      <c r="AT74" s="807"/>
      <c r="AU74" s="807"/>
      <c r="AV74" s="807"/>
      <c r="AW74" s="807"/>
      <c r="AX74" s="807"/>
      <c r="AY74" s="807"/>
      <c r="AZ74" s="807"/>
      <c r="BA74" s="807"/>
      <c r="BB74" s="807"/>
      <c r="BC74" s="807"/>
    </row>
    <row r="75" spans="2:55" x14ac:dyDescent="0.3">
      <c r="B75" s="126"/>
      <c r="C75" s="154"/>
      <c r="D75" s="84"/>
      <c r="E75" s="429"/>
      <c r="F75" s="1656" t="str">
        <f>C60</f>
        <v>Bulk Water</v>
      </c>
      <c r="G75" s="84"/>
      <c r="H75" s="84"/>
      <c r="I75" s="84"/>
      <c r="J75" s="426"/>
      <c r="K75" s="309"/>
      <c r="L75" s="310"/>
      <c r="M75" s="310"/>
      <c r="N75" s="309"/>
      <c r="O75" s="310"/>
      <c r="P75" s="310"/>
      <c r="Q75" s="310"/>
      <c r="R75" s="310"/>
      <c r="S75" s="309"/>
      <c r="T75" s="310"/>
      <c r="U75" s="310"/>
      <c r="V75" s="310"/>
      <c r="W75" s="438"/>
      <c r="X75" s="342"/>
      <c r="Y75" s="342"/>
      <c r="Z75" s="342"/>
      <c r="AA75" s="342"/>
      <c r="AB75" s="342"/>
      <c r="AC75" s="2233">
        <f>+SUMIF('Capex_FO input'!$E$42:$E$1014,Capex_FO_AC!$F75,'Capex_FO input'!AB$42:AB$1014)</f>
        <v>0</v>
      </c>
      <c r="AD75" s="1653">
        <f>+SUMIF('Capex_FO input'!$E$42:$E$1014,Capex_FO_AC!$F75,'Capex_FO input'!AC$42:AC$1014)</f>
        <v>0</v>
      </c>
      <c r="AE75" s="1653">
        <f>+SUMIF('Capex_FO input'!$E$42:$E$1014,Capex_FO_AC!$F75,'Capex_FO input'!AD$42:AD$1014)</f>
        <v>0</v>
      </c>
      <c r="AF75" s="1653">
        <f>+SUMIF('Capex_FO input'!$E$42:$E$1014,Capex_FO_AC!$F75,'Capex_FO input'!AE$42:AE$1014)</f>
        <v>0</v>
      </c>
      <c r="AG75" s="1655">
        <f>+SUMIF('Capex_FO input'!$E$42:$E$1014,Capex_FO_AC!$F75,'Capex_FO input'!AF$42:AF$1014)</f>
        <v>0</v>
      </c>
      <c r="AH75" s="1653">
        <f>+SUMIF('Capex_FO input'!$E$42:$E$1014,Capex_FO_AC!$F75,'Capex_FO input'!AG$42:AG$1014)</f>
        <v>0</v>
      </c>
      <c r="AI75" s="1653">
        <f>+SUMIF('Capex_FO input'!$E$42:$E$1014,Capex_FO_AC!$F75,'Capex_FO input'!AH$42:AH$1014)</f>
        <v>0</v>
      </c>
      <c r="AJ75" s="1653">
        <f>+SUMIF('Capex_FO input'!$E$42:$E$1014,Capex_FO_AC!$F75,'Capex_FO input'!AI$42:AI$1014)</f>
        <v>0</v>
      </c>
      <c r="AK75" s="1653">
        <f>+SUMIF('Capex_FO input'!$E$42:$E$1014,Capex_FO_AC!$F75,'Capex_FO input'!AJ$42:AJ$1014)</f>
        <v>0</v>
      </c>
      <c r="AL75" s="1655">
        <f>+SUMIF('Capex_FO input'!$E$42:$E$1014,Capex_FO_AC!$F75,'Capex_FO input'!AK$42:AK$1014)</f>
        <v>0</v>
      </c>
      <c r="AM75" s="106"/>
      <c r="AO75" s="807"/>
      <c r="AP75" s="807"/>
      <c r="AQ75" s="807"/>
      <c r="AR75" s="807"/>
      <c r="AS75" s="807"/>
      <c r="AT75" s="807"/>
      <c r="AU75" s="807"/>
      <c r="AV75" s="807"/>
      <c r="AW75" s="807"/>
      <c r="AX75" s="807"/>
      <c r="AY75" s="807"/>
      <c r="AZ75" s="807"/>
      <c r="BA75" s="807"/>
      <c r="BB75" s="807"/>
      <c r="BC75" s="807"/>
    </row>
    <row r="76" spans="2:55" x14ac:dyDescent="0.3">
      <c r="B76" s="126"/>
      <c r="C76" s="154"/>
      <c r="D76" s="84"/>
      <c r="E76" s="1657" t="str">
        <f>+CONCATENATE("Total ",E70)</f>
        <v>Total Government contributions</v>
      </c>
      <c r="F76" s="430"/>
      <c r="G76" s="84"/>
      <c r="H76" s="84"/>
      <c r="I76" s="84"/>
      <c r="J76" s="1527"/>
      <c r="K76" s="1527"/>
      <c r="L76" s="1527"/>
      <c r="M76" s="1527"/>
      <c r="N76" s="1527"/>
      <c r="O76" s="1527"/>
      <c r="P76" s="1527"/>
      <c r="Q76" s="1527"/>
      <c r="R76" s="1527"/>
      <c r="S76" s="1527"/>
      <c r="T76" s="1527"/>
      <c r="U76" s="1527"/>
      <c r="V76" s="1527"/>
      <c r="W76" s="1527">
        <f t="shared" ref="W76:Y76" si="36">+SUM(W71:W75)</f>
        <v>0</v>
      </c>
      <c r="X76" s="2132">
        <f t="shared" si="36"/>
        <v>0</v>
      </c>
      <c r="Y76" s="2132">
        <f t="shared" si="36"/>
        <v>0</v>
      </c>
      <c r="Z76" s="2132">
        <f t="shared" ref="Z76:AG76" si="37">+SUM(Z71:Z75)</f>
        <v>0.43724108104631215</v>
      </c>
      <c r="AA76" s="2132">
        <f t="shared" si="37"/>
        <v>0.44161349185677529</v>
      </c>
      <c r="AB76" s="2132">
        <f t="shared" si="37"/>
        <v>0.44602962677534302</v>
      </c>
      <c r="AC76" s="1527">
        <f t="shared" si="37"/>
        <v>0</v>
      </c>
      <c r="AD76" s="1527">
        <f t="shared" si="37"/>
        <v>0</v>
      </c>
      <c r="AE76" s="1527">
        <f t="shared" si="37"/>
        <v>0</v>
      </c>
      <c r="AF76" s="1527">
        <f t="shared" si="37"/>
        <v>0</v>
      </c>
      <c r="AG76" s="1527">
        <f t="shared" si="37"/>
        <v>0</v>
      </c>
      <c r="AH76" s="1527">
        <f>+SUM(AH71:AH75)</f>
        <v>0</v>
      </c>
      <c r="AI76" s="1527">
        <f>+SUM(AI71:AI75)</f>
        <v>0</v>
      </c>
      <c r="AJ76" s="1527">
        <f>+SUM(AJ71:AJ75)</f>
        <v>0</v>
      </c>
      <c r="AK76" s="1527">
        <f>+SUM(AK71:AK75)</f>
        <v>0</v>
      </c>
      <c r="AL76" s="1527">
        <f>+SUM(AL71:AL75)</f>
        <v>0</v>
      </c>
      <c r="AM76" s="106"/>
      <c r="AO76" s="807"/>
      <c r="AP76" s="807"/>
      <c r="AQ76" s="807"/>
      <c r="AR76" s="807"/>
      <c r="AS76" s="807"/>
      <c r="AT76" s="807"/>
      <c r="AU76" s="807"/>
      <c r="AV76" s="807"/>
      <c r="AW76" s="807"/>
      <c r="AX76" s="807"/>
      <c r="AY76" s="807"/>
      <c r="AZ76" s="807"/>
      <c r="BA76" s="807"/>
      <c r="BB76" s="807"/>
      <c r="BC76" s="807"/>
    </row>
    <row r="77" spans="2:55" x14ac:dyDescent="0.3">
      <c r="C77" s="154"/>
      <c r="D77" s="84"/>
      <c r="E77" s="84"/>
      <c r="F77" s="84"/>
      <c r="G77" s="84"/>
      <c r="H77" s="84"/>
      <c r="I77" s="84"/>
      <c r="J77" s="275"/>
      <c r="K77" s="275"/>
      <c r="L77" s="275"/>
      <c r="M77" s="275"/>
      <c r="N77" s="275"/>
      <c r="O77" s="275"/>
      <c r="P77" s="275"/>
      <c r="Q77" s="275"/>
      <c r="R77" s="275"/>
      <c r="S77" s="275"/>
      <c r="T77" s="275"/>
      <c r="U77" s="275"/>
      <c r="V77" s="275"/>
      <c r="W77" s="275"/>
      <c r="X77" s="2142"/>
      <c r="Y77" s="2142"/>
      <c r="Z77" s="2142"/>
      <c r="AA77" s="2142"/>
      <c r="AB77" s="2142"/>
      <c r="AC77" s="275"/>
      <c r="AD77" s="275"/>
      <c r="AE77" s="275"/>
      <c r="AF77" s="275"/>
      <c r="AG77" s="275"/>
      <c r="AH77" s="275"/>
      <c r="AI77" s="275"/>
      <c r="AJ77" s="275"/>
      <c r="AK77" s="275"/>
      <c r="AL77" s="275"/>
      <c r="AM77" s="106"/>
      <c r="AO77" s="807"/>
      <c r="AP77" s="807"/>
      <c r="AQ77" s="807"/>
      <c r="AR77" s="807"/>
      <c r="AS77" s="807"/>
      <c r="AT77" s="807"/>
      <c r="AU77" s="807"/>
      <c r="AV77" s="807"/>
      <c r="AW77" s="807"/>
      <c r="AX77" s="807"/>
      <c r="AY77" s="807"/>
      <c r="AZ77" s="807"/>
      <c r="BA77" s="807"/>
      <c r="BB77" s="807"/>
      <c r="BC77" s="807"/>
    </row>
    <row r="78" spans="2:55" x14ac:dyDescent="0.3">
      <c r="C78" s="154"/>
      <c r="D78" s="84"/>
      <c r="E78" s="428" t="s">
        <v>23</v>
      </c>
      <c r="F78" s="84"/>
      <c r="G78" s="84"/>
      <c r="H78" s="84"/>
      <c r="I78" s="84"/>
      <c r="J78" s="275"/>
      <c r="K78" s="275"/>
      <c r="L78" s="275"/>
      <c r="M78" s="275"/>
      <c r="N78" s="275"/>
      <c r="O78" s="275"/>
      <c r="P78" s="275"/>
      <c r="Q78" s="275"/>
      <c r="R78" s="275"/>
      <c r="S78" s="275"/>
      <c r="T78" s="275"/>
      <c r="U78" s="275"/>
      <c r="V78" s="275"/>
      <c r="W78" s="275"/>
      <c r="X78" s="2142"/>
      <c r="Y78" s="2142"/>
      <c r="Z78" s="2142"/>
      <c r="AA78" s="2142"/>
      <c r="AB78" s="2142"/>
      <c r="AC78" s="275"/>
      <c r="AD78" s="275"/>
      <c r="AE78" s="275"/>
      <c r="AF78" s="275"/>
      <c r="AG78" s="275"/>
      <c r="AH78" s="275"/>
      <c r="AI78" s="275"/>
      <c r="AJ78" s="275"/>
      <c r="AK78" s="275"/>
      <c r="AL78" s="275"/>
      <c r="AM78" s="106"/>
      <c r="AO78" s="807"/>
      <c r="AP78" s="807"/>
      <c r="AQ78" s="807"/>
      <c r="AR78" s="807"/>
      <c r="AS78" s="807"/>
      <c r="AT78" s="807"/>
      <c r="AU78" s="807"/>
      <c r="AV78" s="807"/>
      <c r="AW78" s="807"/>
      <c r="AX78" s="807"/>
      <c r="AY78" s="807"/>
      <c r="AZ78" s="807"/>
      <c r="BA78" s="807"/>
      <c r="BB78" s="807"/>
      <c r="BC78" s="807"/>
    </row>
    <row r="79" spans="2:55" x14ac:dyDescent="0.3">
      <c r="C79" s="154"/>
      <c r="D79" s="84"/>
      <c r="E79" s="429"/>
      <c r="F79" s="1656" t="str">
        <f>+F71</f>
        <v>Water</v>
      </c>
      <c r="G79" s="84"/>
      <c r="H79" s="84"/>
      <c r="I79" s="84"/>
      <c r="J79" s="99"/>
      <c r="K79" s="304"/>
      <c r="L79" s="305"/>
      <c r="M79" s="305"/>
      <c r="N79" s="304"/>
      <c r="O79" s="305"/>
      <c r="P79" s="305"/>
      <c r="Q79" s="305"/>
      <c r="R79" s="305"/>
      <c r="S79" s="304"/>
      <c r="T79" s="305"/>
      <c r="U79" s="305"/>
      <c r="V79" s="305"/>
      <c r="W79" s="436">
        <v>1.8893348416289593</v>
      </c>
      <c r="X79" s="335">
        <v>2.0431804654262882</v>
      </c>
      <c r="Y79" s="336">
        <v>3.3055239410429444</v>
      </c>
      <c r="Z79" s="336">
        <v>3.705311320754717</v>
      </c>
      <c r="AA79" s="336">
        <v>4.0999999999999996</v>
      </c>
      <c r="AB79" s="337">
        <v>4.141</v>
      </c>
      <c r="AC79" s="1528">
        <f>+SUMIF('Capex_FO input'!$E$42:$E$1014,Capex_FO_AC!$F79,'Capex_FO input'!AM$42:AM$1014)</f>
        <v>4.51</v>
      </c>
      <c r="AD79" s="1528">
        <f>+SUMIF('Capex_FO input'!$E$42:$E$1014,Capex_FO_AC!$F79,'Capex_FO input'!AN$42:AN$1014)</f>
        <v>6.15</v>
      </c>
      <c r="AE79" s="1528">
        <f>+SUMIF('Capex_FO input'!$E$42:$E$1014,Capex_FO_AC!$F79,'Capex_FO input'!AO$42:AO$1014)</f>
        <v>7.91</v>
      </c>
      <c r="AF79" s="1528">
        <f>+SUMIF('Capex_FO input'!$E$42:$E$1014,Capex_FO_AC!$F79,'Capex_FO input'!AP$42:AP$1014)</f>
        <v>9.86</v>
      </c>
      <c r="AG79" s="1651">
        <f>+SUMIF('Capex_FO input'!$E$42:$E$1014,Capex_FO_AC!$F79,'Capex_FO input'!AQ$42:AQ$1014)</f>
        <v>12.16</v>
      </c>
      <c r="AH79" s="1528">
        <f>+SUMIF('Capex_FO input'!$E$42:$E$1014,Capex_FO_AC!$F79,'Capex_FO input'!AR$42:AR$1014)</f>
        <v>17.600000000000001</v>
      </c>
      <c r="AI79" s="1528">
        <f>+SUMIF('Capex_FO input'!$E$42:$E$1014,Capex_FO_AC!$F79,'Capex_FO input'!AS$42:AS$1014)</f>
        <v>17.600000000000001</v>
      </c>
      <c r="AJ79" s="1528">
        <f>+SUMIF('Capex_FO input'!$E$42:$E$1014,Capex_FO_AC!$F79,'Capex_FO input'!AT$42:AT$1014)</f>
        <v>17.600000000000001</v>
      </c>
      <c r="AK79" s="1528">
        <f>+SUMIF('Capex_FO input'!$E$42:$E$1014,Capex_FO_AC!$F79,'Capex_FO input'!AU$42:AU$1014)</f>
        <v>17.600000000000001</v>
      </c>
      <c r="AL79" s="1651">
        <f>+SUMIF('Capex_FO input'!$E$42:$E$1014,Capex_FO_AC!$F79,'Capex_FO input'!AV$42:AV$1014)</f>
        <v>17.600000000000001</v>
      </c>
      <c r="AM79" s="106"/>
      <c r="AO79" s="807"/>
      <c r="AP79" s="807"/>
      <c r="AQ79" s="807"/>
      <c r="AR79" s="807"/>
      <c r="AS79" s="807"/>
      <c r="AT79" s="807"/>
      <c r="AU79" s="807"/>
      <c r="AV79" s="807"/>
      <c r="AW79" s="807"/>
      <c r="AX79" s="807"/>
      <c r="AY79" s="807"/>
      <c r="AZ79" s="807"/>
      <c r="BA79" s="807"/>
      <c r="BB79" s="807"/>
      <c r="BC79" s="807"/>
    </row>
    <row r="80" spans="2:55" x14ac:dyDescent="0.3">
      <c r="C80" s="154"/>
      <c r="D80" s="84"/>
      <c r="E80" s="429"/>
      <c r="F80" s="1656" t="str">
        <f>+F72</f>
        <v>Sewerage</v>
      </c>
      <c r="G80" s="84"/>
      <c r="H80" s="84"/>
      <c r="I80" s="84"/>
      <c r="J80" s="431"/>
      <c r="K80" s="307"/>
      <c r="L80" s="275"/>
      <c r="M80" s="275"/>
      <c r="N80" s="307"/>
      <c r="O80" s="275"/>
      <c r="P80" s="275"/>
      <c r="Q80" s="275"/>
      <c r="R80" s="275"/>
      <c r="S80" s="307"/>
      <c r="T80" s="275"/>
      <c r="U80" s="275"/>
      <c r="V80" s="275"/>
      <c r="W80" s="437"/>
      <c r="X80" s="338"/>
      <c r="Y80" s="339"/>
      <c r="Z80" s="339"/>
      <c r="AA80" s="339"/>
      <c r="AB80" s="340"/>
      <c r="AC80" s="1652">
        <f>+SUMIF('Capex_FO input'!$E$42:$E$1014,Capex_FO_AC!$F80,'Capex_FO input'!AM$42:AM$1014)</f>
        <v>0</v>
      </c>
      <c r="AD80" s="1652">
        <f>+SUMIF('Capex_FO input'!$E$42:$E$1014,Capex_FO_AC!$F80,'Capex_FO input'!AN$42:AN$1014)</f>
        <v>0</v>
      </c>
      <c r="AE80" s="1652">
        <f>+SUMIF('Capex_FO input'!$E$42:$E$1014,Capex_FO_AC!$F80,'Capex_FO input'!AO$42:AO$1014)</f>
        <v>0</v>
      </c>
      <c r="AF80" s="1652">
        <f>+SUMIF('Capex_FO input'!$E$42:$E$1014,Capex_FO_AC!$F80,'Capex_FO input'!AP$42:AP$1014)</f>
        <v>0</v>
      </c>
      <c r="AG80" s="1654">
        <f>+SUMIF('Capex_FO input'!$E$42:$E$1014,Capex_FO_AC!$F80,'Capex_FO input'!AQ$42:AQ$1014)</f>
        <v>0</v>
      </c>
      <c r="AH80" s="1652">
        <f>+SUMIF('Capex_FO input'!$E$42:$E$1014,Capex_FO_AC!$F80,'Capex_FO input'!AR$42:AR$1014)</f>
        <v>0</v>
      </c>
      <c r="AI80" s="1652">
        <f>+SUMIF('Capex_FO input'!$E$42:$E$1014,Capex_FO_AC!$F80,'Capex_FO input'!AS$42:AS$1014)</f>
        <v>0</v>
      </c>
      <c r="AJ80" s="1652">
        <f>+SUMIF('Capex_FO input'!$E$42:$E$1014,Capex_FO_AC!$F80,'Capex_FO input'!AT$42:AT$1014)</f>
        <v>0</v>
      </c>
      <c r="AK80" s="1652">
        <f>+SUMIF('Capex_FO input'!$E$42:$E$1014,Capex_FO_AC!$F80,'Capex_FO input'!AU$42:AU$1014)</f>
        <v>0</v>
      </c>
      <c r="AL80" s="1654">
        <f>+SUMIF('Capex_FO input'!$E$42:$E$1014,Capex_FO_AC!$F80,'Capex_FO input'!AV$42:AV$1014)</f>
        <v>0</v>
      </c>
      <c r="AM80" s="106"/>
      <c r="AO80" s="807"/>
      <c r="AP80" s="807"/>
      <c r="AQ80" s="807"/>
      <c r="AR80" s="807"/>
      <c r="AS80" s="807"/>
      <c r="AT80" s="807"/>
      <c r="AU80" s="807"/>
      <c r="AV80" s="807"/>
      <c r="AW80" s="807"/>
      <c r="AX80" s="807"/>
      <c r="AY80" s="807"/>
      <c r="AZ80" s="807"/>
      <c r="BA80" s="807"/>
      <c r="BB80" s="807"/>
      <c r="BC80" s="807"/>
    </row>
    <row r="81" spans="3:55" x14ac:dyDescent="0.3">
      <c r="C81" s="154"/>
      <c r="D81" s="84"/>
      <c r="E81" s="429"/>
      <c r="F81" s="1656" t="str">
        <f>+F73</f>
        <v>Recycled Water</v>
      </c>
      <c r="G81" s="84"/>
      <c r="H81" s="84"/>
      <c r="I81" s="84"/>
      <c r="J81" s="307"/>
      <c r="K81" s="307"/>
      <c r="L81" s="275"/>
      <c r="M81" s="275"/>
      <c r="N81" s="307"/>
      <c r="O81" s="275"/>
      <c r="P81" s="275"/>
      <c r="Q81" s="275"/>
      <c r="R81" s="275"/>
      <c r="S81" s="307"/>
      <c r="T81" s="275"/>
      <c r="U81" s="275"/>
      <c r="V81" s="275"/>
      <c r="W81" s="437"/>
      <c r="X81" s="338"/>
      <c r="Y81" s="339"/>
      <c r="Z81" s="339"/>
      <c r="AA81" s="339"/>
      <c r="AB81" s="340"/>
      <c r="AC81" s="1652">
        <f>+SUMIF('Capex_FO input'!$E$42:$E$1014,Capex_FO_AC!$F81,'Capex_FO input'!AM$42:AM$1014)</f>
        <v>0</v>
      </c>
      <c r="AD81" s="1652">
        <f>+SUMIF('Capex_FO input'!$E$42:$E$1014,Capex_FO_AC!$F81,'Capex_FO input'!AN$42:AN$1014)</f>
        <v>0</v>
      </c>
      <c r="AE81" s="1652">
        <f>+SUMIF('Capex_FO input'!$E$42:$E$1014,Capex_FO_AC!$F81,'Capex_FO input'!AO$42:AO$1014)</f>
        <v>0</v>
      </c>
      <c r="AF81" s="1652">
        <f>+SUMIF('Capex_FO input'!$E$42:$E$1014,Capex_FO_AC!$F81,'Capex_FO input'!AP$42:AP$1014)</f>
        <v>0</v>
      </c>
      <c r="AG81" s="1654">
        <f>+SUMIF('Capex_FO input'!$E$42:$E$1014,Capex_FO_AC!$F81,'Capex_FO input'!AQ$42:AQ$1014)</f>
        <v>0</v>
      </c>
      <c r="AH81" s="1652">
        <f>+SUMIF('Capex_FO input'!$E$42:$E$1014,Capex_FO_AC!$F81,'Capex_FO input'!AR$42:AR$1014)</f>
        <v>0</v>
      </c>
      <c r="AI81" s="1652">
        <f>+SUMIF('Capex_FO input'!$E$42:$E$1014,Capex_FO_AC!$F81,'Capex_FO input'!AS$42:AS$1014)</f>
        <v>0</v>
      </c>
      <c r="AJ81" s="1652">
        <f>+SUMIF('Capex_FO input'!$E$42:$E$1014,Capex_FO_AC!$F81,'Capex_FO input'!AT$42:AT$1014)</f>
        <v>0</v>
      </c>
      <c r="AK81" s="1652">
        <f>+SUMIF('Capex_FO input'!$E$42:$E$1014,Capex_FO_AC!$F81,'Capex_FO input'!AU$42:AU$1014)</f>
        <v>0</v>
      </c>
      <c r="AL81" s="1654">
        <f>+SUMIF('Capex_FO input'!$E$42:$E$1014,Capex_FO_AC!$F81,'Capex_FO input'!AV$42:AV$1014)</f>
        <v>0</v>
      </c>
      <c r="AM81" s="106"/>
      <c r="AO81" s="807"/>
      <c r="AP81" s="807"/>
      <c r="AQ81" s="807"/>
      <c r="AR81" s="807"/>
      <c r="AS81" s="807"/>
      <c r="AT81" s="807"/>
      <c r="AU81" s="807"/>
      <c r="AV81" s="807"/>
      <c r="AW81" s="807"/>
      <c r="AX81" s="807"/>
      <c r="AY81" s="807"/>
      <c r="AZ81" s="807"/>
      <c r="BA81" s="807"/>
      <c r="BB81" s="807"/>
      <c r="BC81" s="807"/>
    </row>
    <row r="82" spans="3:55" x14ac:dyDescent="0.3">
      <c r="C82" s="154"/>
      <c r="D82" s="84"/>
      <c r="E82" s="429"/>
      <c r="F82" s="1656" t="str">
        <f>+F74</f>
        <v>Rural Water</v>
      </c>
      <c r="G82" s="84"/>
      <c r="H82" s="84"/>
      <c r="I82" s="84"/>
      <c r="J82" s="307"/>
      <c r="K82" s="307"/>
      <c r="L82" s="275"/>
      <c r="M82" s="275"/>
      <c r="N82" s="307"/>
      <c r="O82" s="275"/>
      <c r="P82" s="275"/>
      <c r="Q82" s="275"/>
      <c r="R82" s="275"/>
      <c r="S82" s="307"/>
      <c r="T82" s="275"/>
      <c r="U82" s="275"/>
      <c r="V82" s="275"/>
      <c r="W82" s="437"/>
      <c r="X82" s="338"/>
      <c r="Y82" s="339"/>
      <c r="Z82" s="339"/>
      <c r="AA82" s="339"/>
      <c r="AB82" s="340"/>
      <c r="AC82" s="1652">
        <f>+SUMIF('Capex_FO input'!$E$42:$E$1014,Capex_FO_AC!$F82,'Capex_FO input'!AM$42:AM$1014)</f>
        <v>0</v>
      </c>
      <c r="AD82" s="1652">
        <f>+SUMIF('Capex_FO input'!$E$42:$E$1014,Capex_FO_AC!$F82,'Capex_FO input'!AN$42:AN$1014)</f>
        <v>0</v>
      </c>
      <c r="AE82" s="1652">
        <f>+SUMIF('Capex_FO input'!$E$42:$E$1014,Capex_FO_AC!$F82,'Capex_FO input'!AO$42:AO$1014)</f>
        <v>0</v>
      </c>
      <c r="AF82" s="1652">
        <f>+SUMIF('Capex_FO input'!$E$42:$E$1014,Capex_FO_AC!$F82,'Capex_FO input'!AP$42:AP$1014)</f>
        <v>0</v>
      </c>
      <c r="AG82" s="1654">
        <f>+SUMIF('Capex_FO input'!$E$42:$E$1014,Capex_FO_AC!$F82,'Capex_FO input'!AQ$42:AQ$1014)</f>
        <v>0</v>
      </c>
      <c r="AH82" s="1652">
        <f>+SUMIF('Capex_FO input'!$E$42:$E$1014,Capex_FO_AC!$F82,'Capex_FO input'!AR$42:AR$1014)</f>
        <v>0</v>
      </c>
      <c r="AI82" s="1652">
        <f>+SUMIF('Capex_FO input'!$E$42:$E$1014,Capex_FO_AC!$F82,'Capex_FO input'!AS$42:AS$1014)</f>
        <v>0</v>
      </c>
      <c r="AJ82" s="1652">
        <f>+SUMIF('Capex_FO input'!$E$42:$E$1014,Capex_FO_AC!$F82,'Capex_FO input'!AT$42:AT$1014)</f>
        <v>0</v>
      </c>
      <c r="AK82" s="1652">
        <f>+SUMIF('Capex_FO input'!$E$42:$E$1014,Capex_FO_AC!$F82,'Capex_FO input'!AU$42:AU$1014)</f>
        <v>0</v>
      </c>
      <c r="AL82" s="1654">
        <f>+SUMIF('Capex_FO input'!$E$42:$E$1014,Capex_FO_AC!$F82,'Capex_FO input'!AV$42:AV$1014)</f>
        <v>0</v>
      </c>
      <c r="AM82" s="106"/>
      <c r="AO82" s="807"/>
      <c r="AP82" s="807"/>
      <c r="AQ82" s="807"/>
      <c r="AR82" s="807"/>
      <c r="AS82" s="807"/>
      <c r="AT82" s="807"/>
      <c r="AU82" s="807"/>
      <c r="AV82" s="807"/>
      <c r="AW82" s="807"/>
      <c r="AX82" s="807"/>
      <c r="AY82" s="807"/>
      <c r="AZ82" s="807"/>
      <c r="BA82" s="807"/>
      <c r="BB82" s="807"/>
      <c r="BC82" s="807"/>
    </row>
    <row r="83" spans="3:55" x14ac:dyDescent="0.3">
      <c r="C83" s="154"/>
      <c r="D83" s="84"/>
      <c r="E83" s="429"/>
      <c r="F83" s="1656" t="str">
        <f>F75</f>
        <v>Bulk Water</v>
      </c>
      <c r="G83" s="84"/>
      <c r="H83" s="84"/>
      <c r="I83" s="84"/>
      <c r="J83" s="309"/>
      <c r="K83" s="309"/>
      <c r="L83" s="310"/>
      <c r="M83" s="310"/>
      <c r="N83" s="309"/>
      <c r="O83" s="310"/>
      <c r="P83" s="310"/>
      <c r="Q83" s="310"/>
      <c r="R83" s="310"/>
      <c r="S83" s="309"/>
      <c r="T83" s="310"/>
      <c r="U83" s="310"/>
      <c r="V83" s="310"/>
      <c r="W83" s="438"/>
      <c r="X83" s="341"/>
      <c r="Y83" s="342"/>
      <c r="Z83" s="342"/>
      <c r="AA83" s="342"/>
      <c r="AB83" s="343"/>
      <c r="AC83" s="1653">
        <f>+SUMIF('Capex_FO input'!$E$42:$E$1014,Capex_FO_AC!$F83,'Capex_FO input'!AM$42:AM$1014)</f>
        <v>0</v>
      </c>
      <c r="AD83" s="1653">
        <f>+SUMIF('Capex_FO input'!$E$42:$E$1014,Capex_FO_AC!$F83,'Capex_FO input'!AN$42:AN$1014)</f>
        <v>0</v>
      </c>
      <c r="AE83" s="1653">
        <f>+SUMIF('Capex_FO input'!$E$42:$E$1014,Capex_FO_AC!$F83,'Capex_FO input'!AO$42:AO$1014)</f>
        <v>0</v>
      </c>
      <c r="AF83" s="1653">
        <f>+SUMIF('Capex_FO input'!$E$42:$E$1014,Capex_FO_AC!$F83,'Capex_FO input'!AP$42:AP$1014)</f>
        <v>0</v>
      </c>
      <c r="AG83" s="1655">
        <f>+SUMIF('Capex_FO input'!$E$42:$E$1014,Capex_FO_AC!$F83,'Capex_FO input'!AQ$42:AQ$1014)</f>
        <v>0</v>
      </c>
      <c r="AH83" s="1653">
        <f>+SUMIF('Capex_FO input'!$E$42:$E$1014,Capex_FO_AC!$F83,'Capex_FO input'!AR$42:AR$1014)</f>
        <v>0</v>
      </c>
      <c r="AI83" s="1653">
        <f>+SUMIF('Capex_FO input'!$E$42:$E$1014,Capex_FO_AC!$F83,'Capex_FO input'!AS$42:AS$1014)</f>
        <v>0</v>
      </c>
      <c r="AJ83" s="1653">
        <f>+SUMIF('Capex_FO input'!$E$42:$E$1014,Capex_FO_AC!$F83,'Capex_FO input'!AT$42:AT$1014)</f>
        <v>0</v>
      </c>
      <c r="AK83" s="1653">
        <f>+SUMIF('Capex_FO input'!$E$42:$E$1014,Capex_FO_AC!$F83,'Capex_FO input'!AU$42:AU$1014)</f>
        <v>0</v>
      </c>
      <c r="AL83" s="1655">
        <f>+SUMIF('Capex_FO input'!$E$42:$E$1014,Capex_FO_AC!$F83,'Capex_FO input'!AV$42:AV$1014)</f>
        <v>0</v>
      </c>
      <c r="AM83" s="106"/>
      <c r="AO83" s="807"/>
      <c r="AP83" s="807"/>
      <c r="AQ83" s="807"/>
      <c r="AR83" s="807"/>
      <c r="AS83" s="807"/>
      <c r="AT83" s="807"/>
      <c r="AU83" s="807"/>
      <c r="AV83" s="807"/>
      <c r="AW83" s="807"/>
      <c r="AX83" s="807"/>
      <c r="AY83" s="807"/>
      <c r="AZ83" s="807"/>
      <c r="BA83" s="807"/>
      <c r="BB83" s="807"/>
      <c r="BC83" s="807"/>
    </row>
    <row r="84" spans="3:55" x14ac:dyDescent="0.3">
      <c r="C84" s="154"/>
      <c r="D84" s="84"/>
      <c r="E84" s="1657" t="str">
        <f>+CONCATENATE("Total ",E78)</f>
        <v>Total Customer contributions</v>
      </c>
      <c r="F84" s="84"/>
      <c r="G84" s="84"/>
      <c r="H84" s="84"/>
      <c r="I84" s="84"/>
      <c r="J84" s="1527"/>
      <c r="K84" s="1527"/>
      <c r="L84" s="1527"/>
      <c r="M84" s="1527"/>
      <c r="N84" s="1527"/>
      <c r="O84" s="1527"/>
      <c r="P84" s="1527"/>
      <c r="Q84" s="1527"/>
      <c r="R84" s="1527"/>
      <c r="S84" s="1527"/>
      <c r="T84" s="1527"/>
      <c r="U84" s="1527"/>
      <c r="V84" s="1527"/>
      <c r="W84" s="1527">
        <f t="shared" ref="W84:Y84" si="38">+SUM(W79:W83)</f>
        <v>1.8893348416289593</v>
      </c>
      <c r="X84" s="1527">
        <f t="shared" si="38"/>
        <v>2.0431804654262882</v>
      </c>
      <c r="Y84" s="1527">
        <f t="shared" si="38"/>
        <v>3.3055239410429444</v>
      </c>
      <c r="Z84" s="1527">
        <f t="shared" ref="Z84:AG84" si="39">+SUM(Z79:Z83)</f>
        <v>3.705311320754717</v>
      </c>
      <c r="AA84" s="1527">
        <f t="shared" si="39"/>
        <v>4.0999999999999996</v>
      </c>
      <c r="AB84" s="1527">
        <f t="shared" si="39"/>
        <v>4.141</v>
      </c>
      <c r="AC84" s="1527">
        <f t="shared" si="39"/>
        <v>4.51</v>
      </c>
      <c r="AD84" s="1527">
        <f t="shared" si="39"/>
        <v>6.15</v>
      </c>
      <c r="AE84" s="1527">
        <f t="shared" si="39"/>
        <v>7.91</v>
      </c>
      <c r="AF84" s="1527">
        <f t="shared" si="39"/>
        <v>9.86</v>
      </c>
      <c r="AG84" s="1527">
        <f t="shared" si="39"/>
        <v>12.16</v>
      </c>
      <c r="AH84" s="1527">
        <f>+SUM(AH79:AH83)</f>
        <v>17.600000000000001</v>
      </c>
      <c r="AI84" s="1527">
        <f>+SUM(AI79:AI83)</f>
        <v>17.600000000000001</v>
      </c>
      <c r="AJ84" s="1527">
        <f>+SUM(AJ79:AJ83)</f>
        <v>17.600000000000001</v>
      </c>
      <c r="AK84" s="1527">
        <f>+SUM(AK79:AK83)</f>
        <v>17.600000000000001</v>
      </c>
      <c r="AL84" s="1527">
        <f>+SUM(AL79:AL83)</f>
        <v>17.600000000000001</v>
      </c>
      <c r="AM84" s="106"/>
      <c r="AO84" s="807"/>
      <c r="AP84" s="807"/>
      <c r="AQ84" s="807"/>
      <c r="AR84" s="807"/>
      <c r="AS84" s="807"/>
      <c r="AT84" s="807"/>
      <c r="AU84" s="807"/>
      <c r="AV84" s="807"/>
      <c r="AW84" s="807"/>
      <c r="AX84" s="807"/>
      <c r="AY84" s="807"/>
      <c r="AZ84" s="807"/>
      <c r="BA84" s="807"/>
      <c r="BB84" s="807"/>
      <c r="BC84" s="807"/>
    </row>
    <row r="85" spans="3:55" x14ac:dyDescent="0.3">
      <c r="C85" s="432"/>
      <c r="D85" s="323"/>
      <c r="E85" s="323"/>
      <c r="F85" s="323"/>
      <c r="G85" s="323"/>
      <c r="H85" s="323"/>
      <c r="I85" s="323"/>
      <c r="J85" s="310"/>
      <c r="K85" s="310"/>
      <c r="L85" s="310"/>
      <c r="M85" s="310"/>
      <c r="N85" s="310"/>
      <c r="O85" s="310"/>
      <c r="P85" s="310"/>
      <c r="Q85" s="310"/>
      <c r="R85" s="310"/>
      <c r="S85" s="310"/>
      <c r="T85" s="310"/>
      <c r="U85" s="310"/>
      <c r="V85" s="310"/>
      <c r="W85" s="310"/>
      <c r="X85" s="310"/>
      <c r="Y85" s="310"/>
      <c r="Z85" s="310"/>
      <c r="AA85" s="310"/>
      <c r="AB85" s="310"/>
      <c r="AC85" s="310"/>
      <c r="AD85" s="310"/>
      <c r="AE85" s="310"/>
      <c r="AF85" s="310"/>
      <c r="AG85" s="310"/>
      <c r="AH85" s="310"/>
      <c r="AI85" s="310"/>
      <c r="AJ85" s="310"/>
      <c r="AK85" s="310"/>
      <c r="AL85" s="310"/>
      <c r="AM85" s="324"/>
      <c r="AO85" s="807"/>
      <c r="AP85" s="807"/>
      <c r="AQ85" s="807"/>
      <c r="AR85" s="807"/>
      <c r="AS85" s="807"/>
      <c r="AT85" s="807"/>
      <c r="AU85" s="807"/>
      <c r="AV85" s="807"/>
      <c r="AW85" s="807"/>
      <c r="AX85" s="807"/>
      <c r="AY85" s="807"/>
      <c r="AZ85" s="807"/>
      <c r="BA85" s="807"/>
      <c r="BB85" s="807"/>
      <c r="BC85" s="807"/>
    </row>
    <row r="86" spans="3:55" x14ac:dyDescent="0.3">
      <c r="J86" s="423"/>
      <c r="K86" s="423"/>
      <c r="L86" s="423"/>
      <c r="M86" s="423"/>
      <c r="N86" s="294"/>
      <c r="O86" s="294"/>
      <c r="P86" s="294"/>
      <c r="Q86" s="294"/>
      <c r="R86" s="423"/>
      <c r="S86" s="294"/>
      <c r="T86" s="294"/>
      <c r="U86" s="294"/>
      <c r="V86" s="294"/>
      <c r="W86" s="423"/>
      <c r="X86" s="423"/>
      <c r="Y86" s="423"/>
      <c r="Z86" s="423"/>
      <c r="AA86" s="423"/>
      <c r="AB86" s="423"/>
      <c r="AC86" s="423"/>
      <c r="AH86" s="423"/>
      <c r="AO86" s="807"/>
      <c r="AP86" s="807"/>
      <c r="AQ86" s="807"/>
      <c r="AR86" s="807"/>
      <c r="AS86" s="807"/>
      <c r="AT86" s="807"/>
      <c r="AU86" s="807"/>
      <c r="AV86" s="807"/>
      <c r="AW86" s="807"/>
      <c r="AX86" s="807"/>
      <c r="AY86" s="807"/>
      <c r="AZ86" s="807"/>
      <c r="BA86" s="807"/>
      <c r="BB86" s="807"/>
      <c r="BC86" s="807"/>
    </row>
    <row r="87" spans="3:55" x14ac:dyDescent="0.3">
      <c r="J87" s="423"/>
      <c r="K87" s="423"/>
      <c r="L87" s="423"/>
      <c r="M87" s="423"/>
      <c r="N87" s="294"/>
      <c r="O87" s="294"/>
      <c r="P87" s="294"/>
      <c r="Q87" s="294"/>
      <c r="R87" s="423"/>
      <c r="S87" s="294"/>
      <c r="T87" s="294"/>
      <c r="U87" s="294"/>
      <c r="V87" s="294"/>
      <c r="W87" s="423"/>
      <c r="X87" s="294"/>
      <c r="Y87" s="294"/>
      <c r="Z87" s="294"/>
      <c r="AA87" s="294"/>
      <c r="AB87" s="294"/>
      <c r="AO87" s="807"/>
      <c r="AP87" s="807"/>
      <c r="AQ87" s="807"/>
      <c r="AR87" s="807"/>
      <c r="AS87" s="807"/>
      <c r="AT87" s="807"/>
      <c r="AU87" s="807"/>
      <c r="AV87" s="807"/>
      <c r="AW87" s="807"/>
      <c r="AX87" s="807"/>
      <c r="AY87" s="807"/>
      <c r="AZ87" s="807"/>
      <c r="BA87" s="807"/>
      <c r="BB87" s="807"/>
      <c r="BC87" s="807"/>
    </row>
    <row r="88" spans="3:55" x14ac:dyDescent="0.3">
      <c r="C88" s="300" t="s">
        <v>62</v>
      </c>
      <c r="D88" s="126"/>
      <c r="E88" s="126"/>
      <c r="F88" s="126"/>
      <c r="G88" s="126"/>
      <c r="H88" s="126"/>
      <c r="I88" s="126"/>
      <c r="J88" s="433"/>
      <c r="K88" s="316"/>
      <c r="L88" s="317"/>
      <c r="M88" s="317"/>
      <c r="N88" s="316"/>
      <c r="O88" s="317"/>
      <c r="P88" s="317"/>
      <c r="Q88" s="317"/>
      <c r="R88" s="317"/>
      <c r="S88" s="316"/>
      <c r="T88" s="317"/>
      <c r="U88" s="317"/>
      <c r="V88" s="317"/>
      <c r="W88" s="347">
        <v>11.1857592760181</v>
      </c>
      <c r="X88" s="345">
        <v>16.508886551456484</v>
      </c>
      <c r="Y88" s="345">
        <v>15.78905485656442</v>
      </c>
      <c r="Z88" s="345">
        <v>23.25728387650086</v>
      </c>
      <c r="AA88" s="345">
        <v>23.489856715265869</v>
      </c>
      <c r="AB88" s="345">
        <v>23.724755282418528</v>
      </c>
      <c r="AC88" s="1548">
        <v>25.9</v>
      </c>
      <c r="AD88" s="1557">
        <v>26.158999999999999</v>
      </c>
      <c r="AE88" s="1557">
        <v>26.420590000000001</v>
      </c>
      <c r="AF88" s="1557">
        <v>26.684795900000001</v>
      </c>
      <c r="AG88" s="1558">
        <v>26.951643859000001</v>
      </c>
      <c r="AH88" s="1557">
        <v>27.22116029759</v>
      </c>
      <c r="AI88" s="1557">
        <v>27.493371900565901</v>
      </c>
      <c r="AJ88" s="1557">
        <v>27.76830561957156</v>
      </c>
      <c r="AK88" s="1557">
        <v>28.045988675767276</v>
      </c>
      <c r="AL88" s="1558">
        <v>28.326448562524948</v>
      </c>
      <c r="AO88" s="807"/>
      <c r="AP88" s="807"/>
      <c r="AQ88" s="807"/>
      <c r="AR88" s="807"/>
      <c r="AS88" s="807"/>
      <c r="AT88" s="807"/>
      <c r="AU88" s="807"/>
      <c r="AV88" s="807"/>
      <c r="AW88" s="807"/>
      <c r="AX88" s="807"/>
      <c r="AY88" s="807"/>
      <c r="AZ88" s="807"/>
      <c r="BA88" s="807"/>
      <c r="BB88" s="807"/>
      <c r="BC88" s="807"/>
    </row>
    <row r="89" spans="3:55" x14ac:dyDescent="0.3">
      <c r="C89" s="312"/>
      <c r="D89" s="126"/>
      <c r="E89" s="126"/>
      <c r="F89" s="126"/>
      <c r="G89" s="126"/>
      <c r="H89" s="126"/>
      <c r="I89" s="126"/>
      <c r="J89" s="275"/>
      <c r="K89" s="275"/>
      <c r="L89" s="275"/>
      <c r="M89" s="275"/>
      <c r="N89" s="297"/>
      <c r="O89" s="297"/>
      <c r="P89" s="297"/>
      <c r="Q89" s="297"/>
      <c r="R89" s="275"/>
      <c r="S89" s="297"/>
      <c r="T89" s="297"/>
      <c r="U89" s="297"/>
      <c r="V89" s="297"/>
      <c r="W89" s="275"/>
      <c r="X89" s="2024"/>
      <c r="Y89" s="2024"/>
      <c r="Z89" s="2024"/>
      <c r="AA89" s="2024"/>
      <c r="AB89" s="2024"/>
      <c r="AO89" s="807"/>
      <c r="AP89" s="807"/>
      <c r="AQ89" s="807"/>
      <c r="AR89" s="807"/>
      <c r="AS89" s="807"/>
      <c r="AT89" s="807"/>
      <c r="AU89" s="807"/>
      <c r="AV89" s="807"/>
      <c r="AW89" s="807"/>
      <c r="AX89" s="807"/>
      <c r="AY89" s="807"/>
      <c r="AZ89" s="807"/>
      <c r="BA89" s="807"/>
      <c r="BB89" s="807"/>
      <c r="BC89" s="807"/>
    </row>
    <row r="90" spans="3:55" x14ac:dyDescent="0.3">
      <c r="C90" s="300" t="s">
        <v>208</v>
      </c>
      <c r="D90" s="126"/>
      <c r="E90" s="126"/>
      <c r="F90" s="126"/>
      <c r="G90" s="126"/>
      <c r="H90" s="126"/>
      <c r="I90" s="126"/>
      <c r="J90" s="275"/>
      <c r="K90" s="275"/>
      <c r="L90" s="275"/>
      <c r="M90" s="297"/>
      <c r="N90" s="297"/>
      <c r="O90" s="297"/>
      <c r="P90" s="297"/>
      <c r="Q90" s="297"/>
      <c r="R90" s="297"/>
      <c r="S90" s="297"/>
      <c r="T90" s="297"/>
      <c r="U90" s="297"/>
      <c r="V90" s="297"/>
      <c r="W90" s="297"/>
      <c r="X90" s="2024"/>
      <c r="Y90" s="2024"/>
      <c r="Z90" s="2024"/>
      <c r="AA90" s="2024"/>
      <c r="AB90" s="2024"/>
      <c r="AO90" s="807"/>
      <c r="AP90" s="807"/>
      <c r="AQ90" s="807"/>
      <c r="AR90" s="807"/>
      <c r="AS90" s="807"/>
      <c r="AT90" s="807"/>
      <c r="AU90" s="807"/>
      <c r="AV90" s="807"/>
      <c r="AW90" s="807"/>
      <c r="AX90" s="807"/>
      <c r="AY90" s="807"/>
      <c r="AZ90" s="807"/>
      <c r="BA90" s="807"/>
      <c r="BB90" s="807"/>
      <c r="BC90" s="807"/>
    </row>
    <row r="91" spans="3:55" x14ac:dyDescent="0.3">
      <c r="D91" s="303" t="s">
        <v>19</v>
      </c>
      <c r="E91" s="126"/>
      <c r="F91" s="126"/>
      <c r="G91" s="126"/>
      <c r="H91" s="126"/>
      <c r="I91" s="126"/>
      <c r="J91" s="434"/>
      <c r="K91" s="304"/>
      <c r="L91" s="305"/>
      <c r="M91" s="305"/>
      <c r="N91" s="304"/>
      <c r="O91" s="305"/>
      <c r="P91" s="305"/>
      <c r="Q91" s="305"/>
      <c r="R91" s="305"/>
      <c r="S91" s="304"/>
      <c r="T91" s="305"/>
      <c r="U91" s="305"/>
      <c r="V91" s="305"/>
      <c r="W91" s="436">
        <v>0.32740995475113122</v>
      </c>
      <c r="X91" s="336">
        <v>0.56998401420959155</v>
      </c>
      <c r="Y91" s="336">
        <v>0.21971323822085892</v>
      </c>
      <c r="Z91" s="336">
        <v>0.61099914236706698</v>
      </c>
      <c r="AA91" s="336">
        <v>0.61710913379073762</v>
      </c>
      <c r="AB91" s="336">
        <v>0.623280225128645</v>
      </c>
      <c r="AC91" s="1643">
        <v>0.4</v>
      </c>
      <c r="AD91" s="1584">
        <v>0.40400000000000003</v>
      </c>
      <c r="AE91" s="1584">
        <v>0.40804000000000001</v>
      </c>
      <c r="AF91" s="1584">
        <v>0.4121204</v>
      </c>
      <c r="AG91" s="1644">
        <v>0.41624160399999999</v>
      </c>
      <c r="AH91" s="1584">
        <v>0.42040402003999999</v>
      </c>
      <c r="AI91" s="1584">
        <v>0.42460806024039999</v>
      </c>
      <c r="AJ91" s="1584">
        <v>0.42885414084280399</v>
      </c>
      <c r="AK91" s="1584">
        <v>0.43314268225123204</v>
      </c>
      <c r="AL91" s="1644">
        <v>0.43747410907374434</v>
      </c>
      <c r="AO91" s="807"/>
      <c r="AP91" s="807"/>
      <c r="AQ91" s="807"/>
      <c r="AR91" s="807"/>
      <c r="AS91" s="807"/>
      <c r="AT91" s="807"/>
      <c r="AU91" s="807"/>
      <c r="AV91" s="807"/>
      <c r="AW91" s="807"/>
      <c r="AX91" s="807"/>
      <c r="AY91" s="807"/>
      <c r="AZ91" s="807"/>
      <c r="BA91" s="807"/>
      <c r="BB91" s="807"/>
      <c r="BC91" s="807"/>
    </row>
    <row r="92" spans="3:55" x14ac:dyDescent="0.3">
      <c r="D92" s="435" t="s">
        <v>136</v>
      </c>
      <c r="J92" s="426"/>
      <c r="K92" s="309"/>
      <c r="L92" s="310"/>
      <c r="M92" s="310"/>
      <c r="N92" s="309"/>
      <c r="O92" s="310"/>
      <c r="P92" s="310"/>
      <c r="Q92" s="310"/>
      <c r="R92" s="310"/>
      <c r="S92" s="309"/>
      <c r="T92" s="310"/>
      <c r="U92" s="310"/>
      <c r="V92" s="310"/>
      <c r="W92" s="438">
        <v>0.81291855203619912</v>
      </c>
      <c r="X92" s="342">
        <v>1.0255310834813502</v>
      </c>
      <c r="Y92" s="342">
        <v>0.99191821822085924</v>
      </c>
      <c r="Z92" s="342">
        <v>0.7937675814751286</v>
      </c>
      <c r="AA92" s="342">
        <v>0.80170525728987985</v>
      </c>
      <c r="AB92" s="342">
        <v>0.8097223098627786</v>
      </c>
      <c r="AC92" s="1648">
        <v>0.81781953296140641</v>
      </c>
      <c r="AD92" s="1650">
        <v>0.82599772829102047</v>
      </c>
      <c r="AE92" s="1650">
        <v>0.83425770557393064</v>
      </c>
      <c r="AF92" s="1650">
        <v>0.84260028262966991</v>
      </c>
      <c r="AG92" s="1649">
        <v>0.85102628545596659</v>
      </c>
      <c r="AH92" s="1650">
        <v>0.85953654831052628</v>
      </c>
      <c r="AI92" s="1650">
        <v>0.86813191379363153</v>
      </c>
      <c r="AJ92" s="1650">
        <v>0.87681323293156788</v>
      </c>
      <c r="AK92" s="1650">
        <v>0.8855813652608836</v>
      </c>
      <c r="AL92" s="1649">
        <v>0.89443717891349239</v>
      </c>
      <c r="AO92" s="807"/>
      <c r="AP92" s="807"/>
      <c r="AQ92" s="807"/>
      <c r="AR92" s="807"/>
      <c r="AS92" s="807"/>
      <c r="AT92" s="807"/>
      <c r="AU92" s="807"/>
      <c r="AV92" s="807"/>
      <c r="AW92" s="807"/>
      <c r="AX92" s="807"/>
      <c r="AY92" s="807"/>
      <c r="AZ92" s="807"/>
      <c r="BA92" s="807"/>
      <c r="BB92" s="807"/>
      <c r="BC92" s="807"/>
    </row>
    <row r="93" spans="3:55" x14ac:dyDescent="0.3">
      <c r="J93" s="275"/>
      <c r="K93" s="275"/>
      <c r="L93" s="275"/>
      <c r="M93" s="275"/>
      <c r="N93" s="294"/>
      <c r="O93" s="294"/>
      <c r="P93" s="294"/>
      <c r="Q93" s="294"/>
      <c r="R93" s="423"/>
      <c r="S93" s="423"/>
      <c r="T93" s="423"/>
      <c r="U93" s="423"/>
      <c r="V93" s="423"/>
      <c r="W93" s="423"/>
      <c r="X93" s="423"/>
      <c r="Y93" s="423"/>
      <c r="Z93" s="294"/>
      <c r="AA93" s="294"/>
      <c r="AB93" s="294"/>
      <c r="AO93" s="807"/>
      <c r="AP93" s="807"/>
      <c r="AQ93" s="807"/>
      <c r="AR93" s="807"/>
      <c r="AS93" s="807"/>
      <c r="AT93" s="807"/>
      <c r="AU93" s="807"/>
      <c r="AV93" s="807"/>
      <c r="AW93" s="807"/>
      <c r="AX93" s="807"/>
      <c r="AY93" s="807"/>
      <c r="AZ93" s="807"/>
      <c r="BA93" s="807"/>
      <c r="BB93" s="807"/>
      <c r="BC93" s="807"/>
    </row>
    <row r="94" spans="3:55" x14ac:dyDescent="0.3">
      <c r="J94" s="77"/>
      <c r="K94" s="77"/>
      <c r="L94" s="77"/>
      <c r="M94" s="77"/>
      <c r="R94" s="77"/>
      <c r="S94" s="423"/>
      <c r="T94" s="423"/>
      <c r="U94" s="423"/>
      <c r="V94" s="423"/>
      <c r="W94" s="423"/>
      <c r="X94" s="423"/>
      <c r="Y94" s="423"/>
      <c r="AO94" s="807"/>
      <c r="AP94" s="807"/>
      <c r="AQ94" s="807"/>
      <c r="AR94" s="807"/>
      <c r="AS94" s="807"/>
      <c r="AT94" s="807"/>
      <c r="AU94" s="807"/>
      <c r="AV94" s="807"/>
      <c r="AW94" s="807"/>
      <c r="AX94" s="807"/>
      <c r="AY94" s="807"/>
      <c r="AZ94" s="807"/>
      <c r="BA94" s="807"/>
      <c r="BB94" s="807"/>
      <c r="BC94" s="807"/>
    </row>
    <row r="95" spans="3:55" x14ac:dyDescent="0.3">
      <c r="K95" s="265"/>
      <c r="L95" s="265"/>
      <c r="M95" s="265"/>
      <c r="R95" s="77"/>
      <c r="S95" s="423"/>
      <c r="T95" s="423"/>
      <c r="U95" s="423"/>
      <c r="V95" s="423"/>
      <c r="W95" s="423"/>
      <c r="X95" s="423"/>
      <c r="Y95" s="423"/>
    </row>
    <row r="96" spans="3:55" x14ac:dyDescent="0.3">
      <c r="K96" s="265"/>
      <c r="L96" s="265"/>
      <c r="M96" s="265"/>
      <c r="R96" s="77"/>
    </row>
    <row r="97" spans="11:18" x14ac:dyDescent="0.3">
      <c r="K97" s="265"/>
      <c r="L97" s="265"/>
      <c r="M97" s="265"/>
      <c r="R97" s="77"/>
    </row>
    <row r="98" spans="11:18" x14ac:dyDescent="0.3">
      <c r="K98" s="265"/>
      <c r="L98" s="265"/>
      <c r="M98" s="265"/>
    </row>
    <row r="99" spans="11:18" x14ac:dyDescent="0.3">
      <c r="K99" s="265"/>
      <c r="L99" s="265"/>
      <c r="M99" s="265"/>
    </row>
    <row r="100" spans="11:18" x14ac:dyDescent="0.3">
      <c r="K100" s="265"/>
      <c r="L100" s="265"/>
      <c r="M100" s="265"/>
    </row>
    <row r="101" spans="11:18" x14ac:dyDescent="0.3">
      <c r="K101" s="265"/>
      <c r="L101" s="265"/>
      <c r="M101" s="265"/>
    </row>
    <row r="102" spans="11:18" x14ac:dyDescent="0.3">
      <c r="K102" s="265"/>
      <c r="L102" s="265"/>
      <c r="M102" s="265"/>
    </row>
    <row r="103" spans="11:18" x14ac:dyDescent="0.3">
      <c r="K103" s="265"/>
      <c r="L103" s="265"/>
      <c r="M103" s="265"/>
    </row>
    <row r="104" spans="11:18" x14ac:dyDescent="0.3">
      <c r="K104" s="265"/>
      <c r="L104" s="265"/>
      <c r="M104" s="265"/>
    </row>
    <row r="105" spans="11:18" x14ac:dyDescent="0.3">
      <c r="K105" s="265"/>
      <c r="L105" s="265"/>
      <c r="M105" s="265"/>
    </row>
    <row r="106" spans="11:18" x14ac:dyDescent="0.3">
      <c r="K106" s="265"/>
      <c r="L106" s="265"/>
      <c r="M106" s="265"/>
    </row>
    <row r="107" spans="11:18" x14ac:dyDescent="0.3">
      <c r="K107" s="265"/>
      <c r="L107" s="265"/>
      <c r="M107" s="265"/>
    </row>
    <row r="108" spans="11:18" x14ac:dyDescent="0.3">
      <c r="K108" s="265"/>
      <c r="L108" s="265"/>
      <c r="M108" s="265"/>
    </row>
  </sheetData>
  <sheetProtection algorithmName="SHA-512" hashValue="UdVEa/d/KVRE1qdOx+6kIIS3wh0hvPoviiHEngW+iGYKk8E6M6Hlhl73KXHVRhpdXqtSyBDIaqyY9bgMODX+kA==" saltValue="yqJ+h+m8LlLvWQuAGmUWnQ==" spinCount="100000" sheet="1" objects="1" scenarios="1"/>
  <mergeCells count="1">
    <mergeCell ref="B3:F3"/>
  </mergeCells>
  <phoneticPr fontId="0" type="noConversion"/>
  <conditionalFormatting sqref="AD30:AG30 AM30">
    <cfRule type="containsText" dxfId="54" priority="4" operator="containsText" text="FALSE">
      <formula>NOT(ISERROR(SEARCH("FALSE",AD30)))</formula>
    </cfRule>
  </conditionalFormatting>
  <conditionalFormatting sqref="AH30:AL30">
    <cfRule type="containsText" dxfId="53" priority="3" operator="containsText" text="FALSE">
      <formula>NOT(ISERROR(SEARCH("FALSE",AH30)))</formula>
    </cfRule>
  </conditionalFormatting>
  <conditionalFormatting sqref="AC30:AL30">
    <cfRule type="containsText" dxfId="52" priority="2" operator="containsText" text="FALSE">
      <formula>NOT(ISERROR(SEARCH("FALSE",AC30)))</formula>
    </cfRule>
  </conditionalFormatting>
  <conditionalFormatting sqref="AB30">
    <cfRule type="containsText" dxfId="51" priority="1" operator="containsText" text="FALSE">
      <formula>NOT(ISERROR(SEARCH("FALSE",AB30)))</formula>
    </cfRule>
  </conditionalFormatting>
  <hyperlinks>
    <hyperlink ref="B3" location="HL_Home" tooltip="Go to Table of Contents" display="HL_Home" xr:uid="{00000000-0004-0000-0B00-000000000000}"/>
  </hyperlinks>
  <pageMargins left="0.39370078740157499" right="0.39370078740157499" top="0.59055118110236249" bottom="0.98425196850393748" header="0" footer="0.31496062992125973"/>
  <pageSetup paperSize="9" scale="61" fitToHeight="2" orientation="landscape" r:id="rId1"/>
  <headerFooter alignWithMargins="0">
    <oddHeader>&amp;C&amp;B&amp;"Arial"&amp;12&amp;Kff0000​‌OFFICIAL‌​</oddHeader>
    <oddFooter>&amp;C&amp;"Arial,Bold"&amp;8Sheet d.
Page &amp;P of &amp;N&amp;L&amp;"Arial,Bold"&amp;7&amp;F
&amp;A
Printed: &amp;T on &amp;D</oddFooter>
  </headerFooter>
  <rowBreaks count="1" manualBreakCount="1">
    <brk id="67" min="1" max="2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2877D09FDB314F8164DC79F880C4B0" ma:contentTypeVersion="2" ma:contentTypeDescription="Create a new document." ma:contentTypeScope="" ma:versionID="6feebe6d9fe3789cc264570a514818ef">
  <xsd:schema xmlns:xsd="http://www.w3.org/2001/XMLSchema" xmlns:xs="http://www.w3.org/2001/XMLSchema" xmlns:p="http://schemas.microsoft.com/office/2006/metadata/properties" xmlns:ns2="04138342-8380-4ec2-b07d-943840b4671e" targetNamespace="http://schemas.microsoft.com/office/2006/metadata/properties" ma:root="true" ma:fieldsID="f92d133fc0755a9a214aa05d96a70251" ns2:_="">
    <xsd:import namespace="04138342-8380-4ec2-b07d-943840b4671e"/>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138342-8380-4ec2-b07d-943840b467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D71B651-EA9C-44EA-8341-EE55405F7A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138342-8380-4ec2-b07d-943840b467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9B8ACC9-6493-44FD-8316-81995AE5867C}">
  <ds:schemaRefs>
    <ds:schemaRef ds:uri="http://purl.org/dc/terms/"/>
    <ds:schemaRef ds:uri="http://purl.org/dc/dcmitype/"/>
    <ds:schemaRef ds:uri="http://schemas.microsoft.com/office/2006/documentManagement/types"/>
    <ds:schemaRef ds:uri="http://schemas.microsoft.com/office/2006/metadata/properties"/>
    <ds:schemaRef ds:uri="http://schemas.microsoft.com/office/infopath/2007/PartnerControls"/>
    <ds:schemaRef ds:uri="04138342-8380-4ec2-b07d-943840b4671e"/>
    <ds:schemaRef ds:uri="http://schemas.openxmlformats.org/package/2006/metadata/core-properties"/>
    <ds:schemaRef ds:uri="http://www.w3.org/XML/1998/namespace"/>
    <ds:schemaRef ds:uri="http://purl.org/dc/elements/1.1/"/>
  </ds:schemaRefs>
</ds:datastoreItem>
</file>

<file path=customXml/itemProps3.xml><?xml version="1.0" encoding="utf-8"?>
<ds:datastoreItem xmlns:ds="http://schemas.openxmlformats.org/officeDocument/2006/customXml" ds:itemID="{004CA017-887E-428C-AF8E-F75FC89DC73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20</vt:i4>
      </vt:variant>
    </vt:vector>
  </HeadingPairs>
  <TitlesOfParts>
    <vt:vector size="47" baseType="lpstr">
      <vt:lpstr>Contents</vt:lpstr>
      <vt:lpstr>Adjustments log</vt:lpstr>
      <vt:lpstr>Model Quality Check</vt:lpstr>
      <vt:lpstr>KeyAssumptionsPriceControl_FO</vt:lpstr>
      <vt:lpstr>Expenditure_Detail</vt:lpstr>
      <vt:lpstr>Opex_FO</vt:lpstr>
      <vt:lpstr>Opex_Breakdown</vt:lpstr>
      <vt:lpstr>Capex_FO input</vt:lpstr>
      <vt:lpstr>Capex_FO_AC</vt:lpstr>
      <vt:lpstr>ExpSummary_FO</vt:lpstr>
      <vt:lpstr>RollForward_FO</vt:lpstr>
      <vt:lpstr>PrevPerAdj_FO</vt:lpstr>
      <vt:lpstr>RevenuePriceCap_FO</vt:lpstr>
      <vt:lpstr>RevenueTariffBasket_FO</vt:lpstr>
      <vt:lpstr>NotPres_FO</vt:lpstr>
      <vt:lpstr>Finance&amp;Tax_FO</vt:lpstr>
      <vt:lpstr>Rev&amp;RAV_FO</vt:lpstr>
      <vt:lpstr>Indicators_FO</vt:lpstr>
      <vt:lpstr>Outcomes</vt:lpstr>
      <vt:lpstr>GSL</vt:lpstr>
      <vt:lpstr>Household Bill</vt:lpstr>
      <vt:lpstr>Dashboard - Pricing</vt:lpstr>
      <vt:lpstr>Dashboard - Opex</vt:lpstr>
      <vt:lpstr>Dashboard - Capex</vt:lpstr>
      <vt:lpstr>Dashboard - Data</vt:lpstr>
      <vt:lpstr>Determination_Lookup</vt:lpstr>
      <vt:lpstr>General_BL</vt:lpstr>
      <vt:lpstr>Asset_category</vt:lpstr>
      <vt:lpstr>Asset_Class</vt:lpstr>
      <vt:lpstr>Capital_type</vt:lpstr>
      <vt:lpstr>Cost_Driver</vt:lpstr>
      <vt:lpstr>CPIExp1920</vt:lpstr>
      <vt:lpstr>Depr_Deferral</vt:lpstr>
      <vt:lpstr>Depreciation_Method</vt:lpstr>
      <vt:lpstr>Fixed_or_Var</vt:lpstr>
      <vt:lpstr>HL_Home</vt:lpstr>
      <vt:lpstr>Hybrid_Price</vt:lpstr>
      <vt:lpstr>kk</vt:lpstr>
      <vt:lpstr>Model_Name</vt:lpstr>
      <vt:lpstr>Price_Asset_Class</vt:lpstr>
      <vt:lpstr>Price_Control</vt:lpstr>
      <vt:lpstr>Pricing_Unit</vt:lpstr>
      <vt:lpstr>RRR</vt:lpstr>
      <vt:lpstr>Service</vt:lpstr>
      <vt:lpstr>wacc</vt:lpstr>
      <vt:lpstr>wacc_1stper</vt:lpstr>
      <vt:lpstr>wacc_2ndper</vt:lpstr>
    </vt:vector>
  </TitlesOfParts>
  <Company>Essential Services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ESC</dc:creator>
  <cp:keywords>[SEC=OFFICIAL]</cp:keywords>
  <cp:lastModifiedBy>Edward Hansford (ESC)</cp:lastModifiedBy>
  <cp:lastPrinted>2019-09-23T22:34:54Z</cp:lastPrinted>
  <dcterms:created xsi:type="dcterms:W3CDTF">2006-06-27T05:28:24Z</dcterms:created>
  <dcterms:modified xsi:type="dcterms:W3CDTF">2022-11-14T01:23:04Z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0x010100242877D09FDB314F8164DC79F880C4B0</vt:lpwstr>
  </property>
  <property fmtid="{D5CDD505-2E9C-101B-9397-08002B2CF9AE}" pid="3" name="PM_ProtectiveMarkingImage_Header">
    <vt:lpwstr>C:\Program Files\Common Files\janusNET Shared\janusSEAL\Images\DocumentSlashBlue.png</vt:lpwstr>
  </property>
  <property fmtid="{D5CDD505-2E9C-101B-9397-08002B2CF9AE}" pid="4" name="PM_Caveats_Count">
    <vt:lpwstr>0</vt:lpwstr>
  </property>
  <property fmtid="{D5CDD505-2E9C-101B-9397-08002B2CF9AE}" pid="5" name="PM_DisplayValueSecClassificationWithQualifier">
    <vt:lpwstr>OFFICIAL</vt:lpwstr>
  </property>
  <property fmtid="{D5CDD505-2E9C-101B-9397-08002B2CF9AE}" pid="6" name="PM_Qualifier">
    <vt:lpwstr/>
  </property>
  <property fmtid="{D5CDD505-2E9C-101B-9397-08002B2CF9AE}" pid="7" name="PM_SecurityClassification">
    <vt:lpwstr>OFFICIAL</vt:lpwstr>
  </property>
  <property fmtid="{D5CDD505-2E9C-101B-9397-08002B2CF9AE}" pid="8" name="PM_InsertionValue">
    <vt:lpwstr>OFFICIAL</vt:lpwstr>
  </property>
  <property fmtid="{D5CDD505-2E9C-101B-9397-08002B2CF9AE}" pid="9" name="PM_Originating_FileId">
    <vt:lpwstr>846E730F2FC54199AEDE78025161C158</vt:lpwstr>
  </property>
  <property fmtid="{D5CDD505-2E9C-101B-9397-08002B2CF9AE}" pid="10" name="PM_ProtectiveMarkingValue_Footer">
    <vt:lpwstr>OFFICIAL</vt:lpwstr>
  </property>
  <property fmtid="{D5CDD505-2E9C-101B-9397-08002B2CF9AE}" pid="11" name="PM_Originator_Hash_SHA1">
    <vt:lpwstr>200394AC4DBA3B79073AC1CB16187C8A4DDE2364</vt:lpwstr>
  </property>
  <property fmtid="{D5CDD505-2E9C-101B-9397-08002B2CF9AE}" pid="12" name="PM_OriginationTimeStamp">
    <vt:lpwstr>2022-11-14T01:22:32Z</vt:lpwstr>
  </property>
  <property fmtid="{D5CDD505-2E9C-101B-9397-08002B2CF9AE}" pid="13" name="PM_ProtectiveMarkingValue_Header">
    <vt:lpwstr>OFFICIAL</vt:lpwstr>
  </property>
  <property fmtid="{D5CDD505-2E9C-101B-9397-08002B2CF9AE}" pid="14" name="PM_ProtectiveMarkingImage_Footer">
    <vt:lpwstr>C:\Program Files\Common Files\janusNET Shared\janusSEAL\Images\DocumentSlashBlue.png</vt:lpwstr>
  </property>
  <property fmtid="{D5CDD505-2E9C-101B-9397-08002B2CF9AE}" pid="15" name="PM_Namespace">
    <vt:lpwstr>2019.2.1.vic.gov.au</vt:lpwstr>
  </property>
  <property fmtid="{D5CDD505-2E9C-101B-9397-08002B2CF9AE}" pid="16" name="PM_Version">
    <vt:lpwstr>2018.4</vt:lpwstr>
  </property>
  <property fmtid="{D5CDD505-2E9C-101B-9397-08002B2CF9AE}" pid="17" name="PM_Note">
    <vt:lpwstr/>
  </property>
  <property fmtid="{D5CDD505-2E9C-101B-9397-08002B2CF9AE}" pid="18" name="PM_Markers">
    <vt:lpwstr/>
  </property>
  <property fmtid="{D5CDD505-2E9C-101B-9397-08002B2CF9AE}" pid="19" name="PM_Display">
    <vt:lpwstr>OFFICIAL</vt:lpwstr>
  </property>
  <property fmtid="{D5CDD505-2E9C-101B-9397-08002B2CF9AE}" pid="20" name="PMUuid">
    <vt:lpwstr>C9CD97EE-7A57-5433-8DC0-34EC18AC88E3</vt:lpwstr>
  </property>
  <property fmtid="{D5CDD505-2E9C-101B-9397-08002B2CF9AE}" pid="21" name="PMUuidVer">
    <vt:lpwstr>2022.1</vt:lpwstr>
  </property>
  <property fmtid="{D5CDD505-2E9C-101B-9397-08002B2CF9AE}" pid="22" name="PM_Hash_Version">
    <vt:lpwstr>2018.0</vt:lpwstr>
  </property>
  <property fmtid="{D5CDD505-2E9C-101B-9397-08002B2CF9AE}" pid="23" name="PM_Hash_Salt_Prev">
    <vt:lpwstr>81C759A6155E320510AA9EE33A39213B</vt:lpwstr>
  </property>
  <property fmtid="{D5CDD505-2E9C-101B-9397-08002B2CF9AE}" pid="24" name="PM_Hash_Salt">
    <vt:lpwstr>65785FC0B2513CFC930F835D0E8307E3</vt:lpwstr>
  </property>
  <property fmtid="{D5CDD505-2E9C-101B-9397-08002B2CF9AE}" pid="25" name="PM_Hash_SHA1">
    <vt:lpwstr>B14EC25BBDB854AEDD23DBA19EF5DCFC52D155AC</vt:lpwstr>
  </property>
  <property fmtid="{D5CDD505-2E9C-101B-9397-08002B2CF9AE}" pid="26" name="PM_OriginatorUserAccountName_SHA256">
    <vt:lpwstr>6FEE9AB2BE05D867B961329DA0BEC9C0A2B38E428715F3D7851BB048E436DA38</vt:lpwstr>
  </property>
  <property fmtid="{D5CDD505-2E9C-101B-9397-08002B2CF9AE}" pid="27" name="PM_OriginatorDomainName_SHA256">
    <vt:lpwstr>9E5929A2B0C9364118E50F7972B6A4AA763F815A803675E11226272E392AE99C</vt:lpwstr>
  </property>
  <property fmtid="{D5CDD505-2E9C-101B-9397-08002B2CF9AE}" pid="28" name="PM_PrintOutPlacement_XLS">
    <vt:lpwstr>CenterHeader</vt:lpwstr>
  </property>
</Properties>
</file>